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7. 29 ก.พ. 67\"/>
    </mc:Choice>
  </mc:AlternateContent>
  <xr:revisionPtr revIDLastSave="0" documentId="13_ncr:1_{16CF3570-8480-4991-954E-4800BBA0D4C7}" xr6:coauthVersionLast="37" xr6:coauthVersionMax="37" xr10:uidLastSave="{00000000-0000-0000-0000-000000000000}"/>
  <bookViews>
    <workbookView xWindow="0" yWindow="0" windowWidth="24000" windowHeight="9525" tabRatio="911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Titles" localSheetId="1">กาญจนบุรี!$1:$7</definedName>
    <definedName name="_xlnm.Print_Titles" localSheetId="2">จันทบุรี!$1:$7</definedName>
    <definedName name="_xlnm.Print_Titles" localSheetId="3">ฉะเชิงเทรา!$1:$7</definedName>
    <definedName name="_xlnm.Print_Titles" localSheetId="4">ชลบุรี!$1:$7</definedName>
    <definedName name="_xlnm.Print_Titles" localSheetId="5">ชัยนาท!$1:$7</definedName>
    <definedName name="_xlnm.Print_Titles" localSheetId="6">ตราด!$1:$7</definedName>
    <definedName name="_xlnm.Print_Titles" localSheetId="7">นครนายก!$1:$7</definedName>
    <definedName name="_xlnm.Print_Titles" localSheetId="8">นครปฐม!$1:$7</definedName>
    <definedName name="_xlnm.Print_Titles" localSheetId="9">ปทุมธานี!$1:$7</definedName>
    <definedName name="_xlnm.Print_Titles" localSheetId="10">ประจวบคีรีขันธ์!$1:$7</definedName>
    <definedName name="_xlnm.Print_Titles" localSheetId="11">ปราจีนบุรี!$1:$7</definedName>
    <definedName name="_xlnm.Print_Titles" localSheetId="12">พระนครศรีอยุธยา!$1:$7</definedName>
    <definedName name="_xlnm.Print_Titles" localSheetId="13">เพชรบุรี!$1:$7</definedName>
    <definedName name="_xlnm.Print_Titles" localSheetId="0">รวมกลาง!$1:$7</definedName>
    <definedName name="_xlnm.Print_Titles" localSheetId="14">ระยอง!$1:$7</definedName>
    <definedName name="_xlnm.Print_Titles" localSheetId="15">ราชบุรี!$1:$7</definedName>
    <definedName name="_xlnm.Print_Titles" localSheetId="16">ลพบุรี!$1:$7</definedName>
    <definedName name="_xlnm.Print_Titles" localSheetId="17">สระแก้ว!$1:$7</definedName>
    <definedName name="_xlnm.Print_Titles" localSheetId="18">สระบุรี!$1:$7</definedName>
    <definedName name="_xlnm.Print_Titles" localSheetId="19">สิงห์บุรี!$1:$7</definedName>
    <definedName name="_xlnm.Print_Titles" localSheetId="20">สุพรรณบุรี!$1:$7</definedName>
    <definedName name="_xlnm.Print_Titles" localSheetId="21">อ่างทอง!$1:$7</definedName>
    <definedName name="ฟ117">สระแก้ว!$1:$779</definedName>
  </definedNames>
  <calcPr calcId="179021"/>
</workbook>
</file>

<file path=xl/calcChain.xml><?xml version="1.0" encoding="utf-8"?>
<calcChain xmlns="http://schemas.openxmlformats.org/spreadsheetml/2006/main">
  <c r="Q381" i="22" l="1"/>
  <c r="J354" i="22"/>
  <c r="J353" i="22"/>
  <c r="Q163" i="22"/>
  <c r="Q100" i="22"/>
  <c r="Q78" i="22"/>
  <c r="Q163" i="21"/>
  <c r="Q100" i="21"/>
  <c r="I781" i="20"/>
  <c r="I780" i="20"/>
  <c r="Q381" i="20"/>
  <c r="J354" i="20"/>
  <c r="J353" i="20"/>
  <c r="Q163" i="20"/>
  <c r="Q100" i="20"/>
  <c r="Q78" i="20"/>
  <c r="Q163" i="19"/>
  <c r="Q100" i="19" l="1"/>
  <c r="Q78" i="19"/>
  <c r="Q381" i="18"/>
  <c r="Q163" i="18"/>
  <c r="Q100" i="18"/>
  <c r="Q163" i="17"/>
  <c r="Q163" i="16"/>
  <c r="Q78" i="16"/>
  <c r="Q163" i="15"/>
  <c r="Q100" i="15"/>
  <c r="Q78" i="15"/>
  <c r="Q381" i="14"/>
  <c r="Q163" i="14"/>
  <c r="Q78" i="14" l="1"/>
  <c r="Q381" i="13" l="1"/>
  <c r="J354" i="13"/>
  <c r="J353" i="13"/>
  <c r="Q163" i="13"/>
  <c r="Q100" i="13" l="1"/>
  <c r="Q163" i="12"/>
  <c r="Q78" i="12" l="1"/>
  <c r="Q163" i="11"/>
  <c r="Q78" i="11"/>
  <c r="Q381" i="10"/>
  <c r="J354" i="10"/>
  <c r="J353" i="10"/>
  <c r="Q163" i="10"/>
  <c r="Q78" i="10"/>
  <c r="Q381" i="9"/>
  <c r="J354" i="9"/>
  <c r="J353" i="9"/>
  <c r="Q163" i="9"/>
  <c r="Q100" i="9"/>
  <c r="Q78" i="9"/>
  <c r="Q381" i="8"/>
  <c r="Q163" i="8"/>
  <c r="Q100" i="8"/>
  <c r="Q78" i="8"/>
  <c r="Q163" i="7"/>
  <c r="Q100" i="7"/>
  <c r="Q78" i="7"/>
  <c r="Q381" i="6"/>
  <c r="Q163" i="6"/>
  <c r="Q163" i="5"/>
  <c r="Q100" i="5" l="1"/>
  <c r="Q78" i="5"/>
  <c r="Q163" i="4" l="1"/>
  <c r="Q161" i="4" s="1"/>
  <c r="T161" i="4" s="1"/>
  <c r="Q100" i="4"/>
  <c r="Q78" i="4"/>
  <c r="Q76" i="4" s="1"/>
  <c r="T76" i="4" s="1"/>
  <c r="Q163" i="3"/>
  <c r="Q78" i="3"/>
  <c r="Q75" i="3" s="1"/>
  <c r="Q381" i="2"/>
  <c r="Q378" i="2" s="1"/>
  <c r="T378" i="2" s="1"/>
  <c r="Q78" i="2"/>
  <c r="Q76" i="2" s="1"/>
  <c r="T76" i="2" s="1"/>
  <c r="Q163" i="2"/>
  <c r="A788" i="22"/>
  <c r="J785" i="22"/>
  <c r="I785" i="22"/>
  <c r="J784" i="22"/>
  <c r="I784" i="22"/>
  <c r="J783" i="22"/>
  <c r="I783" i="22"/>
  <c r="J782" i="22"/>
  <c r="I782" i="22"/>
  <c r="J781" i="22"/>
  <c r="I781" i="22"/>
  <c r="J780" i="22"/>
  <c r="I780" i="22"/>
  <c r="J779" i="22"/>
  <c r="I779" i="22"/>
  <c r="J778" i="22"/>
  <c r="I778" i="22"/>
  <c r="H777" i="22"/>
  <c r="I776" i="22"/>
  <c r="I775" i="22"/>
  <c r="I774" i="22"/>
  <c r="I772" i="22"/>
  <c r="K772" i="22" s="1"/>
  <c r="I770" i="22"/>
  <c r="K770" i="22" s="1"/>
  <c r="U768" i="22"/>
  <c r="T768" i="22"/>
  <c r="P768" i="22"/>
  <c r="O768" i="22"/>
  <c r="U767" i="22"/>
  <c r="T767" i="22"/>
  <c r="P767" i="22"/>
  <c r="O767" i="22"/>
  <c r="T766" i="22"/>
  <c r="S766" i="22"/>
  <c r="R766" i="22"/>
  <c r="U766" i="22" s="1"/>
  <c r="Q766" i="22"/>
  <c r="P766" i="22"/>
  <c r="N766" i="22"/>
  <c r="M766" i="22"/>
  <c r="L766" i="22"/>
  <c r="O766" i="22" s="1"/>
  <c r="S765" i="22"/>
  <c r="S763" i="22" s="1"/>
  <c r="R765" i="22"/>
  <c r="R763" i="22" s="1"/>
  <c r="Q765" i="22"/>
  <c r="Q763" i="22" s="1"/>
  <c r="P765" i="22"/>
  <c r="O765" i="22"/>
  <c r="U764" i="22"/>
  <c r="T764" i="22"/>
  <c r="P764" i="22"/>
  <c r="O764" i="22"/>
  <c r="O763" i="22"/>
  <c r="N763" i="22"/>
  <c r="M763" i="22"/>
  <c r="P763" i="22" s="1"/>
  <c r="L763" i="22"/>
  <c r="O762" i="22"/>
  <c r="N762" i="22"/>
  <c r="M762" i="22"/>
  <c r="P762" i="22" s="1"/>
  <c r="L762" i="22"/>
  <c r="U761" i="22"/>
  <c r="S761" i="22"/>
  <c r="R761" i="22"/>
  <c r="Q761" i="22"/>
  <c r="T761" i="22" s="1"/>
  <c r="O761" i="22"/>
  <c r="N761" i="22"/>
  <c r="N760" i="22" s="1"/>
  <c r="M761" i="22"/>
  <c r="P761" i="22" s="1"/>
  <c r="L761" i="22"/>
  <c r="L760" i="22" s="1"/>
  <c r="O760" i="22" s="1"/>
  <c r="M760" i="22"/>
  <c r="P760" i="22" s="1"/>
  <c r="J759" i="22"/>
  <c r="J758" i="22"/>
  <c r="I756" i="22"/>
  <c r="K756" i="22" s="1"/>
  <c r="I753" i="22"/>
  <c r="K753" i="22" s="1"/>
  <c r="I750" i="22"/>
  <c r="K750" i="22" s="1"/>
  <c r="I747" i="22"/>
  <c r="K747" i="22" s="1"/>
  <c r="I745" i="22"/>
  <c r="K745" i="22" s="1"/>
  <c r="I743" i="22"/>
  <c r="K743" i="22" s="1"/>
  <c r="I741" i="22"/>
  <c r="K741" i="22" s="1"/>
  <c r="U737" i="22"/>
  <c r="T737" i="22"/>
  <c r="P737" i="22"/>
  <c r="O737" i="22"/>
  <c r="U736" i="22"/>
  <c r="T736" i="22"/>
  <c r="P736" i="22"/>
  <c r="O736" i="22"/>
  <c r="U735" i="22"/>
  <c r="S735" i="22"/>
  <c r="R735" i="22"/>
  <c r="Q735" i="22"/>
  <c r="T735" i="22" s="1"/>
  <c r="O735" i="22"/>
  <c r="N735" i="22"/>
  <c r="M735" i="22"/>
  <c r="P735" i="22" s="1"/>
  <c r="L735" i="22"/>
  <c r="S734" i="22"/>
  <c r="R734" i="22"/>
  <c r="U734" i="22" s="1"/>
  <c r="Q734" i="22"/>
  <c r="T734" i="22" s="1"/>
  <c r="P734" i="22"/>
  <c r="O734" i="22"/>
  <c r="U733" i="22"/>
  <c r="T733" i="22"/>
  <c r="P733" i="22"/>
  <c r="O733" i="22"/>
  <c r="P732" i="22"/>
  <c r="N732" i="22"/>
  <c r="M732" i="22"/>
  <c r="L732" i="22"/>
  <c r="O732" i="22" s="1"/>
  <c r="P731" i="22"/>
  <c r="N731" i="22"/>
  <c r="M731" i="22"/>
  <c r="L731" i="22"/>
  <c r="O731" i="22" s="1"/>
  <c r="T730" i="22"/>
  <c r="S730" i="22"/>
  <c r="R730" i="22"/>
  <c r="U730" i="22" s="1"/>
  <c r="Q730" i="22"/>
  <c r="P730" i="22"/>
  <c r="N730" i="22"/>
  <c r="N729" i="22" s="1"/>
  <c r="M730" i="22"/>
  <c r="M729" i="22" s="1"/>
  <c r="P729" i="22" s="1"/>
  <c r="L730" i="22"/>
  <c r="O730" i="22" s="1"/>
  <c r="L729" i="22"/>
  <c r="O729" i="22" s="1"/>
  <c r="J728" i="22"/>
  <c r="I728" i="22"/>
  <c r="K728" i="22" s="1"/>
  <c r="J727" i="22"/>
  <c r="I727" i="22"/>
  <c r="K727" i="22" s="1"/>
  <c r="U723" i="22"/>
  <c r="T723" i="22"/>
  <c r="P723" i="22"/>
  <c r="O723" i="22"/>
  <c r="U722" i="22"/>
  <c r="T722" i="22"/>
  <c r="P722" i="22"/>
  <c r="O722" i="22"/>
  <c r="T721" i="22"/>
  <c r="S721" i="22"/>
  <c r="R721" i="22"/>
  <c r="U721" i="22" s="1"/>
  <c r="Q721" i="22"/>
  <c r="P721" i="22"/>
  <c r="N721" i="22"/>
  <c r="M721" i="22"/>
  <c r="L721" i="22"/>
  <c r="O721" i="22" s="1"/>
  <c r="U720" i="22"/>
  <c r="T720" i="22"/>
  <c r="P720" i="22"/>
  <c r="O720" i="22"/>
  <c r="U719" i="22"/>
  <c r="T719" i="22"/>
  <c r="P719" i="22"/>
  <c r="O719" i="22"/>
  <c r="T718" i="22"/>
  <c r="S718" i="22"/>
  <c r="R718" i="22"/>
  <c r="U718" i="22" s="1"/>
  <c r="Q718" i="22"/>
  <c r="P718" i="22"/>
  <c r="N718" i="22"/>
  <c r="M718" i="22"/>
  <c r="L718" i="22"/>
  <c r="O718" i="22" s="1"/>
  <c r="T717" i="22"/>
  <c r="S717" i="22"/>
  <c r="R717" i="22"/>
  <c r="U717" i="22" s="1"/>
  <c r="Q717" i="22"/>
  <c r="P717" i="22"/>
  <c r="N717" i="22"/>
  <c r="M717" i="22"/>
  <c r="L717" i="22"/>
  <c r="O717" i="22" s="1"/>
  <c r="T716" i="22"/>
  <c r="S716" i="22"/>
  <c r="S715" i="22" s="1"/>
  <c r="R716" i="22"/>
  <c r="U716" i="22" s="1"/>
  <c r="Q716" i="22"/>
  <c r="Q715" i="22" s="1"/>
  <c r="T715" i="22" s="1"/>
  <c r="P716" i="22"/>
  <c r="N716" i="22"/>
  <c r="N715" i="22" s="1"/>
  <c r="M716" i="22"/>
  <c r="M715" i="22" s="1"/>
  <c r="P715" i="22" s="1"/>
  <c r="L716" i="22"/>
  <c r="O716" i="22" s="1"/>
  <c r="R715" i="22"/>
  <c r="U715" i="22" s="1"/>
  <c r="L715" i="22"/>
  <c r="O715" i="22" s="1"/>
  <c r="K713" i="22"/>
  <c r="J713" i="22"/>
  <c r="K711" i="22"/>
  <c r="J711" i="22"/>
  <c r="J710" i="22"/>
  <c r="I710" i="22"/>
  <c r="K710" i="22" s="1"/>
  <c r="K709" i="22"/>
  <c r="J709" i="22"/>
  <c r="J708" i="22"/>
  <c r="I708" i="22"/>
  <c r="K707" i="22"/>
  <c r="J707" i="22"/>
  <c r="J706" i="22"/>
  <c r="I706" i="22"/>
  <c r="K706" i="22" s="1"/>
  <c r="K705" i="22"/>
  <c r="J705" i="22"/>
  <c r="J704" i="22"/>
  <c r="I704" i="22"/>
  <c r="K704" i="22" s="1"/>
  <c r="K703" i="22"/>
  <c r="I701" i="22"/>
  <c r="K701" i="22" s="1"/>
  <c r="U699" i="22"/>
  <c r="T699" i="22"/>
  <c r="P699" i="22"/>
  <c r="O699" i="22"/>
  <c r="U698" i="22"/>
  <c r="T698" i="22"/>
  <c r="P698" i="22"/>
  <c r="O698" i="22"/>
  <c r="U697" i="22"/>
  <c r="S697" i="22"/>
  <c r="R697" i="22"/>
  <c r="Q697" i="22"/>
  <c r="T697" i="22" s="1"/>
  <c r="O697" i="22"/>
  <c r="N697" i="22"/>
  <c r="M697" i="22"/>
  <c r="P697" i="22" s="1"/>
  <c r="L697" i="22"/>
  <c r="S696" i="22"/>
  <c r="S693" i="22" s="1"/>
  <c r="R696" i="22"/>
  <c r="R694" i="22" s="1"/>
  <c r="U694" i="22" s="1"/>
  <c r="Q696" i="22"/>
  <c r="P696" i="22"/>
  <c r="O696" i="22"/>
  <c r="U695" i="22"/>
  <c r="T695" i="22"/>
  <c r="P695" i="22"/>
  <c r="O695" i="22"/>
  <c r="P694" i="22"/>
  <c r="N694" i="22"/>
  <c r="M694" i="22"/>
  <c r="L694" i="22"/>
  <c r="O694" i="22" s="1"/>
  <c r="P693" i="22"/>
  <c r="N693" i="22"/>
  <c r="M693" i="22"/>
  <c r="L693" i="22"/>
  <c r="O693" i="22" s="1"/>
  <c r="T692" i="22"/>
  <c r="S692" i="22"/>
  <c r="R692" i="22"/>
  <c r="Q692" i="22"/>
  <c r="P692" i="22"/>
  <c r="N692" i="22"/>
  <c r="M692" i="22"/>
  <c r="M691" i="22" s="1"/>
  <c r="P691" i="22" s="1"/>
  <c r="L692" i="22"/>
  <c r="N691" i="22"/>
  <c r="J690" i="22"/>
  <c r="J683" i="22"/>
  <c r="I683" i="22"/>
  <c r="K683" i="22" s="1"/>
  <c r="J682" i="22"/>
  <c r="I682" i="22"/>
  <c r="K682" i="22" s="1"/>
  <c r="J681" i="22"/>
  <c r="J680" i="22"/>
  <c r="I680" i="22"/>
  <c r="K680" i="22" s="1"/>
  <c r="J679" i="22"/>
  <c r="I679" i="22"/>
  <c r="J678" i="22"/>
  <c r="J677" i="22"/>
  <c r="I677" i="22"/>
  <c r="I676" i="22"/>
  <c r="I675" i="22"/>
  <c r="J674" i="22"/>
  <c r="I674" i="22"/>
  <c r="K674" i="22" s="1"/>
  <c r="J673" i="22"/>
  <c r="J672" i="22"/>
  <c r="J662" i="22"/>
  <c r="I662" i="22"/>
  <c r="K662" i="22" s="1"/>
  <c r="I661" i="22"/>
  <c r="I658" i="22"/>
  <c r="J655" i="22"/>
  <c r="I655" i="22"/>
  <c r="K655" i="22" s="1"/>
  <c r="J654" i="22"/>
  <c r="I654" i="22"/>
  <c r="J653" i="22"/>
  <c r="I653" i="22"/>
  <c r="K653" i="22" s="1"/>
  <c r="U651" i="22"/>
  <c r="T651" i="22"/>
  <c r="P651" i="22"/>
  <c r="O651" i="22"/>
  <c r="U650" i="22"/>
  <c r="T650" i="22"/>
  <c r="P650" i="22"/>
  <c r="O650" i="22"/>
  <c r="U649" i="22"/>
  <c r="T649" i="22"/>
  <c r="S649" i="22"/>
  <c r="R649" i="22"/>
  <c r="Q649" i="22"/>
  <c r="O649" i="22"/>
  <c r="N649" i="22"/>
  <c r="M649" i="22"/>
  <c r="P649" i="22" s="1"/>
  <c r="L649" i="22"/>
  <c r="S648" i="22"/>
  <c r="S645" i="22" s="1"/>
  <c r="R648" i="22"/>
  <c r="Q648" i="22"/>
  <c r="Q646" i="22" s="1"/>
  <c r="P648" i="22"/>
  <c r="O648" i="22"/>
  <c r="U647" i="22"/>
  <c r="T647" i="22"/>
  <c r="P647" i="22"/>
  <c r="O647" i="22"/>
  <c r="P646" i="22"/>
  <c r="N646" i="22"/>
  <c r="M646" i="22"/>
  <c r="L646" i="22"/>
  <c r="O646" i="22" s="1"/>
  <c r="P645" i="22"/>
  <c r="N645" i="22"/>
  <c r="M645" i="22"/>
  <c r="L645" i="22"/>
  <c r="O645" i="22" s="1"/>
  <c r="T644" i="22"/>
  <c r="S644" i="22"/>
  <c r="R644" i="22"/>
  <c r="Q644" i="22"/>
  <c r="P644" i="22"/>
  <c r="N644" i="22"/>
  <c r="M644" i="22"/>
  <c r="M643" i="22" s="1"/>
  <c r="L644" i="22"/>
  <c r="P643" i="22"/>
  <c r="N643" i="22"/>
  <c r="J637" i="22"/>
  <c r="J636" i="22" s="1"/>
  <c r="I636" i="22"/>
  <c r="K636" i="22" s="1"/>
  <c r="J633" i="22"/>
  <c r="J627" i="22" s="1"/>
  <c r="J616" i="22" s="1"/>
  <c r="I629" i="22"/>
  <c r="K629" i="22" s="1"/>
  <c r="I628" i="22"/>
  <c r="K628" i="22" s="1"/>
  <c r="I627" i="22"/>
  <c r="I616" i="22" s="1"/>
  <c r="K616" i="22" s="1"/>
  <c r="U625" i="22"/>
  <c r="T625" i="22"/>
  <c r="P625" i="22"/>
  <c r="O625" i="22"/>
  <c r="U624" i="22"/>
  <c r="T624" i="22"/>
  <c r="P624" i="22"/>
  <c r="O624" i="22"/>
  <c r="T623" i="22"/>
  <c r="S623" i="22"/>
  <c r="R623" i="22"/>
  <c r="U623" i="22" s="1"/>
  <c r="Q623" i="22"/>
  <c r="P623" i="22"/>
  <c r="N623" i="22"/>
  <c r="M623" i="22"/>
  <c r="L623" i="22"/>
  <c r="O623" i="22" s="1"/>
  <c r="S622" i="22"/>
  <c r="S619" i="22" s="1"/>
  <c r="R622" i="22"/>
  <c r="R620" i="22" s="1"/>
  <c r="Q622" i="22"/>
  <c r="Q620" i="22" s="1"/>
  <c r="P622" i="22"/>
  <c r="O622" i="22"/>
  <c r="U621" i="22"/>
  <c r="T621" i="22"/>
  <c r="P621" i="22"/>
  <c r="O621" i="22"/>
  <c r="O620" i="22"/>
  <c r="N620" i="22"/>
  <c r="M620" i="22"/>
  <c r="P620" i="22" s="1"/>
  <c r="L620" i="22"/>
  <c r="O619" i="22"/>
  <c r="N619" i="22"/>
  <c r="M619" i="22"/>
  <c r="P619" i="22" s="1"/>
  <c r="L619" i="22"/>
  <c r="U618" i="22"/>
  <c r="S618" i="22"/>
  <c r="R618" i="22"/>
  <c r="Q618" i="22"/>
  <c r="T618" i="22" s="1"/>
  <c r="O618" i="22"/>
  <c r="N618" i="22"/>
  <c r="N617" i="22" s="1"/>
  <c r="M618" i="22"/>
  <c r="P618" i="22" s="1"/>
  <c r="L618" i="22"/>
  <c r="O617" i="22"/>
  <c r="M617" i="22"/>
  <c r="P617" i="22" s="1"/>
  <c r="L617" i="22"/>
  <c r="U608" i="22"/>
  <c r="T608" i="22"/>
  <c r="P608" i="22"/>
  <c r="O608" i="22"/>
  <c r="U607" i="22"/>
  <c r="T607" i="22"/>
  <c r="P607" i="22"/>
  <c r="O607" i="22"/>
  <c r="U606" i="22"/>
  <c r="S606" i="22"/>
  <c r="R606" i="22"/>
  <c r="Q606" i="22"/>
  <c r="T606" i="22" s="1"/>
  <c r="P606" i="22"/>
  <c r="O606" i="22"/>
  <c r="N606" i="22"/>
  <c r="M606" i="22"/>
  <c r="L606" i="22"/>
  <c r="U605" i="22"/>
  <c r="T605" i="22"/>
  <c r="P605" i="22"/>
  <c r="O605" i="22"/>
  <c r="U604" i="22"/>
  <c r="T604" i="22"/>
  <c r="P604" i="22"/>
  <c r="O604" i="22"/>
  <c r="S603" i="22"/>
  <c r="R603" i="22"/>
  <c r="U603" i="22" s="1"/>
  <c r="Q603" i="22"/>
  <c r="T603" i="22" s="1"/>
  <c r="N603" i="22"/>
  <c r="M603" i="22"/>
  <c r="P603" i="22" s="1"/>
  <c r="L603" i="22"/>
  <c r="O603" i="22" s="1"/>
  <c r="U602" i="22"/>
  <c r="S602" i="22"/>
  <c r="R602" i="22"/>
  <c r="Q602" i="22"/>
  <c r="T602" i="22" s="1"/>
  <c r="O602" i="22"/>
  <c r="N602" i="22"/>
  <c r="M602" i="22"/>
  <c r="P602" i="22" s="1"/>
  <c r="L602" i="22"/>
  <c r="S601" i="22"/>
  <c r="R601" i="22"/>
  <c r="U601" i="22" s="1"/>
  <c r="Q601" i="22"/>
  <c r="T601" i="22" s="1"/>
  <c r="N601" i="22"/>
  <c r="N600" i="22" s="1"/>
  <c r="M601" i="22"/>
  <c r="P601" i="22" s="1"/>
  <c r="L601" i="22"/>
  <c r="U585" i="22"/>
  <c r="T585" i="22"/>
  <c r="P585" i="22"/>
  <c r="O585" i="22"/>
  <c r="U584" i="22"/>
  <c r="T584" i="22"/>
  <c r="P584" i="22"/>
  <c r="O584" i="22"/>
  <c r="S583" i="22"/>
  <c r="R583" i="22"/>
  <c r="U583" i="22" s="1"/>
  <c r="Q583" i="22"/>
  <c r="T583" i="22" s="1"/>
  <c r="N583" i="22"/>
  <c r="M583" i="22"/>
  <c r="P583" i="22" s="1"/>
  <c r="L583" i="22"/>
  <c r="O583" i="22" s="1"/>
  <c r="U582" i="22"/>
  <c r="T582" i="22"/>
  <c r="P582" i="22"/>
  <c r="O582" i="22"/>
  <c r="U581" i="22"/>
  <c r="T581" i="22"/>
  <c r="P581" i="22"/>
  <c r="O581" i="22"/>
  <c r="S580" i="22"/>
  <c r="R580" i="22"/>
  <c r="U580" i="22" s="1"/>
  <c r="Q580" i="22"/>
  <c r="T580" i="22" s="1"/>
  <c r="N580" i="22"/>
  <c r="M580" i="22"/>
  <c r="P580" i="22" s="1"/>
  <c r="L580" i="22"/>
  <c r="O580" i="22" s="1"/>
  <c r="S579" i="22"/>
  <c r="R579" i="22"/>
  <c r="U579" i="22" s="1"/>
  <c r="Q579" i="22"/>
  <c r="T579" i="22" s="1"/>
  <c r="N579" i="22"/>
  <c r="M579" i="22"/>
  <c r="P579" i="22" s="1"/>
  <c r="L579" i="22"/>
  <c r="O579" i="22" s="1"/>
  <c r="S578" i="22"/>
  <c r="R578" i="22"/>
  <c r="U578" i="22" s="1"/>
  <c r="Q578" i="22"/>
  <c r="T578" i="22" s="1"/>
  <c r="N578" i="22"/>
  <c r="N577" i="22" s="1"/>
  <c r="M578" i="22"/>
  <c r="L578" i="22"/>
  <c r="O578" i="22" s="1"/>
  <c r="J576" i="22"/>
  <c r="I576" i="22"/>
  <c r="K576" i="22" s="1"/>
  <c r="U564" i="22"/>
  <c r="T564" i="22"/>
  <c r="P564" i="22"/>
  <c r="O564" i="22"/>
  <c r="U563" i="22"/>
  <c r="T563" i="22"/>
  <c r="P563" i="22"/>
  <c r="O563" i="22"/>
  <c r="S562" i="22"/>
  <c r="R562" i="22"/>
  <c r="U562" i="22" s="1"/>
  <c r="Q562" i="22"/>
  <c r="T562" i="22" s="1"/>
  <c r="N562" i="22"/>
  <c r="M562" i="22"/>
  <c r="P562" i="22" s="1"/>
  <c r="L562" i="22"/>
  <c r="O562" i="22" s="1"/>
  <c r="U561" i="22"/>
  <c r="T561" i="22"/>
  <c r="P561" i="22"/>
  <c r="O561" i="22"/>
  <c r="U560" i="22"/>
  <c r="T560" i="22"/>
  <c r="P560" i="22"/>
  <c r="O560" i="22"/>
  <c r="S559" i="22"/>
  <c r="R559" i="22"/>
  <c r="U559" i="22" s="1"/>
  <c r="Q559" i="22"/>
  <c r="T559" i="22" s="1"/>
  <c r="N559" i="22"/>
  <c r="M559" i="22"/>
  <c r="P559" i="22" s="1"/>
  <c r="L559" i="22"/>
  <c r="O559" i="22" s="1"/>
  <c r="S558" i="22"/>
  <c r="R558" i="22"/>
  <c r="Q558" i="22"/>
  <c r="T558" i="22" s="1"/>
  <c r="N558" i="22"/>
  <c r="M558" i="22"/>
  <c r="P558" i="22" s="1"/>
  <c r="L558" i="22"/>
  <c r="O558" i="22" s="1"/>
  <c r="S557" i="22"/>
  <c r="S556" i="22" s="1"/>
  <c r="R557" i="22"/>
  <c r="U557" i="22" s="1"/>
  <c r="Q557" i="22"/>
  <c r="T557" i="22" s="1"/>
  <c r="N557" i="22"/>
  <c r="M557" i="22"/>
  <c r="L557" i="22"/>
  <c r="O557" i="22" s="1"/>
  <c r="Q556" i="22"/>
  <c r="T556" i="22" s="1"/>
  <c r="J555" i="22"/>
  <c r="I555" i="22"/>
  <c r="K555" i="22" s="1"/>
  <c r="U543" i="22"/>
  <c r="T543" i="22"/>
  <c r="P543" i="22"/>
  <c r="O543" i="22"/>
  <c r="U542" i="22"/>
  <c r="T542" i="22"/>
  <c r="P542" i="22"/>
  <c r="O542" i="22"/>
  <c r="S541" i="22"/>
  <c r="R541" i="22"/>
  <c r="U541" i="22" s="1"/>
  <c r="Q541" i="22"/>
  <c r="T541" i="22" s="1"/>
  <c r="N541" i="22"/>
  <c r="M541" i="22"/>
  <c r="P541" i="22" s="1"/>
  <c r="L541" i="22"/>
  <c r="O541" i="22" s="1"/>
  <c r="U540" i="22"/>
  <c r="T540" i="22"/>
  <c r="P540" i="22"/>
  <c r="O540" i="22"/>
  <c r="U539" i="22"/>
  <c r="T539" i="22"/>
  <c r="P539" i="22"/>
  <c r="O539" i="22"/>
  <c r="S538" i="22"/>
  <c r="R538" i="22"/>
  <c r="U538" i="22" s="1"/>
  <c r="Q538" i="22"/>
  <c r="T538" i="22" s="1"/>
  <c r="O538" i="22"/>
  <c r="N538" i="22"/>
  <c r="M538" i="22"/>
  <c r="P538" i="22" s="1"/>
  <c r="L538" i="22"/>
  <c r="S537" i="22"/>
  <c r="R537" i="22"/>
  <c r="U537" i="22" s="1"/>
  <c r="Q537" i="22"/>
  <c r="T537" i="22" s="1"/>
  <c r="N537" i="22"/>
  <c r="M537" i="22"/>
  <c r="P537" i="22" s="1"/>
  <c r="L537" i="22"/>
  <c r="O537" i="22" s="1"/>
  <c r="T536" i="22"/>
  <c r="S536" i="22"/>
  <c r="R536" i="22"/>
  <c r="U536" i="22" s="1"/>
  <c r="Q536" i="22"/>
  <c r="N536" i="22"/>
  <c r="N535" i="22" s="1"/>
  <c r="M536" i="22"/>
  <c r="P536" i="22" s="1"/>
  <c r="L536" i="22"/>
  <c r="J534" i="22"/>
  <c r="I534" i="22"/>
  <c r="K534" i="22" s="1"/>
  <c r="K525" i="22"/>
  <c r="K524" i="22"/>
  <c r="U522" i="22"/>
  <c r="T522" i="22"/>
  <c r="N522" i="22"/>
  <c r="N520" i="22" s="1"/>
  <c r="M522" i="22"/>
  <c r="P522" i="22" s="1"/>
  <c r="L522" i="22"/>
  <c r="O522" i="22" s="1"/>
  <c r="U521" i="22"/>
  <c r="T521" i="22"/>
  <c r="P521" i="22"/>
  <c r="O521" i="22"/>
  <c r="T520" i="22"/>
  <c r="S520" i="22"/>
  <c r="R520" i="22"/>
  <c r="U520" i="22" s="1"/>
  <c r="Q520" i="22"/>
  <c r="U519" i="22"/>
  <c r="T519" i="22"/>
  <c r="N519" i="22"/>
  <c r="M519" i="22"/>
  <c r="P519" i="22" s="1"/>
  <c r="L519" i="22"/>
  <c r="L517" i="22" s="1"/>
  <c r="O517" i="22" s="1"/>
  <c r="U518" i="22"/>
  <c r="T518" i="22"/>
  <c r="P518" i="22"/>
  <c r="O518" i="22"/>
  <c r="U517" i="22"/>
  <c r="S517" i="22"/>
  <c r="R517" i="22"/>
  <c r="Q517" i="22"/>
  <c r="T517" i="22" s="1"/>
  <c r="S516" i="22"/>
  <c r="S514" i="22" s="1"/>
  <c r="R516" i="22"/>
  <c r="U516" i="22" s="1"/>
  <c r="Q516" i="22"/>
  <c r="T516" i="22" s="1"/>
  <c r="S515" i="22"/>
  <c r="R515" i="22"/>
  <c r="U515" i="22" s="1"/>
  <c r="Q515" i="22"/>
  <c r="T515" i="22" s="1"/>
  <c r="P515" i="22"/>
  <c r="O515" i="22"/>
  <c r="N515" i="22"/>
  <c r="M515" i="22"/>
  <c r="L515" i="22"/>
  <c r="Q514" i="22"/>
  <c r="T514" i="22" s="1"/>
  <c r="J513" i="22"/>
  <c r="I513" i="22"/>
  <c r="K513" i="22" s="1"/>
  <c r="I510" i="22"/>
  <c r="K510" i="22" s="1"/>
  <c r="K509" i="22"/>
  <c r="I508" i="22"/>
  <c r="I507" i="22"/>
  <c r="K507" i="22" s="1"/>
  <c r="I506" i="22"/>
  <c r="K506" i="22" s="1"/>
  <c r="I505" i="22"/>
  <c r="K505" i="22" s="1"/>
  <c r="I504" i="22"/>
  <c r="I493" i="22" s="1"/>
  <c r="K493" i="22" s="1"/>
  <c r="U502" i="22"/>
  <c r="T502" i="22"/>
  <c r="P502" i="22"/>
  <c r="O502" i="22"/>
  <c r="U501" i="22"/>
  <c r="T501" i="22"/>
  <c r="P501" i="22"/>
  <c r="O501" i="22"/>
  <c r="S500" i="22"/>
  <c r="R500" i="22"/>
  <c r="U500" i="22" s="1"/>
  <c r="Q500" i="22"/>
  <c r="T500" i="22" s="1"/>
  <c r="N500" i="22"/>
  <c r="M500" i="22"/>
  <c r="P500" i="22" s="1"/>
  <c r="L500" i="22"/>
  <c r="O500" i="22" s="1"/>
  <c r="S499" i="22"/>
  <c r="R499" i="22"/>
  <c r="R497" i="22" s="1"/>
  <c r="U497" i="22" s="1"/>
  <c r="Q499" i="22"/>
  <c r="Q497" i="22" s="1"/>
  <c r="T497" i="22" s="1"/>
  <c r="P499" i="22"/>
  <c r="O499" i="22"/>
  <c r="U498" i="22"/>
  <c r="T498" i="22"/>
  <c r="P498" i="22"/>
  <c r="O498" i="22"/>
  <c r="N497" i="22"/>
  <c r="M497" i="22"/>
  <c r="P497" i="22" s="1"/>
  <c r="L497" i="22"/>
  <c r="O497" i="22" s="1"/>
  <c r="O496" i="22"/>
  <c r="N496" i="22"/>
  <c r="M496" i="22"/>
  <c r="P496" i="22" s="1"/>
  <c r="L496" i="22"/>
  <c r="S495" i="22"/>
  <c r="R495" i="22"/>
  <c r="U495" i="22" s="1"/>
  <c r="Q495" i="22"/>
  <c r="T495" i="22" s="1"/>
  <c r="N495" i="22"/>
  <c r="M495" i="22"/>
  <c r="P495" i="22" s="1"/>
  <c r="L495" i="22"/>
  <c r="O495" i="22" s="1"/>
  <c r="L494" i="22"/>
  <c r="O494" i="22" s="1"/>
  <c r="J486" i="22"/>
  <c r="I486" i="22"/>
  <c r="K486" i="22" s="1"/>
  <c r="J485" i="22"/>
  <c r="I485" i="22"/>
  <c r="K485" i="22" s="1"/>
  <c r="J484" i="22"/>
  <c r="J483" i="22"/>
  <c r="K478" i="22"/>
  <c r="J478" i="22"/>
  <c r="K477" i="22"/>
  <c r="J477" i="22"/>
  <c r="K476" i="22"/>
  <c r="J476" i="22"/>
  <c r="J469" i="22"/>
  <c r="J468" i="22"/>
  <c r="J461" i="22"/>
  <c r="J460" i="22"/>
  <c r="I459" i="22"/>
  <c r="K459" i="22" s="1"/>
  <c r="I458" i="22"/>
  <c r="I457" i="22" s="1"/>
  <c r="K457" i="22" s="1"/>
  <c r="J448" i="22"/>
  <c r="J442" i="22" s="1"/>
  <c r="J447" i="22"/>
  <c r="J441" i="22" s="1"/>
  <c r="J424" i="22" s="1"/>
  <c r="J413" i="22" s="1"/>
  <c r="I442" i="22"/>
  <c r="K442" i="22" s="1"/>
  <c r="I441" i="22"/>
  <c r="K441" i="22" s="1"/>
  <c r="J434" i="22"/>
  <c r="I434" i="22"/>
  <c r="K434" i="22" s="1"/>
  <c r="J433" i="22"/>
  <c r="I433" i="22"/>
  <c r="K433" i="22" s="1"/>
  <c r="J426" i="22"/>
  <c r="I426" i="22"/>
  <c r="K426" i="22" s="1"/>
  <c r="J425" i="22"/>
  <c r="I425" i="22"/>
  <c r="K425" i="22" s="1"/>
  <c r="U422" i="22"/>
  <c r="T422" i="22"/>
  <c r="P422" i="22"/>
  <c r="O422" i="22"/>
  <c r="U421" i="22"/>
  <c r="T421" i="22"/>
  <c r="P421" i="22"/>
  <c r="O421" i="22"/>
  <c r="S420" i="22"/>
  <c r="R420" i="22"/>
  <c r="U420" i="22" s="1"/>
  <c r="Q420" i="22"/>
  <c r="T420" i="22" s="1"/>
  <c r="N420" i="22"/>
  <c r="M420" i="22"/>
  <c r="P420" i="22" s="1"/>
  <c r="L420" i="22"/>
  <c r="O420" i="22" s="1"/>
  <c r="S419" i="22"/>
  <c r="S417" i="22" s="1"/>
  <c r="R419" i="22"/>
  <c r="R416" i="22" s="1"/>
  <c r="Q419" i="22"/>
  <c r="T419" i="22" s="1"/>
  <c r="P419" i="22"/>
  <c r="O419" i="22"/>
  <c r="U418" i="22"/>
  <c r="T418" i="22"/>
  <c r="P418" i="22"/>
  <c r="O418" i="22"/>
  <c r="O417" i="22"/>
  <c r="N417" i="22"/>
  <c r="M417" i="22"/>
  <c r="P417" i="22" s="1"/>
  <c r="L417" i="22"/>
  <c r="N416" i="22"/>
  <c r="M416" i="22"/>
  <c r="P416" i="22" s="1"/>
  <c r="L416" i="22"/>
  <c r="O416" i="22" s="1"/>
  <c r="U415" i="22"/>
  <c r="S415" i="22"/>
  <c r="R415" i="22"/>
  <c r="Q415" i="22"/>
  <c r="T415" i="22" s="1"/>
  <c r="O415" i="22"/>
  <c r="N415" i="22"/>
  <c r="N414" i="22" s="1"/>
  <c r="M415" i="22"/>
  <c r="L415" i="22"/>
  <c r="U401" i="22"/>
  <c r="T401" i="22"/>
  <c r="P401" i="22"/>
  <c r="O401" i="22"/>
  <c r="U400" i="22"/>
  <c r="T400" i="22"/>
  <c r="P400" i="22"/>
  <c r="O400" i="22"/>
  <c r="U399" i="22"/>
  <c r="T399" i="22"/>
  <c r="S399" i="22"/>
  <c r="R399" i="22"/>
  <c r="Q399" i="22"/>
  <c r="O399" i="22"/>
  <c r="N399" i="22"/>
  <c r="M399" i="22"/>
  <c r="P399" i="22" s="1"/>
  <c r="L399" i="22"/>
  <c r="U398" i="22"/>
  <c r="T398" i="22"/>
  <c r="P398" i="22"/>
  <c r="O398" i="22"/>
  <c r="U397" i="22"/>
  <c r="T397" i="22"/>
  <c r="P397" i="22"/>
  <c r="O397" i="22"/>
  <c r="U396" i="22"/>
  <c r="T396" i="22"/>
  <c r="S396" i="22"/>
  <c r="R396" i="22"/>
  <c r="Q396" i="22"/>
  <c r="O396" i="22"/>
  <c r="N396" i="22"/>
  <c r="M396" i="22"/>
  <c r="P396" i="22" s="1"/>
  <c r="L396" i="22"/>
  <c r="S395" i="22"/>
  <c r="R395" i="22"/>
  <c r="Q395" i="22"/>
  <c r="T395" i="22" s="1"/>
  <c r="N395" i="22"/>
  <c r="M395" i="22"/>
  <c r="P395" i="22" s="1"/>
  <c r="L395" i="22"/>
  <c r="S394" i="22"/>
  <c r="S393" i="22" s="1"/>
  <c r="R394" i="22"/>
  <c r="U394" i="22" s="1"/>
  <c r="Q394" i="22"/>
  <c r="T394" i="22" s="1"/>
  <c r="N394" i="22"/>
  <c r="N393" i="22" s="1"/>
  <c r="M394" i="22"/>
  <c r="L394" i="22"/>
  <c r="O394" i="22" s="1"/>
  <c r="J392" i="22"/>
  <c r="I392" i="22"/>
  <c r="K392" i="22" s="1"/>
  <c r="K389" i="22"/>
  <c r="K388" i="22"/>
  <c r="I387" i="22"/>
  <c r="K387" i="22" s="1"/>
  <c r="I386" i="22"/>
  <c r="K386" i="22" s="1"/>
  <c r="U384" i="22"/>
  <c r="T384" i="22"/>
  <c r="P384" i="22"/>
  <c r="O384" i="22"/>
  <c r="U383" i="22"/>
  <c r="T383" i="22"/>
  <c r="P383" i="22"/>
  <c r="O383" i="22"/>
  <c r="S382" i="22"/>
  <c r="R382" i="22"/>
  <c r="U382" i="22" s="1"/>
  <c r="Q382" i="22"/>
  <c r="T382" i="22" s="1"/>
  <c r="N382" i="22"/>
  <c r="M382" i="22"/>
  <c r="P382" i="22" s="1"/>
  <c r="L382" i="22"/>
  <c r="O382" i="22" s="1"/>
  <c r="S381" i="22"/>
  <c r="S379" i="22" s="1"/>
  <c r="R381" i="22"/>
  <c r="R379" i="22" s="1"/>
  <c r="U379" i="22" s="1"/>
  <c r="P381" i="22"/>
  <c r="O381" i="22"/>
  <c r="U380" i="22"/>
  <c r="T380" i="22"/>
  <c r="P380" i="22"/>
  <c r="O380" i="22"/>
  <c r="N379" i="22"/>
  <c r="M379" i="22"/>
  <c r="P379" i="22" s="1"/>
  <c r="L379" i="22"/>
  <c r="O379" i="22" s="1"/>
  <c r="N378" i="22"/>
  <c r="M378" i="22"/>
  <c r="P378" i="22" s="1"/>
  <c r="L378" i="22"/>
  <c r="S377" i="22"/>
  <c r="R377" i="22"/>
  <c r="U377" i="22" s="1"/>
  <c r="Q377" i="22"/>
  <c r="T377" i="22" s="1"/>
  <c r="N377" i="22"/>
  <c r="N376" i="22" s="1"/>
  <c r="M377" i="22"/>
  <c r="L377" i="22"/>
  <c r="O377" i="22" s="1"/>
  <c r="J375" i="22"/>
  <c r="D374" i="22"/>
  <c r="K373" i="22"/>
  <c r="J373" i="22"/>
  <c r="J372" i="22"/>
  <c r="J366" i="22" s="1"/>
  <c r="I372" i="22"/>
  <c r="K372" i="22" s="1"/>
  <c r="K371" i="22"/>
  <c r="J371" i="22"/>
  <c r="J370" i="22"/>
  <c r="I370" i="22"/>
  <c r="K370" i="22" s="1"/>
  <c r="J369" i="22"/>
  <c r="I369" i="22"/>
  <c r="K369" i="22" s="1"/>
  <c r="K368" i="22"/>
  <c r="J368" i="22"/>
  <c r="U365" i="22"/>
  <c r="T365" i="22"/>
  <c r="N365" i="22"/>
  <c r="M365" i="22"/>
  <c r="M363" i="22" s="1"/>
  <c r="P363" i="22" s="1"/>
  <c r="L365" i="22"/>
  <c r="L363" i="22" s="1"/>
  <c r="O363" i="22" s="1"/>
  <c r="U364" i="22"/>
  <c r="T364" i="22"/>
  <c r="P364" i="22"/>
  <c r="O364" i="22"/>
  <c r="U363" i="22"/>
  <c r="T363" i="22"/>
  <c r="S363" i="22"/>
  <c r="R363" i="22"/>
  <c r="Q363" i="22"/>
  <c r="U362" i="22"/>
  <c r="T362" i="22"/>
  <c r="N362" i="22"/>
  <c r="N360" i="22" s="1"/>
  <c r="M362" i="22"/>
  <c r="L362" i="22"/>
  <c r="U361" i="22"/>
  <c r="T361" i="22"/>
  <c r="P361" i="22"/>
  <c r="O361" i="22"/>
  <c r="U360" i="22"/>
  <c r="S360" i="22"/>
  <c r="R360" i="22"/>
  <c r="Q360" i="22"/>
  <c r="T360" i="22" s="1"/>
  <c r="U359" i="22"/>
  <c r="S359" i="22"/>
  <c r="R359" i="22"/>
  <c r="Q359" i="22"/>
  <c r="T359" i="22" s="1"/>
  <c r="U358" i="22"/>
  <c r="S358" i="22"/>
  <c r="R358" i="22"/>
  <c r="Q358" i="22"/>
  <c r="O358" i="22"/>
  <c r="N358" i="22"/>
  <c r="M358" i="22"/>
  <c r="P358" i="22" s="1"/>
  <c r="L358" i="22"/>
  <c r="S357" i="22"/>
  <c r="R357" i="22"/>
  <c r="U357" i="22" s="1"/>
  <c r="D355" i="22"/>
  <c r="D351" i="22"/>
  <c r="J350" i="22"/>
  <c r="J349" i="22"/>
  <c r="J348" i="22"/>
  <c r="J347" i="22"/>
  <c r="I347" i="22"/>
  <c r="J345" i="22"/>
  <c r="I345" i="22"/>
  <c r="U342" i="22"/>
  <c r="T342" i="22"/>
  <c r="N342" i="22"/>
  <c r="N340" i="22" s="1"/>
  <c r="M342" i="22"/>
  <c r="P342" i="22" s="1"/>
  <c r="L342" i="22"/>
  <c r="L340" i="22" s="1"/>
  <c r="O340" i="22" s="1"/>
  <c r="U341" i="22"/>
  <c r="T341" i="22"/>
  <c r="P341" i="22"/>
  <c r="O341" i="22"/>
  <c r="S340" i="22"/>
  <c r="R340" i="22"/>
  <c r="U340" i="22" s="1"/>
  <c r="Q340" i="22"/>
  <c r="T340" i="22" s="1"/>
  <c r="U339" i="22"/>
  <c r="T339" i="22"/>
  <c r="N339" i="22"/>
  <c r="M339" i="22"/>
  <c r="M337" i="22" s="1"/>
  <c r="L339" i="22"/>
  <c r="L337" i="22" s="1"/>
  <c r="U338" i="22"/>
  <c r="T338" i="22"/>
  <c r="P338" i="22"/>
  <c r="O338" i="22"/>
  <c r="T337" i="22"/>
  <c r="S337" i="22"/>
  <c r="R337" i="22"/>
  <c r="U337" i="22" s="1"/>
  <c r="Q337" i="22"/>
  <c r="S336" i="22"/>
  <c r="S334" i="22" s="1"/>
  <c r="R336" i="22"/>
  <c r="U336" i="22" s="1"/>
  <c r="Q336" i="22"/>
  <c r="T336" i="22" s="1"/>
  <c r="T335" i="22"/>
  <c r="S335" i="22"/>
  <c r="R335" i="22"/>
  <c r="U335" i="22" s="1"/>
  <c r="Q335" i="22"/>
  <c r="P335" i="22"/>
  <c r="N335" i="22"/>
  <c r="M335" i="22"/>
  <c r="L335" i="22"/>
  <c r="O335" i="22" s="1"/>
  <c r="I331" i="22"/>
  <c r="I320" i="22" s="1"/>
  <c r="K320" i="22" s="1"/>
  <c r="U329" i="22"/>
  <c r="T329" i="22"/>
  <c r="N329" i="22"/>
  <c r="N327" i="22" s="1"/>
  <c r="M329" i="22"/>
  <c r="M327" i="22" s="1"/>
  <c r="P327" i="22" s="1"/>
  <c r="L329" i="22"/>
  <c r="U328" i="22"/>
  <c r="T328" i="22"/>
  <c r="P328" i="22"/>
  <c r="O328" i="22"/>
  <c r="T327" i="22"/>
  <c r="S327" i="22"/>
  <c r="R327" i="22"/>
  <c r="U327" i="22" s="1"/>
  <c r="Q327" i="22"/>
  <c r="U326" i="22"/>
  <c r="T326" i="22"/>
  <c r="N326" i="22"/>
  <c r="N324" i="22" s="1"/>
  <c r="M326" i="22"/>
  <c r="M324" i="22" s="1"/>
  <c r="P324" i="22" s="1"/>
  <c r="L326" i="22"/>
  <c r="O326" i="22" s="1"/>
  <c r="U325" i="22"/>
  <c r="T325" i="22"/>
  <c r="P325" i="22"/>
  <c r="O325" i="22"/>
  <c r="T324" i="22"/>
  <c r="S324" i="22"/>
  <c r="R324" i="22"/>
  <c r="U324" i="22" s="1"/>
  <c r="Q324" i="22"/>
  <c r="S323" i="22"/>
  <c r="R323" i="22"/>
  <c r="Q323" i="22"/>
  <c r="T323" i="22" s="1"/>
  <c r="U322" i="22"/>
  <c r="S322" i="22"/>
  <c r="R322" i="22"/>
  <c r="Q322" i="22"/>
  <c r="T322" i="22" s="1"/>
  <c r="O322" i="22"/>
  <c r="N322" i="22"/>
  <c r="M322" i="22"/>
  <c r="P322" i="22" s="1"/>
  <c r="L322" i="22"/>
  <c r="S321" i="22"/>
  <c r="J320" i="22"/>
  <c r="I315" i="22"/>
  <c r="I303" i="22" s="1"/>
  <c r="K303" i="22" s="1"/>
  <c r="U312" i="22"/>
  <c r="T312" i="22"/>
  <c r="N312" i="22"/>
  <c r="N310" i="22" s="1"/>
  <c r="M312" i="22"/>
  <c r="P312" i="22" s="1"/>
  <c r="L312" i="22"/>
  <c r="L310" i="22" s="1"/>
  <c r="O310" i="22" s="1"/>
  <c r="U311" i="22"/>
  <c r="T311" i="22"/>
  <c r="P311" i="22"/>
  <c r="O311" i="22"/>
  <c r="U310" i="22"/>
  <c r="S310" i="22"/>
  <c r="R310" i="22"/>
  <c r="Q310" i="22"/>
  <c r="T310" i="22" s="1"/>
  <c r="S309" i="22"/>
  <c r="S306" i="22" s="1"/>
  <c r="S304" i="22" s="1"/>
  <c r="R309" i="22"/>
  <c r="R307" i="22" s="1"/>
  <c r="U307" i="22" s="1"/>
  <c r="Q309" i="22"/>
  <c r="Q307" i="22" s="1"/>
  <c r="T307" i="22" s="1"/>
  <c r="N309" i="22"/>
  <c r="N307" i="22" s="1"/>
  <c r="M309" i="22"/>
  <c r="P309" i="22" s="1"/>
  <c r="L309" i="22"/>
  <c r="L307" i="22" s="1"/>
  <c r="O307" i="22" s="1"/>
  <c r="U308" i="22"/>
  <c r="T308" i="22"/>
  <c r="P308" i="22"/>
  <c r="O308" i="22"/>
  <c r="S305" i="22"/>
  <c r="R305" i="22"/>
  <c r="Q305" i="22"/>
  <c r="T305" i="22" s="1"/>
  <c r="O305" i="22"/>
  <c r="N305" i="22"/>
  <c r="M305" i="22"/>
  <c r="P305" i="22" s="1"/>
  <c r="L305" i="22"/>
  <c r="J303" i="22"/>
  <c r="I297" i="22"/>
  <c r="K297" i="22" s="1"/>
  <c r="I296" i="22"/>
  <c r="K296" i="22" s="1"/>
  <c r="J294" i="22"/>
  <c r="I294" i="22"/>
  <c r="K294" i="22" s="1"/>
  <c r="I293" i="22"/>
  <c r="I282" i="22" s="1"/>
  <c r="K282" i="22" s="1"/>
  <c r="U291" i="22"/>
  <c r="T291" i="22"/>
  <c r="N291" i="22"/>
  <c r="N289" i="22" s="1"/>
  <c r="M291" i="22"/>
  <c r="M289" i="22" s="1"/>
  <c r="P289" i="22" s="1"/>
  <c r="L291" i="22"/>
  <c r="O291" i="22" s="1"/>
  <c r="U290" i="22"/>
  <c r="T290" i="22"/>
  <c r="P290" i="22"/>
  <c r="O290" i="22"/>
  <c r="T289" i="22"/>
  <c r="S289" i="22"/>
  <c r="R289" i="22"/>
  <c r="U289" i="22" s="1"/>
  <c r="Q289" i="22"/>
  <c r="U288" i="22"/>
  <c r="T288" i="22"/>
  <c r="N288" i="22"/>
  <c r="M288" i="22"/>
  <c r="P288" i="22" s="1"/>
  <c r="L288" i="22"/>
  <c r="L286" i="22" s="1"/>
  <c r="O286" i="22" s="1"/>
  <c r="U287" i="22"/>
  <c r="T287" i="22"/>
  <c r="P287" i="22"/>
  <c r="O287" i="22"/>
  <c r="U286" i="22"/>
  <c r="S286" i="22"/>
  <c r="R286" i="22"/>
  <c r="Q286" i="22"/>
  <c r="T286" i="22" s="1"/>
  <c r="T285" i="22"/>
  <c r="S285" i="22"/>
  <c r="R285" i="22"/>
  <c r="U285" i="22" s="1"/>
  <c r="Q285" i="22"/>
  <c r="S284" i="22"/>
  <c r="R284" i="22"/>
  <c r="Q284" i="22"/>
  <c r="T284" i="22" s="1"/>
  <c r="P284" i="22"/>
  <c r="N284" i="22"/>
  <c r="M284" i="22"/>
  <c r="L284" i="22"/>
  <c r="S283" i="22"/>
  <c r="Q283" i="22"/>
  <c r="T283" i="22" s="1"/>
  <c r="J282" i="22"/>
  <c r="J281" i="22"/>
  <c r="I277" i="22"/>
  <c r="K277" i="22" s="1"/>
  <c r="U275" i="22"/>
  <c r="T275" i="22"/>
  <c r="N275" i="22"/>
  <c r="N273" i="22" s="1"/>
  <c r="M275" i="22"/>
  <c r="P275" i="22" s="1"/>
  <c r="L275" i="22"/>
  <c r="O275" i="22" s="1"/>
  <c r="U274" i="22"/>
  <c r="T274" i="22"/>
  <c r="P274" i="22"/>
  <c r="O274" i="22"/>
  <c r="U273" i="22"/>
  <c r="S273" i="22"/>
  <c r="R273" i="22"/>
  <c r="Q273" i="22"/>
  <c r="T273" i="22" s="1"/>
  <c r="S272" i="22"/>
  <c r="S269" i="22" s="1"/>
  <c r="S267" i="22" s="1"/>
  <c r="R272" i="22"/>
  <c r="R269" i="22" s="1"/>
  <c r="Q272" i="22"/>
  <c r="Q269" i="22" s="1"/>
  <c r="N272" i="22"/>
  <c r="N270" i="22" s="1"/>
  <c r="M272" i="22"/>
  <c r="M270" i="22" s="1"/>
  <c r="L272" i="22"/>
  <c r="L270" i="22" s="1"/>
  <c r="O270" i="22" s="1"/>
  <c r="U271" i="22"/>
  <c r="T271" i="22"/>
  <c r="P271" i="22"/>
  <c r="O271" i="22"/>
  <c r="U268" i="22"/>
  <c r="S268" i="22"/>
  <c r="R268" i="22"/>
  <c r="Q268" i="22"/>
  <c r="T268" i="22" s="1"/>
  <c r="O268" i="22"/>
  <c r="N268" i="22"/>
  <c r="M268" i="22"/>
  <c r="P268" i="22" s="1"/>
  <c r="L268" i="22"/>
  <c r="J266" i="22"/>
  <c r="K264" i="22"/>
  <c r="K263" i="22"/>
  <c r="I261" i="22"/>
  <c r="K261" i="22" s="1"/>
  <c r="L259" i="22"/>
  <c r="L258" i="22"/>
  <c r="L257" i="22"/>
  <c r="L256" i="22"/>
  <c r="P255" i="22"/>
  <c r="N255" i="22"/>
  <c r="J254" i="22"/>
  <c r="K253" i="22"/>
  <c r="K252" i="22"/>
  <c r="I250" i="22"/>
  <c r="K250" i="22" s="1"/>
  <c r="L248" i="22"/>
  <c r="L247" i="22"/>
  <c r="L246" i="22"/>
  <c r="L245" i="22"/>
  <c r="P244" i="22"/>
  <c r="N244" i="22"/>
  <c r="N233" i="22" s="1"/>
  <c r="J243" i="22"/>
  <c r="J232" i="22" s="1"/>
  <c r="J186" i="22" s="1"/>
  <c r="J242" i="22"/>
  <c r="I242" i="22"/>
  <c r="K242" i="22" s="1"/>
  <c r="J241" i="22"/>
  <c r="I241" i="22"/>
  <c r="K241" i="22" s="1"/>
  <c r="J239" i="22"/>
  <c r="N237" i="22"/>
  <c r="N236" i="22"/>
  <c r="N235" i="22"/>
  <c r="N234" i="22"/>
  <c r="I231" i="22"/>
  <c r="K231" i="22" s="1"/>
  <c r="I230" i="22"/>
  <c r="K230" i="22" s="1"/>
  <c r="I229" i="22"/>
  <c r="K229" i="22" s="1"/>
  <c r="L226" i="22"/>
  <c r="L225" i="22"/>
  <c r="L224" i="22"/>
  <c r="P223" i="22"/>
  <c r="N223" i="22"/>
  <c r="J222" i="22"/>
  <c r="I221" i="22"/>
  <c r="K221" i="22" s="1"/>
  <c r="I220" i="22"/>
  <c r="K220" i="22" s="1"/>
  <c r="L218" i="22"/>
  <c r="L217" i="22"/>
  <c r="L216" i="22"/>
  <c r="P215" i="22"/>
  <c r="N215" i="22"/>
  <c r="J214" i="22"/>
  <c r="I213" i="22"/>
  <c r="K213" i="22" s="1"/>
  <c r="I212" i="22"/>
  <c r="K212" i="22" s="1"/>
  <c r="I210" i="22"/>
  <c r="K210" i="22" s="1"/>
  <c r="L208" i="22"/>
  <c r="L207" i="22"/>
  <c r="L206" i="22"/>
  <c r="L205" i="22"/>
  <c r="P204" i="22"/>
  <c r="N204" i="22"/>
  <c r="J203" i="22"/>
  <c r="J200" i="22"/>
  <c r="I199" i="22"/>
  <c r="K199" i="22" s="1"/>
  <c r="P197" i="22"/>
  <c r="L197" i="22"/>
  <c r="O197" i="22" s="1"/>
  <c r="J196" i="22"/>
  <c r="U195" i="22"/>
  <c r="T195" i="22"/>
  <c r="N195" i="22"/>
  <c r="N193" i="22" s="1"/>
  <c r="M195" i="22"/>
  <c r="P195" i="22" s="1"/>
  <c r="L195" i="22"/>
  <c r="O195" i="22" s="1"/>
  <c r="U194" i="22"/>
  <c r="T194" i="22"/>
  <c r="P194" i="22"/>
  <c r="O194" i="22"/>
  <c r="U193" i="22"/>
  <c r="S193" i="22"/>
  <c r="R193" i="22"/>
  <c r="Q193" i="22"/>
  <c r="T193" i="22" s="1"/>
  <c r="S192" i="22"/>
  <c r="S190" i="22" s="1"/>
  <c r="R192" i="22"/>
  <c r="U192" i="22" s="1"/>
  <c r="Q192" i="22"/>
  <c r="Q189" i="22" s="1"/>
  <c r="T189" i="22" s="1"/>
  <c r="N192" i="22"/>
  <c r="M192" i="22"/>
  <c r="L192" i="22"/>
  <c r="L190" i="22" s="1"/>
  <c r="U191" i="22"/>
  <c r="T191" i="22"/>
  <c r="P191" i="22"/>
  <c r="O191" i="22"/>
  <c r="U188" i="22"/>
  <c r="S188" i="22"/>
  <c r="R188" i="22"/>
  <c r="Q188" i="22"/>
  <c r="T188" i="22" s="1"/>
  <c r="O188" i="22"/>
  <c r="N188" i="22"/>
  <c r="M188" i="22"/>
  <c r="P188" i="22" s="1"/>
  <c r="L188" i="22"/>
  <c r="K185" i="22"/>
  <c r="I184" i="22"/>
  <c r="I173" i="22" s="1"/>
  <c r="K173" i="22" s="1"/>
  <c r="U182" i="22"/>
  <c r="T182" i="22"/>
  <c r="N182" i="22"/>
  <c r="N180" i="22" s="1"/>
  <c r="M182" i="22"/>
  <c r="P182" i="22" s="1"/>
  <c r="L182" i="22"/>
  <c r="O182" i="22" s="1"/>
  <c r="U181" i="22"/>
  <c r="T181" i="22"/>
  <c r="P181" i="22"/>
  <c r="O181" i="22"/>
  <c r="T180" i="22"/>
  <c r="S180" i="22"/>
  <c r="R180" i="22"/>
  <c r="U180" i="22" s="1"/>
  <c r="Q180" i="22"/>
  <c r="S179" i="22"/>
  <c r="S176" i="22" s="1"/>
  <c r="S174" i="22" s="1"/>
  <c r="R179" i="22"/>
  <c r="U179" i="22" s="1"/>
  <c r="Q179" i="22"/>
  <c r="Q177" i="22" s="1"/>
  <c r="T177" i="22" s="1"/>
  <c r="N179" i="22"/>
  <c r="M179" i="22"/>
  <c r="M177" i="22" s="1"/>
  <c r="L179" i="22"/>
  <c r="L177" i="22" s="1"/>
  <c r="U178" i="22"/>
  <c r="T178" i="22"/>
  <c r="P178" i="22"/>
  <c r="O178" i="22"/>
  <c r="T175" i="22"/>
  <c r="S175" i="22"/>
  <c r="R175" i="22"/>
  <c r="Q175" i="22"/>
  <c r="P175" i="22"/>
  <c r="N175" i="22"/>
  <c r="M175" i="22"/>
  <c r="L175" i="22"/>
  <c r="J173" i="22"/>
  <c r="I170" i="22"/>
  <c r="I157" i="22" s="1"/>
  <c r="K157" i="22" s="1"/>
  <c r="I169" i="22"/>
  <c r="K169" i="22" s="1"/>
  <c r="I168" i="22"/>
  <c r="K168" i="22" s="1"/>
  <c r="U166" i="22"/>
  <c r="T166" i="22"/>
  <c r="N166" i="22"/>
  <c r="N164" i="22" s="1"/>
  <c r="M166" i="22"/>
  <c r="P166" i="22" s="1"/>
  <c r="L166" i="22"/>
  <c r="O166" i="22" s="1"/>
  <c r="U165" i="22"/>
  <c r="T165" i="22"/>
  <c r="P165" i="22"/>
  <c r="O165" i="22"/>
  <c r="S164" i="22"/>
  <c r="R164" i="22"/>
  <c r="U164" i="22" s="1"/>
  <c r="Q164" i="22"/>
  <c r="T164" i="22" s="1"/>
  <c r="S163" i="22"/>
  <c r="S161" i="22" s="1"/>
  <c r="R163" i="22"/>
  <c r="U163" i="22" s="1"/>
  <c r="Q161" i="22"/>
  <c r="T161" i="22" s="1"/>
  <c r="N163" i="22"/>
  <c r="N161" i="22" s="1"/>
  <c r="M163" i="22"/>
  <c r="M161" i="22" s="1"/>
  <c r="P161" i="22" s="1"/>
  <c r="L163" i="22"/>
  <c r="O163" i="22" s="1"/>
  <c r="U162" i="22"/>
  <c r="T162" i="22"/>
  <c r="P162" i="22"/>
  <c r="O162" i="22"/>
  <c r="S159" i="22"/>
  <c r="R159" i="22"/>
  <c r="Q159" i="22"/>
  <c r="T159" i="22" s="1"/>
  <c r="N159" i="22"/>
  <c r="M159" i="22"/>
  <c r="P159" i="22" s="1"/>
  <c r="L159" i="22"/>
  <c r="J157" i="22"/>
  <c r="I155" i="22"/>
  <c r="K155" i="22" s="1"/>
  <c r="I154" i="22"/>
  <c r="K154" i="22" s="1"/>
  <c r="I153" i="22"/>
  <c r="K153" i="22" s="1"/>
  <c r="I152" i="22"/>
  <c r="K152" i="22" s="1"/>
  <c r="I151" i="22"/>
  <c r="K151" i="22" s="1"/>
  <c r="U148" i="22"/>
  <c r="T148" i="22"/>
  <c r="N148" i="22"/>
  <c r="N146" i="22" s="1"/>
  <c r="M148" i="22"/>
  <c r="L148" i="22"/>
  <c r="U147" i="22"/>
  <c r="T147" i="22"/>
  <c r="P147" i="22"/>
  <c r="O147" i="22"/>
  <c r="S146" i="22"/>
  <c r="R146" i="22"/>
  <c r="U146" i="22" s="1"/>
  <c r="Q146" i="22"/>
  <c r="T146" i="22" s="1"/>
  <c r="S145" i="22"/>
  <c r="S142" i="22" s="1"/>
  <c r="R145" i="22"/>
  <c r="R142" i="22" s="1"/>
  <c r="U142" i="22" s="1"/>
  <c r="Q145" i="22"/>
  <c r="T145" i="22" s="1"/>
  <c r="N145" i="22"/>
  <c r="N143" i="22" s="1"/>
  <c r="M145" i="22"/>
  <c r="P145" i="22" s="1"/>
  <c r="L145" i="22"/>
  <c r="U144" i="22"/>
  <c r="T144" i="22"/>
  <c r="P144" i="22"/>
  <c r="O144" i="22"/>
  <c r="S141" i="22"/>
  <c r="R141" i="22"/>
  <c r="U141" i="22" s="1"/>
  <c r="Q141" i="22"/>
  <c r="T141" i="22" s="1"/>
  <c r="N141" i="22"/>
  <c r="M141" i="22"/>
  <c r="P141" i="22" s="1"/>
  <c r="L141" i="22"/>
  <c r="O141" i="22" s="1"/>
  <c r="J139" i="22"/>
  <c r="J138" i="22"/>
  <c r="J137" i="22"/>
  <c r="I131" i="22"/>
  <c r="K131" i="22" s="1"/>
  <c r="I130" i="22"/>
  <c r="K130" i="22" s="1"/>
  <c r="I129" i="22"/>
  <c r="K129" i="22" s="1"/>
  <c r="I128" i="22"/>
  <c r="K128" i="22" s="1"/>
  <c r="U126" i="22"/>
  <c r="T126" i="22"/>
  <c r="N126" i="22"/>
  <c r="N124" i="22" s="1"/>
  <c r="M126" i="22"/>
  <c r="M124" i="22" s="1"/>
  <c r="P124" i="22" s="1"/>
  <c r="L126" i="22"/>
  <c r="O126" i="22" s="1"/>
  <c r="U125" i="22"/>
  <c r="T125" i="22"/>
  <c r="P125" i="22"/>
  <c r="O125" i="22"/>
  <c r="S124" i="22"/>
  <c r="R124" i="22"/>
  <c r="U124" i="22" s="1"/>
  <c r="Q124" i="22"/>
  <c r="T124" i="22" s="1"/>
  <c r="S123" i="22"/>
  <c r="S121" i="22" s="1"/>
  <c r="R123" i="22"/>
  <c r="U123" i="22" s="1"/>
  <c r="Q123" i="22"/>
  <c r="Q121" i="22" s="1"/>
  <c r="T121" i="22" s="1"/>
  <c r="N123" i="22"/>
  <c r="N121" i="22" s="1"/>
  <c r="M123" i="22"/>
  <c r="P123" i="22" s="1"/>
  <c r="L123" i="22"/>
  <c r="O123" i="22" s="1"/>
  <c r="U122" i="22"/>
  <c r="T122" i="22"/>
  <c r="P122" i="22"/>
  <c r="O122" i="22"/>
  <c r="S119" i="22"/>
  <c r="R119" i="22"/>
  <c r="U119" i="22" s="1"/>
  <c r="Q119" i="22"/>
  <c r="T119" i="22" s="1"/>
  <c r="P119" i="22"/>
  <c r="N119" i="22"/>
  <c r="M119" i="22"/>
  <c r="L119" i="22"/>
  <c r="O119" i="22" s="1"/>
  <c r="J117" i="22"/>
  <c r="I115" i="22"/>
  <c r="K115" i="22" s="1"/>
  <c r="I110" i="22"/>
  <c r="K110" i="22" s="1"/>
  <c r="I109" i="22"/>
  <c r="K109" i="22" s="1"/>
  <c r="U103" i="22"/>
  <c r="T103" i="22"/>
  <c r="N103" i="22"/>
  <c r="N101" i="22" s="1"/>
  <c r="M103" i="22"/>
  <c r="P103" i="22" s="1"/>
  <c r="L103" i="22"/>
  <c r="O103" i="22" s="1"/>
  <c r="U102" i="22"/>
  <c r="T102" i="22"/>
  <c r="P102" i="22"/>
  <c r="O102" i="22"/>
  <c r="T101" i="22"/>
  <c r="S101" i="22"/>
  <c r="R101" i="22"/>
  <c r="U101" i="22" s="1"/>
  <c r="Q101" i="22"/>
  <c r="S100" i="22"/>
  <c r="S97" i="22" s="1"/>
  <c r="R100" i="22"/>
  <c r="U100" i="22" s="1"/>
  <c r="Q98" i="22"/>
  <c r="T98" i="22" s="1"/>
  <c r="N100" i="22"/>
  <c r="N98" i="22" s="1"/>
  <c r="M100" i="22"/>
  <c r="P100" i="22" s="1"/>
  <c r="L100" i="22"/>
  <c r="O100" i="22" s="1"/>
  <c r="U99" i="22"/>
  <c r="T99" i="22"/>
  <c r="P99" i="22"/>
  <c r="O99" i="22"/>
  <c r="S96" i="22"/>
  <c r="R96" i="22"/>
  <c r="U96" i="22" s="1"/>
  <c r="Q96" i="22"/>
  <c r="T96" i="22" s="1"/>
  <c r="O96" i="22"/>
  <c r="N96" i="22"/>
  <c r="M96" i="22"/>
  <c r="P96" i="22" s="1"/>
  <c r="L96" i="22"/>
  <c r="J94" i="22"/>
  <c r="J93" i="22"/>
  <c r="I91" i="22"/>
  <c r="K91" i="22" s="1"/>
  <c r="I90" i="22"/>
  <c r="K90" i="22" s="1"/>
  <c r="I89" i="22"/>
  <c r="I88" i="22"/>
  <c r="K88" i="22" s="1"/>
  <c r="I87" i="22"/>
  <c r="K87" i="22" s="1"/>
  <c r="I86" i="22"/>
  <c r="I85" i="22"/>
  <c r="K85" i="22" s="1"/>
  <c r="J84" i="22"/>
  <c r="J72" i="22" s="1"/>
  <c r="J83" i="22"/>
  <c r="U81" i="22"/>
  <c r="T81" i="22"/>
  <c r="N81" i="22"/>
  <c r="N79" i="22" s="1"/>
  <c r="M81" i="22"/>
  <c r="M79" i="22" s="1"/>
  <c r="P79" i="22" s="1"/>
  <c r="L81" i="22"/>
  <c r="O81" i="22" s="1"/>
  <c r="U80" i="22"/>
  <c r="T80" i="22"/>
  <c r="P80" i="22"/>
  <c r="O80" i="22"/>
  <c r="S79" i="22"/>
  <c r="R79" i="22"/>
  <c r="U79" i="22" s="1"/>
  <c r="Q79" i="22"/>
  <c r="T79" i="22" s="1"/>
  <c r="S78" i="22"/>
  <c r="R78" i="22"/>
  <c r="Q75" i="22"/>
  <c r="T75" i="22" s="1"/>
  <c r="N78" i="22"/>
  <c r="N76" i="22" s="1"/>
  <c r="M78" i="22"/>
  <c r="M76" i="22" s="1"/>
  <c r="P76" i="22" s="1"/>
  <c r="L78" i="22"/>
  <c r="O78" i="22" s="1"/>
  <c r="U77" i="22"/>
  <c r="T77" i="22"/>
  <c r="P77" i="22"/>
  <c r="O77" i="22"/>
  <c r="S74" i="22"/>
  <c r="R74" i="22"/>
  <c r="U74" i="22" s="1"/>
  <c r="Q74" i="22"/>
  <c r="T74" i="22" s="1"/>
  <c r="N74" i="22"/>
  <c r="M74" i="22"/>
  <c r="P74" i="22" s="1"/>
  <c r="L74" i="22"/>
  <c r="O74" i="22" s="1"/>
  <c r="J71" i="22"/>
  <c r="U68" i="22"/>
  <c r="T68" i="22"/>
  <c r="N68" i="22"/>
  <c r="M68" i="22"/>
  <c r="M66" i="22" s="1"/>
  <c r="P66" i="22" s="1"/>
  <c r="L68" i="22"/>
  <c r="O68" i="22" s="1"/>
  <c r="U67" i="22"/>
  <c r="T67" i="22"/>
  <c r="P67" i="22"/>
  <c r="O67" i="22"/>
  <c r="S66" i="22"/>
  <c r="R66" i="22"/>
  <c r="U66" i="22" s="1"/>
  <c r="Q66" i="22"/>
  <c r="T66" i="22" s="1"/>
  <c r="U65" i="22"/>
  <c r="T65" i="22"/>
  <c r="N65" i="22"/>
  <c r="N63" i="22" s="1"/>
  <c r="M65" i="22"/>
  <c r="L65" i="22"/>
  <c r="L63" i="22" s="1"/>
  <c r="U64" i="22"/>
  <c r="T64" i="22"/>
  <c r="P64" i="22"/>
  <c r="O64" i="22"/>
  <c r="T63" i="22"/>
  <c r="S63" i="22"/>
  <c r="R63" i="22"/>
  <c r="U63" i="22" s="1"/>
  <c r="Q63" i="22"/>
  <c r="S62" i="22"/>
  <c r="R62" i="22"/>
  <c r="U62" i="22" s="1"/>
  <c r="Q62" i="22"/>
  <c r="T62" i="22" s="1"/>
  <c r="U61" i="22"/>
  <c r="S61" i="22"/>
  <c r="S60" i="22" s="1"/>
  <c r="R61" i="22"/>
  <c r="Q61" i="22"/>
  <c r="T61" i="22" s="1"/>
  <c r="O61" i="22"/>
  <c r="N61" i="22"/>
  <c r="M61" i="22"/>
  <c r="P61" i="22" s="1"/>
  <c r="L61" i="22"/>
  <c r="U53" i="22"/>
  <c r="T53" i="22"/>
  <c r="N53" i="22"/>
  <c r="M53" i="22"/>
  <c r="L53" i="22"/>
  <c r="O53" i="22" s="1"/>
  <c r="U52" i="22"/>
  <c r="T52" i="22"/>
  <c r="P52" i="22"/>
  <c r="O52" i="22"/>
  <c r="U51" i="22"/>
  <c r="S51" i="22"/>
  <c r="R51" i="22"/>
  <c r="Q51" i="22"/>
  <c r="T51" i="22" s="1"/>
  <c r="U50" i="22"/>
  <c r="T50" i="22"/>
  <c r="N50" i="22"/>
  <c r="N48" i="22" s="1"/>
  <c r="M50" i="22"/>
  <c r="L50" i="22"/>
  <c r="L48" i="22" s="1"/>
  <c r="U49" i="22"/>
  <c r="T49" i="22"/>
  <c r="P49" i="22"/>
  <c r="O49" i="22"/>
  <c r="U48" i="22"/>
  <c r="S48" i="22"/>
  <c r="R48" i="22"/>
  <c r="Q48" i="22"/>
  <c r="T48" i="22" s="1"/>
  <c r="U47" i="22"/>
  <c r="S47" i="22"/>
  <c r="R47" i="22"/>
  <c r="Q47" i="22"/>
  <c r="T47" i="22" s="1"/>
  <c r="U46" i="22"/>
  <c r="T46" i="22"/>
  <c r="S46" i="22"/>
  <c r="S45" i="22" s="1"/>
  <c r="R46" i="22"/>
  <c r="Q46" i="22"/>
  <c r="Q45" i="22" s="1"/>
  <c r="T45" i="22" s="1"/>
  <c r="P46" i="22"/>
  <c r="O46" i="22"/>
  <c r="N46" i="22"/>
  <c r="M46" i="22"/>
  <c r="L46" i="22"/>
  <c r="R45" i="22"/>
  <c r="U45" i="22" s="1"/>
  <c r="S27" i="22"/>
  <c r="R27" i="22"/>
  <c r="U27" i="22" s="1"/>
  <c r="Q27" i="22"/>
  <c r="T27" i="22" s="1"/>
  <c r="S26" i="22"/>
  <c r="R26" i="22"/>
  <c r="U26" i="22" s="1"/>
  <c r="Q26" i="22"/>
  <c r="T26" i="22" s="1"/>
  <c r="N26" i="22"/>
  <c r="M26" i="22"/>
  <c r="L26" i="22"/>
  <c r="O26" i="22" s="1"/>
  <c r="S23" i="22"/>
  <c r="R23" i="22"/>
  <c r="R20" i="22" s="1"/>
  <c r="Q23" i="22"/>
  <c r="T23" i="22" s="1"/>
  <c r="P23" i="22"/>
  <c r="N23" i="22"/>
  <c r="M23" i="22"/>
  <c r="L23" i="22"/>
  <c r="A788" i="21"/>
  <c r="J785" i="21"/>
  <c r="I785" i="21"/>
  <c r="J784" i="21"/>
  <c r="I784" i="21"/>
  <c r="J783" i="21"/>
  <c r="I783" i="21"/>
  <c r="J782" i="21"/>
  <c r="I782" i="21"/>
  <c r="J781" i="21"/>
  <c r="I781" i="21"/>
  <c r="J780" i="21"/>
  <c r="I780" i="21"/>
  <c r="J779" i="21"/>
  <c r="I779" i="21"/>
  <c r="J778" i="21"/>
  <c r="I778" i="21"/>
  <c r="H777" i="21"/>
  <c r="I776" i="21"/>
  <c r="I775" i="21"/>
  <c r="I774" i="21"/>
  <c r="I759" i="21" s="1"/>
  <c r="K759" i="21" s="1"/>
  <c r="I772" i="21"/>
  <c r="K772" i="21" s="1"/>
  <c r="I770" i="21"/>
  <c r="K770" i="21" s="1"/>
  <c r="U768" i="21"/>
  <c r="T768" i="21"/>
  <c r="P768" i="21"/>
  <c r="O768" i="21"/>
  <c r="U767" i="21"/>
  <c r="T767" i="21"/>
  <c r="P767" i="21"/>
  <c r="O767" i="21"/>
  <c r="T766" i="21"/>
  <c r="S766" i="21"/>
  <c r="R766" i="21"/>
  <c r="U766" i="21" s="1"/>
  <c r="Q766" i="21"/>
  <c r="P766" i="21"/>
  <c r="N766" i="21"/>
  <c r="M766" i="21"/>
  <c r="L766" i="21"/>
  <c r="O766" i="21" s="1"/>
  <c r="S765" i="21"/>
  <c r="S763" i="21" s="1"/>
  <c r="R765" i="21"/>
  <c r="R763" i="21" s="1"/>
  <c r="Q765" i="21"/>
  <c r="Q763" i="21" s="1"/>
  <c r="P765" i="21"/>
  <c r="O765" i="21"/>
  <c r="U764" i="21"/>
  <c r="T764" i="21"/>
  <c r="P764" i="21"/>
  <c r="O764" i="21"/>
  <c r="O763" i="21"/>
  <c r="N763" i="21"/>
  <c r="M763" i="21"/>
  <c r="P763" i="21" s="1"/>
  <c r="L763" i="21"/>
  <c r="O762" i="21"/>
  <c r="N762" i="21"/>
  <c r="M762" i="21"/>
  <c r="P762" i="21" s="1"/>
  <c r="L762" i="21"/>
  <c r="U761" i="21"/>
  <c r="S761" i="21"/>
  <c r="R761" i="21"/>
  <c r="Q761" i="21"/>
  <c r="T761" i="21" s="1"/>
  <c r="O761" i="21"/>
  <c r="N761" i="21"/>
  <c r="N760" i="21" s="1"/>
  <c r="M761" i="21"/>
  <c r="P761" i="21" s="1"/>
  <c r="L761" i="21"/>
  <c r="L760" i="21" s="1"/>
  <c r="O760" i="21" s="1"/>
  <c r="M760" i="21"/>
  <c r="P760" i="21" s="1"/>
  <c r="J759" i="21"/>
  <c r="J758" i="21"/>
  <c r="I756" i="21"/>
  <c r="K756" i="21" s="1"/>
  <c r="I753" i="21"/>
  <c r="K753" i="21" s="1"/>
  <c r="I750" i="21"/>
  <c r="K750" i="21" s="1"/>
  <c r="I747" i="21"/>
  <c r="K747" i="21" s="1"/>
  <c r="I745" i="21"/>
  <c r="K745" i="21" s="1"/>
  <c r="I743" i="21"/>
  <c r="K743" i="21" s="1"/>
  <c r="I741" i="21"/>
  <c r="K741" i="21" s="1"/>
  <c r="U737" i="21"/>
  <c r="T737" i="21"/>
  <c r="P737" i="21"/>
  <c r="O737" i="21"/>
  <c r="U736" i="21"/>
  <c r="T736" i="21"/>
  <c r="P736" i="21"/>
  <c r="O736" i="21"/>
  <c r="U735" i="21"/>
  <c r="S735" i="21"/>
  <c r="R735" i="21"/>
  <c r="Q735" i="21"/>
  <c r="T735" i="21" s="1"/>
  <c r="O735" i="21"/>
  <c r="N735" i="21"/>
  <c r="M735" i="21"/>
  <c r="P735" i="21" s="1"/>
  <c r="L735" i="21"/>
  <c r="S734" i="21"/>
  <c r="S731" i="21" s="1"/>
  <c r="S729" i="21" s="1"/>
  <c r="R734" i="21"/>
  <c r="R731" i="21" s="1"/>
  <c r="Q734" i="21"/>
  <c r="Q732" i="21" s="1"/>
  <c r="P734" i="21"/>
  <c r="O734" i="21"/>
  <c r="U733" i="21"/>
  <c r="T733" i="21"/>
  <c r="P733" i="21"/>
  <c r="O733" i="21"/>
  <c r="P732" i="21"/>
  <c r="N732" i="21"/>
  <c r="M732" i="21"/>
  <c r="L732" i="21"/>
  <c r="O732" i="21" s="1"/>
  <c r="P731" i="21"/>
  <c r="N731" i="21"/>
  <c r="M731" i="21"/>
  <c r="L731" i="21"/>
  <c r="O731" i="21" s="1"/>
  <c r="T730" i="21"/>
  <c r="S730" i="21"/>
  <c r="R730" i="21"/>
  <c r="U730" i="21" s="1"/>
  <c r="Q730" i="21"/>
  <c r="P730" i="21"/>
  <c r="N730" i="21"/>
  <c r="N729" i="21" s="1"/>
  <c r="M730" i="21"/>
  <c r="L730" i="21"/>
  <c r="O730" i="21" s="1"/>
  <c r="P729" i="21"/>
  <c r="M729" i="21"/>
  <c r="L729" i="21"/>
  <c r="O729" i="21" s="1"/>
  <c r="J728" i="21"/>
  <c r="I728" i="21"/>
  <c r="K728" i="21" s="1"/>
  <c r="J727" i="21"/>
  <c r="I727" i="21"/>
  <c r="K727" i="21" s="1"/>
  <c r="U723" i="21"/>
  <c r="T723" i="21"/>
  <c r="P723" i="21"/>
  <c r="O723" i="21"/>
  <c r="U722" i="21"/>
  <c r="T722" i="21"/>
  <c r="P722" i="21"/>
  <c r="O722" i="21"/>
  <c r="T721" i="21"/>
  <c r="S721" i="21"/>
  <c r="R721" i="21"/>
  <c r="U721" i="21" s="1"/>
  <c r="Q721" i="21"/>
  <c r="P721" i="21"/>
  <c r="N721" i="21"/>
  <c r="M721" i="21"/>
  <c r="L721" i="21"/>
  <c r="O721" i="21" s="1"/>
  <c r="U720" i="21"/>
  <c r="T720" i="21"/>
  <c r="P720" i="21"/>
  <c r="O720" i="21"/>
  <c r="U719" i="21"/>
  <c r="T719" i="21"/>
  <c r="P719" i="21"/>
  <c r="O719" i="21"/>
  <c r="T718" i="21"/>
  <c r="S718" i="21"/>
  <c r="R718" i="21"/>
  <c r="U718" i="21" s="1"/>
  <c r="Q718" i="21"/>
  <c r="P718" i="21"/>
  <c r="N718" i="21"/>
  <c r="M718" i="21"/>
  <c r="L718" i="21"/>
  <c r="O718" i="21" s="1"/>
  <c r="T717" i="21"/>
  <c r="S717" i="21"/>
  <c r="R717" i="21"/>
  <c r="U717" i="21" s="1"/>
  <c r="Q717" i="21"/>
  <c r="P717" i="21"/>
  <c r="N717" i="21"/>
  <c r="M717" i="21"/>
  <c r="L717" i="21"/>
  <c r="O717" i="21" s="1"/>
  <c r="T716" i="21"/>
  <c r="S716" i="21"/>
  <c r="R716" i="21"/>
  <c r="U716" i="21" s="1"/>
  <c r="Q716" i="21"/>
  <c r="Q715" i="21" s="1"/>
  <c r="T715" i="21" s="1"/>
  <c r="P716" i="21"/>
  <c r="N716" i="21"/>
  <c r="N715" i="21" s="1"/>
  <c r="M716" i="21"/>
  <c r="L716" i="21"/>
  <c r="O716" i="21" s="1"/>
  <c r="S715" i="21"/>
  <c r="R715" i="21"/>
  <c r="U715" i="21" s="1"/>
  <c r="P715" i="21"/>
  <c r="M715" i="21"/>
  <c r="L715" i="21"/>
  <c r="O715" i="21" s="1"/>
  <c r="K713" i="21"/>
  <c r="J713" i="21"/>
  <c r="K711" i="21"/>
  <c r="J711" i="21"/>
  <c r="J710" i="21"/>
  <c r="I710" i="21"/>
  <c r="K710" i="21" s="1"/>
  <c r="K709" i="21"/>
  <c r="J709" i="21"/>
  <c r="J708" i="21"/>
  <c r="J690" i="21" s="1"/>
  <c r="I708" i="21"/>
  <c r="K707" i="21"/>
  <c r="J707" i="21"/>
  <c r="J706" i="21"/>
  <c r="I706" i="21"/>
  <c r="K706" i="21" s="1"/>
  <c r="K705" i="21"/>
  <c r="J705" i="21"/>
  <c r="J704" i="21"/>
  <c r="I704" i="21"/>
  <c r="K703" i="21"/>
  <c r="I701" i="21"/>
  <c r="K701" i="21" s="1"/>
  <c r="U699" i="21"/>
  <c r="T699" i="21"/>
  <c r="P699" i="21"/>
  <c r="O699" i="21"/>
  <c r="U698" i="21"/>
  <c r="T698" i="21"/>
  <c r="P698" i="21"/>
  <c r="O698" i="21"/>
  <c r="U697" i="21"/>
  <c r="S697" i="21"/>
  <c r="R697" i="21"/>
  <c r="Q697" i="21"/>
  <c r="T697" i="21" s="1"/>
  <c r="O697" i="21"/>
  <c r="N697" i="21"/>
  <c r="M697" i="21"/>
  <c r="P697" i="21" s="1"/>
  <c r="L697" i="21"/>
  <c r="S696" i="21"/>
  <c r="S694" i="21" s="1"/>
  <c r="R696" i="21"/>
  <c r="R694" i="21" s="1"/>
  <c r="Q696" i="21"/>
  <c r="Q694" i="21" s="1"/>
  <c r="P696" i="21"/>
  <c r="O696" i="21"/>
  <c r="U695" i="21"/>
  <c r="T695" i="21"/>
  <c r="P695" i="21"/>
  <c r="O695" i="21"/>
  <c r="P694" i="21"/>
  <c r="N694" i="21"/>
  <c r="M694" i="21"/>
  <c r="L694" i="21"/>
  <c r="O694" i="21" s="1"/>
  <c r="P693" i="21"/>
  <c r="N693" i="21"/>
  <c r="M693" i="21"/>
  <c r="L693" i="21"/>
  <c r="L691" i="21" s="1"/>
  <c r="O691" i="21" s="1"/>
  <c r="T692" i="21"/>
  <c r="S692" i="21"/>
  <c r="R692" i="21"/>
  <c r="U692" i="21" s="1"/>
  <c r="Q692" i="21"/>
  <c r="P692" i="21"/>
  <c r="N692" i="21"/>
  <c r="M692" i="21"/>
  <c r="M691" i="21" s="1"/>
  <c r="P691" i="21" s="1"/>
  <c r="L692" i="21"/>
  <c r="O692" i="21" s="1"/>
  <c r="N691" i="21"/>
  <c r="J683" i="21"/>
  <c r="I683" i="21"/>
  <c r="K683" i="21" s="1"/>
  <c r="J682" i="21"/>
  <c r="I682" i="21"/>
  <c r="K682" i="21" s="1"/>
  <c r="J681" i="21"/>
  <c r="J680" i="21"/>
  <c r="I680" i="21"/>
  <c r="K680" i="21" s="1"/>
  <c r="J679" i="21"/>
  <c r="I679" i="21"/>
  <c r="J678" i="21"/>
  <c r="J677" i="21"/>
  <c r="I677" i="21"/>
  <c r="I676" i="21"/>
  <c r="I675" i="21"/>
  <c r="J674" i="21"/>
  <c r="I674" i="21"/>
  <c r="J673" i="21"/>
  <c r="J672" i="21"/>
  <c r="J662" i="21"/>
  <c r="I662" i="21"/>
  <c r="I661" i="21"/>
  <c r="I658" i="21"/>
  <c r="J655" i="21"/>
  <c r="I655" i="21"/>
  <c r="K655" i="21" s="1"/>
  <c r="J654" i="21"/>
  <c r="I654" i="21"/>
  <c r="K654" i="21" s="1"/>
  <c r="J653" i="21"/>
  <c r="I653" i="21"/>
  <c r="K653" i="21" s="1"/>
  <c r="U651" i="21"/>
  <c r="T651" i="21"/>
  <c r="P651" i="21"/>
  <c r="O651" i="21"/>
  <c r="U650" i="21"/>
  <c r="T650" i="21"/>
  <c r="P650" i="21"/>
  <c r="O650" i="21"/>
  <c r="U649" i="21"/>
  <c r="S649" i="21"/>
  <c r="R649" i="21"/>
  <c r="Q649" i="21"/>
  <c r="T649" i="21" s="1"/>
  <c r="O649" i="21"/>
  <c r="N649" i="21"/>
  <c r="M649" i="21"/>
  <c r="P649" i="21" s="1"/>
  <c r="L649" i="21"/>
  <c r="S648" i="21"/>
  <c r="S646" i="21" s="1"/>
  <c r="R648" i="21"/>
  <c r="R645" i="21" s="1"/>
  <c r="R643" i="21" s="1"/>
  <c r="Q648" i="21"/>
  <c r="Q646" i="21" s="1"/>
  <c r="P648" i="21"/>
  <c r="O648" i="21"/>
  <c r="U647" i="21"/>
  <c r="T647" i="21"/>
  <c r="P647" i="21"/>
  <c r="O647" i="21"/>
  <c r="P646" i="21"/>
  <c r="N646" i="21"/>
  <c r="M646" i="21"/>
  <c r="L646" i="21"/>
  <c r="O646" i="21" s="1"/>
  <c r="P645" i="21"/>
  <c r="N645" i="21"/>
  <c r="M645" i="21"/>
  <c r="L645" i="21"/>
  <c r="L643" i="21" s="1"/>
  <c r="O643" i="21" s="1"/>
  <c r="T644" i="21"/>
  <c r="S644" i="21"/>
  <c r="R644" i="21"/>
  <c r="U644" i="21" s="1"/>
  <c r="Q644" i="21"/>
  <c r="P644" i="21"/>
  <c r="N644" i="21"/>
  <c r="M644" i="21"/>
  <c r="M643" i="21" s="1"/>
  <c r="P643" i="21" s="1"/>
  <c r="L644" i="21"/>
  <c r="O644" i="21" s="1"/>
  <c r="N643" i="21"/>
  <c r="J637" i="21"/>
  <c r="J636" i="21"/>
  <c r="I636" i="21"/>
  <c r="K636" i="21" s="1"/>
  <c r="J633" i="21"/>
  <c r="J627" i="21" s="1"/>
  <c r="J616" i="21" s="1"/>
  <c r="I629" i="21"/>
  <c r="K629" i="21" s="1"/>
  <c r="I628" i="21"/>
  <c r="K628" i="21" s="1"/>
  <c r="I627" i="21"/>
  <c r="K633" i="21" s="1"/>
  <c r="U625" i="21"/>
  <c r="T625" i="21"/>
  <c r="P625" i="21"/>
  <c r="O625" i="21"/>
  <c r="U624" i="21"/>
  <c r="T624" i="21"/>
  <c r="P624" i="21"/>
  <c r="O624" i="21"/>
  <c r="T623" i="21"/>
  <c r="S623" i="21"/>
  <c r="R623" i="21"/>
  <c r="U623" i="21" s="1"/>
  <c r="Q623" i="21"/>
  <c r="P623" i="21"/>
  <c r="N623" i="21"/>
  <c r="M623" i="21"/>
  <c r="L623" i="21"/>
  <c r="O623" i="21" s="1"/>
  <c r="S622" i="21"/>
  <c r="S620" i="21" s="1"/>
  <c r="R622" i="21"/>
  <c r="R620" i="21" s="1"/>
  <c r="Q622" i="21"/>
  <c r="Q620" i="21" s="1"/>
  <c r="P622" i="21"/>
  <c r="O622" i="21"/>
  <c r="U621" i="21"/>
  <c r="T621" i="21"/>
  <c r="P621" i="21"/>
  <c r="O621" i="21"/>
  <c r="O620" i="21"/>
  <c r="N620" i="21"/>
  <c r="M620" i="21"/>
  <c r="P620" i="21" s="1"/>
  <c r="L620" i="21"/>
  <c r="O619" i="21"/>
  <c r="N619" i="21"/>
  <c r="M619" i="21"/>
  <c r="M617" i="21" s="1"/>
  <c r="P617" i="21" s="1"/>
  <c r="L619" i="21"/>
  <c r="U618" i="21"/>
  <c r="S618" i="21"/>
  <c r="R618" i="21"/>
  <c r="Q618" i="21"/>
  <c r="T618" i="21" s="1"/>
  <c r="O618" i="21"/>
  <c r="N618" i="21"/>
  <c r="N617" i="21" s="1"/>
  <c r="M618" i="21"/>
  <c r="P618" i="21" s="1"/>
  <c r="L618" i="21"/>
  <c r="L617" i="21" s="1"/>
  <c r="O617" i="21" s="1"/>
  <c r="I616" i="21"/>
  <c r="K616" i="21" s="1"/>
  <c r="U608" i="21"/>
  <c r="T608" i="21"/>
  <c r="P608" i="21"/>
  <c r="O608" i="21"/>
  <c r="U607" i="21"/>
  <c r="T607" i="21"/>
  <c r="P607" i="21"/>
  <c r="O607" i="21"/>
  <c r="T606" i="21"/>
  <c r="S606" i="21"/>
  <c r="R606" i="21"/>
  <c r="U606" i="21" s="1"/>
  <c r="Q606" i="21"/>
  <c r="P606" i="21"/>
  <c r="N606" i="21"/>
  <c r="M606" i="21"/>
  <c r="L606" i="21"/>
  <c r="O606" i="21" s="1"/>
  <c r="U605" i="21"/>
  <c r="T605" i="21"/>
  <c r="P605" i="21"/>
  <c r="O605" i="21"/>
  <c r="U604" i="21"/>
  <c r="T604" i="21"/>
  <c r="P604" i="21"/>
  <c r="O604" i="21"/>
  <c r="T603" i="21"/>
  <c r="S603" i="21"/>
  <c r="R603" i="21"/>
  <c r="U603" i="21" s="1"/>
  <c r="Q603" i="21"/>
  <c r="P603" i="21"/>
  <c r="N603" i="21"/>
  <c r="M603" i="21"/>
  <c r="L603" i="21"/>
  <c r="O603" i="21" s="1"/>
  <c r="T602" i="21"/>
  <c r="S602" i="21"/>
  <c r="R602" i="21"/>
  <c r="U602" i="21" s="1"/>
  <c r="Q602" i="21"/>
  <c r="P602" i="21"/>
  <c r="N602" i="21"/>
  <c r="M602" i="21"/>
  <c r="L602" i="21"/>
  <c r="O602" i="21" s="1"/>
  <c r="T601" i="21"/>
  <c r="S601" i="21"/>
  <c r="R601" i="21"/>
  <c r="U601" i="21" s="1"/>
  <c r="Q601" i="21"/>
  <c r="Q600" i="21" s="1"/>
  <c r="T600" i="21" s="1"/>
  <c r="P601" i="21"/>
  <c r="N601" i="21"/>
  <c r="N600" i="21" s="1"/>
  <c r="M601" i="21"/>
  <c r="L601" i="21"/>
  <c r="O601" i="21" s="1"/>
  <c r="S600" i="21"/>
  <c r="R600" i="21"/>
  <c r="U600" i="21" s="1"/>
  <c r="P600" i="21"/>
  <c r="M600" i="21"/>
  <c r="L600" i="21"/>
  <c r="O600" i="21" s="1"/>
  <c r="U585" i="21"/>
  <c r="T585" i="21"/>
  <c r="P585" i="21"/>
  <c r="O585" i="21"/>
  <c r="U584" i="21"/>
  <c r="T584" i="21"/>
  <c r="P584" i="21"/>
  <c r="O584" i="21"/>
  <c r="T583" i="21"/>
  <c r="S583" i="21"/>
  <c r="R583" i="21"/>
  <c r="U583" i="21" s="1"/>
  <c r="Q583" i="21"/>
  <c r="P583" i="21"/>
  <c r="N583" i="21"/>
  <c r="M583" i="21"/>
  <c r="L583" i="21"/>
  <c r="O583" i="21" s="1"/>
  <c r="U582" i="21"/>
  <c r="T582" i="21"/>
  <c r="P582" i="21"/>
  <c r="O582" i="21"/>
  <c r="U581" i="21"/>
  <c r="T581" i="21"/>
  <c r="P581" i="21"/>
  <c r="O581" i="21"/>
  <c r="T580" i="21"/>
  <c r="S580" i="21"/>
  <c r="R580" i="21"/>
  <c r="U580" i="21" s="1"/>
  <c r="Q580" i="21"/>
  <c r="P580" i="21"/>
  <c r="N580" i="21"/>
  <c r="M580" i="21"/>
  <c r="L580" i="21"/>
  <c r="O580" i="21" s="1"/>
  <c r="T579" i="21"/>
  <c r="S579" i="21"/>
  <c r="R579" i="21"/>
  <c r="U579" i="21" s="1"/>
  <c r="Q579" i="21"/>
  <c r="P579" i="21"/>
  <c r="N579" i="21"/>
  <c r="M579" i="21"/>
  <c r="L579" i="21"/>
  <c r="O579" i="21" s="1"/>
  <c r="T578" i="21"/>
  <c r="S578" i="21"/>
  <c r="R578" i="21"/>
  <c r="U578" i="21" s="1"/>
  <c r="Q578" i="21"/>
  <c r="Q577" i="21" s="1"/>
  <c r="T577" i="21" s="1"/>
  <c r="P578" i="21"/>
  <c r="N578" i="21"/>
  <c r="N577" i="21" s="1"/>
  <c r="M578" i="21"/>
  <c r="L578" i="21"/>
  <c r="O578" i="21" s="1"/>
  <c r="S577" i="21"/>
  <c r="R577" i="21"/>
  <c r="U577" i="21" s="1"/>
  <c r="P577" i="21"/>
  <c r="M577" i="21"/>
  <c r="L577" i="21"/>
  <c r="O577" i="21" s="1"/>
  <c r="J576" i="21"/>
  <c r="I576" i="21"/>
  <c r="K576" i="21" s="1"/>
  <c r="U564" i="21"/>
  <c r="T564" i="21"/>
  <c r="P564" i="21"/>
  <c r="O564" i="21"/>
  <c r="U563" i="21"/>
  <c r="T563" i="21"/>
  <c r="P563" i="21"/>
  <c r="O563" i="21"/>
  <c r="U562" i="21"/>
  <c r="S562" i="21"/>
  <c r="R562" i="21"/>
  <c r="Q562" i="21"/>
  <c r="T562" i="21" s="1"/>
  <c r="O562" i="21"/>
  <c r="N562" i="21"/>
  <c r="M562" i="21"/>
  <c r="P562" i="21" s="1"/>
  <c r="L562" i="21"/>
  <c r="U561" i="21"/>
  <c r="T561" i="21"/>
  <c r="P561" i="21"/>
  <c r="O561" i="21"/>
  <c r="U560" i="21"/>
  <c r="T560" i="21"/>
  <c r="P560" i="21"/>
  <c r="O560" i="21"/>
  <c r="U559" i="21"/>
  <c r="S559" i="21"/>
  <c r="R559" i="21"/>
  <c r="Q559" i="21"/>
  <c r="T559" i="21" s="1"/>
  <c r="O559" i="21"/>
  <c r="N559" i="21"/>
  <c r="M559" i="21"/>
  <c r="P559" i="21" s="1"/>
  <c r="L559" i="21"/>
  <c r="U558" i="21"/>
  <c r="S558" i="21"/>
  <c r="S556" i="21" s="1"/>
  <c r="R558" i="21"/>
  <c r="Q558" i="21"/>
  <c r="T558" i="21" s="1"/>
  <c r="O558" i="21"/>
  <c r="N558" i="21"/>
  <c r="M558" i="21"/>
  <c r="M556" i="21" s="1"/>
  <c r="P556" i="21" s="1"/>
  <c r="L558" i="21"/>
  <c r="U557" i="21"/>
  <c r="S557" i="21"/>
  <c r="R557" i="21"/>
  <c r="Q557" i="21"/>
  <c r="T557" i="21" s="1"/>
  <c r="O557" i="21"/>
  <c r="N557" i="21"/>
  <c r="N556" i="21" s="1"/>
  <c r="M557" i="21"/>
  <c r="P557" i="21" s="1"/>
  <c r="L557" i="21"/>
  <c r="U556" i="21"/>
  <c r="R556" i="21"/>
  <c r="O556" i="21"/>
  <c r="L556" i="21"/>
  <c r="J555" i="21"/>
  <c r="I555" i="21"/>
  <c r="K555" i="21" s="1"/>
  <c r="U543" i="21"/>
  <c r="T543" i="21"/>
  <c r="P543" i="21"/>
  <c r="O543" i="21"/>
  <c r="U542" i="21"/>
  <c r="T542" i="21"/>
  <c r="P542" i="21"/>
  <c r="O542" i="21"/>
  <c r="T541" i="21"/>
  <c r="S541" i="21"/>
  <c r="R541" i="21"/>
  <c r="U541" i="21" s="1"/>
  <c r="Q541" i="21"/>
  <c r="P541" i="21"/>
  <c r="N541" i="21"/>
  <c r="M541" i="21"/>
  <c r="L541" i="21"/>
  <c r="O541" i="21" s="1"/>
  <c r="U540" i="21"/>
  <c r="T540" i="21"/>
  <c r="P540" i="21"/>
  <c r="O540" i="21"/>
  <c r="U539" i="21"/>
  <c r="T539" i="21"/>
  <c r="P539" i="21"/>
  <c r="O539" i="21"/>
  <c r="T538" i="21"/>
  <c r="S538" i="21"/>
  <c r="R538" i="21"/>
  <c r="U538" i="21" s="1"/>
  <c r="Q538" i="21"/>
  <c r="P538" i="21"/>
  <c r="N538" i="21"/>
  <c r="M538" i="21"/>
  <c r="L538" i="21"/>
  <c r="O538" i="21" s="1"/>
  <c r="T537" i="21"/>
  <c r="S537" i="21"/>
  <c r="S535" i="21" s="1"/>
  <c r="R537" i="21"/>
  <c r="U537" i="21" s="1"/>
  <c r="Q537" i="21"/>
  <c r="P537" i="21"/>
  <c r="N537" i="21"/>
  <c r="M537" i="21"/>
  <c r="M535" i="21" s="1"/>
  <c r="P535" i="21" s="1"/>
  <c r="L537" i="21"/>
  <c r="O537" i="21" s="1"/>
  <c r="T536" i="21"/>
  <c r="S536" i="21"/>
  <c r="R536" i="21"/>
  <c r="U536" i="21" s="1"/>
  <c r="Q536" i="21"/>
  <c r="Q535" i="21" s="1"/>
  <c r="T535" i="21" s="1"/>
  <c r="P536" i="21"/>
  <c r="N536" i="21"/>
  <c r="N535" i="21" s="1"/>
  <c r="M536" i="21"/>
  <c r="L536" i="21"/>
  <c r="O536" i="21" s="1"/>
  <c r="R535" i="21"/>
  <c r="U535" i="21" s="1"/>
  <c r="L535" i="21"/>
  <c r="O535" i="21" s="1"/>
  <c r="J534" i="21"/>
  <c r="I534" i="21"/>
  <c r="K534" i="21" s="1"/>
  <c r="K525" i="21"/>
  <c r="K524" i="21"/>
  <c r="U522" i="21"/>
  <c r="T522" i="21"/>
  <c r="N522" i="21"/>
  <c r="M522" i="21"/>
  <c r="M520" i="21" s="1"/>
  <c r="P520" i="21" s="1"/>
  <c r="L522" i="21"/>
  <c r="U521" i="21"/>
  <c r="T521" i="21"/>
  <c r="P521" i="21"/>
  <c r="O521" i="21"/>
  <c r="T520" i="21"/>
  <c r="S520" i="21"/>
  <c r="R520" i="21"/>
  <c r="U520" i="21" s="1"/>
  <c r="Q520" i="21"/>
  <c r="U519" i="21"/>
  <c r="T519" i="21"/>
  <c r="N519" i="21"/>
  <c r="N517" i="21" s="1"/>
  <c r="M519" i="21"/>
  <c r="P519" i="21" s="1"/>
  <c r="L519" i="21"/>
  <c r="L517" i="21" s="1"/>
  <c r="O517" i="21" s="1"/>
  <c r="U518" i="21"/>
  <c r="T518" i="21"/>
  <c r="P518" i="21"/>
  <c r="O518" i="21"/>
  <c r="U517" i="21"/>
  <c r="S517" i="21"/>
  <c r="R517" i="21"/>
  <c r="Q517" i="21"/>
  <c r="T517" i="21" s="1"/>
  <c r="U516" i="21"/>
  <c r="S516" i="21"/>
  <c r="R516" i="21"/>
  <c r="R514" i="21" s="1"/>
  <c r="U514" i="21" s="1"/>
  <c r="Q516" i="21"/>
  <c r="T516" i="21" s="1"/>
  <c r="U515" i="21"/>
  <c r="S515" i="21"/>
  <c r="S514" i="21" s="1"/>
  <c r="R515" i="21"/>
  <c r="Q515" i="21"/>
  <c r="T515" i="21" s="1"/>
  <c r="O515" i="21"/>
  <c r="N515" i="21"/>
  <c r="M515" i="21"/>
  <c r="L515" i="21"/>
  <c r="Q514" i="21"/>
  <c r="T514" i="21" s="1"/>
  <c r="K513" i="21"/>
  <c r="J513" i="21"/>
  <c r="I513" i="21"/>
  <c r="I510" i="21"/>
  <c r="K510" i="21" s="1"/>
  <c r="K509" i="21"/>
  <c r="I508" i="21"/>
  <c r="K508" i="21" s="1"/>
  <c r="I507" i="21"/>
  <c r="K507" i="21" s="1"/>
  <c r="I506" i="21"/>
  <c r="K506" i="21" s="1"/>
  <c r="I505" i="21"/>
  <c r="K505" i="21" s="1"/>
  <c r="I504" i="21"/>
  <c r="K504" i="21" s="1"/>
  <c r="U502" i="21"/>
  <c r="T502" i="21"/>
  <c r="P502" i="21"/>
  <c r="O502" i="21"/>
  <c r="U501" i="21"/>
  <c r="T501" i="21"/>
  <c r="P501" i="21"/>
  <c r="O501" i="21"/>
  <c r="T500" i="21"/>
  <c r="S500" i="21"/>
  <c r="R500" i="21"/>
  <c r="U500" i="21" s="1"/>
  <c r="Q500" i="21"/>
  <c r="N500" i="21"/>
  <c r="M500" i="21"/>
  <c r="P500" i="21" s="1"/>
  <c r="L500" i="21"/>
  <c r="O500" i="21" s="1"/>
  <c r="S499" i="21"/>
  <c r="S497" i="21" s="1"/>
  <c r="R499" i="21"/>
  <c r="Q499" i="21"/>
  <c r="Q497" i="21" s="1"/>
  <c r="T497" i="21" s="1"/>
  <c r="P499" i="21"/>
  <c r="O499" i="21"/>
  <c r="U498" i="21"/>
  <c r="T498" i="21"/>
  <c r="P498" i="21"/>
  <c r="O498" i="21"/>
  <c r="O497" i="21"/>
  <c r="N497" i="21"/>
  <c r="M497" i="21"/>
  <c r="P497" i="21" s="1"/>
  <c r="L497" i="21"/>
  <c r="O496" i="21"/>
  <c r="N496" i="21"/>
  <c r="N494" i="21" s="1"/>
  <c r="M496" i="21"/>
  <c r="P496" i="21" s="1"/>
  <c r="L496" i="21"/>
  <c r="S495" i="21"/>
  <c r="R495" i="21"/>
  <c r="U495" i="21" s="1"/>
  <c r="Q495" i="21"/>
  <c r="T495" i="21" s="1"/>
  <c r="O495" i="21"/>
  <c r="N495" i="21"/>
  <c r="M495" i="21"/>
  <c r="P495" i="21" s="1"/>
  <c r="L495" i="21"/>
  <c r="L494" i="21" s="1"/>
  <c r="O494" i="21"/>
  <c r="K486" i="21"/>
  <c r="J486" i="21"/>
  <c r="I486" i="21"/>
  <c r="J485" i="21"/>
  <c r="I485" i="21"/>
  <c r="K485" i="21" s="1"/>
  <c r="J484" i="21"/>
  <c r="J483" i="21"/>
  <c r="K478" i="21"/>
  <c r="J478" i="21"/>
  <c r="K477" i="21"/>
  <c r="J477" i="21"/>
  <c r="K476" i="21"/>
  <c r="J476" i="21"/>
  <c r="J469" i="21"/>
  <c r="J468" i="21"/>
  <c r="J461" i="21"/>
  <c r="J460" i="21"/>
  <c r="J458" i="21" s="1"/>
  <c r="J457" i="21" s="1"/>
  <c r="J459" i="21"/>
  <c r="I459" i="21"/>
  <c r="K459" i="21" s="1"/>
  <c r="I458" i="21"/>
  <c r="I457" i="21" s="1"/>
  <c r="K457" i="21" s="1"/>
  <c r="J448" i="21"/>
  <c r="J447" i="21"/>
  <c r="J441" i="21" s="1"/>
  <c r="J424" i="21" s="1"/>
  <c r="J413" i="21" s="1"/>
  <c r="J442" i="21"/>
  <c r="I442" i="21"/>
  <c r="K442" i="21" s="1"/>
  <c r="I441" i="21"/>
  <c r="K441" i="21" s="1"/>
  <c r="J434" i="21"/>
  <c r="I434" i="21"/>
  <c r="K434" i="21" s="1"/>
  <c r="J433" i="21"/>
  <c r="I433" i="21"/>
  <c r="K433" i="21" s="1"/>
  <c r="J426" i="21"/>
  <c r="I426" i="21"/>
  <c r="K426" i="21" s="1"/>
  <c r="J425" i="21"/>
  <c r="I425" i="21"/>
  <c r="K425" i="21" s="1"/>
  <c r="U422" i="21"/>
  <c r="T422" i="21"/>
  <c r="P422" i="21"/>
  <c r="O422" i="21"/>
  <c r="U421" i="21"/>
  <c r="T421" i="21"/>
  <c r="P421" i="21"/>
  <c r="O421" i="21"/>
  <c r="T420" i="21"/>
  <c r="S420" i="21"/>
  <c r="R420" i="21"/>
  <c r="U420" i="21" s="1"/>
  <c r="Q420" i="21"/>
  <c r="P420" i="21"/>
  <c r="N420" i="21"/>
  <c r="M420" i="21"/>
  <c r="L420" i="21"/>
  <c r="O420" i="21" s="1"/>
  <c r="S419" i="21"/>
  <c r="S417" i="21" s="1"/>
  <c r="R419" i="21"/>
  <c r="Q419" i="21"/>
  <c r="Q417" i="21" s="1"/>
  <c r="T417" i="21" s="1"/>
  <c r="P419" i="21"/>
  <c r="O419" i="21"/>
  <c r="U418" i="21"/>
  <c r="T418" i="21"/>
  <c r="P418" i="21"/>
  <c r="O418" i="21"/>
  <c r="O417" i="21"/>
  <c r="N417" i="21"/>
  <c r="M417" i="21"/>
  <c r="P417" i="21" s="1"/>
  <c r="L417" i="21"/>
  <c r="P416" i="21"/>
  <c r="O416" i="21"/>
  <c r="N416" i="21"/>
  <c r="M416" i="21"/>
  <c r="L416" i="21"/>
  <c r="T415" i="21"/>
  <c r="S415" i="21"/>
  <c r="R415" i="21"/>
  <c r="U415" i="21" s="1"/>
  <c r="Q415" i="21"/>
  <c r="O415" i="21"/>
  <c r="N415" i="21"/>
  <c r="M415" i="21"/>
  <c r="L415" i="21"/>
  <c r="L414" i="21"/>
  <c r="O414" i="21" s="1"/>
  <c r="U401" i="21"/>
  <c r="T401" i="21"/>
  <c r="P401" i="21"/>
  <c r="O401" i="21"/>
  <c r="U400" i="21"/>
  <c r="T400" i="21"/>
  <c r="P400" i="21"/>
  <c r="O400" i="21"/>
  <c r="T399" i="21"/>
  <c r="S399" i="21"/>
  <c r="R399" i="21"/>
  <c r="U399" i="21" s="1"/>
  <c r="Q399" i="21"/>
  <c r="P399" i="21"/>
  <c r="N399" i="21"/>
  <c r="M399" i="21"/>
  <c r="L399" i="21"/>
  <c r="O399" i="21" s="1"/>
  <c r="U398" i="21"/>
  <c r="T398" i="21"/>
  <c r="P398" i="21"/>
  <c r="O398" i="21"/>
  <c r="U397" i="21"/>
  <c r="T397" i="21"/>
  <c r="P397" i="21"/>
  <c r="O397" i="21"/>
  <c r="T396" i="21"/>
  <c r="S396" i="21"/>
  <c r="R396" i="21"/>
  <c r="U396" i="21" s="1"/>
  <c r="Q396" i="21"/>
  <c r="P396" i="21"/>
  <c r="N396" i="21"/>
  <c r="M396" i="21"/>
  <c r="L396" i="21"/>
  <c r="O396" i="21" s="1"/>
  <c r="S395" i="21"/>
  <c r="S393" i="21" s="1"/>
  <c r="R395" i="21"/>
  <c r="U395" i="21" s="1"/>
  <c r="Q395" i="21"/>
  <c r="T395" i="21" s="1"/>
  <c r="N395" i="21"/>
  <c r="M395" i="21"/>
  <c r="P395" i="21" s="1"/>
  <c r="L395" i="21"/>
  <c r="O395" i="21" s="1"/>
  <c r="T394" i="21"/>
  <c r="S394" i="21"/>
  <c r="R394" i="21"/>
  <c r="Q394" i="21"/>
  <c r="P394" i="21"/>
  <c r="N394" i="21"/>
  <c r="N393" i="21" s="1"/>
  <c r="M394" i="21"/>
  <c r="L394" i="21"/>
  <c r="M393" i="21"/>
  <c r="P393" i="21" s="1"/>
  <c r="J392" i="21"/>
  <c r="I392" i="21"/>
  <c r="K392" i="21" s="1"/>
  <c r="J389" i="21"/>
  <c r="I389" i="21"/>
  <c r="K389" i="21" s="1"/>
  <c r="K388" i="21"/>
  <c r="J388" i="21"/>
  <c r="J387" i="21"/>
  <c r="I387" i="21"/>
  <c r="K386" i="21"/>
  <c r="J386" i="21"/>
  <c r="U384" i="21"/>
  <c r="T384" i="21"/>
  <c r="P384" i="21"/>
  <c r="O384" i="21"/>
  <c r="U383" i="21"/>
  <c r="T383" i="21"/>
  <c r="P383" i="21"/>
  <c r="O383" i="21"/>
  <c r="U382" i="21"/>
  <c r="S382" i="21"/>
  <c r="R382" i="21"/>
  <c r="Q382" i="21"/>
  <c r="T382" i="21" s="1"/>
  <c r="O382" i="21"/>
  <c r="N382" i="21"/>
  <c r="M382" i="21"/>
  <c r="P382" i="21" s="1"/>
  <c r="L382" i="21"/>
  <c r="S381" i="21"/>
  <c r="S379" i="21" s="1"/>
  <c r="R381" i="21"/>
  <c r="R379" i="21" s="1"/>
  <c r="U379" i="21" s="1"/>
  <c r="Q381" i="21"/>
  <c r="P381" i="21"/>
  <c r="O381" i="21"/>
  <c r="U380" i="21"/>
  <c r="T380" i="21"/>
  <c r="P380" i="21"/>
  <c r="O380" i="21"/>
  <c r="P379" i="21"/>
  <c r="N379" i="21"/>
  <c r="M379" i="21"/>
  <c r="L379" i="21"/>
  <c r="O379" i="21" s="1"/>
  <c r="N378" i="21"/>
  <c r="N376" i="21" s="1"/>
  <c r="M378" i="21"/>
  <c r="P378" i="21" s="1"/>
  <c r="L378" i="21"/>
  <c r="O378" i="21" s="1"/>
  <c r="S377" i="21"/>
  <c r="R377" i="21"/>
  <c r="U377" i="21" s="1"/>
  <c r="Q377" i="21"/>
  <c r="P377" i="21"/>
  <c r="N377" i="21"/>
  <c r="M377" i="21"/>
  <c r="L377" i="21"/>
  <c r="D374" i="21"/>
  <c r="K373" i="21"/>
  <c r="J373" i="21"/>
  <c r="J372" i="21"/>
  <c r="J366" i="21" s="1"/>
  <c r="I372" i="21"/>
  <c r="K371" i="21"/>
  <c r="J371" i="21"/>
  <c r="J370" i="21"/>
  <c r="I370" i="21"/>
  <c r="J369" i="21"/>
  <c r="I369" i="21"/>
  <c r="K368" i="21"/>
  <c r="J368" i="21"/>
  <c r="U365" i="21"/>
  <c r="T365" i="21"/>
  <c r="N365" i="21"/>
  <c r="N363" i="21" s="1"/>
  <c r="M365" i="21"/>
  <c r="M363" i="21" s="1"/>
  <c r="P363" i="21" s="1"/>
  <c r="L365" i="21"/>
  <c r="O365" i="21" s="1"/>
  <c r="U364" i="21"/>
  <c r="T364" i="21"/>
  <c r="P364" i="21"/>
  <c r="O364" i="21"/>
  <c r="U363" i="21"/>
  <c r="S363" i="21"/>
  <c r="R363" i="21"/>
  <c r="Q363" i="21"/>
  <c r="T363" i="21" s="1"/>
  <c r="U362" i="21"/>
  <c r="T362" i="21"/>
  <c r="N362" i="21"/>
  <c r="N360" i="21" s="1"/>
  <c r="M362" i="21"/>
  <c r="M360" i="21" s="1"/>
  <c r="L362" i="21"/>
  <c r="L360" i="21" s="1"/>
  <c r="U361" i="21"/>
  <c r="T361" i="21"/>
  <c r="P361" i="21"/>
  <c r="O361" i="21"/>
  <c r="T360" i="21"/>
  <c r="S360" i="21"/>
  <c r="R360" i="21"/>
  <c r="U360" i="21" s="1"/>
  <c r="Q360" i="21"/>
  <c r="S359" i="21"/>
  <c r="S357" i="21" s="1"/>
  <c r="R359" i="21"/>
  <c r="U359" i="21" s="1"/>
  <c r="Q359" i="21"/>
  <c r="T359" i="21" s="1"/>
  <c r="T358" i="21"/>
  <c r="S358" i="21"/>
  <c r="R358" i="21"/>
  <c r="U358" i="21" s="1"/>
  <c r="Q358" i="21"/>
  <c r="P358" i="21"/>
  <c r="N358" i="21"/>
  <c r="M358" i="21"/>
  <c r="L358" i="21"/>
  <c r="D355" i="21"/>
  <c r="J354" i="21"/>
  <c r="J353" i="21"/>
  <c r="D351" i="21"/>
  <c r="J350" i="21"/>
  <c r="J349" i="21"/>
  <c r="J348" i="21"/>
  <c r="J347" i="21"/>
  <c r="I347" i="21"/>
  <c r="J345" i="21"/>
  <c r="I345" i="21"/>
  <c r="U342" i="21"/>
  <c r="T342" i="21"/>
  <c r="N342" i="21"/>
  <c r="N340" i="21" s="1"/>
  <c r="M342" i="21"/>
  <c r="L342" i="21"/>
  <c r="U341" i="21"/>
  <c r="T341" i="21"/>
  <c r="P341" i="21"/>
  <c r="O341" i="21"/>
  <c r="T340" i="21"/>
  <c r="S340" i="21"/>
  <c r="R340" i="21"/>
  <c r="U340" i="21" s="1"/>
  <c r="Q340" i="21"/>
  <c r="U339" i="21"/>
  <c r="T339" i="21"/>
  <c r="N339" i="21"/>
  <c r="N337" i="21" s="1"/>
  <c r="M339" i="21"/>
  <c r="M337" i="21" s="1"/>
  <c r="L339" i="21"/>
  <c r="U338" i="21"/>
  <c r="T338" i="21"/>
  <c r="P338" i="21"/>
  <c r="O338" i="21"/>
  <c r="U337" i="21"/>
  <c r="S337" i="21"/>
  <c r="R337" i="21"/>
  <c r="Q337" i="21"/>
  <c r="T337" i="21" s="1"/>
  <c r="U336" i="21"/>
  <c r="S336" i="21"/>
  <c r="S334" i="21" s="1"/>
  <c r="R336" i="21"/>
  <c r="Q336" i="21"/>
  <c r="T336" i="21" s="1"/>
  <c r="T335" i="21"/>
  <c r="S335" i="21"/>
  <c r="R335" i="21"/>
  <c r="Q335" i="21"/>
  <c r="O335" i="21"/>
  <c r="N335" i="21"/>
  <c r="M335" i="21"/>
  <c r="P335" i="21" s="1"/>
  <c r="L335" i="21"/>
  <c r="I331" i="21"/>
  <c r="K331" i="21" s="1"/>
  <c r="U329" i="21"/>
  <c r="T329" i="21"/>
  <c r="N329" i="21"/>
  <c r="N327" i="21" s="1"/>
  <c r="M329" i="21"/>
  <c r="P329" i="21" s="1"/>
  <c r="L329" i="21"/>
  <c r="O329" i="21" s="1"/>
  <c r="U328" i="21"/>
  <c r="T328" i="21"/>
  <c r="P328" i="21"/>
  <c r="O328" i="21"/>
  <c r="T327" i="21"/>
  <c r="S327" i="21"/>
  <c r="R327" i="21"/>
  <c r="U327" i="21" s="1"/>
  <c r="Q327" i="21"/>
  <c r="U326" i="21"/>
  <c r="T326" i="21"/>
  <c r="N326" i="21"/>
  <c r="M326" i="21"/>
  <c r="M324" i="21" s="1"/>
  <c r="P324" i="21" s="1"/>
  <c r="L326" i="21"/>
  <c r="U325" i="21"/>
  <c r="T325" i="21"/>
  <c r="P325" i="21"/>
  <c r="O325" i="21"/>
  <c r="T324" i="21"/>
  <c r="S324" i="21"/>
  <c r="R324" i="21"/>
  <c r="U324" i="21" s="1"/>
  <c r="Q324" i="21"/>
  <c r="T323" i="21"/>
  <c r="S323" i="21"/>
  <c r="R323" i="21"/>
  <c r="Q323" i="21"/>
  <c r="T322" i="21"/>
  <c r="S322" i="21"/>
  <c r="R322" i="21"/>
  <c r="U322" i="21" s="1"/>
  <c r="Q322" i="21"/>
  <c r="P322" i="21"/>
  <c r="N322" i="21"/>
  <c r="M322" i="21"/>
  <c r="L322" i="21"/>
  <c r="O322" i="21" s="1"/>
  <c r="Q321" i="21"/>
  <c r="T321" i="21" s="1"/>
  <c r="J320" i="21"/>
  <c r="I315" i="21"/>
  <c r="K315" i="21" s="1"/>
  <c r="U312" i="21"/>
  <c r="T312" i="21"/>
  <c r="N312" i="21"/>
  <c r="N310" i="21" s="1"/>
  <c r="M312" i="21"/>
  <c r="M310" i="21" s="1"/>
  <c r="P310" i="21" s="1"/>
  <c r="L312" i="21"/>
  <c r="O312" i="21" s="1"/>
  <c r="U311" i="21"/>
  <c r="T311" i="21"/>
  <c r="P311" i="21"/>
  <c r="O311" i="21"/>
  <c r="T310" i="21"/>
  <c r="S310" i="21"/>
  <c r="R310" i="21"/>
  <c r="U310" i="21" s="1"/>
  <c r="Q310" i="21"/>
  <c r="S309" i="21"/>
  <c r="S307" i="21" s="1"/>
  <c r="R309" i="21"/>
  <c r="Q309" i="21"/>
  <c r="Q307" i="21" s="1"/>
  <c r="N309" i="21"/>
  <c r="N307" i="21" s="1"/>
  <c r="M309" i="21"/>
  <c r="M307" i="21" s="1"/>
  <c r="L309" i="21"/>
  <c r="L307" i="21" s="1"/>
  <c r="U308" i="21"/>
  <c r="T308" i="21"/>
  <c r="P308" i="21"/>
  <c r="O308" i="21"/>
  <c r="U305" i="21"/>
  <c r="T305" i="21"/>
  <c r="S305" i="21"/>
  <c r="R305" i="21"/>
  <c r="Q305" i="21"/>
  <c r="O305" i="21"/>
  <c r="N305" i="21"/>
  <c r="M305" i="21"/>
  <c r="L305" i="21"/>
  <c r="J303" i="21"/>
  <c r="I297" i="21"/>
  <c r="K297" i="21" s="1"/>
  <c r="I296" i="21"/>
  <c r="K296" i="21" s="1"/>
  <c r="J294" i="21"/>
  <c r="I294" i="21"/>
  <c r="K294" i="21" s="1"/>
  <c r="I293" i="21"/>
  <c r="I282" i="21" s="1"/>
  <c r="U291" i="21"/>
  <c r="T291" i="21"/>
  <c r="N291" i="21"/>
  <c r="N289" i="21" s="1"/>
  <c r="M291" i="21"/>
  <c r="M289" i="21" s="1"/>
  <c r="P289" i="21" s="1"/>
  <c r="L291" i="21"/>
  <c r="L289" i="21" s="1"/>
  <c r="O289" i="21" s="1"/>
  <c r="U290" i="21"/>
  <c r="T290" i="21"/>
  <c r="P290" i="21"/>
  <c r="O290" i="21"/>
  <c r="U289" i="21"/>
  <c r="S289" i="21"/>
  <c r="R289" i="21"/>
  <c r="Q289" i="21"/>
  <c r="T289" i="21" s="1"/>
  <c r="U288" i="21"/>
  <c r="T288" i="21"/>
  <c r="N288" i="21"/>
  <c r="M288" i="21"/>
  <c r="L288" i="21"/>
  <c r="L286" i="21" s="1"/>
  <c r="U287" i="21"/>
  <c r="T287" i="21"/>
  <c r="P287" i="21"/>
  <c r="O287" i="21"/>
  <c r="T286" i="21"/>
  <c r="S286" i="21"/>
  <c r="R286" i="21"/>
  <c r="U286" i="21" s="1"/>
  <c r="Q286" i="21"/>
  <c r="U285" i="21"/>
  <c r="S285" i="21"/>
  <c r="R285" i="21"/>
  <c r="Q285" i="21"/>
  <c r="T285" i="21" s="1"/>
  <c r="U284" i="21"/>
  <c r="T284" i="21"/>
  <c r="S284" i="21"/>
  <c r="R284" i="21"/>
  <c r="Q284" i="21"/>
  <c r="P284" i="21"/>
  <c r="O284" i="21"/>
  <c r="N284" i="21"/>
  <c r="M284" i="21"/>
  <c r="L284" i="21"/>
  <c r="S283" i="21"/>
  <c r="R283" i="21"/>
  <c r="U283" i="21" s="1"/>
  <c r="J282" i="21"/>
  <c r="J281" i="21"/>
  <c r="I277" i="21"/>
  <c r="U275" i="21"/>
  <c r="T275" i="21"/>
  <c r="N275" i="21"/>
  <c r="N273" i="21" s="1"/>
  <c r="M275" i="21"/>
  <c r="P275" i="21" s="1"/>
  <c r="L275" i="21"/>
  <c r="O275" i="21" s="1"/>
  <c r="U274" i="21"/>
  <c r="T274" i="21"/>
  <c r="P274" i="21"/>
  <c r="O274" i="21"/>
  <c r="U273" i="21"/>
  <c r="S273" i="21"/>
  <c r="R273" i="21"/>
  <c r="Q273" i="21"/>
  <c r="T273" i="21" s="1"/>
  <c r="S272" i="21"/>
  <c r="S270" i="21" s="1"/>
  <c r="R272" i="21"/>
  <c r="R269" i="21" s="1"/>
  <c r="R267" i="21" s="1"/>
  <c r="Q272" i="21"/>
  <c r="Q270" i="21" s="1"/>
  <c r="N272" i="21"/>
  <c r="N270" i="21" s="1"/>
  <c r="M272" i="21"/>
  <c r="L272" i="21"/>
  <c r="O272" i="21" s="1"/>
  <c r="U271" i="21"/>
  <c r="T271" i="21"/>
  <c r="P271" i="21"/>
  <c r="O271" i="21"/>
  <c r="U268" i="21"/>
  <c r="T268" i="21"/>
  <c r="S268" i="21"/>
  <c r="R268" i="21"/>
  <c r="Q268" i="21"/>
  <c r="N268" i="21"/>
  <c r="M268" i="21"/>
  <c r="P268" i="21" s="1"/>
  <c r="L268" i="21"/>
  <c r="J266" i="21"/>
  <c r="K264" i="21"/>
  <c r="K263" i="21"/>
  <c r="I261" i="21"/>
  <c r="K261" i="21" s="1"/>
  <c r="L259" i="21"/>
  <c r="L258" i="21"/>
  <c r="L257" i="21"/>
  <c r="L256" i="21"/>
  <c r="P255" i="21"/>
  <c r="N255" i="21"/>
  <c r="J254" i="21"/>
  <c r="J232" i="21" s="1"/>
  <c r="K253" i="21"/>
  <c r="K252" i="21"/>
  <c r="I250" i="21"/>
  <c r="I243" i="21" s="1"/>
  <c r="K243" i="21" s="1"/>
  <c r="L248" i="21"/>
  <c r="L247" i="21"/>
  <c r="L246" i="21"/>
  <c r="L245" i="21"/>
  <c r="P244" i="21"/>
  <c r="N244" i="21"/>
  <c r="N233" i="21" s="1"/>
  <c r="J243" i="21"/>
  <c r="J242" i="21"/>
  <c r="I242" i="21"/>
  <c r="K242" i="21" s="1"/>
  <c r="K241" i="21"/>
  <c r="J241" i="21"/>
  <c r="I241" i="21"/>
  <c r="J239" i="21"/>
  <c r="N237" i="21"/>
  <c r="N236" i="21"/>
  <c r="N235" i="21"/>
  <c r="N234" i="21"/>
  <c r="I231" i="21"/>
  <c r="K231" i="21" s="1"/>
  <c r="I230" i="21"/>
  <c r="K230" i="21" s="1"/>
  <c r="I229" i="21"/>
  <c r="K229" i="21" s="1"/>
  <c r="L226" i="21"/>
  <c r="L225" i="21"/>
  <c r="L224" i="21"/>
  <c r="P223" i="21"/>
  <c r="N223" i="21"/>
  <c r="J222" i="21"/>
  <c r="I221" i="21"/>
  <c r="K221" i="21" s="1"/>
  <c r="I220" i="21"/>
  <c r="K220" i="21" s="1"/>
  <c r="L218" i="21"/>
  <c r="L217" i="21"/>
  <c r="L216" i="21"/>
  <c r="P215" i="21"/>
  <c r="N215" i="21"/>
  <c r="J214" i="21"/>
  <c r="I213" i="21"/>
  <c r="K213" i="21" s="1"/>
  <c r="I212" i="21"/>
  <c r="K212" i="21" s="1"/>
  <c r="I210" i="21"/>
  <c r="K210" i="21" s="1"/>
  <c r="L208" i="21"/>
  <c r="L207" i="21"/>
  <c r="L206" i="21"/>
  <c r="L205" i="21"/>
  <c r="P204" i="21"/>
  <c r="N204" i="21"/>
  <c r="J203" i="21"/>
  <c r="J200" i="21"/>
  <c r="I199" i="21"/>
  <c r="I196" i="21" s="1"/>
  <c r="P197" i="21"/>
  <c r="L197" i="21"/>
  <c r="O197" i="21" s="1"/>
  <c r="J196" i="21"/>
  <c r="U195" i="21"/>
  <c r="T195" i="21"/>
  <c r="N195" i="21"/>
  <c r="N193" i="21" s="1"/>
  <c r="M195" i="21"/>
  <c r="P195" i="21" s="1"/>
  <c r="L195" i="21"/>
  <c r="O195" i="21" s="1"/>
  <c r="U194" i="21"/>
  <c r="T194" i="21"/>
  <c r="P194" i="21"/>
  <c r="O194" i="21"/>
  <c r="U193" i="21"/>
  <c r="S193" i="21"/>
  <c r="R193" i="21"/>
  <c r="Q193" i="21"/>
  <c r="T193" i="21" s="1"/>
  <c r="S192" i="21"/>
  <c r="S189" i="21" s="1"/>
  <c r="S187" i="21" s="1"/>
  <c r="R192" i="21"/>
  <c r="R189" i="21" s="1"/>
  <c r="R187" i="21" s="1"/>
  <c r="Q192" i="21"/>
  <c r="Q190" i="21" s="1"/>
  <c r="N192" i="21"/>
  <c r="M192" i="21"/>
  <c r="L192" i="21"/>
  <c r="L190" i="21" s="1"/>
  <c r="U191" i="21"/>
  <c r="T191" i="21"/>
  <c r="P191" i="21"/>
  <c r="O191" i="21"/>
  <c r="U188" i="21"/>
  <c r="T188" i="21"/>
  <c r="S188" i="21"/>
  <c r="R188" i="21"/>
  <c r="Q188" i="21"/>
  <c r="O188" i="21"/>
  <c r="N188" i="21"/>
  <c r="M188" i="21"/>
  <c r="L188" i="21"/>
  <c r="J186" i="21"/>
  <c r="K185" i="21"/>
  <c r="I184" i="21"/>
  <c r="U182" i="21"/>
  <c r="T182" i="21"/>
  <c r="N182" i="21"/>
  <c r="N180" i="21" s="1"/>
  <c r="M182" i="21"/>
  <c r="P182" i="21" s="1"/>
  <c r="L182" i="21"/>
  <c r="O182" i="21" s="1"/>
  <c r="U181" i="21"/>
  <c r="T181" i="21"/>
  <c r="P181" i="21"/>
  <c r="O181" i="21"/>
  <c r="S180" i="21"/>
  <c r="R180" i="21"/>
  <c r="U180" i="21" s="1"/>
  <c r="Q180" i="21"/>
  <c r="T180" i="21" s="1"/>
  <c r="S179" i="21"/>
  <c r="S177" i="21" s="1"/>
  <c r="R179" i="21"/>
  <c r="R177" i="21" s="1"/>
  <c r="U177" i="21" s="1"/>
  <c r="Q179" i="21"/>
  <c r="Q176" i="21" s="1"/>
  <c r="N179" i="21"/>
  <c r="N177" i="21" s="1"/>
  <c r="M179" i="21"/>
  <c r="M177" i="21" s="1"/>
  <c r="L179" i="21"/>
  <c r="L177" i="21" s="1"/>
  <c r="U178" i="21"/>
  <c r="T178" i="21"/>
  <c r="P178" i="21"/>
  <c r="O178" i="21"/>
  <c r="T175" i="21"/>
  <c r="S175" i="21"/>
  <c r="R175" i="21"/>
  <c r="U175" i="21" s="1"/>
  <c r="Q175" i="21"/>
  <c r="P175" i="21"/>
  <c r="N175" i="21"/>
  <c r="M175" i="21"/>
  <c r="L175" i="21"/>
  <c r="O175" i="21" s="1"/>
  <c r="J173" i="21"/>
  <c r="I168" i="21"/>
  <c r="I170" i="21" s="1"/>
  <c r="K170" i="21" s="1"/>
  <c r="U166" i="21"/>
  <c r="T166" i="21"/>
  <c r="N166" i="21"/>
  <c r="N164" i="21" s="1"/>
  <c r="M166" i="21"/>
  <c r="P166" i="21" s="1"/>
  <c r="L166" i="21"/>
  <c r="O166" i="21" s="1"/>
  <c r="U165" i="21"/>
  <c r="T165" i="21"/>
  <c r="P165" i="21"/>
  <c r="O165" i="21"/>
  <c r="T164" i="21"/>
  <c r="S164" i="21"/>
  <c r="R164" i="21"/>
  <c r="U164" i="21" s="1"/>
  <c r="Q164" i="21"/>
  <c r="S163" i="21"/>
  <c r="S160" i="21" s="1"/>
  <c r="R163" i="21"/>
  <c r="R160" i="21" s="1"/>
  <c r="U160" i="21" s="1"/>
  <c r="Q161" i="21"/>
  <c r="T161" i="21" s="1"/>
  <c r="N163" i="21"/>
  <c r="N161" i="21" s="1"/>
  <c r="M163" i="21"/>
  <c r="L163" i="21"/>
  <c r="U162" i="21"/>
  <c r="T162" i="21"/>
  <c r="P162" i="21"/>
  <c r="O162" i="21"/>
  <c r="S159" i="21"/>
  <c r="R159" i="21"/>
  <c r="U159" i="21" s="1"/>
  <c r="Q159" i="21"/>
  <c r="T159" i="21" s="1"/>
  <c r="O159" i="21"/>
  <c r="N159" i="21"/>
  <c r="M159" i="21"/>
  <c r="P159" i="21" s="1"/>
  <c r="L159" i="21"/>
  <c r="J157" i="21"/>
  <c r="I155" i="21"/>
  <c r="K155" i="21" s="1"/>
  <c r="I154" i="21"/>
  <c r="I153" i="21"/>
  <c r="I138" i="21" s="1"/>
  <c r="K138" i="21" s="1"/>
  <c r="I152" i="21"/>
  <c r="K152" i="21" s="1"/>
  <c r="I151" i="21"/>
  <c r="K151" i="21" s="1"/>
  <c r="U148" i="21"/>
  <c r="T148" i="21"/>
  <c r="N148" i="21"/>
  <c r="N146" i="21" s="1"/>
  <c r="M148" i="21"/>
  <c r="L148" i="21"/>
  <c r="L146" i="21" s="1"/>
  <c r="O146" i="21" s="1"/>
  <c r="U147" i="21"/>
  <c r="T147" i="21"/>
  <c r="P147" i="21"/>
  <c r="O147" i="21"/>
  <c r="U146" i="21"/>
  <c r="S146" i="21"/>
  <c r="R146" i="21"/>
  <c r="Q146" i="21"/>
  <c r="T146" i="21" s="1"/>
  <c r="S145" i="21"/>
  <c r="S143" i="21" s="1"/>
  <c r="R145" i="21"/>
  <c r="R142" i="21" s="1"/>
  <c r="U142" i="21" s="1"/>
  <c r="Q145" i="21"/>
  <c r="T145" i="21" s="1"/>
  <c r="N145" i="21"/>
  <c r="M145" i="21"/>
  <c r="M143" i="21" s="1"/>
  <c r="P143" i="21" s="1"/>
  <c r="L145" i="21"/>
  <c r="O145" i="21" s="1"/>
  <c r="U144" i="21"/>
  <c r="T144" i="21"/>
  <c r="P144" i="21"/>
  <c r="O144" i="21"/>
  <c r="S141" i="21"/>
  <c r="R141" i="21"/>
  <c r="U141" i="21" s="1"/>
  <c r="Q141" i="21"/>
  <c r="T141" i="21" s="1"/>
  <c r="P141" i="21"/>
  <c r="N141" i="21"/>
  <c r="M141" i="21"/>
  <c r="L141" i="21"/>
  <c r="J139" i="21"/>
  <c r="J138" i="21"/>
  <c r="J137" i="21"/>
  <c r="I131" i="21"/>
  <c r="K131" i="21" s="1"/>
  <c r="I130" i="21"/>
  <c r="K130" i="21" s="1"/>
  <c r="I129" i="21"/>
  <c r="K129" i="21" s="1"/>
  <c r="I128" i="21"/>
  <c r="K128" i="21" s="1"/>
  <c r="U126" i="21"/>
  <c r="T126" i="21"/>
  <c r="N126" i="21"/>
  <c r="N124" i="21" s="1"/>
  <c r="M126" i="21"/>
  <c r="P126" i="21" s="1"/>
  <c r="L126" i="21"/>
  <c r="O126" i="21" s="1"/>
  <c r="U125" i="21"/>
  <c r="T125" i="21"/>
  <c r="P125" i="21"/>
  <c r="O125" i="21"/>
  <c r="S124" i="21"/>
  <c r="R124" i="21"/>
  <c r="U124" i="21" s="1"/>
  <c r="Q124" i="21"/>
  <c r="T124" i="21" s="1"/>
  <c r="S123" i="21"/>
  <c r="S120" i="21" s="1"/>
  <c r="S118" i="21" s="1"/>
  <c r="R123" i="21"/>
  <c r="R120" i="21" s="1"/>
  <c r="Q123" i="21"/>
  <c r="Q120" i="21" s="1"/>
  <c r="N123" i="21"/>
  <c r="N121" i="21" s="1"/>
  <c r="M123" i="21"/>
  <c r="P123" i="21" s="1"/>
  <c r="L123" i="21"/>
  <c r="O123" i="21" s="1"/>
  <c r="U122" i="21"/>
  <c r="T122" i="21"/>
  <c r="P122" i="21"/>
  <c r="O122" i="21"/>
  <c r="T119" i="21"/>
  <c r="S119" i="21"/>
  <c r="R119" i="21"/>
  <c r="Q119" i="21"/>
  <c r="P119" i="21"/>
  <c r="N119" i="21"/>
  <c r="M119" i="21"/>
  <c r="L119" i="21"/>
  <c r="O119" i="21" s="1"/>
  <c r="J117" i="21"/>
  <c r="I115" i="21"/>
  <c r="K115" i="21" s="1"/>
  <c r="I110" i="21"/>
  <c r="I94" i="21" s="1"/>
  <c r="K94" i="21" s="1"/>
  <c r="I109" i="21"/>
  <c r="K109" i="21" s="1"/>
  <c r="U103" i="21"/>
  <c r="T103" i="21"/>
  <c r="N103" i="21"/>
  <c r="N101" i="21" s="1"/>
  <c r="M103" i="21"/>
  <c r="M101" i="21" s="1"/>
  <c r="P101" i="21" s="1"/>
  <c r="L103" i="21"/>
  <c r="O103" i="21" s="1"/>
  <c r="U102" i="21"/>
  <c r="T102" i="21"/>
  <c r="P102" i="21"/>
  <c r="O102" i="21"/>
  <c r="S101" i="21"/>
  <c r="R101" i="21"/>
  <c r="U101" i="21" s="1"/>
  <c r="Q101" i="21"/>
  <c r="T101" i="21" s="1"/>
  <c r="S100" i="21"/>
  <c r="S97" i="21" s="1"/>
  <c r="R100" i="21"/>
  <c r="R97" i="21" s="1"/>
  <c r="U97" i="21" s="1"/>
  <c r="Q97" i="21"/>
  <c r="T97" i="21" s="1"/>
  <c r="N100" i="21"/>
  <c r="N98" i="21" s="1"/>
  <c r="M100" i="21"/>
  <c r="M98" i="21" s="1"/>
  <c r="P98" i="21" s="1"/>
  <c r="L100" i="21"/>
  <c r="O100" i="21" s="1"/>
  <c r="U99" i="21"/>
  <c r="T99" i="21"/>
  <c r="P99" i="21"/>
  <c r="O99" i="21"/>
  <c r="S96" i="21"/>
  <c r="R96" i="21"/>
  <c r="Q96" i="21"/>
  <c r="T96" i="21" s="1"/>
  <c r="N96" i="21"/>
  <c r="M96" i="21"/>
  <c r="P96" i="21" s="1"/>
  <c r="L96" i="21"/>
  <c r="O96" i="21" s="1"/>
  <c r="J94" i="21"/>
  <c r="J93" i="21"/>
  <c r="I91" i="21"/>
  <c r="K91" i="21" s="1"/>
  <c r="I90" i="21"/>
  <c r="K90" i="21" s="1"/>
  <c r="I89" i="21"/>
  <c r="I88" i="21"/>
  <c r="K88" i="21" s="1"/>
  <c r="I87" i="21"/>
  <c r="K87" i="21" s="1"/>
  <c r="I86" i="21"/>
  <c r="K86" i="21" s="1"/>
  <c r="I85" i="21"/>
  <c r="K85" i="21" s="1"/>
  <c r="J84" i="21"/>
  <c r="J83" i="21"/>
  <c r="J71" i="21" s="1"/>
  <c r="U81" i="21"/>
  <c r="T81" i="21"/>
  <c r="N81" i="21"/>
  <c r="N79" i="21" s="1"/>
  <c r="M81" i="21"/>
  <c r="M79" i="21" s="1"/>
  <c r="P79" i="21" s="1"/>
  <c r="L81" i="21"/>
  <c r="O81" i="21" s="1"/>
  <c r="U80" i="21"/>
  <c r="T80" i="21"/>
  <c r="P80" i="21"/>
  <c r="O80" i="21"/>
  <c r="T79" i="21"/>
  <c r="S79" i="21"/>
  <c r="R79" i="21"/>
  <c r="U79" i="21" s="1"/>
  <c r="Q79" i="21"/>
  <c r="S78" i="21"/>
  <c r="S76" i="21" s="1"/>
  <c r="R78" i="21"/>
  <c r="R75" i="21" s="1"/>
  <c r="Q78" i="21"/>
  <c r="Q76" i="21" s="1"/>
  <c r="N78" i="21"/>
  <c r="N76" i="21" s="1"/>
  <c r="M78" i="21"/>
  <c r="M76" i="21" s="1"/>
  <c r="L78" i="21"/>
  <c r="U77" i="21"/>
  <c r="T77" i="21"/>
  <c r="P77" i="21"/>
  <c r="O77" i="21"/>
  <c r="T74" i="21"/>
  <c r="S74" i="21"/>
  <c r="R74" i="21"/>
  <c r="U74" i="21" s="1"/>
  <c r="Q74" i="21"/>
  <c r="P74" i="21"/>
  <c r="N74" i="21"/>
  <c r="M74" i="21"/>
  <c r="L74" i="21"/>
  <c r="O74" i="21" s="1"/>
  <c r="J72" i="21"/>
  <c r="U68" i="21"/>
  <c r="T68" i="21"/>
  <c r="N68" i="21"/>
  <c r="N66" i="21" s="1"/>
  <c r="M68" i="21"/>
  <c r="M66" i="21" s="1"/>
  <c r="P66" i="21" s="1"/>
  <c r="L68" i="21"/>
  <c r="L66" i="21" s="1"/>
  <c r="O66" i="21" s="1"/>
  <c r="U67" i="21"/>
  <c r="T67" i="21"/>
  <c r="P67" i="21"/>
  <c r="O67" i="21"/>
  <c r="U66" i="21"/>
  <c r="S66" i="21"/>
  <c r="R66" i="21"/>
  <c r="Q66" i="21"/>
  <c r="T66" i="21" s="1"/>
  <c r="U65" i="21"/>
  <c r="T65" i="21"/>
  <c r="N65" i="21"/>
  <c r="M65" i="21"/>
  <c r="M63" i="21" s="1"/>
  <c r="L65" i="21"/>
  <c r="U64" i="21"/>
  <c r="T64" i="21"/>
  <c r="P64" i="21"/>
  <c r="O64" i="21"/>
  <c r="S63" i="21"/>
  <c r="R63" i="21"/>
  <c r="U63" i="21" s="1"/>
  <c r="Q63" i="21"/>
  <c r="T63" i="21" s="1"/>
  <c r="T62" i="21"/>
  <c r="S62" i="21"/>
  <c r="R62" i="21"/>
  <c r="U62" i="21" s="1"/>
  <c r="Q62" i="21"/>
  <c r="T61" i="21"/>
  <c r="S61" i="21"/>
  <c r="S60" i="21" s="1"/>
  <c r="R61" i="21"/>
  <c r="U61" i="21" s="1"/>
  <c r="Q61" i="21"/>
  <c r="N61" i="21"/>
  <c r="M61" i="21"/>
  <c r="L61" i="21"/>
  <c r="O61" i="21" s="1"/>
  <c r="Q60" i="21"/>
  <c r="T60" i="21" s="1"/>
  <c r="U53" i="21"/>
  <c r="T53" i="21"/>
  <c r="N53" i="21"/>
  <c r="M53" i="21"/>
  <c r="M51" i="21" s="1"/>
  <c r="P51" i="21" s="1"/>
  <c r="L53" i="21"/>
  <c r="U52" i="21"/>
  <c r="T52" i="21"/>
  <c r="P52" i="21"/>
  <c r="O52" i="21"/>
  <c r="U51" i="21"/>
  <c r="T51" i="21"/>
  <c r="S51" i="21"/>
  <c r="R51" i="21"/>
  <c r="Q51" i="21"/>
  <c r="N51" i="21"/>
  <c r="U50" i="21"/>
  <c r="T50" i="21"/>
  <c r="N50" i="21"/>
  <c r="N48" i="21" s="1"/>
  <c r="M50" i="21"/>
  <c r="M48" i="21" s="1"/>
  <c r="L50" i="21"/>
  <c r="L48" i="21" s="1"/>
  <c r="U49" i="21"/>
  <c r="T49" i="21"/>
  <c r="P49" i="21"/>
  <c r="O49" i="21"/>
  <c r="T48" i="21"/>
  <c r="S48" i="21"/>
  <c r="R48" i="21"/>
  <c r="U48" i="21" s="1"/>
  <c r="Q48" i="21"/>
  <c r="T47" i="21"/>
  <c r="S47" i="21"/>
  <c r="R47" i="21"/>
  <c r="U47" i="21" s="1"/>
  <c r="Q47" i="21"/>
  <c r="T46" i="21"/>
  <c r="S46" i="21"/>
  <c r="S45" i="21" s="1"/>
  <c r="R46" i="21"/>
  <c r="U46" i="21" s="1"/>
  <c r="Q46" i="21"/>
  <c r="P46" i="21"/>
  <c r="N46" i="21"/>
  <c r="M46" i="21"/>
  <c r="L46" i="21"/>
  <c r="O46" i="21" s="1"/>
  <c r="T45" i="21"/>
  <c r="Q45" i="21"/>
  <c r="T27" i="21"/>
  <c r="S27" i="21"/>
  <c r="R27" i="21"/>
  <c r="U27" i="21" s="1"/>
  <c r="Q27" i="21"/>
  <c r="S26" i="21"/>
  <c r="R26" i="21"/>
  <c r="U26" i="21" s="1"/>
  <c r="Q26" i="21"/>
  <c r="T26" i="21" s="1"/>
  <c r="N26" i="21"/>
  <c r="M26" i="21"/>
  <c r="P26" i="21" s="1"/>
  <c r="L26" i="21"/>
  <c r="S23" i="21"/>
  <c r="R23" i="21"/>
  <c r="U23" i="21" s="1"/>
  <c r="Q23" i="21"/>
  <c r="T23" i="21" s="1"/>
  <c r="N23" i="21"/>
  <c r="M23" i="21"/>
  <c r="P23" i="21" s="1"/>
  <c r="L23" i="21"/>
  <c r="O23" i="21" s="1"/>
  <c r="A788" i="20"/>
  <c r="J785" i="20"/>
  <c r="I785" i="20"/>
  <c r="J784" i="20"/>
  <c r="I784" i="20"/>
  <c r="J783" i="20"/>
  <c r="I783" i="20"/>
  <c r="J782" i="20"/>
  <c r="I782" i="20"/>
  <c r="J781" i="20"/>
  <c r="J780" i="20"/>
  <c r="J779" i="20"/>
  <c r="I779" i="20"/>
  <c r="J778" i="20"/>
  <c r="I778" i="20"/>
  <c r="H777" i="20"/>
  <c r="I776" i="20"/>
  <c r="I775" i="20"/>
  <c r="I774" i="20"/>
  <c r="I772" i="20"/>
  <c r="K772" i="20" s="1"/>
  <c r="I770" i="20"/>
  <c r="K770" i="20" s="1"/>
  <c r="U768" i="20"/>
  <c r="T768" i="20"/>
  <c r="P768" i="20"/>
  <c r="O768" i="20"/>
  <c r="U767" i="20"/>
  <c r="T767" i="20"/>
  <c r="P767" i="20"/>
  <c r="O767" i="20"/>
  <c r="T766" i="20"/>
  <c r="S766" i="20"/>
  <c r="R766" i="20"/>
  <c r="U766" i="20" s="1"/>
  <c r="Q766" i="20"/>
  <c r="P766" i="20"/>
  <c r="N766" i="20"/>
  <c r="M766" i="20"/>
  <c r="L766" i="20"/>
  <c r="O766" i="20" s="1"/>
  <c r="S765" i="20"/>
  <c r="R765" i="20"/>
  <c r="Q765" i="20"/>
  <c r="Q763" i="20" s="1"/>
  <c r="T763" i="20" s="1"/>
  <c r="P765" i="20"/>
  <c r="O765" i="20"/>
  <c r="U764" i="20"/>
  <c r="T764" i="20"/>
  <c r="P764" i="20"/>
  <c r="O764" i="20"/>
  <c r="O763" i="20"/>
  <c r="N763" i="20"/>
  <c r="M763" i="20"/>
  <c r="P763" i="20" s="1"/>
  <c r="L763" i="20"/>
  <c r="O762" i="20"/>
  <c r="N762" i="20"/>
  <c r="M762" i="20"/>
  <c r="P762" i="20" s="1"/>
  <c r="L762" i="20"/>
  <c r="U761" i="20"/>
  <c r="S761" i="20"/>
  <c r="R761" i="20"/>
  <c r="Q761" i="20"/>
  <c r="T761" i="20" s="1"/>
  <c r="O761" i="20"/>
  <c r="N761" i="20"/>
  <c r="N760" i="20" s="1"/>
  <c r="M761" i="20"/>
  <c r="P761" i="20" s="1"/>
  <c r="L761" i="20"/>
  <c r="O760" i="20"/>
  <c r="M760" i="20"/>
  <c r="P760" i="20" s="1"/>
  <c r="L760" i="20"/>
  <c r="J759" i="20"/>
  <c r="J758" i="20"/>
  <c r="I758" i="20"/>
  <c r="K758" i="20" s="1"/>
  <c r="I756" i="20"/>
  <c r="K756" i="20" s="1"/>
  <c r="I753" i="20"/>
  <c r="K753" i="20" s="1"/>
  <c r="I750" i="20"/>
  <c r="K750" i="20" s="1"/>
  <c r="I747" i="20"/>
  <c r="K747" i="20" s="1"/>
  <c r="I745" i="20"/>
  <c r="K745" i="20" s="1"/>
  <c r="I743" i="20"/>
  <c r="K743" i="20" s="1"/>
  <c r="I741" i="20"/>
  <c r="K741" i="20" s="1"/>
  <c r="U737" i="20"/>
  <c r="T737" i="20"/>
  <c r="P737" i="20"/>
  <c r="O737" i="20"/>
  <c r="U736" i="20"/>
  <c r="T736" i="20"/>
  <c r="P736" i="20"/>
  <c r="O736" i="20"/>
  <c r="U735" i="20"/>
  <c r="S735" i="20"/>
  <c r="R735" i="20"/>
  <c r="Q735" i="20"/>
  <c r="T735" i="20" s="1"/>
  <c r="O735" i="20"/>
  <c r="N735" i="20"/>
  <c r="M735" i="20"/>
  <c r="P735" i="20" s="1"/>
  <c r="L735" i="20"/>
  <c r="S734" i="20"/>
  <c r="R734" i="20"/>
  <c r="R731" i="20" s="1"/>
  <c r="Q734" i="20"/>
  <c r="T734" i="20" s="1"/>
  <c r="P734" i="20"/>
  <c r="O734" i="20"/>
  <c r="U733" i="20"/>
  <c r="T733" i="20"/>
  <c r="P733" i="20"/>
  <c r="O733" i="20"/>
  <c r="P732" i="20"/>
  <c r="N732" i="20"/>
  <c r="M732" i="20"/>
  <c r="L732" i="20"/>
  <c r="O732" i="20" s="1"/>
  <c r="P731" i="20"/>
  <c r="N731" i="20"/>
  <c r="M731" i="20"/>
  <c r="L731" i="20"/>
  <c r="O731" i="20" s="1"/>
  <c r="T730" i="20"/>
  <c r="S730" i="20"/>
  <c r="R730" i="20"/>
  <c r="U730" i="20" s="1"/>
  <c r="Q730" i="20"/>
  <c r="P730" i="20"/>
  <c r="N730" i="20"/>
  <c r="N729" i="20" s="1"/>
  <c r="M730" i="20"/>
  <c r="M729" i="20" s="1"/>
  <c r="P729" i="20" s="1"/>
  <c r="L730" i="20"/>
  <c r="O730" i="20" s="1"/>
  <c r="L729" i="20"/>
  <c r="O729" i="20" s="1"/>
  <c r="J728" i="20"/>
  <c r="I728" i="20"/>
  <c r="K728" i="20" s="1"/>
  <c r="J727" i="20"/>
  <c r="I727" i="20"/>
  <c r="K727" i="20" s="1"/>
  <c r="U723" i="20"/>
  <c r="T723" i="20"/>
  <c r="P723" i="20"/>
  <c r="O723" i="20"/>
  <c r="U722" i="20"/>
  <c r="T722" i="20"/>
  <c r="P722" i="20"/>
  <c r="O722" i="20"/>
  <c r="T721" i="20"/>
  <c r="S721" i="20"/>
  <c r="R721" i="20"/>
  <c r="U721" i="20" s="1"/>
  <c r="Q721" i="20"/>
  <c r="P721" i="20"/>
  <c r="N721" i="20"/>
  <c r="M721" i="20"/>
  <c r="L721" i="20"/>
  <c r="O721" i="20" s="1"/>
  <c r="U720" i="20"/>
  <c r="T720" i="20"/>
  <c r="P720" i="20"/>
  <c r="O720" i="20"/>
  <c r="U719" i="20"/>
  <c r="T719" i="20"/>
  <c r="P719" i="20"/>
  <c r="O719" i="20"/>
  <c r="T718" i="20"/>
  <c r="S718" i="20"/>
  <c r="R718" i="20"/>
  <c r="U718" i="20" s="1"/>
  <c r="Q718" i="20"/>
  <c r="P718" i="20"/>
  <c r="N718" i="20"/>
  <c r="M718" i="20"/>
  <c r="L718" i="20"/>
  <c r="O718" i="20" s="1"/>
  <c r="T717" i="20"/>
  <c r="S717" i="20"/>
  <c r="R717" i="20"/>
  <c r="U717" i="20" s="1"/>
  <c r="Q717" i="20"/>
  <c r="P717" i="20"/>
  <c r="N717" i="20"/>
  <c r="M717" i="20"/>
  <c r="L717" i="20"/>
  <c r="O717" i="20" s="1"/>
  <c r="T716" i="20"/>
  <c r="S716" i="20"/>
  <c r="S715" i="20" s="1"/>
  <c r="R716" i="20"/>
  <c r="U716" i="20" s="1"/>
  <c r="Q716" i="20"/>
  <c r="P716" i="20"/>
  <c r="N716" i="20"/>
  <c r="M716" i="20"/>
  <c r="M715" i="20" s="1"/>
  <c r="P715" i="20" s="1"/>
  <c r="L716" i="20"/>
  <c r="O716" i="20" s="1"/>
  <c r="T715" i="20"/>
  <c r="R715" i="20"/>
  <c r="U715" i="20" s="1"/>
  <c r="Q715" i="20"/>
  <c r="N715" i="20"/>
  <c r="K713" i="20"/>
  <c r="J713" i="20"/>
  <c r="K711" i="20"/>
  <c r="J711" i="20"/>
  <c r="J710" i="20"/>
  <c r="I710" i="20"/>
  <c r="K710" i="20" s="1"/>
  <c r="K709" i="20"/>
  <c r="J709" i="20"/>
  <c r="J708" i="20"/>
  <c r="J690" i="20" s="1"/>
  <c r="I708" i="20"/>
  <c r="I690" i="20" s="1"/>
  <c r="K690" i="20" s="1"/>
  <c r="K707" i="20"/>
  <c r="J707" i="20"/>
  <c r="J706" i="20"/>
  <c r="I706" i="20"/>
  <c r="K706" i="20" s="1"/>
  <c r="K705" i="20"/>
  <c r="J705" i="20"/>
  <c r="J704" i="20"/>
  <c r="I704" i="20"/>
  <c r="K703" i="20"/>
  <c r="I701" i="20"/>
  <c r="K701" i="20" s="1"/>
  <c r="U699" i="20"/>
  <c r="T699" i="20"/>
  <c r="P699" i="20"/>
  <c r="O699" i="20"/>
  <c r="U698" i="20"/>
  <c r="T698" i="20"/>
  <c r="P698" i="20"/>
  <c r="O698" i="20"/>
  <c r="U697" i="20"/>
  <c r="S697" i="20"/>
  <c r="R697" i="20"/>
  <c r="Q697" i="20"/>
  <c r="T697" i="20" s="1"/>
  <c r="O697" i="20"/>
  <c r="N697" i="20"/>
  <c r="M697" i="20"/>
  <c r="P697" i="20" s="1"/>
  <c r="L697" i="20"/>
  <c r="S696" i="20"/>
  <c r="S693" i="20" s="1"/>
  <c r="S691" i="20" s="1"/>
  <c r="R696" i="20"/>
  <c r="Q696" i="20"/>
  <c r="P696" i="20"/>
  <c r="O696" i="20"/>
  <c r="U695" i="20"/>
  <c r="T695" i="20"/>
  <c r="P695" i="20"/>
  <c r="O695" i="20"/>
  <c r="P694" i="20"/>
  <c r="N694" i="20"/>
  <c r="M694" i="20"/>
  <c r="L694" i="20"/>
  <c r="O694" i="20" s="1"/>
  <c r="R693" i="20"/>
  <c r="U693" i="20" s="1"/>
  <c r="P693" i="20"/>
  <c r="N693" i="20"/>
  <c r="N691" i="20" s="1"/>
  <c r="M693" i="20"/>
  <c r="L693" i="20"/>
  <c r="O693" i="20" s="1"/>
  <c r="T692" i="20"/>
  <c r="S692" i="20"/>
  <c r="R692" i="20"/>
  <c r="Q692" i="20"/>
  <c r="P692" i="20"/>
  <c r="N692" i="20"/>
  <c r="M692" i="20"/>
  <c r="L692" i="20"/>
  <c r="P691" i="20"/>
  <c r="M691" i="20"/>
  <c r="J683" i="20"/>
  <c r="I683" i="20"/>
  <c r="K683" i="20" s="1"/>
  <c r="J682" i="20"/>
  <c r="I682" i="20"/>
  <c r="J681" i="20"/>
  <c r="J680" i="20"/>
  <c r="I680" i="20"/>
  <c r="J679" i="20"/>
  <c r="I679" i="20"/>
  <c r="J678" i="20"/>
  <c r="J677" i="20"/>
  <c r="I677" i="20"/>
  <c r="I676" i="20"/>
  <c r="I675" i="20"/>
  <c r="J674" i="20"/>
  <c r="I674" i="20"/>
  <c r="J673" i="20"/>
  <c r="J672" i="20"/>
  <c r="J662" i="20"/>
  <c r="I662" i="20"/>
  <c r="K662" i="20" s="1"/>
  <c r="I661" i="20"/>
  <c r="I658" i="20"/>
  <c r="J655" i="20"/>
  <c r="I655" i="20"/>
  <c r="K655" i="20" s="1"/>
  <c r="J654" i="20"/>
  <c r="I654" i="20"/>
  <c r="J653" i="20"/>
  <c r="I653" i="20"/>
  <c r="K653" i="20" s="1"/>
  <c r="U651" i="20"/>
  <c r="T651" i="20"/>
  <c r="P651" i="20"/>
  <c r="O651" i="20"/>
  <c r="U650" i="20"/>
  <c r="T650" i="20"/>
  <c r="P650" i="20"/>
  <c r="O650" i="20"/>
  <c r="U649" i="20"/>
  <c r="S649" i="20"/>
  <c r="R649" i="20"/>
  <c r="Q649" i="20"/>
  <c r="T649" i="20" s="1"/>
  <c r="O649" i="20"/>
  <c r="N649" i="20"/>
  <c r="M649" i="20"/>
  <c r="P649" i="20" s="1"/>
  <c r="L649" i="20"/>
  <c r="S648" i="20"/>
  <c r="S645" i="20" s="1"/>
  <c r="S643" i="20" s="1"/>
  <c r="R648" i="20"/>
  <c r="Q648" i="20"/>
  <c r="P648" i="20"/>
  <c r="O648" i="20"/>
  <c r="U647" i="20"/>
  <c r="T647" i="20"/>
  <c r="P647" i="20"/>
  <c r="O647" i="20"/>
  <c r="P646" i="20"/>
  <c r="N646" i="20"/>
  <c r="M646" i="20"/>
  <c r="L646" i="20"/>
  <c r="O646" i="20" s="1"/>
  <c r="P645" i="20"/>
  <c r="N645" i="20"/>
  <c r="N643" i="20" s="1"/>
  <c r="M645" i="20"/>
  <c r="L645" i="20"/>
  <c r="O645" i="20" s="1"/>
  <c r="T644" i="20"/>
  <c r="S644" i="20"/>
  <c r="R644" i="20"/>
  <c r="Q644" i="20"/>
  <c r="P644" i="20"/>
  <c r="N644" i="20"/>
  <c r="M644" i="20"/>
  <c r="L644" i="20"/>
  <c r="P643" i="20"/>
  <c r="M643" i="20"/>
  <c r="J637" i="20"/>
  <c r="J636" i="20" s="1"/>
  <c r="I636" i="20"/>
  <c r="K636" i="20" s="1"/>
  <c r="J633" i="20"/>
  <c r="J627" i="20" s="1"/>
  <c r="J616" i="20" s="1"/>
  <c r="I629" i="20"/>
  <c r="K629" i="20" s="1"/>
  <c r="I628" i="20"/>
  <c r="K628" i="20" s="1"/>
  <c r="I627" i="20"/>
  <c r="I616" i="20" s="1"/>
  <c r="K616" i="20" s="1"/>
  <c r="U625" i="20"/>
  <c r="T625" i="20"/>
  <c r="P625" i="20"/>
  <c r="O625" i="20"/>
  <c r="U624" i="20"/>
  <c r="T624" i="20"/>
  <c r="P624" i="20"/>
  <c r="O624" i="20"/>
  <c r="T623" i="20"/>
  <c r="S623" i="20"/>
  <c r="R623" i="20"/>
  <c r="U623" i="20" s="1"/>
  <c r="Q623" i="20"/>
  <c r="P623" i="20"/>
  <c r="N623" i="20"/>
  <c r="M623" i="20"/>
  <c r="L623" i="20"/>
  <c r="O623" i="20" s="1"/>
  <c r="S622" i="20"/>
  <c r="R622" i="20"/>
  <c r="Q622" i="20"/>
  <c r="Q620" i="20" s="1"/>
  <c r="P622" i="20"/>
  <c r="O622" i="20"/>
  <c r="U621" i="20"/>
  <c r="T621" i="20"/>
  <c r="P621" i="20"/>
  <c r="O621" i="20"/>
  <c r="O620" i="20"/>
  <c r="N620" i="20"/>
  <c r="M620" i="20"/>
  <c r="P620" i="20" s="1"/>
  <c r="L620" i="20"/>
  <c r="O619" i="20"/>
  <c r="N619" i="20"/>
  <c r="M619" i="20"/>
  <c r="P619" i="20" s="1"/>
  <c r="L619" i="20"/>
  <c r="L617" i="20" s="1"/>
  <c r="U618" i="20"/>
  <c r="S618" i="20"/>
  <c r="R618" i="20"/>
  <c r="Q618" i="20"/>
  <c r="T618" i="20" s="1"/>
  <c r="O618" i="20"/>
  <c r="N618" i="20"/>
  <c r="M618" i="20"/>
  <c r="L618" i="20"/>
  <c r="O617" i="20"/>
  <c r="N617" i="20"/>
  <c r="U608" i="20"/>
  <c r="T608" i="20"/>
  <c r="P608" i="20"/>
  <c r="O608" i="20"/>
  <c r="U607" i="20"/>
  <c r="T607" i="20"/>
  <c r="P607" i="20"/>
  <c r="O607" i="20"/>
  <c r="S606" i="20"/>
  <c r="R606" i="20"/>
  <c r="U606" i="20" s="1"/>
  <c r="Q606" i="20"/>
  <c r="T606" i="20" s="1"/>
  <c r="N606" i="20"/>
  <c r="M606" i="20"/>
  <c r="P606" i="20" s="1"/>
  <c r="L606" i="20"/>
  <c r="O606" i="20" s="1"/>
  <c r="U605" i="20"/>
  <c r="T605" i="20"/>
  <c r="P605" i="20"/>
  <c r="O605" i="20"/>
  <c r="U604" i="20"/>
  <c r="T604" i="20"/>
  <c r="P604" i="20"/>
  <c r="O604" i="20"/>
  <c r="T603" i="20"/>
  <c r="S603" i="20"/>
  <c r="R603" i="20"/>
  <c r="U603" i="20" s="1"/>
  <c r="Q603" i="20"/>
  <c r="N603" i="20"/>
  <c r="M603" i="20"/>
  <c r="P603" i="20" s="1"/>
  <c r="L603" i="20"/>
  <c r="O603" i="20" s="1"/>
  <c r="S602" i="20"/>
  <c r="R602" i="20"/>
  <c r="U602" i="20" s="1"/>
  <c r="Q602" i="20"/>
  <c r="T602" i="20" s="1"/>
  <c r="N602" i="20"/>
  <c r="M602" i="20"/>
  <c r="P602" i="20" s="1"/>
  <c r="L602" i="20"/>
  <c r="O602" i="20" s="1"/>
  <c r="S601" i="20"/>
  <c r="R601" i="20"/>
  <c r="U601" i="20" s="1"/>
  <c r="Q601" i="20"/>
  <c r="T601" i="20" s="1"/>
  <c r="N601" i="20"/>
  <c r="M601" i="20"/>
  <c r="M600" i="20" s="1"/>
  <c r="P600" i="20" s="1"/>
  <c r="L601" i="20"/>
  <c r="O601" i="20" s="1"/>
  <c r="Q600" i="20"/>
  <c r="T600" i="20" s="1"/>
  <c r="U585" i="20"/>
  <c r="T585" i="20"/>
  <c r="P585" i="20"/>
  <c r="O585" i="20"/>
  <c r="U584" i="20"/>
  <c r="T584" i="20"/>
  <c r="P584" i="20"/>
  <c r="O584" i="20"/>
  <c r="S583" i="20"/>
  <c r="R583" i="20"/>
  <c r="U583" i="20" s="1"/>
  <c r="Q583" i="20"/>
  <c r="T583" i="20" s="1"/>
  <c r="N583" i="20"/>
  <c r="M583" i="20"/>
  <c r="P583" i="20" s="1"/>
  <c r="L583" i="20"/>
  <c r="O583" i="20" s="1"/>
  <c r="U582" i="20"/>
  <c r="T582" i="20"/>
  <c r="P582" i="20"/>
  <c r="O582" i="20"/>
  <c r="U581" i="20"/>
  <c r="T581" i="20"/>
  <c r="P581" i="20"/>
  <c r="O581" i="20"/>
  <c r="S580" i="20"/>
  <c r="R580" i="20"/>
  <c r="U580" i="20" s="1"/>
  <c r="Q580" i="20"/>
  <c r="T580" i="20" s="1"/>
  <c r="N580" i="20"/>
  <c r="M580" i="20"/>
  <c r="P580" i="20" s="1"/>
  <c r="L580" i="20"/>
  <c r="O580" i="20" s="1"/>
  <c r="S579" i="20"/>
  <c r="R579" i="20"/>
  <c r="U579" i="20" s="1"/>
  <c r="Q579" i="20"/>
  <c r="T579" i="20" s="1"/>
  <c r="N579" i="20"/>
  <c r="N577" i="20" s="1"/>
  <c r="M579" i="20"/>
  <c r="P579" i="20" s="1"/>
  <c r="L579" i="20"/>
  <c r="O579" i="20" s="1"/>
  <c r="S578" i="20"/>
  <c r="R578" i="20"/>
  <c r="U578" i="20" s="1"/>
  <c r="Q578" i="20"/>
  <c r="T578" i="20" s="1"/>
  <c r="N578" i="20"/>
  <c r="M578" i="20"/>
  <c r="P578" i="20" s="1"/>
  <c r="L578" i="20"/>
  <c r="O578" i="20" s="1"/>
  <c r="R577" i="20"/>
  <c r="U577" i="20" s="1"/>
  <c r="Q577" i="20"/>
  <c r="T577" i="20" s="1"/>
  <c r="J576" i="20"/>
  <c r="I576" i="20"/>
  <c r="K576" i="20" s="1"/>
  <c r="U564" i="20"/>
  <c r="T564" i="20"/>
  <c r="P564" i="20"/>
  <c r="O564" i="20"/>
  <c r="U563" i="20"/>
  <c r="T563" i="20"/>
  <c r="P563" i="20"/>
  <c r="O563" i="20"/>
  <c r="S562" i="20"/>
  <c r="R562" i="20"/>
  <c r="U562" i="20" s="1"/>
  <c r="Q562" i="20"/>
  <c r="T562" i="20" s="1"/>
  <c r="N562" i="20"/>
  <c r="M562" i="20"/>
  <c r="P562" i="20" s="1"/>
  <c r="L562" i="20"/>
  <c r="O562" i="20" s="1"/>
  <c r="U561" i="20"/>
  <c r="T561" i="20"/>
  <c r="P561" i="20"/>
  <c r="O561" i="20"/>
  <c r="U560" i="20"/>
  <c r="T560" i="20"/>
  <c r="P560" i="20"/>
  <c r="O560" i="20"/>
  <c r="S559" i="20"/>
  <c r="R559" i="20"/>
  <c r="U559" i="20" s="1"/>
  <c r="Q559" i="20"/>
  <c r="T559" i="20" s="1"/>
  <c r="N559" i="20"/>
  <c r="M559" i="20"/>
  <c r="P559" i="20" s="1"/>
  <c r="L559" i="20"/>
  <c r="O559" i="20" s="1"/>
  <c r="S558" i="20"/>
  <c r="R558" i="20"/>
  <c r="U558" i="20" s="1"/>
  <c r="Q558" i="20"/>
  <c r="T558" i="20" s="1"/>
  <c r="N558" i="20"/>
  <c r="M558" i="20"/>
  <c r="P558" i="20" s="1"/>
  <c r="L558" i="20"/>
  <c r="O558" i="20" s="1"/>
  <c r="S557" i="20"/>
  <c r="R557" i="20"/>
  <c r="U557" i="20" s="1"/>
  <c r="Q557" i="20"/>
  <c r="T557" i="20" s="1"/>
  <c r="O557" i="20"/>
  <c r="N557" i="20"/>
  <c r="M557" i="20"/>
  <c r="L557" i="20"/>
  <c r="N556" i="20"/>
  <c r="J555" i="20"/>
  <c r="I555" i="20"/>
  <c r="K555" i="20" s="1"/>
  <c r="U543" i="20"/>
  <c r="T543" i="20"/>
  <c r="P543" i="20"/>
  <c r="O543" i="20"/>
  <c r="U542" i="20"/>
  <c r="T542" i="20"/>
  <c r="P542" i="20"/>
  <c r="O542" i="20"/>
  <c r="T541" i="20"/>
  <c r="S541" i="20"/>
  <c r="R541" i="20"/>
  <c r="U541" i="20" s="1"/>
  <c r="Q541" i="20"/>
  <c r="N541" i="20"/>
  <c r="M541" i="20"/>
  <c r="P541" i="20" s="1"/>
  <c r="L541" i="20"/>
  <c r="O541" i="20" s="1"/>
  <c r="U540" i="20"/>
  <c r="T540" i="20"/>
  <c r="P540" i="20"/>
  <c r="O540" i="20"/>
  <c r="U539" i="20"/>
  <c r="T539" i="20"/>
  <c r="P539" i="20"/>
  <c r="O539" i="20"/>
  <c r="S538" i="20"/>
  <c r="R538" i="20"/>
  <c r="U538" i="20" s="1"/>
  <c r="Q538" i="20"/>
  <c r="T538" i="20" s="1"/>
  <c r="N538" i="20"/>
  <c r="M538" i="20"/>
  <c r="P538" i="20" s="1"/>
  <c r="L538" i="20"/>
  <c r="O538" i="20" s="1"/>
  <c r="S537" i="20"/>
  <c r="R537" i="20"/>
  <c r="U537" i="20" s="1"/>
  <c r="Q537" i="20"/>
  <c r="T537" i="20" s="1"/>
  <c r="N537" i="20"/>
  <c r="M537" i="20"/>
  <c r="P537" i="20" s="1"/>
  <c r="L537" i="20"/>
  <c r="O537" i="20" s="1"/>
  <c r="S536" i="20"/>
  <c r="R536" i="20"/>
  <c r="U536" i="20" s="1"/>
  <c r="Q536" i="20"/>
  <c r="T536" i="20" s="1"/>
  <c r="N536" i="20"/>
  <c r="N535" i="20" s="1"/>
  <c r="M536" i="20"/>
  <c r="P536" i="20" s="1"/>
  <c r="L536" i="20"/>
  <c r="O536" i="20" s="1"/>
  <c r="L535" i="20"/>
  <c r="O535" i="20" s="1"/>
  <c r="J534" i="20"/>
  <c r="I534" i="20"/>
  <c r="K534" i="20" s="1"/>
  <c r="K525" i="20"/>
  <c r="K524" i="20"/>
  <c r="U522" i="20"/>
  <c r="T522" i="20"/>
  <c r="N522" i="20"/>
  <c r="N520" i="20" s="1"/>
  <c r="M522" i="20"/>
  <c r="P522" i="20" s="1"/>
  <c r="L522" i="20"/>
  <c r="L520" i="20" s="1"/>
  <c r="O520" i="20" s="1"/>
  <c r="U521" i="20"/>
  <c r="T521" i="20"/>
  <c r="P521" i="20"/>
  <c r="O521" i="20"/>
  <c r="S520" i="20"/>
  <c r="R520" i="20"/>
  <c r="U520" i="20" s="1"/>
  <c r="Q520" i="20"/>
  <c r="T520" i="20" s="1"/>
  <c r="U519" i="20"/>
  <c r="T519" i="20"/>
  <c r="N519" i="20"/>
  <c r="M519" i="20"/>
  <c r="P519" i="20" s="1"/>
  <c r="L519" i="20"/>
  <c r="U518" i="20"/>
  <c r="T518" i="20"/>
  <c r="P518" i="20"/>
  <c r="O518" i="20"/>
  <c r="S517" i="20"/>
  <c r="R517" i="20"/>
  <c r="U517" i="20" s="1"/>
  <c r="Q517" i="20"/>
  <c r="T517" i="20" s="1"/>
  <c r="S516" i="20"/>
  <c r="R516" i="20"/>
  <c r="U516" i="20" s="1"/>
  <c r="Q516" i="20"/>
  <c r="T516" i="20" s="1"/>
  <c r="S515" i="20"/>
  <c r="R515" i="20"/>
  <c r="Q515" i="20"/>
  <c r="T515" i="20" s="1"/>
  <c r="N515" i="20"/>
  <c r="M515" i="20"/>
  <c r="P515" i="20" s="1"/>
  <c r="L515" i="20"/>
  <c r="S514" i="20"/>
  <c r="J513" i="20"/>
  <c r="I513" i="20"/>
  <c r="K513" i="20" s="1"/>
  <c r="I510" i="20"/>
  <c r="K510" i="20" s="1"/>
  <c r="K509" i="20"/>
  <c r="I508" i="20"/>
  <c r="K508" i="20" s="1"/>
  <c r="I507" i="20"/>
  <c r="K507" i="20" s="1"/>
  <c r="I506" i="20"/>
  <c r="K506" i="20" s="1"/>
  <c r="I505" i="20"/>
  <c r="K505" i="20" s="1"/>
  <c r="I504" i="20"/>
  <c r="I493" i="20" s="1"/>
  <c r="K493" i="20" s="1"/>
  <c r="U502" i="20"/>
  <c r="T502" i="20"/>
  <c r="P502" i="20"/>
  <c r="O502" i="20"/>
  <c r="U501" i="20"/>
  <c r="T501" i="20"/>
  <c r="P501" i="20"/>
  <c r="O501" i="20"/>
  <c r="S500" i="20"/>
  <c r="R500" i="20"/>
  <c r="U500" i="20" s="1"/>
  <c r="Q500" i="20"/>
  <c r="T500" i="20" s="1"/>
  <c r="N500" i="20"/>
  <c r="M500" i="20"/>
  <c r="P500" i="20" s="1"/>
  <c r="L500" i="20"/>
  <c r="O500" i="20" s="1"/>
  <c r="S499" i="20"/>
  <c r="S496" i="20" s="1"/>
  <c r="R499" i="20"/>
  <c r="R497" i="20" s="1"/>
  <c r="U497" i="20" s="1"/>
  <c r="Q499" i="20"/>
  <c r="Q496" i="20" s="1"/>
  <c r="T496" i="20" s="1"/>
  <c r="P499" i="20"/>
  <c r="O499" i="20"/>
  <c r="U498" i="20"/>
  <c r="T498" i="20"/>
  <c r="P498" i="20"/>
  <c r="O498" i="20"/>
  <c r="N497" i="20"/>
  <c r="M497" i="20"/>
  <c r="P497" i="20" s="1"/>
  <c r="L497" i="20"/>
  <c r="O497" i="20" s="1"/>
  <c r="N496" i="20"/>
  <c r="M496" i="20"/>
  <c r="P496" i="20" s="1"/>
  <c r="L496" i="20"/>
  <c r="O496" i="20" s="1"/>
  <c r="T495" i="20"/>
  <c r="S495" i="20"/>
  <c r="R495" i="20"/>
  <c r="U495" i="20" s="1"/>
  <c r="Q495" i="20"/>
  <c r="N495" i="20"/>
  <c r="M495" i="20"/>
  <c r="P495" i="20" s="1"/>
  <c r="L495" i="20"/>
  <c r="L494" i="20" s="1"/>
  <c r="O494" i="20" s="1"/>
  <c r="J486" i="20"/>
  <c r="I486" i="20"/>
  <c r="K486" i="20" s="1"/>
  <c r="J485" i="20"/>
  <c r="I485" i="20"/>
  <c r="K485" i="20" s="1"/>
  <c r="J484" i="20"/>
  <c r="J483" i="20"/>
  <c r="K478" i="20"/>
  <c r="J478" i="20"/>
  <c r="K477" i="20"/>
  <c r="J477" i="20"/>
  <c r="K476" i="20"/>
  <c r="J476" i="20"/>
  <c r="J469" i="20"/>
  <c r="J468" i="20"/>
  <c r="J461" i="20"/>
  <c r="J459" i="20" s="1"/>
  <c r="J460" i="20"/>
  <c r="J458" i="20" s="1"/>
  <c r="J457" i="20" s="1"/>
  <c r="I459" i="20"/>
  <c r="K459" i="20" s="1"/>
  <c r="I458" i="20"/>
  <c r="I457" i="20" s="1"/>
  <c r="K457" i="20" s="1"/>
  <c r="J448" i="20"/>
  <c r="J442" i="20" s="1"/>
  <c r="J447" i="20"/>
  <c r="I442" i="20"/>
  <c r="K442" i="20" s="1"/>
  <c r="J441" i="20"/>
  <c r="J424" i="20" s="1"/>
  <c r="J413" i="20" s="1"/>
  <c r="I441" i="20"/>
  <c r="K441" i="20" s="1"/>
  <c r="J434" i="20"/>
  <c r="I434" i="20"/>
  <c r="K434" i="20" s="1"/>
  <c r="J433" i="20"/>
  <c r="I433" i="20"/>
  <c r="K433" i="20" s="1"/>
  <c r="J426" i="20"/>
  <c r="I426" i="20"/>
  <c r="K426" i="20" s="1"/>
  <c r="J425" i="20"/>
  <c r="I425" i="20"/>
  <c r="K425" i="20" s="1"/>
  <c r="U422" i="20"/>
  <c r="T422" i="20"/>
  <c r="P422" i="20"/>
  <c r="O422" i="20"/>
  <c r="U421" i="20"/>
  <c r="T421" i="20"/>
  <c r="P421" i="20"/>
  <c r="O421" i="20"/>
  <c r="U420" i="20"/>
  <c r="S420" i="20"/>
  <c r="R420" i="20"/>
  <c r="Q420" i="20"/>
  <c r="T420" i="20" s="1"/>
  <c r="O420" i="20"/>
  <c r="N420" i="20"/>
  <c r="M420" i="20"/>
  <c r="P420" i="20" s="1"/>
  <c r="L420" i="20"/>
  <c r="S419" i="20"/>
  <c r="R419" i="20"/>
  <c r="R416" i="20" s="1"/>
  <c r="Q419" i="20"/>
  <c r="Q417" i="20" s="1"/>
  <c r="T417" i="20" s="1"/>
  <c r="P419" i="20"/>
  <c r="O419" i="20"/>
  <c r="U418" i="20"/>
  <c r="T418" i="20"/>
  <c r="P418" i="20"/>
  <c r="O418" i="20"/>
  <c r="N417" i="20"/>
  <c r="M417" i="20"/>
  <c r="P417" i="20" s="1"/>
  <c r="L417" i="20"/>
  <c r="O417" i="20" s="1"/>
  <c r="N416" i="20"/>
  <c r="M416" i="20"/>
  <c r="P416" i="20" s="1"/>
  <c r="L416" i="20"/>
  <c r="O416" i="20" s="1"/>
  <c r="S415" i="20"/>
  <c r="R415" i="20"/>
  <c r="U415" i="20" s="1"/>
  <c r="Q415" i="20"/>
  <c r="P415" i="20"/>
  <c r="N415" i="20"/>
  <c r="N414" i="20" s="1"/>
  <c r="M415" i="20"/>
  <c r="L415" i="20"/>
  <c r="O415" i="20" s="1"/>
  <c r="M414" i="20"/>
  <c r="P414" i="20" s="1"/>
  <c r="U401" i="20"/>
  <c r="T401" i="20"/>
  <c r="P401" i="20"/>
  <c r="O401" i="20"/>
  <c r="U400" i="20"/>
  <c r="T400" i="20"/>
  <c r="P400" i="20"/>
  <c r="O400" i="20"/>
  <c r="S399" i="20"/>
  <c r="R399" i="20"/>
  <c r="U399" i="20" s="1"/>
  <c r="Q399" i="20"/>
  <c r="T399" i="20" s="1"/>
  <c r="P399" i="20"/>
  <c r="N399" i="20"/>
  <c r="M399" i="20"/>
  <c r="L399" i="20"/>
  <c r="O399" i="20" s="1"/>
  <c r="U398" i="20"/>
  <c r="T398" i="20"/>
  <c r="P398" i="20"/>
  <c r="O398" i="20"/>
  <c r="U397" i="20"/>
  <c r="T397" i="20"/>
  <c r="P397" i="20"/>
  <c r="O397" i="20"/>
  <c r="U396" i="20"/>
  <c r="S396" i="20"/>
  <c r="R396" i="20"/>
  <c r="Q396" i="20"/>
  <c r="T396" i="20" s="1"/>
  <c r="P396" i="20"/>
  <c r="N396" i="20"/>
  <c r="M396" i="20"/>
  <c r="L396" i="20"/>
  <c r="O396" i="20" s="1"/>
  <c r="T395" i="20"/>
  <c r="S395" i="20"/>
  <c r="R395" i="20"/>
  <c r="U395" i="20" s="1"/>
  <c r="Q395" i="20"/>
  <c r="N395" i="20"/>
  <c r="M395" i="20"/>
  <c r="L395" i="20"/>
  <c r="O395" i="20" s="1"/>
  <c r="S394" i="20"/>
  <c r="R394" i="20"/>
  <c r="Q394" i="20"/>
  <c r="N394" i="20"/>
  <c r="N393" i="20" s="1"/>
  <c r="M394" i="20"/>
  <c r="P394" i="20" s="1"/>
  <c r="L394" i="20"/>
  <c r="J392" i="20"/>
  <c r="I392" i="20"/>
  <c r="K392" i="20" s="1"/>
  <c r="K389" i="20"/>
  <c r="K388" i="20"/>
  <c r="I387" i="20"/>
  <c r="K387" i="20" s="1"/>
  <c r="I386" i="20"/>
  <c r="I375" i="20" s="1"/>
  <c r="K375" i="20" s="1"/>
  <c r="U384" i="20"/>
  <c r="T384" i="20"/>
  <c r="P384" i="20"/>
  <c r="O384" i="20"/>
  <c r="U383" i="20"/>
  <c r="T383" i="20"/>
  <c r="P383" i="20"/>
  <c r="O383" i="20"/>
  <c r="S382" i="20"/>
  <c r="R382" i="20"/>
  <c r="U382" i="20" s="1"/>
  <c r="Q382" i="20"/>
  <c r="T382" i="20" s="1"/>
  <c r="N382" i="20"/>
  <c r="M382" i="20"/>
  <c r="P382" i="20" s="1"/>
  <c r="L382" i="20"/>
  <c r="O382" i="20" s="1"/>
  <c r="S381" i="20"/>
  <c r="R381" i="20"/>
  <c r="R379" i="20" s="1"/>
  <c r="U379" i="20" s="1"/>
  <c r="P381" i="20"/>
  <c r="O381" i="20"/>
  <c r="U380" i="20"/>
  <c r="T380" i="20"/>
  <c r="P380" i="20"/>
  <c r="O380" i="20"/>
  <c r="O379" i="20"/>
  <c r="N379" i="20"/>
  <c r="M379" i="20"/>
  <c r="P379" i="20" s="1"/>
  <c r="L379" i="20"/>
  <c r="N378" i="20"/>
  <c r="M378" i="20"/>
  <c r="L378" i="20"/>
  <c r="O378" i="20" s="1"/>
  <c r="S377" i="20"/>
  <c r="R377" i="20"/>
  <c r="Q377" i="20"/>
  <c r="N377" i="20"/>
  <c r="N376" i="20" s="1"/>
  <c r="M377" i="20"/>
  <c r="P377" i="20" s="1"/>
  <c r="L377" i="20"/>
  <c r="J375" i="20"/>
  <c r="D374" i="20"/>
  <c r="K373" i="20"/>
  <c r="J373" i="20"/>
  <c r="J372" i="20"/>
  <c r="J366" i="20" s="1"/>
  <c r="I372" i="20"/>
  <c r="K371" i="20"/>
  <c r="J371" i="20"/>
  <c r="J370" i="20"/>
  <c r="I370" i="20"/>
  <c r="K370" i="20" s="1"/>
  <c r="J369" i="20"/>
  <c r="I369" i="20"/>
  <c r="K369" i="20" s="1"/>
  <c r="K368" i="20"/>
  <c r="J368" i="20"/>
  <c r="U365" i="20"/>
  <c r="T365" i="20"/>
  <c r="N365" i="20"/>
  <c r="M365" i="20"/>
  <c r="L365" i="20"/>
  <c r="L363" i="20" s="1"/>
  <c r="O363" i="20" s="1"/>
  <c r="U364" i="20"/>
  <c r="T364" i="20"/>
  <c r="P364" i="20"/>
  <c r="O364" i="20"/>
  <c r="U363" i="20"/>
  <c r="S363" i="20"/>
  <c r="R363" i="20"/>
  <c r="Q363" i="20"/>
  <c r="T363" i="20" s="1"/>
  <c r="U362" i="20"/>
  <c r="T362" i="20"/>
  <c r="N362" i="20"/>
  <c r="N360" i="20" s="1"/>
  <c r="M362" i="20"/>
  <c r="L362" i="20"/>
  <c r="U361" i="20"/>
  <c r="T361" i="20"/>
  <c r="P361" i="20"/>
  <c r="O361" i="20"/>
  <c r="T360" i="20"/>
  <c r="S360" i="20"/>
  <c r="R360" i="20"/>
  <c r="U360" i="20" s="1"/>
  <c r="Q360" i="20"/>
  <c r="S359" i="20"/>
  <c r="R359" i="20"/>
  <c r="U359" i="20" s="1"/>
  <c r="Q359" i="20"/>
  <c r="U358" i="20"/>
  <c r="T358" i="20"/>
  <c r="S358" i="20"/>
  <c r="R358" i="20"/>
  <c r="Q358" i="20"/>
  <c r="P358" i="20"/>
  <c r="O358" i="20"/>
  <c r="N358" i="20"/>
  <c r="M358" i="20"/>
  <c r="L358" i="20"/>
  <c r="S357" i="20"/>
  <c r="D355" i="20"/>
  <c r="D351" i="20"/>
  <c r="J350" i="20"/>
  <c r="J349" i="20"/>
  <c r="J348" i="20"/>
  <c r="J347" i="20"/>
  <c r="I347" i="20"/>
  <c r="J345" i="20"/>
  <c r="I345" i="20"/>
  <c r="I333" i="20" s="1"/>
  <c r="U342" i="20"/>
  <c r="T342" i="20"/>
  <c r="N342" i="20"/>
  <c r="N340" i="20" s="1"/>
  <c r="M342" i="20"/>
  <c r="P342" i="20" s="1"/>
  <c r="L342" i="20"/>
  <c r="L340" i="20" s="1"/>
  <c r="O340" i="20" s="1"/>
  <c r="U341" i="20"/>
  <c r="T341" i="20"/>
  <c r="P341" i="20"/>
  <c r="O341" i="20"/>
  <c r="T340" i="20"/>
  <c r="S340" i="20"/>
  <c r="R340" i="20"/>
  <c r="U340" i="20" s="1"/>
  <c r="Q340" i="20"/>
  <c r="U339" i="20"/>
  <c r="T339" i="20"/>
  <c r="N339" i="20"/>
  <c r="N337" i="20" s="1"/>
  <c r="M339" i="20"/>
  <c r="M337" i="20" s="1"/>
  <c r="L339" i="20"/>
  <c r="L337" i="20" s="1"/>
  <c r="U338" i="20"/>
  <c r="T338" i="20"/>
  <c r="P338" i="20"/>
  <c r="O338" i="20"/>
  <c r="U337" i="20"/>
  <c r="S337" i="20"/>
  <c r="R337" i="20"/>
  <c r="Q337" i="20"/>
  <c r="T337" i="20" s="1"/>
  <c r="U336" i="20"/>
  <c r="S336" i="20"/>
  <c r="R336" i="20"/>
  <c r="Q336" i="20"/>
  <c r="T336" i="20" s="1"/>
  <c r="S335" i="20"/>
  <c r="R335" i="20"/>
  <c r="R334" i="20" s="1"/>
  <c r="Q335" i="20"/>
  <c r="T335" i="20" s="1"/>
  <c r="O335" i="20"/>
  <c r="N335" i="20"/>
  <c r="M335" i="20"/>
  <c r="P335" i="20" s="1"/>
  <c r="L335" i="20"/>
  <c r="U334" i="20"/>
  <c r="S334" i="20"/>
  <c r="I331" i="20"/>
  <c r="K331" i="20" s="1"/>
  <c r="U329" i="20"/>
  <c r="T329" i="20"/>
  <c r="N329" i="20"/>
  <c r="N327" i="20" s="1"/>
  <c r="M329" i="20"/>
  <c r="P329" i="20" s="1"/>
  <c r="L329" i="20"/>
  <c r="L327" i="20" s="1"/>
  <c r="O327" i="20" s="1"/>
  <c r="U328" i="20"/>
  <c r="T328" i="20"/>
  <c r="P328" i="20"/>
  <c r="O328" i="20"/>
  <c r="U327" i="20"/>
  <c r="S327" i="20"/>
  <c r="R327" i="20"/>
  <c r="Q327" i="20"/>
  <c r="T327" i="20" s="1"/>
  <c r="U326" i="20"/>
  <c r="T326" i="20"/>
  <c r="N326" i="20"/>
  <c r="M326" i="20"/>
  <c r="M324" i="20" s="1"/>
  <c r="P324" i="20" s="1"/>
  <c r="L326" i="20"/>
  <c r="O326" i="20" s="1"/>
  <c r="U325" i="20"/>
  <c r="T325" i="20"/>
  <c r="P325" i="20"/>
  <c r="O325" i="20"/>
  <c r="U324" i="20"/>
  <c r="T324" i="20"/>
  <c r="S324" i="20"/>
  <c r="R324" i="20"/>
  <c r="Q324" i="20"/>
  <c r="T323" i="20"/>
  <c r="S323" i="20"/>
  <c r="S321" i="20" s="1"/>
  <c r="R323" i="20"/>
  <c r="U323" i="20" s="1"/>
  <c r="Q323" i="20"/>
  <c r="T322" i="20"/>
  <c r="S322" i="20"/>
  <c r="R322" i="20"/>
  <c r="U322" i="20" s="1"/>
  <c r="Q322" i="20"/>
  <c r="Q321" i="20" s="1"/>
  <c r="P322" i="20"/>
  <c r="N322" i="20"/>
  <c r="M322" i="20"/>
  <c r="L322" i="20"/>
  <c r="O322" i="20" s="1"/>
  <c r="T321" i="20"/>
  <c r="J320" i="20"/>
  <c r="I315" i="20"/>
  <c r="K315" i="20" s="1"/>
  <c r="U312" i="20"/>
  <c r="T312" i="20"/>
  <c r="N312" i="20"/>
  <c r="N310" i="20" s="1"/>
  <c r="M312" i="20"/>
  <c r="L312" i="20"/>
  <c r="O312" i="20" s="1"/>
  <c r="U311" i="20"/>
  <c r="T311" i="20"/>
  <c r="P311" i="20"/>
  <c r="O311" i="20"/>
  <c r="T310" i="20"/>
  <c r="S310" i="20"/>
  <c r="R310" i="20"/>
  <c r="U310" i="20" s="1"/>
  <c r="Q310" i="20"/>
  <c r="S309" i="20"/>
  <c r="S307" i="20" s="1"/>
  <c r="R309" i="20"/>
  <c r="U309" i="20" s="1"/>
  <c r="Q309" i="20"/>
  <c r="T309" i="20" s="1"/>
  <c r="N309" i="20"/>
  <c r="M309" i="20"/>
  <c r="M307" i="20" s="1"/>
  <c r="P307" i="20" s="1"/>
  <c r="L309" i="20"/>
  <c r="L307" i="20" s="1"/>
  <c r="O307" i="20" s="1"/>
  <c r="U308" i="20"/>
  <c r="T308" i="20"/>
  <c r="P308" i="20"/>
  <c r="O308" i="20"/>
  <c r="T305" i="20"/>
  <c r="S305" i="20"/>
  <c r="R305" i="20"/>
  <c r="U305" i="20" s="1"/>
  <c r="Q305" i="20"/>
  <c r="P305" i="20"/>
  <c r="N305" i="20"/>
  <c r="M305" i="20"/>
  <c r="L305" i="20"/>
  <c r="O305" i="20" s="1"/>
  <c r="J303" i="20"/>
  <c r="I297" i="20"/>
  <c r="K297" i="20" s="1"/>
  <c r="I296" i="20"/>
  <c r="K296" i="20" s="1"/>
  <c r="J294" i="20"/>
  <c r="J281" i="20" s="1"/>
  <c r="I294" i="20"/>
  <c r="K294" i="20" s="1"/>
  <c r="I293" i="20"/>
  <c r="K293" i="20" s="1"/>
  <c r="U291" i="20"/>
  <c r="T291" i="20"/>
  <c r="N291" i="20"/>
  <c r="N289" i="20" s="1"/>
  <c r="M291" i="20"/>
  <c r="P291" i="20" s="1"/>
  <c r="L291" i="20"/>
  <c r="O291" i="20" s="1"/>
  <c r="U290" i="20"/>
  <c r="T290" i="20"/>
  <c r="P290" i="20"/>
  <c r="O290" i="20"/>
  <c r="S289" i="20"/>
  <c r="R289" i="20"/>
  <c r="U289" i="20" s="1"/>
  <c r="Q289" i="20"/>
  <c r="T289" i="20" s="1"/>
  <c r="U288" i="20"/>
  <c r="T288" i="20"/>
  <c r="N288" i="20"/>
  <c r="N286" i="20" s="1"/>
  <c r="M288" i="20"/>
  <c r="M286" i="20" s="1"/>
  <c r="P286" i="20" s="1"/>
  <c r="L288" i="20"/>
  <c r="U287" i="20"/>
  <c r="T287" i="20"/>
  <c r="P287" i="20"/>
  <c r="O287" i="20"/>
  <c r="U286" i="20"/>
  <c r="T286" i="20"/>
  <c r="S286" i="20"/>
  <c r="R286" i="20"/>
  <c r="Q286" i="20"/>
  <c r="T285" i="20"/>
  <c r="S285" i="20"/>
  <c r="R285" i="20"/>
  <c r="U285" i="20" s="1"/>
  <c r="Q285" i="20"/>
  <c r="T284" i="20"/>
  <c r="S284" i="20"/>
  <c r="S283" i="20" s="1"/>
  <c r="R284" i="20"/>
  <c r="U284" i="20" s="1"/>
  <c r="Q284" i="20"/>
  <c r="N284" i="20"/>
  <c r="M284" i="20"/>
  <c r="L284" i="20"/>
  <c r="O284" i="20" s="1"/>
  <c r="Q283" i="20"/>
  <c r="T283" i="20" s="1"/>
  <c r="J282" i="20"/>
  <c r="I277" i="20"/>
  <c r="K277" i="20" s="1"/>
  <c r="U275" i="20"/>
  <c r="T275" i="20"/>
  <c r="N275" i="20"/>
  <c r="N273" i="20" s="1"/>
  <c r="M275" i="20"/>
  <c r="P275" i="20" s="1"/>
  <c r="L275" i="20"/>
  <c r="L273" i="20" s="1"/>
  <c r="O273" i="20" s="1"/>
  <c r="U274" i="20"/>
  <c r="T274" i="20"/>
  <c r="P274" i="20"/>
  <c r="O274" i="20"/>
  <c r="U273" i="20"/>
  <c r="S273" i="20"/>
  <c r="R273" i="20"/>
  <c r="Q273" i="20"/>
  <c r="T273" i="20" s="1"/>
  <c r="S272" i="20"/>
  <c r="S270" i="20" s="1"/>
  <c r="R272" i="20"/>
  <c r="R270" i="20" s="1"/>
  <c r="Q272" i="20"/>
  <c r="Q270" i="20" s="1"/>
  <c r="N272" i="20"/>
  <c r="M272" i="20"/>
  <c r="L272" i="20"/>
  <c r="L270" i="20" s="1"/>
  <c r="O270" i="20" s="1"/>
  <c r="U271" i="20"/>
  <c r="T271" i="20"/>
  <c r="P271" i="20"/>
  <c r="O271" i="20"/>
  <c r="U268" i="20"/>
  <c r="S268" i="20"/>
  <c r="R268" i="20"/>
  <c r="Q268" i="20"/>
  <c r="T268" i="20" s="1"/>
  <c r="O268" i="20"/>
  <c r="N268" i="20"/>
  <c r="M268" i="20"/>
  <c r="L268" i="20"/>
  <c r="J266" i="20"/>
  <c r="K264" i="20"/>
  <c r="K263" i="20"/>
  <c r="I261" i="20"/>
  <c r="L259" i="20"/>
  <c r="L258" i="20"/>
  <c r="L257" i="20"/>
  <c r="L256" i="20"/>
  <c r="P255" i="20"/>
  <c r="N255" i="20"/>
  <c r="J254" i="20"/>
  <c r="K253" i="20"/>
  <c r="K252" i="20"/>
  <c r="I250" i="20"/>
  <c r="I243" i="20" s="1"/>
  <c r="L248" i="20"/>
  <c r="L247" i="20"/>
  <c r="L246" i="20"/>
  <c r="L245" i="20"/>
  <c r="P244" i="20"/>
  <c r="N244" i="20"/>
  <c r="N233" i="20" s="1"/>
  <c r="J243" i="20"/>
  <c r="K242" i="20"/>
  <c r="J242" i="20"/>
  <c r="I242" i="20"/>
  <c r="K241" i="20"/>
  <c r="J241" i="20"/>
  <c r="I241" i="20"/>
  <c r="J239" i="20"/>
  <c r="N237" i="20"/>
  <c r="N236" i="20"/>
  <c r="N235" i="20"/>
  <c r="N234" i="20"/>
  <c r="J232" i="20"/>
  <c r="J186" i="20" s="1"/>
  <c r="I231" i="20"/>
  <c r="K231" i="20" s="1"/>
  <c r="I230" i="20"/>
  <c r="K230" i="20" s="1"/>
  <c r="I229" i="20"/>
  <c r="K229" i="20" s="1"/>
  <c r="L226" i="20"/>
  <c r="L225" i="20"/>
  <c r="L224" i="20"/>
  <c r="P223" i="20"/>
  <c r="N223" i="20"/>
  <c r="J222" i="20"/>
  <c r="I221" i="20"/>
  <c r="I214" i="20" s="1"/>
  <c r="K214" i="20" s="1"/>
  <c r="I220" i="20"/>
  <c r="K220" i="20" s="1"/>
  <c r="L218" i="20"/>
  <c r="L217" i="20"/>
  <c r="L216" i="20"/>
  <c r="P215" i="20"/>
  <c r="N215" i="20"/>
  <c r="J214" i="20"/>
  <c r="I213" i="20"/>
  <c r="K213" i="20" s="1"/>
  <c r="I212" i="20"/>
  <c r="K212" i="20" s="1"/>
  <c r="I210" i="20"/>
  <c r="I203" i="20" s="1"/>
  <c r="K203" i="20" s="1"/>
  <c r="L208" i="20"/>
  <c r="L207" i="20"/>
  <c r="L206" i="20"/>
  <c r="L205" i="20"/>
  <c r="P204" i="20"/>
  <c r="N204" i="20"/>
  <c r="J203" i="20"/>
  <c r="J200" i="20"/>
  <c r="I199" i="20"/>
  <c r="K199" i="20" s="1"/>
  <c r="P197" i="20"/>
  <c r="L197" i="20"/>
  <c r="O197" i="20" s="1"/>
  <c r="J196" i="20"/>
  <c r="U195" i="20"/>
  <c r="T195" i="20"/>
  <c r="N195" i="20"/>
  <c r="N193" i="20" s="1"/>
  <c r="M195" i="20"/>
  <c r="P195" i="20" s="1"/>
  <c r="L195" i="20"/>
  <c r="O195" i="20" s="1"/>
  <c r="U194" i="20"/>
  <c r="T194" i="20"/>
  <c r="P194" i="20"/>
  <c r="O194" i="20"/>
  <c r="T193" i="20"/>
  <c r="S193" i="20"/>
  <c r="R193" i="20"/>
  <c r="U193" i="20" s="1"/>
  <c r="Q193" i="20"/>
  <c r="S192" i="20"/>
  <c r="S190" i="20" s="1"/>
  <c r="R192" i="20"/>
  <c r="Q192" i="20"/>
  <c r="N192" i="20"/>
  <c r="M192" i="20"/>
  <c r="M190" i="20" s="1"/>
  <c r="L192" i="20"/>
  <c r="U191" i="20"/>
  <c r="T191" i="20"/>
  <c r="P191" i="20"/>
  <c r="O191" i="20"/>
  <c r="U188" i="20"/>
  <c r="T188" i="20"/>
  <c r="S188" i="20"/>
  <c r="R188" i="20"/>
  <c r="Q188" i="20"/>
  <c r="P188" i="20"/>
  <c r="O188" i="20"/>
  <c r="N188" i="20"/>
  <c r="M188" i="20"/>
  <c r="L188" i="20"/>
  <c r="K185" i="20"/>
  <c r="I184" i="20"/>
  <c r="K184" i="20" s="1"/>
  <c r="U182" i="20"/>
  <c r="T182" i="20"/>
  <c r="N182" i="20"/>
  <c r="N180" i="20" s="1"/>
  <c r="M182" i="20"/>
  <c r="L182" i="20"/>
  <c r="L180" i="20" s="1"/>
  <c r="O180" i="20" s="1"/>
  <c r="U181" i="20"/>
  <c r="T181" i="20"/>
  <c r="P181" i="20"/>
  <c r="O181" i="20"/>
  <c r="U180" i="20"/>
  <c r="S180" i="20"/>
  <c r="R180" i="20"/>
  <c r="Q180" i="20"/>
  <c r="T180" i="20" s="1"/>
  <c r="S179" i="20"/>
  <c r="S177" i="20" s="1"/>
  <c r="R179" i="20"/>
  <c r="R177" i="20" s="1"/>
  <c r="U177" i="20" s="1"/>
  <c r="Q179" i="20"/>
  <c r="T179" i="20" s="1"/>
  <c r="N179" i="20"/>
  <c r="N177" i="20" s="1"/>
  <c r="M179" i="20"/>
  <c r="L179" i="20"/>
  <c r="L177" i="20" s="1"/>
  <c r="U178" i="20"/>
  <c r="T178" i="20"/>
  <c r="P178" i="20"/>
  <c r="O178" i="20"/>
  <c r="S175" i="20"/>
  <c r="R175" i="20"/>
  <c r="Q175" i="20"/>
  <c r="T175" i="20" s="1"/>
  <c r="N175" i="20"/>
  <c r="M175" i="20"/>
  <c r="L175" i="20"/>
  <c r="J173" i="20"/>
  <c r="I170" i="20"/>
  <c r="K170" i="20" s="1"/>
  <c r="I169" i="20"/>
  <c r="K169" i="20" s="1"/>
  <c r="I168" i="20"/>
  <c r="K168" i="20" s="1"/>
  <c r="U166" i="20"/>
  <c r="T166" i="20"/>
  <c r="N166" i="20"/>
  <c r="N164" i="20" s="1"/>
  <c r="M166" i="20"/>
  <c r="L166" i="20"/>
  <c r="L164" i="20" s="1"/>
  <c r="O164" i="20" s="1"/>
  <c r="U165" i="20"/>
  <c r="T165" i="20"/>
  <c r="P165" i="20"/>
  <c r="O165" i="20"/>
  <c r="S164" i="20"/>
  <c r="R164" i="20"/>
  <c r="U164" i="20" s="1"/>
  <c r="Q164" i="20"/>
  <c r="T164" i="20" s="1"/>
  <c r="S163" i="20"/>
  <c r="S161" i="20" s="1"/>
  <c r="R163" i="20"/>
  <c r="R161" i="20" s="1"/>
  <c r="U161" i="20" s="1"/>
  <c r="Q161" i="20"/>
  <c r="T161" i="20" s="1"/>
  <c r="N163" i="20"/>
  <c r="N161" i="20" s="1"/>
  <c r="M163" i="20"/>
  <c r="L163" i="20"/>
  <c r="L161" i="20" s="1"/>
  <c r="O161" i="20" s="1"/>
  <c r="U162" i="20"/>
  <c r="T162" i="20"/>
  <c r="P162" i="20"/>
  <c r="O162" i="20"/>
  <c r="S159" i="20"/>
  <c r="R159" i="20"/>
  <c r="Q159" i="20"/>
  <c r="T159" i="20" s="1"/>
  <c r="N159" i="20"/>
  <c r="M159" i="20"/>
  <c r="L159" i="20"/>
  <c r="J157" i="20"/>
  <c r="I155" i="20"/>
  <c r="I137" i="20" s="1"/>
  <c r="K137" i="20" s="1"/>
  <c r="I154" i="20"/>
  <c r="K154" i="20" s="1"/>
  <c r="I153" i="20"/>
  <c r="I138" i="20" s="1"/>
  <c r="K138" i="20" s="1"/>
  <c r="I152" i="20"/>
  <c r="K152" i="20" s="1"/>
  <c r="I151" i="20"/>
  <c r="K151" i="20" s="1"/>
  <c r="U148" i="20"/>
  <c r="T148" i="20"/>
  <c r="N148" i="20"/>
  <c r="N146" i="20" s="1"/>
  <c r="M148" i="20"/>
  <c r="P148" i="20" s="1"/>
  <c r="L148" i="20"/>
  <c r="U147" i="20"/>
  <c r="T147" i="20"/>
  <c r="P147" i="20"/>
  <c r="O147" i="20"/>
  <c r="S146" i="20"/>
  <c r="R146" i="20"/>
  <c r="U146" i="20" s="1"/>
  <c r="Q146" i="20"/>
  <c r="T146" i="20" s="1"/>
  <c r="S145" i="20"/>
  <c r="S142" i="20" s="1"/>
  <c r="R145" i="20"/>
  <c r="R142" i="20" s="1"/>
  <c r="U142" i="20" s="1"/>
  <c r="Q145" i="20"/>
  <c r="Q142" i="20" s="1"/>
  <c r="T142" i="20" s="1"/>
  <c r="N145" i="20"/>
  <c r="N143" i="20" s="1"/>
  <c r="M145" i="20"/>
  <c r="P145" i="20" s="1"/>
  <c r="L145" i="20"/>
  <c r="U144" i="20"/>
  <c r="T144" i="20"/>
  <c r="P144" i="20"/>
  <c r="O144" i="20"/>
  <c r="S141" i="20"/>
  <c r="R141" i="20"/>
  <c r="U141" i="20" s="1"/>
  <c r="Q141" i="20"/>
  <c r="P141" i="20"/>
  <c r="N141" i="20"/>
  <c r="M141" i="20"/>
  <c r="L141" i="20"/>
  <c r="O141" i="20" s="1"/>
  <c r="J139" i="20"/>
  <c r="J138" i="20"/>
  <c r="J137" i="20"/>
  <c r="I131" i="20"/>
  <c r="K131" i="20" s="1"/>
  <c r="I130" i="20"/>
  <c r="K130" i="20" s="1"/>
  <c r="I129" i="20"/>
  <c r="K129" i="20" s="1"/>
  <c r="I128" i="20"/>
  <c r="I117" i="20" s="1"/>
  <c r="K117" i="20" s="1"/>
  <c r="U126" i="20"/>
  <c r="T126" i="20"/>
  <c r="N126" i="20"/>
  <c r="N124" i="20" s="1"/>
  <c r="M126" i="20"/>
  <c r="L126" i="20"/>
  <c r="O126" i="20" s="1"/>
  <c r="U125" i="20"/>
  <c r="T125" i="20"/>
  <c r="P125" i="20"/>
  <c r="O125" i="20"/>
  <c r="U124" i="20"/>
  <c r="S124" i="20"/>
  <c r="R124" i="20"/>
  <c r="Q124" i="20"/>
  <c r="T124" i="20" s="1"/>
  <c r="S123" i="20"/>
  <c r="S121" i="20" s="1"/>
  <c r="R123" i="20"/>
  <c r="R120" i="20" s="1"/>
  <c r="Q123" i="20"/>
  <c r="Q121" i="20" s="1"/>
  <c r="N123" i="20"/>
  <c r="N121" i="20" s="1"/>
  <c r="M123" i="20"/>
  <c r="L123" i="20"/>
  <c r="U122" i="20"/>
  <c r="T122" i="20"/>
  <c r="P122" i="20"/>
  <c r="O122" i="20"/>
  <c r="S119" i="20"/>
  <c r="R119" i="20"/>
  <c r="Q119" i="20"/>
  <c r="T119" i="20" s="1"/>
  <c r="N119" i="20"/>
  <c r="M119" i="20"/>
  <c r="L119" i="20"/>
  <c r="J117" i="20"/>
  <c r="I115" i="20"/>
  <c r="K115" i="20" s="1"/>
  <c r="I110" i="20"/>
  <c r="K110" i="20" s="1"/>
  <c r="I109" i="20"/>
  <c r="K109" i="20" s="1"/>
  <c r="U103" i="20"/>
  <c r="T103" i="20"/>
  <c r="N103" i="20"/>
  <c r="N101" i="20" s="1"/>
  <c r="M103" i="20"/>
  <c r="L103" i="20"/>
  <c r="O103" i="20" s="1"/>
  <c r="U102" i="20"/>
  <c r="T102" i="20"/>
  <c r="P102" i="20"/>
  <c r="O102" i="20"/>
  <c r="S101" i="20"/>
  <c r="R101" i="20"/>
  <c r="U101" i="20" s="1"/>
  <c r="Q101" i="20"/>
  <c r="T101" i="20" s="1"/>
  <c r="S100" i="20"/>
  <c r="S98" i="20" s="1"/>
  <c r="R100" i="20"/>
  <c r="R98" i="20" s="1"/>
  <c r="U98" i="20" s="1"/>
  <c r="N100" i="20"/>
  <c r="N98" i="20" s="1"/>
  <c r="M100" i="20"/>
  <c r="L100" i="20"/>
  <c r="L98" i="20" s="1"/>
  <c r="O98" i="20" s="1"/>
  <c r="U99" i="20"/>
  <c r="T99" i="20"/>
  <c r="P99" i="20"/>
  <c r="O99" i="20"/>
  <c r="S96" i="20"/>
  <c r="R96" i="20"/>
  <c r="Q96" i="20"/>
  <c r="T96" i="20" s="1"/>
  <c r="N96" i="20"/>
  <c r="M96" i="20"/>
  <c r="L96" i="20"/>
  <c r="O96" i="20" s="1"/>
  <c r="J94" i="20"/>
  <c r="J93" i="20"/>
  <c r="I91" i="20"/>
  <c r="K91" i="20" s="1"/>
  <c r="I90" i="20"/>
  <c r="K90" i="20" s="1"/>
  <c r="I89" i="20"/>
  <c r="K89" i="20" s="1"/>
  <c r="I88" i="20"/>
  <c r="K88" i="20" s="1"/>
  <c r="I87" i="20"/>
  <c r="K87" i="20" s="1"/>
  <c r="I86" i="20"/>
  <c r="K86" i="20" s="1"/>
  <c r="I85" i="20"/>
  <c r="K85" i="20" s="1"/>
  <c r="J84" i="20"/>
  <c r="J83" i="20"/>
  <c r="J71" i="20" s="1"/>
  <c r="U81" i="20"/>
  <c r="T81" i="20"/>
  <c r="N81" i="20"/>
  <c r="N79" i="20" s="1"/>
  <c r="M81" i="20"/>
  <c r="L81" i="20"/>
  <c r="L79" i="20" s="1"/>
  <c r="O79" i="20" s="1"/>
  <c r="U80" i="20"/>
  <c r="T80" i="20"/>
  <c r="P80" i="20"/>
  <c r="O80" i="20"/>
  <c r="U79" i="20"/>
  <c r="S79" i="20"/>
  <c r="R79" i="20"/>
  <c r="Q79" i="20"/>
  <c r="T79" i="20" s="1"/>
  <c r="S78" i="20"/>
  <c r="S75" i="20" s="1"/>
  <c r="R78" i="20"/>
  <c r="R76" i="20" s="1"/>
  <c r="U76" i="20" s="1"/>
  <c r="Q76" i="20"/>
  <c r="T76" i="20" s="1"/>
  <c r="N78" i="20"/>
  <c r="N76" i="20" s="1"/>
  <c r="M78" i="20"/>
  <c r="L78" i="20"/>
  <c r="L76" i="20" s="1"/>
  <c r="O76" i="20" s="1"/>
  <c r="U77" i="20"/>
  <c r="T77" i="20"/>
  <c r="P77" i="20"/>
  <c r="O77" i="20"/>
  <c r="S74" i="20"/>
  <c r="R74" i="20"/>
  <c r="Q74" i="20"/>
  <c r="N74" i="20"/>
  <c r="M74" i="20"/>
  <c r="P74" i="20" s="1"/>
  <c r="L74" i="20"/>
  <c r="J72" i="20"/>
  <c r="U68" i="20"/>
  <c r="T68" i="20"/>
  <c r="N68" i="20"/>
  <c r="N66" i="20" s="1"/>
  <c r="M68" i="20"/>
  <c r="P68" i="20" s="1"/>
  <c r="L68" i="20"/>
  <c r="O68" i="20" s="1"/>
  <c r="U67" i="20"/>
  <c r="T67" i="20"/>
  <c r="P67" i="20"/>
  <c r="O67" i="20"/>
  <c r="T66" i="20"/>
  <c r="S66" i="20"/>
  <c r="R66" i="20"/>
  <c r="U66" i="20" s="1"/>
  <c r="Q66" i="20"/>
  <c r="U65" i="20"/>
  <c r="T65" i="20"/>
  <c r="N65" i="20"/>
  <c r="N63" i="20" s="1"/>
  <c r="M65" i="20"/>
  <c r="L65" i="20"/>
  <c r="L63" i="20" s="1"/>
  <c r="U64" i="20"/>
  <c r="T64" i="20"/>
  <c r="P64" i="20"/>
  <c r="O64" i="20"/>
  <c r="U63" i="20"/>
  <c r="S63" i="20"/>
  <c r="R63" i="20"/>
  <c r="Q63" i="20"/>
  <c r="T63" i="20" s="1"/>
  <c r="U62" i="20"/>
  <c r="T62" i="20"/>
  <c r="S62" i="20"/>
  <c r="R62" i="20"/>
  <c r="Q62" i="20"/>
  <c r="S61" i="20"/>
  <c r="S60" i="20" s="1"/>
  <c r="R61" i="20"/>
  <c r="R60" i="20" s="1"/>
  <c r="Q61" i="20"/>
  <c r="N61" i="20"/>
  <c r="M61" i="20"/>
  <c r="P61" i="20" s="1"/>
  <c r="L61" i="20"/>
  <c r="U60" i="20"/>
  <c r="U53" i="20"/>
  <c r="T53" i="20"/>
  <c r="N53" i="20"/>
  <c r="N51" i="20" s="1"/>
  <c r="M53" i="20"/>
  <c r="P53" i="20" s="1"/>
  <c r="L53" i="20"/>
  <c r="O53" i="20" s="1"/>
  <c r="U52" i="20"/>
  <c r="T52" i="20"/>
  <c r="P52" i="20"/>
  <c r="O52" i="20"/>
  <c r="T51" i="20"/>
  <c r="S51" i="20"/>
  <c r="R51" i="20"/>
  <c r="U51" i="20" s="1"/>
  <c r="Q51" i="20"/>
  <c r="U50" i="20"/>
  <c r="T50" i="20"/>
  <c r="N50" i="20"/>
  <c r="N48" i="20" s="1"/>
  <c r="M50" i="20"/>
  <c r="L50" i="20"/>
  <c r="L48" i="20" s="1"/>
  <c r="U49" i="20"/>
  <c r="T49" i="20"/>
  <c r="P49" i="20"/>
  <c r="O49" i="20"/>
  <c r="U48" i="20"/>
  <c r="S48" i="20"/>
  <c r="R48" i="20"/>
  <c r="Q48" i="20"/>
  <c r="T48" i="20" s="1"/>
  <c r="U47" i="20"/>
  <c r="T47" i="20"/>
  <c r="S47" i="20"/>
  <c r="R47" i="20"/>
  <c r="Q47" i="20"/>
  <c r="S46" i="20"/>
  <c r="S45" i="20" s="1"/>
  <c r="R46" i="20"/>
  <c r="R45" i="20" s="1"/>
  <c r="U45" i="20" s="1"/>
  <c r="Q46" i="20"/>
  <c r="N46" i="20"/>
  <c r="M46" i="20"/>
  <c r="P46" i="20" s="1"/>
  <c r="L46" i="20"/>
  <c r="S27" i="20"/>
  <c r="R27" i="20"/>
  <c r="U27" i="20" s="1"/>
  <c r="Q27" i="20"/>
  <c r="T27" i="20" s="1"/>
  <c r="S26" i="20"/>
  <c r="R26" i="20"/>
  <c r="U26" i="20" s="1"/>
  <c r="Q26" i="20"/>
  <c r="N26" i="20"/>
  <c r="M26" i="20"/>
  <c r="P26" i="20" s="1"/>
  <c r="L26" i="20"/>
  <c r="O26" i="20" s="1"/>
  <c r="S23" i="20"/>
  <c r="R23" i="20"/>
  <c r="U23" i="20" s="1"/>
  <c r="Q23" i="20"/>
  <c r="Q20" i="20" s="1"/>
  <c r="N23" i="20"/>
  <c r="M23" i="20"/>
  <c r="P23" i="20" s="1"/>
  <c r="L23" i="20"/>
  <c r="O23" i="20" s="1"/>
  <c r="N20" i="20"/>
  <c r="A788" i="19"/>
  <c r="J785" i="19"/>
  <c r="I785" i="19"/>
  <c r="J784" i="19"/>
  <c r="I784" i="19"/>
  <c r="J783" i="19"/>
  <c r="I783" i="19"/>
  <c r="J782" i="19"/>
  <c r="I782" i="19"/>
  <c r="J781" i="19"/>
  <c r="I781" i="19"/>
  <c r="J780" i="19"/>
  <c r="I780" i="19"/>
  <c r="J779" i="19"/>
  <c r="I779" i="19"/>
  <c r="J778" i="19"/>
  <c r="I778" i="19"/>
  <c r="H777" i="19"/>
  <c r="I776" i="19"/>
  <c r="I775" i="19"/>
  <c r="I774" i="19"/>
  <c r="K774" i="19" s="1"/>
  <c r="I772" i="19"/>
  <c r="I770" i="19"/>
  <c r="K770" i="19" s="1"/>
  <c r="U768" i="19"/>
  <c r="T768" i="19"/>
  <c r="P768" i="19"/>
  <c r="O768" i="19"/>
  <c r="U767" i="19"/>
  <c r="T767" i="19"/>
  <c r="P767" i="19"/>
  <c r="O767" i="19"/>
  <c r="U766" i="19"/>
  <c r="T766" i="19"/>
  <c r="S766" i="19"/>
  <c r="R766" i="19"/>
  <c r="Q766" i="19"/>
  <c r="O766" i="19"/>
  <c r="N766" i="19"/>
  <c r="M766" i="19"/>
  <c r="P766" i="19" s="1"/>
  <c r="L766" i="19"/>
  <c r="S765" i="19"/>
  <c r="S762" i="19" s="1"/>
  <c r="R765" i="19"/>
  <c r="R763" i="19" s="1"/>
  <c r="Q765" i="19"/>
  <c r="Q763" i="19" s="1"/>
  <c r="P765" i="19"/>
  <c r="O765" i="19"/>
  <c r="U764" i="19"/>
  <c r="T764" i="19"/>
  <c r="P764" i="19"/>
  <c r="O764" i="19"/>
  <c r="P763" i="19"/>
  <c r="N763" i="19"/>
  <c r="M763" i="19"/>
  <c r="L763" i="19"/>
  <c r="O763" i="19" s="1"/>
  <c r="P762" i="19"/>
  <c r="O762" i="19"/>
  <c r="N762" i="19"/>
  <c r="M762" i="19"/>
  <c r="L762" i="19"/>
  <c r="T761" i="19"/>
  <c r="S761" i="19"/>
  <c r="R761" i="19"/>
  <c r="Q761" i="19"/>
  <c r="N761" i="19"/>
  <c r="N760" i="19" s="1"/>
  <c r="M761" i="19"/>
  <c r="P761" i="19" s="1"/>
  <c r="L761" i="19"/>
  <c r="L760" i="19" s="1"/>
  <c r="O760" i="19" s="1"/>
  <c r="J759" i="19"/>
  <c r="J758" i="19"/>
  <c r="I756" i="19"/>
  <c r="K756" i="19" s="1"/>
  <c r="I753" i="19"/>
  <c r="K753" i="19" s="1"/>
  <c r="I750" i="19"/>
  <c r="K750" i="19" s="1"/>
  <c r="I747" i="19"/>
  <c r="K747" i="19" s="1"/>
  <c r="I745" i="19"/>
  <c r="K745" i="19" s="1"/>
  <c r="I743" i="19"/>
  <c r="K743" i="19" s="1"/>
  <c r="I741" i="19"/>
  <c r="K741" i="19" s="1"/>
  <c r="U737" i="19"/>
  <c r="T737" i="19"/>
  <c r="P737" i="19"/>
  <c r="O737" i="19"/>
  <c r="U736" i="19"/>
  <c r="T736" i="19"/>
  <c r="P736" i="19"/>
  <c r="O736" i="19"/>
  <c r="T735" i="19"/>
  <c r="S735" i="19"/>
  <c r="R735" i="19"/>
  <c r="U735" i="19" s="1"/>
  <c r="Q735" i="19"/>
  <c r="N735" i="19"/>
  <c r="M735" i="19"/>
  <c r="P735" i="19" s="1"/>
  <c r="L735" i="19"/>
  <c r="O735" i="19" s="1"/>
  <c r="S734" i="19"/>
  <c r="R734" i="19"/>
  <c r="R731" i="19" s="1"/>
  <c r="Q734" i="19"/>
  <c r="Q732" i="19" s="1"/>
  <c r="P734" i="19"/>
  <c r="O734" i="19"/>
  <c r="U733" i="19"/>
  <c r="T733" i="19"/>
  <c r="P733" i="19"/>
  <c r="O733" i="19"/>
  <c r="P732" i="19"/>
  <c r="O732" i="19"/>
  <c r="N732" i="19"/>
  <c r="M732" i="19"/>
  <c r="L732" i="19"/>
  <c r="O731" i="19"/>
  <c r="N731" i="19"/>
  <c r="N729" i="19" s="1"/>
  <c r="M731" i="19"/>
  <c r="P731" i="19" s="1"/>
  <c r="L731" i="19"/>
  <c r="S730" i="19"/>
  <c r="R730" i="19"/>
  <c r="U730" i="19" s="1"/>
  <c r="Q730" i="19"/>
  <c r="N730" i="19"/>
  <c r="M730" i="19"/>
  <c r="P730" i="19" s="1"/>
  <c r="L730" i="19"/>
  <c r="O730" i="19" s="1"/>
  <c r="J728" i="19"/>
  <c r="I728" i="19"/>
  <c r="K728" i="19" s="1"/>
  <c r="J727" i="19"/>
  <c r="I727" i="19"/>
  <c r="K727" i="19" s="1"/>
  <c r="U723" i="19"/>
  <c r="T723" i="19"/>
  <c r="P723" i="19"/>
  <c r="O723" i="19"/>
  <c r="U722" i="19"/>
  <c r="T722" i="19"/>
  <c r="P722" i="19"/>
  <c r="O722" i="19"/>
  <c r="U721" i="19"/>
  <c r="S721" i="19"/>
  <c r="R721" i="19"/>
  <c r="Q721" i="19"/>
  <c r="T721" i="19" s="1"/>
  <c r="P721" i="19"/>
  <c r="O721" i="19"/>
  <c r="N721" i="19"/>
  <c r="M721" i="19"/>
  <c r="L721" i="19"/>
  <c r="U720" i="19"/>
  <c r="T720" i="19"/>
  <c r="P720" i="19"/>
  <c r="O720" i="19"/>
  <c r="U719" i="19"/>
  <c r="T719" i="19"/>
  <c r="P719" i="19"/>
  <c r="O719" i="19"/>
  <c r="U718" i="19"/>
  <c r="S718" i="19"/>
  <c r="R718" i="19"/>
  <c r="Q718" i="19"/>
  <c r="T718" i="19" s="1"/>
  <c r="P718" i="19"/>
  <c r="O718" i="19"/>
  <c r="N718" i="19"/>
  <c r="M718" i="19"/>
  <c r="L718" i="19"/>
  <c r="T717" i="19"/>
  <c r="S717" i="19"/>
  <c r="R717" i="19"/>
  <c r="U717" i="19" s="1"/>
  <c r="Q717" i="19"/>
  <c r="N717" i="19"/>
  <c r="M717" i="19"/>
  <c r="P717" i="19" s="1"/>
  <c r="L717" i="19"/>
  <c r="O717" i="19" s="1"/>
  <c r="S716" i="19"/>
  <c r="S715" i="19" s="1"/>
  <c r="R716" i="19"/>
  <c r="U716" i="19" s="1"/>
  <c r="Q716" i="19"/>
  <c r="Q715" i="19" s="1"/>
  <c r="T715" i="19" s="1"/>
  <c r="N716" i="19"/>
  <c r="M716" i="19"/>
  <c r="P716" i="19" s="1"/>
  <c r="L716" i="19"/>
  <c r="O716" i="19" s="1"/>
  <c r="N715" i="19"/>
  <c r="K713" i="19"/>
  <c r="J713" i="19"/>
  <c r="K711" i="19"/>
  <c r="J711" i="19"/>
  <c r="J710" i="19"/>
  <c r="I710" i="19"/>
  <c r="K709" i="19"/>
  <c r="J709" i="19"/>
  <c r="J708" i="19"/>
  <c r="J690" i="19" s="1"/>
  <c r="I708" i="19"/>
  <c r="K707" i="19"/>
  <c r="J707" i="19"/>
  <c r="J706" i="19"/>
  <c r="I706" i="19"/>
  <c r="K705" i="19"/>
  <c r="J705" i="19"/>
  <c r="J704" i="19"/>
  <c r="I704" i="19"/>
  <c r="K703" i="19"/>
  <c r="I701" i="19"/>
  <c r="K701" i="19" s="1"/>
  <c r="U699" i="19"/>
  <c r="T699" i="19"/>
  <c r="P699" i="19"/>
  <c r="O699" i="19"/>
  <c r="U698" i="19"/>
  <c r="T698" i="19"/>
  <c r="P698" i="19"/>
  <c r="O698" i="19"/>
  <c r="U697" i="19"/>
  <c r="T697" i="19"/>
  <c r="S697" i="19"/>
  <c r="R697" i="19"/>
  <c r="Q697" i="19"/>
  <c r="P697" i="19"/>
  <c r="O697" i="19"/>
  <c r="N697" i="19"/>
  <c r="M697" i="19"/>
  <c r="L697" i="19"/>
  <c r="S696" i="19"/>
  <c r="S693" i="19" s="1"/>
  <c r="R696" i="19"/>
  <c r="R694" i="19" s="1"/>
  <c r="Q696" i="19"/>
  <c r="Q694" i="19" s="1"/>
  <c r="P696" i="19"/>
  <c r="O696" i="19"/>
  <c r="U695" i="19"/>
  <c r="T695" i="19"/>
  <c r="P695" i="19"/>
  <c r="O695" i="19"/>
  <c r="N694" i="19"/>
  <c r="M694" i="19"/>
  <c r="P694" i="19" s="1"/>
  <c r="L694" i="19"/>
  <c r="O694" i="19" s="1"/>
  <c r="P693" i="19"/>
  <c r="O693" i="19"/>
  <c r="N693" i="19"/>
  <c r="M693" i="19"/>
  <c r="L693" i="19"/>
  <c r="U692" i="19"/>
  <c r="T692" i="19"/>
  <c r="S692" i="19"/>
  <c r="R692" i="19"/>
  <c r="Q692" i="19"/>
  <c r="O692" i="19"/>
  <c r="N692" i="19"/>
  <c r="N691" i="19" s="1"/>
  <c r="M692" i="19"/>
  <c r="L692" i="19"/>
  <c r="L691" i="19"/>
  <c r="O691" i="19" s="1"/>
  <c r="J683" i="19"/>
  <c r="I683" i="19"/>
  <c r="K683" i="19" s="1"/>
  <c r="J682" i="19"/>
  <c r="I682" i="19"/>
  <c r="K682" i="19" s="1"/>
  <c r="J681" i="19"/>
  <c r="J680" i="19"/>
  <c r="I680" i="19"/>
  <c r="K680" i="19" s="1"/>
  <c r="J679" i="19"/>
  <c r="I679" i="19"/>
  <c r="J678" i="19"/>
  <c r="J677" i="19"/>
  <c r="I677" i="19"/>
  <c r="I676" i="19"/>
  <c r="I675" i="19"/>
  <c r="J674" i="19"/>
  <c r="I674" i="19"/>
  <c r="K674" i="19" s="1"/>
  <c r="J673" i="19"/>
  <c r="J672" i="19"/>
  <c r="J662" i="19"/>
  <c r="I662" i="19"/>
  <c r="K662" i="19" s="1"/>
  <c r="I661" i="19"/>
  <c r="I658" i="19"/>
  <c r="J655" i="19"/>
  <c r="I655" i="19"/>
  <c r="K655" i="19" s="1"/>
  <c r="J654" i="19"/>
  <c r="I654" i="19"/>
  <c r="K654" i="19" s="1"/>
  <c r="J653" i="19"/>
  <c r="I653" i="19"/>
  <c r="K653" i="19" s="1"/>
  <c r="U651" i="19"/>
  <c r="T651" i="19"/>
  <c r="P651" i="19"/>
  <c r="O651" i="19"/>
  <c r="U650" i="19"/>
  <c r="T650" i="19"/>
  <c r="P650" i="19"/>
  <c r="O650" i="19"/>
  <c r="U649" i="19"/>
  <c r="T649" i="19"/>
  <c r="S649" i="19"/>
  <c r="R649" i="19"/>
  <c r="Q649" i="19"/>
  <c r="P649" i="19"/>
  <c r="O649" i="19"/>
  <c r="N649" i="19"/>
  <c r="M649" i="19"/>
  <c r="L649" i="19"/>
  <c r="S648" i="19"/>
  <c r="R648" i="19"/>
  <c r="Q648" i="19"/>
  <c r="Q646" i="19" s="1"/>
  <c r="P648" i="19"/>
  <c r="O648" i="19"/>
  <c r="U647" i="19"/>
  <c r="T647" i="19"/>
  <c r="P647" i="19"/>
  <c r="O647" i="19"/>
  <c r="N646" i="19"/>
  <c r="M646" i="19"/>
  <c r="P646" i="19" s="1"/>
  <c r="L646" i="19"/>
  <c r="O646" i="19" s="1"/>
  <c r="P645" i="19"/>
  <c r="O645" i="19"/>
  <c r="N645" i="19"/>
  <c r="M645" i="19"/>
  <c r="L645" i="19"/>
  <c r="U644" i="19"/>
  <c r="T644" i="19"/>
  <c r="S644" i="19"/>
  <c r="R644" i="19"/>
  <c r="Q644" i="19"/>
  <c r="O644" i="19"/>
  <c r="N644" i="19"/>
  <c r="N643" i="19" s="1"/>
  <c r="M644" i="19"/>
  <c r="L644" i="19"/>
  <c r="L643" i="19"/>
  <c r="O643" i="19" s="1"/>
  <c r="J637" i="19"/>
  <c r="J636" i="19" s="1"/>
  <c r="I636" i="19"/>
  <c r="K636" i="19" s="1"/>
  <c r="J633" i="19"/>
  <c r="I629" i="19"/>
  <c r="K629" i="19" s="1"/>
  <c r="I628" i="19"/>
  <c r="K628" i="19" s="1"/>
  <c r="I627" i="19"/>
  <c r="K630" i="19" s="1"/>
  <c r="U625" i="19"/>
  <c r="T625" i="19"/>
  <c r="P625" i="19"/>
  <c r="O625" i="19"/>
  <c r="U624" i="19"/>
  <c r="T624" i="19"/>
  <c r="P624" i="19"/>
  <c r="O624" i="19"/>
  <c r="U623" i="19"/>
  <c r="S623" i="19"/>
  <c r="R623" i="19"/>
  <c r="Q623" i="19"/>
  <c r="T623" i="19" s="1"/>
  <c r="P623" i="19"/>
  <c r="O623" i="19"/>
  <c r="N623" i="19"/>
  <c r="M623" i="19"/>
  <c r="L623" i="19"/>
  <c r="S622" i="19"/>
  <c r="R622" i="19"/>
  <c r="R620" i="19" s="1"/>
  <c r="Q622" i="19"/>
  <c r="Q620" i="19" s="1"/>
  <c r="P622" i="19"/>
  <c r="O622" i="19"/>
  <c r="U621" i="19"/>
  <c r="T621" i="19"/>
  <c r="P621" i="19"/>
  <c r="O621" i="19"/>
  <c r="N620" i="19"/>
  <c r="M620" i="19"/>
  <c r="P620" i="19" s="1"/>
  <c r="L620" i="19"/>
  <c r="O620" i="19" s="1"/>
  <c r="P619" i="19"/>
  <c r="O619" i="19"/>
  <c r="N619" i="19"/>
  <c r="M619" i="19"/>
  <c r="L619" i="19"/>
  <c r="U618" i="19"/>
  <c r="T618" i="19"/>
  <c r="S618" i="19"/>
  <c r="R618" i="19"/>
  <c r="Q618" i="19"/>
  <c r="O618" i="19"/>
  <c r="N618" i="19"/>
  <c r="N617" i="19" s="1"/>
  <c r="M618" i="19"/>
  <c r="P618" i="19" s="1"/>
  <c r="L618" i="19"/>
  <c r="L617" i="19"/>
  <c r="O617" i="19" s="1"/>
  <c r="U608" i="19"/>
  <c r="T608" i="19"/>
  <c r="P608" i="19"/>
  <c r="O608" i="19"/>
  <c r="U607" i="19"/>
  <c r="T607" i="19"/>
  <c r="P607" i="19"/>
  <c r="O607" i="19"/>
  <c r="U606" i="19"/>
  <c r="T606" i="19"/>
  <c r="S606" i="19"/>
  <c r="R606" i="19"/>
  <c r="Q606" i="19"/>
  <c r="P606" i="19"/>
  <c r="O606" i="19"/>
  <c r="N606" i="19"/>
  <c r="M606" i="19"/>
  <c r="L606" i="19"/>
  <c r="U605" i="19"/>
  <c r="T605" i="19"/>
  <c r="P605" i="19"/>
  <c r="O605" i="19"/>
  <c r="U604" i="19"/>
  <c r="T604" i="19"/>
  <c r="P604" i="19"/>
  <c r="O604" i="19"/>
  <c r="U603" i="19"/>
  <c r="T603" i="19"/>
  <c r="S603" i="19"/>
  <c r="R603" i="19"/>
  <c r="Q603" i="19"/>
  <c r="P603" i="19"/>
  <c r="O603" i="19"/>
  <c r="N603" i="19"/>
  <c r="M603" i="19"/>
  <c r="L603" i="19"/>
  <c r="T602" i="19"/>
  <c r="S602" i="19"/>
  <c r="R602" i="19"/>
  <c r="U602" i="19" s="1"/>
  <c r="Q602" i="19"/>
  <c r="N602" i="19"/>
  <c r="M602" i="19"/>
  <c r="P602" i="19" s="1"/>
  <c r="L602" i="19"/>
  <c r="O602" i="19" s="1"/>
  <c r="S601" i="19"/>
  <c r="S600" i="19" s="1"/>
  <c r="R601" i="19"/>
  <c r="U601" i="19" s="1"/>
  <c r="Q601" i="19"/>
  <c r="P601" i="19"/>
  <c r="N601" i="19"/>
  <c r="M601" i="19"/>
  <c r="M600" i="19" s="1"/>
  <c r="P600" i="19" s="1"/>
  <c r="L601" i="19"/>
  <c r="O601" i="19" s="1"/>
  <c r="N600" i="19"/>
  <c r="U585" i="19"/>
  <c r="T585" i="19"/>
  <c r="P585" i="19"/>
  <c r="O585" i="19"/>
  <c r="U584" i="19"/>
  <c r="T584" i="19"/>
  <c r="P584" i="19"/>
  <c r="O584" i="19"/>
  <c r="U583" i="19"/>
  <c r="T583" i="19"/>
  <c r="S583" i="19"/>
  <c r="R583" i="19"/>
  <c r="Q583" i="19"/>
  <c r="P583" i="19"/>
  <c r="O583" i="19"/>
  <c r="N583" i="19"/>
  <c r="M583" i="19"/>
  <c r="L583" i="19"/>
  <c r="U582" i="19"/>
  <c r="T582" i="19"/>
  <c r="P582" i="19"/>
  <c r="O582" i="19"/>
  <c r="U581" i="19"/>
  <c r="T581" i="19"/>
  <c r="P581" i="19"/>
  <c r="O581" i="19"/>
  <c r="U580" i="19"/>
  <c r="T580" i="19"/>
  <c r="S580" i="19"/>
  <c r="R580" i="19"/>
  <c r="Q580" i="19"/>
  <c r="P580" i="19"/>
  <c r="O580" i="19"/>
  <c r="N580" i="19"/>
  <c r="M580" i="19"/>
  <c r="L580" i="19"/>
  <c r="T579" i="19"/>
  <c r="S579" i="19"/>
  <c r="R579" i="19"/>
  <c r="U579" i="19" s="1"/>
  <c r="Q579" i="19"/>
  <c r="N579" i="19"/>
  <c r="M579" i="19"/>
  <c r="P579" i="19" s="1"/>
  <c r="L579" i="19"/>
  <c r="O579" i="19" s="1"/>
  <c r="S578" i="19"/>
  <c r="S577" i="19" s="1"/>
  <c r="R578" i="19"/>
  <c r="U578" i="19" s="1"/>
  <c r="Q578" i="19"/>
  <c r="P578" i="19"/>
  <c r="N578" i="19"/>
  <c r="M578" i="19"/>
  <c r="M577" i="19" s="1"/>
  <c r="P577" i="19" s="1"/>
  <c r="L578" i="19"/>
  <c r="O578" i="19" s="1"/>
  <c r="N577" i="19"/>
  <c r="J576" i="19"/>
  <c r="I576" i="19"/>
  <c r="K576" i="19" s="1"/>
  <c r="U564" i="19"/>
  <c r="T564" i="19"/>
  <c r="P564" i="19"/>
  <c r="O564" i="19"/>
  <c r="U563" i="19"/>
  <c r="T563" i="19"/>
  <c r="P563" i="19"/>
  <c r="O563" i="19"/>
  <c r="S562" i="19"/>
  <c r="R562" i="19"/>
  <c r="U562" i="19" s="1"/>
  <c r="Q562" i="19"/>
  <c r="T562" i="19" s="1"/>
  <c r="N562" i="19"/>
  <c r="M562" i="19"/>
  <c r="P562" i="19" s="1"/>
  <c r="L562" i="19"/>
  <c r="O562" i="19" s="1"/>
  <c r="U561" i="19"/>
  <c r="T561" i="19"/>
  <c r="P561" i="19"/>
  <c r="O561" i="19"/>
  <c r="U560" i="19"/>
  <c r="T560" i="19"/>
  <c r="P560" i="19"/>
  <c r="O560" i="19"/>
  <c r="S559" i="19"/>
  <c r="R559" i="19"/>
  <c r="U559" i="19" s="1"/>
  <c r="Q559" i="19"/>
  <c r="T559" i="19" s="1"/>
  <c r="N559" i="19"/>
  <c r="M559" i="19"/>
  <c r="P559" i="19" s="1"/>
  <c r="L559" i="19"/>
  <c r="O559" i="19" s="1"/>
  <c r="U558" i="19"/>
  <c r="S558" i="19"/>
  <c r="R558" i="19"/>
  <c r="Q558" i="19"/>
  <c r="T558" i="19" s="1"/>
  <c r="P558" i="19"/>
  <c r="O558" i="19"/>
  <c r="N558" i="19"/>
  <c r="M558" i="19"/>
  <c r="L558" i="19"/>
  <c r="U557" i="19"/>
  <c r="T557" i="19"/>
  <c r="S557" i="19"/>
  <c r="R557" i="19"/>
  <c r="Q557" i="19"/>
  <c r="O557" i="19"/>
  <c r="N557" i="19"/>
  <c r="N556" i="19" s="1"/>
  <c r="M557" i="19"/>
  <c r="P557" i="19" s="1"/>
  <c r="L557" i="19"/>
  <c r="S556" i="19"/>
  <c r="R556" i="19"/>
  <c r="U556" i="19" s="1"/>
  <c r="M556" i="19"/>
  <c r="P556" i="19" s="1"/>
  <c r="L556" i="19"/>
  <c r="O556" i="19" s="1"/>
  <c r="K555" i="19"/>
  <c r="J555" i="19"/>
  <c r="I555" i="19"/>
  <c r="U543" i="19"/>
  <c r="T543" i="19"/>
  <c r="P543" i="19"/>
  <c r="O543" i="19"/>
  <c r="U542" i="19"/>
  <c r="T542" i="19"/>
  <c r="P542" i="19"/>
  <c r="O542" i="19"/>
  <c r="U541" i="19"/>
  <c r="T541" i="19"/>
  <c r="S541" i="19"/>
  <c r="R541" i="19"/>
  <c r="Q541" i="19"/>
  <c r="P541" i="19"/>
  <c r="O541" i="19"/>
  <c r="N541" i="19"/>
  <c r="M541" i="19"/>
  <c r="L541" i="19"/>
  <c r="U540" i="19"/>
  <c r="T540" i="19"/>
  <c r="P540" i="19"/>
  <c r="O540" i="19"/>
  <c r="U539" i="19"/>
  <c r="T539" i="19"/>
  <c r="P539" i="19"/>
  <c r="O539" i="19"/>
  <c r="U538" i="19"/>
  <c r="T538" i="19"/>
  <c r="S538" i="19"/>
  <c r="R538" i="19"/>
  <c r="Q538" i="19"/>
  <c r="P538" i="19"/>
  <c r="O538" i="19"/>
  <c r="N538" i="19"/>
  <c r="M538" i="19"/>
  <c r="L538" i="19"/>
  <c r="T537" i="19"/>
  <c r="S537" i="19"/>
  <c r="R537" i="19"/>
  <c r="U537" i="19" s="1"/>
  <c r="Q537" i="19"/>
  <c r="O537" i="19"/>
  <c r="N537" i="19"/>
  <c r="M537" i="19"/>
  <c r="P537" i="19" s="1"/>
  <c r="L537" i="19"/>
  <c r="S536" i="19"/>
  <c r="S535" i="19" s="1"/>
  <c r="R536" i="19"/>
  <c r="Q536" i="19"/>
  <c r="T536" i="19" s="1"/>
  <c r="N536" i="19"/>
  <c r="M536" i="19"/>
  <c r="P536" i="19" s="1"/>
  <c r="L536" i="19"/>
  <c r="N535" i="19"/>
  <c r="K534" i="19"/>
  <c r="J534" i="19"/>
  <c r="I534" i="19"/>
  <c r="K525" i="19"/>
  <c r="K524" i="19"/>
  <c r="U522" i="19"/>
  <c r="T522" i="19"/>
  <c r="N522" i="19"/>
  <c r="N520" i="19" s="1"/>
  <c r="M522" i="19"/>
  <c r="P522" i="19" s="1"/>
  <c r="L522" i="19"/>
  <c r="L520" i="19" s="1"/>
  <c r="O520" i="19" s="1"/>
  <c r="U521" i="19"/>
  <c r="T521" i="19"/>
  <c r="P521" i="19"/>
  <c r="O521" i="19"/>
  <c r="S520" i="19"/>
  <c r="R520" i="19"/>
  <c r="U520" i="19" s="1"/>
  <c r="Q520" i="19"/>
  <c r="T520" i="19" s="1"/>
  <c r="U519" i="19"/>
  <c r="T519" i="19"/>
  <c r="N519" i="19"/>
  <c r="M519" i="19"/>
  <c r="P519" i="19" s="1"/>
  <c r="L519" i="19"/>
  <c r="U518" i="19"/>
  <c r="T518" i="19"/>
  <c r="P518" i="19"/>
  <c r="O518" i="19"/>
  <c r="U517" i="19"/>
  <c r="T517" i="19"/>
  <c r="S517" i="19"/>
  <c r="R517" i="19"/>
  <c r="Q517" i="19"/>
  <c r="S516" i="19"/>
  <c r="S514" i="19" s="1"/>
  <c r="R516" i="19"/>
  <c r="U516" i="19" s="1"/>
  <c r="Q516" i="19"/>
  <c r="T516" i="19" s="1"/>
  <c r="S515" i="19"/>
  <c r="R515" i="19"/>
  <c r="R514" i="19" s="1"/>
  <c r="U514" i="19" s="1"/>
  <c r="Q515" i="19"/>
  <c r="P515" i="19"/>
  <c r="N515" i="19"/>
  <c r="M515" i="19"/>
  <c r="L515" i="19"/>
  <c r="J513" i="19"/>
  <c r="I513" i="19"/>
  <c r="K513" i="19" s="1"/>
  <c r="I510" i="19"/>
  <c r="K510" i="19" s="1"/>
  <c r="K509" i="19"/>
  <c r="I508" i="19"/>
  <c r="K508" i="19" s="1"/>
  <c r="I507" i="19"/>
  <c r="I506" i="19"/>
  <c r="K506" i="19" s="1"/>
  <c r="I505" i="19"/>
  <c r="K505" i="19" s="1"/>
  <c r="I504" i="19"/>
  <c r="U502" i="19"/>
  <c r="T502" i="19"/>
  <c r="P502" i="19"/>
  <c r="O502" i="19"/>
  <c r="U501" i="19"/>
  <c r="T501" i="19"/>
  <c r="P501" i="19"/>
  <c r="O501" i="19"/>
  <c r="U500" i="19"/>
  <c r="T500" i="19"/>
  <c r="S500" i="19"/>
  <c r="R500" i="19"/>
  <c r="Q500" i="19"/>
  <c r="N500" i="19"/>
  <c r="M500" i="19"/>
  <c r="P500" i="19" s="1"/>
  <c r="L500" i="19"/>
  <c r="O500" i="19" s="1"/>
  <c r="S499" i="19"/>
  <c r="S497" i="19" s="1"/>
  <c r="R499" i="19"/>
  <c r="Q499" i="19"/>
  <c r="Q497" i="19" s="1"/>
  <c r="T497" i="19" s="1"/>
  <c r="P499" i="19"/>
  <c r="O499" i="19"/>
  <c r="U498" i="19"/>
  <c r="T498" i="19"/>
  <c r="P498" i="19"/>
  <c r="O498" i="19"/>
  <c r="P497" i="19"/>
  <c r="O497" i="19"/>
  <c r="N497" i="19"/>
  <c r="M497" i="19"/>
  <c r="L497" i="19"/>
  <c r="P496" i="19"/>
  <c r="O496" i="19"/>
  <c r="N496" i="19"/>
  <c r="M496" i="19"/>
  <c r="L496" i="19"/>
  <c r="T495" i="19"/>
  <c r="S495" i="19"/>
  <c r="R495" i="19"/>
  <c r="U495" i="19" s="1"/>
  <c r="Q495" i="19"/>
  <c r="N495" i="19"/>
  <c r="N494" i="19" s="1"/>
  <c r="M495" i="19"/>
  <c r="L495" i="19"/>
  <c r="O495" i="19" s="1"/>
  <c r="L494" i="19"/>
  <c r="O494" i="19" s="1"/>
  <c r="J486" i="19"/>
  <c r="I486" i="19"/>
  <c r="K486" i="19" s="1"/>
  <c r="K485" i="19"/>
  <c r="J485" i="19"/>
  <c r="I485" i="19"/>
  <c r="J484" i="19"/>
  <c r="J483" i="19"/>
  <c r="K478" i="19"/>
  <c r="J478" i="19"/>
  <c r="K477" i="19"/>
  <c r="J477" i="19"/>
  <c r="K476" i="19"/>
  <c r="J476" i="19"/>
  <c r="J469" i="19"/>
  <c r="J468" i="19"/>
  <c r="J461" i="19"/>
  <c r="J459" i="19" s="1"/>
  <c r="J460" i="19"/>
  <c r="I459" i="19"/>
  <c r="K459" i="19" s="1"/>
  <c r="J458" i="19"/>
  <c r="J457" i="19" s="1"/>
  <c r="I458" i="19"/>
  <c r="J448" i="19"/>
  <c r="J442" i="19" s="1"/>
  <c r="J447" i="19"/>
  <c r="I442" i="19"/>
  <c r="K442" i="19" s="1"/>
  <c r="J441" i="19"/>
  <c r="J424" i="19" s="1"/>
  <c r="J413" i="19" s="1"/>
  <c r="I441" i="19"/>
  <c r="I424" i="19" s="1"/>
  <c r="K424" i="19" s="1"/>
  <c r="J434" i="19"/>
  <c r="I434" i="19"/>
  <c r="K434" i="19" s="1"/>
  <c r="J433" i="19"/>
  <c r="I433" i="19"/>
  <c r="K433" i="19" s="1"/>
  <c r="J426" i="19"/>
  <c r="I426" i="19"/>
  <c r="K426" i="19" s="1"/>
  <c r="J425" i="19"/>
  <c r="I425" i="19"/>
  <c r="K425" i="19" s="1"/>
  <c r="U422" i="19"/>
  <c r="T422" i="19"/>
  <c r="P422" i="19"/>
  <c r="O422" i="19"/>
  <c r="U421" i="19"/>
  <c r="T421" i="19"/>
  <c r="P421" i="19"/>
  <c r="O421" i="19"/>
  <c r="U420" i="19"/>
  <c r="S420" i="19"/>
  <c r="R420" i="19"/>
  <c r="Q420" i="19"/>
  <c r="T420" i="19" s="1"/>
  <c r="P420" i="19"/>
  <c r="O420" i="19"/>
  <c r="N420" i="19"/>
  <c r="M420" i="19"/>
  <c r="L420" i="19"/>
  <c r="S419" i="19"/>
  <c r="R419" i="19"/>
  <c r="R416" i="19" s="1"/>
  <c r="U416" i="19" s="1"/>
  <c r="Q419" i="19"/>
  <c r="P419" i="19"/>
  <c r="O419" i="19"/>
  <c r="U418" i="19"/>
  <c r="T418" i="19"/>
  <c r="P418" i="19"/>
  <c r="O418" i="19"/>
  <c r="N417" i="19"/>
  <c r="M417" i="19"/>
  <c r="P417" i="19" s="1"/>
  <c r="L417" i="19"/>
  <c r="O417" i="19" s="1"/>
  <c r="O416" i="19"/>
  <c r="N416" i="19"/>
  <c r="M416" i="19"/>
  <c r="P416" i="19" s="1"/>
  <c r="L416" i="19"/>
  <c r="L414" i="19" s="1"/>
  <c r="U415" i="19"/>
  <c r="S415" i="19"/>
  <c r="R415" i="19"/>
  <c r="Q415" i="19"/>
  <c r="T415" i="19" s="1"/>
  <c r="O415" i="19"/>
  <c r="N415" i="19"/>
  <c r="M415" i="19"/>
  <c r="M414" i="19" s="1"/>
  <c r="P414" i="19" s="1"/>
  <c r="L415" i="19"/>
  <c r="O414" i="19"/>
  <c r="N414" i="19"/>
  <c r="U401" i="19"/>
  <c r="T401" i="19"/>
  <c r="P401" i="19"/>
  <c r="O401" i="19"/>
  <c r="U400" i="19"/>
  <c r="T400" i="19"/>
  <c r="P400" i="19"/>
  <c r="O400" i="19"/>
  <c r="U399" i="19"/>
  <c r="S399" i="19"/>
  <c r="R399" i="19"/>
  <c r="Q399" i="19"/>
  <c r="T399" i="19" s="1"/>
  <c r="P399" i="19"/>
  <c r="O399" i="19"/>
  <c r="N399" i="19"/>
  <c r="M399" i="19"/>
  <c r="L399" i="19"/>
  <c r="U398" i="19"/>
  <c r="T398" i="19"/>
  <c r="P398" i="19"/>
  <c r="O398" i="19"/>
  <c r="U397" i="19"/>
  <c r="T397" i="19"/>
  <c r="P397" i="19"/>
  <c r="O397" i="19"/>
  <c r="U396" i="19"/>
  <c r="S396" i="19"/>
  <c r="R396" i="19"/>
  <c r="Q396" i="19"/>
  <c r="T396" i="19" s="1"/>
  <c r="P396" i="19"/>
  <c r="N396" i="19"/>
  <c r="M396" i="19"/>
  <c r="L396" i="19"/>
  <c r="O396" i="19" s="1"/>
  <c r="U395" i="19"/>
  <c r="T395" i="19"/>
  <c r="S395" i="19"/>
  <c r="R395" i="19"/>
  <c r="Q395" i="19"/>
  <c r="P395" i="19"/>
  <c r="O395" i="19"/>
  <c r="N395" i="19"/>
  <c r="M395" i="19"/>
  <c r="L395" i="19"/>
  <c r="S394" i="19"/>
  <c r="S393" i="19" s="1"/>
  <c r="R394" i="19"/>
  <c r="U394" i="19" s="1"/>
  <c r="Q394" i="19"/>
  <c r="T394" i="19" s="1"/>
  <c r="N394" i="19"/>
  <c r="N393" i="19" s="1"/>
  <c r="M394" i="19"/>
  <c r="M393" i="19" s="1"/>
  <c r="L394" i="19"/>
  <c r="O394" i="19" s="1"/>
  <c r="Q393" i="19"/>
  <c r="T393" i="19" s="1"/>
  <c r="P393" i="19"/>
  <c r="L393" i="19"/>
  <c r="O393" i="19" s="1"/>
  <c r="J392" i="19"/>
  <c r="I392" i="19"/>
  <c r="K392" i="19" s="1"/>
  <c r="J389" i="19"/>
  <c r="I389" i="19"/>
  <c r="K389" i="19" s="1"/>
  <c r="K388" i="19"/>
  <c r="J388" i="19"/>
  <c r="J387" i="19"/>
  <c r="I387" i="19"/>
  <c r="K386" i="19"/>
  <c r="J386" i="19"/>
  <c r="U384" i="19"/>
  <c r="T384" i="19"/>
  <c r="P384" i="19"/>
  <c r="O384" i="19"/>
  <c r="U383" i="19"/>
  <c r="T383" i="19"/>
  <c r="P383" i="19"/>
  <c r="O383" i="19"/>
  <c r="S382" i="19"/>
  <c r="R382" i="19"/>
  <c r="U382" i="19" s="1"/>
  <c r="Q382" i="19"/>
  <c r="T382" i="19" s="1"/>
  <c r="P382" i="19"/>
  <c r="N382" i="19"/>
  <c r="M382" i="19"/>
  <c r="L382" i="19"/>
  <c r="O382" i="19" s="1"/>
  <c r="S381" i="19"/>
  <c r="R381" i="19"/>
  <c r="U381" i="19" s="1"/>
  <c r="Q381" i="19"/>
  <c r="Q379" i="19" s="1"/>
  <c r="P381" i="19"/>
  <c r="O381" i="19"/>
  <c r="U380" i="19"/>
  <c r="T380" i="19"/>
  <c r="P380" i="19"/>
  <c r="O380" i="19"/>
  <c r="P379" i="19"/>
  <c r="N379" i="19"/>
  <c r="M379" i="19"/>
  <c r="L379" i="19"/>
  <c r="O379" i="19" s="1"/>
  <c r="N378" i="19"/>
  <c r="M378" i="19"/>
  <c r="P378" i="19" s="1"/>
  <c r="L378" i="19"/>
  <c r="O378" i="19" s="1"/>
  <c r="T377" i="19"/>
  <c r="S377" i="19"/>
  <c r="R377" i="19"/>
  <c r="U377" i="19" s="1"/>
  <c r="Q377" i="19"/>
  <c r="P377" i="19"/>
  <c r="N377" i="19"/>
  <c r="N376" i="19" s="1"/>
  <c r="M377" i="19"/>
  <c r="L377" i="19"/>
  <c r="O377" i="19" s="1"/>
  <c r="M376" i="19"/>
  <c r="P376" i="19" s="1"/>
  <c r="D374" i="19"/>
  <c r="K373" i="19"/>
  <c r="J373" i="19"/>
  <c r="J372" i="19"/>
  <c r="J366" i="19" s="1"/>
  <c r="I372" i="19"/>
  <c r="K371" i="19"/>
  <c r="J371" i="19"/>
  <c r="J370" i="19"/>
  <c r="I370" i="19"/>
  <c r="J369" i="19"/>
  <c r="I369" i="19"/>
  <c r="K368" i="19"/>
  <c r="J368" i="19"/>
  <c r="U365" i="19"/>
  <c r="T365" i="19"/>
  <c r="N365" i="19"/>
  <c r="N363" i="19" s="1"/>
  <c r="M365" i="19"/>
  <c r="M363" i="19" s="1"/>
  <c r="P363" i="19" s="1"/>
  <c r="L365" i="19"/>
  <c r="L363" i="19" s="1"/>
  <c r="O363" i="19" s="1"/>
  <c r="U364" i="19"/>
  <c r="T364" i="19"/>
  <c r="P364" i="19"/>
  <c r="O364" i="19"/>
  <c r="U363" i="19"/>
  <c r="S363" i="19"/>
  <c r="R363" i="19"/>
  <c r="Q363" i="19"/>
  <c r="T363" i="19" s="1"/>
  <c r="U362" i="19"/>
  <c r="T362" i="19"/>
  <c r="N362" i="19"/>
  <c r="N360" i="19" s="1"/>
  <c r="M362" i="19"/>
  <c r="L362" i="19"/>
  <c r="U361" i="19"/>
  <c r="T361" i="19"/>
  <c r="P361" i="19"/>
  <c r="O361" i="19"/>
  <c r="T360" i="19"/>
  <c r="S360" i="19"/>
  <c r="R360" i="19"/>
  <c r="U360" i="19" s="1"/>
  <c r="Q360" i="19"/>
  <c r="U359" i="19"/>
  <c r="S359" i="19"/>
  <c r="R359" i="19"/>
  <c r="Q359" i="19"/>
  <c r="T359" i="19" s="1"/>
  <c r="T358" i="19"/>
  <c r="S358" i="19"/>
  <c r="R358" i="19"/>
  <c r="Q358" i="19"/>
  <c r="P358" i="19"/>
  <c r="N358" i="19"/>
  <c r="M358" i="19"/>
  <c r="L358" i="19"/>
  <c r="S357" i="19"/>
  <c r="Q357" i="19"/>
  <c r="T357" i="19" s="1"/>
  <c r="D355" i="19"/>
  <c r="J354" i="19"/>
  <c r="J353" i="19"/>
  <c r="D351" i="19"/>
  <c r="J350" i="19"/>
  <c r="J349" i="19"/>
  <c r="J348" i="19"/>
  <c r="J347" i="19"/>
  <c r="I347" i="19"/>
  <c r="J345" i="19"/>
  <c r="I345" i="19"/>
  <c r="I333" i="19" s="1"/>
  <c r="U342" i="19"/>
  <c r="T342" i="19"/>
  <c r="N342" i="19"/>
  <c r="N340" i="19" s="1"/>
  <c r="M342" i="19"/>
  <c r="P342" i="19" s="1"/>
  <c r="L342" i="19"/>
  <c r="U341" i="19"/>
  <c r="T341" i="19"/>
  <c r="P341" i="19"/>
  <c r="O341" i="19"/>
  <c r="S340" i="19"/>
  <c r="R340" i="19"/>
  <c r="U340" i="19" s="1"/>
  <c r="Q340" i="19"/>
  <c r="T340" i="19" s="1"/>
  <c r="U339" i="19"/>
  <c r="T339" i="19"/>
  <c r="N339" i="19"/>
  <c r="N336" i="19" s="1"/>
  <c r="N334" i="19" s="1"/>
  <c r="M339" i="19"/>
  <c r="M337" i="19" s="1"/>
  <c r="L339" i="19"/>
  <c r="L337" i="19" s="1"/>
  <c r="U338" i="19"/>
  <c r="T338" i="19"/>
  <c r="P338" i="19"/>
  <c r="O338" i="19"/>
  <c r="U337" i="19"/>
  <c r="T337" i="19"/>
  <c r="S337" i="19"/>
  <c r="R337" i="19"/>
  <c r="Q337" i="19"/>
  <c r="U336" i="19"/>
  <c r="S336" i="19"/>
  <c r="R336" i="19"/>
  <c r="Q336" i="19"/>
  <c r="T336" i="19" s="1"/>
  <c r="S335" i="19"/>
  <c r="S334" i="19" s="1"/>
  <c r="R335" i="19"/>
  <c r="R334" i="19" s="1"/>
  <c r="Q335" i="19"/>
  <c r="O335" i="19"/>
  <c r="N335" i="19"/>
  <c r="M335" i="19"/>
  <c r="P335" i="19" s="1"/>
  <c r="L335" i="19"/>
  <c r="U334" i="19"/>
  <c r="I331" i="19"/>
  <c r="U329" i="19"/>
  <c r="T329" i="19"/>
  <c r="N329" i="19"/>
  <c r="N327" i="19" s="1"/>
  <c r="M329" i="19"/>
  <c r="P329" i="19" s="1"/>
  <c r="L329" i="19"/>
  <c r="O329" i="19" s="1"/>
  <c r="U328" i="19"/>
  <c r="T328" i="19"/>
  <c r="P328" i="19"/>
  <c r="O328" i="19"/>
  <c r="U327" i="19"/>
  <c r="S327" i="19"/>
  <c r="R327" i="19"/>
  <c r="Q327" i="19"/>
  <c r="T327" i="19" s="1"/>
  <c r="U326" i="19"/>
  <c r="T326" i="19"/>
  <c r="N326" i="19"/>
  <c r="N324" i="19" s="1"/>
  <c r="M326" i="19"/>
  <c r="L326" i="19"/>
  <c r="O326" i="19" s="1"/>
  <c r="U325" i="19"/>
  <c r="T325" i="19"/>
  <c r="P325" i="19"/>
  <c r="O325" i="19"/>
  <c r="U324" i="19"/>
  <c r="T324" i="19"/>
  <c r="S324" i="19"/>
  <c r="R324" i="19"/>
  <c r="Q324" i="19"/>
  <c r="T323" i="19"/>
  <c r="S323" i="19"/>
  <c r="R323" i="19"/>
  <c r="Q323" i="19"/>
  <c r="U322" i="19"/>
  <c r="S322" i="19"/>
  <c r="R322" i="19"/>
  <c r="Q322" i="19"/>
  <c r="Q321" i="19" s="1"/>
  <c r="T321" i="19" s="1"/>
  <c r="P322" i="19"/>
  <c r="O322" i="19"/>
  <c r="N322" i="19"/>
  <c r="M322" i="19"/>
  <c r="L322" i="19"/>
  <c r="S321" i="19"/>
  <c r="J320" i="19"/>
  <c r="I315" i="19"/>
  <c r="K315" i="19" s="1"/>
  <c r="U312" i="19"/>
  <c r="T312" i="19"/>
  <c r="N312" i="19"/>
  <c r="N310" i="19" s="1"/>
  <c r="M312" i="19"/>
  <c r="M310" i="19" s="1"/>
  <c r="P310" i="19" s="1"/>
  <c r="L312" i="19"/>
  <c r="L310" i="19" s="1"/>
  <c r="O310" i="19" s="1"/>
  <c r="U311" i="19"/>
  <c r="T311" i="19"/>
  <c r="P311" i="19"/>
  <c r="O311" i="19"/>
  <c r="U310" i="19"/>
  <c r="S310" i="19"/>
  <c r="R310" i="19"/>
  <c r="Q310" i="19"/>
  <c r="T310" i="19" s="1"/>
  <c r="S309" i="19"/>
  <c r="S307" i="19" s="1"/>
  <c r="R309" i="19"/>
  <c r="R307" i="19" s="1"/>
  <c r="Q309" i="19"/>
  <c r="Q306" i="19" s="1"/>
  <c r="N309" i="19"/>
  <c r="N307" i="19" s="1"/>
  <c r="M309" i="19"/>
  <c r="M307" i="19" s="1"/>
  <c r="P307" i="19" s="1"/>
  <c r="L309" i="19"/>
  <c r="O309" i="19" s="1"/>
  <c r="U308" i="19"/>
  <c r="T308" i="19"/>
  <c r="P308" i="19"/>
  <c r="O308" i="19"/>
  <c r="S305" i="19"/>
  <c r="R305" i="19"/>
  <c r="U305" i="19" s="1"/>
  <c r="Q305" i="19"/>
  <c r="P305" i="19"/>
  <c r="N305" i="19"/>
  <c r="M305" i="19"/>
  <c r="L305" i="19"/>
  <c r="O305" i="19" s="1"/>
  <c r="J303" i="19"/>
  <c r="I297" i="19"/>
  <c r="K297" i="19" s="1"/>
  <c r="I296" i="19"/>
  <c r="K296" i="19" s="1"/>
  <c r="J294" i="19"/>
  <c r="J281" i="19" s="1"/>
  <c r="I294" i="19"/>
  <c r="I293" i="19"/>
  <c r="K293" i="19" s="1"/>
  <c r="U291" i="19"/>
  <c r="T291" i="19"/>
  <c r="N291" i="19"/>
  <c r="N289" i="19" s="1"/>
  <c r="M291" i="19"/>
  <c r="L291" i="19"/>
  <c r="U290" i="19"/>
  <c r="T290" i="19"/>
  <c r="P290" i="19"/>
  <c r="O290" i="19"/>
  <c r="T289" i="19"/>
  <c r="S289" i="19"/>
  <c r="R289" i="19"/>
  <c r="U289" i="19" s="1"/>
  <c r="Q289" i="19"/>
  <c r="U288" i="19"/>
  <c r="T288" i="19"/>
  <c r="N288" i="19"/>
  <c r="M288" i="19"/>
  <c r="M286" i="19" s="1"/>
  <c r="P286" i="19" s="1"/>
  <c r="L288" i="19"/>
  <c r="O288" i="19" s="1"/>
  <c r="U287" i="19"/>
  <c r="T287" i="19"/>
  <c r="P287" i="19"/>
  <c r="O287" i="19"/>
  <c r="T286" i="19"/>
  <c r="S286" i="19"/>
  <c r="R286" i="19"/>
  <c r="U286" i="19" s="1"/>
  <c r="Q286" i="19"/>
  <c r="U285" i="19"/>
  <c r="T285" i="19"/>
  <c r="S285" i="19"/>
  <c r="R285" i="19"/>
  <c r="Q285" i="19"/>
  <c r="T284" i="19"/>
  <c r="S284" i="19"/>
  <c r="R284" i="19"/>
  <c r="U284" i="19" s="1"/>
  <c r="Q284" i="19"/>
  <c r="P284" i="19"/>
  <c r="N284" i="19"/>
  <c r="M284" i="19"/>
  <c r="L284" i="19"/>
  <c r="O284" i="19" s="1"/>
  <c r="R283" i="19"/>
  <c r="U283" i="19" s="1"/>
  <c r="Q283" i="19"/>
  <c r="T283" i="19" s="1"/>
  <c r="J282" i="19"/>
  <c r="I277" i="19"/>
  <c r="U275" i="19"/>
  <c r="T275" i="19"/>
  <c r="N275" i="19"/>
  <c r="N273" i="19" s="1"/>
  <c r="M275" i="19"/>
  <c r="P275" i="19" s="1"/>
  <c r="L275" i="19"/>
  <c r="U274" i="19"/>
  <c r="T274" i="19"/>
  <c r="P274" i="19"/>
  <c r="O274" i="19"/>
  <c r="U273" i="19"/>
  <c r="T273" i="19"/>
  <c r="S273" i="19"/>
  <c r="R273" i="19"/>
  <c r="Q273" i="19"/>
  <c r="S272" i="19"/>
  <c r="S270" i="19" s="1"/>
  <c r="R272" i="19"/>
  <c r="Q272" i="19"/>
  <c r="Q270" i="19" s="1"/>
  <c r="N272" i="19"/>
  <c r="M272" i="19"/>
  <c r="M270" i="19" s="1"/>
  <c r="L272" i="19"/>
  <c r="L270" i="19" s="1"/>
  <c r="O270" i="19" s="1"/>
  <c r="U271" i="19"/>
  <c r="T271" i="19"/>
  <c r="P271" i="19"/>
  <c r="O271" i="19"/>
  <c r="S268" i="19"/>
  <c r="R268" i="19"/>
  <c r="Q268" i="19"/>
  <c r="T268" i="19" s="1"/>
  <c r="P268" i="19"/>
  <c r="N268" i="19"/>
  <c r="M268" i="19"/>
  <c r="L268" i="19"/>
  <c r="O268" i="19" s="1"/>
  <c r="J266" i="19"/>
  <c r="K264" i="19"/>
  <c r="K263" i="19"/>
  <c r="I261" i="19"/>
  <c r="L259" i="19"/>
  <c r="L258" i="19"/>
  <c r="L257" i="19"/>
  <c r="L256" i="19"/>
  <c r="P255" i="19"/>
  <c r="N255" i="19"/>
  <c r="J254" i="19"/>
  <c r="K253" i="19"/>
  <c r="K252" i="19"/>
  <c r="I250" i="19"/>
  <c r="I243" i="19" s="1"/>
  <c r="L248" i="19"/>
  <c r="L247" i="19"/>
  <c r="L246" i="19"/>
  <c r="L245" i="19"/>
  <c r="P244" i="19"/>
  <c r="N244" i="19"/>
  <c r="J243" i="19"/>
  <c r="J232" i="19" s="1"/>
  <c r="J186" i="19" s="1"/>
  <c r="K242" i="19"/>
  <c r="J242" i="19"/>
  <c r="I242" i="19"/>
  <c r="J241" i="19"/>
  <c r="I241" i="19"/>
  <c r="K241" i="19" s="1"/>
  <c r="J239" i="19"/>
  <c r="N237" i="19"/>
  <c r="N236" i="19"/>
  <c r="N235" i="19"/>
  <c r="N234" i="19"/>
  <c r="N233" i="19"/>
  <c r="I231" i="19"/>
  <c r="K231" i="19" s="1"/>
  <c r="I230" i="19"/>
  <c r="I222" i="19" s="1"/>
  <c r="K222" i="19" s="1"/>
  <c r="I229" i="19"/>
  <c r="K229" i="19" s="1"/>
  <c r="L226" i="19"/>
  <c r="L225" i="19"/>
  <c r="L224" i="19"/>
  <c r="P223" i="19"/>
  <c r="N223" i="19"/>
  <c r="J222" i="19"/>
  <c r="I221" i="19"/>
  <c r="K221" i="19" s="1"/>
  <c r="I220" i="19"/>
  <c r="K220" i="19" s="1"/>
  <c r="L218" i="19"/>
  <c r="L217" i="19"/>
  <c r="L216" i="19"/>
  <c r="P215" i="19"/>
  <c r="N215" i="19"/>
  <c r="J214" i="19"/>
  <c r="I213" i="19"/>
  <c r="K213" i="19" s="1"/>
  <c r="I212" i="19"/>
  <c r="K212" i="19" s="1"/>
  <c r="I210" i="19"/>
  <c r="K210" i="19" s="1"/>
  <c r="L208" i="19"/>
  <c r="L207" i="19"/>
  <c r="L206" i="19"/>
  <c r="L205" i="19"/>
  <c r="P204" i="19"/>
  <c r="N204" i="19"/>
  <c r="J203" i="19"/>
  <c r="J200" i="19"/>
  <c r="I199" i="19"/>
  <c r="K199" i="19" s="1"/>
  <c r="P197" i="19"/>
  <c r="L197" i="19"/>
  <c r="O197" i="19" s="1"/>
  <c r="J196" i="19"/>
  <c r="U195" i="19"/>
  <c r="T195" i="19"/>
  <c r="N195" i="19"/>
  <c r="M195" i="19"/>
  <c r="L195" i="19"/>
  <c r="L193" i="19" s="1"/>
  <c r="O193" i="19" s="1"/>
  <c r="U194" i="19"/>
  <c r="T194" i="19"/>
  <c r="P194" i="19"/>
  <c r="O194" i="19"/>
  <c r="U193" i="19"/>
  <c r="S193" i="19"/>
  <c r="R193" i="19"/>
  <c r="Q193" i="19"/>
  <c r="T193" i="19" s="1"/>
  <c r="S192" i="19"/>
  <c r="S189" i="19" s="1"/>
  <c r="R192" i="19"/>
  <c r="R190" i="19" s="1"/>
  <c r="Q192" i="19"/>
  <c r="Q190" i="19" s="1"/>
  <c r="N192" i="19"/>
  <c r="N190" i="19" s="1"/>
  <c r="M192" i="19"/>
  <c r="L192" i="19"/>
  <c r="L190" i="19" s="1"/>
  <c r="U191" i="19"/>
  <c r="T191" i="19"/>
  <c r="P191" i="19"/>
  <c r="O191" i="19"/>
  <c r="U188" i="19"/>
  <c r="S188" i="19"/>
  <c r="R188" i="19"/>
  <c r="Q188" i="19"/>
  <c r="O188" i="19"/>
  <c r="N188" i="19"/>
  <c r="M188" i="19"/>
  <c r="P188" i="19" s="1"/>
  <c r="L188" i="19"/>
  <c r="K185" i="19"/>
  <c r="I184" i="19"/>
  <c r="U182" i="19"/>
  <c r="T182" i="19"/>
  <c r="N182" i="19"/>
  <c r="N180" i="19" s="1"/>
  <c r="M182" i="19"/>
  <c r="L182" i="19"/>
  <c r="O182" i="19" s="1"/>
  <c r="U181" i="19"/>
  <c r="T181" i="19"/>
  <c r="P181" i="19"/>
  <c r="O181" i="19"/>
  <c r="T180" i="19"/>
  <c r="S180" i="19"/>
  <c r="R180" i="19"/>
  <c r="U180" i="19" s="1"/>
  <c r="Q180" i="19"/>
  <c r="S179" i="19"/>
  <c r="S176" i="19" s="1"/>
  <c r="R179" i="19"/>
  <c r="U179" i="19" s="1"/>
  <c r="Q179" i="19"/>
  <c r="Q177" i="19" s="1"/>
  <c r="T177" i="19" s="1"/>
  <c r="N179" i="19"/>
  <c r="N177" i="19" s="1"/>
  <c r="M179" i="19"/>
  <c r="L179" i="19"/>
  <c r="U178" i="19"/>
  <c r="T178" i="19"/>
  <c r="P178" i="19"/>
  <c r="O178" i="19"/>
  <c r="T175" i="19"/>
  <c r="S175" i="19"/>
  <c r="R175" i="19"/>
  <c r="U175" i="19" s="1"/>
  <c r="Q175" i="19"/>
  <c r="P175" i="19"/>
  <c r="N175" i="19"/>
  <c r="M175" i="19"/>
  <c r="L175" i="19"/>
  <c r="O175" i="19" s="1"/>
  <c r="J173" i="19"/>
  <c r="I168" i="19"/>
  <c r="I170" i="19" s="1"/>
  <c r="K170" i="19" s="1"/>
  <c r="U166" i="19"/>
  <c r="T166" i="19"/>
  <c r="N166" i="19"/>
  <c r="N164" i="19" s="1"/>
  <c r="M166" i="19"/>
  <c r="P166" i="19" s="1"/>
  <c r="L166" i="19"/>
  <c r="O166" i="19" s="1"/>
  <c r="U165" i="19"/>
  <c r="T165" i="19"/>
  <c r="P165" i="19"/>
  <c r="O165" i="19"/>
  <c r="T164" i="19"/>
  <c r="S164" i="19"/>
  <c r="R164" i="19"/>
  <c r="U164" i="19" s="1"/>
  <c r="Q164" i="19"/>
  <c r="S163" i="19"/>
  <c r="S161" i="19" s="1"/>
  <c r="R163" i="19"/>
  <c r="R160" i="19" s="1"/>
  <c r="Q161" i="19"/>
  <c r="T161" i="19" s="1"/>
  <c r="N163" i="19"/>
  <c r="N161" i="19" s="1"/>
  <c r="M163" i="19"/>
  <c r="M161" i="19" s="1"/>
  <c r="L163" i="19"/>
  <c r="L161" i="19" s="1"/>
  <c r="U162" i="19"/>
  <c r="T162" i="19"/>
  <c r="P162" i="19"/>
  <c r="O162" i="19"/>
  <c r="S159" i="19"/>
  <c r="R159" i="19"/>
  <c r="U159" i="19" s="1"/>
  <c r="Q159" i="19"/>
  <c r="T159" i="19" s="1"/>
  <c r="N159" i="19"/>
  <c r="M159" i="19"/>
  <c r="L159" i="19"/>
  <c r="O159" i="19" s="1"/>
  <c r="J157" i="19"/>
  <c r="I155" i="19"/>
  <c r="K155" i="19" s="1"/>
  <c r="I154" i="19"/>
  <c r="K154" i="19" s="1"/>
  <c r="I153" i="19"/>
  <c r="K153" i="19" s="1"/>
  <c r="I152" i="19"/>
  <c r="K152" i="19" s="1"/>
  <c r="I151" i="19"/>
  <c r="K151" i="19" s="1"/>
  <c r="U148" i="19"/>
  <c r="T148" i="19"/>
  <c r="N148" i="19"/>
  <c r="M148" i="19"/>
  <c r="L148" i="19"/>
  <c r="O148" i="19" s="1"/>
  <c r="U147" i="19"/>
  <c r="T147" i="19"/>
  <c r="P147" i="19"/>
  <c r="O147" i="19"/>
  <c r="U146" i="19"/>
  <c r="T146" i="19"/>
  <c r="S146" i="19"/>
  <c r="R146" i="19"/>
  <c r="Q146" i="19"/>
  <c r="S145" i="19"/>
  <c r="R145" i="19"/>
  <c r="U145" i="19" s="1"/>
  <c r="Q145" i="19"/>
  <c r="T145" i="19" s="1"/>
  <c r="N145" i="19"/>
  <c r="N143" i="19" s="1"/>
  <c r="M145" i="19"/>
  <c r="L145" i="19"/>
  <c r="U144" i="19"/>
  <c r="T144" i="19"/>
  <c r="P144" i="19"/>
  <c r="O144" i="19"/>
  <c r="S141" i="19"/>
  <c r="R141" i="19"/>
  <c r="Q141" i="19"/>
  <c r="P141" i="19"/>
  <c r="N141" i="19"/>
  <c r="M141" i="19"/>
  <c r="L141" i="19"/>
  <c r="J139" i="19"/>
  <c r="J138" i="19"/>
  <c r="J137" i="19"/>
  <c r="I131" i="19"/>
  <c r="K131" i="19" s="1"/>
  <c r="I130" i="19"/>
  <c r="K130" i="19" s="1"/>
  <c r="I129" i="19"/>
  <c r="K129" i="19" s="1"/>
  <c r="I128" i="19"/>
  <c r="I117" i="19" s="1"/>
  <c r="K117" i="19" s="1"/>
  <c r="U126" i="19"/>
  <c r="T126" i="19"/>
  <c r="N126" i="19"/>
  <c r="N124" i="19" s="1"/>
  <c r="M126" i="19"/>
  <c r="P126" i="19" s="1"/>
  <c r="L126" i="19"/>
  <c r="O126" i="19" s="1"/>
  <c r="U125" i="19"/>
  <c r="T125" i="19"/>
  <c r="P125" i="19"/>
  <c r="O125" i="19"/>
  <c r="S124" i="19"/>
  <c r="R124" i="19"/>
  <c r="U124" i="19" s="1"/>
  <c r="Q124" i="19"/>
  <c r="T124" i="19" s="1"/>
  <c r="S123" i="19"/>
  <c r="S121" i="19" s="1"/>
  <c r="R123" i="19"/>
  <c r="R120" i="19" s="1"/>
  <c r="R118" i="19" s="1"/>
  <c r="Q123" i="19"/>
  <c r="Q121" i="19" s="1"/>
  <c r="N123" i="19"/>
  <c r="N121" i="19" s="1"/>
  <c r="M123" i="19"/>
  <c r="P123" i="19" s="1"/>
  <c r="L123" i="19"/>
  <c r="L121" i="19" s="1"/>
  <c r="O121" i="19" s="1"/>
  <c r="U122" i="19"/>
  <c r="T122" i="19"/>
  <c r="P122" i="19"/>
  <c r="O122" i="19"/>
  <c r="T119" i="19"/>
  <c r="S119" i="19"/>
  <c r="R119" i="19"/>
  <c r="U119" i="19" s="1"/>
  <c r="Q119" i="19"/>
  <c r="N119" i="19"/>
  <c r="M119" i="19"/>
  <c r="L119" i="19"/>
  <c r="O119" i="19" s="1"/>
  <c r="J117" i="19"/>
  <c r="I115" i="19"/>
  <c r="K115" i="19" s="1"/>
  <c r="I110" i="19"/>
  <c r="I94" i="19" s="1"/>
  <c r="K94" i="19" s="1"/>
  <c r="I109" i="19"/>
  <c r="K109" i="19" s="1"/>
  <c r="U103" i="19"/>
  <c r="T103" i="19"/>
  <c r="N103" i="19"/>
  <c r="N101" i="19" s="1"/>
  <c r="M103" i="19"/>
  <c r="P103" i="19" s="1"/>
  <c r="L103" i="19"/>
  <c r="O103" i="19" s="1"/>
  <c r="U102" i="19"/>
  <c r="T102" i="19"/>
  <c r="P102" i="19"/>
  <c r="O102" i="19"/>
  <c r="S101" i="19"/>
  <c r="R101" i="19"/>
  <c r="U101" i="19" s="1"/>
  <c r="Q101" i="19"/>
  <c r="T101" i="19" s="1"/>
  <c r="S100" i="19"/>
  <c r="S97" i="19" s="1"/>
  <c r="R100" i="19"/>
  <c r="Q98" i="19"/>
  <c r="T98" i="19" s="1"/>
  <c r="N100" i="19"/>
  <c r="N98" i="19" s="1"/>
  <c r="M100" i="19"/>
  <c r="P100" i="19" s="1"/>
  <c r="L100" i="19"/>
  <c r="L98" i="19" s="1"/>
  <c r="O98" i="19" s="1"/>
  <c r="U99" i="19"/>
  <c r="T99" i="19"/>
  <c r="P99" i="19"/>
  <c r="O99" i="19"/>
  <c r="S96" i="19"/>
  <c r="R96" i="19"/>
  <c r="U96" i="19" s="1"/>
  <c r="Q96" i="19"/>
  <c r="T96" i="19" s="1"/>
  <c r="N96" i="19"/>
  <c r="M96" i="19"/>
  <c r="L96" i="19"/>
  <c r="O96" i="19" s="1"/>
  <c r="J94" i="19"/>
  <c r="J93" i="19"/>
  <c r="I91" i="19"/>
  <c r="K91" i="19" s="1"/>
  <c r="I90" i="19"/>
  <c r="K90" i="19" s="1"/>
  <c r="I89" i="19"/>
  <c r="K89" i="19" s="1"/>
  <c r="I88" i="19"/>
  <c r="K88" i="19" s="1"/>
  <c r="I87" i="19"/>
  <c r="K87" i="19" s="1"/>
  <c r="I86" i="19"/>
  <c r="I85" i="19"/>
  <c r="K85" i="19" s="1"/>
  <c r="J84" i="19"/>
  <c r="J72" i="19" s="1"/>
  <c r="J83" i="19"/>
  <c r="U81" i="19"/>
  <c r="T81" i="19"/>
  <c r="N81" i="19"/>
  <c r="N79" i="19" s="1"/>
  <c r="M81" i="19"/>
  <c r="P81" i="19" s="1"/>
  <c r="L81" i="19"/>
  <c r="O81" i="19" s="1"/>
  <c r="U80" i="19"/>
  <c r="T80" i="19"/>
  <c r="P80" i="19"/>
  <c r="O80" i="19"/>
  <c r="U79" i="19"/>
  <c r="S79" i="19"/>
  <c r="R79" i="19"/>
  <c r="Q79" i="19"/>
  <c r="T79" i="19" s="1"/>
  <c r="S78" i="19"/>
  <c r="R78" i="19"/>
  <c r="R76" i="19" s="1"/>
  <c r="U76" i="19" s="1"/>
  <c r="Q76" i="19"/>
  <c r="T76" i="19" s="1"/>
  <c r="N78" i="19"/>
  <c r="N76" i="19" s="1"/>
  <c r="M78" i="19"/>
  <c r="P78" i="19" s="1"/>
  <c r="L78" i="19"/>
  <c r="O78" i="19" s="1"/>
  <c r="U77" i="19"/>
  <c r="T77" i="19"/>
  <c r="P77" i="19"/>
  <c r="O77" i="19"/>
  <c r="S74" i="19"/>
  <c r="R74" i="19"/>
  <c r="Q74" i="19"/>
  <c r="T74" i="19" s="1"/>
  <c r="O74" i="19"/>
  <c r="N74" i="19"/>
  <c r="M74" i="19"/>
  <c r="P74" i="19" s="1"/>
  <c r="L74" i="19"/>
  <c r="J71" i="19"/>
  <c r="U68" i="19"/>
  <c r="T68" i="19"/>
  <c r="N68" i="19"/>
  <c r="N66" i="19" s="1"/>
  <c r="M68" i="19"/>
  <c r="P68" i="19" s="1"/>
  <c r="L68" i="19"/>
  <c r="L66" i="19" s="1"/>
  <c r="O66" i="19" s="1"/>
  <c r="U67" i="19"/>
  <c r="T67" i="19"/>
  <c r="P67" i="19"/>
  <c r="O67" i="19"/>
  <c r="T66" i="19"/>
  <c r="S66" i="19"/>
  <c r="R66" i="19"/>
  <c r="U66" i="19" s="1"/>
  <c r="Q66" i="19"/>
  <c r="U65" i="19"/>
  <c r="T65" i="19"/>
  <c r="N65" i="19"/>
  <c r="N63" i="19" s="1"/>
  <c r="M65" i="19"/>
  <c r="M63" i="19" s="1"/>
  <c r="L65" i="19"/>
  <c r="U64" i="19"/>
  <c r="T64" i="19"/>
  <c r="P64" i="19"/>
  <c r="O64" i="19"/>
  <c r="U63" i="19"/>
  <c r="S63" i="19"/>
  <c r="R63" i="19"/>
  <c r="Q63" i="19"/>
  <c r="T63" i="19" s="1"/>
  <c r="U62" i="19"/>
  <c r="S62" i="19"/>
  <c r="S60" i="19" s="1"/>
  <c r="R62" i="19"/>
  <c r="Q62" i="19"/>
  <c r="T62" i="19" s="1"/>
  <c r="U61" i="19"/>
  <c r="T61" i="19"/>
  <c r="S61" i="19"/>
  <c r="R61" i="19"/>
  <c r="Q61" i="19"/>
  <c r="O61" i="19"/>
  <c r="N61" i="19"/>
  <c r="M61" i="19"/>
  <c r="P61" i="19" s="1"/>
  <c r="L61" i="19"/>
  <c r="R60" i="19"/>
  <c r="U60" i="19" s="1"/>
  <c r="Q60" i="19"/>
  <c r="T60" i="19" s="1"/>
  <c r="U53" i="19"/>
  <c r="T53" i="19"/>
  <c r="N53" i="19"/>
  <c r="N51" i="19" s="1"/>
  <c r="M53" i="19"/>
  <c r="P53" i="19" s="1"/>
  <c r="L53" i="19"/>
  <c r="L51" i="19" s="1"/>
  <c r="O51" i="19" s="1"/>
  <c r="U52" i="19"/>
  <c r="T52" i="19"/>
  <c r="P52" i="19"/>
  <c r="O52" i="19"/>
  <c r="T51" i="19"/>
  <c r="S51" i="19"/>
  <c r="R51" i="19"/>
  <c r="U51" i="19" s="1"/>
  <c r="Q51" i="19"/>
  <c r="U50" i="19"/>
  <c r="T50" i="19"/>
  <c r="N50" i="19"/>
  <c r="N48" i="19" s="1"/>
  <c r="M50" i="19"/>
  <c r="M48" i="19" s="1"/>
  <c r="L50" i="19"/>
  <c r="L48" i="19" s="1"/>
  <c r="U49" i="19"/>
  <c r="T49" i="19"/>
  <c r="P49" i="19"/>
  <c r="O49" i="19"/>
  <c r="U48" i="19"/>
  <c r="S48" i="19"/>
  <c r="R48" i="19"/>
  <c r="Q48" i="19"/>
  <c r="T48" i="19" s="1"/>
  <c r="U47" i="19"/>
  <c r="S47" i="19"/>
  <c r="R47" i="19"/>
  <c r="Q47" i="19"/>
  <c r="T47" i="19" s="1"/>
  <c r="U46" i="19"/>
  <c r="T46" i="19"/>
  <c r="S46" i="19"/>
  <c r="S45" i="19" s="1"/>
  <c r="R46" i="19"/>
  <c r="Q46" i="19"/>
  <c r="N46" i="19"/>
  <c r="M46" i="19"/>
  <c r="P46" i="19" s="1"/>
  <c r="L46" i="19"/>
  <c r="R45" i="19"/>
  <c r="U45" i="19" s="1"/>
  <c r="S27" i="19"/>
  <c r="R27" i="19"/>
  <c r="Q27" i="19"/>
  <c r="T27" i="19" s="1"/>
  <c r="S26" i="19"/>
  <c r="R26" i="19"/>
  <c r="U26" i="19" s="1"/>
  <c r="Q26" i="19"/>
  <c r="N26" i="19"/>
  <c r="M26" i="19"/>
  <c r="L26" i="19"/>
  <c r="O26" i="19" s="1"/>
  <c r="S23" i="19"/>
  <c r="R23" i="19"/>
  <c r="U23" i="19" s="1"/>
  <c r="Q23" i="19"/>
  <c r="T23" i="19" s="1"/>
  <c r="N23" i="19"/>
  <c r="M23" i="19"/>
  <c r="M20" i="19" s="1"/>
  <c r="L23" i="19"/>
  <c r="O23" i="19" s="1"/>
  <c r="A788" i="18"/>
  <c r="J785" i="18"/>
  <c r="I785" i="18"/>
  <c r="J784" i="18"/>
  <c r="I784" i="18"/>
  <c r="J783" i="18"/>
  <c r="I783" i="18"/>
  <c r="J782" i="18"/>
  <c r="I782" i="18"/>
  <c r="J781" i="18"/>
  <c r="I781" i="18"/>
  <c r="J780" i="18"/>
  <c r="I780" i="18"/>
  <c r="J779" i="18"/>
  <c r="I779" i="18"/>
  <c r="J778" i="18"/>
  <c r="I778" i="18"/>
  <c r="H777" i="18"/>
  <c r="I776" i="18"/>
  <c r="I775" i="18"/>
  <c r="I774" i="18"/>
  <c r="I772" i="18"/>
  <c r="K772" i="18" s="1"/>
  <c r="I770" i="18"/>
  <c r="K770" i="18" s="1"/>
  <c r="U768" i="18"/>
  <c r="T768" i="18"/>
  <c r="P768" i="18"/>
  <c r="O768" i="18"/>
  <c r="U767" i="18"/>
  <c r="T767" i="18"/>
  <c r="P767" i="18"/>
  <c r="O767" i="18"/>
  <c r="T766" i="18"/>
  <c r="S766" i="18"/>
  <c r="R766" i="18"/>
  <c r="U766" i="18" s="1"/>
  <c r="Q766" i="18"/>
  <c r="N766" i="18"/>
  <c r="M766" i="18"/>
  <c r="P766" i="18" s="1"/>
  <c r="L766" i="18"/>
  <c r="O766" i="18" s="1"/>
  <c r="S765" i="18"/>
  <c r="S763" i="18" s="1"/>
  <c r="R765" i="18"/>
  <c r="R763" i="18" s="1"/>
  <c r="U763" i="18" s="1"/>
  <c r="Q765" i="18"/>
  <c r="T765" i="18" s="1"/>
  <c r="P765" i="18"/>
  <c r="O765" i="18"/>
  <c r="U764" i="18"/>
  <c r="T764" i="18"/>
  <c r="P764" i="18"/>
  <c r="O764" i="18"/>
  <c r="P763" i="18"/>
  <c r="O763" i="18"/>
  <c r="N763" i="18"/>
  <c r="M763" i="18"/>
  <c r="L763" i="18"/>
  <c r="O762" i="18"/>
  <c r="N762" i="18"/>
  <c r="M762" i="18"/>
  <c r="P762" i="18" s="1"/>
  <c r="L762" i="18"/>
  <c r="S761" i="18"/>
  <c r="R761" i="18"/>
  <c r="Q761" i="18"/>
  <c r="T761" i="18" s="1"/>
  <c r="N761" i="18"/>
  <c r="N760" i="18" s="1"/>
  <c r="M761" i="18"/>
  <c r="P761" i="18" s="1"/>
  <c r="L761" i="18"/>
  <c r="L760" i="18" s="1"/>
  <c r="O760" i="18" s="1"/>
  <c r="J759" i="18"/>
  <c r="J758" i="18"/>
  <c r="I756" i="18"/>
  <c r="K756" i="18" s="1"/>
  <c r="I753" i="18"/>
  <c r="K753" i="18" s="1"/>
  <c r="I750" i="18"/>
  <c r="K750" i="18" s="1"/>
  <c r="I747" i="18"/>
  <c r="K747" i="18" s="1"/>
  <c r="I745" i="18"/>
  <c r="K745" i="18" s="1"/>
  <c r="I743" i="18"/>
  <c r="K743" i="18" s="1"/>
  <c r="I741" i="18"/>
  <c r="K741" i="18" s="1"/>
  <c r="U737" i="18"/>
  <c r="T737" i="18"/>
  <c r="P737" i="18"/>
  <c r="O737" i="18"/>
  <c r="U736" i="18"/>
  <c r="T736" i="18"/>
  <c r="P736" i="18"/>
  <c r="O736" i="18"/>
  <c r="S735" i="18"/>
  <c r="R735" i="18"/>
  <c r="U735" i="18" s="1"/>
  <c r="Q735" i="18"/>
  <c r="T735" i="18" s="1"/>
  <c r="N735" i="18"/>
  <c r="M735" i="18"/>
  <c r="P735" i="18" s="1"/>
  <c r="L735" i="18"/>
  <c r="O735" i="18" s="1"/>
  <c r="S734" i="18"/>
  <c r="S732" i="18" s="1"/>
  <c r="R734" i="18"/>
  <c r="R732" i="18" s="1"/>
  <c r="Q734" i="18"/>
  <c r="Q732" i="18" s="1"/>
  <c r="P734" i="18"/>
  <c r="O734" i="18"/>
  <c r="U733" i="18"/>
  <c r="T733" i="18"/>
  <c r="P733" i="18"/>
  <c r="O733" i="18"/>
  <c r="P732" i="18"/>
  <c r="O732" i="18"/>
  <c r="N732" i="18"/>
  <c r="M732" i="18"/>
  <c r="L732" i="18"/>
  <c r="N731" i="18"/>
  <c r="N729" i="18" s="1"/>
  <c r="M731" i="18"/>
  <c r="P731" i="18" s="1"/>
  <c r="L731" i="18"/>
  <c r="O731" i="18" s="1"/>
  <c r="S730" i="18"/>
  <c r="R730" i="18"/>
  <c r="U730" i="18" s="1"/>
  <c r="Q730" i="18"/>
  <c r="P730" i="18"/>
  <c r="N730" i="18"/>
  <c r="M730" i="18"/>
  <c r="M729" i="18" s="1"/>
  <c r="P729" i="18" s="1"/>
  <c r="L730" i="18"/>
  <c r="O730" i="18" s="1"/>
  <c r="J728" i="18"/>
  <c r="I728" i="18"/>
  <c r="K728" i="18" s="1"/>
  <c r="J727" i="18"/>
  <c r="I727" i="18"/>
  <c r="K727" i="18" s="1"/>
  <c r="U723" i="18"/>
  <c r="T723" i="18"/>
  <c r="P723" i="18"/>
  <c r="O723" i="18"/>
  <c r="U722" i="18"/>
  <c r="T722" i="18"/>
  <c r="P722" i="18"/>
  <c r="O722" i="18"/>
  <c r="U721" i="18"/>
  <c r="T721" i="18"/>
  <c r="S721" i="18"/>
  <c r="R721" i="18"/>
  <c r="Q721" i="18"/>
  <c r="P721" i="18"/>
  <c r="O721" i="18"/>
  <c r="N721" i="18"/>
  <c r="M721" i="18"/>
  <c r="L721" i="18"/>
  <c r="U720" i="18"/>
  <c r="T720" i="18"/>
  <c r="P720" i="18"/>
  <c r="O720" i="18"/>
  <c r="U719" i="18"/>
  <c r="T719" i="18"/>
  <c r="P719" i="18"/>
  <c r="O719" i="18"/>
  <c r="U718" i="18"/>
  <c r="T718" i="18"/>
  <c r="S718" i="18"/>
  <c r="R718" i="18"/>
  <c r="Q718" i="18"/>
  <c r="P718" i="18"/>
  <c r="O718" i="18"/>
  <c r="N718" i="18"/>
  <c r="M718" i="18"/>
  <c r="L718" i="18"/>
  <c r="T717" i="18"/>
  <c r="S717" i="18"/>
  <c r="R717" i="18"/>
  <c r="U717" i="18" s="1"/>
  <c r="Q717" i="18"/>
  <c r="N717" i="18"/>
  <c r="M717" i="18"/>
  <c r="P717" i="18" s="1"/>
  <c r="L717" i="18"/>
  <c r="O717" i="18" s="1"/>
  <c r="S716" i="18"/>
  <c r="S715" i="18" s="1"/>
  <c r="R716" i="18"/>
  <c r="U716" i="18" s="1"/>
  <c r="Q716" i="18"/>
  <c r="Q715" i="18" s="1"/>
  <c r="T715" i="18" s="1"/>
  <c r="P716" i="18"/>
  <c r="N716" i="18"/>
  <c r="M716" i="18"/>
  <c r="M715" i="18" s="1"/>
  <c r="P715" i="18" s="1"/>
  <c r="L716" i="18"/>
  <c r="O716" i="18" s="1"/>
  <c r="N715" i="18"/>
  <c r="K713" i="18"/>
  <c r="J713" i="18"/>
  <c r="K711" i="18"/>
  <c r="J711" i="18"/>
  <c r="J710" i="18"/>
  <c r="I710" i="18"/>
  <c r="K709" i="18"/>
  <c r="J709" i="18"/>
  <c r="J708" i="18"/>
  <c r="J690" i="18" s="1"/>
  <c r="I708" i="18"/>
  <c r="I690" i="18" s="1"/>
  <c r="K707" i="18"/>
  <c r="J707" i="18"/>
  <c r="J706" i="18"/>
  <c r="I706" i="18"/>
  <c r="K705" i="18"/>
  <c r="J705" i="18"/>
  <c r="J704" i="18"/>
  <c r="I704" i="18"/>
  <c r="K703" i="18"/>
  <c r="I701" i="18"/>
  <c r="K701" i="18" s="1"/>
  <c r="U699" i="18"/>
  <c r="T699" i="18"/>
  <c r="P699" i="18"/>
  <c r="O699" i="18"/>
  <c r="U698" i="18"/>
  <c r="T698" i="18"/>
  <c r="P698" i="18"/>
  <c r="O698" i="18"/>
  <c r="U697" i="18"/>
  <c r="T697" i="18"/>
  <c r="S697" i="18"/>
  <c r="R697" i="18"/>
  <c r="Q697" i="18"/>
  <c r="O697" i="18"/>
  <c r="N697" i="18"/>
  <c r="M697" i="18"/>
  <c r="P697" i="18" s="1"/>
  <c r="L697" i="18"/>
  <c r="S696" i="18"/>
  <c r="R696" i="18"/>
  <c r="R694" i="18" s="1"/>
  <c r="Q696" i="18"/>
  <c r="P696" i="18"/>
  <c r="O696" i="18"/>
  <c r="U695" i="18"/>
  <c r="T695" i="18"/>
  <c r="P695" i="18"/>
  <c r="O695" i="18"/>
  <c r="P694" i="18"/>
  <c r="N694" i="18"/>
  <c r="M694" i="18"/>
  <c r="L694" i="18"/>
  <c r="O694" i="18" s="1"/>
  <c r="P693" i="18"/>
  <c r="O693" i="18"/>
  <c r="N693" i="18"/>
  <c r="M693" i="18"/>
  <c r="L693" i="18"/>
  <c r="T692" i="18"/>
  <c r="S692" i="18"/>
  <c r="R692" i="18"/>
  <c r="U692" i="18" s="1"/>
  <c r="Q692" i="18"/>
  <c r="N692" i="18"/>
  <c r="N691" i="18" s="1"/>
  <c r="M692" i="18"/>
  <c r="L692" i="18"/>
  <c r="O692" i="18" s="1"/>
  <c r="L691" i="18"/>
  <c r="O691" i="18" s="1"/>
  <c r="J683" i="18"/>
  <c r="I683" i="18"/>
  <c r="K683" i="18" s="1"/>
  <c r="J682" i="18"/>
  <c r="I682" i="18"/>
  <c r="K682" i="18" s="1"/>
  <c r="J681" i="18"/>
  <c r="J680" i="18"/>
  <c r="I680" i="18"/>
  <c r="K680" i="18" s="1"/>
  <c r="J679" i="18"/>
  <c r="I679" i="18"/>
  <c r="K679" i="18" s="1"/>
  <c r="J678" i="18"/>
  <c r="J677" i="18"/>
  <c r="I677" i="18"/>
  <c r="K677" i="18" s="1"/>
  <c r="I676" i="18"/>
  <c r="K676" i="18" s="1"/>
  <c r="I675" i="18"/>
  <c r="K675" i="18" s="1"/>
  <c r="J674" i="18"/>
  <c r="I674" i="18"/>
  <c r="K674" i="18" s="1"/>
  <c r="J673" i="18"/>
  <c r="J672" i="18"/>
  <c r="J662" i="18"/>
  <c r="I662" i="18"/>
  <c r="K662" i="18" s="1"/>
  <c r="I661" i="18"/>
  <c r="I658" i="18"/>
  <c r="J655" i="18"/>
  <c r="I655" i="18"/>
  <c r="K655" i="18" s="1"/>
  <c r="J654" i="18"/>
  <c r="I654" i="18"/>
  <c r="K654" i="18" s="1"/>
  <c r="J653" i="18"/>
  <c r="I653" i="18"/>
  <c r="K653" i="18" s="1"/>
  <c r="U651" i="18"/>
  <c r="T651" i="18"/>
  <c r="P651" i="18"/>
  <c r="O651" i="18"/>
  <c r="U650" i="18"/>
  <c r="T650" i="18"/>
  <c r="P650" i="18"/>
  <c r="O650" i="18"/>
  <c r="U649" i="18"/>
  <c r="T649" i="18"/>
  <c r="S649" i="18"/>
  <c r="R649" i="18"/>
  <c r="Q649" i="18"/>
  <c r="O649" i="18"/>
  <c r="N649" i="18"/>
  <c r="M649" i="18"/>
  <c r="P649" i="18" s="1"/>
  <c r="L649" i="18"/>
  <c r="S648" i="18"/>
  <c r="R648" i="18"/>
  <c r="R646" i="18" s="1"/>
  <c r="U646" i="18" s="1"/>
  <c r="Q648" i="18"/>
  <c r="Q646" i="18" s="1"/>
  <c r="T646" i="18" s="1"/>
  <c r="P648" i="18"/>
  <c r="O648" i="18"/>
  <c r="U647" i="18"/>
  <c r="T647" i="18"/>
  <c r="P647" i="18"/>
  <c r="O647" i="18"/>
  <c r="P646" i="18"/>
  <c r="N646" i="18"/>
  <c r="M646" i="18"/>
  <c r="L646" i="18"/>
  <c r="O646" i="18" s="1"/>
  <c r="P645" i="18"/>
  <c r="O645" i="18"/>
  <c r="N645" i="18"/>
  <c r="M645" i="18"/>
  <c r="L645" i="18"/>
  <c r="T644" i="18"/>
  <c r="S644" i="18"/>
  <c r="R644" i="18"/>
  <c r="U644" i="18" s="1"/>
  <c r="Q644" i="18"/>
  <c r="N644" i="18"/>
  <c r="M644" i="18"/>
  <c r="L644" i="18"/>
  <c r="O644" i="18" s="1"/>
  <c r="J637" i="18"/>
  <c r="J636" i="18" s="1"/>
  <c r="I636" i="18"/>
  <c r="K636" i="18" s="1"/>
  <c r="J633" i="18"/>
  <c r="I629" i="18"/>
  <c r="K629" i="18" s="1"/>
  <c r="I628" i="18"/>
  <c r="K628" i="18" s="1"/>
  <c r="I627" i="18"/>
  <c r="I616" i="18" s="1"/>
  <c r="U625" i="18"/>
  <c r="T625" i="18"/>
  <c r="P625" i="18"/>
  <c r="O625" i="18"/>
  <c r="U624" i="18"/>
  <c r="T624" i="18"/>
  <c r="P624" i="18"/>
  <c r="O624" i="18"/>
  <c r="U623" i="18"/>
  <c r="T623" i="18"/>
  <c r="S623" i="18"/>
  <c r="R623" i="18"/>
  <c r="Q623" i="18"/>
  <c r="P623" i="18"/>
  <c r="O623" i="18"/>
  <c r="N623" i="18"/>
  <c r="M623" i="18"/>
  <c r="L623" i="18"/>
  <c r="S622" i="18"/>
  <c r="R622" i="18"/>
  <c r="R620" i="18" s="1"/>
  <c r="Q622" i="18"/>
  <c r="Q620" i="18" s="1"/>
  <c r="P622" i="18"/>
  <c r="O622" i="18"/>
  <c r="U621" i="18"/>
  <c r="T621" i="18"/>
  <c r="P621" i="18"/>
  <c r="O621" i="18"/>
  <c r="N620" i="18"/>
  <c r="M620" i="18"/>
  <c r="P620" i="18" s="1"/>
  <c r="L620" i="18"/>
  <c r="O620" i="18" s="1"/>
  <c r="P619" i="18"/>
  <c r="O619" i="18"/>
  <c r="N619" i="18"/>
  <c r="M619" i="18"/>
  <c r="L619" i="18"/>
  <c r="U618" i="18"/>
  <c r="T618" i="18"/>
  <c r="S618" i="18"/>
  <c r="R618" i="18"/>
  <c r="Q618" i="18"/>
  <c r="O618" i="18"/>
  <c r="N618" i="18"/>
  <c r="N617" i="18" s="1"/>
  <c r="M618" i="18"/>
  <c r="P618" i="18" s="1"/>
  <c r="L618" i="18"/>
  <c r="M617" i="18"/>
  <c r="P617" i="18" s="1"/>
  <c r="L617" i="18"/>
  <c r="O617" i="18" s="1"/>
  <c r="U608" i="18"/>
  <c r="T608" i="18"/>
  <c r="P608" i="18"/>
  <c r="O608" i="18"/>
  <c r="U607" i="18"/>
  <c r="T607" i="18"/>
  <c r="P607" i="18"/>
  <c r="O607" i="18"/>
  <c r="U606" i="18"/>
  <c r="T606" i="18"/>
  <c r="S606" i="18"/>
  <c r="R606" i="18"/>
  <c r="Q606" i="18"/>
  <c r="P606" i="18"/>
  <c r="O606" i="18"/>
  <c r="N606" i="18"/>
  <c r="M606" i="18"/>
  <c r="L606" i="18"/>
  <c r="U605" i="18"/>
  <c r="T605" i="18"/>
  <c r="P605" i="18"/>
  <c r="O605" i="18"/>
  <c r="U604" i="18"/>
  <c r="T604" i="18"/>
  <c r="P604" i="18"/>
  <c r="O604" i="18"/>
  <c r="U603" i="18"/>
  <c r="T603" i="18"/>
  <c r="S603" i="18"/>
  <c r="R603" i="18"/>
  <c r="Q603" i="18"/>
  <c r="P603" i="18"/>
  <c r="O603" i="18"/>
  <c r="N603" i="18"/>
  <c r="M603" i="18"/>
  <c r="L603" i="18"/>
  <c r="T602" i="18"/>
  <c r="S602" i="18"/>
  <c r="R602" i="18"/>
  <c r="U602" i="18" s="1"/>
  <c r="Q602" i="18"/>
  <c r="N602" i="18"/>
  <c r="N600" i="18" s="1"/>
  <c r="M602" i="18"/>
  <c r="P602" i="18" s="1"/>
  <c r="L602" i="18"/>
  <c r="O602" i="18" s="1"/>
  <c r="S601" i="18"/>
  <c r="S600" i="18" s="1"/>
  <c r="R601" i="18"/>
  <c r="Q601" i="18"/>
  <c r="P601" i="18"/>
  <c r="N601" i="18"/>
  <c r="M601" i="18"/>
  <c r="M600" i="18" s="1"/>
  <c r="L601" i="18"/>
  <c r="P600" i="18"/>
  <c r="U585" i="18"/>
  <c r="T585" i="18"/>
  <c r="P585" i="18"/>
  <c r="O585" i="18"/>
  <c r="U584" i="18"/>
  <c r="T584" i="18"/>
  <c r="P584" i="18"/>
  <c r="O584" i="18"/>
  <c r="U583" i="18"/>
  <c r="T583" i="18"/>
  <c r="S583" i="18"/>
  <c r="R583" i="18"/>
  <c r="Q583" i="18"/>
  <c r="P583" i="18"/>
  <c r="O583" i="18"/>
  <c r="N583" i="18"/>
  <c r="M583" i="18"/>
  <c r="L583" i="18"/>
  <c r="U582" i="18"/>
  <c r="T582" i="18"/>
  <c r="P582" i="18"/>
  <c r="O582" i="18"/>
  <c r="U581" i="18"/>
  <c r="T581" i="18"/>
  <c r="P581" i="18"/>
  <c r="O581" i="18"/>
  <c r="U580" i="18"/>
  <c r="T580" i="18"/>
  <c r="S580" i="18"/>
  <c r="R580" i="18"/>
  <c r="Q580" i="18"/>
  <c r="P580" i="18"/>
  <c r="O580" i="18"/>
  <c r="N580" i="18"/>
  <c r="M580" i="18"/>
  <c r="L580" i="18"/>
  <c r="T579" i="18"/>
  <c r="S579" i="18"/>
  <c r="R579" i="18"/>
  <c r="U579" i="18" s="1"/>
  <c r="Q579" i="18"/>
  <c r="N579" i="18"/>
  <c r="M579" i="18"/>
  <c r="P579" i="18" s="1"/>
  <c r="L579" i="18"/>
  <c r="O579" i="18" s="1"/>
  <c r="S578" i="18"/>
  <c r="S577" i="18" s="1"/>
  <c r="R578" i="18"/>
  <c r="Q578" i="18"/>
  <c r="N578" i="18"/>
  <c r="M578" i="18"/>
  <c r="M577" i="18" s="1"/>
  <c r="P577" i="18" s="1"/>
  <c r="L578" i="18"/>
  <c r="N577" i="18"/>
  <c r="J576" i="18"/>
  <c r="I576" i="18"/>
  <c r="K576" i="18" s="1"/>
  <c r="U564" i="18"/>
  <c r="T564" i="18"/>
  <c r="P564" i="18"/>
  <c r="O564" i="18"/>
  <c r="U563" i="18"/>
  <c r="T563" i="18"/>
  <c r="P563" i="18"/>
  <c r="O563" i="18"/>
  <c r="T562" i="18"/>
  <c r="S562" i="18"/>
  <c r="R562" i="18"/>
  <c r="U562" i="18" s="1"/>
  <c r="Q562" i="18"/>
  <c r="N562" i="18"/>
  <c r="M562" i="18"/>
  <c r="P562" i="18" s="1"/>
  <c r="L562" i="18"/>
  <c r="O562" i="18" s="1"/>
  <c r="U561" i="18"/>
  <c r="T561" i="18"/>
  <c r="P561" i="18"/>
  <c r="O561" i="18"/>
  <c r="U560" i="18"/>
  <c r="T560" i="18"/>
  <c r="P560" i="18"/>
  <c r="O560" i="18"/>
  <c r="S559" i="18"/>
  <c r="R559" i="18"/>
  <c r="U559" i="18" s="1"/>
  <c r="Q559" i="18"/>
  <c r="T559" i="18" s="1"/>
  <c r="N559" i="18"/>
  <c r="M559" i="18"/>
  <c r="P559" i="18" s="1"/>
  <c r="L559" i="18"/>
  <c r="O559" i="18" s="1"/>
  <c r="S558" i="18"/>
  <c r="R558" i="18"/>
  <c r="U558" i="18" s="1"/>
  <c r="Q558" i="18"/>
  <c r="T558" i="18" s="1"/>
  <c r="P558" i="18"/>
  <c r="N558" i="18"/>
  <c r="M558" i="18"/>
  <c r="L558" i="18"/>
  <c r="O558" i="18" s="1"/>
  <c r="U557" i="18"/>
  <c r="T557" i="18"/>
  <c r="S557" i="18"/>
  <c r="R557" i="18"/>
  <c r="Q557" i="18"/>
  <c r="P557" i="18"/>
  <c r="O557" i="18"/>
  <c r="N557" i="18"/>
  <c r="N556" i="18" s="1"/>
  <c r="M557" i="18"/>
  <c r="L557" i="18"/>
  <c r="S556" i="18"/>
  <c r="Q556" i="18"/>
  <c r="T556" i="18" s="1"/>
  <c r="M556" i="18"/>
  <c r="P556" i="18" s="1"/>
  <c r="K555" i="18"/>
  <c r="J555" i="18"/>
  <c r="I555" i="18"/>
  <c r="U543" i="18"/>
  <c r="T543" i="18"/>
  <c r="P543" i="18"/>
  <c r="O543" i="18"/>
  <c r="U542" i="18"/>
  <c r="T542" i="18"/>
  <c r="P542" i="18"/>
  <c r="O542" i="18"/>
  <c r="U541" i="18"/>
  <c r="T541" i="18"/>
  <c r="S541" i="18"/>
  <c r="R541" i="18"/>
  <c r="Q541" i="18"/>
  <c r="P541" i="18"/>
  <c r="O541" i="18"/>
  <c r="N541" i="18"/>
  <c r="M541" i="18"/>
  <c r="L541" i="18"/>
  <c r="U540" i="18"/>
  <c r="T540" i="18"/>
  <c r="P540" i="18"/>
  <c r="O540" i="18"/>
  <c r="U539" i="18"/>
  <c r="T539" i="18"/>
  <c r="P539" i="18"/>
  <c r="O539" i="18"/>
  <c r="U538" i="18"/>
  <c r="T538" i="18"/>
  <c r="S538" i="18"/>
  <c r="R538" i="18"/>
  <c r="Q538" i="18"/>
  <c r="P538" i="18"/>
  <c r="O538" i="18"/>
  <c r="N538" i="18"/>
  <c r="M538" i="18"/>
  <c r="L538" i="18"/>
  <c r="T537" i="18"/>
  <c r="S537" i="18"/>
  <c r="R537" i="18"/>
  <c r="U537" i="18" s="1"/>
  <c r="Q537" i="18"/>
  <c r="O537" i="18"/>
  <c r="N537" i="18"/>
  <c r="M537" i="18"/>
  <c r="P537" i="18" s="1"/>
  <c r="L537" i="18"/>
  <c r="S536" i="18"/>
  <c r="S535" i="18" s="1"/>
  <c r="R536" i="18"/>
  <c r="Q536" i="18"/>
  <c r="N536" i="18"/>
  <c r="M536" i="18"/>
  <c r="M535" i="18" s="1"/>
  <c r="P535" i="18" s="1"/>
  <c r="L536" i="18"/>
  <c r="N535" i="18"/>
  <c r="J534" i="18"/>
  <c r="I534" i="18"/>
  <c r="K534" i="18" s="1"/>
  <c r="K525" i="18"/>
  <c r="K524" i="18"/>
  <c r="U522" i="18"/>
  <c r="T522" i="18"/>
  <c r="N522" i="18"/>
  <c r="N520" i="18" s="1"/>
  <c r="M522" i="18"/>
  <c r="M520" i="18" s="1"/>
  <c r="P520" i="18" s="1"/>
  <c r="L522" i="18"/>
  <c r="U521" i="18"/>
  <c r="T521" i="18"/>
  <c r="P521" i="18"/>
  <c r="O521" i="18"/>
  <c r="S520" i="18"/>
  <c r="R520" i="18"/>
  <c r="U520" i="18" s="1"/>
  <c r="Q520" i="18"/>
  <c r="T520" i="18" s="1"/>
  <c r="U519" i="18"/>
  <c r="T519" i="18"/>
  <c r="N519" i="18"/>
  <c r="N517" i="18" s="1"/>
  <c r="M519" i="18"/>
  <c r="L519" i="18"/>
  <c r="U518" i="18"/>
  <c r="T518" i="18"/>
  <c r="P518" i="18"/>
  <c r="O518" i="18"/>
  <c r="U517" i="18"/>
  <c r="T517" i="18"/>
  <c r="S517" i="18"/>
  <c r="R517" i="18"/>
  <c r="Q517" i="18"/>
  <c r="S516" i="18"/>
  <c r="S514" i="18" s="1"/>
  <c r="R516" i="18"/>
  <c r="U516" i="18" s="1"/>
  <c r="Q516" i="18"/>
  <c r="T516" i="18" s="1"/>
  <c r="S515" i="18"/>
  <c r="R515" i="18"/>
  <c r="Q515" i="18"/>
  <c r="P515" i="18"/>
  <c r="N515" i="18"/>
  <c r="M515" i="18"/>
  <c r="L515" i="18"/>
  <c r="J513" i="18"/>
  <c r="I513" i="18"/>
  <c r="K513" i="18" s="1"/>
  <c r="I510" i="18"/>
  <c r="K510" i="18" s="1"/>
  <c r="K509" i="18"/>
  <c r="I508" i="18"/>
  <c r="K508" i="18" s="1"/>
  <c r="I507" i="18"/>
  <c r="K507" i="18" s="1"/>
  <c r="I506" i="18"/>
  <c r="K506" i="18" s="1"/>
  <c r="I505" i="18"/>
  <c r="K505" i="18" s="1"/>
  <c r="I504" i="18"/>
  <c r="U502" i="18"/>
  <c r="T502" i="18"/>
  <c r="P502" i="18"/>
  <c r="O502" i="18"/>
  <c r="U501" i="18"/>
  <c r="T501" i="18"/>
  <c r="P501" i="18"/>
  <c r="O501" i="18"/>
  <c r="U500" i="18"/>
  <c r="T500" i="18"/>
  <c r="S500" i="18"/>
  <c r="R500" i="18"/>
  <c r="Q500" i="18"/>
  <c r="N500" i="18"/>
  <c r="M500" i="18"/>
  <c r="P500" i="18" s="1"/>
  <c r="L500" i="18"/>
  <c r="O500" i="18" s="1"/>
  <c r="S499" i="18"/>
  <c r="S497" i="18" s="1"/>
  <c r="R499" i="18"/>
  <c r="Q499" i="18"/>
  <c r="Q497" i="18" s="1"/>
  <c r="P499" i="18"/>
  <c r="O499" i="18"/>
  <c r="U498" i="18"/>
  <c r="T498" i="18"/>
  <c r="P498" i="18"/>
  <c r="O498" i="18"/>
  <c r="P497" i="18"/>
  <c r="O497" i="18"/>
  <c r="N497" i="18"/>
  <c r="M497" i="18"/>
  <c r="L497" i="18"/>
  <c r="O496" i="18"/>
  <c r="N496" i="18"/>
  <c r="M496" i="18"/>
  <c r="P496" i="18" s="1"/>
  <c r="L496" i="18"/>
  <c r="T495" i="18"/>
  <c r="S495" i="18"/>
  <c r="R495" i="18"/>
  <c r="U495" i="18" s="1"/>
  <c r="Q495" i="18"/>
  <c r="N495" i="18"/>
  <c r="N494" i="18" s="1"/>
  <c r="M495" i="18"/>
  <c r="L495" i="18"/>
  <c r="J486" i="18"/>
  <c r="I486" i="18"/>
  <c r="K486" i="18" s="1"/>
  <c r="J485" i="18"/>
  <c r="I485" i="18"/>
  <c r="K485" i="18" s="1"/>
  <c r="J484" i="18"/>
  <c r="J483" i="18"/>
  <c r="K478" i="18"/>
  <c r="J478" i="18"/>
  <c r="K477" i="18"/>
  <c r="J477" i="18"/>
  <c r="K476" i="18"/>
  <c r="J476" i="18"/>
  <c r="J469" i="18"/>
  <c r="J468" i="18"/>
  <c r="J461" i="18"/>
  <c r="J460" i="18"/>
  <c r="I459" i="18"/>
  <c r="K459" i="18" s="1"/>
  <c r="I458" i="18"/>
  <c r="J448" i="18"/>
  <c r="J442" i="18" s="1"/>
  <c r="J447" i="18"/>
  <c r="J441" i="18" s="1"/>
  <c r="J424" i="18" s="1"/>
  <c r="J413" i="18" s="1"/>
  <c r="I442" i="18"/>
  <c r="K442" i="18" s="1"/>
  <c r="I441" i="18"/>
  <c r="I424" i="18" s="1"/>
  <c r="J434" i="18"/>
  <c r="I434" i="18"/>
  <c r="K434" i="18" s="1"/>
  <c r="J433" i="18"/>
  <c r="I433" i="18"/>
  <c r="K433" i="18" s="1"/>
  <c r="J426" i="18"/>
  <c r="I426" i="18"/>
  <c r="K426" i="18" s="1"/>
  <c r="J425" i="18"/>
  <c r="I425" i="18"/>
  <c r="K425" i="18" s="1"/>
  <c r="U422" i="18"/>
  <c r="T422" i="18"/>
  <c r="P422" i="18"/>
  <c r="O422" i="18"/>
  <c r="U421" i="18"/>
  <c r="T421" i="18"/>
  <c r="P421" i="18"/>
  <c r="O421" i="18"/>
  <c r="S420" i="18"/>
  <c r="R420" i="18"/>
  <c r="U420" i="18" s="1"/>
  <c r="Q420" i="18"/>
  <c r="T420" i="18" s="1"/>
  <c r="P420" i="18"/>
  <c r="O420" i="18"/>
  <c r="N420" i="18"/>
  <c r="M420" i="18"/>
  <c r="L420" i="18"/>
  <c r="S419" i="18"/>
  <c r="R419" i="18"/>
  <c r="R416" i="18" s="1"/>
  <c r="U416" i="18" s="1"/>
  <c r="Q419" i="18"/>
  <c r="Q417" i="18" s="1"/>
  <c r="T417" i="18" s="1"/>
  <c r="P419" i="18"/>
  <c r="O419" i="18"/>
  <c r="U418" i="18"/>
  <c r="T418" i="18"/>
  <c r="P418" i="18"/>
  <c r="O418" i="18"/>
  <c r="N417" i="18"/>
  <c r="M417" i="18"/>
  <c r="P417" i="18" s="1"/>
  <c r="L417" i="18"/>
  <c r="O417" i="18" s="1"/>
  <c r="N416" i="18"/>
  <c r="M416" i="18"/>
  <c r="L416" i="18"/>
  <c r="O416" i="18" s="1"/>
  <c r="S415" i="18"/>
  <c r="R415" i="18"/>
  <c r="U415" i="18" s="1"/>
  <c r="Q415" i="18"/>
  <c r="T415" i="18" s="1"/>
  <c r="N415" i="18"/>
  <c r="N414" i="18" s="1"/>
  <c r="M415" i="18"/>
  <c r="P415" i="18" s="1"/>
  <c r="L415" i="18"/>
  <c r="O415" i="18" s="1"/>
  <c r="U401" i="18"/>
  <c r="T401" i="18"/>
  <c r="P401" i="18"/>
  <c r="O401" i="18"/>
  <c r="U400" i="18"/>
  <c r="T400" i="18"/>
  <c r="P400" i="18"/>
  <c r="O400" i="18"/>
  <c r="S399" i="18"/>
  <c r="R399" i="18"/>
  <c r="U399" i="18" s="1"/>
  <c r="Q399" i="18"/>
  <c r="T399" i="18" s="1"/>
  <c r="N399" i="18"/>
  <c r="M399" i="18"/>
  <c r="P399" i="18" s="1"/>
  <c r="L399" i="18"/>
  <c r="O399" i="18" s="1"/>
  <c r="U398" i="18"/>
  <c r="T398" i="18"/>
  <c r="P398" i="18"/>
  <c r="O398" i="18"/>
  <c r="U397" i="18"/>
  <c r="T397" i="18"/>
  <c r="P397" i="18"/>
  <c r="O397" i="18"/>
  <c r="S396" i="18"/>
  <c r="R396" i="18"/>
  <c r="U396" i="18" s="1"/>
  <c r="Q396" i="18"/>
  <c r="T396" i="18" s="1"/>
  <c r="N396" i="18"/>
  <c r="M396" i="18"/>
  <c r="P396" i="18" s="1"/>
  <c r="L396" i="18"/>
  <c r="O396" i="18" s="1"/>
  <c r="S395" i="18"/>
  <c r="R395" i="18"/>
  <c r="U395" i="18" s="1"/>
  <c r="Q395" i="18"/>
  <c r="T395" i="18" s="1"/>
  <c r="N395" i="18"/>
  <c r="M395" i="18"/>
  <c r="P395" i="18" s="1"/>
  <c r="L395" i="18"/>
  <c r="O395" i="18" s="1"/>
  <c r="S394" i="18"/>
  <c r="R394" i="18"/>
  <c r="U394" i="18" s="1"/>
  <c r="Q394" i="18"/>
  <c r="Q393" i="18" s="1"/>
  <c r="T393" i="18" s="1"/>
  <c r="N394" i="18"/>
  <c r="M394" i="18"/>
  <c r="L394" i="18"/>
  <c r="O394" i="18" s="1"/>
  <c r="J392" i="18"/>
  <c r="I392" i="18"/>
  <c r="K392" i="18" s="1"/>
  <c r="K389" i="18"/>
  <c r="K388" i="18"/>
  <c r="I387" i="18"/>
  <c r="K387" i="18" s="1"/>
  <c r="I386" i="18"/>
  <c r="K386" i="18" s="1"/>
  <c r="U384" i="18"/>
  <c r="T384" i="18"/>
  <c r="P384" i="18"/>
  <c r="O384" i="18"/>
  <c r="U383" i="18"/>
  <c r="T383" i="18"/>
  <c r="P383" i="18"/>
  <c r="O383" i="18"/>
  <c r="S382" i="18"/>
  <c r="R382" i="18"/>
  <c r="U382" i="18" s="1"/>
  <c r="Q382" i="18"/>
  <c r="T382" i="18" s="1"/>
  <c r="N382" i="18"/>
  <c r="M382" i="18"/>
  <c r="P382" i="18" s="1"/>
  <c r="L382" i="18"/>
  <c r="O382" i="18" s="1"/>
  <c r="S381" i="18"/>
  <c r="R381" i="18"/>
  <c r="Q379" i="18"/>
  <c r="T379" i="18" s="1"/>
  <c r="P381" i="18"/>
  <c r="O381" i="18"/>
  <c r="U380" i="18"/>
  <c r="T380" i="18"/>
  <c r="P380" i="18"/>
  <c r="O380" i="18"/>
  <c r="N379" i="18"/>
  <c r="M379" i="18"/>
  <c r="P379" i="18" s="1"/>
  <c r="L379" i="18"/>
  <c r="O379" i="18" s="1"/>
  <c r="N378" i="18"/>
  <c r="M378" i="18"/>
  <c r="P378" i="18" s="1"/>
  <c r="L378" i="18"/>
  <c r="O378" i="18" s="1"/>
  <c r="T377" i="18"/>
  <c r="S377" i="18"/>
  <c r="R377" i="18"/>
  <c r="U377" i="18" s="1"/>
  <c r="Q377" i="18"/>
  <c r="N377" i="18"/>
  <c r="N376" i="18" s="1"/>
  <c r="M377" i="18"/>
  <c r="P377" i="18" s="1"/>
  <c r="L377" i="18"/>
  <c r="O377" i="18" s="1"/>
  <c r="J375" i="18"/>
  <c r="D374" i="18"/>
  <c r="K373" i="18"/>
  <c r="J373" i="18"/>
  <c r="J372" i="18"/>
  <c r="J366" i="18" s="1"/>
  <c r="I372" i="18"/>
  <c r="I366" i="18" s="1"/>
  <c r="K371" i="18"/>
  <c r="J371" i="18"/>
  <c r="J370" i="18"/>
  <c r="I370" i="18"/>
  <c r="J369" i="18"/>
  <c r="I369" i="18"/>
  <c r="K368" i="18"/>
  <c r="J368" i="18"/>
  <c r="U365" i="18"/>
  <c r="T365" i="18"/>
  <c r="N365" i="18"/>
  <c r="N363" i="18" s="1"/>
  <c r="M365" i="18"/>
  <c r="P365" i="18" s="1"/>
  <c r="L365" i="18"/>
  <c r="O365" i="18" s="1"/>
  <c r="U364" i="18"/>
  <c r="T364" i="18"/>
  <c r="P364" i="18"/>
  <c r="O364" i="18"/>
  <c r="U363" i="18"/>
  <c r="S363" i="18"/>
  <c r="R363" i="18"/>
  <c r="Q363" i="18"/>
  <c r="T363" i="18" s="1"/>
  <c r="U362" i="18"/>
  <c r="T362" i="18"/>
  <c r="N362" i="18"/>
  <c r="N360" i="18" s="1"/>
  <c r="M362" i="18"/>
  <c r="M360" i="18" s="1"/>
  <c r="L362" i="18"/>
  <c r="U361" i="18"/>
  <c r="T361" i="18"/>
  <c r="P361" i="18"/>
  <c r="O361" i="18"/>
  <c r="U360" i="18"/>
  <c r="T360" i="18"/>
  <c r="S360" i="18"/>
  <c r="R360" i="18"/>
  <c r="Q360" i="18"/>
  <c r="T359" i="18"/>
  <c r="S359" i="18"/>
  <c r="R359" i="18"/>
  <c r="U359" i="18" s="1"/>
  <c r="Q359" i="18"/>
  <c r="S358" i="18"/>
  <c r="R358" i="18"/>
  <c r="U358" i="18" s="1"/>
  <c r="Q358" i="18"/>
  <c r="Q357" i="18" s="1"/>
  <c r="P358" i="18"/>
  <c r="N358" i="18"/>
  <c r="M358" i="18"/>
  <c r="L358" i="18"/>
  <c r="O358" i="18" s="1"/>
  <c r="T357" i="18"/>
  <c r="D355" i="18"/>
  <c r="J354" i="18"/>
  <c r="J353" i="18"/>
  <c r="D351" i="18"/>
  <c r="J350" i="18"/>
  <c r="J349" i="18"/>
  <c r="J348" i="18"/>
  <c r="J347" i="18"/>
  <c r="I347" i="18"/>
  <c r="J345" i="18"/>
  <c r="I345" i="18"/>
  <c r="I333" i="18" s="1"/>
  <c r="U342" i="18"/>
  <c r="T342" i="18"/>
  <c r="N342" i="18"/>
  <c r="N340" i="18" s="1"/>
  <c r="M342" i="18"/>
  <c r="L342" i="18"/>
  <c r="U341" i="18"/>
  <c r="T341" i="18"/>
  <c r="P341" i="18"/>
  <c r="O341" i="18"/>
  <c r="T340" i="18"/>
  <c r="S340" i="18"/>
  <c r="R340" i="18"/>
  <c r="U340" i="18" s="1"/>
  <c r="Q340" i="18"/>
  <c r="U339" i="18"/>
  <c r="T339" i="18"/>
  <c r="N339" i="18"/>
  <c r="N337" i="18" s="1"/>
  <c r="M339" i="18"/>
  <c r="L339" i="18"/>
  <c r="L337" i="18" s="1"/>
  <c r="U338" i="18"/>
  <c r="T338" i="18"/>
  <c r="P338" i="18"/>
  <c r="O338" i="18"/>
  <c r="T337" i="18"/>
  <c r="S337" i="18"/>
  <c r="R337" i="18"/>
  <c r="U337" i="18" s="1"/>
  <c r="Q337" i="18"/>
  <c r="S336" i="18"/>
  <c r="R336" i="18"/>
  <c r="Q336" i="18"/>
  <c r="T336" i="18" s="1"/>
  <c r="U335" i="18"/>
  <c r="S335" i="18"/>
  <c r="R335" i="18"/>
  <c r="Q335" i="18"/>
  <c r="T335" i="18" s="1"/>
  <c r="O335" i="18"/>
  <c r="N335" i="18"/>
  <c r="M335" i="18"/>
  <c r="P335" i="18" s="1"/>
  <c r="L335" i="18"/>
  <c r="S334" i="18"/>
  <c r="Q334" i="18"/>
  <c r="T334" i="18" s="1"/>
  <c r="I331" i="18"/>
  <c r="I320" i="18" s="1"/>
  <c r="K320" i="18" s="1"/>
  <c r="U329" i="18"/>
  <c r="T329" i="18"/>
  <c r="N329" i="18"/>
  <c r="N327" i="18" s="1"/>
  <c r="M329" i="18"/>
  <c r="M327" i="18" s="1"/>
  <c r="P327" i="18" s="1"/>
  <c r="L329" i="18"/>
  <c r="L327" i="18" s="1"/>
  <c r="O327" i="18" s="1"/>
  <c r="U328" i="18"/>
  <c r="T328" i="18"/>
  <c r="P328" i="18"/>
  <c r="O328" i="18"/>
  <c r="U327" i="18"/>
  <c r="T327" i="18"/>
  <c r="S327" i="18"/>
  <c r="R327" i="18"/>
  <c r="Q327" i="18"/>
  <c r="U326" i="18"/>
  <c r="T326" i="18"/>
  <c r="N326" i="18"/>
  <c r="M326" i="18"/>
  <c r="M324" i="18" s="1"/>
  <c r="L326" i="18"/>
  <c r="L324" i="18" s="1"/>
  <c r="U325" i="18"/>
  <c r="T325" i="18"/>
  <c r="P325" i="18"/>
  <c r="O325" i="18"/>
  <c r="S324" i="18"/>
  <c r="R324" i="18"/>
  <c r="U324" i="18" s="1"/>
  <c r="Q324" i="18"/>
  <c r="T324" i="18" s="1"/>
  <c r="T323" i="18"/>
  <c r="S323" i="18"/>
  <c r="R323" i="18"/>
  <c r="U323" i="18" s="1"/>
  <c r="Q323" i="18"/>
  <c r="U322" i="18"/>
  <c r="T322" i="18"/>
  <c r="S322" i="18"/>
  <c r="S321" i="18" s="1"/>
  <c r="R322" i="18"/>
  <c r="Q322" i="18"/>
  <c r="O322" i="18"/>
  <c r="N322" i="18"/>
  <c r="M322" i="18"/>
  <c r="L322" i="18"/>
  <c r="T321" i="18"/>
  <c r="R321" i="18"/>
  <c r="U321" i="18" s="1"/>
  <c r="Q321" i="18"/>
  <c r="J320" i="18"/>
  <c r="I315" i="18"/>
  <c r="U312" i="18"/>
  <c r="T312" i="18"/>
  <c r="N312" i="18"/>
  <c r="N310" i="18" s="1"/>
  <c r="M312" i="18"/>
  <c r="L312" i="18"/>
  <c r="O312" i="18" s="1"/>
  <c r="U311" i="18"/>
  <c r="T311" i="18"/>
  <c r="P311" i="18"/>
  <c r="O311" i="18"/>
  <c r="U310" i="18"/>
  <c r="T310" i="18"/>
  <c r="S310" i="18"/>
  <c r="R310" i="18"/>
  <c r="Q310" i="18"/>
  <c r="S309" i="18"/>
  <c r="S307" i="18" s="1"/>
  <c r="R309" i="18"/>
  <c r="Q309" i="18"/>
  <c r="N309" i="18"/>
  <c r="N307" i="18" s="1"/>
  <c r="M309" i="18"/>
  <c r="L309" i="18"/>
  <c r="O309" i="18" s="1"/>
  <c r="U308" i="18"/>
  <c r="T308" i="18"/>
  <c r="P308" i="18"/>
  <c r="O308" i="18"/>
  <c r="T305" i="18"/>
  <c r="S305" i="18"/>
  <c r="R305" i="18"/>
  <c r="Q305" i="18"/>
  <c r="P305" i="18"/>
  <c r="N305" i="18"/>
  <c r="M305" i="18"/>
  <c r="L305" i="18"/>
  <c r="J303" i="18"/>
  <c r="I297" i="18"/>
  <c r="K297" i="18" s="1"/>
  <c r="I296" i="18"/>
  <c r="K296" i="18" s="1"/>
  <c r="J294" i="18"/>
  <c r="I294" i="18"/>
  <c r="I293" i="18"/>
  <c r="K293" i="18" s="1"/>
  <c r="U291" i="18"/>
  <c r="T291" i="18"/>
  <c r="N291" i="18"/>
  <c r="N289" i="18" s="1"/>
  <c r="M291" i="18"/>
  <c r="P291" i="18" s="1"/>
  <c r="L291" i="18"/>
  <c r="U290" i="18"/>
  <c r="T290" i="18"/>
  <c r="P290" i="18"/>
  <c r="O290" i="18"/>
  <c r="S289" i="18"/>
  <c r="R289" i="18"/>
  <c r="U289" i="18" s="1"/>
  <c r="Q289" i="18"/>
  <c r="T289" i="18" s="1"/>
  <c r="U288" i="18"/>
  <c r="T288" i="18"/>
  <c r="N288" i="18"/>
  <c r="N286" i="18" s="1"/>
  <c r="M288" i="18"/>
  <c r="M286" i="18" s="1"/>
  <c r="P286" i="18" s="1"/>
  <c r="L288" i="18"/>
  <c r="O288" i="18" s="1"/>
  <c r="U287" i="18"/>
  <c r="T287" i="18"/>
  <c r="P287" i="18"/>
  <c r="O287" i="18"/>
  <c r="S286" i="18"/>
  <c r="R286" i="18"/>
  <c r="U286" i="18" s="1"/>
  <c r="Q286" i="18"/>
  <c r="T286" i="18" s="1"/>
  <c r="S285" i="18"/>
  <c r="R285" i="18"/>
  <c r="U285" i="18" s="1"/>
  <c r="Q285" i="18"/>
  <c r="T285" i="18" s="1"/>
  <c r="S284" i="18"/>
  <c r="R284" i="18"/>
  <c r="U284" i="18" s="1"/>
  <c r="Q284" i="18"/>
  <c r="N284" i="18"/>
  <c r="M284" i="18"/>
  <c r="P284" i="18" s="1"/>
  <c r="L284" i="18"/>
  <c r="O284" i="18" s="1"/>
  <c r="S283" i="18"/>
  <c r="J282" i="18"/>
  <c r="J281" i="18"/>
  <c r="I277" i="18"/>
  <c r="K277" i="18" s="1"/>
  <c r="U275" i="18"/>
  <c r="T275" i="18"/>
  <c r="N275" i="18"/>
  <c r="N273" i="18" s="1"/>
  <c r="M275" i="18"/>
  <c r="M273" i="18" s="1"/>
  <c r="P273" i="18" s="1"/>
  <c r="L275" i="18"/>
  <c r="U274" i="18"/>
  <c r="T274" i="18"/>
  <c r="P274" i="18"/>
  <c r="O274" i="18"/>
  <c r="U273" i="18"/>
  <c r="S273" i="18"/>
  <c r="R273" i="18"/>
  <c r="Q273" i="18"/>
  <c r="T273" i="18" s="1"/>
  <c r="S272" i="18"/>
  <c r="R272" i="18"/>
  <c r="R270" i="18" s="1"/>
  <c r="Q272" i="18"/>
  <c r="Q270" i="18" s="1"/>
  <c r="N272" i="18"/>
  <c r="N270" i="18" s="1"/>
  <c r="M272" i="18"/>
  <c r="L272" i="18"/>
  <c r="O272" i="18" s="1"/>
  <c r="U271" i="18"/>
  <c r="T271" i="18"/>
  <c r="P271" i="18"/>
  <c r="O271" i="18"/>
  <c r="U268" i="18"/>
  <c r="S268" i="18"/>
  <c r="R268" i="18"/>
  <c r="Q268" i="18"/>
  <c r="T268" i="18" s="1"/>
  <c r="O268" i="18"/>
  <c r="N268" i="18"/>
  <c r="M268" i="18"/>
  <c r="P268" i="18" s="1"/>
  <c r="L268" i="18"/>
  <c r="J266" i="18"/>
  <c r="I264" i="18"/>
  <c r="K264" i="18" s="1"/>
  <c r="I263" i="18"/>
  <c r="K263" i="18" s="1"/>
  <c r="I261" i="18"/>
  <c r="L259" i="18"/>
  <c r="L258" i="18"/>
  <c r="L257" i="18"/>
  <c r="L256" i="18"/>
  <c r="P255" i="18"/>
  <c r="N255" i="18"/>
  <c r="J254" i="18"/>
  <c r="J232" i="18" s="1"/>
  <c r="J186" i="18" s="1"/>
  <c r="I253" i="18"/>
  <c r="K253" i="18" s="1"/>
  <c r="I252" i="18"/>
  <c r="K252" i="18" s="1"/>
  <c r="I250" i="18"/>
  <c r="K250" i="18" s="1"/>
  <c r="L248" i="18"/>
  <c r="L247" i="18"/>
  <c r="L246" i="18"/>
  <c r="L245" i="18"/>
  <c r="P244" i="18"/>
  <c r="N244" i="18"/>
  <c r="N233" i="18" s="1"/>
  <c r="J243" i="18"/>
  <c r="J242" i="18"/>
  <c r="J241" i="18"/>
  <c r="J239" i="18"/>
  <c r="N237" i="18"/>
  <c r="N236" i="18"/>
  <c r="N235" i="18"/>
  <c r="N234" i="18"/>
  <c r="I231" i="18"/>
  <c r="K231" i="18" s="1"/>
  <c r="I230" i="18"/>
  <c r="K230" i="18" s="1"/>
  <c r="I229" i="18"/>
  <c r="K229" i="18" s="1"/>
  <c r="L226" i="18"/>
  <c r="L225" i="18"/>
  <c r="L224" i="18"/>
  <c r="P223" i="18"/>
  <c r="N223" i="18"/>
  <c r="J222" i="18"/>
  <c r="I221" i="18"/>
  <c r="K221" i="18" s="1"/>
  <c r="I220" i="18"/>
  <c r="K220" i="18" s="1"/>
  <c r="L218" i="18"/>
  <c r="L217" i="18"/>
  <c r="L216" i="18"/>
  <c r="P215" i="18"/>
  <c r="N215" i="18"/>
  <c r="J214" i="18"/>
  <c r="I213" i="18"/>
  <c r="K213" i="18" s="1"/>
  <c r="I212" i="18"/>
  <c r="K212" i="18" s="1"/>
  <c r="I210" i="18"/>
  <c r="K210" i="18" s="1"/>
  <c r="L208" i="18"/>
  <c r="L207" i="18"/>
  <c r="L206" i="18"/>
  <c r="L205" i="18"/>
  <c r="P204" i="18"/>
  <c r="N204" i="18"/>
  <c r="J203" i="18"/>
  <c r="J200" i="18"/>
  <c r="I199" i="18"/>
  <c r="K199" i="18" s="1"/>
  <c r="P197" i="18"/>
  <c r="L197" i="18"/>
  <c r="O197" i="18" s="1"/>
  <c r="J196" i="18"/>
  <c r="U195" i="18"/>
  <c r="T195" i="18"/>
  <c r="N195" i="18"/>
  <c r="N193" i="18" s="1"/>
  <c r="M195" i="18"/>
  <c r="L195" i="18"/>
  <c r="L193" i="18" s="1"/>
  <c r="O193" i="18" s="1"/>
  <c r="U194" i="18"/>
  <c r="T194" i="18"/>
  <c r="P194" i="18"/>
  <c r="O194" i="18"/>
  <c r="U193" i="18"/>
  <c r="S193" i="18"/>
  <c r="R193" i="18"/>
  <c r="Q193" i="18"/>
  <c r="T193" i="18" s="1"/>
  <c r="S192" i="18"/>
  <c r="S189" i="18" s="1"/>
  <c r="S187" i="18" s="1"/>
  <c r="R192" i="18"/>
  <c r="Q192" i="18"/>
  <c r="N192" i="18"/>
  <c r="N190" i="18" s="1"/>
  <c r="M192" i="18"/>
  <c r="M190" i="18" s="1"/>
  <c r="L192" i="18"/>
  <c r="L190" i="18" s="1"/>
  <c r="U191" i="18"/>
  <c r="T191" i="18"/>
  <c r="P191" i="18"/>
  <c r="O191" i="18"/>
  <c r="U188" i="18"/>
  <c r="S188" i="18"/>
  <c r="R188" i="18"/>
  <c r="Q188" i="18"/>
  <c r="T188" i="18" s="1"/>
  <c r="O188" i="18"/>
  <c r="N188" i="18"/>
  <c r="M188" i="18"/>
  <c r="P188" i="18" s="1"/>
  <c r="L188" i="18"/>
  <c r="K185" i="18"/>
  <c r="I184" i="18"/>
  <c r="K184" i="18" s="1"/>
  <c r="U182" i="18"/>
  <c r="T182" i="18"/>
  <c r="N182" i="18"/>
  <c r="N180" i="18" s="1"/>
  <c r="M182" i="18"/>
  <c r="M180" i="18" s="1"/>
  <c r="P180" i="18" s="1"/>
  <c r="L182" i="18"/>
  <c r="L180" i="18" s="1"/>
  <c r="O180" i="18" s="1"/>
  <c r="U181" i="18"/>
  <c r="T181" i="18"/>
  <c r="P181" i="18"/>
  <c r="O181" i="18"/>
  <c r="T180" i="18"/>
  <c r="S180" i="18"/>
  <c r="R180" i="18"/>
  <c r="U180" i="18" s="1"/>
  <c r="Q180" i="18"/>
  <c r="S179" i="18"/>
  <c r="S177" i="18" s="1"/>
  <c r="R179" i="18"/>
  <c r="R177" i="18" s="1"/>
  <c r="U177" i="18" s="1"/>
  <c r="Q179" i="18"/>
  <c r="Q177" i="18" s="1"/>
  <c r="T177" i="18" s="1"/>
  <c r="N179" i="18"/>
  <c r="M179" i="18"/>
  <c r="L179" i="18"/>
  <c r="L177" i="18" s="1"/>
  <c r="U178" i="18"/>
  <c r="T178" i="18"/>
  <c r="P178" i="18"/>
  <c r="O178" i="18"/>
  <c r="T175" i="18"/>
  <c r="S175" i="18"/>
  <c r="R175" i="18"/>
  <c r="Q175" i="18"/>
  <c r="P175" i="18"/>
  <c r="N175" i="18"/>
  <c r="M175" i="18"/>
  <c r="L175" i="18"/>
  <c r="J173" i="18"/>
  <c r="I170" i="18"/>
  <c r="I169" i="18"/>
  <c r="K169" i="18" s="1"/>
  <c r="I168" i="18"/>
  <c r="K168" i="18" s="1"/>
  <c r="U166" i="18"/>
  <c r="T166" i="18"/>
  <c r="N166" i="18"/>
  <c r="N164" i="18" s="1"/>
  <c r="M166" i="18"/>
  <c r="L166" i="18"/>
  <c r="L164" i="18" s="1"/>
  <c r="O164" i="18" s="1"/>
  <c r="U165" i="18"/>
  <c r="T165" i="18"/>
  <c r="P165" i="18"/>
  <c r="O165" i="18"/>
  <c r="S164" i="18"/>
  <c r="R164" i="18"/>
  <c r="U164" i="18" s="1"/>
  <c r="Q164" i="18"/>
  <c r="T164" i="18" s="1"/>
  <c r="S163" i="18"/>
  <c r="R163" i="18"/>
  <c r="R161" i="18" s="1"/>
  <c r="U161" i="18" s="1"/>
  <c r="Q161" i="18"/>
  <c r="T161" i="18" s="1"/>
  <c r="N163" i="18"/>
  <c r="N161" i="18" s="1"/>
  <c r="M163" i="18"/>
  <c r="P163" i="18" s="1"/>
  <c r="L163" i="18"/>
  <c r="L161" i="18" s="1"/>
  <c r="O161" i="18" s="1"/>
  <c r="U162" i="18"/>
  <c r="T162" i="18"/>
  <c r="P162" i="18"/>
  <c r="O162" i="18"/>
  <c r="S159" i="18"/>
  <c r="R159" i="18"/>
  <c r="Q159" i="18"/>
  <c r="T159" i="18" s="1"/>
  <c r="N159" i="18"/>
  <c r="M159" i="18"/>
  <c r="P159" i="18" s="1"/>
  <c r="L159" i="18"/>
  <c r="J157" i="18"/>
  <c r="I155" i="18"/>
  <c r="I154" i="18"/>
  <c r="I153" i="18"/>
  <c r="I152" i="18"/>
  <c r="K152" i="18" s="1"/>
  <c r="I151" i="18"/>
  <c r="K151" i="18" s="1"/>
  <c r="U148" i="18"/>
  <c r="T148" i="18"/>
  <c r="N148" i="18"/>
  <c r="N146" i="18" s="1"/>
  <c r="M148" i="18"/>
  <c r="P148" i="18" s="1"/>
  <c r="L148" i="18"/>
  <c r="L146" i="18" s="1"/>
  <c r="O146" i="18" s="1"/>
  <c r="U147" i="18"/>
  <c r="T147" i="18"/>
  <c r="P147" i="18"/>
  <c r="O147" i="18"/>
  <c r="S146" i="18"/>
  <c r="R146" i="18"/>
  <c r="U146" i="18" s="1"/>
  <c r="Q146" i="18"/>
  <c r="T146" i="18" s="1"/>
  <c r="S145" i="18"/>
  <c r="R145" i="18"/>
  <c r="R143" i="18" s="1"/>
  <c r="U143" i="18" s="1"/>
  <c r="Q145" i="18"/>
  <c r="T145" i="18" s="1"/>
  <c r="N145" i="18"/>
  <c r="N143" i="18" s="1"/>
  <c r="M145" i="18"/>
  <c r="M143" i="18" s="1"/>
  <c r="P143" i="18" s="1"/>
  <c r="L145" i="18"/>
  <c r="L143" i="18" s="1"/>
  <c r="O143" i="18" s="1"/>
  <c r="U144" i="18"/>
  <c r="T144" i="18"/>
  <c r="P144" i="18"/>
  <c r="O144" i="18"/>
  <c r="S141" i="18"/>
  <c r="R141" i="18"/>
  <c r="U141" i="18" s="1"/>
  <c r="Q141" i="18"/>
  <c r="T141" i="18" s="1"/>
  <c r="N141" i="18"/>
  <c r="M141" i="18"/>
  <c r="P141" i="18" s="1"/>
  <c r="L141" i="18"/>
  <c r="O141" i="18" s="1"/>
  <c r="J139" i="18"/>
  <c r="J138" i="18"/>
  <c r="J137" i="18"/>
  <c r="I131" i="18"/>
  <c r="K131" i="18" s="1"/>
  <c r="I130" i="18"/>
  <c r="K130" i="18" s="1"/>
  <c r="I129" i="18"/>
  <c r="K129" i="18" s="1"/>
  <c r="I128" i="18"/>
  <c r="K128" i="18" s="1"/>
  <c r="U126" i="18"/>
  <c r="T126" i="18"/>
  <c r="N126" i="18"/>
  <c r="N124" i="18" s="1"/>
  <c r="M126" i="18"/>
  <c r="P126" i="18" s="1"/>
  <c r="L126" i="18"/>
  <c r="U125" i="18"/>
  <c r="T125" i="18"/>
  <c r="P125" i="18"/>
  <c r="O125" i="18"/>
  <c r="T124" i="18"/>
  <c r="S124" i="18"/>
  <c r="R124" i="18"/>
  <c r="U124" i="18" s="1"/>
  <c r="Q124" i="18"/>
  <c r="S123" i="18"/>
  <c r="S121" i="18" s="1"/>
  <c r="R123" i="18"/>
  <c r="R120" i="18" s="1"/>
  <c r="Q123" i="18"/>
  <c r="Q121" i="18" s="1"/>
  <c r="N123" i="18"/>
  <c r="M123" i="18"/>
  <c r="M121" i="18" s="1"/>
  <c r="P121" i="18" s="1"/>
  <c r="L123" i="18"/>
  <c r="U122" i="18"/>
  <c r="T122" i="18"/>
  <c r="P122" i="18"/>
  <c r="O122" i="18"/>
  <c r="U119" i="18"/>
  <c r="T119" i="18"/>
  <c r="S119" i="18"/>
  <c r="R119" i="18"/>
  <c r="Q119" i="18"/>
  <c r="P119" i="18"/>
  <c r="O119" i="18"/>
  <c r="N119" i="18"/>
  <c r="M119" i="18"/>
  <c r="L119" i="18"/>
  <c r="J117" i="18"/>
  <c r="I115" i="18"/>
  <c r="K115" i="18" s="1"/>
  <c r="I110" i="18"/>
  <c r="I109" i="18"/>
  <c r="K109" i="18" s="1"/>
  <c r="U103" i="18"/>
  <c r="T103" i="18"/>
  <c r="N103" i="18"/>
  <c r="N101" i="18" s="1"/>
  <c r="M103" i="18"/>
  <c r="P103" i="18" s="1"/>
  <c r="L103" i="18"/>
  <c r="U102" i="18"/>
  <c r="T102" i="18"/>
  <c r="P102" i="18"/>
  <c r="O102" i="18"/>
  <c r="S101" i="18"/>
  <c r="R101" i="18"/>
  <c r="U101" i="18" s="1"/>
  <c r="Q101" i="18"/>
  <c r="T101" i="18" s="1"/>
  <c r="S100" i="18"/>
  <c r="S97" i="18" s="1"/>
  <c r="R100" i="18"/>
  <c r="U100" i="18" s="1"/>
  <c r="Q98" i="18"/>
  <c r="T98" i="18" s="1"/>
  <c r="N100" i="18"/>
  <c r="N98" i="18" s="1"/>
  <c r="M100" i="18"/>
  <c r="P100" i="18" s="1"/>
  <c r="L100" i="18"/>
  <c r="O100" i="18" s="1"/>
  <c r="U99" i="18"/>
  <c r="T99" i="18"/>
  <c r="P99" i="18"/>
  <c r="O99" i="18"/>
  <c r="S96" i="18"/>
  <c r="R96" i="18"/>
  <c r="U96" i="18" s="1"/>
  <c r="Q96" i="18"/>
  <c r="T96" i="18" s="1"/>
  <c r="N96" i="18"/>
  <c r="M96" i="18"/>
  <c r="P96" i="18" s="1"/>
  <c r="L96" i="18"/>
  <c r="O96" i="18" s="1"/>
  <c r="J94" i="18"/>
  <c r="J93" i="18"/>
  <c r="I91" i="18"/>
  <c r="K91" i="18" s="1"/>
  <c r="I90" i="18"/>
  <c r="K90" i="18" s="1"/>
  <c r="I89" i="18"/>
  <c r="I88" i="18"/>
  <c r="K88" i="18" s="1"/>
  <c r="I87" i="18"/>
  <c r="K87" i="18" s="1"/>
  <c r="I86" i="18"/>
  <c r="I85" i="18"/>
  <c r="K85" i="18" s="1"/>
  <c r="J84" i="18"/>
  <c r="J72" i="18" s="1"/>
  <c r="J83" i="18"/>
  <c r="U81" i="18"/>
  <c r="T81" i="18"/>
  <c r="N81" i="18"/>
  <c r="M81" i="18"/>
  <c r="P81" i="18" s="1"/>
  <c r="L81" i="18"/>
  <c r="L79" i="18" s="1"/>
  <c r="O79" i="18" s="1"/>
  <c r="U80" i="18"/>
  <c r="T80" i="18"/>
  <c r="P80" i="18"/>
  <c r="O80" i="18"/>
  <c r="S79" i="18"/>
  <c r="R79" i="18"/>
  <c r="U79" i="18" s="1"/>
  <c r="Q79" i="18"/>
  <c r="T79" i="18" s="1"/>
  <c r="S78" i="18"/>
  <c r="S76" i="18" s="1"/>
  <c r="R78" i="18"/>
  <c r="Q78" i="18"/>
  <c r="N78" i="18"/>
  <c r="N76" i="18" s="1"/>
  <c r="M78" i="18"/>
  <c r="M76" i="18" s="1"/>
  <c r="L78" i="18"/>
  <c r="L76" i="18" s="1"/>
  <c r="U77" i="18"/>
  <c r="T77" i="18"/>
  <c r="P77" i="18"/>
  <c r="O77" i="18"/>
  <c r="U74" i="18"/>
  <c r="T74" i="18"/>
  <c r="S74" i="18"/>
  <c r="R74" i="18"/>
  <c r="Q74" i="18"/>
  <c r="P74" i="18"/>
  <c r="O74" i="18"/>
  <c r="N74" i="18"/>
  <c r="M74" i="18"/>
  <c r="L74" i="18"/>
  <c r="J71" i="18"/>
  <c r="U68" i="18"/>
  <c r="T68" i="18"/>
  <c r="N68" i="18"/>
  <c r="M68" i="18"/>
  <c r="M66" i="18" s="1"/>
  <c r="P66" i="18" s="1"/>
  <c r="L68" i="18"/>
  <c r="L66" i="18" s="1"/>
  <c r="O66" i="18" s="1"/>
  <c r="U67" i="18"/>
  <c r="T67" i="18"/>
  <c r="P67" i="18"/>
  <c r="O67" i="18"/>
  <c r="U66" i="18"/>
  <c r="S66" i="18"/>
  <c r="R66" i="18"/>
  <c r="Q66" i="18"/>
  <c r="T66" i="18" s="1"/>
  <c r="U65" i="18"/>
  <c r="T65" i="18"/>
  <c r="N65" i="18"/>
  <c r="N63" i="18" s="1"/>
  <c r="M65" i="18"/>
  <c r="M63" i="18" s="1"/>
  <c r="L65" i="18"/>
  <c r="L63" i="18" s="1"/>
  <c r="U64" i="18"/>
  <c r="T64" i="18"/>
  <c r="P64" i="18"/>
  <c r="O64" i="18"/>
  <c r="U63" i="18"/>
  <c r="S63" i="18"/>
  <c r="R63" i="18"/>
  <c r="Q63" i="18"/>
  <c r="T63" i="18" s="1"/>
  <c r="S62" i="18"/>
  <c r="R62" i="18"/>
  <c r="R60" i="18" s="1"/>
  <c r="U60" i="18" s="1"/>
  <c r="Q62" i="18"/>
  <c r="T62" i="18" s="1"/>
  <c r="U61" i="18"/>
  <c r="T61" i="18"/>
  <c r="S61" i="18"/>
  <c r="S60" i="18" s="1"/>
  <c r="R61" i="18"/>
  <c r="Q61" i="18"/>
  <c r="P61" i="18"/>
  <c r="O61" i="18"/>
  <c r="N61" i="18"/>
  <c r="M61" i="18"/>
  <c r="L61" i="18"/>
  <c r="T60" i="18"/>
  <c r="Q60" i="18"/>
  <c r="U53" i="18"/>
  <c r="T53" i="18"/>
  <c r="N53" i="18"/>
  <c r="M53" i="18"/>
  <c r="P53" i="18" s="1"/>
  <c r="L53" i="18"/>
  <c r="O53" i="18" s="1"/>
  <c r="U52" i="18"/>
  <c r="T52" i="18"/>
  <c r="P52" i="18"/>
  <c r="O52" i="18"/>
  <c r="T51" i="18"/>
  <c r="S51" i="18"/>
  <c r="R51" i="18"/>
  <c r="U51" i="18" s="1"/>
  <c r="Q51" i="18"/>
  <c r="U50" i="18"/>
  <c r="T50" i="18"/>
  <c r="N50" i="18"/>
  <c r="M50" i="18"/>
  <c r="L50" i="18"/>
  <c r="U49" i="18"/>
  <c r="T49" i="18"/>
  <c r="P49" i="18"/>
  <c r="O49" i="18"/>
  <c r="T48" i="18"/>
  <c r="S48" i="18"/>
  <c r="R48" i="18"/>
  <c r="U48" i="18" s="1"/>
  <c r="Q48" i="18"/>
  <c r="U47" i="18"/>
  <c r="S47" i="18"/>
  <c r="R47" i="18"/>
  <c r="Q47" i="18"/>
  <c r="T47" i="18" s="1"/>
  <c r="U46" i="18"/>
  <c r="S46" i="18"/>
  <c r="S45" i="18" s="1"/>
  <c r="R46" i="18"/>
  <c r="Q46" i="18"/>
  <c r="T46" i="18" s="1"/>
  <c r="O46" i="18"/>
  <c r="N46" i="18"/>
  <c r="M46" i="18"/>
  <c r="P46" i="18" s="1"/>
  <c r="L46" i="18"/>
  <c r="U45" i="18"/>
  <c r="R45" i="18"/>
  <c r="S27" i="18"/>
  <c r="R27" i="18"/>
  <c r="U27" i="18" s="1"/>
  <c r="Q27" i="18"/>
  <c r="T27" i="18" s="1"/>
  <c r="S26" i="18"/>
  <c r="R26" i="18"/>
  <c r="Q26" i="18"/>
  <c r="T26" i="18" s="1"/>
  <c r="N26" i="18"/>
  <c r="M26" i="18"/>
  <c r="L26" i="18"/>
  <c r="O26" i="18" s="1"/>
  <c r="S23" i="18"/>
  <c r="R23" i="18"/>
  <c r="U23" i="18" s="1"/>
  <c r="Q23" i="18"/>
  <c r="T23" i="18" s="1"/>
  <c r="N23" i="18"/>
  <c r="M23" i="18"/>
  <c r="P23" i="18" s="1"/>
  <c r="L23" i="18"/>
  <c r="O23" i="18" s="1"/>
  <c r="A788" i="17"/>
  <c r="J785" i="17"/>
  <c r="I785" i="17"/>
  <c r="J784" i="17"/>
  <c r="I784" i="17"/>
  <c r="J783" i="17"/>
  <c r="I783" i="17"/>
  <c r="J782" i="17"/>
  <c r="I782" i="17"/>
  <c r="J781" i="17"/>
  <c r="I781" i="17"/>
  <c r="J780" i="17"/>
  <c r="I780" i="17"/>
  <c r="J779" i="17"/>
  <c r="I779" i="17"/>
  <c r="J778" i="17"/>
  <c r="I778" i="17"/>
  <c r="H777" i="17"/>
  <c r="I776" i="17"/>
  <c r="I775" i="17"/>
  <c r="I774" i="17"/>
  <c r="I772" i="17"/>
  <c r="I758" i="17" s="1"/>
  <c r="K758" i="17" s="1"/>
  <c r="I770" i="17"/>
  <c r="K770" i="17" s="1"/>
  <c r="U768" i="17"/>
  <c r="T768" i="17"/>
  <c r="P768" i="17"/>
  <c r="O768" i="17"/>
  <c r="U767" i="17"/>
  <c r="T767" i="17"/>
  <c r="P767" i="17"/>
  <c r="O767" i="17"/>
  <c r="T766" i="17"/>
  <c r="S766" i="17"/>
  <c r="R766" i="17"/>
  <c r="U766" i="17" s="1"/>
  <c r="Q766" i="17"/>
  <c r="N766" i="17"/>
  <c r="M766" i="17"/>
  <c r="P766" i="17" s="1"/>
  <c r="L766" i="17"/>
  <c r="O766" i="17" s="1"/>
  <c r="S765" i="17"/>
  <c r="S763" i="17" s="1"/>
  <c r="R765" i="17"/>
  <c r="R763" i="17" s="1"/>
  <c r="Q765" i="17"/>
  <c r="P765" i="17"/>
  <c r="O765" i="17"/>
  <c r="U764" i="17"/>
  <c r="T764" i="17"/>
  <c r="P764" i="17"/>
  <c r="O764" i="17"/>
  <c r="P763" i="17"/>
  <c r="O763" i="17"/>
  <c r="N763" i="17"/>
  <c r="M763" i="17"/>
  <c r="L763" i="17"/>
  <c r="O762" i="17"/>
  <c r="N762" i="17"/>
  <c r="M762" i="17"/>
  <c r="P762" i="17" s="1"/>
  <c r="L762" i="17"/>
  <c r="S761" i="17"/>
  <c r="R761" i="17"/>
  <c r="U761" i="17" s="1"/>
  <c r="Q761" i="17"/>
  <c r="N761" i="17"/>
  <c r="N760" i="17" s="1"/>
  <c r="M761" i="17"/>
  <c r="P761" i="17" s="1"/>
  <c r="L761" i="17"/>
  <c r="O761" i="17" s="1"/>
  <c r="O760" i="17"/>
  <c r="L760" i="17"/>
  <c r="J759" i="17"/>
  <c r="J758" i="17"/>
  <c r="I756" i="17"/>
  <c r="K756" i="17" s="1"/>
  <c r="I753" i="17"/>
  <c r="K753" i="17" s="1"/>
  <c r="I750" i="17"/>
  <c r="K750" i="17" s="1"/>
  <c r="I747" i="17"/>
  <c r="K747" i="17" s="1"/>
  <c r="I745" i="17"/>
  <c r="K745" i="17" s="1"/>
  <c r="I743" i="17"/>
  <c r="K743" i="17" s="1"/>
  <c r="I741" i="17"/>
  <c r="K741" i="17" s="1"/>
  <c r="U737" i="17"/>
  <c r="T737" i="17"/>
  <c r="P737" i="17"/>
  <c r="O737" i="17"/>
  <c r="U736" i="17"/>
  <c r="T736" i="17"/>
  <c r="P736" i="17"/>
  <c r="O736" i="17"/>
  <c r="S735" i="17"/>
  <c r="R735" i="17"/>
  <c r="U735" i="17" s="1"/>
  <c r="Q735" i="17"/>
  <c r="T735" i="17" s="1"/>
  <c r="N735" i="17"/>
  <c r="M735" i="17"/>
  <c r="P735" i="17" s="1"/>
  <c r="L735" i="17"/>
  <c r="O735" i="17" s="1"/>
  <c r="S734" i="17"/>
  <c r="S732" i="17" s="1"/>
  <c r="R734" i="17"/>
  <c r="R732" i="17" s="1"/>
  <c r="Q734" i="17"/>
  <c r="Q732" i="17" s="1"/>
  <c r="P734" i="17"/>
  <c r="O734" i="17"/>
  <c r="U733" i="17"/>
  <c r="T733" i="17"/>
  <c r="P733" i="17"/>
  <c r="O733" i="17"/>
  <c r="P732" i="17"/>
  <c r="O732" i="17"/>
  <c r="N732" i="17"/>
  <c r="M732" i="17"/>
  <c r="L732" i="17"/>
  <c r="N731" i="17"/>
  <c r="M731" i="17"/>
  <c r="P731" i="17" s="1"/>
  <c r="L731" i="17"/>
  <c r="O731" i="17" s="1"/>
  <c r="S730" i="17"/>
  <c r="R730" i="17"/>
  <c r="U730" i="17" s="1"/>
  <c r="Q730" i="17"/>
  <c r="T730" i="17" s="1"/>
  <c r="P730" i="17"/>
  <c r="N730" i="17"/>
  <c r="M730" i="17"/>
  <c r="M729" i="17" s="1"/>
  <c r="P729" i="17" s="1"/>
  <c r="L730" i="17"/>
  <c r="O730" i="17" s="1"/>
  <c r="N729" i="17"/>
  <c r="J728" i="17"/>
  <c r="I728" i="17"/>
  <c r="K728" i="17" s="1"/>
  <c r="J727" i="17"/>
  <c r="I727" i="17"/>
  <c r="K727" i="17" s="1"/>
  <c r="U723" i="17"/>
  <c r="T723" i="17"/>
  <c r="P723" i="17"/>
  <c r="O723" i="17"/>
  <c r="U722" i="17"/>
  <c r="T722" i="17"/>
  <c r="P722" i="17"/>
  <c r="O722" i="17"/>
  <c r="U721" i="17"/>
  <c r="T721" i="17"/>
  <c r="S721" i="17"/>
  <c r="R721" i="17"/>
  <c r="Q721" i="17"/>
  <c r="P721" i="17"/>
  <c r="O721" i="17"/>
  <c r="N721" i="17"/>
  <c r="M721" i="17"/>
  <c r="L721" i="17"/>
  <c r="U720" i="17"/>
  <c r="T720" i="17"/>
  <c r="P720" i="17"/>
  <c r="O720" i="17"/>
  <c r="U719" i="17"/>
  <c r="T719" i="17"/>
  <c r="P719" i="17"/>
  <c r="O719" i="17"/>
  <c r="U718" i="17"/>
  <c r="T718" i="17"/>
  <c r="S718" i="17"/>
  <c r="R718" i="17"/>
  <c r="Q718" i="17"/>
  <c r="P718" i="17"/>
  <c r="O718" i="17"/>
  <c r="N718" i="17"/>
  <c r="M718" i="17"/>
  <c r="L718" i="17"/>
  <c r="T717" i="17"/>
  <c r="S717" i="17"/>
  <c r="R717" i="17"/>
  <c r="U717" i="17" s="1"/>
  <c r="Q717" i="17"/>
  <c r="N717" i="17"/>
  <c r="M717" i="17"/>
  <c r="P717" i="17" s="1"/>
  <c r="L717" i="17"/>
  <c r="O717" i="17" s="1"/>
  <c r="S716" i="17"/>
  <c r="S715" i="17" s="1"/>
  <c r="R716" i="17"/>
  <c r="U716" i="17" s="1"/>
  <c r="Q716" i="17"/>
  <c r="T716" i="17" s="1"/>
  <c r="P716" i="17"/>
  <c r="N716" i="17"/>
  <c r="M716" i="17"/>
  <c r="M715" i="17" s="1"/>
  <c r="P715" i="17" s="1"/>
  <c r="L716" i="17"/>
  <c r="O716" i="17" s="1"/>
  <c r="T715" i="17"/>
  <c r="Q715" i="17"/>
  <c r="N715" i="17"/>
  <c r="K713" i="17"/>
  <c r="J713" i="17"/>
  <c r="K711" i="17"/>
  <c r="J711" i="17"/>
  <c r="J710" i="17"/>
  <c r="I710" i="17"/>
  <c r="K710" i="17" s="1"/>
  <c r="K709" i="17"/>
  <c r="J709" i="17"/>
  <c r="J708" i="17"/>
  <c r="J690" i="17" s="1"/>
  <c r="I708" i="17"/>
  <c r="I690" i="17" s="1"/>
  <c r="K707" i="17"/>
  <c r="J707" i="17"/>
  <c r="J706" i="17"/>
  <c r="I706" i="17"/>
  <c r="K706" i="17" s="1"/>
  <c r="K705" i="17"/>
  <c r="J705" i="17"/>
  <c r="J704" i="17"/>
  <c r="I704" i="17"/>
  <c r="K703" i="17"/>
  <c r="I701" i="17"/>
  <c r="K701" i="17" s="1"/>
  <c r="U699" i="17"/>
  <c r="T699" i="17"/>
  <c r="P699" i="17"/>
  <c r="O699" i="17"/>
  <c r="U698" i="17"/>
  <c r="T698" i="17"/>
  <c r="P698" i="17"/>
  <c r="O698" i="17"/>
  <c r="U697" i="17"/>
  <c r="T697" i="17"/>
  <c r="S697" i="17"/>
  <c r="R697" i="17"/>
  <c r="Q697" i="17"/>
  <c r="O697" i="17"/>
  <c r="N697" i="17"/>
  <c r="M697" i="17"/>
  <c r="P697" i="17" s="1"/>
  <c r="L697" i="17"/>
  <c r="S696" i="17"/>
  <c r="R696" i="17"/>
  <c r="R694" i="17" s="1"/>
  <c r="Q696" i="17"/>
  <c r="P696" i="17"/>
  <c r="O696" i="17"/>
  <c r="U695" i="17"/>
  <c r="T695" i="17"/>
  <c r="P695" i="17"/>
  <c r="O695" i="17"/>
  <c r="P694" i="17"/>
  <c r="N694" i="17"/>
  <c r="M694" i="17"/>
  <c r="L694" i="17"/>
  <c r="O694" i="17" s="1"/>
  <c r="P693" i="17"/>
  <c r="O693" i="17"/>
  <c r="N693" i="17"/>
  <c r="M693" i="17"/>
  <c r="L693" i="17"/>
  <c r="T692" i="17"/>
  <c r="S692" i="17"/>
  <c r="R692" i="17"/>
  <c r="Q692" i="17"/>
  <c r="N692" i="17"/>
  <c r="N691" i="17" s="1"/>
  <c r="M692" i="17"/>
  <c r="P692" i="17" s="1"/>
  <c r="L692" i="17"/>
  <c r="P691" i="17"/>
  <c r="M691" i="17"/>
  <c r="J683" i="17"/>
  <c r="I683" i="17"/>
  <c r="J682" i="17"/>
  <c r="I682" i="17"/>
  <c r="K682" i="17" s="1"/>
  <c r="J681" i="17"/>
  <c r="J680" i="17"/>
  <c r="I680" i="17"/>
  <c r="K680" i="17" s="1"/>
  <c r="J679" i="17"/>
  <c r="I679" i="17"/>
  <c r="J678" i="17"/>
  <c r="J677" i="17"/>
  <c r="I677" i="17"/>
  <c r="I676" i="17"/>
  <c r="I675" i="17"/>
  <c r="J674" i="17"/>
  <c r="I674" i="17"/>
  <c r="J673" i="17"/>
  <c r="J672" i="17"/>
  <c r="J662" i="17"/>
  <c r="I662" i="17"/>
  <c r="I661" i="17"/>
  <c r="I658" i="17"/>
  <c r="J655" i="17"/>
  <c r="I655" i="17"/>
  <c r="J654" i="17"/>
  <c r="I654" i="17"/>
  <c r="K654" i="17" s="1"/>
  <c r="J653" i="17"/>
  <c r="I653" i="17"/>
  <c r="K653" i="17" s="1"/>
  <c r="U651" i="17"/>
  <c r="T651" i="17"/>
  <c r="P651" i="17"/>
  <c r="O651" i="17"/>
  <c r="U650" i="17"/>
  <c r="T650" i="17"/>
  <c r="P650" i="17"/>
  <c r="O650" i="17"/>
  <c r="U649" i="17"/>
  <c r="T649" i="17"/>
  <c r="S649" i="17"/>
  <c r="R649" i="17"/>
  <c r="Q649" i="17"/>
  <c r="P649" i="17"/>
  <c r="O649" i="17"/>
  <c r="N649" i="17"/>
  <c r="M649" i="17"/>
  <c r="L649" i="17"/>
  <c r="S648" i="17"/>
  <c r="S645" i="17" s="1"/>
  <c r="S643" i="17" s="1"/>
  <c r="R648" i="17"/>
  <c r="Q648" i="17"/>
  <c r="Q646" i="17" s="1"/>
  <c r="P648" i="17"/>
  <c r="O648" i="17"/>
  <c r="U647" i="17"/>
  <c r="T647" i="17"/>
  <c r="P647" i="17"/>
  <c r="O647" i="17"/>
  <c r="N646" i="17"/>
  <c r="M646" i="17"/>
  <c r="P646" i="17" s="1"/>
  <c r="L646" i="17"/>
  <c r="O646" i="17" s="1"/>
  <c r="P645" i="17"/>
  <c r="O645" i="17"/>
  <c r="N645" i="17"/>
  <c r="M645" i="17"/>
  <c r="L645" i="17"/>
  <c r="T644" i="17"/>
  <c r="S644" i="17"/>
  <c r="R644" i="17"/>
  <c r="Q644" i="17"/>
  <c r="N644" i="17"/>
  <c r="M644" i="17"/>
  <c r="P644" i="17" s="1"/>
  <c r="L644" i="17"/>
  <c r="L643" i="17" s="1"/>
  <c r="O643" i="17" s="1"/>
  <c r="P643" i="17"/>
  <c r="M643" i="17"/>
  <c r="J637" i="17"/>
  <c r="J636" i="17" s="1"/>
  <c r="I636" i="17"/>
  <c r="K636" i="17" s="1"/>
  <c r="J633" i="17"/>
  <c r="J627" i="17" s="1"/>
  <c r="J616" i="17" s="1"/>
  <c r="I629" i="17"/>
  <c r="K629" i="17" s="1"/>
  <c r="I628" i="17"/>
  <c r="K628" i="17" s="1"/>
  <c r="I627" i="17"/>
  <c r="K632" i="17" s="1"/>
  <c r="U625" i="17"/>
  <c r="T625" i="17"/>
  <c r="P625" i="17"/>
  <c r="O625" i="17"/>
  <c r="U624" i="17"/>
  <c r="T624" i="17"/>
  <c r="P624" i="17"/>
  <c r="O624" i="17"/>
  <c r="U623" i="17"/>
  <c r="T623" i="17"/>
  <c r="S623" i="17"/>
  <c r="R623" i="17"/>
  <c r="Q623" i="17"/>
  <c r="P623" i="17"/>
  <c r="O623" i="17"/>
  <c r="N623" i="17"/>
  <c r="M623" i="17"/>
  <c r="L623" i="17"/>
  <c r="S622" i="17"/>
  <c r="S619" i="17" s="1"/>
  <c r="R622" i="17"/>
  <c r="R620" i="17" s="1"/>
  <c r="Q622" i="17"/>
  <c r="P622" i="17"/>
  <c r="O622" i="17"/>
  <c r="U621" i="17"/>
  <c r="T621" i="17"/>
  <c r="P621" i="17"/>
  <c r="O621" i="17"/>
  <c r="N620" i="17"/>
  <c r="M620" i="17"/>
  <c r="P620" i="17" s="1"/>
  <c r="L620" i="17"/>
  <c r="O620" i="17" s="1"/>
  <c r="P619" i="17"/>
  <c r="O619" i="17"/>
  <c r="N619" i="17"/>
  <c r="M619" i="17"/>
  <c r="L619" i="17"/>
  <c r="L617" i="17" s="1"/>
  <c r="O617" i="17" s="1"/>
  <c r="U618" i="17"/>
  <c r="T618" i="17"/>
  <c r="S618" i="17"/>
  <c r="R618" i="17"/>
  <c r="Q618" i="17"/>
  <c r="O618" i="17"/>
  <c r="N618" i="17"/>
  <c r="M618" i="17"/>
  <c r="M617" i="17" s="1"/>
  <c r="P617" i="17" s="1"/>
  <c r="L618" i="17"/>
  <c r="N617" i="17"/>
  <c r="U608" i="17"/>
  <c r="T608" i="17"/>
  <c r="P608" i="17"/>
  <c r="O608" i="17"/>
  <c r="U607" i="17"/>
  <c r="T607" i="17"/>
  <c r="P607" i="17"/>
  <c r="O607" i="17"/>
  <c r="U606" i="17"/>
  <c r="T606" i="17"/>
  <c r="S606" i="17"/>
  <c r="R606" i="17"/>
  <c r="Q606" i="17"/>
  <c r="P606" i="17"/>
  <c r="O606" i="17"/>
  <c r="N606" i="17"/>
  <c r="M606" i="17"/>
  <c r="L606" i="17"/>
  <c r="U605" i="17"/>
  <c r="T605" i="17"/>
  <c r="P605" i="17"/>
  <c r="O605" i="17"/>
  <c r="U604" i="17"/>
  <c r="T604" i="17"/>
  <c r="P604" i="17"/>
  <c r="O604" i="17"/>
  <c r="U603" i="17"/>
  <c r="T603" i="17"/>
  <c r="S603" i="17"/>
  <c r="R603" i="17"/>
  <c r="Q603" i="17"/>
  <c r="P603" i="17"/>
  <c r="O603" i="17"/>
  <c r="N603" i="17"/>
  <c r="M603" i="17"/>
  <c r="L603" i="17"/>
  <c r="T602" i="17"/>
  <c r="S602" i="17"/>
  <c r="R602" i="17"/>
  <c r="U602" i="17" s="1"/>
  <c r="Q602" i="17"/>
  <c r="O602" i="17"/>
  <c r="N602" i="17"/>
  <c r="M602" i="17"/>
  <c r="P602" i="17" s="1"/>
  <c r="L602" i="17"/>
  <c r="S601" i="17"/>
  <c r="S600" i="17" s="1"/>
  <c r="R601" i="17"/>
  <c r="Q601" i="17"/>
  <c r="T601" i="17" s="1"/>
  <c r="N601" i="17"/>
  <c r="M601" i="17"/>
  <c r="M600" i="17" s="1"/>
  <c r="L601" i="17"/>
  <c r="P600" i="17"/>
  <c r="N600" i="17"/>
  <c r="U585" i="17"/>
  <c r="T585" i="17"/>
  <c r="P585" i="17"/>
  <c r="O585" i="17"/>
  <c r="U584" i="17"/>
  <c r="T584" i="17"/>
  <c r="P584" i="17"/>
  <c r="O584" i="17"/>
  <c r="U583" i="17"/>
  <c r="S583" i="17"/>
  <c r="R583" i="17"/>
  <c r="Q583" i="17"/>
  <c r="T583" i="17" s="1"/>
  <c r="P583" i="17"/>
  <c r="O583" i="17"/>
  <c r="N583" i="17"/>
  <c r="M583" i="17"/>
  <c r="L583" i="17"/>
  <c r="U582" i="17"/>
  <c r="T582" i="17"/>
  <c r="P582" i="17"/>
  <c r="O582" i="17"/>
  <c r="U581" i="17"/>
  <c r="T581" i="17"/>
  <c r="P581" i="17"/>
  <c r="O581" i="17"/>
  <c r="U580" i="17"/>
  <c r="S580" i="17"/>
  <c r="R580" i="17"/>
  <c r="Q580" i="17"/>
  <c r="T580" i="17" s="1"/>
  <c r="P580" i="17"/>
  <c r="O580" i="17"/>
  <c r="N580" i="17"/>
  <c r="M580" i="17"/>
  <c r="L580" i="17"/>
  <c r="U579" i="17"/>
  <c r="T579" i="17"/>
  <c r="S579" i="17"/>
  <c r="R579" i="17"/>
  <c r="Q579" i="17"/>
  <c r="O579" i="17"/>
  <c r="N579" i="17"/>
  <c r="N577" i="17" s="1"/>
  <c r="M579" i="17"/>
  <c r="P579" i="17" s="1"/>
  <c r="L579" i="17"/>
  <c r="U578" i="17"/>
  <c r="S578" i="17"/>
  <c r="S577" i="17" s="1"/>
  <c r="R578" i="17"/>
  <c r="Q578" i="17"/>
  <c r="P578" i="17"/>
  <c r="N578" i="17"/>
  <c r="M578" i="17"/>
  <c r="L578" i="17"/>
  <c r="L577" i="17" s="1"/>
  <c r="O577" i="17"/>
  <c r="M577" i="17"/>
  <c r="P577" i="17" s="1"/>
  <c r="J576" i="17"/>
  <c r="I576" i="17"/>
  <c r="K576" i="17" s="1"/>
  <c r="U564" i="17"/>
  <c r="T564" i="17"/>
  <c r="P564" i="17"/>
  <c r="O564" i="17"/>
  <c r="U563" i="17"/>
  <c r="T563" i="17"/>
  <c r="P563" i="17"/>
  <c r="O563" i="17"/>
  <c r="T562" i="17"/>
  <c r="S562" i="17"/>
  <c r="R562" i="17"/>
  <c r="U562" i="17" s="1"/>
  <c r="Q562" i="17"/>
  <c r="N562" i="17"/>
  <c r="M562" i="17"/>
  <c r="P562" i="17" s="1"/>
  <c r="L562" i="17"/>
  <c r="O562" i="17" s="1"/>
  <c r="U561" i="17"/>
  <c r="T561" i="17"/>
  <c r="P561" i="17"/>
  <c r="O561" i="17"/>
  <c r="U560" i="17"/>
  <c r="T560" i="17"/>
  <c r="P560" i="17"/>
  <c r="O560" i="17"/>
  <c r="T559" i="17"/>
  <c r="S559" i="17"/>
  <c r="R559" i="17"/>
  <c r="U559" i="17" s="1"/>
  <c r="Q559" i="17"/>
  <c r="P559" i="17"/>
  <c r="N559" i="17"/>
  <c r="M559" i="17"/>
  <c r="L559" i="17"/>
  <c r="O559" i="17" s="1"/>
  <c r="U558" i="17"/>
  <c r="S558" i="17"/>
  <c r="R558" i="17"/>
  <c r="Q558" i="17"/>
  <c r="T558" i="17" s="1"/>
  <c r="P558" i="17"/>
  <c r="O558" i="17"/>
  <c r="N558" i="17"/>
  <c r="M558" i="17"/>
  <c r="L558" i="17"/>
  <c r="U557" i="17"/>
  <c r="T557" i="17"/>
  <c r="S557" i="17"/>
  <c r="S556" i="17" s="1"/>
  <c r="R557" i="17"/>
  <c r="Q557" i="17"/>
  <c r="O557" i="17"/>
  <c r="N557" i="17"/>
  <c r="N556" i="17" s="1"/>
  <c r="M557" i="17"/>
  <c r="M556" i="17" s="1"/>
  <c r="P556" i="17" s="1"/>
  <c r="L557" i="17"/>
  <c r="R556" i="17"/>
  <c r="U556" i="17" s="1"/>
  <c r="Q556" i="17"/>
  <c r="T556" i="17" s="1"/>
  <c r="L556" i="17"/>
  <c r="O556" i="17" s="1"/>
  <c r="K555" i="17"/>
  <c r="J555" i="17"/>
  <c r="I555" i="17"/>
  <c r="U543" i="17"/>
  <c r="T543" i="17"/>
  <c r="P543" i="17"/>
  <c r="O543" i="17"/>
  <c r="U542" i="17"/>
  <c r="T542" i="17"/>
  <c r="P542" i="17"/>
  <c r="O542" i="17"/>
  <c r="U541" i="17"/>
  <c r="T541" i="17"/>
  <c r="S541" i="17"/>
  <c r="R541" i="17"/>
  <c r="Q541" i="17"/>
  <c r="O541" i="17"/>
  <c r="N541" i="17"/>
  <c r="M541" i="17"/>
  <c r="P541" i="17" s="1"/>
  <c r="L541" i="17"/>
  <c r="U540" i="17"/>
  <c r="T540" i="17"/>
  <c r="P540" i="17"/>
  <c r="O540" i="17"/>
  <c r="U539" i="17"/>
  <c r="T539" i="17"/>
  <c r="P539" i="17"/>
  <c r="O539" i="17"/>
  <c r="U538" i="17"/>
  <c r="T538" i="17"/>
  <c r="S538" i="17"/>
  <c r="R538" i="17"/>
  <c r="Q538" i="17"/>
  <c r="O538" i="17"/>
  <c r="N538" i="17"/>
  <c r="M538" i="17"/>
  <c r="P538" i="17" s="1"/>
  <c r="L538" i="17"/>
  <c r="S537" i="17"/>
  <c r="R537" i="17"/>
  <c r="U537" i="17" s="1"/>
  <c r="Q537" i="17"/>
  <c r="O537" i="17"/>
  <c r="N537" i="17"/>
  <c r="M537" i="17"/>
  <c r="P537" i="17" s="1"/>
  <c r="L537" i="17"/>
  <c r="S536" i="17"/>
  <c r="S535" i="17" s="1"/>
  <c r="R536" i="17"/>
  <c r="R535" i="17" s="1"/>
  <c r="U535" i="17" s="1"/>
  <c r="Q536" i="17"/>
  <c r="T536" i="17" s="1"/>
  <c r="N536" i="17"/>
  <c r="M536" i="17"/>
  <c r="L536" i="17"/>
  <c r="L535" i="17" s="1"/>
  <c r="O535" i="17"/>
  <c r="N535" i="17"/>
  <c r="J534" i="17"/>
  <c r="I534" i="17"/>
  <c r="K534" i="17" s="1"/>
  <c r="K525" i="17"/>
  <c r="K524" i="17"/>
  <c r="U522" i="17"/>
  <c r="T522" i="17"/>
  <c r="N522" i="17"/>
  <c r="N520" i="17" s="1"/>
  <c r="M522" i="17"/>
  <c r="P522" i="17" s="1"/>
  <c r="L522" i="17"/>
  <c r="L520" i="17" s="1"/>
  <c r="O520" i="17" s="1"/>
  <c r="U521" i="17"/>
  <c r="T521" i="17"/>
  <c r="P521" i="17"/>
  <c r="O521" i="17"/>
  <c r="S520" i="17"/>
  <c r="R520" i="17"/>
  <c r="U520" i="17" s="1"/>
  <c r="Q520" i="17"/>
  <c r="T520" i="17" s="1"/>
  <c r="U519" i="17"/>
  <c r="T519" i="17"/>
  <c r="N519" i="17"/>
  <c r="N517" i="17" s="1"/>
  <c r="M519" i="17"/>
  <c r="L519" i="17"/>
  <c r="U518" i="17"/>
  <c r="T518" i="17"/>
  <c r="P518" i="17"/>
  <c r="O518" i="17"/>
  <c r="T517" i="17"/>
  <c r="S517" i="17"/>
  <c r="R517" i="17"/>
  <c r="U517" i="17" s="1"/>
  <c r="Q517" i="17"/>
  <c r="T516" i="17"/>
  <c r="S516" i="17"/>
  <c r="S514" i="17" s="1"/>
  <c r="R516" i="17"/>
  <c r="U516" i="17" s="1"/>
  <c r="Q516" i="17"/>
  <c r="S515" i="17"/>
  <c r="R515" i="17"/>
  <c r="U515" i="17" s="1"/>
  <c r="Q515" i="17"/>
  <c r="P515" i="17"/>
  <c r="N515" i="17"/>
  <c r="M515" i="17"/>
  <c r="L515" i="17"/>
  <c r="O515" i="17" s="1"/>
  <c r="U514" i="17"/>
  <c r="R514" i="17"/>
  <c r="J513" i="17"/>
  <c r="I513" i="17"/>
  <c r="K513" i="17" s="1"/>
  <c r="I510" i="17"/>
  <c r="K510" i="17" s="1"/>
  <c r="K509" i="17"/>
  <c r="I508" i="17"/>
  <c r="K508" i="17" s="1"/>
  <c r="I507" i="17"/>
  <c r="K507" i="17" s="1"/>
  <c r="I506" i="17"/>
  <c r="K506" i="17" s="1"/>
  <c r="I505" i="17"/>
  <c r="K505" i="17" s="1"/>
  <c r="I504" i="17"/>
  <c r="K504" i="17" s="1"/>
  <c r="U502" i="17"/>
  <c r="T502" i="17"/>
  <c r="P502" i="17"/>
  <c r="O502" i="17"/>
  <c r="U501" i="17"/>
  <c r="T501" i="17"/>
  <c r="P501" i="17"/>
  <c r="O501" i="17"/>
  <c r="U500" i="17"/>
  <c r="S500" i="17"/>
  <c r="R500" i="17"/>
  <c r="Q500" i="17"/>
  <c r="T500" i="17" s="1"/>
  <c r="O500" i="17"/>
  <c r="N500" i="17"/>
  <c r="M500" i="17"/>
  <c r="P500" i="17" s="1"/>
  <c r="L500" i="17"/>
  <c r="S499" i="17"/>
  <c r="S497" i="17" s="1"/>
  <c r="R499" i="17"/>
  <c r="Q499" i="17"/>
  <c r="Q497" i="17" s="1"/>
  <c r="T497" i="17" s="1"/>
  <c r="P499" i="17"/>
  <c r="O499" i="17"/>
  <c r="U498" i="17"/>
  <c r="T498" i="17"/>
  <c r="P498" i="17"/>
  <c r="O498" i="17"/>
  <c r="P497" i="17"/>
  <c r="O497" i="17"/>
  <c r="N497" i="17"/>
  <c r="M497" i="17"/>
  <c r="L497" i="17"/>
  <c r="N496" i="17"/>
  <c r="M496" i="17"/>
  <c r="P496" i="17" s="1"/>
  <c r="L496" i="17"/>
  <c r="O496" i="17" s="1"/>
  <c r="S495" i="17"/>
  <c r="R495" i="17"/>
  <c r="U495" i="17" s="1"/>
  <c r="Q495" i="17"/>
  <c r="T495" i="17" s="1"/>
  <c r="P495" i="17"/>
  <c r="N495" i="17"/>
  <c r="N494" i="17" s="1"/>
  <c r="M495" i="17"/>
  <c r="L495" i="17"/>
  <c r="O495" i="17" s="1"/>
  <c r="K486" i="17"/>
  <c r="J486" i="17"/>
  <c r="I486" i="17"/>
  <c r="K485" i="17"/>
  <c r="J485" i="17"/>
  <c r="I485" i="17"/>
  <c r="J484" i="17"/>
  <c r="J483" i="17"/>
  <c r="K478" i="17"/>
  <c r="J478" i="17"/>
  <c r="K477" i="17"/>
  <c r="J477" i="17"/>
  <c r="K476" i="17"/>
  <c r="J476" i="17"/>
  <c r="J469" i="17"/>
  <c r="J468" i="17"/>
  <c r="J461" i="17"/>
  <c r="J459" i="17" s="1"/>
  <c r="J460" i="17"/>
  <c r="I459" i="17"/>
  <c r="K459" i="17" s="1"/>
  <c r="J458" i="17"/>
  <c r="J457" i="17" s="1"/>
  <c r="I458" i="17"/>
  <c r="J448" i="17"/>
  <c r="J447" i="17"/>
  <c r="J441" i="17" s="1"/>
  <c r="J424" i="17" s="1"/>
  <c r="J413" i="17" s="1"/>
  <c r="J442" i="17"/>
  <c r="I442" i="17"/>
  <c r="K442" i="17" s="1"/>
  <c r="I441" i="17"/>
  <c r="I424" i="17" s="1"/>
  <c r="I413" i="17" s="1"/>
  <c r="K413" i="17" s="1"/>
  <c r="J434" i="17"/>
  <c r="I434" i="17"/>
  <c r="K434" i="17" s="1"/>
  <c r="J433" i="17"/>
  <c r="I433" i="17"/>
  <c r="K433" i="17" s="1"/>
  <c r="J426" i="17"/>
  <c r="I426" i="17"/>
  <c r="K426" i="17" s="1"/>
  <c r="J425" i="17"/>
  <c r="I425" i="17"/>
  <c r="K425" i="17" s="1"/>
  <c r="U422" i="17"/>
  <c r="T422" i="17"/>
  <c r="P422" i="17"/>
  <c r="O422" i="17"/>
  <c r="U421" i="17"/>
  <c r="T421" i="17"/>
  <c r="P421" i="17"/>
  <c r="O421" i="17"/>
  <c r="U420" i="17"/>
  <c r="T420" i="17"/>
  <c r="S420" i="17"/>
  <c r="R420" i="17"/>
  <c r="Q420" i="17"/>
  <c r="O420" i="17"/>
  <c r="N420" i="17"/>
  <c r="M420" i="17"/>
  <c r="P420" i="17" s="1"/>
  <c r="L420" i="17"/>
  <c r="S419" i="17"/>
  <c r="S416" i="17" s="1"/>
  <c r="S414" i="17" s="1"/>
  <c r="R419" i="17"/>
  <c r="R417" i="17" s="1"/>
  <c r="U417" i="17" s="1"/>
  <c r="Q419" i="17"/>
  <c r="Q417" i="17" s="1"/>
  <c r="T417" i="17" s="1"/>
  <c r="P419" i="17"/>
  <c r="O419" i="17"/>
  <c r="U418" i="17"/>
  <c r="T418" i="17"/>
  <c r="P418" i="17"/>
  <c r="O418" i="17"/>
  <c r="N417" i="17"/>
  <c r="M417" i="17"/>
  <c r="P417" i="17" s="1"/>
  <c r="L417" i="17"/>
  <c r="O417" i="17" s="1"/>
  <c r="P416" i="17"/>
  <c r="N416" i="17"/>
  <c r="M416" i="17"/>
  <c r="L416" i="17"/>
  <c r="O416" i="17" s="1"/>
  <c r="U415" i="17"/>
  <c r="T415" i="17"/>
  <c r="S415" i="17"/>
  <c r="R415" i="17"/>
  <c r="Q415" i="17"/>
  <c r="P415" i="17"/>
  <c r="O415" i="17"/>
  <c r="N415" i="17"/>
  <c r="M415" i="17"/>
  <c r="L415" i="17"/>
  <c r="M414" i="17"/>
  <c r="P414" i="17" s="1"/>
  <c r="L414" i="17"/>
  <c r="O414" i="17" s="1"/>
  <c r="U401" i="17"/>
  <c r="T401" i="17"/>
  <c r="P401" i="17"/>
  <c r="O401" i="17"/>
  <c r="U400" i="17"/>
  <c r="T400" i="17"/>
  <c r="P400" i="17"/>
  <c r="O400" i="17"/>
  <c r="T399" i="17"/>
  <c r="S399" i="17"/>
  <c r="R399" i="17"/>
  <c r="U399" i="17" s="1"/>
  <c r="Q399" i="17"/>
  <c r="P399" i="17"/>
  <c r="N399" i="17"/>
  <c r="M399" i="17"/>
  <c r="L399" i="17"/>
  <c r="O399" i="17" s="1"/>
  <c r="U398" i="17"/>
  <c r="T398" i="17"/>
  <c r="P398" i="17"/>
  <c r="O398" i="17"/>
  <c r="U397" i="17"/>
  <c r="T397" i="17"/>
  <c r="P397" i="17"/>
  <c r="O397" i="17"/>
  <c r="T396" i="17"/>
  <c r="S396" i="17"/>
  <c r="R396" i="17"/>
  <c r="U396" i="17" s="1"/>
  <c r="Q396" i="17"/>
  <c r="P396" i="17"/>
  <c r="N396" i="17"/>
  <c r="M396" i="17"/>
  <c r="L396" i="17"/>
  <c r="O396" i="17" s="1"/>
  <c r="T395" i="17"/>
  <c r="S395" i="17"/>
  <c r="R395" i="17"/>
  <c r="U395" i="17" s="1"/>
  <c r="Q395" i="17"/>
  <c r="N395" i="17"/>
  <c r="M395" i="17"/>
  <c r="P395" i="17" s="1"/>
  <c r="L395" i="17"/>
  <c r="O395" i="17" s="1"/>
  <c r="S394" i="17"/>
  <c r="S393" i="17" s="1"/>
  <c r="R394" i="17"/>
  <c r="U394" i="17" s="1"/>
  <c r="Q394" i="17"/>
  <c r="Q393" i="17" s="1"/>
  <c r="P394" i="17"/>
  <c r="N394" i="17"/>
  <c r="N393" i="17" s="1"/>
  <c r="M394" i="17"/>
  <c r="L394" i="17"/>
  <c r="O394" i="17" s="1"/>
  <c r="T393" i="17"/>
  <c r="R393" i="17"/>
  <c r="U393" i="17" s="1"/>
  <c r="L393" i="17"/>
  <c r="O393" i="17" s="1"/>
  <c r="J392" i="17"/>
  <c r="I392" i="17"/>
  <c r="K392" i="17" s="1"/>
  <c r="K389" i="17"/>
  <c r="K388" i="17"/>
  <c r="I387" i="17"/>
  <c r="K387" i="17" s="1"/>
  <c r="I386" i="17"/>
  <c r="K386" i="17" s="1"/>
  <c r="U384" i="17"/>
  <c r="T384" i="17"/>
  <c r="P384" i="17"/>
  <c r="O384" i="17"/>
  <c r="U383" i="17"/>
  <c r="T383" i="17"/>
  <c r="P383" i="17"/>
  <c r="O383" i="17"/>
  <c r="S382" i="17"/>
  <c r="R382" i="17"/>
  <c r="U382" i="17" s="1"/>
  <c r="Q382" i="17"/>
  <c r="T382" i="17" s="1"/>
  <c r="O382" i="17"/>
  <c r="N382" i="17"/>
  <c r="M382" i="17"/>
  <c r="P382" i="17" s="1"/>
  <c r="L382" i="17"/>
  <c r="S381" i="17"/>
  <c r="S379" i="17" s="1"/>
  <c r="R381" i="17"/>
  <c r="U381" i="17" s="1"/>
  <c r="Q381" i="17"/>
  <c r="P381" i="17"/>
  <c r="O381" i="17"/>
  <c r="U380" i="17"/>
  <c r="T380" i="17"/>
  <c r="P380" i="17"/>
  <c r="O380" i="17"/>
  <c r="P379" i="17"/>
  <c r="O379" i="17"/>
  <c r="N379" i="17"/>
  <c r="M379" i="17"/>
  <c r="L379" i="17"/>
  <c r="P378" i="17"/>
  <c r="N378" i="17"/>
  <c r="M378" i="17"/>
  <c r="L378" i="17"/>
  <c r="O378" i="17" s="1"/>
  <c r="S377" i="17"/>
  <c r="R377" i="17"/>
  <c r="U377" i="17" s="1"/>
  <c r="Q377" i="17"/>
  <c r="P377" i="17"/>
  <c r="N377" i="17"/>
  <c r="M377" i="17"/>
  <c r="M376" i="17" s="1"/>
  <c r="P376" i="17" s="1"/>
  <c r="L377" i="17"/>
  <c r="O377" i="17" s="1"/>
  <c r="N376" i="17"/>
  <c r="L376" i="17"/>
  <c r="O376" i="17" s="1"/>
  <c r="J375" i="17"/>
  <c r="D374" i="17"/>
  <c r="K373" i="17"/>
  <c r="J373" i="17"/>
  <c r="J372" i="17"/>
  <c r="J366" i="17" s="1"/>
  <c r="I372" i="17"/>
  <c r="I366" i="17" s="1"/>
  <c r="K371" i="17"/>
  <c r="J371" i="17"/>
  <c r="J370" i="17"/>
  <c r="I370" i="17"/>
  <c r="J369" i="17"/>
  <c r="I369" i="17"/>
  <c r="K368" i="17"/>
  <c r="J368" i="17"/>
  <c r="U365" i="17"/>
  <c r="T365" i="17"/>
  <c r="N365" i="17"/>
  <c r="N363" i="17" s="1"/>
  <c r="M365" i="17"/>
  <c r="M363" i="17" s="1"/>
  <c r="P363" i="17" s="1"/>
  <c r="L365" i="17"/>
  <c r="O365" i="17" s="1"/>
  <c r="U364" i="17"/>
  <c r="T364" i="17"/>
  <c r="P364" i="17"/>
  <c r="O364" i="17"/>
  <c r="U363" i="17"/>
  <c r="S363" i="17"/>
  <c r="R363" i="17"/>
  <c r="Q363" i="17"/>
  <c r="T363" i="17" s="1"/>
  <c r="U362" i="17"/>
  <c r="T362" i="17"/>
  <c r="N362" i="17"/>
  <c r="N360" i="17" s="1"/>
  <c r="M362" i="17"/>
  <c r="M360" i="17" s="1"/>
  <c r="L362" i="17"/>
  <c r="L360" i="17" s="1"/>
  <c r="U361" i="17"/>
  <c r="T361" i="17"/>
  <c r="P361" i="17"/>
  <c r="O361" i="17"/>
  <c r="T360" i="17"/>
  <c r="S360" i="17"/>
  <c r="R360" i="17"/>
  <c r="U360" i="17" s="1"/>
  <c r="Q360" i="17"/>
  <c r="T359" i="17"/>
  <c r="S359" i="17"/>
  <c r="R359" i="17"/>
  <c r="U359" i="17" s="1"/>
  <c r="Q359" i="17"/>
  <c r="T358" i="17"/>
  <c r="S358" i="17"/>
  <c r="R358" i="17"/>
  <c r="R357" i="17" s="1"/>
  <c r="U357" i="17" s="1"/>
  <c r="Q358" i="17"/>
  <c r="Q357" i="17" s="1"/>
  <c r="T357" i="17" s="1"/>
  <c r="P358" i="17"/>
  <c r="N358" i="17"/>
  <c r="M358" i="17"/>
  <c r="L358" i="17"/>
  <c r="O358" i="17" s="1"/>
  <c r="S357" i="17"/>
  <c r="D355" i="17"/>
  <c r="J354" i="17"/>
  <c r="J353" i="17"/>
  <c r="D351" i="17"/>
  <c r="J350" i="17"/>
  <c r="J349" i="17"/>
  <c r="J348" i="17"/>
  <c r="J347" i="17"/>
  <c r="I347" i="17"/>
  <c r="J345" i="17"/>
  <c r="I345" i="17"/>
  <c r="I333" i="17" s="1"/>
  <c r="U342" i="17"/>
  <c r="T342" i="17"/>
  <c r="N342" i="17"/>
  <c r="N340" i="17" s="1"/>
  <c r="M342" i="17"/>
  <c r="P342" i="17" s="1"/>
  <c r="L342" i="17"/>
  <c r="L340" i="17" s="1"/>
  <c r="O340" i="17" s="1"/>
  <c r="U341" i="17"/>
  <c r="T341" i="17"/>
  <c r="P341" i="17"/>
  <c r="O341" i="17"/>
  <c r="T340" i="17"/>
  <c r="S340" i="17"/>
  <c r="R340" i="17"/>
  <c r="U340" i="17" s="1"/>
  <c r="Q340" i="17"/>
  <c r="U339" i="17"/>
  <c r="T339" i="17"/>
  <c r="N339" i="17"/>
  <c r="N337" i="17" s="1"/>
  <c r="M339" i="17"/>
  <c r="M337" i="17" s="1"/>
  <c r="L339" i="17"/>
  <c r="L337" i="17" s="1"/>
  <c r="U338" i="17"/>
  <c r="T338" i="17"/>
  <c r="P338" i="17"/>
  <c r="O338" i="17"/>
  <c r="U337" i="17"/>
  <c r="S337" i="17"/>
  <c r="R337" i="17"/>
  <c r="Q337" i="17"/>
  <c r="T337" i="17" s="1"/>
  <c r="U336" i="17"/>
  <c r="S336" i="17"/>
  <c r="R336" i="17"/>
  <c r="Q336" i="17"/>
  <c r="T336" i="17" s="1"/>
  <c r="U335" i="17"/>
  <c r="S335" i="17"/>
  <c r="S334" i="17" s="1"/>
  <c r="R335" i="17"/>
  <c r="R334" i="17" s="1"/>
  <c r="Q335" i="17"/>
  <c r="T335" i="17" s="1"/>
  <c r="N335" i="17"/>
  <c r="M335" i="17"/>
  <c r="P335" i="17" s="1"/>
  <c r="L335" i="17"/>
  <c r="U334" i="17"/>
  <c r="Q334" i="17"/>
  <c r="T334" i="17" s="1"/>
  <c r="I331" i="17"/>
  <c r="U329" i="17"/>
  <c r="T329" i="17"/>
  <c r="N329" i="17"/>
  <c r="N327" i="17" s="1"/>
  <c r="M329" i="17"/>
  <c r="P329" i="17" s="1"/>
  <c r="L329" i="17"/>
  <c r="O329" i="17" s="1"/>
  <c r="U328" i="17"/>
  <c r="T328" i="17"/>
  <c r="P328" i="17"/>
  <c r="O328" i="17"/>
  <c r="S327" i="17"/>
  <c r="R327" i="17"/>
  <c r="U327" i="17" s="1"/>
  <c r="Q327" i="17"/>
  <c r="T327" i="17" s="1"/>
  <c r="U326" i="17"/>
  <c r="T326" i="17"/>
  <c r="N326" i="17"/>
  <c r="N324" i="17" s="1"/>
  <c r="M326" i="17"/>
  <c r="M324" i="17" s="1"/>
  <c r="P324" i="17" s="1"/>
  <c r="L326" i="17"/>
  <c r="U325" i="17"/>
  <c r="T325" i="17"/>
  <c r="P325" i="17"/>
  <c r="O325" i="17"/>
  <c r="T324" i="17"/>
  <c r="S324" i="17"/>
  <c r="R324" i="17"/>
  <c r="U324" i="17" s="1"/>
  <c r="Q324" i="17"/>
  <c r="T323" i="17"/>
  <c r="S323" i="17"/>
  <c r="R323" i="17"/>
  <c r="U323" i="17" s="1"/>
  <c r="Q323" i="17"/>
  <c r="S322" i="17"/>
  <c r="S321" i="17" s="1"/>
  <c r="R322" i="17"/>
  <c r="U322" i="17" s="1"/>
  <c r="Q322" i="17"/>
  <c r="Q321" i="17" s="1"/>
  <c r="P322" i="17"/>
  <c r="N322" i="17"/>
  <c r="M322" i="17"/>
  <c r="L322" i="17"/>
  <c r="O322" i="17" s="1"/>
  <c r="T321" i="17"/>
  <c r="J320" i="17"/>
  <c r="I315" i="17"/>
  <c r="K315" i="17" s="1"/>
  <c r="U312" i="17"/>
  <c r="T312" i="17"/>
  <c r="N312" i="17"/>
  <c r="N310" i="17" s="1"/>
  <c r="M312" i="17"/>
  <c r="P312" i="17" s="1"/>
  <c r="L312" i="17"/>
  <c r="O312" i="17" s="1"/>
  <c r="U311" i="17"/>
  <c r="T311" i="17"/>
  <c r="P311" i="17"/>
  <c r="O311" i="17"/>
  <c r="S310" i="17"/>
  <c r="R310" i="17"/>
  <c r="U310" i="17" s="1"/>
  <c r="Q310" i="17"/>
  <c r="T310" i="17" s="1"/>
  <c r="S309" i="17"/>
  <c r="S307" i="17" s="1"/>
  <c r="R309" i="17"/>
  <c r="R306" i="17" s="1"/>
  <c r="Q309" i="17"/>
  <c r="Q306" i="17" s="1"/>
  <c r="N309" i="17"/>
  <c r="M309" i="17"/>
  <c r="M307" i="17" s="1"/>
  <c r="L309" i="17"/>
  <c r="L307" i="17" s="1"/>
  <c r="U308" i="17"/>
  <c r="T308" i="17"/>
  <c r="P308" i="17"/>
  <c r="O308" i="17"/>
  <c r="T305" i="17"/>
  <c r="S305" i="17"/>
  <c r="R305" i="17"/>
  <c r="U305" i="17" s="1"/>
  <c r="Q305" i="17"/>
  <c r="P305" i="17"/>
  <c r="N305" i="17"/>
  <c r="M305" i="17"/>
  <c r="L305" i="17"/>
  <c r="O305" i="17" s="1"/>
  <c r="J303" i="17"/>
  <c r="I297" i="17"/>
  <c r="K297" i="17" s="1"/>
  <c r="I296" i="17"/>
  <c r="K296" i="17" s="1"/>
  <c r="J294" i="17"/>
  <c r="I294" i="17"/>
  <c r="K294" i="17" s="1"/>
  <c r="I293" i="17"/>
  <c r="U291" i="17"/>
  <c r="T291" i="17"/>
  <c r="N291" i="17"/>
  <c r="N289" i="17" s="1"/>
  <c r="M291" i="17"/>
  <c r="M289" i="17" s="1"/>
  <c r="P289" i="17" s="1"/>
  <c r="L291" i="17"/>
  <c r="L289" i="17" s="1"/>
  <c r="O289" i="17" s="1"/>
  <c r="U290" i="17"/>
  <c r="T290" i="17"/>
  <c r="P290" i="17"/>
  <c r="O290" i="17"/>
  <c r="U289" i="17"/>
  <c r="T289" i="17"/>
  <c r="S289" i="17"/>
  <c r="R289" i="17"/>
  <c r="Q289" i="17"/>
  <c r="U288" i="17"/>
  <c r="T288" i="17"/>
  <c r="N288" i="17"/>
  <c r="N286" i="17" s="1"/>
  <c r="M288" i="17"/>
  <c r="P288" i="17" s="1"/>
  <c r="L288" i="17"/>
  <c r="O288" i="17" s="1"/>
  <c r="U287" i="17"/>
  <c r="T287" i="17"/>
  <c r="P287" i="17"/>
  <c r="O287" i="17"/>
  <c r="S286" i="17"/>
  <c r="R286" i="17"/>
  <c r="U286" i="17" s="1"/>
  <c r="Q286" i="17"/>
  <c r="T286" i="17" s="1"/>
  <c r="T285" i="17"/>
  <c r="S285" i="17"/>
  <c r="R285" i="17"/>
  <c r="U285" i="17" s="1"/>
  <c r="Q285" i="17"/>
  <c r="U284" i="17"/>
  <c r="T284" i="17"/>
  <c r="S284" i="17"/>
  <c r="R284" i="17"/>
  <c r="Q284" i="17"/>
  <c r="P284" i="17"/>
  <c r="O284" i="17"/>
  <c r="N284" i="17"/>
  <c r="M284" i="17"/>
  <c r="L284" i="17"/>
  <c r="T283" i="17"/>
  <c r="S283" i="17"/>
  <c r="R283" i="17"/>
  <c r="U283" i="17" s="1"/>
  <c r="Q283" i="17"/>
  <c r="J282" i="17"/>
  <c r="J281" i="17"/>
  <c r="I277" i="17"/>
  <c r="I266" i="17" s="1"/>
  <c r="K266" i="17" s="1"/>
  <c r="U275" i="17"/>
  <c r="T275" i="17"/>
  <c r="N275" i="17"/>
  <c r="N273" i="17" s="1"/>
  <c r="M275" i="17"/>
  <c r="P275" i="17" s="1"/>
  <c r="L275" i="17"/>
  <c r="U274" i="17"/>
  <c r="T274" i="17"/>
  <c r="P274" i="17"/>
  <c r="O274" i="17"/>
  <c r="S273" i="17"/>
  <c r="R273" i="17"/>
  <c r="U273" i="17" s="1"/>
  <c r="Q273" i="17"/>
  <c r="T273" i="17" s="1"/>
  <c r="S272" i="17"/>
  <c r="S270" i="17" s="1"/>
  <c r="R272" i="17"/>
  <c r="R269" i="17" s="1"/>
  <c r="Q272" i="17"/>
  <c r="Q270" i="17" s="1"/>
  <c r="N272" i="17"/>
  <c r="N270" i="17" s="1"/>
  <c r="M272" i="17"/>
  <c r="M270" i="17" s="1"/>
  <c r="L272" i="17"/>
  <c r="O272" i="17" s="1"/>
  <c r="U271" i="17"/>
  <c r="T271" i="17"/>
  <c r="P271" i="17"/>
  <c r="O271" i="17"/>
  <c r="U268" i="17"/>
  <c r="S268" i="17"/>
  <c r="R268" i="17"/>
  <c r="Q268" i="17"/>
  <c r="P268" i="17"/>
  <c r="O268" i="17"/>
  <c r="N268" i="17"/>
  <c r="M268" i="17"/>
  <c r="L268" i="17"/>
  <c r="J266" i="17"/>
  <c r="K264" i="17"/>
  <c r="K263" i="17"/>
  <c r="I261" i="17"/>
  <c r="K261" i="17" s="1"/>
  <c r="L259" i="17"/>
  <c r="L258" i="17"/>
  <c r="L257" i="17"/>
  <c r="L256" i="17"/>
  <c r="P255" i="17"/>
  <c r="N255" i="17"/>
  <c r="J254" i="17"/>
  <c r="K253" i="17"/>
  <c r="K252" i="17"/>
  <c r="I250" i="17"/>
  <c r="K250" i="17" s="1"/>
  <c r="L248" i="17"/>
  <c r="L247" i="17"/>
  <c r="L246" i="17"/>
  <c r="L245" i="17"/>
  <c r="P244" i="17"/>
  <c r="N244" i="17"/>
  <c r="J243" i="17"/>
  <c r="J232" i="17" s="1"/>
  <c r="J186" i="17" s="1"/>
  <c r="K242" i="17"/>
  <c r="J242" i="17"/>
  <c r="I242" i="17"/>
  <c r="J241" i="17"/>
  <c r="I241" i="17"/>
  <c r="K241" i="17" s="1"/>
  <c r="J239" i="17"/>
  <c r="N237" i="17"/>
  <c r="N236" i="17"/>
  <c r="N235" i="17"/>
  <c r="N234" i="17"/>
  <c r="N233" i="17"/>
  <c r="I231" i="17"/>
  <c r="K231" i="17" s="1"/>
  <c r="I230" i="17"/>
  <c r="K230" i="17" s="1"/>
  <c r="I229" i="17"/>
  <c r="K229" i="17" s="1"/>
  <c r="L226" i="17"/>
  <c r="L225" i="17"/>
  <c r="L224" i="17"/>
  <c r="P223" i="17"/>
  <c r="N223" i="17"/>
  <c r="J222" i="17"/>
  <c r="I221" i="17"/>
  <c r="K221" i="17" s="1"/>
  <c r="I220" i="17"/>
  <c r="K220" i="17" s="1"/>
  <c r="L218" i="17"/>
  <c r="L217" i="17"/>
  <c r="L216" i="17"/>
  <c r="P215" i="17"/>
  <c r="N215" i="17"/>
  <c r="J214" i="17"/>
  <c r="I213" i="17"/>
  <c r="K213" i="17" s="1"/>
  <c r="I212" i="17"/>
  <c r="K212" i="17" s="1"/>
  <c r="I210" i="17"/>
  <c r="K210" i="17" s="1"/>
  <c r="L208" i="17"/>
  <c r="L207" i="17"/>
  <c r="L206" i="17"/>
  <c r="L205" i="17"/>
  <c r="P204" i="17"/>
  <c r="N204" i="17"/>
  <c r="J203" i="17"/>
  <c r="J200" i="17"/>
  <c r="I199" i="17"/>
  <c r="K199" i="17" s="1"/>
  <c r="P197" i="17"/>
  <c r="L197" i="17"/>
  <c r="O197" i="17" s="1"/>
  <c r="J196" i="17"/>
  <c r="U195" i="17"/>
  <c r="T195" i="17"/>
  <c r="N195" i="17"/>
  <c r="N193" i="17" s="1"/>
  <c r="M195" i="17"/>
  <c r="M193" i="17" s="1"/>
  <c r="P193" i="17" s="1"/>
  <c r="L195" i="17"/>
  <c r="O195" i="17" s="1"/>
  <c r="U194" i="17"/>
  <c r="T194" i="17"/>
  <c r="P194" i="17"/>
  <c r="O194" i="17"/>
  <c r="U193" i="17"/>
  <c r="T193" i="17"/>
  <c r="S193" i="17"/>
  <c r="R193" i="17"/>
  <c r="Q193" i="17"/>
  <c r="S192" i="17"/>
  <c r="S190" i="17" s="1"/>
  <c r="R192" i="17"/>
  <c r="R189" i="17" s="1"/>
  <c r="Q192" i="17"/>
  <c r="Q190" i="17" s="1"/>
  <c r="N192" i="17"/>
  <c r="N190" i="17" s="1"/>
  <c r="M192" i="17"/>
  <c r="M190" i="17" s="1"/>
  <c r="L192" i="17"/>
  <c r="U191" i="17"/>
  <c r="T191" i="17"/>
  <c r="P191" i="17"/>
  <c r="O191" i="17"/>
  <c r="U188" i="17"/>
  <c r="S188" i="17"/>
  <c r="R188" i="17"/>
  <c r="Q188" i="17"/>
  <c r="P188" i="17"/>
  <c r="O188" i="17"/>
  <c r="N188" i="17"/>
  <c r="M188" i="17"/>
  <c r="L188" i="17"/>
  <c r="K185" i="17"/>
  <c r="I184" i="17"/>
  <c r="I173" i="17" s="1"/>
  <c r="K173" i="17" s="1"/>
  <c r="U182" i="17"/>
  <c r="T182" i="17"/>
  <c r="N182" i="17"/>
  <c r="N180" i="17" s="1"/>
  <c r="M182" i="17"/>
  <c r="P182" i="17" s="1"/>
  <c r="L182" i="17"/>
  <c r="O182" i="17" s="1"/>
  <c r="U181" i="17"/>
  <c r="T181" i="17"/>
  <c r="P181" i="17"/>
  <c r="O181" i="17"/>
  <c r="S180" i="17"/>
  <c r="R180" i="17"/>
  <c r="U180" i="17" s="1"/>
  <c r="Q180" i="17"/>
  <c r="T180" i="17" s="1"/>
  <c r="S179" i="17"/>
  <c r="S177" i="17" s="1"/>
  <c r="R179" i="17"/>
  <c r="R176" i="17" s="1"/>
  <c r="Q179" i="17"/>
  <c r="Q176" i="17" s="1"/>
  <c r="N179" i="17"/>
  <c r="N177" i="17" s="1"/>
  <c r="M179" i="17"/>
  <c r="M177" i="17" s="1"/>
  <c r="L179" i="17"/>
  <c r="U178" i="17"/>
  <c r="T178" i="17"/>
  <c r="P178" i="17"/>
  <c r="O178" i="17"/>
  <c r="T175" i="17"/>
  <c r="S175" i="17"/>
  <c r="R175" i="17"/>
  <c r="U175" i="17" s="1"/>
  <c r="Q175" i="17"/>
  <c r="N175" i="17"/>
  <c r="M175" i="17"/>
  <c r="P175" i="17" s="1"/>
  <c r="L175" i="17"/>
  <c r="O175" i="17" s="1"/>
  <c r="J173" i="17"/>
  <c r="I168" i="17"/>
  <c r="I157" i="17" s="1"/>
  <c r="U166" i="17"/>
  <c r="T166" i="17"/>
  <c r="N166" i="17"/>
  <c r="N164" i="17" s="1"/>
  <c r="M166" i="17"/>
  <c r="L166" i="17"/>
  <c r="L164" i="17" s="1"/>
  <c r="O164" i="17" s="1"/>
  <c r="U165" i="17"/>
  <c r="T165" i="17"/>
  <c r="P165" i="17"/>
  <c r="O165" i="17"/>
  <c r="S164" i="17"/>
  <c r="R164" i="17"/>
  <c r="U164" i="17" s="1"/>
  <c r="Q164" i="17"/>
  <c r="T164" i="17" s="1"/>
  <c r="S163" i="17"/>
  <c r="S161" i="17" s="1"/>
  <c r="R163" i="17"/>
  <c r="U163" i="17" s="1"/>
  <c r="Q161" i="17"/>
  <c r="T161" i="17" s="1"/>
  <c r="N163" i="17"/>
  <c r="N161" i="17" s="1"/>
  <c r="M163" i="17"/>
  <c r="M161" i="17" s="1"/>
  <c r="L163" i="17"/>
  <c r="L161" i="17" s="1"/>
  <c r="U162" i="17"/>
  <c r="T162" i="17"/>
  <c r="P162" i="17"/>
  <c r="O162" i="17"/>
  <c r="T159" i="17"/>
  <c r="S159" i="17"/>
  <c r="R159" i="17"/>
  <c r="U159" i="17" s="1"/>
  <c r="Q159" i="17"/>
  <c r="N159" i="17"/>
  <c r="M159" i="17"/>
  <c r="P159" i="17" s="1"/>
  <c r="L159" i="17"/>
  <c r="O159" i="17" s="1"/>
  <c r="J157" i="17"/>
  <c r="I155" i="17"/>
  <c r="K155" i="17" s="1"/>
  <c r="I154" i="17"/>
  <c r="K154" i="17" s="1"/>
  <c r="I153" i="17"/>
  <c r="K153" i="17" s="1"/>
  <c r="I152" i="17"/>
  <c r="K152" i="17" s="1"/>
  <c r="I151" i="17"/>
  <c r="K151" i="17" s="1"/>
  <c r="U148" i="17"/>
  <c r="T148" i="17"/>
  <c r="N148" i="17"/>
  <c r="N146" i="17" s="1"/>
  <c r="M148" i="17"/>
  <c r="P148" i="17" s="1"/>
  <c r="L148" i="17"/>
  <c r="L146" i="17" s="1"/>
  <c r="O146" i="17" s="1"/>
  <c r="U147" i="17"/>
  <c r="T147" i="17"/>
  <c r="P147" i="17"/>
  <c r="O147" i="17"/>
  <c r="U146" i="17"/>
  <c r="T146" i="17"/>
  <c r="S146" i="17"/>
  <c r="R146" i="17"/>
  <c r="Q146" i="17"/>
  <c r="S145" i="17"/>
  <c r="S143" i="17" s="1"/>
  <c r="R145" i="17"/>
  <c r="R143" i="17" s="1"/>
  <c r="U143" i="17" s="1"/>
  <c r="Q145" i="17"/>
  <c r="Q143" i="17" s="1"/>
  <c r="T143" i="17" s="1"/>
  <c r="N145" i="17"/>
  <c r="M145" i="17"/>
  <c r="P145" i="17" s="1"/>
  <c r="L145" i="17"/>
  <c r="L143" i="17" s="1"/>
  <c r="O143" i="17" s="1"/>
  <c r="U144" i="17"/>
  <c r="T144" i="17"/>
  <c r="P144" i="17"/>
  <c r="O144" i="17"/>
  <c r="S141" i="17"/>
  <c r="R141" i="17"/>
  <c r="Q141" i="17"/>
  <c r="P141" i="17"/>
  <c r="N141" i="17"/>
  <c r="M141" i="17"/>
  <c r="L141" i="17"/>
  <c r="J139" i="17"/>
  <c r="J138" i="17"/>
  <c r="J137" i="17"/>
  <c r="I131" i="17"/>
  <c r="K131" i="17" s="1"/>
  <c r="I130" i="17"/>
  <c r="K130" i="17" s="1"/>
  <c r="I129" i="17"/>
  <c r="K129" i="17" s="1"/>
  <c r="I128" i="17"/>
  <c r="K128" i="17" s="1"/>
  <c r="U126" i="17"/>
  <c r="T126" i="17"/>
  <c r="N126" i="17"/>
  <c r="N124" i="17" s="1"/>
  <c r="M126" i="17"/>
  <c r="P126" i="17" s="1"/>
  <c r="L126" i="17"/>
  <c r="L124" i="17" s="1"/>
  <c r="O124" i="17" s="1"/>
  <c r="U125" i="17"/>
  <c r="T125" i="17"/>
  <c r="P125" i="17"/>
  <c r="O125" i="17"/>
  <c r="S124" i="17"/>
  <c r="R124" i="17"/>
  <c r="U124" i="17" s="1"/>
  <c r="Q124" i="17"/>
  <c r="T124" i="17" s="1"/>
  <c r="S123" i="17"/>
  <c r="S121" i="17" s="1"/>
  <c r="R123" i="17"/>
  <c r="R120" i="17" s="1"/>
  <c r="Q123" i="17"/>
  <c r="Q120" i="17" s="1"/>
  <c r="N123" i="17"/>
  <c r="N121" i="17" s="1"/>
  <c r="M123" i="17"/>
  <c r="M121" i="17" s="1"/>
  <c r="P121" i="17" s="1"/>
  <c r="L123" i="17"/>
  <c r="U122" i="17"/>
  <c r="T122" i="17"/>
  <c r="P122" i="17"/>
  <c r="O122" i="17"/>
  <c r="T119" i="17"/>
  <c r="S119" i="17"/>
  <c r="R119" i="17"/>
  <c r="U119" i="17" s="1"/>
  <c r="Q119" i="17"/>
  <c r="N119" i="17"/>
  <c r="M119" i="17"/>
  <c r="L119" i="17"/>
  <c r="O119" i="17" s="1"/>
  <c r="J117" i="17"/>
  <c r="I115" i="17"/>
  <c r="K115" i="17" s="1"/>
  <c r="I114" i="17"/>
  <c r="K114" i="17" s="1"/>
  <c r="I110" i="17"/>
  <c r="K110" i="17" s="1"/>
  <c r="I109" i="17"/>
  <c r="K109" i="17" s="1"/>
  <c r="U103" i="17"/>
  <c r="T103" i="17"/>
  <c r="N103" i="17"/>
  <c r="N101" i="17" s="1"/>
  <c r="M103" i="17"/>
  <c r="P103" i="17" s="1"/>
  <c r="L103" i="17"/>
  <c r="O103" i="17" s="1"/>
  <c r="U102" i="17"/>
  <c r="T102" i="17"/>
  <c r="P102" i="17"/>
  <c r="O102" i="17"/>
  <c r="T101" i="17"/>
  <c r="S101" i="17"/>
  <c r="R101" i="17"/>
  <c r="U101" i="17" s="1"/>
  <c r="Q101" i="17"/>
  <c r="S100" i="17"/>
  <c r="S97" i="17" s="1"/>
  <c r="S95" i="17" s="1"/>
  <c r="R100" i="17"/>
  <c r="Q100" i="17"/>
  <c r="Q97" i="17" s="1"/>
  <c r="N100" i="17"/>
  <c r="N98" i="17" s="1"/>
  <c r="M100" i="17"/>
  <c r="P100" i="17" s="1"/>
  <c r="L100" i="17"/>
  <c r="O100" i="17" s="1"/>
  <c r="U99" i="17"/>
  <c r="T99" i="17"/>
  <c r="P99" i="17"/>
  <c r="O99" i="17"/>
  <c r="U96" i="17"/>
  <c r="T96" i="17"/>
  <c r="S96" i="17"/>
  <c r="R96" i="17"/>
  <c r="Q96" i="17"/>
  <c r="P96" i="17"/>
  <c r="O96" i="17"/>
  <c r="N96" i="17"/>
  <c r="M96" i="17"/>
  <c r="L96" i="17"/>
  <c r="J94" i="17"/>
  <c r="J93" i="17"/>
  <c r="I91" i="17"/>
  <c r="K91" i="17" s="1"/>
  <c r="I90" i="17"/>
  <c r="K90" i="17" s="1"/>
  <c r="I89" i="17"/>
  <c r="K89" i="17" s="1"/>
  <c r="I88" i="17"/>
  <c r="K88" i="17" s="1"/>
  <c r="I87" i="17"/>
  <c r="I86" i="17"/>
  <c r="K86" i="17" s="1"/>
  <c r="I85" i="17"/>
  <c r="K85" i="17" s="1"/>
  <c r="J84" i="17"/>
  <c r="J72" i="17" s="1"/>
  <c r="J83" i="17"/>
  <c r="U81" i="17"/>
  <c r="T81" i="17"/>
  <c r="N81" i="17"/>
  <c r="N79" i="17" s="1"/>
  <c r="M81" i="17"/>
  <c r="P81" i="17" s="1"/>
  <c r="L81" i="17"/>
  <c r="L79" i="17" s="1"/>
  <c r="O79" i="17" s="1"/>
  <c r="U80" i="17"/>
  <c r="T80" i="17"/>
  <c r="P80" i="17"/>
  <c r="O80" i="17"/>
  <c r="S79" i="17"/>
  <c r="R79" i="17"/>
  <c r="U79" i="17" s="1"/>
  <c r="Q79" i="17"/>
  <c r="T79" i="17" s="1"/>
  <c r="S78" i="17"/>
  <c r="S76" i="17" s="1"/>
  <c r="R78" i="17"/>
  <c r="R76" i="17" s="1"/>
  <c r="Q78" i="17"/>
  <c r="N78" i="17"/>
  <c r="M78" i="17"/>
  <c r="M76" i="17" s="1"/>
  <c r="L78" i="17"/>
  <c r="U77" i="17"/>
  <c r="T77" i="17"/>
  <c r="P77" i="17"/>
  <c r="O77" i="17"/>
  <c r="U74" i="17"/>
  <c r="T74" i="17"/>
  <c r="S74" i="17"/>
  <c r="R74" i="17"/>
  <c r="Q74" i="17"/>
  <c r="P74" i="17"/>
  <c r="O74" i="17"/>
  <c r="N74" i="17"/>
  <c r="M74" i="17"/>
  <c r="L74" i="17"/>
  <c r="J71" i="17"/>
  <c r="U68" i="17"/>
  <c r="T68" i="17"/>
  <c r="N68" i="17"/>
  <c r="M68" i="17"/>
  <c r="L68" i="17"/>
  <c r="L66" i="17" s="1"/>
  <c r="O66" i="17" s="1"/>
  <c r="U67" i="17"/>
  <c r="T67" i="17"/>
  <c r="P67" i="17"/>
  <c r="O67" i="17"/>
  <c r="U66" i="17"/>
  <c r="S66" i="17"/>
  <c r="R66" i="17"/>
  <c r="Q66" i="17"/>
  <c r="T66" i="17" s="1"/>
  <c r="U65" i="17"/>
  <c r="T65" i="17"/>
  <c r="N65" i="17"/>
  <c r="N63" i="17" s="1"/>
  <c r="M65" i="17"/>
  <c r="M63" i="17" s="1"/>
  <c r="L65" i="17"/>
  <c r="U64" i="17"/>
  <c r="T64" i="17"/>
  <c r="P64" i="17"/>
  <c r="O64" i="17"/>
  <c r="S63" i="17"/>
  <c r="R63" i="17"/>
  <c r="U63" i="17" s="1"/>
  <c r="Q63" i="17"/>
  <c r="T63" i="17" s="1"/>
  <c r="S62" i="17"/>
  <c r="R62" i="17"/>
  <c r="U62" i="17" s="1"/>
  <c r="Q62" i="17"/>
  <c r="T62" i="17" s="1"/>
  <c r="U61" i="17"/>
  <c r="T61" i="17"/>
  <c r="S61" i="17"/>
  <c r="S60" i="17" s="1"/>
  <c r="R61" i="17"/>
  <c r="Q61" i="17"/>
  <c r="Q60" i="17" s="1"/>
  <c r="T60" i="17" s="1"/>
  <c r="P61" i="17"/>
  <c r="O61" i="17"/>
  <c r="N61" i="17"/>
  <c r="M61" i="17"/>
  <c r="L61" i="17"/>
  <c r="R60" i="17"/>
  <c r="U60" i="17" s="1"/>
  <c r="U53" i="17"/>
  <c r="T53" i="17"/>
  <c r="N53" i="17"/>
  <c r="N51" i="17" s="1"/>
  <c r="M53" i="17"/>
  <c r="P53" i="17" s="1"/>
  <c r="L53" i="17"/>
  <c r="O53" i="17" s="1"/>
  <c r="U52" i="17"/>
  <c r="T52" i="17"/>
  <c r="P52" i="17"/>
  <c r="O52" i="17"/>
  <c r="U51" i="17"/>
  <c r="T51" i="17"/>
  <c r="S51" i="17"/>
  <c r="R51" i="17"/>
  <c r="Q51" i="17"/>
  <c r="U50" i="17"/>
  <c r="T50" i="17"/>
  <c r="N50" i="17"/>
  <c r="M50" i="17"/>
  <c r="L50" i="17"/>
  <c r="L48" i="17" s="1"/>
  <c r="U49" i="17"/>
  <c r="T49" i="17"/>
  <c r="P49" i="17"/>
  <c r="O49" i="17"/>
  <c r="S48" i="17"/>
  <c r="R48" i="17"/>
  <c r="U48" i="17" s="1"/>
  <c r="Q48" i="17"/>
  <c r="T48" i="17" s="1"/>
  <c r="S47" i="17"/>
  <c r="R47" i="17"/>
  <c r="U47" i="17" s="1"/>
  <c r="Q47" i="17"/>
  <c r="T47" i="17" s="1"/>
  <c r="U46" i="17"/>
  <c r="S46" i="17"/>
  <c r="R46" i="17"/>
  <c r="Q46" i="17"/>
  <c r="T46" i="17" s="1"/>
  <c r="P46" i="17"/>
  <c r="O46" i="17"/>
  <c r="N46" i="17"/>
  <c r="M46" i="17"/>
  <c r="L46" i="17"/>
  <c r="S45" i="17"/>
  <c r="U27" i="17"/>
  <c r="T27" i="17"/>
  <c r="S27" i="17"/>
  <c r="R27" i="17"/>
  <c r="Q27" i="17"/>
  <c r="T26" i="17"/>
  <c r="S26" i="17"/>
  <c r="S25" i="17" s="1"/>
  <c r="R26" i="17"/>
  <c r="U26" i="17" s="1"/>
  <c r="Q26" i="17"/>
  <c r="N26" i="17"/>
  <c r="M26" i="17"/>
  <c r="P26" i="17" s="1"/>
  <c r="L26" i="17"/>
  <c r="O26" i="17" s="1"/>
  <c r="T25" i="17"/>
  <c r="Q25" i="17"/>
  <c r="S23" i="17"/>
  <c r="R23" i="17"/>
  <c r="U23" i="17" s="1"/>
  <c r="Q23" i="17"/>
  <c r="Q20" i="17" s="1"/>
  <c r="T20" i="17" s="1"/>
  <c r="O23" i="17"/>
  <c r="N23" i="17"/>
  <c r="M23" i="17"/>
  <c r="P23" i="17" s="1"/>
  <c r="L23" i="17"/>
  <c r="L20" i="17" s="1"/>
  <c r="O20" i="17" s="1"/>
  <c r="R20" i="17"/>
  <c r="U20" i="17" s="1"/>
  <c r="A788" i="16"/>
  <c r="J785" i="16"/>
  <c r="I785" i="16"/>
  <c r="J784" i="16"/>
  <c r="I784" i="16"/>
  <c r="J783" i="16"/>
  <c r="I783" i="16"/>
  <c r="J782" i="16"/>
  <c r="I782" i="16"/>
  <c r="J781" i="16"/>
  <c r="I781" i="16"/>
  <c r="J780" i="16"/>
  <c r="I780" i="16"/>
  <c r="J779" i="16"/>
  <c r="I779" i="16"/>
  <c r="J778" i="16"/>
  <c r="I778" i="16"/>
  <c r="H777" i="16"/>
  <c r="I776" i="16"/>
  <c r="I775" i="16"/>
  <c r="I774" i="16"/>
  <c r="I772" i="16"/>
  <c r="K772" i="16" s="1"/>
  <c r="I770" i="16"/>
  <c r="K770" i="16" s="1"/>
  <c r="U768" i="16"/>
  <c r="T768" i="16"/>
  <c r="P768" i="16"/>
  <c r="O768" i="16"/>
  <c r="U767" i="16"/>
  <c r="T767" i="16"/>
  <c r="P767" i="16"/>
  <c r="O767" i="16"/>
  <c r="T766" i="16"/>
  <c r="S766" i="16"/>
  <c r="R766" i="16"/>
  <c r="U766" i="16" s="1"/>
  <c r="Q766" i="16"/>
  <c r="P766" i="16"/>
  <c r="N766" i="16"/>
  <c r="M766" i="16"/>
  <c r="L766" i="16"/>
  <c r="O766" i="16" s="1"/>
  <c r="S765" i="16"/>
  <c r="R765" i="16"/>
  <c r="Q765" i="16"/>
  <c r="Q763" i="16" s="1"/>
  <c r="T763" i="16" s="1"/>
  <c r="P765" i="16"/>
  <c r="O765" i="16"/>
  <c r="U764" i="16"/>
  <c r="T764" i="16"/>
  <c r="P764" i="16"/>
  <c r="O764" i="16"/>
  <c r="O763" i="16"/>
  <c r="N763" i="16"/>
  <c r="M763" i="16"/>
  <c r="P763" i="16" s="1"/>
  <c r="L763" i="16"/>
  <c r="O762" i="16"/>
  <c r="N762" i="16"/>
  <c r="M762" i="16"/>
  <c r="P762" i="16" s="1"/>
  <c r="L762" i="16"/>
  <c r="U761" i="16"/>
  <c r="S761" i="16"/>
  <c r="R761" i="16"/>
  <c r="Q761" i="16"/>
  <c r="T761" i="16" s="1"/>
  <c r="O761" i="16"/>
  <c r="N761" i="16"/>
  <c r="N760" i="16" s="1"/>
  <c r="M761" i="16"/>
  <c r="P761" i="16" s="1"/>
  <c r="L761" i="16"/>
  <c r="L760" i="16" s="1"/>
  <c r="O760" i="16" s="1"/>
  <c r="M760" i="16"/>
  <c r="P760" i="16" s="1"/>
  <c r="J759" i="16"/>
  <c r="J758" i="16"/>
  <c r="I756" i="16"/>
  <c r="K756" i="16" s="1"/>
  <c r="I753" i="16"/>
  <c r="K753" i="16" s="1"/>
  <c r="I750" i="16"/>
  <c r="K750" i="16" s="1"/>
  <c r="I747" i="16"/>
  <c r="K747" i="16" s="1"/>
  <c r="I745" i="16"/>
  <c r="K745" i="16" s="1"/>
  <c r="I743" i="16"/>
  <c r="K743" i="16" s="1"/>
  <c r="I741" i="16"/>
  <c r="K741" i="16" s="1"/>
  <c r="U737" i="16"/>
  <c r="T737" i="16"/>
  <c r="P737" i="16"/>
  <c r="O737" i="16"/>
  <c r="U736" i="16"/>
  <c r="T736" i="16"/>
  <c r="P736" i="16"/>
  <c r="O736" i="16"/>
  <c r="U735" i="16"/>
  <c r="S735" i="16"/>
  <c r="R735" i="16"/>
  <c r="Q735" i="16"/>
  <c r="T735" i="16" s="1"/>
  <c r="O735" i="16"/>
  <c r="N735" i="16"/>
  <c r="M735" i="16"/>
  <c r="P735" i="16" s="1"/>
  <c r="L735" i="16"/>
  <c r="S734" i="16"/>
  <c r="R734" i="16"/>
  <c r="R732" i="16" s="1"/>
  <c r="Q734" i="16"/>
  <c r="Q732" i="16" s="1"/>
  <c r="P734" i="16"/>
  <c r="O734" i="16"/>
  <c r="U733" i="16"/>
  <c r="T733" i="16"/>
  <c r="P733" i="16"/>
  <c r="O733" i="16"/>
  <c r="P732" i="16"/>
  <c r="N732" i="16"/>
  <c r="M732" i="16"/>
  <c r="L732" i="16"/>
  <c r="O732" i="16" s="1"/>
  <c r="P731" i="16"/>
  <c r="N731" i="16"/>
  <c r="M731" i="16"/>
  <c r="L731" i="16"/>
  <c r="O731" i="16" s="1"/>
  <c r="T730" i="16"/>
  <c r="S730" i="16"/>
  <c r="R730" i="16"/>
  <c r="U730" i="16" s="1"/>
  <c r="Q730" i="16"/>
  <c r="P730" i="16"/>
  <c r="N730" i="16"/>
  <c r="N729" i="16" s="1"/>
  <c r="M730" i="16"/>
  <c r="M729" i="16" s="1"/>
  <c r="P729" i="16" s="1"/>
  <c r="L730" i="16"/>
  <c r="O730" i="16" s="1"/>
  <c r="L729" i="16"/>
  <c r="O729" i="16" s="1"/>
  <c r="J728" i="16"/>
  <c r="I728" i="16"/>
  <c r="K728" i="16" s="1"/>
  <c r="J727" i="16"/>
  <c r="I727" i="16"/>
  <c r="K727" i="16" s="1"/>
  <c r="U723" i="16"/>
  <c r="T723" i="16"/>
  <c r="P723" i="16"/>
  <c r="O723" i="16"/>
  <c r="U722" i="16"/>
  <c r="T722" i="16"/>
  <c r="P722" i="16"/>
  <c r="O722" i="16"/>
  <c r="T721" i="16"/>
  <c r="S721" i="16"/>
  <c r="R721" i="16"/>
  <c r="U721" i="16" s="1"/>
  <c r="Q721" i="16"/>
  <c r="P721" i="16"/>
  <c r="N721" i="16"/>
  <c r="M721" i="16"/>
  <c r="L721" i="16"/>
  <c r="O721" i="16" s="1"/>
  <c r="U720" i="16"/>
  <c r="T720" i="16"/>
  <c r="P720" i="16"/>
  <c r="O720" i="16"/>
  <c r="U719" i="16"/>
  <c r="T719" i="16"/>
  <c r="P719" i="16"/>
  <c r="O719" i="16"/>
  <c r="T718" i="16"/>
  <c r="S718" i="16"/>
  <c r="R718" i="16"/>
  <c r="U718" i="16" s="1"/>
  <c r="Q718" i="16"/>
  <c r="P718" i="16"/>
  <c r="N718" i="16"/>
  <c r="M718" i="16"/>
  <c r="L718" i="16"/>
  <c r="O718" i="16" s="1"/>
  <c r="T717" i="16"/>
  <c r="S717" i="16"/>
  <c r="R717" i="16"/>
  <c r="U717" i="16" s="1"/>
  <c r="Q717" i="16"/>
  <c r="P717" i="16"/>
  <c r="N717" i="16"/>
  <c r="M717" i="16"/>
  <c r="L717" i="16"/>
  <c r="O717" i="16" s="1"/>
  <c r="T716" i="16"/>
  <c r="S716" i="16"/>
  <c r="S715" i="16" s="1"/>
  <c r="R716" i="16"/>
  <c r="U716" i="16" s="1"/>
  <c r="Q716" i="16"/>
  <c r="Q715" i="16" s="1"/>
  <c r="T715" i="16" s="1"/>
  <c r="P716" i="16"/>
  <c r="N716" i="16"/>
  <c r="N715" i="16" s="1"/>
  <c r="M716" i="16"/>
  <c r="M715" i="16" s="1"/>
  <c r="P715" i="16" s="1"/>
  <c r="L716" i="16"/>
  <c r="O716" i="16" s="1"/>
  <c r="R715" i="16"/>
  <c r="U715" i="16" s="1"/>
  <c r="L715" i="16"/>
  <c r="O715" i="16" s="1"/>
  <c r="K713" i="16"/>
  <c r="J713" i="16"/>
  <c r="K711" i="16"/>
  <c r="J711" i="16"/>
  <c r="J710" i="16"/>
  <c r="I710" i="16"/>
  <c r="K709" i="16"/>
  <c r="J709" i="16"/>
  <c r="J708" i="16"/>
  <c r="I708" i="16"/>
  <c r="K707" i="16"/>
  <c r="J707" i="16"/>
  <c r="J706" i="16"/>
  <c r="I706" i="16"/>
  <c r="K705" i="16"/>
  <c r="J705" i="16"/>
  <c r="J704" i="16"/>
  <c r="I704" i="16"/>
  <c r="K703" i="16"/>
  <c r="I701" i="16"/>
  <c r="K701" i="16" s="1"/>
  <c r="U699" i="16"/>
  <c r="T699" i="16"/>
  <c r="P699" i="16"/>
  <c r="O699" i="16"/>
  <c r="U698" i="16"/>
  <c r="T698" i="16"/>
  <c r="P698" i="16"/>
  <c r="O698" i="16"/>
  <c r="U697" i="16"/>
  <c r="S697" i="16"/>
  <c r="R697" i="16"/>
  <c r="Q697" i="16"/>
  <c r="T697" i="16" s="1"/>
  <c r="O697" i="16"/>
  <c r="N697" i="16"/>
  <c r="M697" i="16"/>
  <c r="P697" i="16" s="1"/>
  <c r="L697" i="16"/>
  <c r="S696" i="16"/>
  <c r="R696" i="16"/>
  <c r="Q696" i="16"/>
  <c r="P696" i="16"/>
  <c r="O696" i="16"/>
  <c r="U695" i="16"/>
  <c r="T695" i="16"/>
  <c r="P695" i="16"/>
  <c r="O695" i="16"/>
  <c r="P694" i="16"/>
  <c r="N694" i="16"/>
  <c r="M694" i="16"/>
  <c r="L694" i="16"/>
  <c r="O694" i="16" s="1"/>
  <c r="P693" i="16"/>
  <c r="N693" i="16"/>
  <c r="M693" i="16"/>
  <c r="L693" i="16"/>
  <c r="O693" i="16" s="1"/>
  <c r="T692" i="16"/>
  <c r="S692" i="16"/>
  <c r="R692" i="16"/>
  <c r="U692" i="16" s="1"/>
  <c r="Q692" i="16"/>
  <c r="P692" i="16"/>
  <c r="N692" i="16"/>
  <c r="M692" i="16"/>
  <c r="M691" i="16" s="1"/>
  <c r="P691" i="16" s="1"/>
  <c r="L692" i="16"/>
  <c r="O692" i="16" s="1"/>
  <c r="N691" i="16"/>
  <c r="J690" i="16"/>
  <c r="J683" i="16"/>
  <c r="I683" i="16"/>
  <c r="K683" i="16" s="1"/>
  <c r="J682" i="16"/>
  <c r="I682" i="16"/>
  <c r="K682" i="16" s="1"/>
  <c r="J681" i="16"/>
  <c r="J680" i="16"/>
  <c r="I680" i="16"/>
  <c r="K680" i="16" s="1"/>
  <c r="J679" i="16"/>
  <c r="I679" i="16"/>
  <c r="K679" i="16" s="1"/>
  <c r="J678" i="16"/>
  <c r="J677" i="16"/>
  <c r="I677" i="16"/>
  <c r="K677" i="16" s="1"/>
  <c r="I676" i="16"/>
  <c r="K676" i="16" s="1"/>
  <c r="I675" i="16"/>
  <c r="K675" i="16" s="1"/>
  <c r="J674" i="16"/>
  <c r="I674" i="16"/>
  <c r="J673" i="16"/>
  <c r="J672" i="16"/>
  <c r="J662" i="16"/>
  <c r="I662" i="16"/>
  <c r="K662" i="16" s="1"/>
  <c r="I661" i="16"/>
  <c r="I658" i="16"/>
  <c r="J655" i="16"/>
  <c r="I655" i="16"/>
  <c r="K655" i="16" s="1"/>
  <c r="J654" i="16"/>
  <c r="I654" i="16"/>
  <c r="K654" i="16" s="1"/>
  <c r="J653" i="16"/>
  <c r="I653" i="16"/>
  <c r="U651" i="16"/>
  <c r="T651" i="16"/>
  <c r="P651" i="16"/>
  <c r="O651" i="16"/>
  <c r="U650" i="16"/>
  <c r="T650" i="16"/>
  <c r="P650" i="16"/>
  <c r="O650" i="16"/>
  <c r="U649" i="16"/>
  <c r="S649" i="16"/>
  <c r="R649" i="16"/>
  <c r="Q649" i="16"/>
  <c r="T649" i="16" s="1"/>
  <c r="O649" i="16"/>
  <c r="N649" i="16"/>
  <c r="M649" i="16"/>
  <c r="P649" i="16" s="1"/>
  <c r="L649" i="16"/>
  <c r="S648" i="16"/>
  <c r="R648" i="16"/>
  <c r="R646" i="16" s="1"/>
  <c r="Q648" i="16"/>
  <c r="P648" i="16"/>
  <c r="O648" i="16"/>
  <c r="U647" i="16"/>
  <c r="T647" i="16"/>
  <c r="P647" i="16"/>
  <c r="O647" i="16"/>
  <c r="P646" i="16"/>
  <c r="N646" i="16"/>
  <c r="M646" i="16"/>
  <c r="L646" i="16"/>
  <c r="O646" i="16" s="1"/>
  <c r="P645" i="16"/>
  <c r="N645" i="16"/>
  <c r="M645" i="16"/>
  <c r="L645" i="16"/>
  <c r="O645" i="16" s="1"/>
  <c r="T644" i="16"/>
  <c r="S644" i="16"/>
  <c r="R644" i="16"/>
  <c r="U644" i="16" s="1"/>
  <c r="Q644" i="16"/>
  <c r="P644" i="16"/>
  <c r="N644" i="16"/>
  <c r="M644" i="16"/>
  <c r="M643" i="16" s="1"/>
  <c r="P643" i="16" s="1"/>
  <c r="L644" i="16"/>
  <c r="O644" i="16" s="1"/>
  <c r="N643" i="16"/>
  <c r="J637" i="16"/>
  <c r="J636" i="16" s="1"/>
  <c r="I636" i="16"/>
  <c r="K636" i="16" s="1"/>
  <c r="J633" i="16"/>
  <c r="J627" i="16" s="1"/>
  <c r="J616" i="16" s="1"/>
  <c r="I629" i="16"/>
  <c r="K629" i="16" s="1"/>
  <c r="I628" i="16"/>
  <c r="K628" i="16" s="1"/>
  <c r="I627" i="16"/>
  <c r="I616" i="16" s="1"/>
  <c r="U625" i="16"/>
  <c r="T625" i="16"/>
  <c r="P625" i="16"/>
  <c r="O625" i="16"/>
  <c r="U624" i="16"/>
  <c r="T624" i="16"/>
  <c r="P624" i="16"/>
  <c r="O624" i="16"/>
  <c r="T623" i="16"/>
  <c r="S623" i="16"/>
  <c r="R623" i="16"/>
  <c r="U623" i="16" s="1"/>
  <c r="Q623" i="16"/>
  <c r="P623" i="16"/>
  <c r="N623" i="16"/>
  <c r="M623" i="16"/>
  <c r="L623" i="16"/>
  <c r="O623" i="16" s="1"/>
  <c r="S622" i="16"/>
  <c r="S619" i="16" s="1"/>
  <c r="R622" i="16"/>
  <c r="Q622" i="16"/>
  <c r="Q620" i="16" s="1"/>
  <c r="P622" i="16"/>
  <c r="O622" i="16"/>
  <c r="U621" i="16"/>
  <c r="T621" i="16"/>
  <c r="P621" i="16"/>
  <c r="O621" i="16"/>
  <c r="O620" i="16"/>
  <c r="N620" i="16"/>
  <c r="M620" i="16"/>
  <c r="P620" i="16" s="1"/>
  <c r="L620" i="16"/>
  <c r="O619" i="16"/>
  <c r="N619" i="16"/>
  <c r="M619" i="16"/>
  <c r="P619" i="16" s="1"/>
  <c r="L619" i="16"/>
  <c r="U618" i="16"/>
  <c r="S618" i="16"/>
  <c r="R618" i="16"/>
  <c r="Q618" i="16"/>
  <c r="O618" i="16"/>
  <c r="N618" i="16"/>
  <c r="N617" i="16" s="1"/>
  <c r="M618" i="16"/>
  <c r="P618" i="16" s="1"/>
  <c r="L618" i="16"/>
  <c r="O617" i="16"/>
  <c r="L617" i="16"/>
  <c r="U608" i="16"/>
  <c r="T608" i="16"/>
  <c r="P608" i="16"/>
  <c r="O608" i="16"/>
  <c r="U607" i="16"/>
  <c r="T607" i="16"/>
  <c r="P607" i="16"/>
  <c r="O607" i="16"/>
  <c r="T606" i="16"/>
  <c r="S606" i="16"/>
  <c r="R606" i="16"/>
  <c r="U606" i="16" s="1"/>
  <c r="Q606" i="16"/>
  <c r="P606" i="16"/>
  <c r="N606" i="16"/>
  <c r="M606" i="16"/>
  <c r="L606" i="16"/>
  <c r="O606" i="16" s="1"/>
  <c r="U605" i="16"/>
  <c r="T605" i="16"/>
  <c r="P605" i="16"/>
  <c r="O605" i="16"/>
  <c r="U604" i="16"/>
  <c r="T604" i="16"/>
  <c r="P604" i="16"/>
  <c r="O604" i="16"/>
  <c r="T603" i="16"/>
  <c r="S603" i="16"/>
  <c r="R603" i="16"/>
  <c r="U603" i="16" s="1"/>
  <c r="Q603" i="16"/>
  <c r="P603" i="16"/>
  <c r="N603" i="16"/>
  <c r="M603" i="16"/>
  <c r="L603" i="16"/>
  <c r="O603" i="16" s="1"/>
  <c r="T602" i="16"/>
  <c r="S602" i="16"/>
  <c r="R602" i="16"/>
  <c r="U602" i="16" s="1"/>
  <c r="Q602" i="16"/>
  <c r="P602" i="16"/>
  <c r="N602" i="16"/>
  <c r="M602" i="16"/>
  <c r="L602" i="16"/>
  <c r="O602" i="16" s="1"/>
  <c r="T601" i="16"/>
  <c r="S601" i="16"/>
  <c r="S600" i="16" s="1"/>
  <c r="R601" i="16"/>
  <c r="U601" i="16" s="1"/>
  <c r="Q601" i="16"/>
  <c r="Q600" i="16" s="1"/>
  <c r="T600" i="16" s="1"/>
  <c r="P601" i="16"/>
  <c r="N601" i="16"/>
  <c r="N600" i="16" s="1"/>
  <c r="M601" i="16"/>
  <c r="M600" i="16" s="1"/>
  <c r="P600" i="16" s="1"/>
  <c r="L601" i="16"/>
  <c r="O601" i="16" s="1"/>
  <c r="R600" i="16"/>
  <c r="U600" i="16" s="1"/>
  <c r="L600" i="16"/>
  <c r="O600" i="16" s="1"/>
  <c r="U585" i="16"/>
  <c r="T585" i="16"/>
  <c r="P585" i="16"/>
  <c r="O585" i="16"/>
  <c r="U584" i="16"/>
  <c r="T584" i="16"/>
  <c r="P584" i="16"/>
  <c r="O584" i="16"/>
  <c r="T583" i="16"/>
  <c r="S583" i="16"/>
  <c r="R583" i="16"/>
  <c r="U583" i="16" s="1"/>
  <c r="Q583" i="16"/>
  <c r="P583" i="16"/>
  <c r="N583" i="16"/>
  <c r="M583" i="16"/>
  <c r="L583" i="16"/>
  <c r="O583" i="16" s="1"/>
  <c r="U582" i="16"/>
  <c r="T582" i="16"/>
  <c r="P582" i="16"/>
  <c r="O582" i="16"/>
  <c r="U581" i="16"/>
  <c r="T581" i="16"/>
  <c r="P581" i="16"/>
  <c r="O581" i="16"/>
  <c r="T580" i="16"/>
  <c r="S580" i="16"/>
  <c r="R580" i="16"/>
  <c r="U580" i="16" s="1"/>
  <c r="Q580" i="16"/>
  <c r="P580" i="16"/>
  <c r="N580" i="16"/>
  <c r="M580" i="16"/>
  <c r="L580" i="16"/>
  <c r="O580" i="16" s="1"/>
  <c r="T579" i="16"/>
  <c r="S579" i="16"/>
  <c r="R579" i="16"/>
  <c r="U579" i="16" s="1"/>
  <c r="Q579" i="16"/>
  <c r="P579" i="16"/>
  <c r="N579" i="16"/>
  <c r="M579" i="16"/>
  <c r="L579" i="16"/>
  <c r="O579" i="16" s="1"/>
  <c r="T578" i="16"/>
  <c r="S578" i="16"/>
  <c r="S577" i="16" s="1"/>
  <c r="R578" i="16"/>
  <c r="U578" i="16" s="1"/>
  <c r="Q578" i="16"/>
  <c r="Q577" i="16" s="1"/>
  <c r="T577" i="16" s="1"/>
  <c r="P578" i="16"/>
  <c r="N578" i="16"/>
  <c r="N577" i="16" s="1"/>
  <c r="M578" i="16"/>
  <c r="M577" i="16" s="1"/>
  <c r="P577" i="16" s="1"/>
  <c r="L578" i="16"/>
  <c r="O578" i="16" s="1"/>
  <c r="R577" i="16"/>
  <c r="U577" i="16" s="1"/>
  <c r="L577" i="16"/>
  <c r="O577" i="16" s="1"/>
  <c r="J576" i="16"/>
  <c r="I576" i="16"/>
  <c r="K576" i="16" s="1"/>
  <c r="U564" i="16"/>
  <c r="T564" i="16"/>
  <c r="P564" i="16"/>
  <c r="O564" i="16"/>
  <c r="U563" i="16"/>
  <c r="T563" i="16"/>
  <c r="P563" i="16"/>
  <c r="O563" i="16"/>
  <c r="U562" i="16"/>
  <c r="S562" i="16"/>
  <c r="R562" i="16"/>
  <c r="Q562" i="16"/>
  <c r="T562" i="16" s="1"/>
  <c r="O562" i="16"/>
  <c r="N562" i="16"/>
  <c r="M562" i="16"/>
  <c r="P562" i="16" s="1"/>
  <c r="L562" i="16"/>
  <c r="U561" i="16"/>
  <c r="T561" i="16"/>
  <c r="P561" i="16"/>
  <c r="O561" i="16"/>
  <c r="U560" i="16"/>
  <c r="T560" i="16"/>
  <c r="P560" i="16"/>
  <c r="O560" i="16"/>
  <c r="U559" i="16"/>
  <c r="S559" i="16"/>
  <c r="R559" i="16"/>
  <c r="Q559" i="16"/>
  <c r="T559" i="16" s="1"/>
  <c r="O559" i="16"/>
  <c r="N559" i="16"/>
  <c r="M559" i="16"/>
  <c r="P559" i="16" s="1"/>
  <c r="L559" i="16"/>
  <c r="U558" i="16"/>
  <c r="S558" i="16"/>
  <c r="R558" i="16"/>
  <c r="Q558" i="16"/>
  <c r="T558" i="16" s="1"/>
  <c r="O558" i="16"/>
  <c r="N558" i="16"/>
  <c r="M558" i="16"/>
  <c r="P558" i="16" s="1"/>
  <c r="L558" i="16"/>
  <c r="U557" i="16"/>
  <c r="S557" i="16"/>
  <c r="R557" i="16"/>
  <c r="Q557" i="16"/>
  <c r="O557" i="16"/>
  <c r="N557" i="16"/>
  <c r="N556" i="16" s="1"/>
  <c r="M557" i="16"/>
  <c r="P557" i="16" s="1"/>
  <c r="L557" i="16"/>
  <c r="U556" i="16"/>
  <c r="R556" i="16"/>
  <c r="O556" i="16"/>
  <c r="L556" i="16"/>
  <c r="J555" i="16"/>
  <c r="I555" i="16"/>
  <c r="K555" i="16" s="1"/>
  <c r="U543" i="16"/>
  <c r="T543" i="16"/>
  <c r="P543" i="16"/>
  <c r="O543" i="16"/>
  <c r="U542" i="16"/>
  <c r="T542" i="16"/>
  <c r="P542" i="16"/>
  <c r="O542" i="16"/>
  <c r="T541" i="16"/>
  <c r="S541" i="16"/>
  <c r="R541" i="16"/>
  <c r="U541" i="16" s="1"/>
  <c r="Q541" i="16"/>
  <c r="P541" i="16"/>
  <c r="N541" i="16"/>
  <c r="M541" i="16"/>
  <c r="L541" i="16"/>
  <c r="O541" i="16" s="1"/>
  <c r="U540" i="16"/>
  <c r="T540" i="16"/>
  <c r="P540" i="16"/>
  <c r="O540" i="16"/>
  <c r="U539" i="16"/>
  <c r="T539" i="16"/>
  <c r="P539" i="16"/>
  <c r="O539" i="16"/>
  <c r="T538" i="16"/>
  <c r="S538" i="16"/>
  <c r="R538" i="16"/>
  <c r="U538" i="16" s="1"/>
  <c r="Q538" i="16"/>
  <c r="P538" i="16"/>
  <c r="N538" i="16"/>
  <c r="M538" i="16"/>
  <c r="L538" i="16"/>
  <c r="O538" i="16" s="1"/>
  <c r="T537" i="16"/>
  <c r="S537" i="16"/>
  <c r="R537" i="16"/>
  <c r="U537" i="16" s="1"/>
  <c r="Q537" i="16"/>
  <c r="P537" i="16"/>
  <c r="N537" i="16"/>
  <c r="M537" i="16"/>
  <c r="L537" i="16"/>
  <c r="O537" i="16" s="1"/>
  <c r="T536" i="16"/>
  <c r="S536" i="16"/>
  <c r="S535" i="16" s="1"/>
  <c r="R536" i="16"/>
  <c r="U536" i="16" s="1"/>
  <c r="Q536" i="16"/>
  <c r="Q535" i="16" s="1"/>
  <c r="T535" i="16" s="1"/>
  <c r="P536" i="16"/>
  <c r="N536" i="16"/>
  <c r="N535" i="16" s="1"/>
  <c r="M536" i="16"/>
  <c r="M535" i="16" s="1"/>
  <c r="P535" i="16" s="1"/>
  <c r="L536" i="16"/>
  <c r="O536" i="16" s="1"/>
  <c r="R535" i="16"/>
  <c r="U535" i="16" s="1"/>
  <c r="L535" i="16"/>
  <c r="O535" i="16" s="1"/>
  <c r="J534" i="16"/>
  <c r="I534" i="16"/>
  <c r="K534" i="16" s="1"/>
  <c r="K525" i="16"/>
  <c r="K524" i="16"/>
  <c r="U522" i="16"/>
  <c r="T522" i="16"/>
  <c r="N522" i="16"/>
  <c r="N520" i="16" s="1"/>
  <c r="M522" i="16"/>
  <c r="P522" i="16" s="1"/>
  <c r="L522" i="16"/>
  <c r="U521" i="16"/>
  <c r="T521" i="16"/>
  <c r="P521" i="16"/>
  <c r="O521" i="16"/>
  <c r="T520" i="16"/>
  <c r="S520" i="16"/>
  <c r="R520" i="16"/>
  <c r="U520" i="16" s="1"/>
  <c r="Q520" i="16"/>
  <c r="U519" i="16"/>
  <c r="T519" i="16"/>
  <c r="N519" i="16"/>
  <c r="N517" i="16" s="1"/>
  <c r="M519" i="16"/>
  <c r="P519" i="16" s="1"/>
  <c r="L519" i="16"/>
  <c r="L517" i="16" s="1"/>
  <c r="O517" i="16" s="1"/>
  <c r="U518" i="16"/>
  <c r="T518" i="16"/>
  <c r="P518" i="16"/>
  <c r="O518" i="16"/>
  <c r="U517" i="16"/>
  <c r="S517" i="16"/>
  <c r="R517" i="16"/>
  <c r="Q517" i="16"/>
  <c r="T517" i="16" s="1"/>
  <c r="U516" i="16"/>
  <c r="S516" i="16"/>
  <c r="R516" i="16"/>
  <c r="Q516" i="16"/>
  <c r="T516" i="16" s="1"/>
  <c r="U515" i="16"/>
  <c r="S515" i="16"/>
  <c r="S514" i="16" s="1"/>
  <c r="R515" i="16"/>
  <c r="R514" i="16" s="1"/>
  <c r="U514" i="16" s="1"/>
  <c r="Q515" i="16"/>
  <c r="T515" i="16" s="1"/>
  <c r="O515" i="16"/>
  <c r="N515" i="16"/>
  <c r="M515" i="16"/>
  <c r="P515" i="16" s="1"/>
  <c r="L515" i="16"/>
  <c r="Q514" i="16"/>
  <c r="T514" i="16" s="1"/>
  <c r="K513" i="16"/>
  <c r="J513" i="16"/>
  <c r="I513" i="16"/>
  <c r="I510" i="16"/>
  <c r="K510" i="16" s="1"/>
  <c r="K509" i="16"/>
  <c r="I508" i="16"/>
  <c r="K508" i="16" s="1"/>
  <c r="I507" i="16"/>
  <c r="K507" i="16" s="1"/>
  <c r="I506" i="16"/>
  <c r="K506" i="16" s="1"/>
  <c r="I505" i="16"/>
  <c r="K505" i="16" s="1"/>
  <c r="I504" i="16"/>
  <c r="U502" i="16"/>
  <c r="T502" i="16"/>
  <c r="P502" i="16"/>
  <c r="O502" i="16"/>
  <c r="U501" i="16"/>
  <c r="T501" i="16"/>
  <c r="P501" i="16"/>
  <c r="O501" i="16"/>
  <c r="T500" i="16"/>
  <c r="S500" i="16"/>
  <c r="R500" i="16"/>
  <c r="U500" i="16" s="1"/>
  <c r="Q500" i="16"/>
  <c r="P500" i="16"/>
  <c r="N500" i="16"/>
  <c r="M500" i="16"/>
  <c r="L500" i="16"/>
  <c r="O500" i="16" s="1"/>
  <c r="S499" i="16"/>
  <c r="S497" i="16" s="1"/>
  <c r="R499" i="16"/>
  <c r="U499" i="16" s="1"/>
  <c r="Q499" i="16"/>
  <c r="Q497" i="16" s="1"/>
  <c r="T497" i="16" s="1"/>
  <c r="P499" i="16"/>
  <c r="O499" i="16"/>
  <c r="U498" i="16"/>
  <c r="T498" i="16"/>
  <c r="P498" i="16"/>
  <c r="O498" i="16"/>
  <c r="P497" i="16"/>
  <c r="O497" i="16"/>
  <c r="N497" i="16"/>
  <c r="M497" i="16"/>
  <c r="L497" i="16"/>
  <c r="O496" i="16"/>
  <c r="N496" i="16"/>
  <c r="M496" i="16"/>
  <c r="P496" i="16" s="1"/>
  <c r="L496" i="16"/>
  <c r="U495" i="16"/>
  <c r="S495" i="16"/>
  <c r="R495" i="16"/>
  <c r="Q495" i="16"/>
  <c r="N495" i="16"/>
  <c r="N494" i="16" s="1"/>
  <c r="M495" i="16"/>
  <c r="P495" i="16" s="1"/>
  <c r="L495" i="16"/>
  <c r="L494" i="16" s="1"/>
  <c r="O494" i="16" s="1"/>
  <c r="M494" i="16"/>
  <c r="P494" i="16" s="1"/>
  <c r="J486" i="16"/>
  <c r="I486" i="16"/>
  <c r="K486" i="16" s="1"/>
  <c r="J485" i="16"/>
  <c r="I485" i="16"/>
  <c r="K485" i="16" s="1"/>
  <c r="J484" i="16"/>
  <c r="J483" i="16"/>
  <c r="K478" i="16"/>
  <c r="J478" i="16"/>
  <c r="K477" i="16"/>
  <c r="J477" i="16"/>
  <c r="K476" i="16"/>
  <c r="J476" i="16"/>
  <c r="J469" i="16"/>
  <c r="J468" i="16"/>
  <c r="J461" i="16"/>
  <c r="J460" i="16"/>
  <c r="J458" i="16" s="1"/>
  <c r="J457" i="16" s="1"/>
  <c r="J459" i="16"/>
  <c r="I459" i="16"/>
  <c r="K459" i="16" s="1"/>
  <c r="I458" i="16"/>
  <c r="J448" i="16"/>
  <c r="J442" i="16" s="1"/>
  <c r="J447" i="16"/>
  <c r="J441" i="16" s="1"/>
  <c r="J424" i="16" s="1"/>
  <c r="J413" i="16" s="1"/>
  <c r="I442" i="16"/>
  <c r="K442" i="16" s="1"/>
  <c r="I441" i="16"/>
  <c r="K441" i="16" s="1"/>
  <c r="J434" i="16"/>
  <c r="I434" i="16"/>
  <c r="K434" i="16" s="1"/>
  <c r="J433" i="16"/>
  <c r="I433" i="16"/>
  <c r="K433" i="16" s="1"/>
  <c r="J426" i="16"/>
  <c r="I426" i="16"/>
  <c r="K426" i="16" s="1"/>
  <c r="J425" i="16"/>
  <c r="I425" i="16"/>
  <c r="K425" i="16" s="1"/>
  <c r="U422" i="16"/>
  <c r="T422" i="16"/>
  <c r="P422" i="16"/>
  <c r="O422" i="16"/>
  <c r="U421" i="16"/>
  <c r="T421" i="16"/>
  <c r="P421" i="16"/>
  <c r="O421" i="16"/>
  <c r="U420" i="16"/>
  <c r="T420" i="16"/>
  <c r="S420" i="16"/>
  <c r="R420" i="16"/>
  <c r="Q420" i="16"/>
  <c r="P420" i="16"/>
  <c r="O420" i="16"/>
  <c r="N420" i="16"/>
  <c r="M420" i="16"/>
  <c r="L420" i="16"/>
  <c r="S419" i="16"/>
  <c r="S417" i="16" s="1"/>
  <c r="R419" i="16"/>
  <c r="R417" i="16" s="1"/>
  <c r="U417" i="16" s="1"/>
  <c r="Q419" i="16"/>
  <c r="T419" i="16" s="1"/>
  <c r="P419" i="16"/>
  <c r="O419" i="16"/>
  <c r="U418" i="16"/>
  <c r="T418" i="16"/>
  <c r="P418" i="16"/>
  <c r="O418" i="16"/>
  <c r="O417" i="16"/>
  <c r="N417" i="16"/>
  <c r="M417" i="16"/>
  <c r="P417" i="16" s="1"/>
  <c r="L417" i="16"/>
  <c r="P416" i="16"/>
  <c r="O416" i="16"/>
  <c r="N416" i="16"/>
  <c r="M416" i="16"/>
  <c r="L416" i="16"/>
  <c r="U415" i="16"/>
  <c r="T415" i="16"/>
  <c r="S415" i="16"/>
  <c r="R415" i="16"/>
  <c r="Q415" i="16"/>
  <c r="O415" i="16"/>
  <c r="N415" i="16"/>
  <c r="N414" i="16" s="1"/>
  <c r="M415" i="16"/>
  <c r="L415" i="16"/>
  <c r="O414" i="16"/>
  <c r="L414" i="16"/>
  <c r="U401" i="16"/>
  <c r="T401" i="16"/>
  <c r="P401" i="16"/>
  <c r="O401" i="16"/>
  <c r="U400" i="16"/>
  <c r="T400" i="16"/>
  <c r="P400" i="16"/>
  <c r="O400" i="16"/>
  <c r="U399" i="16"/>
  <c r="T399" i="16"/>
  <c r="S399" i="16"/>
  <c r="R399" i="16"/>
  <c r="Q399" i="16"/>
  <c r="P399" i="16"/>
  <c r="O399" i="16"/>
  <c r="N399" i="16"/>
  <c r="M399" i="16"/>
  <c r="L399" i="16"/>
  <c r="U398" i="16"/>
  <c r="T398" i="16"/>
  <c r="P398" i="16"/>
  <c r="O398" i="16"/>
  <c r="U397" i="16"/>
  <c r="T397" i="16"/>
  <c r="P397" i="16"/>
  <c r="O397" i="16"/>
  <c r="U396" i="16"/>
  <c r="T396" i="16"/>
  <c r="S396" i="16"/>
  <c r="R396" i="16"/>
  <c r="Q396" i="16"/>
  <c r="P396" i="16"/>
  <c r="O396" i="16"/>
  <c r="N396" i="16"/>
  <c r="M396" i="16"/>
  <c r="L396" i="16"/>
  <c r="T395" i="16"/>
  <c r="S395" i="16"/>
  <c r="R395" i="16"/>
  <c r="U395" i="16" s="1"/>
  <c r="Q395" i="16"/>
  <c r="P395" i="16"/>
  <c r="N395" i="16"/>
  <c r="M395" i="16"/>
  <c r="L395" i="16"/>
  <c r="O395" i="16" s="1"/>
  <c r="T394" i="16"/>
  <c r="S394" i="16"/>
  <c r="S393" i="16" s="1"/>
  <c r="R394" i="16"/>
  <c r="U394" i="16" s="1"/>
  <c r="Q394" i="16"/>
  <c r="N394" i="16"/>
  <c r="N393" i="16" s="1"/>
  <c r="M394" i="16"/>
  <c r="P394" i="16" s="1"/>
  <c r="L394" i="16"/>
  <c r="O394" i="16" s="1"/>
  <c r="R393" i="16"/>
  <c r="U393" i="16" s="1"/>
  <c r="Q393" i="16"/>
  <c r="T393" i="16" s="1"/>
  <c r="L393" i="16"/>
  <c r="O393" i="16" s="1"/>
  <c r="K392" i="16"/>
  <c r="J392" i="16"/>
  <c r="I392" i="16"/>
  <c r="J389" i="16"/>
  <c r="I389" i="16"/>
  <c r="K388" i="16"/>
  <c r="J388" i="16"/>
  <c r="J387" i="16"/>
  <c r="I387" i="16"/>
  <c r="K386" i="16"/>
  <c r="J386" i="16"/>
  <c r="U384" i="16"/>
  <c r="T384" i="16"/>
  <c r="P384" i="16"/>
  <c r="O384" i="16"/>
  <c r="U383" i="16"/>
  <c r="T383" i="16"/>
  <c r="P383" i="16"/>
  <c r="O383" i="16"/>
  <c r="S382" i="16"/>
  <c r="R382" i="16"/>
  <c r="U382" i="16" s="1"/>
  <c r="Q382" i="16"/>
  <c r="T382" i="16" s="1"/>
  <c r="N382" i="16"/>
  <c r="M382" i="16"/>
  <c r="P382" i="16" s="1"/>
  <c r="L382" i="16"/>
  <c r="O382" i="16" s="1"/>
  <c r="S381" i="16"/>
  <c r="R381" i="16"/>
  <c r="R379" i="16" s="1"/>
  <c r="U379" i="16" s="1"/>
  <c r="Q381" i="16"/>
  <c r="P381" i="16"/>
  <c r="O381" i="16"/>
  <c r="U380" i="16"/>
  <c r="T380" i="16"/>
  <c r="P380" i="16"/>
  <c r="O380" i="16"/>
  <c r="P379" i="16"/>
  <c r="O379" i="16"/>
  <c r="N379" i="16"/>
  <c r="M379" i="16"/>
  <c r="L379" i="16"/>
  <c r="N378" i="16"/>
  <c r="N376" i="16" s="1"/>
  <c r="M378" i="16"/>
  <c r="P378" i="16" s="1"/>
  <c r="L378" i="16"/>
  <c r="O378" i="16" s="1"/>
  <c r="S377" i="16"/>
  <c r="R377" i="16"/>
  <c r="U377" i="16" s="1"/>
  <c r="Q377" i="16"/>
  <c r="T377" i="16" s="1"/>
  <c r="P377" i="16"/>
  <c r="N377" i="16"/>
  <c r="M377" i="16"/>
  <c r="M376" i="16" s="1"/>
  <c r="P376" i="16" s="1"/>
  <c r="L377" i="16"/>
  <c r="O377" i="16" s="1"/>
  <c r="D374" i="16"/>
  <c r="K373" i="16"/>
  <c r="J373" i="16"/>
  <c r="J372" i="16"/>
  <c r="J366" i="16" s="1"/>
  <c r="I372" i="16"/>
  <c r="I366" i="16" s="1"/>
  <c r="K371" i="16"/>
  <c r="J371" i="16"/>
  <c r="J370" i="16"/>
  <c r="I370" i="16"/>
  <c r="J369" i="16"/>
  <c r="I369" i="16"/>
  <c r="K368" i="16"/>
  <c r="J368" i="16"/>
  <c r="U365" i="16"/>
  <c r="T365" i="16"/>
  <c r="N365" i="16"/>
  <c r="N363" i="16" s="1"/>
  <c r="M365" i="16"/>
  <c r="M363" i="16" s="1"/>
  <c r="P363" i="16" s="1"/>
  <c r="L365" i="16"/>
  <c r="U364" i="16"/>
  <c r="T364" i="16"/>
  <c r="P364" i="16"/>
  <c r="O364" i="16"/>
  <c r="U363" i="16"/>
  <c r="S363" i="16"/>
  <c r="R363" i="16"/>
  <c r="Q363" i="16"/>
  <c r="T363" i="16" s="1"/>
  <c r="U362" i="16"/>
  <c r="T362" i="16"/>
  <c r="N362" i="16"/>
  <c r="M362" i="16"/>
  <c r="M360" i="16" s="1"/>
  <c r="L362" i="16"/>
  <c r="L360" i="16" s="1"/>
  <c r="U361" i="16"/>
  <c r="T361" i="16"/>
  <c r="P361" i="16"/>
  <c r="O361" i="16"/>
  <c r="T360" i="16"/>
  <c r="S360" i="16"/>
  <c r="R360" i="16"/>
  <c r="U360" i="16" s="1"/>
  <c r="Q360" i="16"/>
  <c r="S359" i="16"/>
  <c r="R359" i="16"/>
  <c r="R357" i="16" s="1"/>
  <c r="U357" i="16" s="1"/>
  <c r="Q359" i="16"/>
  <c r="T359" i="16" s="1"/>
  <c r="U358" i="16"/>
  <c r="T358" i="16"/>
  <c r="S358" i="16"/>
  <c r="R358" i="16"/>
  <c r="Q358" i="16"/>
  <c r="Q357" i="16" s="1"/>
  <c r="T357" i="16" s="1"/>
  <c r="P358" i="16"/>
  <c r="O358" i="16"/>
  <c r="N358" i="16"/>
  <c r="M358" i="16"/>
  <c r="L358" i="16"/>
  <c r="S357" i="16"/>
  <c r="D355" i="16"/>
  <c r="J354" i="16"/>
  <c r="J353" i="16"/>
  <c r="D351" i="16"/>
  <c r="J350" i="16"/>
  <c r="J349" i="16"/>
  <c r="J348" i="16"/>
  <c r="J347" i="16"/>
  <c r="I347" i="16"/>
  <c r="J345" i="16"/>
  <c r="I345" i="16"/>
  <c r="I333" i="16" s="1"/>
  <c r="U342" i="16"/>
  <c r="T342" i="16"/>
  <c r="N342" i="16"/>
  <c r="N340" i="16" s="1"/>
  <c r="M342" i="16"/>
  <c r="L342" i="16"/>
  <c r="L340" i="16" s="1"/>
  <c r="O340" i="16" s="1"/>
  <c r="U341" i="16"/>
  <c r="T341" i="16"/>
  <c r="P341" i="16"/>
  <c r="O341" i="16"/>
  <c r="T340" i="16"/>
  <c r="S340" i="16"/>
  <c r="R340" i="16"/>
  <c r="U340" i="16" s="1"/>
  <c r="Q340" i="16"/>
  <c r="U339" i="16"/>
  <c r="T339" i="16"/>
  <c r="N339" i="16"/>
  <c r="N337" i="16" s="1"/>
  <c r="M339" i="16"/>
  <c r="M337" i="16" s="1"/>
  <c r="L339" i="16"/>
  <c r="L337" i="16" s="1"/>
  <c r="U338" i="16"/>
  <c r="T338" i="16"/>
  <c r="P338" i="16"/>
  <c r="O338" i="16"/>
  <c r="U337" i="16"/>
  <c r="S337" i="16"/>
  <c r="R337" i="16"/>
  <c r="Q337" i="16"/>
  <c r="T337" i="16" s="1"/>
  <c r="U336" i="16"/>
  <c r="T336" i="16"/>
  <c r="S336" i="16"/>
  <c r="R336" i="16"/>
  <c r="Q336" i="16"/>
  <c r="S335" i="16"/>
  <c r="S334" i="16" s="1"/>
  <c r="R335" i="16"/>
  <c r="U335" i="16" s="1"/>
  <c r="Q335" i="16"/>
  <c r="T335" i="16" s="1"/>
  <c r="N335" i="16"/>
  <c r="M335" i="16"/>
  <c r="P335" i="16" s="1"/>
  <c r="L335" i="16"/>
  <c r="O335" i="16" s="1"/>
  <c r="Q334" i="16"/>
  <c r="T334" i="16" s="1"/>
  <c r="I331" i="16"/>
  <c r="I320" i="16" s="1"/>
  <c r="K320" i="16" s="1"/>
  <c r="U329" i="16"/>
  <c r="T329" i="16"/>
  <c r="N329" i="16"/>
  <c r="N327" i="16" s="1"/>
  <c r="M329" i="16"/>
  <c r="L329" i="16"/>
  <c r="L327" i="16" s="1"/>
  <c r="O327" i="16" s="1"/>
  <c r="U328" i="16"/>
  <c r="T328" i="16"/>
  <c r="P328" i="16"/>
  <c r="O328" i="16"/>
  <c r="S327" i="16"/>
  <c r="R327" i="16"/>
  <c r="U327" i="16" s="1"/>
  <c r="Q327" i="16"/>
  <c r="T327" i="16" s="1"/>
  <c r="U326" i="16"/>
  <c r="T326" i="16"/>
  <c r="N326" i="16"/>
  <c r="N324" i="16" s="1"/>
  <c r="M326" i="16"/>
  <c r="M324" i="16" s="1"/>
  <c r="P324" i="16" s="1"/>
  <c r="L326" i="16"/>
  <c r="L324" i="16" s="1"/>
  <c r="O324" i="16" s="1"/>
  <c r="U325" i="16"/>
  <c r="T325" i="16"/>
  <c r="P325" i="16"/>
  <c r="O325" i="16"/>
  <c r="U324" i="16"/>
  <c r="T324" i="16"/>
  <c r="S324" i="16"/>
  <c r="R324" i="16"/>
  <c r="Q324" i="16"/>
  <c r="T323" i="16"/>
  <c r="S323" i="16"/>
  <c r="S321" i="16" s="1"/>
  <c r="R323" i="16"/>
  <c r="U323" i="16" s="1"/>
  <c r="Q323" i="16"/>
  <c r="S322" i="16"/>
  <c r="R322" i="16"/>
  <c r="U322" i="16" s="1"/>
  <c r="Q322" i="16"/>
  <c r="T322" i="16" s="1"/>
  <c r="P322" i="16"/>
  <c r="N322" i="16"/>
  <c r="M322" i="16"/>
  <c r="L322" i="16"/>
  <c r="O322" i="16" s="1"/>
  <c r="J320" i="16"/>
  <c r="I315" i="16"/>
  <c r="I303" i="16" s="1"/>
  <c r="K303" i="16" s="1"/>
  <c r="U312" i="16"/>
  <c r="T312" i="16"/>
  <c r="N312" i="16"/>
  <c r="N310" i="16" s="1"/>
  <c r="M312" i="16"/>
  <c r="L312" i="16"/>
  <c r="U311" i="16"/>
  <c r="T311" i="16"/>
  <c r="P311" i="16"/>
  <c r="O311" i="16"/>
  <c r="S310" i="16"/>
  <c r="R310" i="16"/>
  <c r="U310" i="16" s="1"/>
  <c r="Q310" i="16"/>
  <c r="T310" i="16" s="1"/>
  <c r="S309" i="16"/>
  <c r="S307" i="16" s="1"/>
  <c r="R309" i="16"/>
  <c r="R306" i="16" s="1"/>
  <c r="Q309" i="16"/>
  <c r="Q307" i="16" s="1"/>
  <c r="N309" i="16"/>
  <c r="N307" i="16" s="1"/>
  <c r="M309" i="16"/>
  <c r="L309" i="16"/>
  <c r="L307" i="16" s="1"/>
  <c r="O307" i="16" s="1"/>
  <c r="U308" i="16"/>
  <c r="T308" i="16"/>
  <c r="P308" i="16"/>
  <c r="O308" i="16"/>
  <c r="T305" i="16"/>
  <c r="S305" i="16"/>
  <c r="R305" i="16"/>
  <c r="U305" i="16" s="1"/>
  <c r="Q305" i="16"/>
  <c r="N305" i="16"/>
  <c r="M305" i="16"/>
  <c r="P305" i="16" s="1"/>
  <c r="L305" i="16"/>
  <c r="O305" i="16" s="1"/>
  <c r="J303" i="16"/>
  <c r="I297" i="16"/>
  <c r="K297" i="16" s="1"/>
  <c r="I296" i="16"/>
  <c r="K296" i="16" s="1"/>
  <c r="J294" i="16"/>
  <c r="I294" i="16"/>
  <c r="I281" i="16" s="1"/>
  <c r="K281" i="16" s="1"/>
  <c r="I293" i="16"/>
  <c r="I282" i="16" s="1"/>
  <c r="K282" i="16" s="1"/>
  <c r="U291" i="16"/>
  <c r="T291" i="16"/>
  <c r="N291" i="16"/>
  <c r="N289" i="16" s="1"/>
  <c r="M291" i="16"/>
  <c r="M289" i="16" s="1"/>
  <c r="P289" i="16" s="1"/>
  <c r="L291" i="16"/>
  <c r="L289" i="16" s="1"/>
  <c r="O289" i="16" s="1"/>
  <c r="U290" i="16"/>
  <c r="T290" i="16"/>
  <c r="P290" i="16"/>
  <c r="O290" i="16"/>
  <c r="U289" i="16"/>
  <c r="T289" i="16"/>
  <c r="S289" i="16"/>
  <c r="R289" i="16"/>
  <c r="Q289" i="16"/>
  <c r="U288" i="16"/>
  <c r="T288" i="16"/>
  <c r="N288" i="16"/>
  <c r="M288" i="16"/>
  <c r="L288" i="16"/>
  <c r="U287" i="16"/>
  <c r="T287" i="16"/>
  <c r="P287" i="16"/>
  <c r="O287" i="16"/>
  <c r="S286" i="16"/>
  <c r="R286" i="16"/>
  <c r="U286" i="16" s="1"/>
  <c r="Q286" i="16"/>
  <c r="T286" i="16" s="1"/>
  <c r="U285" i="16"/>
  <c r="T285" i="16"/>
  <c r="S285" i="16"/>
  <c r="R285" i="16"/>
  <c r="Q285" i="16"/>
  <c r="T284" i="16"/>
  <c r="S284" i="16"/>
  <c r="S283" i="16" s="1"/>
  <c r="R284" i="16"/>
  <c r="U284" i="16" s="1"/>
  <c r="Q284" i="16"/>
  <c r="N284" i="16"/>
  <c r="M284" i="16"/>
  <c r="P284" i="16" s="1"/>
  <c r="L284" i="16"/>
  <c r="O284" i="16" s="1"/>
  <c r="R283" i="16"/>
  <c r="U283" i="16" s="1"/>
  <c r="Q283" i="16"/>
  <c r="T283" i="16" s="1"/>
  <c r="J282" i="16"/>
  <c r="J281" i="16"/>
  <c r="I277" i="16"/>
  <c r="K277" i="16" s="1"/>
  <c r="U275" i="16"/>
  <c r="T275" i="16"/>
  <c r="N275" i="16"/>
  <c r="N273" i="16" s="1"/>
  <c r="M275" i="16"/>
  <c r="M273" i="16" s="1"/>
  <c r="P273" i="16" s="1"/>
  <c r="L275" i="16"/>
  <c r="U274" i="16"/>
  <c r="T274" i="16"/>
  <c r="P274" i="16"/>
  <c r="O274" i="16"/>
  <c r="U273" i="16"/>
  <c r="S273" i="16"/>
  <c r="R273" i="16"/>
  <c r="Q273" i="16"/>
  <c r="T273" i="16" s="1"/>
  <c r="S272" i="16"/>
  <c r="R272" i="16"/>
  <c r="Q272" i="16"/>
  <c r="N272" i="16"/>
  <c r="N270" i="16" s="1"/>
  <c r="M272" i="16"/>
  <c r="L272" i="16"/>
  <c r="L270" i="16" s="1"/>
  <c r="O270" i="16" s="1"/>
  <c r="U271" i="16"/>
  <c r="T271" i="16"/>
  <c r="P271" i="16"/>
  <c r="O271" i="16"/>
  <c r="S268" i="16"/>
  <c r="R268" i="16"/>
  <c r="U268" i="16" s="1"/>
  <c r="Q268" i="16"/>
  <c r="T268" i="16" s="1"/>
  <c r="N268" i="16"/>
  <c r="M268" i="16"/>
  <c r="L268" i="16"/>
  <c r="O268" i="16" s="1"/>
  <c r="J266" i="16"/>
  <c r="K264" i="16"/>
  <c r="K263" i="16"/>
  <c r="I261" i="16"/>
  <c r="L259" i="16"/>
  <c r="L258" i="16"/>
  <c r="L257" i="16"/>
  <c r="L256" i="16"/>
  <c r="P255" i="16"/>
  <c r="N255" i="16"/>
  <c r="J254" i="16"/>
  <c r="K253" i="16"/>
  <c r="K252" i="16"/>
  <c r="I250" i="16"/>
  <c r="K250" i="16" s="1"/>
  <c r="L248" i="16"/>
  <c r="L247" i="16"/>
  <c r="L246" i="16"/>
  <c r="L245" i="16"/>
  <c r="P244" i="16"/>
  <c r="N244" i="16"/>
  <c r="J243" i="16"/>
  <c r="J232" i="16" s="1"/>
  <c r="J242" i="16"/>
  <c r="I242" i="16"/>
  <c r="K242" i="16" s="1"/>
  <c r="K241" i="16"/>
  <c r="J241" i="16"/>
  <c r="I241" i="16"/>
  <c r="J239" i="16"/>
  <c r="N237" i="16"/>
  <c r="N236" i="16"/>
  <c r="N235" i="16"/>
  <c r="N234" i="16"/>
  <c r="N233" i="16"/>
  <c r="I231" i="16"/>
  <c r="K231" i="16" s="1"/>
  <c r="I230" i="16"/>
  <c r="I229" i="16"/>
  <c r="K229" i="16" s="1"/>
  <c r="L226" i="16"/>
  <c r="L225" i="16"/>
  <c r="L224" i="16"/>
  <c r="P223" i="16"/>
  <c r="N223" i="16"/>
  <c r="J222" i="16"/>
  <c r="I221" i="16"/>
  <c r="K221" i="16" s="1"/>
  <c r="I220" i="16"/>
  <c r="K220" i="16" s="1"/>
  <c r="L218" i="16"/>
  <c r="L217" i="16"/>
  <c r="L216" i="16"/>
  <c r="P215" i="16"/>
  <c r="N215" i="16"/>
  <c r="J214" i="16"/>
  <c r="I213" i="16"/>
  <c r="K213" i="16" s="1"/>
  <c r="I212" i="16"/>
  <c r="K212" i="16" s="1"/>
  <c r="I210" i="16"/>
  <c r="L208" i="16"/>
  <c r="L207" i="16"/>
  <c r="L206" i="16"/>
  <c r="L205" i="16"/>
  <c r="P204" i="16"/>
  <c r="N204" i="16"/>
  <c r="J203" i="16"/>
  <c r="J200" i="16"/>
  <c r="I199" i="16"/>
  <c r="P197" i="16"/>
  <c r="L197" i="16"/>
  <c r="O197" i="16" s="1"/>
  <c r="J196" i="16"/>
  <c r="U195" i="16"/>
  <c r="T195" i="16"/>
  <c r="N195" i="16"/>
  <c r="N193" i="16" s="1"/>
  <c r="M195" i="16"/>
  <c r="L195" i="16"/>
  <c r="U194" i="16"/>
  <c r="T194" i="16"/>
  <c r="P194" i="16"/>
  <c r="O194" i="16"/>
  <c r="U193" i="16"/>
  <c r="S193" i="16"/>
  <c r="R193" i="16"/>
  <c r="Q193" i="16"/>
  <c r="T193" i="16" s="1"/>
  <c r="S192" i="16"/>
  <c r="R192" i="16"/>
  <c r="Q192" i="16"/>
  <c r="Q189" i="16" s="1"/>
  <c r="N192" i="16"/>
  <c r="N190" i="16" s="1"/>
  <c r="M192" i="16"/>
  <c r="L192" i="16"/>
  <c r="U191" i="16"/>
  <c r="T191" i="16"/>
  <c r="P191" i="16"/>
  <c r="O191" i="16"/>
  <c r="S188" i="16"/>
  <c r="R188" i="16"/>
  <c r="Q188" i="16"/>
  <c r="T188" i="16" s="1"/>
  <c r="N188" i="16"/>
  <c r="M188" i="16"/>
  <c r="L188" i="16"/>
  <c r="J186" i="16"/>
  <c r="K185" i="16"/>
  <c r="I184" i="16"/>
  <c r="K184" i="16" s="1"/>
  <c r="U182" i="16"/>
  <c r="T182" i="16"/>
  <c r="N182" i="16"/>
  <c r="N180" i="16" s="1"/>
  <c r="M182" i="16"/>
  <c r="P182" i="16" s="1"/>
  <c r="L182" i="16"/>
  <c r="O182" i="16" s="1"/>
  <c r="U181" i="16"/>
  <c r="T181" i="16"/>
  <c r="P181" i="16"/>
  <c r="O181" i="16"/>
  <c r="T180" i="16"/>
  <c r="S180" i="16"/>
  <c r="R180" i="16"/>
  <c r="U180" i="16" s="1"/>
  <c r="Q180" i="16"/>
  <c r="S179" i="16"/>
  <c r="S176" i="16" s="1"/>
  <c r="S174" i="16" s="1"/>
  <c r="R179" i="16"/>
  <c r="U179" i="16" s="1"/>
  <c r="Q179" i="16"/>
  <c r="N179" i="16"/>
  <c r="M179" i="16"/>
  <c r="L179" i="16"/>
  <c r="U178" i="16"/>
  <c r="T178" i="16"/>
  <c r="P178" i="16"/>
  <c r="O178" i="16"/>
  <c r="U175" i="16"/>
  <c r="T175" i="16"/>
  <c r="S175" i="16"/>
  <c r="R175" i="16"/>
  <c r="Q175" i="16"/>
  <c r="P175" i="16"/>
  <c r="O175" i="16"/>
  <c r="N175" i="16"/>
  <c r="M175" i="16"/>
  <c r="L175" i="16"/>
  <c r="J173" i="16"/>
  <c r="I168" i="16"/>
  <c r="I170" i="16" s="1"/>
  <c r="K170" i="16" s="1"/>
  <c r="U166" i="16"/>
  <c r="T166" i="16"/>
  <c r="N166" i="16"/>
  <c r="N164" i="16" s="1"/>
  <c r="M166" i="16"/>
  <c r="P166" i="16" s="1"/>
  <c r="L166" i="16"/>
  <c r="O166" i="16" s="1"/>
  <c r="U165" i="16"/>
  <c r="T165" i="16"/>
  <c r="P165" i="16"/>
  <c r="O165" i="16"/>
  <c r="T164" i="16"/>
  <c r="S164" i="16"/>
  <c r="R164" i="16"/>
  <c r="U164" i="16" s="1"/>
  <c r="Q164" i="16"/>
  <c r="S163" i="16"/>
  <c r="S160" i="16" s="1"/>
  <c r="R163" i="16"/>
  <c r="U163" i="16" s="1"/>
  <c r="Q161" i="16"/>
  <c r="T161" i="16" s="1"/>
  <c r="N163" i="16"/>
  <c r="N161" i="16" s="1"/>
  <c r="M163" i="16"/>
  <c r="L163" i="16"/>
  <c r="U162" i="16"/>
  <c r="T162" i="16"/>
  <c r="P162" i="16"/>
  <c r="O162" i="16"/>
  <c r="S159" i="16"/>
  <c r="R159" i="16"/>
  <c r="U159" i="16" s="1"/>
  <c r="Q159" i="16"/>
  <c r="T159" i="16" s="1"/>
  <c r="N159" i="16"/>
  <c r="M159" i="16"/>
  <c r="P159" i="16" s="1"/>
  <c r="L159" i="16"/>
  <c r="O159" i="16" s="1"/>
  <c r="J157" i="16"/>
  <c r="I155" i="16"/>
  <c r="I137" i="16" s="1"/>
  <c r="K137" i="16" s="1"/>
  <c r="I154" i="16"/>
  <c r="K154" i="16" s="1"/>
  <c r="I153" i="16"/>
  <c r="K153" i="16" s="1"/>
  <c r="I152" i="16"/>
  <c r="K152" i="16" s="1"/>
  <c r="I151" i="16"/>
  <c r="K151" i="16" s="1"/>
  <c r="U148" i="16"/>
  <c r="T148" i="16"/>
  <c r="N148" i="16"/>
  <c r="N146" i="16" s="1"/>
  <c r="M148" i="16"/>
  <c r="M146" i="16" s="1"/>
  <c r="P146" i="16" s="1"/>
  <c r="L148" i="16"/>
  <c r="L146" i="16" s="1"/>
  <c r="O146" i="16" s="1"/>
  <c r="U147" i="16"/>
  <c r="T147" i="16"/>
  <c r="P147" i="16"/>
  <c r="O147" i="16"/>
  <c r="S146" i="16"/>
  <c r="R146" i="16"/>
  <c r="U146" i="16" s="1"/>
  <c r="Q146" i="16"/>
  <c r="T146" i="16" s="1"/>
  <c r="S145" i="16"/>
  <c r="S143" i="16" s="1"/>
  <c r="R145" i="16"/>
  <c r="U145" i="16" s="1"/>
  <c r="Q145" i="16"/>
  <c r="T145" i="16" s="1"/>
  <c r="N145" i="16"/>
  <c r="N143" i="16" s="1"/>
  <c r="M145" i="16"/>
  <c r="M143" i="16" s="1"/>
  <c r="L145" i="16"/>
  <c r="L143" i="16" s="1"/>
  <c r="U144" i="16"/>
  <c r="T144" i="16"/>
  <c r="P144" i="16"/>
  <c r="O144" i="16"/>
  <c r="T141" i="16"/>
  <c r="S141" i="16"/>
  <c r="R141" i="16"/>
  <c r="U141" i="16" s="1"/>
  <c r="Q141" i="16"/>
  <c r="N141" i="16"/>
  <c r="M141" i="16"/>
  <c r="P141" i="16" s="1"/>
  <c r="L141" i="16"/>
  <c r="O141" i="16" s="1"/>
  <c r="J139" i="16"/>
  <c r="J138" i="16"/>
  <c r="J137" i="16"/>
  <c r="I131" i="16"/>
  <c r="K131" i="16" s="1"/>
  <c r="I130" i="16"/>
  <c r="K130" i="16" s="1"/>
  <c r="I129" i="16"/>
  <c r="K129" i="16" s="1"/>
  <c r="I128" i="16"/>
  <c r="K128" i="16" s="1"/>
  <c r="U126" i="16"/>
  <c r="T126" i="16"/>
  <c r="N126" i="16"/>
  <c r="N124" i="16" s="1"/>
  <c r="M126" i="16"/>
  <c r="P126" i="16" s="1"/>
  <c r="L126" i="16"/>
  <c r="L124" i="16" s="1"/>
  <c r="O124" i="16" s="1"/>
  <c r="U125" i="16"/>
  <c r="T125" i="16"/>
  <c r="P125" i="16"/>
  <c r="O125" i="16"/>
  <c r="T124" i="16"/>
  <c r="S124" i="16"/>
  <c r="R124" i="16"/>
  <c r="U124" i="16" s="1"/>
  <c r="Q124" i="16"/>
  <c r="S123" i="16"/>
  <c r="S121" i="16" s="1"/>
  <c r="R123" i="16"/>
  <c r="R121" i="16" s="1"/>
  <c r="Q123" i="16"/>
  <c r="N123" i="16"/>
  <c r="N121" i="16" s="1"/>
  <c r="M123" i="16"/>
  <c r="M121" i="16" s="1"/>
  <c r="P121" i="16" s="1"/>
  <c r="L123" i="16"/>
  <c r="L121" i="16" s="1"/>
  <c r="O121" i="16" s="1"/>
  <c r="U122" i="16"/>
  <c r="T122" i="16"/>
  <c r="P122" i="16"/>
  <c r="O122" i="16"/>
  <c r="U119" i="16"/>
  <c r="T119" i="16"/>
  <c r="S119" i="16"/>
  <c r="R119" i="16"/>
  <c r="Q119" i="16"/>
  <c r="P119" i="16"/>
  <c r="O119" i="16"/>
  <c r="N119" i="16"/>
  <c r="M119" i="16"/>
  <c r="L119" i="16"/>
  <c r="J117" i="16"/>
  <c r="I115" i="16"/>
  <c r="K115" i="16" s="1"/>
  <c r="I114" i="16"/>
  <c r="K114" i="16" s="1"/>
  <c r="I110" i="16"/>
  <c r="I94" i="16" s="1"/>
  <c r="K94" i="16" s="1"/>
  <c r="I109" i="16"/>
  <c r="I93" i="16" s="1"/>
  <c r="K93" i="16" s="1"/>
  <c r="U103" i="16"/>
  <c r="T103" i="16"/>
  <c r="N103" i="16"/>
  <c r="N101" i="16" s="1"/>
  <c r="M103" i="16"/>
  <c r="P103" i="16" s="1"/>
  <c r="L103" i="16"/>
  <c r="L101" i="16" s="1"/>
  <c r="O101" i="16" s="1"/>
  <c r="U102" i="16"/>
  <c r="T102" i="16"/>
  <c r="P102" i="16"/>
  <c r="O102" i="16"/>
  <c r="U101" i="16"/>
  <c r="T101" i="16"/>
  <c r="S101" i="16"/>
  <c r="R101" i="16"/>
  <c r="Q101" i="16"/>
  <c r="S100" i="16"/>
  <c r="S97" i="16" s="1"/>
  <c r="S95" i="16" s="1"/>
  <c r="R100" i="16"/>
  <c r="R98" i="16" s="1"/>
  <c r="Q100" i="16"/>
  <c r="Q98" i="16" s="1"/>
  <c r="N100" i="16"/>
  <c r="N98" i="16" s="1"/>
  <c r="M100" i="16"/>
  <c r="P100" i="16" s="1"/>
  <c r="L100" i="16"/>
  <c r="L98" i="16" s="1"/>
  <c r="O98" i="16" s="1"/>
  <c r="U99" i="16"/>
  <c r="T99" i="16"/>
  <c r="P99" i="16"/>
  <c r="O99" i="16"/>
  <c r="S96" i="16"/>
  <c r="R96" i="16"/>
  <c r="U96" i="16" s="1"/>
  <c r="Q96" i="16"/>
  <c r="T96" i="16" s="1"/>
  <c r="P96" i="16"/>
  <c r="N96" i="16"/>
  <c r="M96" i="16"/>
  <c r="L96" i="16"/>
  <c r="O96" i="16" s="1"/>
  <c r="J94" i="16"/>
  <c r="J93" i="16"/>
  <c r="I91" i="16"/>
  <c r="K91" i="16" s="1"/>
  <c r="I90" i="16"/>
  <c r="K90" i="16" s="1"/>
  <c r="I89" i="16"/>
  <c r="K89" i="16" s="1"/>
  <c r="I88" i="16"/>
  <c r="I87" i="16"/>
  <c r="K87" i="16" s="1"/>
  <c r="I86" i="16"/>
  <c r="K86" i="16" s="1"/>
  <c r="I85" i="16"/>
  <c r="K85" i="16" s="1"/>
  <c r="J84" i="16"/>
  <c r="J72" i="16" s="1"/>
  <c r="J83" i="16"/>
  <c r="J71" i="16" s="1"/>
  <c r="U81" i="16"/>
  <c r="T81" i="16"/>
  <c r="N81" i="16"/>
  <c r="N79" i="16" s="1"/>
  <c r="M81" i="16"/>
  <c r="M79" i="16" s="1"/>
  <c r="P79" i="16" s="1"/>
  <c r="L81" i="16"/>
  <c r="O81" i="16" s="1"/>
  <c r="U80" i="16"/>
  <c r="T80" i="16"/>
  <c r="P80" i="16"/>
  <c r="O80" i="16"/>
  <c r="S79" i="16"/>
  <c r="R79" i="16"/>
  <c r="U79" i="16" s="1"/>
  <c r="Q79" i="16"/>
  <c r="T79" i="16" s="1"/>
  <c r="S78" i="16"/>
  <c r="S76" i="16" s="1"/>
  <c r="R78" i="16"/>
  <c r="U78" i="16" s="1"/>
  <c r="Q76" i="16"/>
  <c r="T76" i="16" s="1"/>
  <c r="N78" i="16"/>
  <c r="M78" i="16"/>
  <c r="M76" i="16" s="1"/>
  <c r="P76" i="16" s="1"/>
  <c r="L78" i="16"/>
  <c r="O78" i="16" s="1"/>
  <c r="U77" i="16"/>
  <c r="T77" i="16"/>
  <c r="P77" i="16"/>
  <c r="O77" i="16"/>
  <c r="S74" i="16"/>
  <c r="R74" i="16"/>
  <c r="U74" i="16" s="1"/>
  <c r="Q74" i="16"/>
  <c r="T74" i="16" s="1"/>
  <c r="N74" i="16"/>
  <c r="M74" i="16"/>
  <c r="P74" i="16" s="1"/>
  <c r="L74" i="16"/>
  <c r="O74" i="16" s="1"/>
  <c r="U68" i="16"/>
  <c r="T68" i="16"/>
  <c r="N68" i="16"/>
  <c r="N66" i="16" s="1"/>
  <c r="M68" i="16"/>
  <c r="M66" i="16" s="1"/>
  <c r="P66" i="16" s="1"/>
  <c r="L68" i="16"/>
  <c r="U67" i="16"/>
  <c r="T67" i="16"/>
  <c r="P67" i="16"/>
  <c r="O67" i="16"/>
  <c r="S66" i="16"/>
  <c r="R66" i="16"/>
  <c r="U66" i="16" s="1"/>
  <c r="Q66" i="16"/>
  <c r="T66" i="16" s="1"/>
  <c r="U65" i="16"/>
  <c r="T65" i="16"/>
  <c r="N65" i="16"/>
  <c r="N63" i="16" s="1"/>
  <c r="M65" i="16"/>
  <c r="M63" i="16" s="1"/>
  <c r="L65" i="16"/>
  <c r="L63" i="16" s="1"/>
  <c r="U64" i="16"/>
  <c r="T64" i="16"/>
  <c r="P64" i="16"/>
  <c r="O64" i="16"/>
  <c r="U63" i="16"/>
  <c r="T63" i="16"/>
  <c r="S63" i="16"/>
  <c r="R63" i="16"/>
  <c r="Q63" i="16"/>
  <c r="S62" i="16"/>
  <c r="S60" i="16" s="1"/>
  <c r="R62" i="16"/>
  <c r="U62" i="16" s="1"/>
  <c r="Q62" i="16"/>
  <c r="T62" i="16" s="1"/>
  <c r="U61" i="16"/>
  <c r="S61" i="16"/>
  <c r="R61" i="16"/>
  <c r="Q61" i="16"/>
  <c r="T61" i="16" s="1"/>
  <c r="P61" i="16"/>
  <c r="O61" i="16"/>
  <c r="N61" i="16"/>
  <c r="M61" i="16"/>
  <c r="L61" i="16"/>
  <c r="U60" i="16"/>
  <c r="R60" i="16"/>
  <c r="U53" i="16"/>
  <c r="T53" i="16"/>
  <c r="N53" i="16"/>
  <c r="N51" i="16" s="1"/>
  <c r="M53" i="16"/>
  <c r="M51" i="16" s="1"/>
  <c r="P51" i="16" s="1"/>
  <c r="L53" i="16"/>
  <c r="L51" i="16" s="1"/>
  <c r="O51" i="16" s="1"/>
  <c r="U52" i="16"/>
  <c r="T52" i="16"/>
  <c r="P52" i="16"/>
  <c r="O52" i="16"/>
  <c r="S51" i="16"/>
  <c r="R51" i="16"/>
  <c r="U51" i="16" s="1"/>
  <c r="Q51" i="16"/>
  <c r="T51" i="16" s="1"/>
  <c r="U50" i="16"/>
  <c r="T50" i="16"/>
  <c r="N50" i="16"/>
  <c r="N48" i="16" s="1"/>
  <c r="M50" i="16"/>
  <c r="M48" i="16" s="1"/>
  <c r="L50" i="16"/>
  <c r="U49" i="16"/>
  <c r="T49" i="16"/>
  <c r="P49" i="16"/>
  <c r="O49" i="16"/>
  <c r="U48" i="16"/>
  <c r="T48" i="16"/>
  <c r="S48" i="16"/>
  <c r="R48" i="16"/>
  <c r="Q48" i="16"/>
  <c r="S47" i="16"/>
  <c r="S45" i="16" s="1"/>
  <c r="R47" i="16"/>
  <c r="U47" i="16" s="1"/>
  <c r="Q47" i="16"/>
  <c r="T47" i="16" s="1"/>
  <c r="U46" i="16"/>
  <c r="S46" i="16"/>
  <c r="R46" i="16"/>
  <c r="Q46" i="16"/>
  <c r="T46" i="16" s="1"/>
  <c r="P46" i="16"/>
  <c r="O46" i="16"/>
  <c r="N46" i="16"/>
  <c r="M46" i="16"/>
  <c r="L46" i="16"/>
  <c r="U45" i="16"/>
  <c r="R45" i="16"/>
  <c r="S27" i="16"/>
  <c r="R27" i="16"/>
  <c r="Q27" i="16"/>
  <c r="T27" i="16" s="1"/>
  <c r="S26" i="16"/>
  <c r="S25" i="16" s="1"/>
  <c r="R26" i="16"/>
  <c r="U26" i="16" s="1"/>
  <c r="Q26" i="16"/>
  <c r="Q25" i="16" s="1"/>
  <c r="T25" i="16" s="1"/>
  <c r="N26" i="16"/>
  <c r="M26" i="16"/>
  <c r="P26" i="16" s="1"/>
  <c r="L26" i="16"/>
  <c r="O26" i="16" s="1"/>
  <c r="S23" i="16"/>
  <c r="S20" i="16" s="1"/>
  <c r="R23" i="16"/>
  <c r="U23" i="16" s="1"/>
  <c r="Q23" i="16"/>
  <c r="T23" i="16" s="1"/>
  <c r="N23" i="16"/>
  <c r="N20" i="16" s="1"/>
  <c r="M23" i="16"/>
  <c r="P23" i="16" s="1"/>
  <c r="L23" i="16"/>
  <c r="O23" i="16" s="1"/>
  <c r="A788" i="15"/>
  <c r="J785" i="15"/>
  <c r="I785" i="15"/>
  <c r="J784" i="15"/>
  <c r="I784" i="15"/>
  <c r="J783" i="15"/>
  <c r="I783" i="15"/>
  <c r="K783" i="15" s="1"/>
  <c r="J782" i="15"/>
  <c r="I782" i="15"/>
  <c r="K782" i="15" s="1"/>
  <c r="J781" i="15"/>
  <c r="I781" i="15"/>
  <c r="J780" i="15"/>
  <c r="I780" i="15"/>
  <c r="J779" i="15"/>
  <c r="I779" i="15"/>
  <c r="J778" i="15"/>
  <c r="I778" i="15"/>
  <c r="H777" i="15"/>
  <c r="I776" i="15"/>
  <c r="I775" i="15"/>
  <c r="I774" i="15"/>
  <c r="I772" i="15"/>
  <c r="K772" i="15" s="1"/>
  <c r="I770" i="15"/>
  <c r="K770" i="15" s="1"/>
  <c r="U768" i="15"/>
  <c r="T768" i="15"/>
  <c r="P768" i="15"/>
  <c r="O768" i="15"/>
  <c r="U767" i="15"/>
  <c r="T767" i="15"/>
  <c r="P767" i="15"/>
  <c r="O767" i="15"/>
  <c r="T766" i="15"/>
  <c r="S766" i="15"/>
  <c r="R766" i="15"/>
  <c r="U766" i="15" s="1"/>
  <c r="Q766" i="15"/>
  <c r="P766" i="15"/>
  <c r="N766" i="15"/>
  <c r="M766" i="15"/>
  <c r="L766" i="15"/>
  <c r="O766" i="15" s="1"/>
  <c r="S765" i="15"/>
  <c r="R765" i="15"/>
  <c r="R763" i="15" s="1"/>
  <c r="Q765" i="15"/>
  <c r="Q762" i="15" s="1"/>
  <c r="P765" i="15"/>
  <c r="O765" i="15"/>
  <c r="U764" i="15"/>
  <c r="T764" i="15"/>
  <c r="P764" i="15"/>
  <c r="O764" i="15"/>
  <c r="O763" i="15"/>
  <c r="N763" i="15"/>
  <c r="M763" i="15"/>
  <c r="P763" i="15" s="1"/>
  <c r="L763" i="15"/>
  <c r="O762" i="15"/>
  <c r="N762" i="15"/>
  <c r="M762" i="15"/>
  <c r="P762" i="15" s="1"/>
  <c r="L762" i="15"/>
  <c r="U761" i="15"/>
  <c r="S761" i="15"/>
  <c r="R761" i="15"/>
  <c r="Q761" i="15"/>
  <c r="T761" i="15" s="1"/>
  <c r="O761" i="15"/>
  <c r="N761" i="15"/>
  <c r="N760" i="15" s="1"/>
  <c r="M761" i="15"/>
  <c r="P761" i="15" s="1"/>
  <c r="L761" i="15"/>
  <c r="L760" i="15" s="1"/>
  <c r="O760" i="15" s="1"/>
  <c r="M760" i="15"/>
  <c r="P760" i="15" s="1"/>
  <c r="J759" i="15"/>
  <c r="J758" i="15"/>
  <c r="I756" i="15"/>
  <c r="K756" i="15" s="1"/>
  <c r="I753" i="15"/>
  <c r="K753" i="15" s="1"/>
  <c r="I750" i="15"/>
  <c r="K750" i="15" s="1"/>
  <c r="I747" i="15"/>
  <c r="K747" i="15" s="1"/>
  <c r="I745" i="15"/>
  <c r="K745" i="15" s="1"/>
  <c r="I743" i="15"/>
  <c r="K743" i="15" s="1"/>
  <c r="I741" i="15"/>
  <c r="K741" i="15" s="1"/>
  <c r="U737" i="15"/>
  <c r="T737" i="15"/>
  <c r="P737" i="15"/>
  <c r="O737" i="15"/>
  <c r="U736" i="15"/>
  <c r="T736" i="15"/>
  <c r="P736" i="15"/>
  <c r="O736" i="15"/>
  <c r="U735" i="15"/>
  <c r="S735" i="15"/>
  <c r="R735" i="15"/>
  <c r="Q735" i="15"/>
  <c r="T735" i="15" s="1"/>
  <c r="O735" i="15"/>
  <c r="N735" i="15"/>
  <c r="M735" i="15"/>
  <c r="P735" i="15" s="1"/>
  <c r="L735" i="15"/>
  <c r="S734" i="15"/>
  <c r="R734" i="15"/>
  <c r="Q734" i="15"/>
  <c r="Q732" i="15" s="1"/>
  <c r="P734" i="15"/>
  <c r="O734" i="15"/>
  <c r="U733" i="15"/>
  <c r="T733" i="15"/>
  <c r="P733" i="15"/>
  <c r="O733" i="15"/>
  <c r="P732" i="15"/>
  <c r="N732" i="15"/>
  <c r="M732" i="15"/>
  <c r="L732" i="15"/>
  <c r="O732" i="15" s="1"/>
  <c r="P731" i="15"/>
  <c r="N731" i="15"/>
  <c r="M731" i="15"/>
  <c r="L731" i="15"/>
  <c r="O731" i="15" s="1"/>
  <c r="T730" i="15"/>
  <c r="S730" i="15"/>
  <c r="R730" i="15"/>
  <c r="U730" i="15" s="1"/>
  <c r="Q730" i="15"/>
  <c r="P730" i="15"/>
  <c r="N730" i="15"/>
  <c r="N729" i="15" s="1"/>
  <c r="M730" i="15"/>
  <c r="M729" i="15" s="1"/>
  <c r="P729" i="15" s="1"/>
  <c r="L730" i="15"/>
  <c r="O730" i="15" s="1"/>
  <c r="L729" i="15"/>
  <c r="O729" i="15" s="1"/>
  <c r="J728" i="15"/>
  <c r="I728" i="15"/>
  <c r="K728" i="15" s="1"/>
  <c r="J727" i="15"/>
  <c r="I727" i="15"/>
  <c r="K727" i="15" s="1"/>
  <c r="U723" i="15"/>
  <c r="T723" i="15"/>
  <c r="P723" i="15"/>
  <c r="O723" i="15"/>
  <c r="U722" i="15"/>
  <c r="T722" i="15"/>
  <c r="P722" i="15"/>
  <c r="O722" i="15"/>
  <c r="T721" i="15"/>
  <c r="S721" i="15"/>
  <c r="R721" i="15"/>
  <c r="U721" i="15" s="1"/>
  <c r="Q721" i="15"/>
  <c r="P721" i="15"/>
  <c r="N721" i="15"/>
  <c r="M721" i="15"/>
  <c r="L721" i="15"/>
  <c r="O721" i="15" s="1"/>
  <c r="U720" i="15"/>
  <c r="T720" i="15"/>
  <c r="P720" i="15"/>
  <c r="O720" i="15"/>
  <c r="U719" i="15"/>
  <c r="T719" i="15"/>
  <c r="P719" i="15"/>
  <c r="O719" i="15"/>
  <c r="T718" i="15"/>
  <c r="S718" i="15"/>
  <c r="R718" i="15"/>
  <c r="U718" i="15" s="1"/>
  <c r="Q718" i="15"/>
  <c r="P718" i="15"/>
  <c r="N718" i="15"/>
  <c r="M718" i="15"/>
  <c r="L718" i="15"/>
  <c r="O718" i="15" s="1"/>
  <c r="T717" i="15"/>
  <c r="S717" i="15"/>
  <c r="R717" i="15"/>
  <c r="U717" i="15" s="1"/>
  <c r="Q717" i="15"/>
  <c r="P717" i="15"/>
  <c r="N717" i="15"/>
  <c r="M717" i="15"/>
  <c r="L717" i="15"/>
  <c r="O717" i="15" s="1"/>
  <c r="T716" i="15"/>
  <c r="S716" i="15"/>
  <c r="S715" i="15" s="1"/>
  <c r="R716" i="15"/>
  <c r="U716" i="15" s="1"/>
  <c r="Q716" i="15"/>
  <c r="Q715" i="15" s="1"/>
  <c r="T715" i="15" s="1"/>
  <c r="P716" i="15"/>
  <c r="N716" i="15"/>
  <c r="N715" i="15" s="1"/>
  <c r="M716" i="15"/>
  <c r="M715" i="15" s="1"/>
  <c r="P715" i="15" s="1"/>
  <c r="L716" i="15"/>
  <c r="O716" i="15" s="1"/>
  <c r="R715" i="15"/>
  <c r="U715" i="15" s="1"/>
  <c r="L715" i="15"/>
  <c r="O715" i="15" s="1"/>
  <c r="K713" i="15"/>
  <c r="J713" i="15"/>
  <c r="K711" i="15"/>
  <c r="J711" i="15"/>
  <c r="J710" i="15"/>
  <c r="I710" i="15"/>
  <c r="K709" i="15"/>
  <c r="J709" i="15"/>
  <c r="J708" i="15"/>
  <c r="J690" i="15" s="1"/>
  <c r="I708" i="15"/>
  <c r="K707" i="15"/>
  <c r="J707" i="15"/>
  <c r="J706" i="15"/>
  <c r="I706" i="15"/>
  <c r="K705" i="15"/>
  <c r="J705" i="15"/>
  <c r="J704" i="15"/>
  <c r="I704" i="15"/>
  <c r="K703" i="15"/>
  <c r="I701" i="15"/>
  <c r="K701" i="15" s="1"/>
  <c r="U699" i="15"/>
  <c r="T699" i="15"/>
  <c r="P699" i="15"/>
  <c r="O699" i="15"/>
  <c r="U698" i="15"/>
  <c r="T698" i="15"/>
  <c r="P698" i="15"/>
  <c r="O698" i="15"/>
  <c r="U697" i="15"/>
  <c r="S697" i="15"/>
  <c r="R697" i="15"/>
  <c r="Q697" i="15"/>
  <c r="T697" i="15" s="1"/>
  <c r="O697" i="15"/>
  <c r="N697" i="15"/>
  <c r="M697" i="15"/>
  <c r="P697" i="15" s="1"/>
  <c r="L697" i="15"/>
  <c r="S696" i="15"/>
  <c r="R696" i="15"/>
  <c r="R693" i="15" s="1"/>
  <c r="R691" i="15" s="1"/>
  <c r="Q696" i="15"/>
  <c r="P696" i="15"/>
  <c r="O696" i="15"/>
  <c r="U695" i="15"/>
  <c r="T695" i="15"/>
  <c r="P695" i="15"/>
  <c r="O695" i="15"/>
  <c r="P694" i="15"/>
  <c r="N694" i="15"/>
  <c r="M694" i="15"/>
  <c r="L694" i="15"/>
  <c r="O694" i="15" s="1"/>
  <c r="P693" i="15"/>
  <c r="N693" i="15"/>
  <c r="M693" i="15"/>
  <c r="L693" i="15"/>
  <c r="O693" i="15" s="1"/>
  <c r="T692" i="15"/>
  <c r="S692" i="15"/>
  <c r="R692" i="15"/>
  <c r="U692" i="15" s="1"/>
  <c r="Q692" i="15"/>
  <c r="P692" i="15"/>
  <c r="N692" i="15"/>
  <c r="M692" i="15"/>
  <c r="M691" i="15" s="1"/>
  <c r="P691" i="15" s="1"/>
  <c r="L692" i="15"/>
  <c r="O692" i="15" s="1"/>
  <c r="N691" i="15"/>
  <c r="L691" i="15"/>
  <c r="O691" i="15" s="1"/>
  <c r="J683" i="15"/>
  <c r="I683" i="15"/>
  <c r="K683" i="15" s="1"/>
  <c r="J682" i="15"/>
  <c r="I682" i="15"/>
  <c r="K682" i="15" s="1"/>
  <c r="J681" i="15"/>
  <c r="J680" i="15"/>
  <c r="I680" i="15"/>
  <c r="K680" i="15" s="1"/>
  <c r="J679" i="15"/>
  <c r="I679" i="15"/>
  <c r="K679" i="15" s="1"/>
  <c r="J678" i="15"/>
  <c r="J677" i="15"/>
  <c r="I677" i="15"/>
  <c r="K677" i="15" s="1"/>
  <c r="I676" i="15"/>
  <c r="K676" i="15" s="1"/>
  <c r="I675" i="15"/>
  <c r="K675" i="15" s="1"/>
  <c r="J674" i="15"/>
  <c r="I674" i="15"/>
  <c r="K674" i="15" s="1"/>
  <c r="J673" i="15"/>
  <c r="J672" i="15"/>
  <c r="J662" i="15"/>
  <c r="I662" i="15"/>
  <c r="K662" i="15" s="1"/>
  <c r="I661" i="15"/>
  <c r="I658" i="15"/>
  <c r="J655" i="15"/>
  <c r="I655" i="15"/>
  <c r="K655" i="15" s="1"/>
  <c r="J654" i="15"/>
  <c r="I654" i="15"/>
  <c r="K654" i="15" s="1"/>
  <c r="J653" i="15"/>
  <c r="I653" i="15"/>
  <c r="K653" i="15" s="1"/>
  <c r="U651" i="15"/>
  <c r="T651" i="15"/>
  <c r="P651" i="15"/>
  <c r="O651" i="15"/>
  <c r="U650" i="15"/>
  <c r="T650" i="15"/>
  <c r="P650" i="15"/>
  <c r="O650" i="15"/>
  <c r="U649" i="15"/>
  <c r="T649" i="15"/>
  <c r="S649" i="15"/>
  <c r="R649" i="15"/>
  <c r="Q649" i="15"/>
  <c r="O649" i="15"/>
  <c r="N649" i="15"/>
  <c r="M649" i="15"/>
  <c r="P649" i="15" s="1"/>
  <c r="L649" i="15"/>
  <c r="S648" i="15"/>
  <c r="R648" i="15"/>
  <c r="Q648" i="15"/>
  <c r="Q646" i="15" s="1"/>
  <c r="T646" i="15" s="1"/>
  <c r="P648" i="15"/>
  <c r="O648" i="15"/>
  <c r="U647" i="15"/>
  <c r="T647" i="15"/>
  <c r="P647" i="15"/>
  <c r="O647" i="15"/>
  <c r="P646" i="15"/>
  <c r="N646" i="15"/>
  <c r="M646" i="15"/>
  <c r="L646" i="15"/>
  <c r="O646" i="15" s="1"/>
  <c r="P645" i="15"/>
  <c r="N645" i="15"/>
  <c r="N643" i="15" s="1"/>
  <c r="M645" i="15"/>
  <c r="L645" i="15"/>
  <c r="O645" i="15" s="1"/>
  <c r="T644" i="15"/>
  <c r="S644" i="15"/>
  <c r="R644" i="15"/>
  <c r="U644" i="15" s="1"/>
  <c r="Q644" i="15"/>
  <c r="N644" i="15"/>
  <c r="M644" i="15"/>
  <c r="L644" i="15"/>
  <c r="O644" i="15" s="1"/>
  <c r="L643" i="15"/>
  <c r="O643" i="15" s="1"/>
  <c r="J637" i="15"/>
  <c r="J636" i="15" s="1"/>
  <c r="I636" i="15"/>
  <c r="K636" i="15" s="1"/>
  <c r="J633" i="15"/>
  <c r="J627" i="15" s="1"/>
  <c r="J616" i="15" s="1"/>
  <c r="I629" i="15"/>
  <c r="K629" i="15" s="1"/>
  <c r="I628" i="15"/>
  <c r="K628" i="15" s="1"/>
  <c r="I627" i="15"/>
  <c r="K632" i="15" s="1"/>
  <c r="U625" i="15"/>
  <c r="T625" i="15"/>
  <c r="P625" i="15"/>
  <c r="O625" i="15"/>
  <c r="U624" i="15"/>
  <c r="T624" i="15"/>
  <c r="P624" i="15"/>
  <c r="O624" i="15"/>
  <c r="U623" i="15"/>
  <c r="T623" i="15"/>
  <c r="S623" i="15"/>
  <c r="R623" i="15"/>
  <c r="Q623" i="15"/>
  <c r="P623" i="15"/>
  <c r="O623" i="15"/>
  <c r="N623" i="15"/>
  <c r="M623" i="15"/>
  <c r="L623" i="15"/>
  <c r="S622" i="15"/>
  <c r="S619" i="15" s="1"/>
  <c r="R622" i="15"/>
  <c r="Q622" i="15"/>
  <c r="Q620" i="15" s="1"/>
  <c r="P622" i="15"/>
  <c r="O622" i="15"/>
  <c r="U621" i="15"/>
  <c r="T621" i="15"/>
  <c r="P621" i="15"/>
  <c r="O621" i="15"/>
  <c r="O620" i="15"/>
  <c r="N620" i="15"/>
  <c r="M620" i="15"/>
  <c r="P620" i="15" s="1"/>
  <c r="L620" i="15"/>
  <c r="P619" i="15"/>
  <c r="O619" i="15"/>
  <c r="N619" i="15"/>
  <c r="M619" i="15"/>
  <c r="L619" i="15"/>
  <c r="U618" i="15"/>
  <c r="T618" i="15"/>
  <c r="S618" i="15"/>
  <c r="R618" i="15"/>
  <c r="Q618" i="15"/>
  <c r="O618" i="15"/>
  <c r="N618" i="15"/>
  <c r="N617" i="15" s="1"/>
  <c r="M618" i="15"/>
  <c r="P618" i="15" s="1"/>
  <c r="L618" i="15"/>
  <c r="M617" i="15"/>
  <c r="P617" i="15" s="1"/>
  <c r="L617" i="15"/>
  <c r="O617" i="15" s="1"/>
  <c r="U608" i="15"/>
  <c r="T608" i="15"/>
  <c r="P608" i="15"/>
  <c r="O608" i="15"/>
  <c r="U607" i="15"/>
  <c r="T607" i="15"/>
  <c r="P607" i="15"/>
  <c r="O607" i="15"/>
  <c r="S606" i="15"/>
  <c r="R606" i="15"/>
  <c r="U606" i="15" s="1"/>
  <c r="Q606" i="15"/>
  <c r="T606" i="15" s="1"/>
  <c r="P606" i="15"/>
  <c r="N606" i="15"/>
  <c r="M606" i="15"/>
  <c r="L606" i="15"/>
  <c r="O606" i="15" s="1"/>
  <c r="U605" i="15"/>
  <c r="T605" i="15"/>
  <c r="P605" i="15"/>
  <c r="O605" i="15"/>
  <c r="U604" i="15"/>
  <c r="T604" i="15"/>
  <c r="P604" i="15"/>
  <c r="O604" i="15"/>
  <c r="S603" i="15"/>
  <c r="R603" i="15"/>
  <c r="U603" i="15" s="1"/>
  <c r="Q603" i="15"/>
  <c r="T603" i="15" s="1"/>
  <c r="N603" i="15"/>
  <c r="M603" i="15"/>
  <c r="P603" i="15" s="1"/>
  <c r="L603" i="15"/>
  <c r="O603" i="15" s="1"/>
  <c r="S602" i="15"/>
  <c r="R602" i="15"/>
  <c r="Q602" i="15"/>
  <c r="T602" i="15" s="1"/>
  <c r="N602" i="15"/>
  <c r="M602" i="15"/>
  <c r="P602" i="15" s="1"/>
  <c r="L602" i="15"/>
  <c r="O602" i="15" s="1"/>
  <c r="S601" i="15"/>
  <c r="S600" i="15" s="1"/>
  <c r="R601" i="15"/>
  <c r="U601" i="15" s="1"/>
  <c r="Q601" i="15"/>
  <c r="T601" i="15" s="1"/>
  <c r="N601" i="15"/>
  <c r="M601" i="15"/>
  <c r="P601" i="15" s="1"/>
  <c r="L601" i="15"/>
  <c r="Q600" i="15"/>
  <c r="T600" i="15" s="1"/>
  <c r="N600" i="15"/>
  <c r="U585" i="15"/>
  <c r="T585" i="15"/>
  <c r="P585" i="15"/>
  <c r="O585" i="15"/>
  <c r="U584" i="15"/>
  <c r="T584" i="15"/>
  <c r="P584" i="15"/>
  <c r="O584" i="15"/>
  <c r="S583" i="15"/>
  <c r="R583" i="15"/>
  <c r="U583" i="15" s="1"/>
  <c r="Q583" i="15"/>
  <c r="T583" i="15" s="1"/>
  <c r="N583" i="15"/>
  <c r="M583" i="15"/>
  <c r="P583" i="15" s="1"/>
  <c r="L583" i="15"/>
  <c r="O583" i="15" s="1"/>
  <c r="U582" i="15"/>
  <c r="T582" i="15"/>
  <c r="P582" i="15"/>
  <c r="O582" i="15"/>
  <c r="U581" i="15"/>
  <c r="T581" i="15"/>
  <c r="P581" i="15"/>
  <c r="O581" i="15"/>
  <c r="T580" i="15"/>
  <c r="S580" i="15"/>
  <c r="R580" i="15"/>
  <c r="U580" i="15" s="1"/>
  <c r="Q580" i="15"/>
  <c r="N580" i="15"/>
  <c r="M580" i="15"/>
  <c r="P580" i="15" s="1"/>
  <c r="L580" i="15"/>
  <c r="O580" i="15" s="1"/>
  <c r="T579" i="15"/>
  <c r="S579" i="15"/>
  <c r="R579" i="15"/>
  <c r="U579" i="15" s="1"/>
  <c r="Q579" i="15"/>
  <c r="N579" i="15"/>
  <c r="M579" i="15"/>
  <c r="P579" i="15" s="1"/>
  <c r="L579" i="15"/>
  <c r="S578" i="15"/>
  <c r="S577" i="15" s="1"/>
  <c r="R578" i="15"/>
  <c r="Q578" i="15"/>
  <c r="T578" i="15" s="1"/>
  <c r="N578" i="15"/>
  <c r="N577" i="15" s="1"/>
  <c r="M578" i="15"/>
  <c r="L578" i="15"/>
  <c r="O578" i="15" s="1"/>
  <c r="Q577" i="15"/>
  <c r="T577" i="15" s="1"/>
  <c r="J576" i="15"/>
  <c r="I576" i="15"/>
  <c r="K576" i="15" s="1"/>
  <c r="U564" i="15"/>
  <c r="T564" i="15"/>
  <c r="P564" i="15"/>
  <c r="O564" i="15"/>
  <c r="U563" i="15"/>
  <c r="T563" i="15"/>
  <c r="P563" i="15"/>
  <c r="O563" i="15"/>
  <c r="S562" i="15"/>
  <c r="R562" i="15"/>
  <c r="U562" i="15" s="1"/>
  <c r="Q562" i="15"/>
  <c r="T562" i="15" s="1"/>
  <c r="N562" i="15"/>
  <c r="M562" i="15"/>
  <c r="P562" i="15" s="1"/>
  <c r="L562" i="15"/>
  <c r="O562" i="15" s="1"/>
  <c r="U561" i="15"/>
  <c r="T561" i="15"/>
  <c r="P561" i="15"/>
  <c r="O561" i="15"/>
  <c r="U560" i="15"/>
  <c r="T560" i="15"/>
  <c r="P560" i="15"/>
  <c r="O560" i="15"/>
  <c r="S559" i="15"/>
  <c r="R559" i="15"/>
  <c r="U559" i="15" s="1"/>
  <c r="Q559" i="15"/>
  <c r="T559" i="15" s="1"/>
  <c r="N559" i="15"/>
  <c r="M559" i="15"/>
  <c r="P559" i="15" s="1"/>
  <c r="L559" i="15"/>
  <c r="O559" i="15" s="1"/>
  <c r="S558" i="15"/>
  <c r="R558" i="15"/>
  <c r="U558" i="15" s="1"/>
  <c r="Q558" i="15"/>
  <c r="T558" i="15" s="1"/>
  <c r="N558" i="15"/>
  <c r="M558" i="15"/>
  <c r="L558" i="15"/>
  <c r="O558" i="15" s="1"/>
  <c r="S557" i="15"/>
  <c r="R557" i="15"/>
  <c r="U557" i="15" s="1"/>
  <c r="Q557" i="15"/>
  <c r="N557" i="15"/>
  <c r="M557" i="15"/>
  <c r="P557" i="15" s="1"/>
  <c r="L557" i="15"/>
  <c r="O557" i="15" s="1"/>
  <c r="S556" i="15"/>
  <c r="N556" i="15"/>
  <c r="L556" i="15"/>
  <c r="O556" i="15" s="1"/>
  <c r="J555" i="15"/>
  <c r="I555" i="15"/>
  <c r="K555" i="15" s="1"/>
  <c r="U543" i="15"/>
  <c r="T543" i="15"/>
  <c r="P543" i="15"/>
  <c r="O543" i="15"/>
  <c r="U542" i="15"/>
  <c r="T542" i="15"/>
  <c r="P542" i="15"/>
  <c r="O542" i="15"/>
  <c r="S541" i="15"/>
  <c r="R541" i="15"/>
  <c r="U541" i="15" s="1"/>
  <c r="Q541" i="15"/>
  <c r="T541" i="15" s="1"/>
  <c r="N541" i="15"/>
  <c r="M541" i="15"/>
  <c r="P541" i="15" s="1"/>
  <c r="L541" i="15"/>
  <c r="O541" i="15" s="1"/>
  <c r="U540" i="15"/>
  <c r="T540" i="15"/>
  <c r="P540" i="15"/>
  <c r="O540" i="15"/>
  <c r="U539" i="15"/>
  <c r="T539" i="15"/>
  <c r="P539" i="15"/>
  <c r="O539" i="15"/>
  <c r="S538" i="15"/>
  <c r="R538" i="15"/>
  <c r="U538" i="15" s="1"/>
  <c r="Q538" i="15"/>
  <c r="T538" i="15" s="1"/>
  <c r="N538" i="15"/>
  <c r="M538" i="15"/>
  <c r="P538" i="15" s="1"/>
  <c r="L538" i="15"/>
  <c r="O538" i="15" s="1"/>
  <c r="U537" i="15"/>
  <c r="S537" i="15"/>
  <c r="R537" i="15"/>
  <c r="Q537" i="15"/>
  <c r="T537" i="15" s="1"/>
  <c r="N537" i="15"/>
  <c r="M537" i="15"/>
  <c r="P537" i="15" s="1"/>
  <c r="L537" i="15"/>
  <c r="O537" i="15" s="1"/>
  <c r="S536" i="15"/>
  <c r="R536" i="15"/>
  <c r="Q536" i="15"/>
  <c r="T536" i="15" s="1"/>
  <c r="N536" i="15"/>
  <c r="N535" i="15" s="1"/>
  <c r="M536" i="15"/>
  <c r="P536" i="15" s="1"/>
  <c r="L536" i="15"/>
  <c r="J534" i="15"/>
  <c r="I534" i="15"/>
  <c r="K534" i="15" s="1"/>
  <c r="K525" i="15"/>
  <c r="K524" i="15"/>
  <c r="U522" i="15"/>
  <c r="T522" i="15"/>
  <c r="N522" i="15"/>
  <c r="M522" i="15"/>
  <c r="P522" i="15" s="1"/>
  <c r="L522" i="15"/>
  <c r="U521" i="15"/>
  <c r="T521" i="15"/>
  <c r="P521" i="15"/>
  <c r="O521" i="15"/>
  <c r="S520" i="15"/>
  <c r="R520" i="15"/>
  <c r="U520" i="15" s="1"/>
  <c r="Q520" i="15"/>
  <c r="T520" i="15" s="1"/>
  <c r="U519" i="15"/>
  <c r="T519" i="15"/>
  <c r="N519" i="15"/>
  <c r="N517" i="15" s="1"/>
  <c r="M519" i="15"/>
  <c r="L519" i="15"/>
  <c r="U518" i="15"/>
  <c r="T518" i="15"/>
  <c r="P518" i="15"/>
  <c r="O518" i="15"/>
  <c r="S517" i="15"/>
  <c r="R517" i="15"/>
  <c r="U517" i="15" s="1"/>
  <c r="Q517" i="15"/>
  <c r="T517" i="15" s="1"/>
  <c r="S516" i="15"/>
  <c r="R516" i="15"/>
  <c r="U516" i="15" s="1"/>
  <c r="Q516" i="15"/>
  <c r="T516" i="15" s="1"/>
  <c r="S515" i="15"/>
  <c r="R515" i="15"/>
  <c r="U515" i="15" s="1"/>
  <c r="Q515" i="15"/>
  <c r="N515" i="15"/>
  <c r="M515" i="15"/>
  <c r="P515" i="15" s="1"/>
  <c r="L515" i="15"/>
  <c r="O515" i="15" s="1"/>
  <c r="S514" i="15"/>
  <c r="J513" i="15"/>
  <c r="I513" i="15"/>
  <c r="K513" i="15" s="1"/>
  <c r="I510" i="15"/>
  <c r="K510" i="15" s="1"/>
  <c r="K509" i="15"/>
  <c r="I508" i="15"/>
  <c r="K508" i="15" s="1"/>
  <c r="I507" i="15"/>
  <c r="K507" i="15" s="1"/>
  <c r="I506" i="15"/>
  <c r="K506" i="15" s="1"/>
  <c r="I505" i="15"/>
  <c r="K505" i="15" s="1"/>
  <c r="I504" i="15"/>
  <c r="K504" i="15" s="1"/>
  <c r="U502" i="15"/>
  <c r="T502" i="15"/>
  <c r="P502" i="15"/>
  <c r="O502" i="15"/>
  <c r="U501" i="15"/>
  <c r="T501" i="15"/>
  <c r="P501" i="15"/>
  <c r="O501" i="15"/>
  <c r="S500" i="15"/>
  <c r="R500" i="15"/>
  <c r="U500" i="15" s="1"/>
  <c r="Q500" i="15"/>
  <c r="T500" i="15" s="1"/>
  <c r="N500" i="15"/>
  <c r="M500" i="15"/>
  <c r="P500" i="15" s="1"/>
  <c r="L500" i="15"/>
  <c r="O500" i="15" s="1"/>
  <c r="S499" i="15"/>
  <c r="S496" i="15" s="1"/>
  <c r="R499" i="15"/>
  <c r="Q499" i="15"/>
  <c r="Q496" i="15" s="1"/>
  <c r="T496" i="15" s="1"/>
  <c r="P499" i="15"/>
  <c r="O499" i="15"/>
  <c r="U498" i="15"/>
  <c r="T498" i="15"/>
  <c r="P498" i="15"/>
  <c r="O498" i="15"/>
  <c r="N497" i="15"/>
  <c r="M497" i="15"/>
  <c r="P497" i="15" s="1"/>
  <c r="L497" i="15"/>
  <c r="O497" i="15" s="1"/>
  <c r="N496" i="15"/>
  <c r="M496" i="15"/>
  <c r="L496" i="15"/>
  <c r="O496" i="15" s="1"/>
  <c r="U495" i="15"/>
  <c r="S495" i="15"/>
  <c r="R495" i="15"/>
  <c r="Q495" i="15"/>
  <c r="N495" i="15"/>
  <c r="M495" i="15"/>
  <c r="P495" i="15" s="1"/>
  <c r="L495" i="15"/>
  <c r="L494" i="15" s="1"/>
  <c r="O494" i="15" s="1"/>
  <c r="J486" i="15"/>
  <c r="I486" i="15"/>
  <c r="K486" i="15" s="1"/>
  <c r="K485" i="15"/>
  <c r="J485" i="15"/>
  <c r="I485" i="15"/>
  <c r="J484" i="15"/>
  <c r="J483" i="15"/>
  <c r="K478" i="15"/>
  <c r="J478" i="15"/>
  <c r="K477" i="15"/>
  <c r="J477" i="15"/>
  <c r="K476" i="15"/>
  <c r="J476" i="15"/>
  <c r="J469" i="15"/>
  <c r="J468" i="15"/>
  <c r="J461" i="15"/>
  <c r="J459" i="15" s="1"/>
  <c r="J460" i="15"/>
  <c r="I459" i="15"/>
  <c r="K459" i="15" s="1"/>
  <c r="J458" i="15"/>
  <c r="J457" i="15" s="1"/>
  <c r="I458" i="15"/>
  <c r="J448" i="15"/>
  <c r="J442" i="15" s="1"/>
  <c r="J447" i="15"/>
  <c r="I442" i="15"/>
  <c r="K442" i="15" s="1"/>
  <c r="J441" i="15"/>
  <c r="J424" i="15" s="1"/>
  <c r="J413" i="15" s="1"/>
  <c r="I441" i="15"/>
  <c r="K441" i="15" s="1"/>
  <c r="J434" i="15"/>
  <c r="I434" i="15"/>
  <c r="K434" i="15" s="1"/>
  <c r="J433" i="15"/>
  <c r="I433" i="15"/>
  <c r="K433" i="15" s="1"/>
  <c r="J426" i="15"/>
  <c r="I426" i="15"/>
  <c r="K426" i="15" s="1"/>
  <c r="J425" i="15"/>
  <c r="I425" i="15"/>
  <c r="K425" i="15" s="1"/>
  <c r="U422" i="15"/>
  <c r="T422" i="15"/>
  <c r="P422" i="15"/>
  <c r="O422" i="15"/>
  <c r="U421" i="15"/>
  <c r="T421" i="15"/>
  <c r="P421" i="15"/>
  <c r="O421" i="15"/>
  <c r="U420" i="15"/>
  <c r="S420" i="15"/>
  <c r="R420" i="15"/>
  <c r="Q420" i="15"/>
  <c r="T420" i="15" s="1"/>
  <c r="N420" i="15"/>
  <c r="M420" i="15"/>
  <c r="P420" i="15" s="1"/>
  <c r="L420" i="15"/>
  <c r="O420" i="15" s="1"/>
  <c r="S419" i="15"/>
  <c r="S416" i="15" s="1"/>
  <c r="R419" i="15"/>
  <c r="Q419" i="15"/>
  <c r="Q416" i="15" s="1"/>
  <c r="P419" i="15"/>
  <c r="O419" i="15"/>
  <c r="U418" i="15"/>
  <c r="T418" i="15"/>
  <c r="P418" i="15"/>
  <c r="O418" i="15"/>
  <c r="N417" i="15"/>
  <c r="M417" i="15"/>
  <c r="P417" i="15" s="1"/>
  <c r="L417" i="15"/>
  <c r="O417" i="15" s="1"/>
  <c r="P416" i="15"/>
  <c r="N416" i="15"/>
  <c r="M416" i="15"/>
  <c r="L416" i="15"/>
  <c r="T415" i="15"/>
  <c r="S415" i="15"/>
  <c r="R415" i="15"/>
  <c r="U415" i="15" s="1"/>
  <c r="Q415" i="15"/>
  <c r="N415" i="15"/>
  <c r="M415" i="15"/>
  <c r="M414" i="15" s="1"/>
  <c r="P414" i="15" s="1"/>
  <c r="L415" i="15"/>
  <c r="O415" i="15" s="1"/>
  <c r="U401" i="15"/>
  <c r="T401" i="15"/>
  <c r="P401" i="15"/>
  <c r="O401" i="15"/>
  <c r="U400" i="15"/>
  <c r="T400" i="15"/>
  <c r="P400" i="15"/>
  <c r="O400" i="15"/>
  <c r="S399" i="15"/>
  <c r="R399" i="15"/>
  <c r="U399" i="15" s="1"/>
  <c r="Q399" i="15"/>
  <c r="T399" i="15" s="1"/>
  <c r="O399" i="15"/>
  <c r="N399" i="15"/>
  <c r="M399" i="15"/>
  <c r="P399" i="15" s="1"/>
  <c r="L399" i="15"/>
  <c r="U398" i="15"/>
  <c r="T398" i="15"/>
  <c r="P398" i="15"/>
  <c r="O398" i="15"/>
  <c r="U397" i="15"/>
  <c r="T397" i="15"/>
  <c r="P397" i="15"/>
  <c r="O397" i="15"/>
  <c r="S396" i="15"/>
  <c r="R396" i="15"/>
  <c r="U396" i="15" s="1"/>
  <c r="Q396" i="15"/>
  <c r="T396" i="15" s="1"/>
  <c r="N396" i="15"/>
  <c r="M396" i="15"/>
  <c r="P396" i="15" s="1"/>
  <c r="L396" i="15"/>
  <c r="O396" i="15" s="1"/>
  <c r="S395" i="15"/>
  <c r="R395" i="15"/>
  <c r="U395" i="15" s="1"/>
  <c r="Q395" i="15"/>
  <c r="T395" i="15" s="1"/>
  <c r="N395" i="15"/>
  <c r="M395" i="15"/>
  <c r="P395" i="15" s="1"/>
  <c r="L395" i="15"/>
  <c r="O395" i="15" s="1"/>
  <c r="S394" i="15"/>
  <c r="R394" i="15"/>
  <c r="Q394" i="15"/>
  <c r="T394" i="15" s="1"/>
  <c r="N394" i="15"/>
  <c r="N393" i="15" s="1"/>
  <c r="M394" i="15"/>
  <c r="P394" i="15" s="1"/>
  <c r="L394" i="15"/>
  <c r="S393" i="15"/>
  <c r="Q393" i="15"/>
  <c r="T393" i="15" s="1"/>
  <c r="J392" i="15"/>
  <c r="I392" i="15"/>
  <c r="K392" i="15" s="1"/>
  <c r="J389" i="15"/>
  <c r="I389" i="15"/>
  <c r="K389" i="15" s="1"/>
  <c r="K388" i="15"/>
  <c r="J388" i="15"/>
  <c r="J387" i="15"/>
  <c r="I387" i="15"/>
  <c r="K386" i="15"/>
  <c r="J386" i="15"/>
  <c r="U384" i="15"/>
  <c r="T384" i="15"/>
  <c r="P384" i="15"/>
  <c r="O384" i="15"/>
  <c r="U383" i="15"/>
  <c r="T383" i="15"/>
  <c r="P383" i="15"/>
  <c r="O383" i="15"/>
  <c r="S382" i="15"/>
  <c r="R382" i="15"/>
  <c r="U382" i="15" s="1"/>
  <c r="Q382" i="15"/>
  <c r="T382" i="15" s="1"/>
  <c r="O382" i="15"/>
  <c r="N382" i="15"/>
  <c r="M382" i="15"/>
  <c r="P382" i="15" s="1"/>
  <c r="L382" i="15"/>
  <c r="S381" i="15"/>
  <c r="S379" i="15" s="1"/>
  <c r="R381" i="15"/>
  <c r="R378" i="15" s="1"/>
  <c r="U378" i="15" s="1"/>
  <c r="Q381" i="15"/>
  <c r="P381" i="15"/>
  <c r="O381" i="15"/>
  <c r="U380" i="15"/>
  <c r="T380" i="15"/>
  <c r="P380" i="15"/>
  <c r="O380" i="15"/>
  <c r="P379" i="15"/>
  <c r="N379" i="15"/>
  <c r="M379" i="15"/>
  <c r="L379" i="15"/>
  <c r="O379" i="15" s="1"/>
  <c r="N378" i="15"/>
  <c r="M378" i="15"/>
  <c r="P378" i="15" s="1"/>
  <c r="L378" i="15"/>
  <c r="O378" i="15" s="1"/>
  <c r="S377" i="15"/>
  <c r="R377" i="15"/>
  <c r="U377" i="15" s="1"/>
  <c r="Q377" i="15"/>
  <c r="N377" i="15"/>
  <c r="N376" i="15" s="1"/>
  <c r="M377" i="15"/>
  <c r="M376" i="15" s="1"/>
  <c r="P376" i="15" s="1"/>
  <c r="L377" i="15"/>
  <c r="O377" i="15" s="1"/>
  <c r="D374" i="15"/>
  <c r="K373" i="15"/>
  <c r="J373" i="15"/>
  <c r="J372" i="15"/>
  <c r="J366" i="15" s="1"/>
  <c r="I372" i="15"/>
  <c r="K371" i="15"/>
  <c r="J371" i="15"/>
  <c r="J370" i="15"/>
  <c r="I370" i="15"/>
  <c r="J369" i="15"/>
  <c r="I369" i="15"/>
  <c r="K368" i="15"/>
  <c r="J368" i="15"/>
  <c r="U365" i="15"/>
  <c r="T365" i="15"/>
  <c r="N365" i="15"/>
  <c r="N363" i="15" s="1"/>
  <c r="M365" i="15"/>
  <c r="P365" i="15" s="1"/>
  <c r="L365" i="15"/>
  <c r="O365" i="15" s="1"/>
  <c r="U364" i="15"/>
  <c r="T364" i="15"/>
  <c r="P364" i="15"/>
  <c r="O364" i="15"/>
  <c r="S363" i="15"/>
  <c r="R363" i="15"/>
  <c r="U363" i="15" s="1"/>
  <c r="Q363" i="15"/>
  <c r="T363" i="15" s="1"/>
  <c r="U362" i="15"/>
  <c r="T362" i="15"/>
  <c r="N362" i="15"/>
  <c r="M362" i="15"/>
  <c r="M359" i="15" s="1"/>
  <c r="L362" i="15"/>
  <c r="L360" i="15" s="1"/>
  <c r="U361" i="15"/>
  <c r="T361" i="15"/>
  <c r="P361" i="15"/>
  <c r="O361" i="15"/>
  <c r="U360" i="15"/>
  <c r="T360" i="15"/>
  <c r="S360" i="15"/>
  <c r="R360" i="15"/>
  <c r="Q360" i="15"/>
  <c r="S359" i="15"/>
  <c r="R359" i="15"/>
  <c r="U359" i="15" s="1"/>
  <c r="Q359" i="15"/>
  <c r="T359" i="15" s="1"/>
  <c r="U358" i="15"/>
  <c r="T358" i="15"/>
  <c r="S358" i="15"/>
  <c r="R358" i="15"/>
  <c r="Q358" i="15"/>
  <c r="P358" i="15"/>
  <c r="O358" i="15"/>
  <c r="N358" i="15"/>
  <c r="M358" i="15"/>
  <c r="L358" i="15"/>
  <c r="S357" i="15"/>
  <c r="R357" i="15"/>
  <c r="U357" i="15" s="1"/>
  <c r="D355" i="15"/>
  <c r="J354" i="15"/>
  <c r="J353" i="15"/>
  <c r="D351" i="15"/>
  <c r="J350" i="15"/>
  <c r="J349" i="15"/>
  <c r="J348" i="15"/>
  <c r="J347" i="15"/>
  <c r="I347" i="15"/>
  <c r="J345" i="15"/>
  <c r="I345" i="15"/>
  <c r="U342" i="15"/>
  <c r="T342" i="15"/>
  <c r="N342" i="15"/>
  <c r="N340" i="15" s="1"/>
  <c r="M342" i="15"/>
  <c r="L342" i="15"/>
  <c r="O342" i="15" s="1"/>
  <c r="U341" i="15"/>
  <c r="T341" i="15"/>
  <c r="P341" i="15"/>
  <c r="O341" i="15"/>
  <c r="T340" i="15"/>
  <c r="S340" i="15"/>
  <c r="R340" i="15"/>
  <c r="U340" i="15" s="1"/>
  <c r="Q340" i="15"/>
  <c r="U339" i="15"/>
  <c r="T339" i="15"/>
  <c r="N339" i="15"/>
  <c r="M339" i="15"/>
  <c r="M337" i="15" s="1"/>
  <c r="L339" i="15"/>
  <c r="L337" i="15" s="1"/>
  <c r="U338" i="15"/>
  <c r="T338" i="15"/>
  <c r="P338" i="15"/>
  <c r="O338" i="15"/>
  <c r="U337" i="15"/>
  <c r="S337" i="15"/>
  <c r="R337" i="15"/>
  <c r="Q337" i="15"/>
  <c r="T337" i="15" s="1"/>
  <c r="U336" i="15"/>
  <c r="S336" i="15"/>
  <c r="R336" i="15"/>
  <c r="Q336" i="15"/>
  <c r="T336" i="15" s="1"/>
  <c r="S335" i="15"/>
  <c r="R335" i="15"/>
  <c r="U335" i="15" s="1"/>
  <c r="Q335" i="15"/>
  <c r="T335" i="15" s="1"/>
  <c r="N335" i="15"/>
  <c r="M335" i="15"/>
  <c r="P335" i="15" s="1"/>
  <c r="L335" i="15"/>
  <c r="S334" i="15"/>
  <c r="R334" i="15"/>
  <c r="U334" i="15" s="1"/>
  <c r="I331" i="15"/>
  <c r="K331" i="15" s="1"/>
  <c r="U329" i="15"/>
  <c r="T329" i="15"/>
  <c r="N329" i="15"/>
  <c r="M329" i="15"/>
  <c r="L329" i="15"/>
  <c r="L327" i="15" s="1"/>
  <c r="O327" i="15" s="1"/>
  <c r="U328" i="15"/>
  <c r="T328" i="15"/>
  <c r="P328" i="15"/>
  <c r="O328" i="15"/>
  <c r="S327" i="15"/>
  <c r="R327" i="15"/>
  <c r="U327" i="15" s="1"/>
  <c r="Q327" i="15"/>
  <c r="T327" i="15" s="1"/>
  <c r="U326" i="15"/>
  <c r="T326" i="15"/>
  <c r="N326" i="15"/>
  <c r="N324" i="15" s="1"/>
  <c r="M326" i="15"/>
  <c r="M324" i="15" s="1"/>
  <c r="P324" i="15" s="1"/>
  <c r="L326" i="15"/>
  <c r="L324" i="15" s="1"/>
  <c r="O324" i="15" s="1"/>
  <c r="U325" i="15"/>
  <c r="T325" i="15"/>
  <c r="P325" i="15"/>
  <c r="O325" i="15"/>
  <c r="T324" i="15"/>
  <c r="S324" i="15"/>
  <c r="R324" i="15"/>
  <c r="U324" i="15" s="1"/>
  <c r="Q324" i="15"/>
  <c r="U323" i="15"/>
  <c r="T323" i="15"/>
  <c r="S323" i="15"/>
  <c r="R323" i="15"/>
  <c r="Q323" i="15"/>
  <c r="S322" i="15"/>
  <c r="S321" i="15" s="1"/>
  <c r="R322" i="15"/>
  <c r="U322" i="15" s="1"/>
  <c r="Q322" i="15"/>
  <c r="Q321" i="15" s="1"/>
  <c r="T321" i="15" s="1"/>
  <c r="P322" i="15"/>
  <c r="N322" i="15"/>
  <c r="M322" i="15"/>
  <c r="L322" i="15"/>
  <c r="O322" i="15" s="1"/>
  <c r="R321" i="15"/>
  <c r="U321" i="15" s="1"/>
  <c r="J320" i="15"/>
  <c r="I315" i="15"/>
  <c r="K315" i="15" s="1"/>
  <c r="U312" i="15"/>
  <c r="T312" i="15"/>
  <c r="N312" i="15"/>
  <c r="N310" i="15" s="1"/>
  <c r="M312" i="15"/>
  <c r="P312" i="15" s="1"/>
  <c r="L312" i="15"/>
  <c r="L310" i="15" s="1"/>
  <c r="O310" i="15" s="1"/>
  <c r="U311" i="15"/>
  <c r="T311" i="15"/>
  <c r="P311" i="15"/>
  <c r="O311" i="15"/>
  <c r="T310" i="15"/>
  <c r="S310" i="15"/>
  <c r="R310" i="15"/>
  <c r="U310" i="15" s="1"/>
  <c r="Q310" i="15"/>
  <c r="S309" i="15"/>
  <c r="S307" i="15" s="1"/>
  <c r="R309" i="15"/>
  <c r="Q309" i="15"/>
  <c r="Q306" i="15" s="1"/>
  <c r="N309" i="15"/>
  <c r="N307" i="15" s="1"/>
  <c r="M309" i="15"/>
  <c r="M307" i="15" s="1"/>
  <c r="L309" i="15"/>
  <c r="L307" i="15" s="1"/>
  <c r="U308" i="15"/>
  <c r="T308" i="15"/>
  <c r="P308" i="15"/>
  <c r="O308" i="15"/>
  <c r="T305" i="15"/>
  <c r="S305" i="15"/>
  <c r="R305" i="15"/>
  <c r="U305" i="15" s="1"/>
  <c r="Q305" i="15"/>
  <c r="N305" i="15"/>
  <c r="M305" i="15"/>
  <c r="P305" i="15" s="1"/>
  <c r="L305" i="15"/>
  <c r="O305" i="15" s="1"/>
  <c r="J303" i="15"/>
  <c r="I297" i="15"/>
  <c r="K297" i="15" s="1"/>
  <c r="I296" i="15"/>
  <c r="K296" i="15" s="1"/>
  <c r="J294" i="15"/>
  <c r="I294" i="15"/>
  <c r="I281" i="15" s="1"/>
  <c r="K281" i="15" s="1"/>
  <c r="I293" i="15"/>
  <c r="K293" i="15" s="1"/>
  <c r="U291" i="15"/>
  <c r="T291" i="15"/>
  <c r="N291" i="15"/>
  <c r="N289" i="15" s="1"/>
  <c r="M291" i="15"/>
  <c r="P291" i="15" s="1"/>
  <c r="L291" i="15"/>
  <c r="L289" i="15" s="1"/>
  <c r="O289" i="15" s="1"/>
  <c r="U290" i="15"/>
  <c r="T290" i="15"/>
  <c r="P290" i="15"/>
  <c r="O290" i="15"/>
  <c r="U289" i="15"/>
  <c r="T289" i="15"/>
  <c r="S289" i="15"/>
  <c r="R289" i="15"/>
  <c r="Q289" i="15"/>
  <c r="U288" i="15"/>
  <c r="T288" i="15"/>
  <c r="N288" i="15"/>
  <c r="M288" i="15"/>
  <c r="P288" i="15" s="1"/>
  <c r="L288" i="15"/>
  <c r="L286" i="15" s="1"/>
  <c r="O286" i="15" s="1"/>
  <c r="U287" i="15"/>
  <c r="T287" i="15"/>
  <c r="P287" i="15"/>
  <c r="O287" i="15"/>
  <c r="T286" i="15"/>
  <c r="S286" i="15"/>
  <c r="R286" i="15"/>
  <c r="U286" i="15" s="1"/>
  <c r="Q286" i="15"/>
  <c r="U285" i="15"/>
  <c r="S285" i="15"/>
  <c r="R285" i="15"/>
  <c r="Q285" i="15"/>
  <c r="T284" i="15"/>
  <c r="S284" i="15"/>
  <c r="S283" i="15" s="1"/>
  <c r="R284" i="15"/>
  <c r="U284" i="15" s="1"/>
  <c r="Q284" i="15"/>
  <c r="N284" i="15"/>
  <c r="M284" i="15"/>
  <c r="L284" i="15"/>
  <c r="O284" i="15" s="1"/>
  <c r="J282" i="15"/>
  <c r="J281" i="15"/>
  <c r="I277" i="15"/>
  <c r="K277" i="15" s="1"/>
  <c r="U275" i="15"/>
  <c r="T275" i="15"/>
  <c r="N275" i="15"/>
  <c r="N273" i="15" s="1"/>
  <c r="M275" i="15"/>
  <c r="M273" i="15" s="1"/>
  <c r="P273" i="15" s="1"/>
  <c r="L275" i="15"/>
  <c r="U274" i="15"/>
  <c r="T274" i="15"/>
  <c r="P274" i="15"/>
  <c r="O274" i="15"/>
  <c r="S273" i="15"/>
  <c r="R273" i="15"/>
  <c r="U273" i="15" s="1"/>
  <c r="Q273" i="15"/>
  <c r="T273" i="15" s="1"/>
  <c r="S272" i="15"/>
  <c r="S269" i="15" s="1"/>
  <c r="S267" i="15" s="1"/>
  <c r="R272" i="15"/>
  <c r="R270" i="15" s="1"/>
  <c r="Q272" i="15"/>
  <c r="Q269" i="15" s="1"/>
  <c r="N272" i="15"/>
  <c r="M272" i="15"/>
  <c r="M270" i="15" s="1"/>
  <c r="L272" i="15"/>
  <c r="O272" i="15" s="1"/>
  <c r="U271" i="15"/>
  <c r="T271" i="15"/>
  <c r="P271" i="15"/>
  <c r="O271" i="15"/>
  <c r="U268" i="15"/>
  <c r="T268" i="15"/>
  <c r="S268" i="15"/>
  <c r="R268" i="15"/>
  <c r="Q268" i="15"/>
  <c r="N268" i="15"/>
  <c r="M268" i="15"/>
  <c r="P268" i="15" s="1"/>
  <c r="L268" i="15"/>
  <c r="J266" i="15"/>
  <c r="K264" i="15"/>
  <c r="K263" i="15"/>
  <c r="I261" i="15"/>
  <c r="K261" i="15" s="1"/>
  <c r="L259" i="15"/>
  <c r="L258" i="15"/>
  <c r="L257" i="15"/>
  <c r="L256" i="15"/>
  <c r="P255" i="15"/>
  <c r="N255" i="15"/>
  <c r="N233" i="15" s="1"/>
  <c r="J254" i="15"/>
  <c r="I253" i="15"/>
  <c r="K253" i="15" s="1"/>
  <c r="I252" i="15"/>
  <c r="K252" i="15" s="1"/>
  <c r="I250" i="15"/>
  <c r="K250" i="15" s="1"/>
  <c r="L248" i="15"/>
  <c r="L247" i="15"/>
  <c r="L246" i="15"/>
  <c r="L245" i="15"/>
  <c r="P244" i="15"/>
  <c r="N244" i="15"/>
  <c r="J243" i="15"/>
  <c r="J242" i="15"/>
  <c r="J241" i="15"/>
  <c r="J239" i="15"/>
  <c r="N237" i="15"/>
  <c r="N236" i="15"/>
  <c r="N235" i="15"/>
  <c r="N234" i="15"/>
  <c r="J232" i="15"/>
  <c r="J186" i="15" s="1"/>
  <c r="I231" i="15"/>
  <c r="K231" i="15" s="1"/>
  <c r="I230" i="15"/>
  <c r="K230" i="15" s="1"/>
  <c r="I229" i="15"/>
  <c r="K229" i="15" s="1"/>
  <c r="L226" i="15"/>
  <c r="L225" i="15"/>
  <c r="L224" i="15"/>
  <c r="P223" i="15"/>
  <c r="N223" i="15"/>
  <c r="J222" i="15"/>
  <c r="I221" i="15"/>
  <c r="I214" i="15" s="1"/>
  <c r="K214" i="15" s="1"/>
  <c r="I220" i="15"/>
  <c r="K220" i="15" s="1"/>
  <c r="L218" i="15"/>
  <c r="L217" i="15"/>
  <c r="L216" i="15"/>
  <c r="P215" i="15"/>
  <c r="N215" i="15"/>
  <c r="J214" i="15"/>
  <c r="I213" i="15"/>
  <c r="K213" i="15" s="1"/>
  <c r="I212" i="15"/>
  <c r="K212" i="15" s="1"/>
  <c r="I210" i="15"/>
  <c r="K210" i="15" s="1"/>
  <c r="L208" i="15"/>
  <c r="L207" i="15"/>
  <c r="L206" i="15"/>
  <c r="L205" i="15"/>
  <c r="P204" i="15"/>
  <c r="N204" i="15"/>
  <c r="J203" i="15"/>
  <c r="J200" i="15"/>
  <c r="I199" i="15"/>
  <c r="K199" i="15" s="1"/>
  <c r="P197" i="15"/>
  <c r="L197" i="15"/>
  <c r="O197" i="15" s="1"/>
  <c r="J196" i="15"/>
  <c r="U195" i="15"/>
  <c r="T195" i="15"/>
  <c r="N195" i="15"/>
  <c r="N193" i="15" s="1"/>
  <c r="M195" i="15"/>
  <c r="L195" i="15"/>
  <c r="O195" i="15" s="1"/>
  <c r="U194" i="15"/>
  <c r="T194" i="15"/>
  <c r="P194" i="15"/>
  <c r="O194" i="15"/>
  <c r="U193" i="15"/>
  <c r="T193" i="15"/>
  <c r="S193" i="15"/>
  <c r="R193" i="15"/>
  <c r="Q193" i="15"/>
  <c r="S192" i="15"/>
  <c r="S190" i="15" s="1"/>
  <c r="R192" i="15"/>
  <c r="R190" i="15" s="1"/>
  <c r="Q192" i="15"/>
  <c r="N192" i="15"/>
  <c r="M192" i="15"/>
  <c r="M190" i="15" s="1"/>
  <c r="L192" i="15"/>
  <c r="L190" i="15" s="1"/>
  <c r="U191" i="15"/>
  <c r="T191" i="15"/>
  <c r="P191" i="15"/>
  <c r="O191" i="15"/>
  <c r="U188" i="15"/>
  <c r="T188" i="15"/>
  <c r="S188" i="15"/>
  <c r="R188" i="15"/>
  <c r="Q188" i="15"/>
  <c r="P188" i="15"/>
  <c r="O188" i="15"/>
  <c r="N188" i="15"/>
  <c r="M188" i="15"/>
  <c r="L188" i="15"/>
  <c r="K185" i="15"/>
  <c r="I184" i="15"/>
  <c r="I173" i="15" s="1"/>
  <c r="U182" i="15"/>
  <c r="T182" i="15"/>
  <c r="N182" i="15"/>
  <c r="N180" i="15" s="1"/>
  <c r="M182" i="15"/>
  <c r="M180" i="15" s="1"/>
  <c r="P180" i="15" s="1"/>
  <c r="L182" i="15"/>
  <c r="O182" i="15" s="1"/>
  <c r="U181" i="15"/>
  <c r="T181" i="15"/>
  <c r="P181" i="15"/>
  <c r="O181" i="15"/>
  <c r="U180" i="15"/>
  <c r="S180" i="15"/>
  <c r="R180" i="15"/>
  <c r="Q180" i="15"/>
  <c r="T180" i="15" s="1"/>
  <c r="S179" i="15"/>
  <c r="R179" i="15"/>
  <c r="R177" i="15" s="1"/>
  <c r="U177" i="15" s="1"/>
  <c r="Q179" i="15"/>
  <c r="N179" i="15"/>
  <c r="N177" i="15" s="1"/>
  <c r="M179" i="15"/>
  <c r="L179" i="15"/>
  <c r="U178" i="15"/>
  <c r="T178" i="15"/>
  <c r="P178" i="15"/>
  <c r="O178" i="15"/>
  <c r="S175" i="15"/>
  <c r="R175" i="15"/>
  <c r="U175" i="15" s="1"/>
  <c r="Q175" i="15"/>
  <c r="T175" i="15" s="1"/>
  <c r="N175" i="15"/>
  <c r="M175" i="15"/>
  <c r="L175" i="15"/>
  <c r="O175" i="15" s="1"/>
  <c r="J173" i="15"/>
  <c r="I170" i="15"/>
  <c r="I157" i="15" s="1"/>
  <c r="K157" i="15" s="1"/>
  <c r="I169" i="15"/>
  <c r="K169" i="15" s="1"/>
  <c r="I168" i="15"/>
  <c r="K168" i="15" s="1"/>
  <c r="U166" i="15"/>
  <c r="T166" i="15"/>
  <c r="N166" i="15"/>
  <c r="N164" i="15" s="1"/>
  <c r="M166" i="15"/>
  <c r="M164" i="15" s="1"/>
  <c r="P164" i="15" s="1"/>
  <c r="L166" i="15"/>
  <c r="U165" i="15"/>
  <c r="T165" i="15"/>
  <c r="P165" i="15"/>
  <c r="O165" i="15"/>
  <c r="S164" i="15"/>
  <c r="R164" i="15"/>
  <c r="U164" i="15" s="1"/>
  <c r="Q164" i="15"/>
  <c r="T164" i="15" s="1"/>
  <c r="S163" i="15"/>
  <c r="S161" i="15" s="1"/>
  <c r="R163" i="15"/>
  <c r="U163" i="15" s="1"/>
  <c r="Q161" i="15"/>
  <c r="T161" i="15" s="1"/>
  <c r="N163" i="15"/>
  <c r="N161" i="15" s="1"/>
  <c r="M163" i="15"/>
  <c r="L163" i="15"/>
  <c r="L161" i="15" s="1"/>
  <c r="O161" i="15" s="1"/>
  <c r="U162" i="15"/>
  <c r="T162" i="15"/>
  <c r="P162" i="15"/>
  <c r="O162" i="15"/>
  <c r="S159" i="15"/>
  <c r="R159" i="15"/>
  <c r="U159" i="15" s="1"/>
  <c r="Q159" i="15"/>
  <c r="T159" i="15" s="1"/>
  <c r="N159" i="15"/>
  <c r="M159" i="15"/>
  <c r="L159" i="15"/>
  <c r="O159" i="15" s="1"/>
  <c r="J157" i="15"/>
  <c r="I155" i="15"/>
  <c r="K155" i="15" s="1"/>
  <c r="I154" i="15"/>
  <c r="K154" i="15" s="1"/>
  <c r="I153" i="15"/>
  <c r="I138" i="15" s="1"/>
  <c r="K138" i="15" s="1"/>
  <c r="I152" i="15"/>
  <c r="K152" i="15" s="1"/>
  <c r="I151" i="15"/>
  <c r="K151" i="15" s="1"/>
  <c r="U148" i="15"/>
  <c r="T148" i="15"/>
  <c r="N148" i="15"/>
  <c r="M148" i="15"/>
  <c r="P148" i="15" s="1"/>
  <c r="L148" i="15"/>
  <c r="U147" i="15"/>
  <c r="T147" i="15"/>
  <c r="P147" i="15"/>
  <c r="O147" i="15"/>
  <c r="S146" i="15"/>
  <c r="R146" i="15"/>
  <c r="U146" i="15" s="1"/>
  <c r="Q146" i="15"/>
  <c r="T146" i="15" s="1"/>
  <c r="S145" i="15"/>
  <c r="S143" i="15" s="1"/>
  <c r="R145" i="15"/>
  <c r="Q145" i="15"/>
  <c r="N145" i="15"/>
  <c r="N143" i="15" s="1"/>
  <c r="M145" i="15"/>
  <c r="P145" i="15" s="1"/>
  <c r="L145" i="15"/>
  <c r="U144" i="15"/>
  <c r="T144" i="15"/>
  <c r="P144" i="15"/>
  <c r="O144" i="15"/>
  <c r="S141" i="15"/>
  <c r="R141" i="15"/>
  <c r="U141" i="15" s="1"/>
  <c r="Q141" i="15"/>
  <c r="N141" i="15"/>
  <c r="M141" i="15"/>
  <c r="P141" i="15" s="1"/>
  <c r="L141" i="15"/>
  <c r="O141" i="15" s="1"/>
  <c r="J139" i="15"/>
  <c r="J138" i="15"/>
  <c r="J137" i="15"/>
  <c r="I131" i="15"/>
  <c r="K131" i="15" s="1"/>
  <c r="I130" i="15"/>
  <c r="K130" i="15" s="1"/>
  <c r="I129" i="15"/>
  <c r="K129" i="15" s="1"/>
  <c r="I128" i="15"/>
  <c r="I117" i="15" s="1"/>
  <c r="K117" i="15" s="1"/>
  <c r="U126" i="15"/>
  <c r="T126" i="15"/>
  <c r="N126" i="15"/>
  <c r="N124" i="15" s="1"/>
  <c r="M126" i="15"/>
  <c r="M124" i="15" s="1"/>
  <c r="P124" i="15" s="1"/>
  <c r="L126" i="15"/>
  <c r="O126" i="15" s="1"/>
  <c r="U125" i="15"/>
  <c r="T125" i="15"/>
  <c r="P125" i="15"/>
  <c r="O125" i="15"/>
  <c r="U124" i="15"/>
  <c r="S124" i="15"/>
  <c r="R124" i="15"/>
  <c r="Q124" i="15"/>
  <c r="T124" i="15" s="1"/>
  <c r="S123" i="15"/>
  <c r="S121" i="15" s="1"/>
  <c r="R123" i="15"/>
  <c r="R120" i="15" s="1"/>
  <c r="R118" i="15" s="1"/>
  <c r="Q123" i="15"/>
  <c r="Q121" i="15" s="1"/>
  <c r="N123" i="15"/>
  <c r="N121" i="15" s="1"/>
  <c r="M123" i="15"/>
  <c r="M121" i="15" s="1"/>
  <c r="P121" i="15" s="1"/>
  <c r="L123" i="15"/>
  <c r="U122" i="15"/>
  <c r="T122" i="15"/>
  <c r="P122" i="15"/>
  <c r="O122" i="15"/>
  <c r="S119" i="15"/>
  <c r="R119" i="15"/>
  <c r="U119" i="15" s="1"/>
  <c r="Q119" i="15"/>
  <c r="N119" i="15"/>
  <c r="M119" i="15"/>
  <c r="L119" i="15"/>
  <c r="O119" i="15" s="1"/>
  <c r="J117" i="15"/>
  <c r="I115" i="15"/>
  <c r="K115" i="15" s="1"/>
  <c r="I110" i="15"/>
  <c r="I94" i="15" s="1"/>
  <c r="K94" i="15" s="1"/>
  <c r="I109" i="15"/>
  <c r="K109" i="15" s="1"/>
  <c r="U103" i="15"/>
  <c r="T103" i="15"/>
  <c r="N103" i="15"/>
  <c r="N101" i="15" s="1"/>
  <c r="M103" i="15"/>
  <c r="M101" i="15" s="1"/>
  <c r="P101" i="15" s="1"/>
  <c r="L103" i="15"/>
  <c r="O103" i="15" s="1"/>
  <c r="U102" i="15"/>
  <c r="T102" i="15"/>
  <c r="P102" i="15"/>
  <c r="O102" i="15"/>
  <c r="S101" i="15"/>
  <c r="R101" i="15"/>
  <c r="U101" i="15" s="1"/>
  <c r="Q101" i="15"/>
  <c r="T101" i="15" s="1"/>
  <c r="S100" i="15"/>
  <c r="S98" i="15" s="1"/>
  <c r="R100" i="15"/>
  <c r="R97" i="15" s="1"/>
  <c r="U97" i="15" s="1"/>
  <c r="Q98" i="15"/>
  <c r="T98" i="15" s="1"/>
  <c r="N100" i="15"/>
  <c r="M100" i="15"/>
  <c r="M98" i="15" s="1"/>
  <c r="P98" i="15" s="1"/>
  <c r="L100" i="15"/>
  <c r="U99" i="15"/>
  <c r="T99" i="15"/>
  <c r="P99" i="15"/>
  <c r="O99" i="15"/>
  <c r="T96" i="15"/>
  <c r="S96" i="15"/>
  <c r="R96" i="15"/>
  <c r="U96" i="15" s="1"/>
  <c r="Q96" i="15"/>
  <c r="N96" i="15"/>
  <c r="M96" i="15"/>
  <c r="P96" i="15" s="1"/>
  <c r="L96" i="15"/>
  <c r="O96" i="15" s="1"/>
  <c r="J94" i="15"/>
  <c r="J93" i="15"/>
  <c r="I91" i="15"/>
  <c r="K91" i="15" s="1"/>
  <c r="I90" i="15"/>
  <c r="K90" i="15" s="1"/>
  <c r="I89" i="15"/>
  <c r="K89" i="15" s="1"/>
  <c r="I88" i="15"/>
  <c r="K88" i="15" s="1"/>
  <c r="I87" i="15"/>
  <c r="K87" i="15" s="1"/>
  <c r="I86" i="15"/>
  <c r="I85" i="15"/>
  <c r="K85" i="15" s="1"/>
  <c r="J84" i="15"/>
  <c r="J72" i="15" s="1"/>
  <c r="J83" i="15"/>
  <c r="J71" i="15" s="1"/>
  <c r="U81" i="15"/>
  <c r="T81" i="15"/>
  <c r="N81" i="15"/>
  <c r="N79" i="15" s="1"/>
  <c r="M81" i="15"/>
  <c r="P81" i="15" s="1"/>
  <c r="L81" i="15"/>
  <c r="L79" i="15" s="1"/>
  <c r="O79" i="15" s="1"/>
  <c r="U80" i="15"/>
  <c r="T80" i="15"/>
  <c r="P80" i="15"/>
  <c r="O80" i="15"/>
  <c r="S79" i="15"/>
  <c r="R79" i="15"/>
  <c r="U79" i="15" s="1"/>
  <c r="Q79" i="15"/>
  <c r="T79" i="15" s="1"/>
  <c r="S78" i="15"/>
  <c r="S75" i="15" s="1"/>
  <c r="R78" i="15"/>
  <c r="R76" i="15" s="1"/>
  <c r="U76" i="15" s="1"/>
  <c r="N78" i="15"/>
  <c r="M78" i="15"/>
  <c r="P78" i="15" s="1"/>
  <c r="L78" i="15"/>
  <c r="L76" i="15" s="1"/>
  <c r="O76" i="15" s="1"/>
  <c r="U77" i="15"/>
  <c r="T77" i="15"/>
  <c r="P77" i="15"/>
  <c r="O77" i="15"/>
  <c r="S74" i="15"/>
  <c r="R74" i="15"/>
  <c r="U74" i="15" s="1"/>
  <c r="Q74" i="15"/>
  <c r="T74" i="15" s="1"/>
  <c r="N74" i="15"/>
  <c r="M74" i="15"/>
  <c r="P74" i="15" s="1"/>
  <c r="L74" i="15"/>
  <c r="O74" i="15" s="1"/>
  <c r="U68" i="15"/>
  <c r="T68" i="15"/>
  <c r="N68" i="15"/>
  <c r="N66" i="15" s="1"/>
  <c r="M68" i="15"/>
  <c r="M66" i="15" s="1"/>
  <c r="P66" i="15" s="1"/>
  <c r="L68" i="15"/>
  <c r="O68" i="15" s="1"/>
  <c r="U67" i="15"/>
  <c r="T67" i="15"/>
  <c r="P67" i="15"/>
  <c r="O67" i="15"/>
  <c r="S66" i="15"/>
  <c r="R66" i="15"/>
  <c r="U66" i="15" s="1"/>
  <c r="Q66" i="15"/>
  <c r="T66" i="15" s="1"/>
  <c r="U65" i="15"/>
  <c r="T65" i="15"/>
  <c r="N65" i="15"/>
  <c r="N63" i="15" s="1"/>
  <c r="M65" i="15"/>
  <c r="L65" i="15"/>
  <c r="L63" i="15" s="1"/>
  <c r="U64" i="15"/>
  <c r="T64" i="15"/>
  <c r="P64" i="15"/>
  <c r="O64" i="15"/>
  <c r="U63" i="15"/>
  <c r="T63" i="15"/>
  <c r="S63" i="15"/>
  <c r="R63" i="15"/>
  <c r="Q63" i="15"/>
  <c r="U62" i="15"/>
  <c r="S62" i="15"/>
  <c r="R62" i="15"/>
  <c r="Q62" i="15"/>
  <c r="T62" i="15" s="1"/>
  <c r="U61" i="15"/>
  <c r="S61" i="15"/>
  <c r="S60" i="15" s="1"/>
  <c r="R61" i="15"/>
  <c r="Q61" i="15"/>
  <c r="O61" i="15"/>
  <c r="N61" i="15"/>
  <c r="M61" i="15"/>
  <c r="P61" i="15" s="1"/>
  <c r="L61" i="15"/>
  <c r="U53" i="15"/>
  <c r="T53" i="15"/>
  <c r="N53" i="15"/>
  <c r="M53" i="15"/>
  <c r="M51" i="15" s="1"/>
  <c r="P51" i="15" s="1"/>
  <c r="L53" i="15"/>
  <c r="O53" i="15" s="1"/>
  <c r="U52" i="15"/>
  <c r="T52" i="15"/>
  <c r="P52" i="15"/>
  <c r="O52" i="15"/>
  <c r="S51" i="15"/>
  <c r="R51" i="15"/>
  <c r="U51" i="15" s="1"/>
  <c r="Q51" i="15"/>
  <c r="T51" i="15" s="1"/>
  <c r="U50" i="15"/>
  <c r="T50" i="15"/>
  <c r="N50" i="15"/>
  <c r="M50" i="15"/>
  <c r="M48" i="15" s="1"/>
  <c r="L50" i="15"/>
  <c r="L48" i="15" s="1"/>
  <c r="U49" i="15"/>
  <c r="T49" i="15"/>
  <c r="P49" i="15"/>
  <c r="O49" i="15"/>
  <c r="U48" i="15"/>
  <c r="T48" i="15"/>
  <c r="S48" i="15"/>
  <c r="R48" i="15"/>
  <c r="Q48" i="15"/>
  <c r="U47" i="15"/>
  <c r="S47" i="15"/>
  <c r="S45" i="15" s="1"/>
  <c r="R47" i="15"/>
  <c r="Q47" i="15"/>
  <c r="T47" i="15" s="1"/>
  <c r="S46" i="15"/>
  <c r="R46" i="15"/>
  <c r="R45" i="15" s="1"/>
  <c r="U45" i="15" s="1"/>
  <c r="Q46" i="15"/>
  <c r="T46" i="15" s="1"/>
  <c r="O46" i="15"/>
  <c r="N46" i="15"/>
  <c r="M46" i="15"/>
  <c r="P46" i="15" s="1"/>
  <c r="L46" i="15"/>
  <c r="S27" i="15"/>
  <c r="R27" i="15"/>
  <c r="U27" i="15" s="1"/>
  <c r="Q27" i="15"/>
  <c r="T27" i="15" s="1"/>
  <c r="S26" i="15"/>
  <c r="R26" i="15"/>
  <c r="U26" i="15" s="1"/>
  <c r="Q26" i="15"/>
  <c r="T26" i="15" s="1"/>
  <c r="N26" i="15"/>
  <c r="M26" i="15"/>
  <c r="P26" i="15" s="1"/>
  <c r="L26" i="15"/>
  <c r="O26" i="15" s="1"/>
  <c r="S23" i="15"/>
  <c r="R23" i="15"/>
  <c r="R20" i="15" s="1"/>
  <c r="U20" i="15" s="1"/>
  <c r="Q23" i="15"/>
  <c r="T23" i="15" s="1"/>
  <c r="N23" i="15"/>
  <c r="N20" i="15" s="1"/>
  <c r="M23" i="15"/>
  <c r="P23" i="15" s="1"/>
  <c r="L23" i="15"/>
  <c r="O23" i="15" s="1"/>
  <c r="A788" i="14"/>
  <c r="J785" i="14"/>
  <c r="I785" i="14"/>
  <c r="J784" i="14"/>
  <c r="I784" i="14"/>
  <c r="J783" i="14"/>
  <c r="I783" i="14"/>
  <c r="J782" i="14"/>
  <c r="I782" i="14"/>
  <c r="J781" i="14"/>
  <c r="I781" i="14"/>
  <c r="J780" i="14"/>
  <c r="I780" i="14"/>
  <c r="J779" i="14"/>
  <c r="I779" i="14"/>
  <c r="J778" i="14"/>
  <c r="I778" i="14"/>
  <c r="H777" i="14"/>
  <c r="I776" i="14"/>
  <c r="I775" i="14"/>
  <c r="I774" i="14"/>
  <c r="I772" i="14"/>
  <c r="K772" i="14" s="1"/>
  <c r="I770" i="14"/>
  <c r="K770" i="14" s="1"/>
  <c r="U768" i="14"/>
  <c r="T768" i="14"/>
  <c r="P768" i="14"/>
  <c r="O768" i="14"/>
  <c r="U767" i="14"/>
  <c r="T767" i="14"/>
  <c r="P767" i="14"/>
  <c r="O767" i="14"/>
  <c r="S766" i="14"/>
  <c r="R766" i="14"/>
  <c r="U766" i="14" s="1"/>
  <c r="Q766" i="14"/>
  <c r="T766" i="14" s="1"/>
  <c r="P766" i="14"/>
  <c r="N766" i="14"/>
  <c r="M766" i="14"/>
  <c r="L766" i="14"/>
  <c r="O766" i="14" s="1"/>
  <c r="S765" i="14"/>
  <c r="S763" i="14" s="1"/>
  <c r="R765" i="14"/>
  <c r="R763" i="14" s="1"/>
  <c r="U763" i="14" s="1"/>
  <c r="Q765" i="14"/>
  <c r="P765" i="14"/>
  <c r="O765" i="14"/>
  <c r="U764" i="14"/>
  <c r="T764" i="14"/>
  <c r="P764" i="14"/>
  <c r="O764" i="14"/>
  <c r="O763" i="14"/>
  <c r="N763" i="14"/>
  <c r="M763" i="14"/>
  <c r="P763" i="14" s="1"/>
  <c r="L763" i="14"/>
  <c r="N762" i="14"/>
  <c r="M762" i="14"/>
  <c r="P762" i="14" s="1"/>
  <c r="L762" i="14"/>
  <c r="O762" i="14" s="1"/>
  <c r="U761" i="14"/>
  <c r="S761" i="14"/>
  <c r="R761" i="14"/>
  <c r="Q761" i="14"/>
  <c r="T761" i="14" s="1"/>
  <c r="P761" i="14"/>
  <c r="O761" i="14"/>
  <c r="N761" i="14"/>
  <c r="M761" i="14"/>
  <c r="L761" i="14"/>
  <c r="N760" i="14"/>
  <c r="M760" i="14"/>
  <c r="P760" i="14" s="1"/>
  <c r="J759" i="14"/>
  <c r="J758" i="14"/>
  <c r="I756" i="14"/>
  <c r="K756" i="14" s="1"/>
  <c r="I753" i="14"/>
  <c r="K753" i="14" s="1"/>
  <c r="I750" i="14"/>
  <c r="K750" i="14" s="1"/>
  <c r="I747" i="14"/>
  <c r="K747" i="14" s="1"/>
  <c r="I745" i="14"/>
  <c r="K745" i="14" s="1"/>
  <c r="I743" i="14"/>
  <c r="K743" i="14" s="1"/>
  <c r="I741" i="14"/>
  <c r="K741" i="14" s="1"/>
  <c r="U737" i="14"/>
  <c r="T737" i="14"/>
  <c r="P737" i="14"/>
  <c r="O737" i="14"/>
  <c r="U736" i="14"/>
  <c r="T736" i="14"/>
  <c r="P736" i="14"/>
  <c r="O736" i="14"/>
  <c r="U735" i="14"/>
  <c r="S735" i="14"/>
  <c r="R735" i="14"/>
  <c r="Q735" i="14"/>
  <c r="T735" i="14" s="1"/>
  <c r="P735" i="14"/>
  <c r="O735" i="14"/>
  <c r="N735" i="14"/>
  <c r="M735" i="14"/>
  <c r="L735" i="14"/>
  <c r="S734" i="14"/>
  <c r="R734" i="14"/>
  <c r="R732" i="14" s="1"/>
  <c r="Q734" i="14"/>
  <c r="Q732" i="14" s="1"/>
  <c r="P734" i="14"/>
  <c r="O734" i="14"/>
  <c r="U733" i="14"/>
  <c r="T733" i="14"/>
  <c r="P733" i="14"/>
  <c r="O733" i="14"/>
  <c r="N732" i="14"/>
  <c r="M732" i="14"/>
  <c r="P732" i="14" s="1"/>
  <c r="L732" i="14"/>
  <c r="O732" i="14" s="1"/>
  <c r="P731" i="14"/>
  <c r="N731" i="14"/>
  <c r="M731" i="14"/>
  <c r="L731" i="14"/>
  <c r="O731" i="14" s="1"/>
  <c r="U730" i="14"/>
  <c r="T730" i="14"/>
  <c r="S730" i="14"/>
  <c r="R730" i="14"/>
  <c r="Q730" i="14"/>
  <c r="P730" i="14"/>
  <c r="O730" i="14"/>
  <c r="N730" i="14"/>
  <c r="N729" i="14" s="1"/>
  <c r="M730" i="14"/>
  <c r="L730" i="14"/>
  <c r="M729" i="14"/>
  <c r="P729" i="14" s="1"/>
  <c r="L729" i="14"/>
  <c r="O729" i="14" s="1"/>
  <c r="J728" i="14"/>
  <c r="I728" i="14"/>
  <c r="K728" i="14" s="1"/>
  <c r="J727" i="14"/>
  <c r="I727" i="14"/>
  <c r="K727" i="14" s="1"/>
  <c r="U723" i="14"/>
  <c r="T723" i="14"/>
  <c r="P723" i="14"/>
  <c r="O723" i="14"/>
  <c r="U722" i="14"/>
  <c r="T722" i="14"/>
  <c r="P722" i="14"/>
  <c r="O722" i="14"/>
  <c r="T721" i="14"/>
  <c r="S721" i="14"/>
  <c r="R721" i="14"/>
  <c r="U721" i="14" s="1"/>
  <c r="Q721" i="14"/>
  <c r="N721" i="14"/>
  <c r="M721" i="14"/>
  <c r="P721" i="14" s="1"/>
  <c r="L721" i="14"/>
  <c r="O721" i="14" s="1"/>
  <c r="U720" i="14"/>
  <c r="T720" i="14"/>
  <c r="P720" i="14"/>
  <c r="O720" i="14"/>
  <c r="U719" i="14"/>
  <c r="T719" i="14"/>
  <c r="P719" i="14"/>
  <c r="O719" i="14"/>
  <c r="T718" i="14"/>
  <c r="S718" i="14"/>
  <c r="R718" i="14"/>
  <c r="U718" i="14" s="1"/>
  <c r="Q718" i="14"/>
  <c r="N718" i="14"/>
  <c r="M718" i="14"/>
  <c r="P718" i="14" s="1"/>
  <c r="L718" i="14"/>
  <c r="O718" i="14" s="1"/>
  <c r="S717" i="14"/>
  <c r="R717" i="14"/>
  <c r="U717" i="14" s="1"/>
  <c r="Q717" i="14"/>
  <c r="T717" i="14" s="1"/>
  <c r="P717" i="14"/>
  <c r="N717" i="14"/>
  <c r="M717" i="14"/>
  <c r="L717" i="14"/>
  <c r="O717" i="14" s="1"/>
  <c r="U716" i="14"/>
  <c r="T716" i="14"/>
  <c r="S716" i="14"/>
  <c r="R716" i="14"/>
  <c r="Q716" i="14"/>
  <c r="Q715" i="14" s="1"/>
  <c r="T715" i="14" s="1"/>
  <c r="P716" i="14"/>
  <c r="O716" i="14"/>
  <c r="N716" i="14"/>
  <c r="N715" i="14" s="1"/>
  <c r="M716" i="14"/>
  <c r="L716" i="14"/>
  <c r="S715" i="14"/>
  <c r="R715" i="14"/>
  <c r="U715" i="14" s="1"/>
  <c r="M715" i="14"/>
  <c r="P715" i="14" s="1"/>
  <c r="L715" i="14"/>
  <c r="O715" i="14" s="1"/>
  <c r="K713" i="14"/>
  <c r="J713" i="14"/>
  <c r="K711" i="14"/>
  <c r="J711" i="14"/>
  <c r="J710" i="14"/>
  <c r="I710" i="14"/>
  <c r="K709" i="14"/>
  <c r="J709" i="14"/>
  <c r="J708" i="14"/>
  <c r="J690" i="14" s="1"/>
  <c r="I708" i="14"/>
  <c r="K708" i="14" s="1"/>
  <c r="K707" i="14"/>
  <c r="J707" i="14"/>
  <c r="J706" i="14"/>
  <c r="I706" i="14"/>
  <c r="K705" i="14"/>
  <c r="J705" i="14"/>
  <c r="J704" i="14"/>
  <c r="I704" i="14"/>
  <c r="K704" i="14" s="1"/>
  <c r="K703" i="14"/>
  <c r="I701" i="14"/>
  <c r="K701" i="14" s="1"/>
  <c r="U699" i="14"/>
  <c r="T699" i="14"/>
  <c r="P699" i="14"/>
  <c r="O699" i="14"/>
  <c r="U698" i="14"/>
  <c r="T698" i="14"/>
  <c r="P698" i="14"/>
  <c r="O698" i="14"/>
  <c r="S697" i="14"/>
  <c r="R697" i="14"/>
  <c r="U697" i="14" s="1"/>
  <c r="Q697" i="14"/>
  <c r="T697" i="14" s="1"/>
  <c r="N697" i="14"/>
  <c r="M697" i="14"/>
  <c r="P697" i="14" s="1"/>
  <c r="L697" i="14"/>
  <c r="O697" i="14" s="1"/>
  <c r="S696" i="14"/>
  <c r="R696" i="14"/>
  <c r="Q696" i="14"/>
  <c r="P696" i="14"/>
  <c r="O696" i="14"/>
  <c r="U695" i="14"/>
  <c r="T695" i="14"/>
  <c r="P695" i="14"/>
  <c r="O695" i="14"/>
  <c r="P694" i="14"/>
  <c r="O694" i="14"/>
  <c r="N694" i="14"/>
  <c r="M694" i="14"/>
  <c r="L694" i="14"/>
  <c r="N693" i="14"/>
  <c r="M693" i="14"/>
  <c r="P693" i="14" s="1"/>
  <c r="L693" i="14"/>
  <c r="S692" i="14"/>
  <c r="R692" i="14"/>
  <c r="U692" i="14" s="1"/>
  <c r="Q692" i="14"/>
  <c r="P692" i="14"/>
  <c r="N692" i="14"/>
  <c r="M692" i="14"/>
  <c r="M691" i="14" s="1"/>
  <c r="P691" i="14" s="1"/>
  <c r="L692" i="14"/>
  <c r="O692" i="14" s="1"/>
  <c r="N691" i="14"/>
  <c r="J683" i="14"/>
  <c r="I683" i="14"/>
  <c r="K683" i="14" s="1"/>
  <c r="J682" i="14"/>
  <c r="I682" i="14"/>
  <c r="K682" i="14" s="1"/>
  <c r="J681" i="14"/>
  <c r="J680" i="14"/>
  <c r="I680" i="14"/>
  <c r="K680" i="14" s="1"/>
  <c r="J679" i="14"/>
  <c r="I679" i="14"/>
  <c r="J678" i="14"/>
  <c r="J677" i="14"/>
  <c r="I677" i="14"/>
  <c r="I676" i="14"/>
  <c r="I675" i="14"/>
  <c r="J674" i="14"/>
  <c r="I674" i="14"/>
  <c r="K674" i="14" s="1"/>
  <c r="J673" i="14"/>
  <c r="J672" i="14"/>
  <c r="J662" i="14"/>
  <c r="I662" i="14"/>
  <c r="K662" i="14" s="1"/>
  <c r="I661" i="14"/>
  <c r="I658" i="14"/>
  <c r="J655" i="14"/>
  <c r="I655" i="14"/>
  <c r="J654" i="14"/>
  <c r="I654" i="14"/>
  <c r="K654" i="14" s="1"/>
  <c r="J653" i="14"/>
  <c r="I653" i="14"/>
  <c r="K653" i="14" s="1"/>
  <c r="U651" i="14"/>
  <c r="T651" i="14"/>
  <c r="P651" i="14"/>
  <c r="O651" i="14"/>
  <c r="U650" i="14"/>
  <c r="T650" i="14"/>
  <c r="P650" i="14"/>
  <c r="O650" i="14"/>
  <c r="S649" i="14"/>
  <c r="R649" i="14"/>
  <c r="U649" i="14" s="1"/>
  <c r="Q649" i="14"/>
  <c r="T649" i="14" s="1"/>
  <c r="N649" i="14"/>
  <c r="M649" i="14"/>
  <c r="P649" i="14" s="1"/>
  <c r="L649" i="14"/>
  <c r="O649" i="14" s="1"/>
  <c r="S648" i="14"/>
  <c r="S646" i="14" s="1"/>
  <c r="R648" i="14"/>
  <c r="R645" i="14" s="1"/>
  <c r="Q648" i="14"/>
  <c r="P648" i="14"/>
  <c r="O648" i="14"/>
  <c r="U647" i="14"/>
  <c r="T647" i="14"/>
  <c r="P647" i="14"/>
  <c r="O647" i="14"/>
  <c r="P646" i="14"/>
  <c r="O646" i="14"/>
  <c r="N646" i="14"/>
  <c r="M646" i="14"/>
  <c r="L646" i="14"/>
  <c r="N645" i="14"/>
  <c r="M645" i="14"/>
  <c r="P645" i="14" s="1"/>
  <c r="L645" i="14"/>
  <c r="S644" i="14"/>
  <c r="R644" i="14"/>
  <c r="U644" i="14" s="1"/>
  <c r="Q644" i="14"/>
  <c r="P644" i="14"/>
  <c r="N644" i="14"/>
  <c r="M644" i="14"/>
  <c r="L644" i="14"/>
  <c r="O644" i="14" s="1"/>
  <c r="N643" i="14"/>
  <c r="J637" i="14"/>
  <c r="J636" i="14"/>
  <c r="I636" i="14"/>
  <c r="K636" i="14" s="1"/>
  <c r="J633" i="14"/>
  <c r="I629" i="14"/>
  <c r="K629" i="14" s="1"/>
  <c r="I628" i="14"/>
  <c r="K628" i="14" s="1"/>
  <c r="J627" i="14"/>
  <c r="J616" i="14" s="1"/>
  <c r="I627" i="14"/>
  <c r="I616" i="14" s="1"/>
  <c r="U625" i="14"/>
  <c r="T625" i="14"/>
  <c r="P625" i="14"/>
  <c r="O625" i="14"/>
  <c r="U624" i="14"/>
  <c r="T624" i="14"/>
  <c r="P624" i="14"/>
  <c r="O624" i="14"/>
  <c r="T623" i="14"/>
  <c r="S623" i="14"/>
  <c r="R623" i="14"/>
  <c r="U623" i="14" s="1"/>
  <c r="Q623" i="14"/>
  <c r="N623" i="14"/>
  <c r="M623" i="14"/>
  <c r="P623" i="14" s="1"/>
  <c r="L623" i="14"/>
  <c r="O623" i="14" s="1"/>
  <c r="S622" i="14"/>
  <c r="S620" i="14" s="1"/>
  <c r="R622" i="14"/>
  <c r="Q622" i="14"/>
  <c r="P622" i="14"/>
  <c r="O622" i="14"/>
  <c r="U621" i="14"/>
  <c r="T621" i="14"/>
  <c r="P621" i="14"/>
  <c r="O621" i="14"/>
  <c r="P620" i="14"/>
  <c r="O620" i="14"/>
  <c r="N620" i="14"/>
  <c r="M620" i="14"/>
  <c r="L620" i="14"/>
  <c r="O619" i="14"/>
  <c r="N619" i="14"/>
  <c r="M619" i="14"/>
  <c r="L619" i="14"/>
  <c r="S618" i="14"/>
  <c r="R618" i="14"/>
  <c r="Q618" i="14"/>
  <c r="N618" i="14"/>
  <c r="N617" i="14" s="1"/>
  <c r="M618" i="14"/>
  <c r="P618" i="14" s="1"/>
  <c r="L618" i="14"/>
  <c r="U608" i="14"/>
  <c r="T608" i="14"/>
  <c r="P608" i="14"/>
  <c r="O608" i="14"/>
  <c r="U607" i="14"/>
  <c r="T607" i="14"/>
  <c r="P607" i="14"/>
  <c r="O607" i="14"/>
  <c r="S606" i="14"/>
  <c r="R606" i="14"/>
  <c r="U606" i="14" s="1"/>
  <c r="Q606" i="14"/>
  <c r="T606" i="14" s="1"/>
  <c r="N606" i="14"/>
  <c r="M606" i="14"/>
  <c r="P606" i="14" s="1"/>
  <c r="L606" i="14"/>
  <c r="O606" i="14" s="1"/>
  <c r="U605" i="14"/>
  <c r="T605" i="14"/>
  <c r="P605" i="14"/>
  <c r="O605" i="14"/>
  <c r="U604" i="14"/>
  <c r="T604" i="14"/>
  <c r="P604" i="14"/>
  <c r="O604" i="14"/>
  <c r="T603" i="14"/>
  <c r="S603" i="14"/>
  <c r="R603" i="14"/>
  <c r="U603" i="14" s="1"/>
  <c r="Q603" i="14"/>
  <c r="N603" i="14"/>
  <c r="M603" i="14"/>
  <c r="P603" i="14" s="1"/>
  <c r="L603" i="14"/>
  <c r="O603" i="14" s="1"/>
  <c r="S602" i="14"/>
  <c r="R602" i="14"/>
  <c r="U602" i="14" s="1"/>
  <c r="Q602" i="14"/>
  <c r="T602" i="14" s="1"/>
  <c r="P602" i="14"/>
  <c r="N602" i="14"/>
  <c r="M602" i="14"/>
  <c r="L602" i="14"/>
  <c r="O602" i="14" s="1"/>
  <c r="S601" i="14"/>
  <c r="S600" i="14" s="1"/>
  <c r="R601" i="14"/>
  <c r="R600" i="14" s="1"/>
  <c r="U600" i="14" s="1"/>
  <c r="Q601" i="14"/>
  <c r="N601" i="14"/>
  <c r="M601" i="14"/>
  <c r="P601" i="14" s="1"/>
  <c r="L601" i="14"/>
  <c r="L600" i="14" s="1"/>
  <c r="O600" i="14" s="1"/>
  <c r="U585" i="14"/>
  <c r="T585" i="14"/>
  <c r="P585" i="14"/>
  <c r="O585" i="14"/>
  <c r="U584" i="14"/>
  <c r="T584" i="14"/>
  <c r="P584" i="14"/>
  <c r="O584" i="14"/>
  <c r="S583" i="14"/>
  <c r="R583" i="14"/>
  <c r="U583" i="14" s="1"/>
  <c r="Q583" i="14"/>
  <c r="T583" i="14" s="1"/>
  <c r="N583" i="14"/>
  <c r="M583" i="14"/>
  <c r="P583" i="14" s="1"/>
  <c r="L583" i="14"/>
  <c r="O583" i="14" s="1"/>
  <c r="U582" i="14"/>
  <c r="T582" i="14"/>
  <c r="P582" i="14"/>
  <c r="O582" i="14"/>
  <c r="U581" i="14"/>
  <c r="T581" i="14"/>
  <c r="P581" i="14"/>
  <c r="O581" i="14"/>
  <c r="T580" i="14"/>
  <c r="S580" i="14"/>
  <c r="R580" i="14"/>
  <c r="U580" i="14" s="1"/>
  <c r="Q580" i="14"/>
  <c r="N580" i="14"/>
  <c r="M580" i="14"/>
  <c r="P580" i="14" s="1"/>
  <c r="L580" i="14"/>
  <c r="O580" i="14" s="1"/>
  <c r="T579" i="14"/>
  <c r="S579" i="14"/>
  <c r="S577" i="14" s="1"/>
  <c r="R579" i="14"/>
  <c r="U579" i="14" s="1"/>
  <c r="Q579" i="14"/>
  <c r="N579" i="14"/>
  <c r="M579" i="14"/>
  <c r="P579" i="14" s="1"/>
  <c r="L579" i="14"/>
  <c r="O579" i="14" s="1"/>
  <c r="S578" i="14"/>
  <c r="R578" i="14"/>
  <c r="R577" i="14" s="1"/>
  <c r="U577" i="14" s="1"/>
  <c r="Q578" i="14"/>
  <c r="Q577" i="14" s="1"/>
  <c r="T577" i="14" s="1"/>
  <c r="P578" i="14"/>
  <c r="N578" i="14"/>
  <c r="M578" i="14"/>
  <c r="L578" i="14"/>
  <c r="O578" i="14" s="1"/>
  <c r="J576" i="14"/>
  <c r="I576" i="14"/>
  <c r="K576" i="14" s="1"/>
  <c r="U564" i="14"/>
  <c r="T564" i="14"/>
  <c r="P564" i="14"/>
  <c r="O564" i="14"/>
  <c r="U563" i="14"/>
  <c r="T563" i="14"/>
  <c r="P563" i="14"/>
  <c r="O563" i="14"/>
  <c r="S562" i="14"/>
  <c r="R562" i="14"/>
  <c r="U562" i="14" s="1"/>
  <c r="Q562" i="14"/>
  <c r="T562" i="14" s="1"/>
  <c r="P562" i="14"/>
  <c r="N562" i="14"/>
  <c r="M562" i="14"/>
  <c r="L562" i="14"/>
  <c r="O562" i="14" s="1"/>
  <c r="U561" i="14"/>
  <c r="T561" i="14"/>
  <c r="P561" i="14"/>
  <c r="O561" i="14"/>
  <c r="U560" i="14"/>
  <c r="T560" i="14"/>
  <c r="P560" i="14"/>
  <c r="O560" i="14"/>
  <c r="S559" i="14"/>
  <c r="R559" i="14"/>
  <c r="U559" i="14" s="1"/>
  <c r="Q559" i="14"/>
  <c r="T559" i="14" s="1"/>
  <c r="N559" i="14"/>
  <c r="M559" i="14"/>
  <c r="P559" i="14" s="1"/>
  <c r="L559" i="14"/>
  <c r="O559" i="14" s="1"/>
  <c r="S558" i="14"/>
  <c r="R558" i="14"/>
  <c r="U558" i="14" s="1"/>
  <c r="Q558" i="14"/>
  <c r="T558" i="14" s="1"/>
  <c r="N558" i="14"/>
  <c r="M558" i="14"/>
  <c r="L558" i="14"/>
  <c r="O558" i="14" s="1"/>
  <c r="S557" i="14"/>
  <c r="S556" i="14" s="1"/>
  <c r="R557" i="14"/>
  <c r="R556" i="14" s="1"/>
  <c r="Q557" i="14"/>
  <c r="N557" i="14"/>
  <c r="M557" i="14"/>
  <c r="P557" i="14" s="1"/>
  <c r="L557" i="14"/>
  <c r="L556" i="14" s="1"/>
  <c r="O556" i="14" s="1"/>
  <c r="U556" i="14"/>
  <c r="J555" i="14"/>
  <c r="I555" i="14"/>
  <c r="K555" i="14" s="1"/>
  <c r="U543" i="14"/>
  <c r="T543" i="14"/>
  <c r="P543" i="14"/>
  <c r="O543" i="14"/>
  <c r="U542" i="14"/>
  <c r="T542" i="14"/>
  <c r="P542" i="14"/>
  <c r="O542" i="14"/>
  <c r="S541" i="14"/>
  <c r="R541" i="14"/>
  <c r="U541" i="14" s="1"/>
  <c r="Q541" i="14"/>
  <c r="T541" i="14" s="1"/>
  <c r="P541" i="14"/>
  <c r="N541" i="14"/>
  <c r="M541" i="14"/>
  <c r="L541" i="14"/>
  <c r="O541" i="14" s="1"/>
  <c r="U540" i="14"/>
  <c r="T540" i="14"/>
  <c r="P540" i="14"/>
  <c r="O540" i="14"/>
  <c r="U539" i="14"/>
  <c r="T539" i="14"/>
  <c r="P539" i="14"/>
  <c r="O539" i="14"/>
  <c r="T538" i="14"/>
  <c r="S538" i="14"/>
  <c r="R538" i="14"/>
  <c r="U538" i="14" s="1"/>
  <c r="Q538" i="14"/>
  <c r="N538" i="14"/>
  <c r="M538" i="14"/>
  <c r="P538" i="14" s="1"/>
  <c r="L538" i="14"/>
  <c r="O538" i="14" s="1"/>
  <c r="S537" i="14"/>
  <c r="R537" i="14"/>
  <c r="U537" i="14" s="1"/>
  <c r="Q537" i="14"/>
  <c r="T537" i="14" s="1"/>
  <c r="N537" i="14"/>
  <c r="M537" i="14"/>
  <c r="P537" i="14" s="1"/>
  <c r="L537" i="14"/>
  <c r="O537" i="14" s="1"/>
  <c r="S536" i="14"/>
  <c r="S535" i="14" s="1"/>
  <c r="R536" i="14"/>
  <c r="Q536" i="14"/>
  <c r="Q535" i="14" s="1"/>
  <c r="T535" i="14" s="1"/>
  <c r="N536" i="14"/>
  <c r="M536" i="14"/>
  <c r="M535" i="14" s="1"/>
  <c r="P535" i="14" s="1"/>
  <c r="L536" i="14"/>
  <c r="J534" i="14"/>
  <c r="I534" i="14"/>
  <c r="K534" i="14" s="1"/>
  <c r="K525" i="14"/>
  <c r="K524" i="14"/>
  <c r="U522" i="14"/>
  <c r="T522" i="14"/>
  <c r="N522" i="14"/>
  <c r="N520" i="14" s="1"/>
  <c r="M522" i="14"/>
  <c r="M520" i="14" s="1"/>
  <c r="P520" i="14" s="1"/>
  <c r="L522" i="14"/>
  <c r="L520" i="14" s="1"/>
  <c r="O520" i="14" s="1"/>
  <c r="U521" i="14"/>
  <c r="T521" i="14"/>
  <c r="P521" i="14"/>
  <c r="O521" i="14"/>
  <c r="S520" i="14"/>
  <c r="R520" i="14"/>
  <c r="U520" i="14" s="1"/>
  <c r="Q520" i="14"/>
  <c r="T520" i="14" s="1"/>
  <c r="U519" i="14"/>
  <c r="T519" i="14"/>
  <c r="N519" i="14"/>
  <c r="N517" i="14" s="1"/>
  <c r="M519" i="14"/>
  <c r="M517" i="14" s="1"/>
  <c r="P517" i="14" s="1"/>
  <c r="L519" i="14"/>
  <c r="O519" i="14" s="1"/>
  <c r="U518" i="14"/>
  <c r="T518" i="14"/>
  <c r="P518" i="14"/>
  <c r="O518" i="14"/>
  <c r="S517" i="14"/>
  <c r="R517" i="14"/>
  <c r="U517" i="14" s="1"/>
  <c r="Q517" i="14"/>
  <c r="T517" i="14" s="1"/>
  <c r="S516" i="14"/>
  <c r="R516" i="14"/>
  <c r="U516" i="14" s="1"/>
  <c r="Q516" i="14"/>
  <c r="T516" i="14" s="1"/>
  <c r="T515" i="14"/>
  <c r="S515" i="14"/>
  <c r="R515" i="14"/>
  <c r="U515" i="14" s="1"/>
  <c r="Q515" i="14"/>
  <c r="N515" i="14"/>
  <c r="M515" i="14"/>
  <c r="L515" i="14"/>
  <c r="O515" i="14" s="1"/>
  <c r="J513" i="14"/>
  <c r="I513" i="14"/>
  <c r="K513" i="14" s="1"/>
  <c r="I510" i="14"/>
  <c r="K510" i="14" s="1"/>
  <c r="K509" i="14"/>
  <c r="I508" i="14"/>
  <c r="K508" i="14" s="1"/>
  <c r="I507" i="14"/>
  <c r="K507" i="14" s="1"/>
  <c r="I506" i="14"/>
  <c r="I505" i="14"/>
  <c r="K505" i="14" s="1"/>
  <c r="I504" i="14"/>
  <c r="U502" i="14"/>
  <c r="T502" i="14"/>
  <c r="P502" i="14"/>
  <c r="O502" i="14"/>
  <c r="U501" i="14"/>
  <c r="T501" i="14"/>
  <c r="P501" i="14"/>
  <c r="O501" i="14"/>
  <c r="S500" i="14"/>
  <c r="R500" i="14"/>
  <c r="U500" i="14" s="1"/>
  <c r="Q500" i="14"/>
  <c r="T500" i="14" s="1"/>
  <c r="P500" i="14"/>
  <c r="N500" i="14"/>
  <c r="M500" i="14"/>
  <c r="L500" i="14"/>
  <c r="O500" i="14" s="1"/>
  <c r="S499" i="14"/>
  <c r="S496" i="14" s="1"/>
  <c r="R499" i="14"/>
  <c r="R497" i="14" s="1"/>
  <c r="U497" i="14" s="1"/>
  <c r="Q499" i="14"/>
  <c r="T499" i="14" s="1"/>
  <c r="P499" i="14"/>
  <c r="O499" i="14"/>
  <c r="U498" i="14"/>
  <c r="T498" i="14"/>
  <c r="P498" i="14"/>
  <c r="O498" i="14"/>
  <c r="O497" i="14"/>
  <c r="N497" i="14"/>
  <c r="M497" i="14"/>
  <c r="P497" i="14" s="1"/>
  <c r="L497" i="14"/>
  <c r="O496" i="14"/>
  <c r="N496" i="14"/>
  <c r="M496" i="14"/>
  <c r="P496" i="14" s="1"/>
  <c r="L496" i="14"/>
  <c r="S495" i="14"/>
  <c r="R495" i="14"/>
  <c r="U495" i="14" s="1"/>
  <c r="Q495" i="14"/>
  <c r="T495" i="14" s="1"/>
  <c r="O495" i="14"/>
  <c r="N495" i="14"/>
  <c r="N494" i="14" s="1"/>
  <c r="M495" i="14"/>
  <c r="L495" i="14"/>
  <c r="L494" i="14" s="1"/>
  <c r="O494" i="14" s="1"/>
  <c r="K486" i="14"/>
  <c r="J486" i="14"/>
  <c r="I486" i="14"/>
  <c r="J485" i="14"/>
  <c r="I485" i="14"/>
  <c r="K485" i="14" s="1"/>
  <c r="J484" i="14"/>
  <c r="J483" i="14"/>
  <c r="K478" i="14"/>
  <c r="J478" i="14"/>
  <c r="K477" i="14"/>
  <c r="J477" i="14"/>
  <c r="K476" i="14"/>
  <c r="J476" i="14"/>
  <c r="J469" i="14"/>
  <c r="J468" i="14"/>
  <c r="J461" i="14"/>
  <c r="J459" i="14" s="1"/>
  <c r="J460" i="14"/>
  <c r="I459" i="14"/>
  <c r="K459" i="14" s="1"/>
  <c r="I458" i="14"/>
  <c r="I457" i="14" s="1"/>
  <c r="K457" i="14" s="1"/>
  <c r="J448" i="14"/>
  <c r="J442" i="14" s="1"/>
  <c r="J447" i="14"/>
  <c r="J441" i="14" s="1"/>
  <c r="J424" i="14" s="1"/>
  <c r="J413" i="14" s="1"/>
  <c r="I442" i="14"/>
  <c r="K442" i="14" s="1"/>
  <c r="I441" i="14"/>
  <c r="J434" i="14"/>
  <c r="I434" i="14"/>
  <c r="K434" i="14" s="1"/>
  <c r="J433" i="14"/>
  <c r="I433" i="14"/>
  <c r="K433" i="14" s="1"/>
  <c r="J426" i="14"/>
  <c r="I426" i="14"/>
  <c r="K426" i="14" s="1"/>
  <c r="J425" i="14"/>
  <c r="I425" i="14"/>
  <c r="K425" i="14" s="1"/>
  <c r="U422" i="14"/>
  <c r="T422" i="14"/>
  <c r="P422" i="14"/>
  <c r="O422" i="14"/>
  <c r="U421" i="14"/>
  <c r="T421" i="14"/>
  <c r="P421" i="14"/>
  <c r="O421" i="14"/>
  <c r="S420" i="14"/>
  <c r="R420" i="14"/>
  <c r="U420" i="14" s="1"/>
  <c r="Q420" i="14"/>
  <c r="T420" i="14" s="1"/>
  <c r="N420" i="14"/>
  <c r="M420" i="14"/>
  <c r="P420" i="14" s="1"/>
  <c r="L420" i="14"/>
  <c r="O420" i="14" s="1"/>
  <c r="S419" i="14"/>
  <c r="S416" i="14" s="1"/>
  <c r="R419" i="14"/>
  <c r="Q419" i="14"/>
  <c r="Q416" i="14" s="1"/>
  <c r="P419" i="14"/>
  <c r="O419" i="14"/>
  <c r="U418" i="14"/>
  <c r="T418" i="14"/>
  <c r="P418" i="14"/>
  <c r="O418" i="14"/>
  <c r="O417" i="14"/>
  <c r="N417" i="14"/>
  <c r="M417" i="14"/>
  <c r="P417" i="14" s="1"/>
  <c r="L417" i="14"/>
  <c r="P416" i="14"/>
  <c r="N416" i="14"/>
  <c r="M416" i="14"/>
  <c r="L416" i="14"/>
  <c r="O416" i="14" s="1"/>
  <c r="S415" i="14"/>
  <c r="R415" i="14"/>
  <c r="U415" i="14" s="1"/>
  <c r="Q415" i="14"/>
  <c r="T415" i="14" s="1"/>
  <c r="O415" i="14"/>
  <c r="N415" i="14"/>
  <c r="M415" i="14"/>
  <c r="P415" i="14" s="1"/>
  <c r="L415" i="14"/>
  <c r="L414" i="14"/>
  <c r="O414" i="14" s="1"/>
  <c r="U401" i="14"/>
  <c r="T401" i="14"/>
  <c r="P401" i="14"/>
  <c r="O401" i="14"/>
  <c r="U400" i="14"/>
  <c r="T400" i="14"/>
  <c r="P400" i="14"/>
  <c r="O400" i="14"/>
  <c r="S399" i="14"/>
  <c r="R399" i="14"/>
  <c r="U399" i="14" s="1"/>
  <c r="Q399" i="14"/>
  <c r="T399" i="14" s="1"/>
  <c r="N399" i="14"/>
  <c r="M399" i="14"/>
  <c r="P399" i="14" s="1"/>
  <c r="L399" i="14"/>
  <c r="O399" i="14" s="1"/>
  <c r="U398" i="14"/>
  <c r="T398" i="14"/>
  <c r="P398" i="14"/>
  <c r="O398" i="14"/>
  <c r="U397" i="14"/>
  <c r="T397" i="14"/>
  <c r="P397" i="14"/>
  <c r="O397" i="14"/>
  <c r="S396" i="14"/>
  <c r="R396" i="14"/>
  <c r="U396" i="14" s="1"/>
  <c r="Q396" i="14"/>
  <c r="T396" i="14" s="1"/>
  <c r="N396" i="14"/>
  <c r="M396" i="14"/>
  <c r="P396" i="14" s="1"/>
  <c r="L396" i="14"/>
  <c r="O396" i="14" s="1"/>
  <c r="S395" i="14"/>
  <c r="S393" i="14" s="1"/>
  <c r="R395" i="14"/>
  <c r="U395" i="14" s="1"/>
  <c r="Q395" i="14"/>
  <c r="T395" i="14" s="1"/>
  <c r="N395" i="14"/>
  <c r="M395" i="14"/>
  <c r="P395" i="14" s="1"/>
  <c r="L395" i="14"/>
  <c r="O395" i="14" s="1"/>
  <c r="T394" i="14"/>
  <c r="S394" i="14"/>
  <c r="R394" i="14"/>
  <c r="U394" i="14" s="1"/>
  <c r="Q394" i="14"/>
  <c r="N394" i="14"/>
  <c r="N393" i="14" s="1"/>
  <c r="M394" i="14"/>
  <c r="P394" i="14" s="1"/>
  <c r="L394" i="14"/>
  <c r="O394" i="14" s="1"/>
  <c r="J392" i="14"/>
  <c r="I392" i="14"/>
  <c r="K392" i="14" s="1"/>
  <c r="K389" i="14"/>
  <c r="K388" i="14"/>
  <c r="I387" i="14"/>
  <c r="K387" i="14" s="1"/>
  <c r="I386" i="14"/>
  <c r="K386" i="14" s="1"/>
  <c r="U384" i="14"/>
  <c r="T384" i="14"/>
  <c r="P384" i="14"/>
  <c r="O384" i="14"/>
  <c r="U383" i="14"/>
  <c r="T383" i="14"/>
  <c r="P383" i="14"/>
  <c r="O383" i="14"/>
  <c r="S382" i="14"/>
  <c r="R382" i="14"/>
  <c r="U382" i="14" s="1"/>
  <c r="Q382" i="14"/>
  <c r="T382" i="14" s="1"/>
  <c r="N382" i="14"/>
  <c r="M382" i="14"/>
  <c r="P382" i="14" s="1"/>
  <c r="L382" i="14"/>
  <c r="O382" i="14" s="1"/>
  <c r="S381" i="14"/>
  <c r="S379" i="14" s="1"/>
  <c r="R381" i="14"/>
  <c r="R379" i="14" s="1"/>
  <c r="U379" i="14" s="1"/>
  <c r="P381" i="14"/>
  <c r="O381" i="14"/>
  <c r="U380" i="14"/>
  <c r="T380" i="14"/>
  <c r="P380" i="14"/>
  <c r="O380" i="14"/>
  <c r="P379" i="14"/>
  <c r="N379" i="14"/>
  <c r="M379" i="14"/>
  <c r="L379" i="14"/>
  <c r="O379" i="14" s="1"/>
  <c r="N378" i="14"/>
  <c r="M378" i="14"/>
  <c r="P378" i="14" s="1"/>
  <c r="L378" i="14"/>
  <c r="O378" i="14" s="1"/>
  <c r="S377" i="14"/>
  <c r="R377" i="14"/>
  <c r="Q377" i="14"/>
  <c r="N377" i="14"/>
  <c r="M377" i="14"/>
  <c r="P377" i="14" s="1"/>
  <c r="L377" i="14"/>
  <c r="J375" i="14"/>
  <c r="D374" i="14"/>
  <c r="K373" i="14"/>
  <c r="J373" i="14"/>
  <c r="J372" i="14"/>
  <c r="J366" i="14" s="1"/>
  <c r="I372" i="14"/>
  <c r="K371" i="14"/>
  <c r="J371" i="14"/>
  <c r="J370" i="14"/>
  <c r="I370" i="14"/>
  <c r="J369" i="14"/>
  <c r="I369" i="14"/>
  <c r="K368" i="14"/>
  <c r="J368" i="14"/>
  <c r="U365" i="14"/>
  <c r="T365" i="14"/>
  <c r="N365" i="14"/>
  <c r="M365" i="14"/>
  <c r="L365" i="14"/>
  <c r="L363" i="14" s="1"/>
  <c r="O363" i="14" s="1"/>
  <c r="U364" i="14"/>
  <c r="T364" i="14"/>
  <c r="P364" i="14"/>
  <c r="O364" i="14"/>
  <c r="U363" i="14"/>
  <c r="S363" i="14"/>
  <c r="R363" i="14"/>
  <c r="Q363" i="14"/>
  <c r="T363" i="14" s="1"/>
  <c r="U362" i="14"/>
  <c r="T362" i="14"/>
  <c r="N362" i="14"/>
  <c r="N360" i="14" s="1"/>
  <c r="M362" i="14"/>
  <c r="L362" i="14"/>
  <c r="U361" i="14"/>
  <c r="T361" i="14"/>
  <c r="P361" i="14"/>
  <c r="O361" i="14"/>
  <c r="T360" i="14"/>
  <c r="S360" i="14"/>
  <c r="R360" i="14"/>
  <c r="U360" i="14" s="1"/>
  <c r="Q360" i="14"/>
  <c r="S359" i="14"/>
  <c r="R359" i="14"/>
  <c r="U359" i="14" s="1"/>
  <c r="Q359" i="14"/>
  <c r="T359" i="14" s="1"/>
  <c r="U358" i="14"/>
  <c r="T358" i="14"/>
  <c r="S358" i="14"/>
  <c r="R358" i="14"/>
  <c r="Q358" i="14"/>
  <c r="P358" i="14"/>
  <c r="O358" i="14"/>
  <c r="N358" i="14"/>
  <c r="M358" i="14"/>
  <c r="L358" i="14"/>
  <c r="S357" i="14"/>
  <c r="R357" i="14"/>
  <c r="U357" i="14" s="1"/>
  <c r="D355" i="14"/>
  <c r="J354" i="14"/>
  <c r="J353" i="14"/>
  <c r="D351" i="14"/>
  <c r="J350" i="14"/>
  <c r="J349" i="14"/>
  <c r="J348" i="14"/>
  <c r="J347" i="14"/>
  <c r="I347" i="14"/>
  <c r="J345" i="14"/>
  <c r="I345" i="14"/>
  <c r="I333" i="14" s="1"/>
  <c r="U342" i="14"/>
  <c r="T342" i="14"/>
  <c r="N342" i="14"/>
  <c r="N340" i="14" s="1"/>
  <c r="M342" i="14"/>
  <c r="M340" i="14" s="1"/>
  <c r="P340" i="14" s="1"/>
  <c r="L342" i="14"/>
  <c r="L340" i="14" s="1"/>
  <c r="O340" i="14" s="1"/>
  <c r="U341" i="14"/>
  <c r="T341" i="14"/>
  <c r="P341" i="14"/>
  <c r="O341" i="14"/>
  <c r="T340" i="14"/>
  <c r="S340" i="14"/>
  <c r="R340" i="14"/>
  <c r="U340" i="14" s="1"/>
  <c r="Q340" i="14"/>
  <c r="U339" i="14"/>
  <c r="T339" i="14"/>
  <c r="N339" i="14"/>
  <c r="M339" i="14"/>
  <c r="L339" i="14"/>
  <c r="L337" i="14" s="1"/>
  <c r="U338" i="14"/>
  <c r="T338" i="14"/>
  <c r="P338" i="14"/>
  <c r="O338" i="14"/>
  <c r="U337" i="14"/>
  <c r="S337" i="14"/>
  <c r="R337" i="14"/>
  <c r="Q337" i="14"/>
  <c r="T337" i="14" s="1"/>
  <c r="U336" i="14"/>
  <c r="T336" i="14"/>
  <c r="S336" i="14"/>
  <c r="R336" i="14"/>
  <c r="Q336" i="14"/>
  <c r="S335" i="14"/>
  <c r="S334" i="14" s="1"/>
  <c r="R335" i="14"/>
  <c r="Q335" i="14"/>
  <c r="N335" i="14"/>
  <c r="M335" i="14"/>
  <c r="L335" i="14"/>
  <c r="I331" i="14"/>
  <c r="K331" i="14" s="1"/>
  <c r="U329" i="14"/>
  <c r="T329" i="14"/>
  <c r="N329" i="14"/>
  <c r="N327" i="14" s="1"/>
  <c r="M329" i="14"/>
  <c r="P329" i="14" s="1"/>
  <c r="L329" i="14"/>
  <c r="U328" i="14"/>
  <c r="T328" i="14"/>
  <c r="P328" i="14"/>
  <c r="O328" i="14"/>
  <c r="S327" i="14"/>
  <c r="R327" i="14"/>
  <c r="U327" i="14" s="1"/>
  <c r="Q327" i="14"/>
  <c r="T327" i="14" s="1"/>
  <c r="U326" i="14"/>
  <c r="T326" i="14"/>
  <c r="N326" i="14"/>
  <c r="N324" i="14" s="1"/>
  <c r="M326" i="14"/>
  <c r="L326" i="14"/>
  <c r="U325" i="14"/>
  <c r="T325" i="14"/>
  <c r="P325" i="14"/>
  <c r="O325" i="14"/>
  <c r="U324" i="14"/>
  <c r="T324" i="14"/>
  <c r="S324" i="14"/>
  <c r="R324" i="14"/>
  <c r="Q324" i="14"/>
  <c r="T323" i="14"/>
  <c r="S323" i="14"/>
  <c r="S321" i="14" s="1"/>
  <c r="R323" i="14"/>
  <c r="U323" i="14" s="1"/>
  <c r="Q323" i="14"/>
  <c r="S322" i="14"/>
  <c r="R322" i="14"/>
  <c r="Q322" i="14"/>
  <c r="P322" i="14"/>
  <c r="N322" i="14"/>
  <c r="M322" i="14"/>
  <c r="L322" i="14"/>
  <c r="J320" i="14"/>
  <c r="I315" i="14"/>
  <c r="I303" i="14" s="1"/>
  <c r="K303" i="14" s="1"/>
  <c r="U312" i="14"/>
  <c r="T312" i="14"/>
  <c r="N312" i="14"/>
  <c r="N310" i="14" s="1"/>
  <c r="M312" i="14"/>
  <c r="P312" i="14" s="1"/>
  <c r="L312" i="14"/>
  <c r="O312" i="14" s="1"/>
  <c r="U311" i="14"/>
  <c r="T311" i="14"/>
  <c r="P311" i="14"/>
  <c r="O311" i="14"/>
  <c r="S310" i="14"/>
  <c r="R310" i="14"/>
  <c r="U310" i="14" s="1"/>
  <c r="Q310" i="14"/>
  <c r="T310" i="14" s="1"/>
  <c r="S309" i="14"/>
  <c r="R309" i="14"/>
  <c r="U309" i="14" s="1"/>
  <c r="Q309" i="14"/>
  <c r="T309" i="14" s="1"/>
  <c r="N309" i="14"/>
  <c r="N307" i="14" s="1"/>
  <c r="M309" i="14"/>
  <c r="L309" i="14"/>
  <c r="O309" i="14" s="1"/>
  <c r="U308" i="14"/>
  <c r="T308" i="14"/>
  <c r="P308" i="14"/>
  <c r="O308" i="14"/>
  <c r="T305" i="14"/>
  <c r="S305" i="14"/>
  <c r="R305" i="14"/>
  <c r="U305" i="14" s="1"/>
  <c r="Q305" i="14"/>
  <c r="N305" i="14"/>
  <c r="M305" i="14"/>
  <c r="L305" i="14"/>
  <c r="J303" i="14"/>
  <c r="I297" i="14"/>
  <c r="K297" i="14" s="1"/>
  <c r="I296" i="14"/>
  <c r="K296" i="14" s="1"/>
  <c r="J294" i="14"/>
  <c r="I294" i="14"/>
  <c r="I281" i="14" s="1"/>
  <c r="K281" i="14" s="1"/>
  <c r="I293" i="14"/>
  <c r="U291" i="14"/>
  <c r="T291" i="14"/>
  <c r="N291" i="14"/>
  <c r="N289" i="14" s="1"/>
  <c r="M291" i="14"/>
  <c r="M289" i="14" s="1"/>
  <c r="P289" i="14" s="1"/>
  <c r="L291" i="14"/>
  <c r="U290" i="14"/>
  <c r="T290" i="14"/>
  <c r="P290" i="14"/>
  <c r="O290" i="14"/>
  <c r="S289" i="14"/>
  <c r="R289" i="14"/>
  <c r="U289" i="14" s="1"/>
  <c r="Q289" i="14"/>
  <c r="T289" i="14" s="1"/>
  <c r="U288" i="14"/>
  <c r="T288" i="14"/>
  <c r="N288" i="14"/>
  <c r="N286" i="14" s="1"/>
  <c r="M288" i="14"/>
  <c r="P288" i="14" s="1"/>
  <c r="L288" i="14"/>
  <c r="O288" i="14" s="1"/>
  <c r="U287" i="14"/>
  <c r="T287" i="14"/>
  <c r="P287" i="14"/>
  <c r="O287" i="14"/>
  <c r="S286" i="14"/>
  <c r="R286" i="14"/>
  <c r="U286" i="14" s="1"/>
  <c r="Q286" i="14"/>
  <c r="T286" i="14" s="1"/>
  <c r="S285" i="14"/>
  <c r="R285" i="14"/>
  <c r="U285" i="14" s="1"/>
  <c r="Q285" i="14"/>
  <c r="T285" i="14" s="1"/>
  <c r="S284" i="14"/>
  <c r="S283" i="14" s="1"/>
  <c r="R284" i="14"/>
  <c r="U284" i="14" s="1"/>
  <c r="Q284" i="14"/>
  <c r="T284" i="14" s="1"/>
  <c r="N284" i="14"/>
  <c r="M284" i="14"/>
  <c r="L284" i="14"/>
  <c r="O284" i="14" s="1"/>
  <c r="J282" i="14"/>
  <c r="J281" i="14"/>
  <c r="I277" i="14"/>
  <c r="U275" i="14"/>
  <c r="T275" i="14"/>
  <c r="N275" i="14"/>
  <c r="N273" i="14" s="1"/>
  <c r="M275" i="14"/>
  <c r="L275" i="14"/>
  <c r="O275" i="14" s="1"/>
  <c r="U274" i="14"/>
  <c r="T274" i="14"/>
  <c r="P274" i="14"/>
  <c r="O274" i="14"/>
  <c r="U273" i="14"/>
  <c r="S273" i="14"/>
  <c r="R273" i="14"/>
  <c r="Q273" i="14"/>
  <c r="T273" i="14" s="1"/>
  <c r="S272" i="14"/>
  <c r="S270" i="14" s="1"/>
  <c r="R272" i="14"/>
  <c r="R269" i="14" s="1"/>
  <c r="Q272" i="14"/>
  <c r="Q270" i="14" s="1"/>
  <c r="N272" i="14"/>
  <c r="M272" i="14"/>
  <c r="L272" i="14"/>
  <c r="U271" i="14"/>
  <c r="T271" i="14"/>
  <c r="P271" i="14"/>
  <c r="O271" i="14"/>
  <c r="S268" i="14"/>
  <c r="R268" i="14"/>
  <c r="Q268" i="14"/>
  <c r="N268" i="14"/>
  <c r="M268" i="14"/>
  <c r="L268" i="14"/>
  <c r="J266" i="14"/>
  <c r="K264" i="14"/>
  <c r="K263" i="14"/>
  <c r="I261" i="14"/>
  <c r="L259" i="14"/>
  <c r="L258" i="14"/>
  <c r="L257" i="14"/>
  <c r="L256" i="14"/>
  <c r="P255" i="14"/>
  <c r="N255" i="14"/>
  <c r="J254" i="14"/>
  <c r="K253" i="14"/>
  <c r="K252" i="14"/>
  <c r="I250" i="14"/>
  <c r="K250" i="14" s="1"/>
  <c r="L248" i="14"/>
  <c r="L247" i="14"/>
  <c r="L246" i="14"/>
  <c r="L245" i="14"/>
  <c r="P244" i="14"/>
  <c r="N244" i="14"/>
  <c r="J243" i="14"/>
  <c r="J232" i="14" s="1"/>
  <c r="K242" i="14"/>
  <c r="J242" i="14"/>
  <c r="I242" i="14"/>
  <c r="K241" i="14"/>
  <c r="J241" i="14"/>
  <c r="I241" i="14"/>
  <c r="J239" i="14"/>
  <c r="N237" i="14"/>
  <c r="N236" i="14"/>
  <c r="N235" i="14"/>
  <c r="N234" i="14"/>
  <c r="N233" i="14"/>
  <c r="I231" i="14"/>
  <c r="K231" i="14" s="1"/>
  <c r="I230" i="14"/>
  <c r="I222" i="14" s="1"/>
  <c r="K222" i="14" s="1"/>
  <c r="I229" i="14"/>
  <c r="K229" i="14" s="1"/>
  <c r="L226" i="14"/>
  <c r="L225" i="14"/>
  <c r="L224" i="14"/>
  <c r="P223" i="14"/>
  <c r="N223" i="14"/>
  <c r="J222" i="14"/>
  <c r="I221" i="14"/>
  <c r="K221" i="14" s="1"/>
  <c r="I220" i="14"/>
  <c r="K220" i="14" s="1"/>
  <c r="L218" i="14"/>
  <c r="L217" i="14"/>
  <c r="L216" i="14"/>
  <c r="P215" i="14"/>
  <c r="N215" i="14"/>
  <c r="J214" i="14"/>
  <c r="I213" i="14"/>
  <c r="K213" i="14" s="1"/>
  <c r="I212" i="14"/>
  <c r="K212" i="14" s="1"/>
  <c r="I210" i="14"/>
  <c r="L208" i="14"/>
  <c r="L207" i="14"/>
  <c r="L206" i="14"/>
  <c r="L205" i="14"/>
  <c r="P204" i="14"/>
  <c r="N204" i="14"/>
  <c r="J203" i="14"/>
  <c r="J200" i="14"/>
  <c r="I199" i="14"/>
  <c r="K199" i="14" s="1"/>
  <c r="P197" i="14"/>
  <c r="L197" i="14"/>
  <c r="O197" i="14" s="1"/>
  <c r="J196" i="14"/>
  <c r="U195" i="14"/>
  <c r="T195" i="14"/>
  <c r="N195" i="14"/>
  <c r="N193" i="14" s="1"/>
  <c r="M195" i="14"/>
  <c r="P195" i="14" s="1"/>
  <c r="L195" i="14"/>
  <c r="O195" i="14" s="1"/>
  <c r="U194" i="14"/>
  <c r="T194" i="14"/>
  <c r="P194" i="14"/>
  <c r="O194" i="14"/>
  <c r="U193" i="14"/>
  <c r="S193" i="14"/>
  <c r="R193" i="14"/>
  <c r="Q193" i="14"/>
  <c r="T193" i="14" s="1"/>
  <c r="S192" i="14"/>
  <c r="S190" i="14" s="1"/>
  <c r="R192" i="14"/>
  <c r="R189" i="14" s="1"/>
  <c r="R187" i="14" s="1"/>
  <c r="Q192" i="14"/>
  <c r="Q189" i="14" s="1"/>
  <c r="Q187" i="14" s="1"/>
  <c r="N192" i="14"/>
  <c r="N190" i="14" s="1"/>
  <c r="M192" i="14"/>
  <c r="M190" i="14" s="1"/>
  <c r="L192" i="14"/>
  <c r="U191" i="14"/>
  <c r="T191" i="14"/>
  <c r="P191" i="14"/>
  <c r="O191" i="14"/>
  <c r="U188" i="14"/>
  <c r="T188" i="14"/>
  <c r="S188" i="14"/>
  <c r="R188" i="14"/>
  <c r="Q188" i="14"/>
  <c r="O188" i="14"/>
  <c r="N188" i="14"/>
  <c r="M188" i="14"/>
  <c r="P188" i="14" s="1"/>
  <c r="L188" i="14"/>
  <c r="J186" i="14"/>
  <c r="K185" i="14"/>
  <c r="I184" i="14"/>
  <c r="I173" i="14" s="1"/>
  <c r="K173" i="14" s="1"/>
  <c r="U182" i="14"/>
  <c r="T182" i="14"/>
  <c r="N182" i="14"/>
  <c r="N180" i="14" s="1"/>
  <c r="M182" i="14"/>
  <c r="P182" i="14" s="1"/>
  <c r="L182" i="14"/>
  <c r="U181" i="14"/>
  <c r="T181" i="14"/>
  <c r="P181" i="14"/>
  <c r="O181" i="14"/>
  <c r="U180" i="14"/>
  <c r="T180" i="14"/>
  <c r="S180" i="14"/>
  <c r="R180" i="14"/>
  <c r="Q180" i="14"/>
  <c r="S179" i="14"/>
  <c r="S176" i="14" s="1"/>
  <c r="S174" i="14" s="1"/>
  <c r="R179" i="14"/>
  <c r="R176" i="14" s="1"/>
  <c r="U176" i="14" s="1"/>
  <c r="Q179" i="14"/>
  <c r="Q177" i="14" s="1"/>
  <c r="T177" i="14" s="1"/>
  <c r="N179" i="14"/>
  <c r="N177" i="14" s="1"/>
  <c r="M179" i="14"/>
  <c r="M177" i="14" s="1"/>
  <c r="L179" i="14"/>
  <c r="U178" i="14"/>
  <c r="T178" i="14"/>
  <c r="P178" i="14"/>
  <c r="O178" i="14"/>
  <c r="S175" i="14"/>
  <c r="R175" i="14"/>
  <c r="U175" i="14" s="1"/>
  <c r="Q175" i="14"/>
  <c r="P175" i="14"/>
  <c r="N175" i="14"/>
  <c r="M175" i="14"/>
  <c r="L175" i="14"/>
  <c r="O175" i="14" s="1"/>
  <c r="J173" i="14"/>
  <c r="I168" i="14"/>
  <c r="I170" i="14" s="1"/>
  <c r="K170" i="14" s="1"/>
  <c r="U166" i="14"/>
  <c r="T166" i="14"/>
  <c r="N166" i="14"/>
  <c r="N164" i="14" s="1"/>
  <c r="M166" i="14"/>
  <c r="P166" i="14" s="1"/>
  <c r="L166" i="14"/>
  <c r="U165" i="14"/>
  <c r="T165" i="14"/>
  <c r="P165" i="14"/>
  <c r="O165" i="14"/>
  <c r="U164" i="14"/>
  <c r="T164" i="14"/>
  <c r="S164" i="14"/>
  <c r="R164" i="14"/>
  <c r="Q164" i="14"/>
  <c r="S163" i="14"/>
  <c r="S160" i="14" s="1"/>
  <c r="R163" i="14"/>
  <c r="R160" i="14" s="1"/>
  <c r="U160" i="14" s="1"/>
  <c r="Q160" i="14"/>
  <c r="T160" i="14" s="1"/>
  <c r="N163" i="14"/>
  <c r="M163" i="14"/>
  <c r="M161" i="14" s="1"/>
  <c r="L163" i="14"/>
  <c r="U162" i="14"/>
  <c r="T162" i="14"/>
  <c r="P162" i="14"/>
  <c r="O162" i="14"/>
  <c r="S159" i="14"/>
  <c r="R159" i="14"/>
  <c r="Q159" i="14"/>
  <c r="N159" i="14"/>
  <c r="M159" i="14"/>
  <c r="P159" i="14" s="1"/>
  <c r="L159" i="14"/>
  <c r="J157" i="14"/>
  <c r="I155" i="14"/>
  <c r="I137" i="14" s="1"/>
  <c r="K137" i="14" s="1"/>
  <c r="I154" i="14"/>
  <c r="I139" i="14" s="1"/>
  <c r="K139" i="14" s="1"/>
  <c r="I153" i="14"/>
  <c r="I138" i="14" s="1"/>
  <c r="K138" i="14" s="1"/>
  <c r="I152" i="14"/>
  <c r="K152" i="14" s="1"/>
  <c r="I151" i="14"/>
  <c r="K151" i="14" s="1"/>
  <c r="U148" i="14"/>
  <c r="T148" i="14"/>
  <c r="N148" i="14"/>
  <c r="N146" i="14" s="1"/>
  <c r="M148" i="14"/>
  <c r="P148" i="14" s="1"/>
  <c r="L148" i="14"/>
  <c r="U147" i="14"/>
  <c r="T147" i="14"/>
  <c r="P147" i="14"/>
  <c r="O147" i="14"/>
  <c r="T146" i="14"/>
  <c r="S146" i="14"/>
  <c r="R146" i="14"/>
  <c r="U146" i="14" s="1"/>
  <c r="Q146" i="14"/>
  <c r="S145" i="14"/>
  <c r="S142" i="14" s="1"/>
  <c r="S140" i="14" s="1"/>
  <c r="R145" i="14"/>
  <c r="R142" i="14" s="1"/>
  <c r="Q145" i="14"/>
  <c r="T145" i="14" s="1"/>
  <c r="N145" i="14"/>
  <c r="N143" i="14" s="1"/>
  <c r="M145" i="14"/>
  <c r="L145" i="14"/>
  <c r="L143" i="14" s="1"/>
  <c r="U144" i="14"/>
  <c r="T144" i="14"/>
  <c r="P144" i="14"/>
  <c r="O144" i="14"/>
  <c r="U141" i="14"/>
  <c r="T141" i="14"/>
  <c r="S141" i="14"/>
  <c r="R141" i="14"/>
  <c r="Q141" i="14"/>
  <c r="P141" i="14"/>
  <c r="O141" i="14"/>
  <c r="N141" i="14"/>
  <c r="M141" i="14"/>
  <c r="L141" i="14"/>
  <c r="J139" i="14"/>
  <c r="J138" i="14"/>
  <c r="J137" i="14"/>
  <c r="I131" i="14"/>
  <c r="K131" i="14" s="1"/>
  <c r="I130" i="14"/>
  <c r="K130" i="14" s="1"/>
  <c r="I129" i="14"/>
  <c r="K129" i="14" s="1"/>
  <c r="I128" i="14"/>
  <c r="U126" i="14"/>
  <c r="T126" i="14"/>
  <c r="N126" i="14"/>
  <c r="N124" i="14" s="1"/>
  <c r="M126" i="14"/>
  <c r="P126" i="14" s="1"/>
  <c r="L126" i="14"/>
  <c r="U125" i="14"/>
  <c r="T125" i="14"/>
  <c r="P125" i="14"/>
  <c r="O125" i="14"/>
  <c r="U124" i="14"/>
  <c r="T124" i="14"/>
  <c r="S124" i="14"/>
  <c r="R124" i="14"/>
  <c r="Q124" i="14"/>
  <c r="S123" i="14"/>
  <c r="S121" i="14" s="1"/>
  <c r="R123" i="14"/>
  <c r="R120" i="14" s="1"/>
  <c r="Q123" i="14"/>
  <c r="Q120" i="14" s="1"/>
  <c r="N123" i="14"/>
  <c r="N121" i="14" s="1"/>
  <c r="M123" i="14"/>
  <c r="P123" i="14" s="1"/>
  <c r="L123" i="14"/>
  <c r="U122" i="14"/>
  <c r="T122" i="14"/>
  <c r="P122" i="14"/>
  <c r="O122" i="14"/>
  <c r="S119" i="14"/>
  <c r="R119" i="14"/>
  <c r="Q119" i="14"/>
  <c r="P119" i="14"/>
  <c r="N119" i="14"/>
  <c r="M119" i="14"/>
  <c r="L119" i="14"/>
  <c r="J117" i="14"/>
  <c r="I115" i="14"/>
  <c r="K115" i="14" s="1"/>
  <c r="I114" i="14"/>
  <c r="K114" i="14" s="1"/>
  <c r="I110" i="14"/>
  <c r="K110" i="14" s="1"/>
  <c r="I109" i="14"/>
  <c r="I93" i="14" s="1"/>
  <c r="K93" i="14" s="1"/>
  <c r="U103" i="14"/>
  <c r="T103" i="14"/>
  <c r="N103" i="14"/>
  <c r="N101" i="14" s="1"/>
  <c r="M103" i="14"/>
  <c r="M101" i="14" s="1"/>
  <c r="P101" i="14" s="1"/>
  <c r="L103" i="14"/>
  <c r="O103" i="14" s="1"/>
  <c r="U102" i="14"/>
  <c r="T102" i="14"/>
  <c r="P102" i="14"/>
  <c r="O102" i="14"/>
  <c r="S101" i="14"/>
  <c r="R101" i="14"/>
  <c r="U101" i="14" s="1"/>
  <c r="Q101" i="14"/>
  <c r="T101" i="14" s="1"/>
  <c r="S100" i="14"/>
  <c r="S98" i="14" s="1"/>
  <c r="R100" i="14"/>
  <c r="R97" i="14" s="1"/>
  <c r="R95" i="14" s="1"/>
  <c r="Q100" i="14"/>
  <c r="N100" i="14"/>
  <c r="N98" i="14" s="1"/>
  <c r="M100" i="14"/>
  <c r="M98" i="14" s="1"/>
  <c r="P98" i="14" s="1"/>
  <c r="L100" i="14"/>
  <c r="L98" i="14" s="1"/>
  <c r="O98" i="14" s="1"/>
  <c r="U99" i="14"/>
  <c r="T99" i="14"/>
  <c r="P99" i="14"/>
  <c r="O99" i="14"/>
  <c r="S96" i="14"/>
  <c r="R96" i="14"/>
  <c r="U96" i="14" s="1"/>
  <c r="Q96" i="14"/>
  <c r="T96" i="14" s="1"/>
  <c r="N96" i="14"/>
  <c r="M96" i="14"/>
  <c r="L96" i="14"/>
  <c r="O96" i="14" s="1"/>
  <c r="J94" i="14"/>
  <c r="J93" i="14"/>
  <c r="I91" i="14"/>
  <c r="K91" i="14" s="1"/>
  <c r="I90" i="14"/>
  <c r="K90" i="14" s="1"/>
  <c r="I89" i="14"/>
  <c r="K89" i="14" s="1"/>
  <c r="I88" i="14"/>
  <c r="K88" i="14" s="1"/>
  <c r="I87" i="14"/>
  <c r="K87" i="14" s="1"/>
  <c r="I86" i="14"/>
  <c r="I85" i="14"/>
  <c r="J84" i="14"/>
  <c r="J72" i="14" s="1"/>
  <c r="J83" i="14"/>
  <c r="J71" i="14" s="1"/>
  <c r="U81" i="14"/>
  <c r="T81" i="14"/>
  <c r="N81" i="14"/>
  <c r="N79" i="14" s="1"/>
  <c r="M81" i="14"/>
  <c r="L81" i="14"/>
  <c r="L79" i="14" s="1"/>
  <c r="O79" i="14" s="1"/>
  <c r="U80" i="14"/>
  <c r="T80" i="14"/>
  <c r="P80" i="14"/>
  <c r="O80" i="14"/>
  <c r="S79" i="14"/>
  <c r="R79" i="14"/>
  <c r="U79" i="14" s="1"/>
  <c r="Q79" i="14"/>
  <c r="T79" i="14" s="1"/>
  <c r="S78" i="14"/>
  <c r="R78" i="14"/>
  <c r="R76" i="14" s="1"/>
  <c r="U76" i="14" s="1"/>
  <c r="Q75" i="14"/>
  <c r="N78" i="14"/>
  <c r="N76" i="14" s="1"/>
  <c r="M78" i="14"/>
  <c r="L78" i="14"/>
  <c r="U77" i="14"/>
  <c r="T77" i="14"/>
  <c r="P77" i="14"/>
  <c r="O77" i="14"/>
  <c r="S74" i="14"/>
  <c r="R74" i="14"/>
  <c r="Q74" i="14"/>
  <c r="T74" i="14" s="1"/>
  <c r="N74" i="14"/>
  <c r="M74" i="14"/>
  <c r="P74" i="14" s="1"/>
  <c r="L74" i="14"/>
  <c r="U68" i="14"/>
  <c r="T68" i="14"/>
  <c r="N68" i="14"/>
  <c r="M68" i="14"/>
  <c r="P68" i="14" s="1"/>
  <c r="L68" i="14"/>
  <c r="L66" i="14" s="1"/>
  <c r="O66" i="14" s="1"/>
  <c r="U67" i="14"/>
  <c r="T67" i="14"/>
  <c r="P67" i="14"/>
  <c r="O67" i="14"/>
  <c r="T66" i="14"/>
  <c r="S66" i="14"/>
  <c r="R66" i="14"/>
  <c r="U66" i="14" s="1"/>
  <c r="Q66" i="14"/>
  <c r="U65" i="14"/>
  <c r="T65" i="14"/>
  <c r="N65" i="14"/>
  <c r="N63" i="14" s="1"/>
  <c r="M65" i="14"/>
  <c r="L65" i="14"/>
  <c r="U64" i="14"/>
  <c r="T64" i="14"/>
  <c r="P64" i="14"/>
  <c r="O64" i="14"/>
  <c r="U63" i="14"/>
  <c r="T63" i="14"/>
  <c r="S63" i="14"/>
  <c r="R63" i="14"/>
  <c r="Q63" i="14"/>
  <c r="U62" i="14"/>
  <c r="T62" i="14"/>
  <c r="S62" i="14"/>
  <c r="R62" i="14"/>
  <c r="Q62" i="14"/>
  <c r="S61" i="14"/>
  <c r="R61" i="14"/>
  <c r="Q61" i="14"/>
  <c r="P61" i="14"/>
  <c r="N61" i="14"/>
  <c r="M61" i="14"/>
  <c r="L61" i="14"/>
  <c r="U53" i="14"/>
  <c r="T53" i="14"/>
  <c r="N53" i="14"/>
  <c r="N51" i="14" s="1"/>
  <c r="M53" i="14"/>
  <c r="P53" i="14" s="1"/>
  <c r="L53" i="14"/>
  <c r="O53" i="14" s="1"/>
  <c r="U52" i="14"/>
  <c r="T52" i="14"/>
  <c r="P52" i="14"/>
  <c r="O52" i="14"/>
  <c r="S51" i="14"/>
  <c r="R51" i="14"/>
  <c r="U51" i="14" s="1"/>
  <c r="Q51" i="14"/>
  <c r="T51" i="14" s="1"/>
  <c r="U50" i="14"/>
  <c r="T50" i="14"/>
  <c r="N50" i="14"/>
  <c r="M50" i="14"/>
  <c r="M48" i="14" s="1"/>
  <c r="L50" i="14"/>
  <c r="L48" i="14" s="1"/>
  <c r="U49" i="14"/>
  <c r="T49" i="14"/>
  <c r="P49" i="14"/>
  <c r="O49" i="14"/>
  <c r="U48" i="14"/>
  <c r="S48" i="14"/>
  <c r="R48" i="14"/>
  <c r="Q48" i="14"/>
  <c r="T48" i="14" s="1"/>
  <c r="U47" i="14"/>
  <c r="T47" i="14"/>
  <c r="S47" i="14"/>
  <c r="R47" i="14"/>
  <c r="Q47" i="14"/>
  <c r="S46" i="14"/>
  <c r="R46" i="14"/>
  <c r="Q46" i="14"/>
  <c r="T46" i="14" s="1"/>
  <c r="P46" i="14"/>
  <c r="N46" i="14"/>
  <c r="M46" i="14"/>
  <c r="L46" i="14"/>
  <c r="S45" i="14"/>
  <c r="S27" i="14"/>
  <c r="R27" i="14"/>
  <c r="U27" i="14" s="1"/>
  <c r="Q27" i="14"/>
  <c r="T27" i="14" s="1"/>
  <c r="S26" i="14"/>
  <c r="R26" i="14"/>
  <c r="U26" i="14" s="1"/>
  <c r="Q26" i="14"/>
  <c r="N26" i="14"/>
  <c r="M26" i="14"/>
  <c r="P26" i="14" s="1"/>
  <c r="L26" i="14"/>
  <c r="O26" i="14" s="1"/>
  <c r="S23" i="14"/>
  <c r="S20" i="14" s="1"/>
  <c r="R23" i="14"/>
  <c r="U23" i="14" s="1"/>
  <c r="Q23" i="14"/>
  <c r="N23" i="14"/>
  <c r="M23" i="14"/>
  <c r="P23" i="14" s="1"/>
  <c r="L23" i="14"/>
  <c r="L20" i="14" s="1"/>
  <c r="O20" i="14" s="1"/>
  <c r="A788" i="13"/>
  <c r="J785" i="13"/>
  <c r="I785" i="13"/>
  <c r="J784" i="13"/>
  <c r="I784" i="13"/>
  <c r="J783" i="13"/>
  <c r="I783" i="13"/>
  <c r="J782" i="13"/>
  <c r="I782" i="13"/>
  <c r="J781" i="13"/>
  <c r="I781" i="13"/>
  <c r="J780" i="13"/>
  <c r="I780" i="13"/>
  <c r="J779" i="13"/>
  <c r="I779" i="13"/>
  <c r="J778" i="13"/>
  <c r="I778" i="13"/>
  <c r="H777" i="13"/>
  <c r="I776" i="13"/>
  <c r="I775" i="13"/>
  <c r="I774" i="13"/>
  <c r="I772" i="13"/>
  <c r="I758" i="13" s="1"/>
  <c r="K758" i="13" s="1"/>
  <c r="I770" i="13"/>
  <c r="K770" i="13" s="1"/>
  <c r="U768" i="13"/>
  <c r="T768" i="13"/>
  <c r="P768" i="13"/>
  <c r="O768" i="13"/>
  <c r="U767" i="13"/>
  <c r="T767" i="13"/>
  <c r="P767" i="13"/>
  <c r="O767" i="13"/>
  <c r="U766" i="13"/>
  <c r="T766" i="13"/>
  <c r="S766" i="13"/>
  <c r="R766" i="13"/>
  <c r="Q766" i="13"/>
  <c r="P766" i="13"/>
  <c r="O766" i="13"/>
  <c r="N766" i="13"/>
  <c r="M766" i="13"/>
  <c r="L766" i="13"/>
  <c r="S765" i="13"/>
  <c r="S762" i="13" s="1"/>
  <c r="S760" i="13" s="1"/>
  <c r="R765" i="13"/>
  <c r="U765" i="13" s="1"/>
  <c r="Q765" i="13"/>
  <c r="Q762" i="13" s="1"/>
  <c r="P765" i="13"/>
  <c r="O765" i="13"/>
  <c r="U764" i="13"/>
  <c r="T764" i="13"/>
  <c r="P764" i="13"/>
  <c r="O764" i="13"/>
  <c r="N763" i="13"/>
  <c r="M763" i="13"/>
  <c r="P763" i="13" s="1"/>
  <c r="L763" i="13"/>
  <c r="O763" i="13" s="1"/>
  <c r="P762" i="13"/>
  <c r="O762" i="13"/>
  <c r="N762" i="13"/>
  <c r="M762" i="13"/>
  <c r="L762" i="13"/>
  <c r="U761" i="13"/>
  <c r="T761" i="13"/>
  <c r="S761" i="13"/>
  <c r="R761" i="13"/>
  <c r="Q761" i="13"/>
  <c r="O761" i="13"/>
  <c r="N761" i="13"/>
  <c r="N760" i="13" s="1"/>
  <c r="M761" i="13"/>
  <c r="P761" i="13" s="1"/>
  <c r="L761" i="13"/>
  <c r="M760" i="13"/>
  <c r="P760" i="13" s="1"/>
  <c r="L760" i="13"/>
  <c r="O760" i="13" s="1"/>
  <c r="J759" i="13"/>
  <c r="J758" i="13"/>
  <c r="I756" i="13"/>
  <c r="K756" i="13" s="1"/>
  <c r="I753" i="13"/>
  <c r="K753" i="13" s="1"/>
  <c r="I750" i="13"/>
  <c r="K750" i="13" s="1"/>
  <c r="I747" i="13"/>
  <c r="K747" i="13" s="1"/>
  <c r="I745" i="13"/>
  <c r="K745" i="13" s="1"/>
  <c r="I743" i="13"/>
  <c r="K743" i="13" s="1"/>
  <c r="I741" i="13"/>
  <c r="K741" i="13" s="1"/>
  <c r="U737" i="13"/>
  <c r="T737" i="13"/>
  <c r="P737" i="13"/>
  <c r="O737" i="13"/>
  <c r="U736" i="13"/>
  <c r="T736" i="13"/>
  <c r="P736" i="13"/>
  <c r="O736" i="13"/>
  <c r="U735" i="13"/>
  <c r="T735" i="13"/>
  <c r="S735" i="13"/>
  <c r="R735" i="13"/>
  <c r="Q735" i="13"/>
  <c r="O735" i="13"/>
  <c r="N735" i="13"/>
  <c r="M735" i="13"/>
  <c r="P735" i="13" s="1"/>
  <c r="L735" i="13"/>
  <c r="S734" i="13"/>
  <c r="R734" i="13"/>
  <c r="R732" i="13" s="1"/>
  <c r="U732" i="13" s="1"/>
  <c r="Q734" i="13"/>
  <c r="Q732" i="13" s="1"/>
  <c r="T732" i="13" s="1"/>
  <c r="P734" i="13"/>
  <c r="O734" i="13"/>
  <c r="U733" i="13"/>
  <c r="T733" i="13"/>
  <c r="P733" i="13"/>
  <c r="O733" i="13"/>
  <c r="P732" i="13"/>
  <c r="N732" i="13"/>
  <c r="M732" i="13"/>
  <c r="L732" i="13"/>
  <c r="O732" i="13" s="1"/>
  <c r="P731" i="13"/>
  <c r="O731" i="13"/>
  <c r="N731" i="13"/>
  <c r="M731" i="13"/>
  <c r="L731" i="13"/>
  <c r="T730" i="13"/>
  <c r="S730" i="13"/>
  <c r="R730" i="13"/>
  <c r="U730" i="13" s="1"/>
  <c r="Q730" i="13"/>
  <c r="N730" i="13"/>
  <c r="M730" i="13"/>
  <c r="L730" i="13"/>
  <c r="O730" i="13" s="1"/>
  <c r="N729" i="13"/>
  <c r="J728" i="13"/>
  <c r="I728" i="13"/>
  <c r="K728" i="13" s="1"/>
  <c r="J727" i="13"/>
  <c r="I727" i="13"/>
  <c r="K727" i="13" s="1"/>
  <c r="U723" i="13"/>
  <c r="T723" i="13"/>
  <c r="P723" i="13"/>
  <c r="O723" i="13"/>
  <c r="U722" i="13"/>
  <c r="T722" i="13"/>
  <c r="P722" i="13"/>
  <c r="O722" i="13"/>
  <c r="T721" i="13"/>
  <c r="S721" i="13"/>
  <c r="R721" i="13"/>
  <c r="U721" i="13" s="1"/>
  <c r="Q721" i="13"/>
  <c r="P721" i="13"/>
  <c r="N721" i="13"/>
  <c r="M721" i="13"/>
  <c r="L721" i="13"/>
  <c r="O721" i="13" s="1"/>
  <c r="U720" i="13"/>
  <c r="T720" i="13"/>
  <c r="P720" i="13"/>
  <c r="O720" i="13"/>
  <c r="U719" i="13"/>
  <c r="T719" i="13"/>
  <c r="P719" i="13"/>
  <c r="O719" i="13"/>
  <c r="T718" i="13"/>
  <c r="S718" i="13"/>
  <c r="R718" i="13"/>
  <c r="U718" i="13" s="1"/>
  <c r="Q718" i="13"/>
  <c r="P718" i="13"/>
  <c r="N718" i="13"/>
  <c r="M718" i="13"/>
  <c r="L718" i="13"/>
  <c r="O718" i="13" s="1"/>
  <c r="T717" i="13"/>
  <c r="S717" i="13"/>
  <c r="R717" i="13"/>
  <c r="U717" i="13" s="1"/>
  <c r="Q717" i="13"/>
  <c r="P717" i="13"/>
  <c r="N717" i="13"/>
  <c r="M717" i="13"/>
  <c r="L717" i="13"/>
  <c r="T716" i="13"/>
  <c r="S716" i="13"/>
  <c r="S715" i="13" s="1"/>
  <c r="R716" i="13"/>
  <c r="U716" i="13" s="1"/>
  <c r="Q716" i="13"/>
  <c r="N716" i="13"/>
  <c r="N715" i="13" s="1"/>
  <c r="M716" i="13"/>
  <c r="M715" i="13" s="1"/>
  <c r="L716" i="13"/>
  <c r="O716" i="13" s="1"/>
  <c r="Q715" i="13"/>
  <c r="T715" i="13" s="1"/>
  <c r="P715" i="13"/>
  <c r="K713" i="13"/>
  <c r="J713" i="13"/>
  <c r="K711" i="13"/>
  <c r="J711" i="13"/>
  <c r="J710" i="13"/>
  <c r="I710" i="13"/>
  <c r="K709" i="13"/>
  <c r="J709" i="13"/>
  <c r="J708" i="13"/>
  <c r="J690" i="13" s="1"/>
  <c r="I708" i="13"/>
  <c r="I690" i="13" s="1"/>
  <c r="K690" i="13" s="1"/>
  <c r="K707" i="13"/>
  <c r="J707" i="13"/>
  <c r="J706" i="13"/>
  <c r="I706" i="13"/>
  <c r="K705" i="13"/>
  <c r="J705" i="13"/>
  <c r="J704" i="13"/>
  <c r="I704" i="13"/>
  <c r="K704" i="13" s="1"/>
  <c r="K703" i="13"/>
  <c r="I701" i="13"/>
  <c r="K701" i="13" s="1"/>
  <c r="U699" i="13"/>
  <c r="T699" i="13"/>
  <c r="P699" i="13"/>
  <c r="O699" i="13"/>
  <c r="U698" i="13"/>
  <c r="T698" i="13"/>
  <c r="P698" i="13"/>
  <c r="O698" i="13"/>
  <c r="U697" i="13"/>
  <c r="T697" i="13"/>
  <c r="S697" i="13"/>
  <c r="R697" i="13"/>
  <c r="Q697" i="13"/>
  <c r="O697" i="13"/>
  <c r="N697" i="13"/>
  <c r="M697" i="13"/>
  <c r="P697" i="13" s="1"/>
  <c r="L697" i="13"/>
  <c r="S696" i="13"/>
  <c r="S693" i="13" s="1"/>
  <c r="S691" i="13" s="1"/>
  <c r="R696" i="13"/>
  <c r="R693" i="13" s="1"/>
  <c r="Q696" i="13"/>
  <c r="Q693" i="13" s="1"/>
  <c r="Q691" i="13" s="1"/>
  <c r="P696" i="13"/>
  <c r="O696" i="13"/>
  <c r="U695" i="13"/>
  <c r="T695" i="13"/>
  <c r="P695" i="13"/>
  <c r="O695" i="13"/>
  <c r="P694" i="13"/>
  <c r="N694" i="13"/>
  <c r="M694" i="13"/>
  <c r="L694" i="13"/>
  <c r="O694" i="13" s="1"/>
  <c r="P693" i="13"/>
  <c r="N693" i="13"/>
  <c r="M693" i="13"/>
  <c r="L693" i="13"/>
  <c r="O693" i="13" s="1"/>
  <c r="U692" i="13"/>
  <c r="T692" i="13"/>
  <c r="S692" i="13"/>
  <c r="R692" i="13"/>
  <c r="Q692" i="13"/>
  <c r="P692" i="13"/>
  <c r="O692" i="13"/>
  <c r="N692" i="13"/>
  <c r="M692" i="13"/>
  <c r="M691" i="13" s="1"/>
  <c r="P691" i="13" s="1"/>
  <c r="L692" i="13"/>
  <c r="N691" i="13"/>
  <c r="L691" i="13"/>
  <c r="O691" i="13" s="1"/>
  <c r="J683" i="13"/>
  <c r="I683" i="13"/>
  <c r="J682" i="13"/>
  <c r="I682" i="13"/>
  <c r="J681" i="13"/>
  <c r="J680" i="13"/>
  <c r="I680" i="13"/>
  <c r="J679" i="13"/>
  <c r="I679" i="13"/>
  <c r="J678" i="13"/>
  <c r="J677" i="13"/>
  <c r="I677" i="13"/>
  <c r="I676" i="13"/>
  <c r="I675" i="13"/>
  <c r="J674" i="13"/>
  <c r="I674" i="13"/>
  <c r="J673" i="13"/>
  <c r="J672" i="13"/>
  <c r="J662" i="13"/>
  <c r="I662" i="13"/>
  <c r="I661" i="13"/>
  <c r="I658" i="13"/>
  <c r="J655" i="13"/>
  <c r="I655" i="13"/>
  <c r="K655" i="13" s="1"/>
  <c r="J654" i="13"/>
  <c r="I654" i="13"/>
  <c r="J653" i="13"/>
  <c r="I653" i="13"/>
  <c r="K653" i="13" s="1"/>
  <c r="U651" i="13"/>
  <c r="T651" i="13"/>
  <c r="P651" i="13"/>
  <c r="O651" i="13"/>
  <c r="U650" i="13"/>
  <c r="T650" i="13"/>
  <c r="P650" i="13"/>
  <c r="O650" i="13"/>
  <c r="U649" i="13"/>
  <c r="S649" i="13"/>
  <c r="R649" i="13"/>
  <c r="Q649" i="13"/>
  <c r="T649" i="13" s="1"/>
  <c r="P649" i="13"/>
  <c r="O649" i="13"/>
  <c r="N649" i="13"/>
  <c r="M649" i="13"/>
  <c r="L649" i="13"/>
  <c r="S648" i="13"/>
  <c r="R648" i="13"/>
  <c r="Q648" i="13"/>
  <c r="Q646" i="13" s="1"/>
  <c r="P648" i="13"/>
  <c r="O648" i="13"/>
  <c r="U647" i="13"/>
  <c r="T647" i="13"/>
  <c r="P647" i="13"/>
  <c r="O647" i="13"/>
  <c r="N646" i="13"/>
  <c r="M646" i="13"/>
  <c r="P646" i="13" s="1"/>
  <c r="L646" i="13"/>
  <c r="O646" i="13" s="1"/>
  <c r="P645" i="13"/>
  <c r="O645" i="13"/>
  <c r="N645" i="13"/>
  <c r="M645" i="13"/>
  <c r="L645" i="13"/>
  <c r="T644" i="13"/>
  <c r="S644" i="13"/>
  <c r="R644" i="13"/>
  <c r="U644" i="13" s="1"/>
  <c r="Q644" i="13"/>
  <c r="N644" i="13"/>
  <c r="N643" i="13" s="1"/>
  <c r="M644" i="13"/>
  <c r="M643" i="13" s="1"/>
  <c r="P643" i="13" s="1"/>
  <c r="L644" i="13"/>
  <c r="O644" i="13" s="1"/>
  <c r="L643" i="13"/>
  <c r="O643" i="13" s="1"/>
  <c r="J637" i="13"/>
  <c r="J636" i="13" s="1"/>
  <c r="I636" i="13"/>
  <c r="K636" i="13" s="1"/>
  <c r="J633" i="13"/>
  <c r="J627" i="13" s="1"/>
  <c r="J616" i="13" s="1"/>
  <c r="I629" i="13"/>
  <c r="K629" i="13" s="1"/>
  <c r="I628" i="13"/>
  <c r="K628" i="13" s="1"/>
  <c r="I627" i="13"/>
  <c r="K630" i="13" s="1"/>
  <c r="U625" i="13"/>
  <c r="T625" i="13"/>
  <c r="P625" i="13"/>
  <c r="O625" i="13"/>
  <c r="U624" i="13"/>
  <c r="T624" i="13"/>
  <c r="P624" i="13"/>
  <c r="O624" i="13"/>
  <c r="U623" i="13"/>
  <c r="S623" i="13"/>
  <c r="R623" i="13"/>
  <c r="Q623" i="13"/>
  <c r="T623" i="13" s="1"/>
  <c r="P623" i="13"/>
  <c r="O623" i="13"/>
  <c r="N623" i="13"/>
  <c r="M623" i="13"/>
  <c r="L623" i="13"/>
  <c r="S622" i="13"/>
  <c r="R622" i="13"/>
  <c r="Q622" i="13"/>
  <c r="Q619" i="13" s="1"/>
  <c r="Q617" i="13" s="1"/>
  <c r="P622" i="13"/>
  <c r="O622" i="13"/>
  <c r="U621" i="13"/>
  <c r="T621" i="13"/>
  <c r="P621" i="13"/>
  <c r="O621" i="13"/>
  <c r="N620" i="13"/>
  <c r="M620" i="13"/>
  <c r="P620" i="13" s="1"/>
  <c r="L620" i="13"/>
  <c r="O620" i="13" s="1"/>
  <c r="P619" i="13"/>
  <c r="O619" i="13"/>
  <c r="N619" i="13"/>
  <c r="M619" i="13"/>
  <c r="L619" i="13"/>
  <c r="L617" i="13" s="1"/>
  <c r="O617" i="13" s="1"/>
  <c r="U618" i="13"/>
  <c r="T618" i="13"/>
  <c r="S618" i="13"/>
  <c r="R618" i="13"/>
  <c r="Q618" i="13"/>
  <c r="O618" i="13"/>
  <c r="N618" i="13"/>
  <c r="N617" i="13" s="1"/>
  <c r="M618" i="13"/>
  <c r="P618" i="13" s="1"/>
  <c r="L618" i="13"/>
  <c r="U608" i="13"/>
  <c r="T608" i="13"/>
  <c r="P608" i="13"/>
  <c r="O608" i="13"/>
  <c r="U607" i="13"/>
  <c r="T607" i="13"/>
  <c r="P607" i="13"/>
  <c r="O607" i="13"/>
  <c r="S606" i="13"/>
  <c r="R606" i="13"/>
  <c r="U606" i="13" s="1"/>
  <c r="Q606" i="13"/>
  <c r="T606" i="13" s="1"/>
  <c r="N606" i="13"/>
  <c r="M606" i="13"/>
  <c r="P606" i="13" s="1"/>
  <c r="L606" i="13"/>
  <c r="O606" i="13" s="1"/>
  <c r="U605" i="13"/>
  <c r="T605" i="13"/>
  <c r="P605" i="13"/>
  <c r="O605" i="13"/>
  <c r="U604" i="13"/>
  <c r="T604" i="13"/>
  <c r="P604" i="13"/>
  <c r="O604" i="13"/>
  <c r="S603" i="13"/>
  <c r="R603" i="13"/>
  <c r="U603" i="13" s="1"/>
  <c r="Q603" i="13"/>
  <c r="T603" i="13" s="1"/>
  <c r="N603" i="13"/>
  <c r="M603" i="13"/>
  <c r="P603" i="13" s="1"/>
  <c r="L603" i="13"/>
  <c r="O603" i="13" s="1"/>
  <c r="S602" i="13"/>
  <c r="R602" i="13"/>
  <c r="U602" i="13" s="1"/>
  <c r="Q602" i="13"/>
  <c r="T602" i="13" s="1"/>
  <c r="N602" i="13"/>
  <c r="M602" i="13"/>
  <c r="P602" i="13" s="1"/>
  <c r="L602" i="13"/>
  <c r="O602" i="13" s="1"/>
  <c r="T601" i="13"/>
  <c r="S601" i="13"/>
  <c r="R601" i="13"/>
  <c r="U601" i="13" s="1"/>
  <c r="Q601" i="13"/>
  <c r="N601" i="13"/>
  <c r="M601" i="13"/>
  <c r="L601" i="13"/>
  <c r="O601" i="13" s="1"/>
  <c r="U585" i="13"/>
  <c r="T585" i="13"/>
  <c r="P585" i="13"/>
  <c r="O585" i="13"/>
  <c r="U584" i="13"/>
  <c r="T584" i="13"/>
  <c r="P584" i="13"/>
  <c r="O584" i="13"/>
  <c r="S583" i="13"/>
  <c r="R583" i="13"/>
  <c r="U583" i="13" s="1"/>
  <c r="Q583" i="13"/>
  <c r="T583" i="13" s="1"/>
  <c r="O583" i="13"/>
  <c r="N583" i="13"/>
  <c r="M583" i="13"/>
  <c r="P583" i="13" s="1"/>
  <c r="L583" i="13"/>
  <c r="U582" i="13"/>
  <c r="T582" i="13"/>
  <c r="P582" i="13"/>
  <c r="O582" i="13"/>
  <c r="U581" i="13"/>
  <c r="T581" i="13"/>
  <c r="P581" i="13"/>
  <c r="O581" i="13"/>
  <c r="U580" i="13"/>
  <c r="S580" i="13"/>
  <c r="R580" i="13"/>
  <c r="Q580" i="13"/>
  <c r="T580" i="13" s="1"/>
  <c r="N580" i="13"/>
  <c r="M580" i="13"/>
  <c r="P580" i="13" s="1"/>
  <c r="L580" i="13"/>
  <c r="O580" i="13" s="1"/>
  <c r="S579" i="13"/>
  <c r="R579" i="13"/>
  <c r="U579" i="13" s="1"/>
  <c r="Q579" i="13"/>
  <c r="T579" i="13" s="1"/>
  <c r="N579" i="13"/>
  <c r="M579" i="13"/>
  <c r="P579" i="13" s="1"/>
  <c r="L579" i="13"/>
  <c r="O579" i="13" s="1"/>
  <c r="S578" i="13"/>
  <c r="R578" i="13"/>
  <c r="U578" i="13" s="1"/>
  <c r="Q578" i="13"/>
  <c r="T578" i="13" s="1"/>
  <c r="P578" i="13"/>
  <c r="N578" i="13"/>
  <c r="M578" i="13"/>
  <c r="L578" i="13"/>
  <c r="O578" i="13" s="1"/>
  <c r="J576" i="13"/>
  <c r="I576" i="13"/>
  <c r="K576" i="13" s="1"/>
  <c r="U564" i="13"/>
  <c r="T564" i="13"/>
  <c r="P564" i="13"/>
  <c r="O564" i="13"/>
  <c r="U563" i="13"/>
  <c r="T563" i="13"/>
  <c r="P563" i="13"/>
  <c r="O563" i="13"/>
  <c r="S562" i="13"/>
  <c r="R562" i="13"/>
  <c r="U562" i="13" s="1"/>
  <c r="Q562" i="13"/>
  <c r="T562" i="13" s="1"/>
  <c r="N562" i="13"/>
  <c r="M562" i="13"/>
  <c r="P562" i="13" s="1"/>
  <c r="L562" i="13"/>
  <c r="O562" i="13" s="1"/>
  <c r="U561" i="13"/>
  <c r="T561" i="13"/>
  <c r="P561" i="13"/>
  <c r="O561" i="13"/>
  <c r="U560" i="13"/>
  <c r="T560" i="13"/>
  <c r="P560" i="13"/>
  <c r="O560" i="13"/>
  <c r="S559" i="13"/>
  <c r="R559" i="13"/>
  <c r="U559" i="13" s="1"/>
  <c r="Q559" i="13"/>
  <c r="T559" i="13" s="1"/>
  <c r="N559" i="13"/>
  <c r="M559" i="13"/>
  <c r="P559" i="13" s="1"/>
  <c r="L559" i="13"/>
  <c r="O559" i="13" s="1"/>
  <c r="S558" i="13"/>
  <c r="R558" i="13"/>
  <c r="U558" i="13" s="1"/>
  <c r="Q558" i="13"/>
  <c r="T558" i="13" s="1"/>
  <c r="O558" i="13"/>
  <c r="N558" i="13"/>
  <c r="M558" i="13"/>
  <c r="P558" i="13" s="1"/>
  <c r="L558" i="13"/>
  <c r="U557" i="13"/>
  <c r="S557" i="13"/>
  <c r="S556" i="13" s="1"/>
  <c r="R557" i="13"/>
  <c r="Q557" i="13"/>
  <c r="T557" i="13" s="1"/>
  <c r="N557" i="13"/>
  <c r="M557" i="13"/>
  <c r="L557" i="13"/>
  <c r="O557" i="13" s="1"/>
  <c r="N556" i="13"/>
  <c r="J555" i="13"/>
  <c r="I555" i="13"/>
  <c r="K555" i="13" s="1"/>
  <c r="U543" i="13"/>
  <c r="T543" i="13"/>
  <c r="P543" i="13"/>
  <c r="O543" i="13"/>
  <c r="U542" i="13"/>
  <c r="T542" i="13"/>
  <c r="P542" i="13"/>
  <c r="O542" i="13"/>
  <c r="S541" i="13"/>
  <c r="R541" i="13"/>
  <c r="U541" i="13" s="1"/>
  <c r="Q541" i="13"/>
  <c r="T541" i="13" s="1"/>
  <c r="N541" i="13"/>
  <c r="M541" i="13"/>
  <c r="P541" i="13" s="1"/>
  <c r="L541" i="13"/>
  <c r="O541" i="13" s="1"/>
  <c r="U540" i="13"/>
  <c r="T540" i="13"/>
  <c r="P540" i="13"/>
  <c r="O540" i="13"/>
  <c r="U539" i="13"/>
  <c r="T539" i="13"/>
  <c r="P539" i="13"/>
  <c r="O539" i="13"/>
  <c r="S538" i="13"/>
  <c r="R538" i="13"/>
  <c r="U538" i="13" s="1"/>
  <c r="Q538" i="13"/>
  <c r="T538" i="13" s="1"/>
  <c r="N538" i="13"/>
  <c r="M538" i="13"/>
  <c r="P538" i="13" s="1"/>
  <c r="L538" i="13"/>
  <c r="O538" i="13" s="1"/>
  <c r="U537" i="13"/>
  <c r="S537" i="13"/>
  <c r="R537" i="13"/>
  <c r="Q537" i="13"/>
  <c r="T537" i="13" s="1"/>
  <c r="O537" i="13"/>
  <c r="N537" i="13"/>
  <c r="M537" i="13"/>
  <c r="P537" i="13" s="1"/>
  <c r="L537" i="13"/>
  <c r="S536" i="13"/>
  <c r="S535" i="13" s="1"/>
  <c r="R536" i="13"/>
  <c r="U536" i="13" s="1"/>
  <c r="Q536" i="13"/>
  <c r="N536" i="13"/>
  <c r="M536" i="13"/>
  <c r="L536" i="13"/>
  <c r="O536" i="13" s="1"/>
  <c r="L535" i="13"/>
  <c r="O535" i="13" s="1"/>
  <c r="J534" i="13"/>
  <c r="I534" i="13"/>
  <c r="K534" i="13" s="1"/>
  <c r="K525" i="13"/>
  <c r="K524" i="13"/>
  <c r="U522" i="13"/>
  <c r="T522" i="13"/>
  <c r="N522" i="13"/>
  <c r="N520" i="13" s="1"/>
  <c r="M522" i="13"/>
  <c r="M520" i="13" s="1"/>
  <c r="P520" i="13" s="1"/>
  <c r="L522" i="13"/>
  <c r="O522" i="13" s="1"/>
  <c r="U521" i="13"/>
  <c r="T521" i="13"/>
  <c r="P521" i="13"/>
  <c r="O521" i="13"/>
  <c r="T520" i="13"/>
  <c r="S520" i="13"/>
  <c r="R520" i="13"/>
  <c r="U520" i="13" s="1"/>
  <c r="Q520" i="13"/>
  <c r="U519" i="13"/>
  <c r="T519" i="13"/>
  <c r="N519" i="13"/>
  <c r="N517" i="13" s="1"/>
  <c r="M519" i="13"/>
  <c r="P519" i="13" s="1"/>
  <c r="L519" i="13"/>
  <c r="U518" i="13"/>
  <c r="T518" i="13"/>
  <c r="P518" i="13"/>
  <c r="O518" i="13"/>
  <c r="U517" i="13"/>
  <c r="S517" i="13"/>
  <c r="R517" i="13"/>
  <c r="Q517" i="13"/>
  <c r="T517" i="13" s="1"/>
  <c r="S516" i="13"/>
  <c r="R516" i="13"/>
  <c r="U516" i="13" s="1"/>
  <c r="Q516" i="13"/>
  <c r="T516" i="13" s="1"/>
  <c r="S515" i="13"/>
  <c r="R515" i="13"/>
  <c r="R514" i="13" s="1"/>
  <c r="U514" i="13" s="1"/>
  <c r="Q515" i="13"/>
  <c r="T515" i="13" s="1"/>
  <c r="N515" i="13"/>
  <c r="M515" i="13"/>
  <c r="P515" i="13" s="1"/>
  <c r="L515" i="13"/>
  <c r="O515" i="13" s="1"/>
  <c r="J513" i="13"/>
  <c r="I513" i="13"/>
  <c r="K513" i="13" s="1"/>
  <c r="I510" i="13"/>
  <c r="K510" i="13" s="1"/>
  <c r="K509" i="13"/>
  <c r="I508" i="13"/>
  <c r="K508" i="13" s="1"/>
  <c r="I507" i="13"/>
  <c r="K507" i="13" s="1"/>
  <c r="I506" i="13"/>
  <c r="I505" i="13"/>
  <c r="K505" i="13" s="1"/>
  <c r="I504" i="13"/>
  <c r="I493" i="13" s="1"/>
  <c r="K493" i="13" s="1"/>
  <c r="U502" i="13"/>
  <c r="T502" i="13"/>
  <c r="P502" i="13"/>
  <c r="O502" i="13"/>
  <c r="U501" i="13"/>
  <c r="T501" i="13"/>
  <c r="P501" i="13"/>
  <c r="O501" i="13"/>
  <c r="T500" i="13"/>
  <c r="S500" i="13"/>
  <c r="R500" i="13"/>
  <c r="U500" i="13" s="1"/>
  <c r="Q500" i="13"/>
  <c r="N500" i="13"/>
  <c r="M500" i="13"/>
  <c r="P500" i="13" s="1"/>
  <c r="L500" i="13"/>
  <c r="O500" i="13" s="1"/>
  <c r="S499" i="13"/>
  <c r="R499" i="13"/>
  <c r="R497" i="13" s="1"/>
  <c r="U497" i="13" s="1"/>
  <c r="Q499" i="13"/>
  <c r="Q497" i="13" s="1"/>
  <c r="T497" i="13" s="1"/>
  <c r="P499" i="13"/>
  <c r="O499" i="13"/>
  <c r="U498" i="13"/>
  <c r="T498" i="13"/>
  <c r="P498" i="13"/>
  <c r="O498" i="13"/>
  <c r="N497" i="13"/>
  <c r="M497" i="13"/>
  <c r="P497" i="13" s="1"/>
  <c r="L497" i="13"/>
  <c r="O497" i="13" s="1"/>
  <c r="N496" i="13"/>
  <c r="M496" i="13"/>
  <c r="P496" i="13" s="1"/>
  <c r="L496" i="13"/>
  <c r="O496" i="13" s="1"/>
  <c r="S495" i="13"/>
  <c r="R495" i="13"/>
  <c r="U495" i="13" s="1"/>
  <c r="Q495" i="13"/>
  <c r="T495" i="13" s="1"/>
  <c r="N495" i="13"/>
  <c r="N494" i="13" s="1"/>
  <c r="M495" i="13"/>
  <c r="P495" i="13" s="1"/>
  <c r="L495" i="13"/>
  <c r="J486" i="13"/>
  <c r="I486" i="13"/>
  <c r="K486" i="13" s="1"/>
  <c r="J485" i="13"/>
  <c r="I485" i="13"/>
  <c r="K485" i="13" s="1"/>
  <c r="J484" i="13"/>
  <c r="J483" i="13"/>
  <c r="K478" i="13"/>
  <c r="J478" i="13"/>
  <c r="K477" i="13"/>
  <c r="J477" i="13"/>
  <c r="K476" i="13"/>
  <c r="J476" i="13"/>
  <c r="J469" i="13"/>
  <c r="J468" i="13"/>
  <c r="J461" i="13"/>
  <c r="J459" i="13" s="1"/>
  <c r="J460" i="13"/>
  <c r="I459" i="13"/>
  <c r="K459" i="13" s="1"/>
  <c r="I458" i="13"/>
  <c r="K458" i="13" s="1"/>
  <c r="J448" i="13"/>
  <c r="J442" i="13" s="1"/>
  <c r="J447" i="13"/>
  <c r="J441" i="13" s="1"/>
  <c r="J424" i="13" s="1"/>
  <c r="J413" i="13" s="1"/>
  <c r="I442" i="13"/>
  <c r="K442" i="13" s="1"/>
  <c r="I441" i="13"/>
  <c r="J434" i="13"/>
  <c r="I434" i="13"/>
  <c r="K434" i="13" s="1"/>
  <c r="J433" i="13"/>
  <c r="I433" i="13"/>
  <c r="K433" i="13" s="1"/>
  <c r="J426" i="13"/>
  <c r="I426" i="13"/>
  <c r="K426" i="13" s="1"/>
  <c r="J425" i="13"/>
  <c r="I425" i="13"/>
  <c r="K425" i="13" s="1"/>
  <c r="U422" i="13"/>
  <c r="T422" i="13"/>
  <c r="P422" i="13"/>
  <c r="O422" i="13"/>
  <c r="U421" i="13"/>
  <c r="T421" i="13"/>
  <c r="P421" i="13"/>
  <c r="O421" i="13"/>
  <c r="T420" i="13"/>
  <c r="S420" i="13"/>
  <c r="R420" i="13"/>
  <c r="U420" i="13" s="1"/>
  <c r="Q420" i="13"/>
  <c r="N420" i="13"/>
  <c r="M420" i="13"/>
  <c r="P420" i="13" s="1"/>
  <c r="L420" i="13"/>
  <c r="O420" i="13" s="1"/>
  <c r="S419" i="13"/>
  <c r="S417" i="13" s="1"/>
  <c r="R419" i="13"/>
  <c r="Q419" i="13"/>
  <c r="P419" i="13"/>
  <c r="O419" i="13"/>
  <c r="U418" i="13"/>
  <c r="T418" i="13"/>
  <c r="P418" i="13"/>
  <c r="O418" i="13"/>
  <c r="N417" i="13"/>
  <c r="M417" i="13"/>
  <c r="P417" i="13" s="1"/>
  <c r="L417" i="13"/>
  <c r="O417" i="13" s="1"/>
  <c r="N416" i="13"/>
  <c r="M416" i="13"/>
  <c r="P416" i="13" s="1"/>
  <c r="L416" i="13"/>
  <c r="O416" i="13" s="1"/>
  <c r="U415" i="13"/>
  <c r="S415" i="13"/>
  <c r="R415" i="13"/>
  <c r="Q415" i="13"/>
  <c r="N415" i="13"/>
  <c r="N414" i="13" s="1"/>
  <c r="M415" i="13"/>
  <c r="P415" i="13" s="1"/>
  <c r="L415" i="13"/>
  <c r="O415" i="13" s="1"/>
  <c r="U401" i="13"/>
  <c r="T401" i="13"/>
  <c r="P401" i="13"/>
  <c r="O401" i="13"/>
  <c r="U400" i="13"/>
  <c r="T400" i="13"/>
  <c r="P400" i="13"/>
  <c r="O400" i="13"/>
  <c r="S399" i="13"/>
  <c r="R399" i="13"/>
  <c r="U399" i="13" s="1"/>
  <c r="Q399" i="13"/>
  <c r="T399" i="13" s="1"/>
  <c r="P399" i="13"/>
  <c r="N399" i="13"/>
  <c r="M399" i="13"/>
  <c r="L399" i="13"/>
  <c r="O399" i="13" s="1"/>
  <c r="U398" i="13"/>
  <c r="T398" i="13"/>
  <c r="P398" i="13"/>
  <c r="O398" i="13"/>
  <c r="U397" i="13"/>
  <c r="T397" i="13"/>
  <c r="P397" i="13"/>
  <c r="O397" i="13"/>
  <c r="S396" i="13"/>
  <c r="R396" i="13"/>
  <c r="U396" i="13" s="1"/>
  <c r="Q396" i="13"/>
  <c r="T396" i="13" s="1"/>
  <c r="N396" i="13"/>
  <c r="M396" i="13"/>
  <c r="P396" i="13" s="1"/>
  <c r="L396" i="13"/>
  <c r="O396" i="13" s="1"/>
  <c r="T395" i="13"/>
  <c r="S395" i="13"/>
  <c r="R395" i="13"/>
  <c r="U395" i="13" s="1"/>
  <c r="Q395" i="13"/>
  <c r="N395" i="13"/>
  <c r="M395" i="13"/>
  <c r="P395" i="13" s="1"/>
  <c r="L395" i="13"/>
  <c r="O395" i="13" s="1"/>
  <c r="S394" i="13"/>
  <c r="R394" i="13"/>
  <c r="U394" i="13" s="1"/>
  <c r="Q394" i="13"/>
  <c r="N394" i="13"/>
  <c r="M394" i="13"/>
  <c r="P394" i="13" s="1"/>
  <c r="L394" i="13"/>
  <c r="O394" i="13" s="1"/>
  <c r="J392" i="13"/>
  <c r="I392" i="13"/>
  <c r="K392" i="13" s="1"/>
  <c r="K389" i="13"/>
  <c r="K388" i="13"/>
  <c r="I387" i="13"/>
  <c r="K387" i="13" s="1"/>
  <c r="I386" i="13"/>
  <c r="K386" i="13" s="1"/>
  <c r="U384" i="13"/>
  <c r="T384" i="13"/>
  <c r="P384" i="13"/>
  <c r="O384" i="13"/>
  <c r="U383" i="13"/>
  <c r="T383" i="13"/>
  <c r="P383" i="13"/>
  <c r="O383" i="13"/>
  <c r="S382" i="13"/>
  <c r="R382" i="13"/>
  <c r="U382" i="13" s="1"/>
  <c r="Q382" i="13"/>
  <c r="T382" i="13" s="1"/>
  <c r="N382" i="13"/>
  <c r="M382" i="13"/>
  <c r="P382" i="13" s="1"/>
  <c r="L382" i="13"/>
  <c r="O382" i="13" s="1"/>
  <c r="S381" i="13"/>
  <c r="R381" i="13"/>
  <c r="Q379" i="13"/>
  <c r="T379" i="13" s="1"/>
  <c r="P381" i="13"/>
  <c r="O381" i="13"/>
  <c r="U380" i="13"/>
  <c r="T380" i="13"/>
  <c r="P380" i="13"/>
  <c r="O380" i="13"/>
  <c r="N379" i="13"/>
  <c r="M379" i="13"/>
  <c r="P379" i="13" s="1"/>
  <c r="L379" i="13"/>
  <c r="O379" i="13" s="1"/>
  <c r="N378" i="13"/>
  <c r="M378" i="13"/>
  <c r="L378" i="13"/>
  <c r="O378" i="13" s="1"/>
  <c r="S377" i="13"/>
  <c r="R377" i="13"/>
  <c r="U377" i="13" s="1"/>
  <c r="Q377" i="13"/>
  <c r="N377" i="13"/>
  <c r="M377" i="13"/>
  <c r="P377" i="13" s="1"/>
  <c r="L377" i="13"/>
  <c r="L376" i="13" s="1"/>
  <c r="O376" i="13" s="1"/>
  <c r="J375" i="13"/>
  <c r="D374" i="13"/>
  <c r="K373" i="13"/>
  <c r="J373" i="13"/>
  <c r="J372" i="13"/>
  <c r="J366" i="13" s="1"/>
  <c r="I372" i="13"/>
  <c r="K371" i="13"/>
  <c r="J371" i="13"/>
  <c r="J370" i="13"/>
  <c r="I370" i="13"/>
  <c r="K370" i="13" s="1"/>
  <c r="J369" i="13"/>
  <c r="I369" i="13"/>
  <c r="K369" i="13" s="1"/>
  <c r="K368" i="13"/>
  <c r="J368" i="13"/>
  <c r="U365" i="13"/>
  <c r="T365" i="13"/>
  <c r="N365" i="13"/>
  <c r="M365" i="13"/>
  <c r="P365" i="13" s="1"/>
  <c r="L365" i="13"/>
  <c r="U364" i="13"/>
  <c r="T364" i="13"/>
  <c r="P364" i="13"/>
  <c r="O364" i="13"/>
  <c r="T363" i="13"/>
  <c r="S363" i="13"/>
  <c r="R363" i="13"/>
  <c r="U363" i="13" s="1"/>
  <c r="Q363" i="13"/>
  <c r="U362" i="13"/>
  <c r="T362" i="13"/>
  <c r="N362" i="13"/>
  <c r="N360" i="13" s="1"/>
  <c r="M362" i="13"/>
  <c r="L362" i="13"/>
  <c r="L360" i="13" s="1"/>
  <c r="U361" i="13"/>
  <c r="T361" i="13"/>
  <c r="P361" i="13"/>
  <c r="O361" i="13"/>
  <c r="U360" i="13"/>
  <c r="S360" i="13"/>
  <c r="R360" i="13"/>
  <c r="Q360" i="13"/>
  <c r="T360" i="13" s="1"/>
  <c r="U359" i="13"/>
  <c r="S359" i="13"/>
  <c r="R359" i="13"/>
  <c r="Q359" i="13"/>
  <c r="T359" i="13" s="1"/>
  <c r="U358" i="13"/>
  <c r="S358" i="13"/>
  <c r="R358" i="13"/>
  <c r="R357" i="13" s="1"/>
  <c r="U357" i="13" s="1"/>
  <c r="Q358" i="13"/>
  <c r="T358" i="13" s="1"/>
  <c r="O358" i="13"/>
  <c r="N358" i="13"/>
  <c r="M358" i="13"/>
  <c r="P358" i="13" s="1"/>
  <c r="L358" i="13"/>
  <c r="S357" i="13"/>
  <c r="D355" i="13"/>
  <c r="D351" i="13"/>
  <c r="J350" i="13"/>
  <c r="J349" i="13"/>
  <c r="J348" i="13"/>
  <c r="J347" i="13"/>
  <c r="I347" i="13"/>
  <c r="J345" i="13"/>
  <c r="I345" i="13"/>
  <c r="U342" i="13"/>
  <c r="T342" i="13"/>
  <c r="N342" i="13"/>
  <c r="N340" i="13" s="1"/>
  <c r="M342" i="13"/>
  <c r="P342" i="13" s="1"/>
  <c r="L342" i="13"/>
  <c r="U341" i="13"/>
  <c r="T341" i="13"/>
  <c r="P341" i="13"/>
  <c r="O341" i="13"/>
  <c r="U340" i="13"/>
  <c r="S340" i="13"/>
  <c r="R340" i="13"/>
  <c r="Q340" i="13"/>
  <c r="T340" i="13" s="1"/>
  <c r="U339" i="13"/>
  <c r="T339" i="13"/>
  <c r="N339" i="13"/>
  <c r="M339" i="13"/>
  <c r="M337" i="13" s="1"/>
  <c r="L339" i="13"/>
  <c r="U338" i="13"/>
  <c r="T338" i="13"/>
  <c r="P338" i="13"/>
  <c r="O338" i="13"/>
  <c r="T337" i="13"/>
  <c r="S337" i="13"/>
  <c r="R337" i="13"/>
  <c r="U337" i="13" s="1"/>
  <c r="Q337" i="13"/>
  <c r="T336" i="13"/>
  <c r="S336" i="13"/>
  <c r="R336" i="13"/>
  <c r="U336" i="13" s="1"/>
  <c r="Q336" i="13"/>
  <c r="T335" i="13"/>
  <c r="S335" i="13"/>
  <c r="R335" i="13"/>
  <c r="Q335" i="13"/>
  <c r="Q334" i="13" s="1"/>
  <c r="T334" i="13" s="1"/>
  <c r="P335" i="13"/>
  <c r="N335" i="13"/>
  <c r="M335" i="13"/>
  <c r="L335" i="13"/>
  <c r="S334" i="13"/>
  <c r="I331" i="13"/>
  <c r="I320" i="13" s="1"/>
  <c r="K320" i="13" s="1"/>
  <c r="U329" i="13"/>
  <c r="T329" i="13"/>
  <c r="N329" i="13"/>
  <c r="M329" i="13"/>
  <c r="L329" i="13"/>
  <c r="O329" i="13" s="1"/>
  <c r="U328" i="13"/>
  <c r="T328" i="13"/>
  <c r="P328" i="13"/>
  <c r="O328" i="13"/>
  <c r="T327" i="13"/>
  <c r="S327" i="13"/>
  <c r="R327" i="13"/>
  <c r="U327" i="13" s="1"/>
  <c r="Q327" i="13"/>
  <c r="U326" i="13"/>
  <c r="T326" i="13"/>
  <c r="N326" i="13"/>
  <c r="N324" i="13" s="1"/>
  <c r="M326" i="13"/>
  <c r="L326" i="13"/>
  <c r="U325" i="13"/>
  <c r="T325" i="13"/>
  <c r="P325" i="13"/>
  <c r="O325" i="13"/>
  <c r="U324" i="13"/>
  <c r="S324" i="13"/>
  <c r="R324" i="13"/>
  <c r="Q324" i="13"/>
  <c r="T324" i="13" s="1"/>
  <c r="U323" i="13"/>
  <c r="S323" i="13"/>
  <c r="R323" i="13"/>
  <c r="Q323" i="13"/>
  <c r="T323" i="13" s="1"/>
  <c r="U322" i="13"/>
  <c r="S322" i="13"/>
  <c r="R322" i="13"/>
  <c r="Q322" i="13"/>
  <c r="O322" i="13"/>
  <c r="N322" i="13"/>
  <c r="M322" i="13"/>
  <c r="P322" i="13" s="1"/>
  <c r="L322" i="13"/>
  <c r="U321" i="13"/>
  <c r="R321" i="13"/>
  <c r="J320" i="13"/>
  <c r="I315" i="13"/>
  <c r="K315" i="13" s="1"/>
  <c r="U312" i="13"/>
  <c r="T312" i="13"/>
  <c r="N312" i="13"/>
  <c r="N310" i="13" s="1"/>
  <c r="M312" i="13"/>
  <c r="P312" i="13" s="1"/>
  <c r="L312" i="13"/>
  <c r="L310" i="13" s="1"/>
  <c r="O310" i="13" s="1"/>
  <c r="U311" i="13"/>
  <c r="T311" i="13"/>
  <c r="P311" i="13"/>
  <c r="O311" i="13"/>
  <c r="U310" i="13"/>
  <c r="S310" i="13"/>
  <c r="R310" i="13"/>
  <c r="Q310" i="13"/>
  <c r="T310" i="13" s="1"/>
  <c r="S309" i="13"/>
  <c r="S306" i="13" s="1"/>
  <c r="R309" i="13"/>
  <c r="Q309" i="13"/>
  <c r="N309" i="13"/>
  <c r="M309" i="13"/>
  <c r="M307" i="13" s="1"/>
  <c r="L309" i="13"/>
  <c r="L307" i="13" s="1"/>
  <c r="U308" i="13"/>
  <c r="T308" i="13"/>
  <c r="P308" i="13"/>
  <c r="O308" i="13"/>
  <c r="U305" i="13"/>
  <c r="S305" i="13"/>
  <c r="R305" i="13"/>
  <c r="Q305" i="13"/>
  <c r="T305" i="13" s="1"/>
  <c r="O305" i="13"/>
  <c r="N305" i="13"/>
  <c r="M305" i="13"/>
  <c r="L305" i="13"/>
  <c r="J303" i="13"/>
  <c r="I297" i="13"/>
  <c r="K297" i="13" s="1"/>
  <c r="I296" i="13"/>
  <c r="K296" i="13" s="1"/>
  <c r="J294" i="13"/>
  <c r="I294" i="13"/>
  <c r="K294" i="13" s="1"/>
  <c r="I293" i="13"/>
  <c r="K293" i="13" s="1"/>
  <c r="U291" i="13"/>
  <c r="T291" i="13"/>
  <c r="N291" i="13"/>
  <c r="N289" i="13" s="1"/>
  <c r="M291" i="13"/>
  <c r="M289" i="13" s="1"/>
  <c r="P289" i="13" s="1"/>
  <c r="L291" i="13"/>
  <c r="U290" i="13"/>
  <c r="T290" i="13"/>
  <c r="P290" i="13"/>
  <c r="O290" i="13"/>
  <c r="T289" i="13"/>
  <c r="S289" i="13"/>
  <c r="R289" i="13"/>
  <c r="U289" i="13" s="1"/>
  <c r="Q289" i="13"/>
  <c r="U288" i="13"/>
  <c r="T288" i="13"/>
  <c r="N288" i="13"/>
  <c r="N286" i="13" s="1"/>
  <c r="M288" i="13"/>
  <c r="P288" i="13" s="1"/>
  <c r="L288" i="13"/>
  <c r="L286" i="13" s="1"/>
  <c r="O286" i="13" s="1"/>
  <c r="U287" i="13"/>
  <c r="T287" i="13"/>
  <c r="P287" i="13"/>
  <c r="O287" i="13"/>
  <c r="U286" i="13"/>
  <c r="S286" i="13"/>
  <c r="R286" i="13"/>
  <c r="Q286" i="13"/>
  <c r="T286" i="13" s="1"/>
  <c r="U285" i="13"/>
  <c r="S285" i="13"/>
  <c r="R285" i="13"/>
  <c r="Q285" i="13"/>
  <c r="T285" i="13" s="1"/>
  <c r="U284" i="13"/>
  <c r="S284" i="13"/>
  <c r="S283" i="13" s="1"/>
  <c r="R284" i="13"/>
  <c r="R283" i="13" s="1"/>
  <c r="U283" i="13" s="1"/>
  <c r="Q284" i="13"/>
  <c r="T284" i="13" s="1"/>
  <c r="O284" i="13"/>
  <c r="N284" i="13"/>
  <c r="M284" i="13"/>
  <c r="L284" i="13"/>
  <c r="Q283" i="13"/>
  <c r="T283" i="13" s="1"/>
  <c r="J282" i="13"/>
  <c r="J281" i="13"/>
  <c r="I277" i="13"/>
  <c r="K277" i="13" s="1"/>
  <c r="U275" i="13"/>
  <c r="T275" i="13"/>
  <c r="N275" i="13"/>
  <c r="N273" i="13" s="1"/>
  <c r="M275" i="13"/>
  <c r="P275" i="13" s="1"/>
  <c r="L275" i="13"/>
  <c r="O275" i="13" s="1"/>
  <c r="U274" i="13"/>
  <c r="T274" i="13"/>
  <c r="P274" i="13"/>
  <c r="O274" i="13"/>
  <c r="T273" i="13"/>
  <c r="S273" i="13"/>
  <c r="R273" i="13"/>
  <c r="U273" i="13" s="1"/>
  <c r="Q273" i="13"/>
  <c r="S272" i="13"/>
  <c r="S270" i="13" s="1"/>
  <c r="R272" i="13"/>
  <c r="R270" i="13" s="1"/>
  <c r="Q272" i="13"/>
  <c r="N272" i="13"/>
  <c r="M272" i="13"/>
  <c r="M270" i="13" s="1"/>
  <c r="L272" i="13"/>
  <c r="O272" i="13" s="1"/>
  <c r="U271" i="13"/>
  <c r="T271" i="13"/>
  <c r="P271" i="13"/>
  <c r="O271" i="13"/>
  <c r="T268" i="13"/>
  <c r="S268" i="13"/>
  <c r="R268" i="13"/>
  <c r="U268" i="13" s="1"/>
  <c r="Q268" i="13"/>
  <c r="P268" i="13"/>
  <c r="N268" i="13"/>
  <c r="M268" i="13"/>
  <c r="L268" i="13"/>
  <c r="O268" i="13" s="1"/>
  <c r="J266" i="13"/>
  <c r="K264" i="13"/>
  <c r="K263" i="13"/>
  <c r="I261" i="13"/>
  <c r="I254" i="13" s="1"/>
  <c r="K254" i="13" s="1"/>
  <c r="L259" i="13"/>
  <c r="L258" i="13"/>
  <c r="L257" i="13"/>
  <c r="L256" i="13"/>
  <c r="P255" i="13"/>
  <c r="N255" i="13"/>
  <c r="N233" i="13" s="1"/>
  <c r="J254" i="13"/>
  <c r="I253" i="13"/>
  <c r="K253" i="13" s="1"/>
  <c r="I252" i="13"/>
  <c r="K252" i="13" s="1"/>
  <c r="I250" i="13"/>
  <c r="L248" i="13"/>
  <c r="L247" i="13"/>
  <c r="L246" i="13"/>
  <c r="L245" i="13"/>
  <c r="P244" i="13"/>
  <c r="N244" i="13"/>
  <c r="J243" i="13"/>
  <c r="J242" i="13"/>
  <c r="J241" i="13"/>
  <c r="J239" i="13"/>
  <c r="N237" i="13"/>
  <c r="N236" i="13"/>
  <c r="N235" i="13"/>
  <c r="N234" i="13"/>
  <c r="J232" i="13"/>
  <c r="I231" i="13"/>
  <c r="K231" i="13" s="1"/>
  <c r="I230" i="13"/>
  <c r="I222" i="13" s="1"/>
  <c r="I229" i="13"/>
  <c r="K229" i="13" s="1"/>
  <c r="L226" i="13"/>
  <c r="L225" i="13"/>
  <c r="L224" i="13"/>
  <c r="P223" i="13"/>
  <c r="N223" i="13"/>
  <c r="J222" i="13"/>
  <c r="I221" i="13"/>
  <c r="I214" i="13" s="1"/>
  <c r="K214" i="13" s="1"/>
  <c r="I220" i="13"/>
  <c r="K220" i="13" s="1"/>
  <c r="L218" i="13"/>
  <c r="L217" i="13"/>
  <c r="L216" i="13"/>
  <c r="P215" i="13"/>
  <c r="N215" i="13"/>
  <c r="J214" i="13"/>
  <c r="I213" i="13"/>
  <c r="K213" i="13" s="1"/>
  <c r="I212" i="13"/>
  <c r="K212" i="13" s="1"/>
  <c r="I210" i="13"/>
  <c r="I203" i="13" s="1"/>
  <c r="K203" i="13" s="1"/>
  <c r="L208" i="13"/>
  <c r="L207" i="13"/>
  <c r="L206" i="13"/>
  <c r="L205" i="13"/>
  <c r="P204" i="13"/>
  <c r="N204" i="13"/>
  <c r="J203" i="13"/>
  <c r="J200" i="13"/>
  <c r="I199" i="13"/>
  <c r="P197" i="13"/>
  <c r="L197" i="13"/>
  <c r="O197" i="13" s="1"/>
  <c r="J196" i="13"/>
  <c r="U195" i="13"/>
  <c r="T195" i="13"/>
  <c r="N195" i="13"/>
  <c r="N193" i="13" s="1"/>
  <c r="M195" i="13"/>
  <c r="M193" i="13" s="1"/>
  <c r="P193" i="13" s="1"/>
  <c r="L195" i="13"/>
  <c r="U194" i="13"/>
  <c r="T194" i="13"/>
  <c r="P194" i="13"/>
  <c r="O194" i="13"/>
  <c r="U193" i="13"/>
  <c r="T193" i="13"/>
  <c r="S193" i="13"/>
  <c r="R193" i="13"/>
  <c r="Q193" i="13"/>
  <c r="S192" i="13"/>
  <c r="R192" i="13"/>
  <c r="R190" i="13" s="1"/>
  <c r="Q192" i="13"/>
  <c r="Q190" i="13" s="1"/>
  <c r="N192" i="13"/>
  <c r="N190" i="13" s="1"/>
  <c r="M192" i="13"/>
  <c r="L192" i="13"/>
  <c r="L190" i="13" s="1"/>
  <c r="U191" i="13"/>
  <c r="T191" i="13"/>
  <c r="P191" i="13"/>
  <c r="O191" i="13"/>
  <c r="T188" i="13"/>
  <c r="S188" i="13"/>
  <c r="R188" i="13"/>
  <c r="Q188" i="13"/>
  <c r="N188" i="13"/>
  <c r="M188" i="13"/>
  <c r="L188" i="13"/>
  <c r="O188" i="13" s="1"/>
  <c r="J186" i="13"/>
  <c r="K185" i="13"/>
  <c r="I184" i="13"/>
  <c r="K184" i="13" s="1"/>
  <c r="U182" i="13"/>
  <c r="T182" i="13"/>
  <c r="N182" i="13"/>
  <c r="N180" i="13" s="1"/>
  <c r="M182" i="13"/>
  <c r="P182" i="13" s="1"/>
  <c r="L182" i="13"/>
  <c r="L180" i="13" s="1"/>
  <c r="O180" i="13" s="1"/>
  <c r="U181" i="13"/>
  <c r="T181" i="13"/>
  <c r="P181" i="13"/>
  <c r="O181" i="13"/>
  <c r="U180" i="13"/>
  <c r="T180" i="13"/>
  <c r="S180" i="13"/>
  <c r="R180" i="13"/>
  <c r="Q180" i="13"/>
  <c r="S179" i="13"/>
  <c r="S176" i="13" s="1"/>
  <c r="R179" i="13"/>
  <c r="R177" i="13" s="1"/>
  <c r="U177" i="13" s="1"/>
  <c r="Q179" i="13"/>
  <c r="Q176" i="13" s="1"/>
  <c r="T176" i="13" s="1"/>
  <c r="N179" i="13"/>
  <c r="N177" i="13" s="1"/>
  <c r="M179" i="13"/>
  <c r="L179" i="13"/>
  <c r="U178" i="13"/>
  <c r="T178" i="13"/>
  <c r="P178" i="13"/>
  <c r="O178" i="13"/>
  <c r="U175" i="13"/>
  <c r="T175" i="13"/>
  <c r="S175" i="13"/>
  <c r="R175" i="13"/>
  <c r="Q175" i="13"/>
  <c r="O175" i="13"/>
  <c r="N175" i="13"/>
  <c r="M175" i="13"/>
  <c r="L175" i="13"/>
  <c r="J173" i="13"/>
  <c r="I168" i="13"/>
  <c r="U166" i="13"/>
  <c r="T166" i="13"/>
  <c r="N166" i="13"/>
  <c r="N164" i="13" s="1"/>
  <c r="M166" i="13"/>
  <c r="P166" i="13" s="1"/>
  <c r="L166" i="13"/>
  <c r="U165" i="13"/>
  <c r="T165" i="13"/>
  <c r="P165" i="13"/>
  <c r="O165" i="13"/>
  <c r="U164" i="13"/>
  <c r="S164" i="13"/>
  <c r="R164" i="13"/>
  <c r="Q164" i="13"/>
  <c r="T164" i="13" s="1"/>
  <c r="S163" i="13"/>
  <c r="S160" i="13" s="1"/>
  <c r="R163" i="13"/>
  <c r="R161" i="13" s="1"/>
  <c r="U161" i="13" s="1"/>
  <c r="N163" i="13"/>
  <c r="N161" i="13" s="1"/>
  <c r="M163" i="13"/>
  <c r="L163" i="13"/>
  <c r="L161" i="13" s="1"/>
  <c r="U162" i="13"/>
  <c r="T162" i="13"/>
  <c r="P162" i="13"/>
  <c r="O162" i="13"/>
  <c r="S159" i="13"/>
  <c r="R159" i="13"/>
  <c r="U159" i="13" s="1"/>
  <c r="Q159" i="13"/>
  <c r="T159" i="13" s="1"/>
  <c r="N159" i="13"/>
  <c r="M159" i="13"/>
  <c r="P159" i="13" s="1"/>
  <c r="L159" i="13"/>
  <c r="O159" i="13" s="1"/>
  <c r="J157" i="13"/>
  <c r="I155" i="13"/>
  <c r="K155" i="13" s="1"/>
  <c r="I154" i="13"/>
  <c r="I153" i="13"/>
  <c r="I138" i="13" s="1"/>
  <c r="K138" i="13" s="1"/>
  <c r="I152" i="13"/>
  <c r="K152" i="13" s="1"/>
  <c r="I151" i="13"/>
  <c r="K151" i="13" s="1"/>
  <c r="U148" i="13"/>
  <c r="T148" i="13"/>
  <c r="N148" i="13"/>
  <c r="N146" i="13" s="1"/>
  <c r="M148" i="13"/>
  <c r="L148" i="13"/>
  <c r="U147" i="13"/>
  <c r="T147" i="13"/>
  <c r="P147" i="13"/>
  <c r="O147" i="13"/>
  <c r="U146" i="13"/>
  <c r="S146" i="13"/>
  <c r="R146" i="13"/>
  <c r="Q146" i="13"/>
  <c r="T146" i="13" s="1"/>
  <c r="S145" i="13"/>
  <c r="R145" i="13"/>
  <c r="R143" i="13" s="1"/>
  <c r="U143" i="13" s="1"/>
  <c r="Q145" i="13"/>
  <c r="Q142" i="13" s="1"/>
  <c r="T142" i="13" s="1"/>
  <c r="N145" i="13"/>
  <c r="M145" i="13"/>
  <c r="L145" i="13"/>
  <c r="U144" i="13"/>
  <c r="T144" i="13"/>
  <c r="P144" i="13"/>
  <c r="O144" i="13"/>
  <c r="S141" i="13"/>
  <c r="R141" i="13"/>
  <c r="Q141" i="13"/>
  <c r="T141" i="13" s="1"/>
  <c r="P141" i="13"/>
  <c r="N141" i="13"/>
  <c r="M141" i="13"/>
  <c r="L141" i="13"/>
  <c r="J139" i="13"/>
  <c r="J138" i="13"/>
  <c r="J137" i="13"/>
  <c r="I131" i="13"/>
  <c r="K131" i="13" s="1"/>
  <c r="I130" i="13"/>
  <c r="K130" i="13" s="1"/>
  <c r="I129" i="13"/>
  <c r="K129" i="13" s="1"/>
  <c r="I128" i="13"/>
  <c r="I117" i="13" s="1"/>
  <c r="K117" i="13" s="1"/>
  <c r="U126" i="13"/>
  <c r="T126" i="13"/>
  <c r="N126" i="13"/>
  <c r="N124" i="13" s="1"/>
  <c r="M126" i="13"/>
  <c r="P126" i="13" s="1"/>
  <c r="L126" i="13"/>
  <c r="O126" i="13" s="1"/>
  <c r="U125" i="13"/>
  <c r="T125" i="13"/>
  <c r="P125" i="13"/>
  <c r="O125" i="13"/>
  <c r="S124" i="13"/>
  <c r="R124" i="13"/>
  <c r="U124" i="13" s="1"/>
  <c r="Q124" i="13"/>
  <c r="T124" i="13" s="1"/>
  <c r="S123" i="13"/>
  <c r="S120" i="13" s="1"/>
  <c r="R123" i="13"/>
  <c r="Q123" i="13"/>
  <c r="N123" i="13"/>
  <c r="N121" i="13" s="1"/>
  <c r="M123" i="13"/>
  <c r="P123" i="13" s="1"/>
  <c r="L123" i="13"/>
  <c r="O123" i="13" s="1"/>
  <c r="U122" i="13"/>
  <c r="T122" i="13"/>
  <c r="P122" i="13"/>
  <c r="O122" i="13"/>
  <c r="U119" i="13"/>
  <c r="T119" i="13"/>
  <c r="S119" i="13"/>
  <c r="R119" i="13"/>
  <c r="Q119" i="13"/>
  <c r="O119" i="13"/>
  <c r="N119" i="13"/>
  <c r="M119" i="13"/>
  <c r="L119" i="13"/>
  <c r="J117" i="13"/>
  <c r="I115" i="13"/>
  <c r="K115" i="13" s="1"/>
  <c r="I110" i="13"/>
  <c r="I109" i="13"/>
  <c r="I93" i="13" s="1"/>
  <c r="K93" i="13" s="1"/>
  <c r="U103" i="13"/>
  <c r="T103" i="13"/>
  <c r="N103" i="13"/>
  <c r="N101" i="13" s="1"/>
  <c r="M103" i="13"/>
  <c r="P103" i="13" s="1"/>
  <c r="L103" i="13"/>
  <c r="O103" i="13" s="1"/>
  <c r="U102" i="13"/>
  <c r="T102" i="13"/>
  <c r="P102" i="13"/>
  <c r="O102" i="13"/>
  <c r="S101" i="13"/>
  <c r="R101" i="13"/>
  <c r="U101" i="13" s="1"/>
  <c r="Q101" i="13"/>
  <c r="T101" i="13" s="1"/>
  <c r="S100" i="13"/>
  <c r="S98" i="13" s="1"/>
  <c r="R100" i="13"/>
  <c r="R97" i="13" s="1"/>
  <c r="Q98" i="13"/>
  <c r="T98" i="13" s="1"/>
  <c r="N100" i="13"/>
  <c r="N98" i="13" s="1"/>
  <c r="M100" i="13"/>
  <c r="M98" i="13" s="1"/>
  <c r="P98" i="13" s="1"/>
  <c r="L100" i="13"/>
  <c r="O100" i="13" s="1"/>
  <c r="U99" i="13"/>
  <c r="T99" i="13"/>
  <c r="P99" i="13"/>
  <c r="O99" i="13"/>
  <c r="U96" i="13"/>
  <c r="S96" i="13"/>
  <c r="R96" i="13"/>
  <c r="Q96" i="13"/>
  <c r="T96" i="13" s="1"/>
  <c r="N96" i="13"/>
  <c r="M96" i="13"/>
  <c r="L96" i="13"/>
  <c r="O96" i="13" s="1"/>
  <c r="J94" i="13"/>
  <c r="J93" i="13"/>
  <c r="I91" i="13"/>
  <c r="K91" i="13" s="1"/>
  <c r="I90" i="13"/>
  <c r="K90" i="13" s="1"/>
  <c r="I89" i="13"/>
  <c r="K89" i="13" s="1"/>
  <c r="I88" i="13"/>
  <c r="K88" i="13" s="1"/>
  <c r="I87" i="13"/>
  <c r="I86" i="13"/>
  <c r="K86" i="13" s="1"/>
  <c r="I85" i="13"/>
  <c r="K85" i="13" s="1"/>
  <c r="J84" i="13"/>
  <c r="J72" i="13" s="1"/>
  <c r="J83" i="13"/>
  <c r="U81" i="13"/>
  <c r="T81" i="13"/>
  <c r="N81" i="13"/>
  <c r="N79" i="13" s="1"/>
  <c r="M81" i="13"/>
  <c r="P81" i="13" s="1"/>
  <c r="L81" i="13"/>
  <c r="L79" i="13" s="1"/>
  <c r="O79" i="13" s="1"/>
  <c r="U80" i="13"/>
  <c r="T80" i="13"/>
  <c r="P80" i="13"/>
  <c r="O80" i="13"/>
  <c r="U79" i="13"/>
  <c r="S79" i="13"/>
  <c r="R79" i="13"/>
  <c r="Q79" i="13"/>
  <c r="T79" i="13" s="1"/>
  <c r="S78" i="13"/>
  <c r="S75" i="13" s="1"/>
  <c r="R78" i="13"/>
  <c r="R75" i="13" s="1"/>
  <c r="R73" i="13" s="1"/>
  <c r="Q78" i="13"/>
  <c r="Q76" i="13" s="1"/>
  <c r="N78" i="13"/>
  <c r="M78" i="13"/>
  <c r="M76" i="13" s="1"/>
  <c r="L78" i="13"/>
  <c r="L76" i="13" s="1"/>
  <c r="U77" i="13"/>
  <c r="T77" i="13"/>
  <c r="P77" i="13"/>
  <c r="O77" i="13"/>
  <c r="T74" i="13"/>
  <c r="S74" i="13"/>
  <c r="R74" i="13"/>
  <c r="U74" i="13" s="1"/>
  <c r="Q74" i="13"/>
  <c r="O74" i="13"/>
  <c r="N74" i="13"/>
  <c r="M74" i="13"/>
  <c r="P74" i="13" s="1"/>
  <c r="L74" i="13"/>
  <c r="J71" i="13"/>
  <c r="U68" i="13"/>
  <c r="T68" i="13"/>
  <c r="N68" i="13"/>
  <c r="N66" i="13" s="1"/>
  <c r="M68" i="13"/>
  <c r="P68" i="13" s="1"/>
  <c r="L68" i="13"/>
  <c r="L66" i="13" s="1"/>
  <c r="O66" i="13" s="1"/>
  <c r="U67" i="13"/>
  <c r="T67" i="13"/>
  <c r="P67" i="13"/>
  <c r="O67" i="13"/>
  <c r="T66" i="13"/>
  <c r="S66" i="13"/>
  <c r="R66" i="13"/>
  <c r="U66" i="13" s="1"/>
  <c r="Q66" i="13"/>
  <c r="U65" i="13"/>
  <c r="T65" i="13"/>
  <c r="N65" i="13"/>
  <c r="N63" i="13" s="1"/>
  <c r="M65" i="13"/>
  <c r="L65" i="13"/>
  <c r="L63" i="13" s="1"/>
  <c r="U64" i="13"/>
  <c r="T64" i="13"/>
  <c r="P64" i="13"/>
  <c r="O64" i="13"/>
  <c r="U63" i="13"/>
  <c r="S63" i="13"/>
  <c r="R63" i="13"/>
  <c r="Q63" i="13"/>
  <c r="T63" i="13" s="1"/>
  <c r="U62" i="13"/>
  <c r="S62" i="13"/>
  <c r="R62" i="13"/>
  <c r="Q62" i="13"/>
  <c r="T62" i="13" s="1"/>
  <c r="T61" i="13"/>
  <c r="S61" i="13"/>
  <c r="R61" i="13"/>
  <c r="R60" i="13" s="1"/>
  <c r="U60" i="13" s="1"/>
  <c r="Q61" i="13"/>
  <c r="O61" i="13"/>
  <c r="N61" i="13"/>
  <c r="M61" i="13"/>
  <c r="L61" i="13"/>
  <c r="S60" i="13"/>
  <c r="U53" i="13"/>
  <c r="T53" i="13"/>
  <c r="N53" i="13"/>
  <c r="N51" i="13" s="1"/>
  <c r="M53" i="13"/>
  <c r="M51" i="13" s="1"/>
  <c r="P51" i="13" s="1"/>
  <c r="L53" i="13"/>
  <c r="U52" i="13"/>
  <c r="T52" i="13"/>
  <c r="P52" i="13"/>
  <c r="O52" i="13"/>
  <c r="U51" i="13"/>
  <c r="T51" i="13"/>
  <c r="S51" i="13"/>
  <c r="R51" i="13"/>
  <c r="Q51" i="13"/>
  <c r="U50" i="13"/>
  <c r="T50" i="13"/>
  <c r="N50" i="13"/>
  <c r="M50" i="13"/>
  <c r="M48" i="13" s="1"/>
  <c r="L50" i="13"/>
  <c r="L48" i="13" s="1"/>
  <c r="U49" i="13"/>
  <c r="T49" i="13"/>
  <c r="P49" i="13"/>
  <c r="O49" i="13"/>
  <c r="U48" i="13"/>
  <c r="S48" i="13"/>
  <c r="R48" i="13"/>
  <c r="Q48" i="13"/>
  <c r="T48" i="13" s="1"/>
  <c r="U47" i="13"/>
  <c r="T47" i="13"/>
  <c r="S47" i="13"/>
  <c r="R47" i="13"/>
  <c r="Q47" i="13"/>
  <c r="U46" i="13"/>
  <c r="S46" i="13"/>
  <c r="S45" i="13" s="1"/>
  <c r="R46" i="13"/>
  <c r="Q46" i="13"/>
  <c r="Q45" i="13" s="1"/>
  <c r="T45" i="13" s="1"/>
  <c r="N46" i="13"/>
  <c r="M46" i="13"/>
  <c r="P46" i="13" s="1"/>
  <c r="L46" i="13"/>
  <c r="R45" i="13"/>
  <c r="U45" i="13" s="1"/>
  <c r="S27" i="13"/>
  <c r="R27" i="13"/>
  <c r="U27" i="13" s="1"/>
  <c r="Q27" i="13"/>
  <c r="T27" i="13" s="1"/>
  <c r="S26" i="13"/>
  <c r="R26" i="13"/>
  <c r="U26" i="13" s="1"/>
  <c r="Q26" i="13"/>
  <c r="N26" i="13"/>
  <c r="M26" i="13"/>
  <c r="P26" i="13" s="1"/>
  <c r="L26" i="13"/>
  <c r="S23" i="13"/>
  <c r="R23" i="13"/>
  <c r="U23" i="13" s="1"/>
  <c r="Q23" i="13"/>
  <c r="Q20" i="13" s="1"/>
  <c r="T20" i="13" s="1"/>
  <c r="N23" i="13"/>
  <c r="M23" i="13"/>
  <c r="P23" i="13" s="1"/>
  <c r="L23" i="13"/>
  <c r="O23" i="13" s="1"/>
  <c r="A788" i="12"/>
  <c r="J785" i="12"/>
  <c r="I785" i="12"/>
  <c r="J784" i="12"/>
  <c r="I784" i="12"/>
  <c r="J783" i="12"/>
  <c r="I783" i="12"/>
  <c r="J782" i="12"/>
  <c r="I782" i="12"/>
  <c r="J781" i="12"/>
  <c r="I781" i="12"/>
  <c r="J780" i="12"/>
  <c r="I780" i="12"/>
  <c r="J779" i="12"/>
  <c r="I779" i="12"/>
  <c r="J778" i="12"/>
  <c r="I778" i="12"/>
  <c r="H777" i="12"/>
  <c r="I776" i="12"/>
  <c r="I775" i="12"/>
  <c r="I774" i="12"/>
  <c r="I772" i="12"/>
  <c r="K772" i="12" s="1"/>
  <c r="I770" i="12"/>
  <c r="K770" i="12" s="1"/>
  <c r="U768" i="12"/>
  <c r="T768" i="12"/>
  <c r="P768" i="12"/>
  <c r="O768" i="12"/>
  <c r="U767" i="12"/>
  <c r="T767" i="12"/>
  <c r="P767" i="12"/>
  <c r="O767" i="12"/>
  <c r="U766" i="12"/>
  <c r="S766" i="12"/>
  <c r="R766" i="12"/>
  <c r="Q766" i="12"/>
  <c r="T766" i="12" s="1"/>
  <c r="P766" i="12"/>
  <c r="O766" i="12"/>
  <c r="N766" i="12"/>
  <c r="M766" i="12"/>
  <c r="L766" i="12"/>
  <c r="S765" i="12"/>
  <c r="R765" i="12"/>
  <c r="Q765" i="12"/>
  <c r="Q762" i="12" s="1"/>
  <c r="P765" i="12"/>
  <c r="O765" i="12"/>
  <c r="U764" i="12"/>
  <c r="T764" i="12"/>
  <c r="P764" i="12"/>
  <c r="O764" i="12"/>
  <c r="N763" i="12"/>
  <c r="M763" i="12"/>
  <c r="P763" i="12" s="1"/>
  <c r="L763" i="12"/>
  <c r="O763" i="12" s="1"/>
  <c r="P762" i="12"/>
  <c r="N762" i="12"/>
  <c r="M762" i="12"/>
  <c r="L762" i="12"/>
  <c r="L760" i="12" s="1"/>
  <c r="O760" i="12" s="1"/>
  <c r="U761" i="12"/>
  <c r="T761" i="12"/>
  <c r="S761" i="12"/>
  <c r="R761" i="12"/>
  <c r="Q761" i="12"/>
  <c r="P761" i="12"/>
  <c r="O761" i="12"/>
  <c r="N761" i="12"/>
  <c r="M761" i="12"/>
  <c r="L761" i="12"/>
  <c r="N760" i="12"/>
  <c r="M760" i="12"/>
  <c r="P760" i="12" s="1"/>
  <c r="J759" i="12"/>
  <c r="J758" i="12"/>
  <c r="I756" i="12"/>
  <c r="K756" i="12" s="1"/>
  <c r="I753" i="12"/>
  <c r="K753" i="12" s="1"/>
  <c r="I750" i="12"/>
  <c r="K750" i="12" s="1"/>
  <c r="I747" i="12"/>
  <c r="K747" i="12" s="1"/>
  <c r="I745" i="12"/>
  <c r="K745" i="12" s="1"/>
  <c r="I743" i="12"/>
  <c r="K743" i="12" s="1"/>
  <c r="I741" i="12"/>
  <c r="K741" i="12" s="1"/>
  <c r="U737" i="12"/>
  <c r="T737" i="12"/>
  <c r="P737" i="12"/>
  <c r="O737" i="12"/>
  <c r="U736" i="12"/>
  <c r="T736" i="12"/>
  <c r="P736" i="12"/>
  <c r="O736" i="12"/>
  <c r="U735" i="12"/>
  <c r="T735" i="12"/>
  <c r="S735" i="12"/>
  <c r="R735" i="12"/>
  <c r="Q735" i="12"/>
  <c r="P735" i="12"/>
  <c r="O735" i="12"/>
  <c r="N735" i="12"/>
  <c r="M735" i="12"/>
  <c r="L735" i="12"/>
  <c r="S734" i="12"/>
  <c r="R734" i="12"/>
  <c r="Q734" i="12"/>
  <c r="Q732" i="12" s="1"/>
  <c r="P734" i="12"/>
  <c r="O734" i="12"/>
  <c r="U733" i="12"/>
  <c r="T733" i="12"/>
  <c r="P733" i="12"/>
  <c r="O733" i="12"/>
  <c r="N732" i="12"/>
  <c r="M732" i="12"/>
  <c r="P732" i="12" s="1"/>
  <c r="L732" i="12"/>
  <c r="O732" i="12" s="1"/>
  <c r="P731" i="12"/>
  <c r="O731" i="12"/>
  <c r="N731" i="12"/>
  <c r="M731" i="12"/>
  <c r="L731" i="12"/>
  <c r="U730" i="12"/>
  <c r="T730" i="12"/>
  <c r="S730" i="12"/>
  <c r="R730" i="12"/>
  <c r="Q730" i="12"/>
  <c r="O730" i="12"/>
  <c r="N730" i="12"/>
  <c r="N729" i="12" s="1"/>
  <c r="M730" i="12"/>
  <c r="P730" i="12" s="1"/>
  <c r="L730" i="12"/>
  <c r="M729" i="12"/>
  <c r="P729" i="12" s="1"/>
  <c r="L729" i="12"/>
  <c r="O729" i="12" s="1"/>
  <c r="J728" i="12"/>
  <c r="I728" i="12"/>
  <c r="J727" i="12"/>
  <c r="I727" i="12"/>
  <c r="K727" i="12" s="1"/>
  <c r="U723" i="12"/>
  <c r="T723" i="12"/>
  <c r="P723" i="12"/>
  <c r="O723" i="12"/>
  <c r="U722" i="12"/>
  <c r="T722" i="12"/>
  <c r="P722" i="12"/>
  <c r="O722" i="12"/>
  <c r="S721" i="12"/>
  <c r="R721" i="12"/>
  <c r="U721" i="12" s="1"/>
  <c r="Q721" i="12"/>
  <c r="T721" i="12" s="1"/>
  <c r="N721" i="12"/>
  <c r="M721" i="12"/>
  <c r="P721" i="12" s="1"/>
  <c r="L721" i="12"/>
  <c r="O721" i="12" s="1"/>
  <c r="U720" i="12"/>
  <c r="T720" i="12"/>
  <c r="P720" i="12"/>
  <c r="O720" i="12"/>
  <c r="U719" i="12"/>
  <c r="T719" i="12"/>
  <c r="P719" i="12"/>
  <c r="O719" i="12"/>
  <c r="S718" i="12"/>
  <c r="R718" i="12"/>
  <c r="U718" i="12" s="1"/>
  <c r="Q718" i="12"/>
  <c r="T718" i="12" s="1"/>
  <c r="N718" i="12"/>
  <c r="M718" i="12"/>
  <c r="P718" i="12" s="1"/>
  <c r="L718" i="12"/>
  <c r="O718" i="12" s="1"/>
  <c r="U717" i="12"/>
  <c r="S717" i="12"/>
  <c r="R717" i="12"/>
  <c r="Q717" i="12"/>
  <c r="Q715" i="12" s="1"/>
  <c r="T715" i="12" s="1"/>
  <c r="P717" i="12"/>
  <c r="O717" i="12"/>
  <c r="N717" i="12"/>
  <c r="M717" i="12"/>
  <c r="L717" i="12"/>
  <c r="U716" i="12"/>
  <c r="T716" i="12"/>
  <c r="S716" i="12"/>
  <c r="R716" i="12"/>
  <c r="Q716" i="12"/>
  <c r="O716" i="12"/>
  <c r="N716" i="12"/>
  <c r="N715" i="12" s="1"/>
  <c r="M716" i="12"/>
  <c r="P716" i="12" s="1"/>
  <c r="L716" i="12"/>
  <c r="S715" i="12"/>
  <c r="R715" i="12"/>
  <c r="U715" i="12" s="1"/>
  <c r="M715" i="12"/>
  <c r="P715" i="12" s="1"/>
  <c r="L715" i="12"/>
  <c r="O715" i="12" s="1"/>
  <c r="K713" i="12"/>
  <c r="J713" i="12"/>
  <c r="K711" i="12"/>
  <c r="J711" i="12"/>
  <c r="J710" i="12"/>
  <c r="I710" i="12"/>
  <c r="K709" i="12"/>
  <c r="J709" i="12"/>
  <c r="J708" i="12"/>
  <c r="J690" i="12" s="1"/>
  <c r="I708" i="12"/>
  <c r="K707" i="12"/>
  <c r="J707" i="12"/>
  <c r="J706" i="12"/>
  <c r="I706" i="12"/>
  <c r="K705" i="12"/>
  <c r="J705" i="12"/>
  <c r="J704" i="12"/>
  <c r="I704" i="12"/>
  <c r="K703" i="12"/>
  <c r="I701" i="12"/>
  <c r="K701" i="12" s="1"/>
  <c r="U699" i="12"/>
  <c r="T699" i="12"/>
  <c r="P699" i="12"/>
  <c r="O699" i="12"/>
  <c r="U698" i="12"/>
  <c r="T698" i="12"/>
  <c r="P698" i="12"/>
  <c r="O698" i="12"/>
  <c r="S697" i="12"/>
  <c r="R697" i="12"/>
  <c r="U697" i="12" s="1"/>
  <c r="Q697" i="12"/>
  <c r="T697" i="12" s="1"/>
  <c r="P697" i="12"/>
  <c r="N697" i="12"/>
  <c r="M697" i="12"/>
  <c r="L697" i="12"/>
  <c r="O697" i="12" s="1"/>
  <c r="S696" i="12"/>
  <c r="R696" i="12"/>
  <c r="R694" i="12" s="1"/>
  <c r="Q696" i="12"/>
  <c r="Q694" i="12" s="1"/>
  <c r="P696" i="12"/>
  <c r="O696" i="12"/>
  <c r="U695" i="12"/>
  <c r="T695" i="12"/>
  <c r="P695" i="12"/>
  <c r="O695" i="12"/>
  <c r="O694" i="12"/>
  <c r="N694" i="12"/>
  <c r="M694" i="12"/>
  <c r="P694" i="12" s="1"/>
  <c r="L694" i="12"/>
  <c r="N693" i="12"/>
  <c r="M693" i="12"/>
  <c r="M691" i="12" s="1"/>
  <c r="P691" i="12" s="1"/>
  <c r="L693" i="12"/>
  <c r="U692" i="12"/>
  <c r="S692" i="12"/>
  <c r="R692" i="12"/>
  <c r="Q692" i="12"/>
  <c r="T692" i="12" s="1"/>
  <c r="P692" i="12"/>
  <c r="O692" i="12"/>
  <c r="N692" i="12"/>
  <c r="M692" i="12"/>
  <c r="L692" i="12"/>
  <c r="N691" i="12"/>
  <c r="J683" i="12"/>
  <c r="I683" i="12"/>
  <c r="K683" i="12" s="1"/>
  <c r="J682" i="12"/>
  <c r="I682" i="12"/>
  <c r="J681" i="12"/>
  <c r="J680" i="12"/>
  <c r="I680" i="12"/>
  <c r="J679" i="12"/>
  <c r="I679" i="12"/>
  <c r="J678" i="12"/>
  <c r="J677" i="12"/>
  <c r="I677" i="12"/>
  <c r="I676" i="12"/>
  <c r="I675" i="12"/>
  <c r="J674" i="12"/>
  <c r="I674" i="12"/>
  <c r="J673" i="12"/>
  <c r="J672" i="12"/>
  <c r="J662" i="12"/>
  <c r="I662" i="12"/>
  <c r="I661" i="12"/>
  <c r="I658" i="12"/>
  <c r="J655" i="12"/>
  <c r="I655" i="12"/>
  <c r="K655" i="12" s="1"/>
  <c r="J654" i="12"/>
  <c r="I654" i="12"/>
  <c r="K654" i="12" s="1"/>
  <c r="J653" i="12"/>
  <c r="I653" i="12"/>
  <c r="K653" i="12" s="1"/>
  <c r="U651" i="12"/>
  <c r="T651" i="12"/>
  <c r="P651" i="12"/>
  <c r="O651" i="12"/>
  <c r="U650" i="12"/>
  <c r="T650" i="12"/>
  <c r="P650" i="12"/>
  <c r="O650" i="12"/>
  <c r="S649" i="12"/>
  <c r="R649" i="12"/>
  <c r="U649" i="12" s="1"/>
  <c r="Q649" i="12"/>
  <c r="T649" i="12" s="1"/>
  <c r="P649" i="12"/>
  <c r="N649" i="12"/>
  <c r="M649" i="12"/>
  <c r="L649" i="12"/>
  <c r="O649" i="12" s="1"/>
  <c r="S648" i="12"/>
  <c r="R648" i="12"/>
  <c r="Q648" i="12"/>
  <c r="Q646" i="12" s="1"/>
  <c r="P648" i="12"/>
  <c r="O648" i="12"/>
  <c r="U647" i="12"/>
  <c r="T647" i="12"/>
  <c r="P647" i="12"/>
  <c r="O647" i="12"/>
  <c r="O646" i="12"/>
  <c r="N646" i="12"/>
  <c r="M646" i="12"/>
  <c r="P646" i="12" s="1"/>
  <c r="L646" i="12"/>
  <c r="N645" i="12"/>
  <c r="M645" i="12"/>
  <c r="P645" i="12" s="1"/>
  <c r="L645" i="12"/>
  <c r="U644" i="12"/>
  <c r="S644" i="12"/>
  <c r="R644" i="12"/>
  <c r="Q644" i="12"/>
  <c r="T644" i="12" s="1"/>
  <c r="P644" i="12"/>
  <c r="O644" i="12"/>
  <c r="N644" i="12"/>
  <c r="M644" i="12"/>
  <c r="M643" i="12" s="1"/>
  <c r="P643" i="12" s="1"/>
  <c r="L644" i="12"/>
  <c r="N643" i="12"/>
  <c r="J637" i="12"/>
  <c r="J636" i="12"/>
  <c r="I636" i="12"/>
  <c r="K636" i="12" s="1"/>
  <c r="J633" i="12"/>
  <c r="I629" i="12"/>
  <c r="K629" i="12" s="1"/>
  <c r="I628" i="12"/>
  <c r="K628" i="12" s="1"/>
  <c r="J627" i="12"/>
  <c r="I627" i="12"/>
  <c r="I616" i="12" s="1"/>
  <c r="U625" i="12"/>
  <c r="T625" i="12"/>
  <c r="P625" i="12"/>
  <c r="O625" i="12"/>
  <c r="U624" i="12"/>
  <c r="T624" i="12"/>
  <c r="P624" i="12"/>
  <c r="O624" i="12"/>
  <c r="S623" i="12"/>
  <c r="R623" i="12"/>
  <c r="U623" i="12" s="1"/>
  <c r="Q623" i="12"/>
  <c r="T623" i="12" s="1"/>
  <c r="N623" i="12"/>
  <c r="M623" i="12"/>
  <c r="P623" i="12" s="1"/>
  <c r="L623" i="12"/>
  <c r="O623" i="12" s="1"/>
  <c r="S622" i="12"/>
  <c r="S620" i="12" s="1"/>
  <c r="R622" i="12"/>
  <c r="R620" i="12" s="1"/>
  <c r="Q622" i="12"/>
  <c r="P622" i="12"/>
  <c r="O622" i="12"/>
  <c r="U621" i="12"/>
  <c r="T621" i="12"/>
  <c r="P621" i="12"/>
  <c r="O621" i="12"/>
  <c r="P620" i="12"/>
  <c r="O620" i="12"/>
  <c r="N620" i="12"/>
  <c r="M620" i="12"/>
  <c r="L620" i="12"/>
  <c r="N619" i="12"/>
  <c r="M619" i="12"/>
  <c r="L619" i="12"/>
  <c r="O619" i="12" s="1"/>
  <c r="S618" i="12"/>
  <c r="R618" i="12"/>
  <c r="Q618" i="12"/>
  <c r="P618" i="12"/>
  <c r="N618" i="12"/>
  <c r="M618" i="12"/>
  <c r="L618" i="12"/>
  <c r="J616" i="12"/>
  <c r="U608" i="12"/>
  <c r="T608" i="12"/>
  <c r="P608" i="12"/>
  <c r="O608" i="12"/>
  <c r="U607" i="12"/>
  <c r="T607" i="12"/>
  <c r="P607" i="12"/>
  <c r="O607" i="12"/>
  <c r="S606" i="12"/>
  <c r="R606" i="12"/>
  <c r="U606" i="12" s="1"/>
  <c r="Q606" i="12"/>
  <c r="T606" i="12" s="1"/>
  <c r="N606" i="12"/>
  <c r="M606" i="12"/>
  <c r="P606" i="12" s="1"/>
  <c r="L606" i="12"/>
  <c r="O606" i="12" s="1"/>
  <c r="U605" i="12"/>
  <c r="T605" i="12"/>
  <c r="P605" i="12"/>
  <c r="O605" i="12"/>
  <c r="U604" i="12"/>
  <c r="T604" i="12"/>
  <c r="P604" i="12"/>
  <c r="O604" i="12"/>
  <c r="S603" i="12"/>
  <c r="R603" i="12"/>
  <c r="U603" i="12" s="1"/>
  <c r="Q603" i="12"/>
  <c r="T603" i="12" s="1"/>
  <c r="N603" i="12"/>
  <c r="M603" i="12"/>
  <c r="P603" i="12" s="1"/>
  <c r="L603" i="12"/>
  <c r="O603" i="12" s="1"/>
  <c r="U602" i="12"/>
  <c r="S602" i="12"/>
  <c r="R602" i="12"/>
  <c r="Q602" i="12"/>
  <c r="T602" i="12" s="1"/>
  <c r="P602" i="12"/>
  <c r="O602" i="12"/>
  <c r="N602" i="12"/>
  <c r="M602" i="12"/>
  <c r="L602" i="12"/>
  <c r="U601" i="12"/>
  <c r="T601" i="12"/>
  <c r="S601" i="12"/>
  <c r="R601" i="12"/>
  <c r="Q601" i="12"/>
  <c r="Q600" i="12" s="1"/>
  <c r="T600" i="12" s="1"/>
  <c r="O601" i="12"/>
  <c r="N601" i="12"/>
  <c r="N600" i="12" s="1"/>
  <c r="M601" i="12"/>
  <c r="P601" i="12" s="1"/>
  <c r="L601" i="12"/>
  <c r="S600" i="12"/>
  <c r="R600" i="12"/>
  <c r="U600" i="12" s="1"/>
  <c r="M600" i="12"/>
  <c r="P600" i="12" s="1"/>
  <c r="L600" i="12"/>
  <c r="O600" i="12" s="1"/>
  <c r="U585" i="12"/>
  <c r="T585" i="12"/>
  <c r="P585" i="12"/>
  <c r="O585" i="12"/>
  <c r="U584" i="12"/>
  <c r="T584" i="12"/>
  <c r="P584" i="12"/>
  <c r="O584" i="12"/>
  <c r="S583" i="12"/>
  <c r="R583" i="12"/>
  <c r="U583" i="12" s="1"/>
  <c r="Q583" i="12"/>
  <c r="T583" i="12" s="1"/>
  <c r="N583" i="12"/>
  <c r="M583" i="12"/>
  <c r="P583" i="12" s="1"/>
  <c r="L583" i="12"/>
  <c r="O583" i="12" s="1"/>
  <c r="U582" i="12"/>
  <c r="T582" i="12"/>
  <c r="P582" i="12"/>
  <c r="O582" i="12"/>
  <c r="U581" i="12"/>
  <c r="T581" i="12"/>
  <c r="P581" i="12"/>
  <c r="O581" i="12"/>
  <c r="S580" i="12"/>
  <c r="R580" i="12"/>
  <c r="U580" i="12" s="1"/>
  <c r="Q580" i="12"/>
  <c r="T580" i="12" s="1"/>
  <c r="N580" i="12"/>
  <c r="M580" i="12"/>
  <c r="P580" i="12" s="1"/>
  <c r="L580" i="12"/>
  <c r="O580" i="12" s="1"/>
  <c r="S579" i="12"/>
  <c r="R579" i="12"/>
  <c r="U579" i="12" s="1"/>
  <c r="Q579" i="12"/>
  <c r="T579" i="12" s="1"/>
  <c r="P579" i="12"/>
  <c r="O579" i="12"/>
  <c r="N579" i="12"/>
  <c r="M579" i="12"/>
  <c r="L579" i="12"/>
  <c r="U578" i="12"/>
  <c r="T578" i="12"/>
  <c r="S578" i="12"/>
  <c r="R578" i="12"/>
  <c r="Q578" i="12"/>
  <c r="O578" i="12"/>
  <c r="N578" i="12"/>
  <c r="N577" i="12" s="1"/>
  <c r="M578" i="12"/>
  <c r="P578" i="12" s="1"/>
  <c r="L578" i="12"/>
  <c r="S577" i="12"/>
  <c r="R577" i="12"/>
  <c r="U577" i="12" s="1"/>
  <c r="M577" i="12"/>
  <c r="P577" i="12" s="1"/>
  <c r="L577" i="12"/>
  <c r="O577" i="12" s="1"/>
  <c r="J576" i="12"/>
  <c r="I576" i="12"/>
  <c r="K576" i="12" s="1"/>
  <c r="U564" i="12"/>
  <c r="T564" i="12"/>
  <c r="P564" i="12"/>
  <c r="O564" i="12"/>
  <c r="U563" i="12"/>
  <c r="T563" i="12"/>
  <c r="P563" i="12"/>
  <c r="O563" i="12"/>
  <c r="U562" i="12"/>
  <c r="S562" i="12"/>
  <c r="R562" i="12"/>
  <c r="Q562" i="12"/>
  <c r="T562" i="12" s="1"/>
  <c r="P562" i="12"/>
  <c r="O562" i="12"/>
  <c r="N562" i="12"/>
  <c r="M562" i="12"/>
  <c r="L562" i="12"/>
  <c r="U561" i="12"/>
  <c r="T561" i="12"/>
  <c r="P561" i="12"/>
  <c r="O561" i="12"/>
  <c r="U560" i="12"/>
  <c r="T560" i="12"/>
  <c r="P560" i="12"/>
  <c r="O560" i="12"/>
  <c r="U559" i="12"/>
  <c r="S559" i="12"/>
  <c r="R559" i="12"/>
  <c r="Q559" i="12"/>
  <c r="T559" i="12" s="1"/>
  <c r="P559" i="12"/>
  <c r="O559" i="12"/>
  <c r="N559" i="12"/>
  <c r="M559" i="12"/>
  <c r="L559" i="12"/>
  <c r="T558" i="12"/>
  <c r="S558" i="12"/>
  <c r="S556" i="12" s="1"/>
  <c r="R558" i="12"/>
  <c r="U558" i="12" s="1"/>
  <c r="Q558" i="12"/>
  <c r="N558" i="12"/>
  <c r="M558" i="12"/>
  <c r="L558" i="12"/>
  <c r="O558" i="12" s="1"/>
  <c r="S557" i="12"/>
  <c r="R557" i="12"/>
  <c r="Q557" i="12"/>
  <c r="N557" i="12"/>
  <c r="N556" i="12" s="1"/>
  <c r="M557" i="12"/>
  <c r="P557" i="12" s="1"/>
  <c r="L557" i="12"/>
  <c r="J555" i="12"/>
  <c r="I555" i="12"/>
  <c r="K555" i="12" s="1"/>
  <c r="U543" i="12"/>
  <c r="T543" i="12"/>
  <c r="P543" i="12"/>
  <c r="O543" i="12"/>
  <c r="U542" i="12"/>
  <c r="T542" i="12"/>
  <c r="P542" i="12"/>
  <c r="O542" i="12"/>
  <c r="S541" i="12"/>
  <c r="R541" i="12"/>
  <c r="U541" i="12" s="1"/>
  <c r="Q541" i="12"/>
  <c r="T541" i="12" s="1"/>
  <c r="N541" i="12"/>
  <c r="M541" i="12"/>
  <c r="P541" i="12" s="1"/>
  <c r="L541" i="12"/>
  <c r="O541" i="12" s="1"/>
  <c r="U540" i="12"/>
  <c r="T540" i="12"/>
  <c r="P540" i="12"/>
  <c r="O540" i="12"/>
  <c r="U539" i="12"/>
  <c r="T539" i="12"/>
  <c r="P539" i="12"/>
  <c r="O539" i="12"/>
  <c r="S538" i="12"/>
  <c r="R538" i="12"/>
  <c r="U538" i="12" s="1"/>
  <c r="Q538" i="12"/>
  <c r="T538" i="12" s="1"/>
  <c r="N538" i="12"/>
  <c r="M538" i="12"/>
  <c r="P538" i="12" s="1"/>
  <c r="L538" i="12"/>
  <c r="O538" i="12" s="1"/>
  <c r="S537" i="12"/>
  <c r="R537" i="12"/>
  <c r="U537" i="12" s="1"/>
  <c r="Q537" i="12"/>
  <c r="T537" i="12" s="1"/>
  <c r="P537" i="12"/>
  <c r="N537" i="12"/>
  <c r="M537" i="12"/>
  <c r="L537" i="12"/>
  <c r="O537" i="12" s="1"/>
  <c r="U536" i="12"/>
  <c r="T536" i="12"/>
  <c r="S536" i="12"/>
  <c r="R536" i="12"/>
  <c r="Q536" i="12"/>
  <c r="P536" i="12"/>
  <c r="O536" i="12"/>
  <c r="N536" i="12"/>
  <c r="N535" i="12" s="1"/>
  <c r="M536" i="12"/>
  <c r="L536" i="12"/>
  <c r="S535" i="12"/>
  <c r="R535" i="12"/>
  <c r="U535" i="12" s="1"/>
  <c r="M535" i="12"/>
  <c r="P535" i="12" s="1"/>
  <c r="L535" i="12"/>
  <c r="O535" i="12" s="1"/>
  <c r="J534" i="12"/>
  <c r="I534" i="12"/>
  <c r="K534" i="12" s="1"/>
  <c r="K525" i="12"/>
  <c r="K524" i="12"/>
  <c r="U522" i="12"/>
  <c r="T522" i="12"/>
  <c r="N522" i="12"/>
  <c r="M522" i="12"/>
  <c r="L522" i="12"/>
  <c r="U521" i="12"/>
  <c r="T521" i="12"/>
  <c r="P521" i="12"/>
  <c r="O521" i="12"/>
  <c r="U520" i="12"/>
  <c r="T520" i="12"/>
  <c r="S520" i="12"/>
  <c r="R520" i="12"/>
  <c r="Q520" i="12"/>
  <c r="N520" i="12"/>
  <c r="U519" i="12"/>
  <c r="T519" i="12"/>
  <c r="N519" i="12"/>
  <c r="N517" i="12" s="1"/>
  <c r="M519" i="12"/>
  <c r="L519" i="12"/>
  <c r="U518" i="12"/>
  <c r="T518" i="12"/>
  <c r="P518" i="12"/>
  <c r="O518" i="12"/>
  <c r="S517" i="12"/>
  <c r="R517" i="12"/>
  <c r="U517" i="12" s="1"/>
  <c r="Q517" i="12"/>
  <c r="T517" i="12" s="1"/>
  <c r="U516" i="12"/>
  <c r="S516" i="12"/>
  <c r="R516" i="12"/>
  <c r="Q516" i="12"/>
  <c r="T516" i="12" s="1"/>
  <c r="U515" i="12"/>
  <c r="T515" i="12"/>
  <c r="S515" i="12"/>
  <c r="S514" i="12" s="1"/>
  <c r="R515" i="12"/>
  <c r="Q515" i="12"/>
  <c r="O515" i="12"/>
  <c r="N515" i="12"/>
  <c r="M515" i="12"/>
  <c r="L515" i="12"/>
  <c r="R514" i="12"/>
  <c r="U514" i="12" s="1"/>
  <c r="Q514" i="12"/>
  <c r="T514" i="12" s="1"/>
  <c r="K513" i="12"/>
  <c r="J513" i="12"/>
  <c r="I513" i="12"/>
  <c r="I510" i="12"/>
  <c r="K510" i="12" s="1"/>
  <c r="K509" i="12"/>
  <c r="I508" i="12"/>
  <c r="K508" i="12" s="1"/>
  <c r="I507" i="12"/>
  <c r="K507" i="12" s="1"/>
  <c r="I506" i="12"/>
  <c r="I505" i="12"/>
  <c r="K505" i="12" s="1"/>
  <c r="I504" i="12"/>
  <c r="I493" i="12" s="1"/>
  <c r="K493" i="12" s="1"/>
  <c r="U502" i="12"/>
  <c r="T502" i="12"/>
  <c r="P502" i="12"/>
  <c r="O502" i="12"/>
  <c r="U501" i="12"/>
  <c r="T501" i="12"/>
  <c r="P501" i="12"/>
  <c r="O501" i="12"/>
  <c r="S500" i="12"/>
  <c r="R500" i="12"/>
  <c r="U500" i="12" s="1"/>
  <c r="Q500" i="12"/>
  <c r="T500" i="12" s="1"/>
  <c r="P500" i="12"/>
  <c r="N500" i="12"/>
  <c r="M500" i="12"/>
  <c r="L500" i="12"/>
  <c r="O500" i="12" s="1"/>
  <c r="S499" i="12"/>
  <c r="R499" i="12"/>
  <c r="R497" i="12" s="1"/>
  <c r="U497" i="12" s="1"/>
  <c r="Q499" i="12"/>
  <c r="Q496" i="12" s="1"/>
  <c r="P499" i="12"/>
  <c r="O499" i="12"/>
  <c r="U498" i="12"/>
  <c r="T498" i="12"/>
  <c r="P498" i="12"/>
  <c r="O498" i="12"/>
  <c r="O497" i="12"/>
  <c r="N497" i="12"/>
  <c r="M497" i="12"/>
  <c r="P497" i="12" s="1"/>
  <c r="L497" i="12"/>
  <c r="N496" i="12"/>
  <c r="M496" i="12"/>
  <c r="P496" i="12" s="1"/>
  <c r="L496" i="12"/>
  <c r="O496" i="12" s="1"/>
  <c r="U495" i="12"/>
  <c r="S495" i="12"/>
  <c r="R495" i="12"/>
  <c r="Q495" i="12"/>
  <c r="T495" i="12" s="1"/>
  <c r="P495" i="12"/>
  <c r="O495" i="12"/>
  <c r="N495" i="12"/>
  <c r="M495" i="12"/>
  <c r="L495" i="12"/>
  <c r="N494" i="12"/>
  <c r="M494" i="12"/>
  <c r="P494" i="12" s="1"/>
  <c r="K486" i="12"/>
  <c r="J486" i="12"/>
  <c r="I486" i="12"/>
  <c r="K485" i="12"/>
  <c r="J485" i="12"/>
  <c r="I485" i="12"/>
  <c r="J484" i="12"/>
  <c r="J483" i="12"/>
  <c r="K478" i="12"/>
  <c r="J478" i="12"/>
  <c r="K477" i="12"/>
  <c r="J477" i="12"/>
  <c r="K476" i="12"/>
  <c r="J476" i="12"/>
  <c r="J469" i="12"/>
  <c r="J468" i="12"/>
  <c r="J458" i="12" s="1"/>
  <c r="J461" i="12"/>
  <c r="J460" i="12"/>
  <c r="J459" i="12"/>
  <c r="I459" i="12"/>
  <c r="K459" i="12" s="1"/>
  <c r="I458" i="12"/>
  <c r="I457" i="12" s="1"/>
  <c r="K457" i="12" s="1"/>
  <c r="J457" i="12"/>
  <c r="J448" i="12"/>
  <c r="J442" i="12" s="1"/>
  <c r="J447" i="12"/>
  <c r="I442" i="12"/>
  <c r="K442" i="12" s="1"/>
  <c r="J441" i="12"/>
  <c r="I441" i="12"/>
  <c r="K441" i="12" s="1"/>
  <c r="J434" i="12"/>
  <c r="I434" i="12"/>
  <c r="K434" i="12" s="1"/>
  <c r="J433" i="12"/>
  <c r="I433" i="12"/>
  <c r="K433" i="12" s="1"/>
  <c r="J426" i="12"/>
  <c r="I426" i="12"/>
  <c r="K426" i="12" s="1"/>
  <c r="J425" i="12"/>
  <c r="I425" i="12"/>
  <c r="K425" i="12" s="1"/>
  <c r="J424" i="12"/>
  <c r="J413" i="12" s="1"/>
  <c r="U422" i="12"/>
  <c r="T422" i="12"/>
  <c r="P422" i="12"/>
  <c r="O422" i="12"/>
  <c r="U421" i="12"/>
  <c r="T421" i="12"/>
  <c r="P421" i="12"/>
  <c r="O421" i="12"/>
  <c r="T420" i="12"/>
  <c r="S420" i="12"/>
  <c r="R420" i="12"/>
  <c r="U420" i="12" s="1"/>
  <c r="Q420" i="12"/>
  <c r="N420" i="12"/>
  <c r="M420" i="12"/>
  <c r="P420" i="12" s="1"/>
  <c r="L420" i="12"/>
  <c r="O420" i="12" s="1"/>
  <c r="S419" i="12"/>
  <c r="S417" i="12" s="1"/>
  <c r="R419" i="12"/>
  <c r="U419" i="12" s="1"/>
  <c r="Q419" i="12"/>
  <c r="P419" i="12"/>
  <c r="O419" i="12"/>
  <c r="U418" i="12"/>
  <c r="T418" i="12"/>
  <c r="P418" i="12"/>
  <c r="O418" i="12"/>
  <c r="O417" i="12"/>
  <c r="N417" i="12"/>
  <c r="M417" i="12"/>
  <c r="P417" i="12" s="1"/>
  <c r="L417" i="12"/>
  <c r="O416" i="12"/>
  <c r="N416" i="12"/>
  <c r="M416" i="12"/>
  <c r="P416" i="12" s="1"/>
  <c r="L416" i="12"/>
  <c r="S415" i="12"/>
  <c r="R415" i="12"/>
  <c r="Q415" i="12"/>
  <c r="O415" i="12"/>
  <c r="N415" i="12"/>
  <c r="M415" i="12"/>
  <c r="P415" i="12" s="1"/>
  <c r="L415" i="12"/>
  <c r="L414" i="12" s="1"/>
  <c r="O414" i="12"/>
  <c r="M414" i="12"/>
  <c r="P414" i="12" s="1"/>
  <c r="U401" i="12"/>
  <c r="T401" i="12"/>
  <c r="P401" i="12"/>
  <c r="O401" i="12"/>
  <c r="U400" i="12"/>
  <c r="T400" i="12"/>
  <c r="P400" i="12"/>
  <c r="O400" i="12"/>
  <c r="T399" i="12"/>
  <c r="S399" i="12"/>
  <c r="R399" i="12"/>
  <c r="U399" i="12" s="1"/>
  <c r="Q399" i="12"/>
  <c r="P399" i="12"/>
  <c r="N399" i="12"/>
  <c r="M399" i="12"/>
  <c r="L399" i="12"/>
  <c r="O399" i="12" s="1"/>
  <c r="U398" i="12"/>
  <c r="T398" i="12"/>
  <c r="P398" i="12"/>
  <c r="O398" i="12"/>
  <c r="U397" i="12"/>
  <c r="T397" i="12"/>
  <c r="P397" i="12"/>
  <c r="O397" i="12"/>
  <c r="T396" i="12"/>
  <c r="S396" i="12"/>
  <c r="R396" i="12"/>
  <c r="U396" i="12" s="1"/>
  <c r="Q396" i="12"/>
  <c r="N396" i="12"/>
  <c r="M396" i="12"/>
  <c r="P396" i="12" s="1"/>
  <c r="L396" i="12"/>
  <c r="O396" i="12" s="1"/>
  <c r="S395" i="12"/>
  <c r="R395" i="12"/>
  <c r="U395" i="12" s="1"/>
  <c r="Q395" i="12"/>
  <c r="T395" i="12" s="1"/>
  <c r="P395" i="12"/>
  <c r="N395" i="12"/>
  <c r="M395" i="12"/>
  <c r="L395" i="12"/>
  <c r="O395" i="12" s="1"/>
  <c r="T394" i="12"/>
  <c r="S394" i="12"/>
  <c r="R394" i="12"/>
  <c r="U394" i="12" s="1"/>
  <c r="Q394" i="12"/>
  <c r="P394" i="12"/>
  <c r="N394" i="12"/>
  <c r="N393" i="12" s="1"/>
  <c r="M394" i="12"/>
  <c r="L394" i="12"/>
  <c r="O394" i="12" s="1"/>
  <c r="S393" i="12"/>
  <c r="R393" i="12"/>
  <c r="U393" i="12" s="1"/>
  <c r="M393" i="12"/>
  <c r="P393" i="12" s="1"/>
  <c r="L393" i="12"/>
  <c r="O393" i="12" s="1"/>
  <c r="J392" i="12"/>
  <c r="I392" i="12"/>
  <c r="K392" i="12" s="1"/>
  <c r="J389" i="12"/>
  <c r="I389" i="12"/>
  <c r="K389" i="12" s="1"/>
  <c r="K388" i="12"/>
  <c r="J388" i="12"/>
  <c r="J387" i="12"/>
  <c r="I387" i="12"/>
  <c r="K386" i="12"/>
  <c r="J386" i="12"/>
  <c r="U384" i="12"/>
  <c r="T384" i="12"/>
  <c r="P384" i="12"/>
  <c r="O384" i="12"/>
  <c r="U383" i="12"/>
  <c r="T383" i="12"/>
  <c r="P383" i="12"/>
  <c r="O383" i="12"/>
  <c r="U382" i="12"/>
  <c r="S382" i="12"/>
  <c r="R382" i="12"/>
  <c r="Q382" i="12"/>
  <c r="T382" i="12" s="1"/>
  <c r="O382" i="12"/>
  <c r="N382" i="12"/>
  <c r="M382" i="12"/>
  <c r="P382" i="12" s="1"/>
  <c r="L382" i="12"/>
  <c r="S381" i="12"/>
  <c r="R381" i="12"/>
  <c r="U381" i="12" s="1"/>
  <c r="Q381" i="12"/>
  <c r="P381" i="12"/>
  <c r="O381" i="12"/>
  <c r="U380" i="12"/>
  <c r="T380" i="12"/>
  <c r="P380" i="12"/>
  <c r="O380" i="12"/>
  <c r="P379" i="12"/>
  <c r="N379" i="12"/>
  <c r="M379" i="12"/>
  <c r="L379" i="12"/>
  <c r="O379" i="12" s="1"/>
  <c r="P378" i="12"/>
  <c r="N378" i="12"/>
  <c r="M378" i="12"/>
  <c r="L378" i="12"/>
  <c r="O378" i="12" s="1"/>
  <c r="U377" i="12"/>
  <c r="S377" i="12"/>
  <c r="R377" i="12"/>
  <c r="Q377" i="12"/>
  <c r="P377" i="12"/>
  <c r="O377" i="12"/>
  <c r="N377" i="12"/>
  <c r="M377" i="12"/>
  <c r="M376" i="12" s="1"/>
  <c r="P376" i="12" s="1"/>
  <c r="L377" i="12"/>
  <c r="O376" i="12"/>
  <c r="N376" i="12"/>
  <c r="L376" i="12"/>
  <c r="D374" i="12"/>
  <c r="K373" i="12"/>
  <c r="J373" i="12"/>
  <c r="J372" i="12"/>
  <c r="J366" i="12" s="1"/>
  <c r="I372" i="12"/>
  <c r="I366" i="12" s="1"/>
  <c r="K371" i="12"/>
  <c r="J371" i="12"/>
  <c r="J370" i="12"/>
  <c r="I370" i="12"/>
  <c r="J369" i="12"/>
  <c r="I369" i="12"/>
  <c r="K368" i="12"/>
  <c r="J368" i="12"/>
  <c r="U365" i="12"/>
  <c r="T365" i="12"/>
  <c r="N365" i="12"/>
  <c r="N363" i="12" s="1"/>
  <c r="M365" i="12"/>
  <c r="L365" i="12"/>
  <c r="O365" i="12" s="1"/>
  <c r="U364" i="12"/>
  <c r="T364" i="12"/>
  <c r="P364" i="12"/>
  <c r="O364" i="12"/>
  <c r="T363" i="12"/>
  <c r="S363" i="12"/>
  <c r="R363" i="12"/>
  <c r="U363" i="12" s="1"/>
  <c r="Q363" i="12"/>
  <c r="U362" i="12"/>
  <c r="T362" i="12"/>
  <c r="N362" i="12"/>
  <c r="M362" i="12"/>
  <c r="M360" i="12" s="1"/>
  <c r="L362" i="12"/>
  <c r="L360" i="12" s="1"/>
  <c r="U361" i="12"/>
  <c r="T361" i="12"/>
  <c r="P361" i="12"/>
  <c r="O361" i="12"/>
  <c r="S360" i="12"/>
  <c r="R360" i="12"/>
  <c r="U360" i="12" s="1"/>
  <c r="Q360" i="12"/>
  <c r="T360" i="12" s="1"/>
  <c r="U359" i="12"/>
  <c r="S359" i="12"/>
  <c r="R359" i="12"/>
  <c r="Q359" i="12"/>
  <c r="T359" i="12" s="1"/>
  <c r="U358" i="12"/>
  <c r="S358" i="12"/>
  <c r="R358" i="12"/>
  <c r="Q358" i="12"/>
  <c r="N358" i="12"/>
  <c r="M358" i="12"/>
  <c r="P358" i="12" s="1"/>
  <c r="L358" i="12"/>
  <c r="O358" i="12" s="1"/>
  <c r="S357" i="12"/>
  <c r="R357" i="12"/>
  <c r="U357" i="12" s="1"/>
  <c r="D355" i="12"/>
  <c r="J354" i="12"/>
  <c r="J353" i="12"/>
  <c r="D351" i="12"/>
  <c r="J350" i="12"/>
  <c r="J349" i="12"/>
  <c r="J348" i="12"/>
  <c r="J347" i="12"/>
  <c r="I347" i="12"/>
  <c r="J345" i="12"/>
  <c r="I345" i="12"/>
  <c r="U342" i="12"/>
  <c r="T342" i="12"/>
  <c r="N342" i="12"/>
  <c r="N340" i="12" s="1"/>
  <c r="M342" i="12"/>
  <c r="M340" i="12" s="1"/>
  <c r="P340" i="12" s="1"/>
  <c r="L342" i="12"/>
  <c r="O342" i="12" s="1"/>
  <c r="U341" i="12"/>
  <c r="T341" i="12"/>
  <c r="P341" i="12"/>
  <c r="O341" i="12"/>
  <c r="U340" i="12"/>
  <c r="S340" i="12"/>
  <c r="R340" i="12"/>
  <c r="Q340" i="12"/>
  <c r="T340" i="12" s="1"/>
  <c r="U339" i="12"/>
  <c r="T339" i="12"/>
  <c r="N339" i="12"/>
  <c r="M339" i="12"/>
  <c r="M337" i="12" s="1"/>
  <c r="L339" i="12"/>
  <c r="U338" i="12"/>
  <c r="T338" i="12"/>
  <c r="P338" i="12"/>
  <c r="O338" i="12"/>
  <c r="U337" i="12"/>
  <c r="T337" i="12"/>
  <c r="S337" i="12"/>
  <c r="R337" i="12"/>
  <c r="Q337" i="12"/>
  <c r="S336" i="12"/>
  <c r="S334" i="12" s="1"/>
  <c r="R336" i="12"/>
  <c r="U336" i="12" s="1"/>
  <c r="Q336" i="12"/>
  <c r="T336" i="12" s="1"/>
  <c r="U335" i="12"/>
  <c r="T335" i="12"/>
  <c r="S335" i="12"/>
  <c r="R335" i="12"/>
  <c r="R334" i="12" s="1"/>
  <c r="U334" i="12" s="1"/>
  <c r="Q335" i="12"/>
  <c r="P335" i="12"/>
  <c r="O335" i="12"/>
  <c r="N335" i="12"/>
  <c r="M335" i="12"/>
  <c r="L335" i="12"/>
  <c r="I331" i="12"/>
  <c r="U329" i="12"/>
  <c r="T329" i="12"/>
  <c r="N329" i="12"/>
  <c r="N327" i="12" s="1"/>
  <c r="M329" i="12"/>
  <c r="M327" i="12" s="1"/>
  <c r="P327" i="12" s="1"/>
  <c r="L329" i="12"/>
  <c r="U328" i="12"/>
  <c r="T328" i="12"/>
  <c r="P328" i="12"/>
  <c r="O328" i="12"/>
  <c r="T327" i="12"/>
  <c r="S327" i="12"/>
  <c r="R327" i="12"/>
  <c r="U327" i="12" s="1"/>
  <c r="Q327" i="12"/>
  <c r="U326" i="12"/>
  <c r="T326" i="12"/>
  <c r="N326" i="12"/>
  <c r="N324" i="12" s="1"/>
  <c r="M326" i="12"/>
  <c r="M324" i="12" s="1"/>
  <c r="P324" i="12" s="1"/>
  <c r="L326" i="12"/>
  <c r="L324" i="12" s="1"/>
  <c r="O324" i="12" s="1"/>
  <c r="U325" i="12"/>
  <c r="T325" i="12"/>
  <c r="P325" i="12"/>
  <c r="O325" i="12"/>
  <c r="U324" i="12"/>
  <c r="T324" i="12"/>
  <c r="S324" i="12"/>
  <c r="R324" i="12"/>
  <c r="Q324" i="12"/>
  <c r="S323" i="12"/>
  <c r="R323" i="12"/>
  <c r="Q323" i="12"/>
  <c r="T323" i="12" s="1"/>
  <c r="U322" i="12"/>
  <c r="T322" i="12"/>
  <c r="S322" i="12"/>
  <c r="R322" i="12"/>
  <c r="Q322" i="12"/>
  <c r="Q321" i="12" s="1"/>
  <c r="T321" i="12" s="1"/>
  <c r="O322" i="12"/>
  <c r="N322" i="12"/>
  <c r="M322" i="12"/>
  <c r="P322" i="12" s="1"/>
  <c r="L322" i="12"/>
  <c r="S321" i="12"/>
  <c r="J320" i="12"/>
  <c r="I315" i="12"/>
  <c r="K315" i="12" s="1"/>
  <c r="U312" i="12"/>
  <c r="T312" i="12"/>
  <c r="N312" i="12"/>
  <c r="N310" i="12" s="1"/>
  <c r="M312" i="12"/>
  <c r="L312" i="12"/>
  <c r="L310" i="12" s="1"/>
  <c r="O310" i="12" s="1"/>
  <c r="U311" i="12"/>
  <c r="T311" i="12"/>
  <c r="P311" i="12"/>
  <c r="O311" i="12"/>
  <c r="U310" i="12"/>
  <c r="S310" i="12"/>
  <c r="R310" i="12"/>
  <c r="Q310" i="12"/>
  <c r="T310" i="12" s="1"/>
  <c r="S309" i="12"/>
  <c r="S307" i="12" s="1"/>
  <c r="R309" i="12"/>
  <c r="R307" i="12" s="1"/>
  <c r="Q309" i="12"/>
  <c r="Q306" i="12" s="1"/>
  <c r="N309" i="12"/>
  <c r="N307" i="12" s="1"/>
  <c r="M309" i="12"/>
  <c r="M307" i="12" s="1"/>
  <c r="L309" i="12"/>
  <c r="L307" i="12" s="1"/>
  <c r="U308" i="12"/>
  <c r="T308" i="12"/>
  <c r="P308" i="12"/>
  <c r="O308" i="12"/>
  <c r="U305" i="12"/>
  <c r="S305" i="12"/>
  <c r="R305" i="12"/>
  <c r="Q305" i="12"/>
  <c r="T305" i="12" s="1"/>
  <c r="O305" i="12"/>
  <c r="N305" i="12"/>
  <c r="M305" i="12"/>
  <c r="P305" i="12" s="1"/>
  <c r="L305" i="12"/>
  <c r="J303" i="12"/>
  <c r="I297" i="12"/>
  <c r="K297" i="12" s="1"/>
  <c r="I296" i="12"/>
  <c r="K296" i="12" s="1"/>
  <c r="J294" i="12"/>
  <c r="I294" i="12"/>
  <c r="I281" i="12" s="1"/>
  <c r="K281" i="12" s="1"/>
  <c r="I293" i="12"/>
  <c r="K293" i="12" s="1"/>
  <c r="U291" i="12"/>
  <c r="T291" i="12"/>
  <c r="N291" i="12"/>
  <c r="N289" i="12" s="1"/>
  <c r="M291" i="12"/>
  <c r="L291" i="12"/>
  <c r="U290" i="12"/>
  <c r="T290" i="12"/>
  <c r="P290" i="12"/>
  <c r="O290" i="12"/>
  <c r="S289" i="12"/>
  <c r="R289" i="12"/>
  <c r="U289" i="12" s="1"/>
  <c r="Q289" i="12"/>
  <c r="T289" i="12" s="1"/>
  <c r="U288" i="12"/>
  <c r="T288" i="12"/>
  <c r="N288" i="12"/>
  <c r="N286" i="12" s="1"/>
  <c r="M288" i="12"/>
  <c r="P288" i="12" s="1"/>
  <c r="L288" i="12"/>
  <c r="L286" i="12" s="1"/>
  <c r="O286" i="12" s="1"/>
  <c r="U287" i="12"/>
  <c r="T287" i="12"/>
  <c r="P287" i="12"/>
  <c r="O287" i="12"/>
  <c r="U286" i="12"/>
  <c r="S286" i="12"/>
  <c r="R286" i="12"/>
  <c r="Q286" i="12"/>
  <c r="T286" i="12" s="1"/>
  <c r="U285" i="12"/>
  <c r="T285" i="12"/>
  <c r="S285" i="12"/>
  <c r="R285" i="12"/>
  <c r="Q285" i="12"/>
  <c r="S284" i="12"/>
  <c r="R284" i="12"/>
  <c r="Q284" i="12"/>
  <c r="T284" i="12" s="1"/>
  <c r="P284" i="12"/>
  <c r="N284" i="12"/>
  <c r="M284" i="12"/>
  <c r="L284" i="12"/>
  <c r="S283" i="12"/>
  <c r="J282" i="12"/>
  <c r="J281" i="12"/>
  <c r="I277" i="12"/>
  <c r="I266" i="12" s="1"/>
  <c r="U275" i="12"/>
  <c r="T275" i="12"/>
  <c r="N275" i="12"/>
  <c r="M275" i="12"/>
  <c r="P275" i="12" s="1"/>
  <c r="L275" i="12"/>
  <c r="O275" i="12" s="1"/>
  <c r="U274" i="12"/>
  <c r="T274" i="12"/>
  <c r="P274" i="12"/>
  <c r="O274" i="12"/>
  <c r="U273" i="12"/>
  <c r="T273" i="12"/>
  <c r="S273" i="12"/>
  <c r="R273" i="12"/>
  <c r="Q273" i="12"/>
  <c r="S272" i="12"/>
  <c r="S270" i="12" s="1"/>
  <c r="R272" i="12"/>
  <c r="R270" i="12" s="1"/>
  <c r="Q272" i="12"/>
  <c r="Q270" i="12" s="1"/>
  <c r="N272" i="12"/>
  <c r="N270" i="12" s="1"/>
  <c r="M272" i="12"/>
  <c r="L272" i="12"/>
  <c r="O272" i="12" s="1"/>
  <c r="U271" i="12"/>
  <c r="T271" i="12"/>
  <c r="P271" i="12"/>
  <c r="O271" i="12"/>
  <c r="T268" i="12"/>
  <c r="S268" i="12"/>
  <c r="R268" i="12"/>
  <c r="U268" i="12" s="1"/>
  <c r="Q268" i="12"/>
  <c r="P268" i="12"/>
  <c r="N268" i="12"/>
  <c r="M268" i="12"/>
  <c r="L268" i="12"/>
  <c r="O268" i="12" s="1"/>
  <c r="J266" i="12"/>
  <c r="K264" i="12"/>
  <c r="K263" i="12"/>
  <c r="I261" i="12"/>
  <c r="L259" i="12"/>
  <c r="L258" i="12"/>
  <c r="L257" i="12"/>
  <c r="L256" i="12"/>
  <c r="P255" i="12"/>
  <c r="N255" i="12"/>
  <c r="J254" i="12"/>
  <c r="I253" i="12"/>
  <c r="I252" i="12"/>
  <c r="I250" i="12"/>
  <c r="L248" i="12"/>
  <c r="L247" i="12"/>
  <c r="L246" i="12"/>
  <c r="L245" i="12"/>
  <c r="P244" i="12"/>
  <c r="N244" i="12"/>
  <c r="J243" i="12"/>
  <c r="J232" i="12" s="1"/>
  <c r="J186" i="12" s="1"/>
  <c r="J242" i="12"/>
  <c r="J241" i="12"/>
  <c r="J239" i="12"/>
  <c r="N237" i="12"/>
  <c r="N236" i="12"/>
  <c r="N235" i="12"/>
  <c r="N234" i="12"/>
  <c r="N233" i="12"/>
  <c r="I231" i="12"/>
  <c r="I230" i="12"/>
  <c r="K230" i="12" s="1"/>
  <c r="I229" i="12"/>
  <c r="K229" i="12" s="1"/>
  <c r="L226" i="12"/>
  <c r="L225" i="12"/>
  <c r="L224" i="12"/>
  <c r="P223" i="12"/>
  <c r="N223" i="12"/>
  <c r="J222" i="12"/>
  <c r="I221" i="12"/>
  <c r="K221" i="12" s="1"/>
  <c r="I220" i="12"/>
  <c r="K220" i="12" s="1"/>
  <c r="L218" i="12"/>
  <c r="L217" i="12"/>
  <c r="L216" i="12"/>
  <c r="P215" i="12"/>
  <c r="N215" i="12"/>
  <c r="J214" i="12"/>
  <c r="I213" i="12"/>
  <c r="K213" i="12" s="1"/>
  <c r="I212" i="12"/>
  <c r="K212" i="12" s="1"/>
  <c r="I210" i="12"/>
  <c r="K210" i="12" s="1"/>
  <c r="L208" i="12"/>
  <c r="L207" i="12"/>
  <c r="L206" i="12"/>
  <c r="L205" i="12"/>
  <c r="P204" i="12"/>
  <c r="N204" i="12"/>
  <c r="J203" i="12"/>
  <c r="J200" i="12"/>
  <c r="I199" i="12"/>
  <c r="K199" i="12" s="1"/>
  <c r="P197" i="12"/>
  <c r="L197" i="12"/>
  <c r="O197" i="12" s="1"/>
  <c r="J196" i="12"/>
  <c r="U195" i="12"/>
  <c r="T195" i="12"/>
  <c r="N195" i="12"/>
  <c r="N193" i="12" s="1"/>
  <c r="M195" i="12"/>
  <c r="L195" i="12"/>
  <c r="O195" i="12" s="1"/>
  <c r="U194" i="12"/>
  <c r="T194" i="12"/>
  <c r="P194" i="12"/>
  <c r="O194" i="12"/>
  <c r="U193" i="12"/>
  <c r="S193" i="12"/>
  <c r="R193" i="12"/>
  <c r="Q193" i="12"/>
  <c r="T193" i="12" s="1"/>
  <c r="S192" i="12"/>
  <c r="S190" i="12" s="1"/>
  <c r="R192" i="12"/>
  <c r="Q192" i="12"/>
  <c r="N192" i="12"/>
  <c r="N190" i="12" s="1"/>
  <c r="M192" i="12"/>
  <c r="M190" i="12" s="1"/>
  <c r="L192" i="12"/>
  <c r="U191" i="12"/>
  <c r="T191" i="12"/>
  <c r="P191" i="12"/>
  <c r="O191" i="12"/>
  <c r="S188" i="12"/>
  <c r="R188" i="12"/>
  <c r="U188" i="12" s="1"/>
  <c r="Q188" i="12"/>
  <c r="P188" i="12"/>
  <c r="N188" i="12"/>
  <c r="M188" i="12"/>
  <c r="L188" i="12"/>
  <c r="O188" i="12" s="1"/>
  <c r="K185" i="12"/>
  <c r="I184" i="12"/>
  <c r="K184" i="12" s="1"/>
  <c r="U182" i="12"/>
  <c r="T182" i="12"/>
  <c r="N182" i="12"/>
  <c r="N180" i="12" s="1"/>
  <c r="M182" i="12"/>
  <c r="L182" i="12"/>
  <c r="U181" i="12"/>
  <c r="T181" i="12"/>
  <c r="P181" i="12"/>
  <c r="O181" i="12"/>
  <c r="T180" i="12"/>
  <c r="S180" i="12"/>
  <c r="R180" i="12"/>
  <c r="U180" i="12" s="1"/>
  <c r="Q180" i="12"/>
  <c r="S179" i="12"/>
  <c r="S177" i="12" s="1"/>
  <c r="R179" i="12"/>
  <c r="R177" i="12" s="1"/>
  <c r="U177" i="12" s="1"/>
  <c r="Q179" i="12"/>
  <c r="T179" i="12" s="1"/>
  <c r="N179" i="12"/>
  <c r="N177" i="12" s="1"/>
  <c r="M179" i="12"/>
  <c r="M177" i="12" s="1"/>
  <c r="L179" i="12"/>
  <c r="U178" i="12"/>
  <c r="T178" i="12"/>
  <c r="P178" i="12"/>
  <c r="O178" i="12"/>
  <c r="U175" i="12"/>
  <c r="T175" i="12"/>
  <c r="S175" i="12"/>
  <c r="R175" i="12"/>
  <c r="Q175" i="12"/>
  <c r="P175" i="12"/>
  <c r="O175" i="12"/>
  <c r="N175" i="12"/>
  <c r="M175" i="12"/>
  <c r="L175" i="12"/>
  <c r="J173" i="12"/>
  <c r="I170" i="12"/>
  <c r="K170" i="12" s="1"/>
  <c r="I169" i="12"/>
  <c r="K169" i="12" s="1"/>
  <c r="I168" i="12"/>
  <c r="K168" i="12" s="1"/>
  <c r="U166" i="12"/>
  <c r="T166" i="12"/>
  <c r="N166" i="12"/>
  <c r="N164" i="12" s="1"/>
  <c r="M166" i="12"/>
  <c r="L166" i="12"/>
  <c r="U165" i="12"/>
  <c r="T165" i="12"/>
  <c r="P165" i="12"/>
  <c r="O165" i="12"/>
  <c r="S164" i="12"/>
  <c r="R164" i="12"/>
  <c r="U164" i="12" s="1"/>
  <c r="Q164" i="12"/>
  <c r="T164" i="12" s="1"/>
  <c r="S163" i="12"/>
  <c r="S161" i="12" s="1"/>
  <c r="R163" i="12"/>
  <c r="N163" i="12"/>
  <c r="M163" i="12"/>
  <c r="L163" i="12"/>
  <c r="L161" i="12" s="1"/>
  <c r="O161" i="12" s="1"/>
  <c r="U162" i="12"/>
  <c r="T162" i="12"/>
  <c r="P162" i="12"/>
  <c r="O162" i="12"/>
  <c r="S159" i="12"/>
  <c r="R159" i="12"/>
  <c r="U159" i="12" s="1"/>
  <c r="Q159" i="12"/>
  <c r="T159" i="12" s="1"/>
  <c r="N159" i="12"/>
  <c r="M159" i="12"/>
  <c r="L159" i="12"/>
  <c r="O159" i="12" s="1"/>
  <c r="J157" i="12"/>
  <c r="I155" i="12"/>
  <c r="I137" i="12" s="1"/>
  <c r="K137" i="12" s="1"/>
  <c r="I154" i="12"/>
  <c r="K154" i="12" s="1"/>
  <c r="I153" i="12"/>
  <c r="I152" i="12"/>
  <c r="K152" i="12" s="1"/>
  <c r="I151" i="12"/>
  <c r="K151" i="12" s="1"/>
  <c r="U148" i="12"/>
  <c r="T148" i="12"/>
  <c r="N148" i="12"/>
  <c r="N146" i="12" s="1"/>
  <c r="M148" i="12"/>
  <c r="P148" i="12" s="1"/>
  <c r="L148" i="12"/>
  <c r="L146" i="12" s="1"/>
  <c r="O146" i="12" s="1"/>
  <c r="U147" i="12"/>
  <c r="T147" i="12"/>
  <c r="P147" i="12"/>
  <c r="O147" i="12"/>
  <c r="U146" i="12"/>
  <c r="S146" i="12"/>
  <c r="R146" i="12"/>
  <c r="Q146" i="12"/>
  <c r="T146" i="12" s="1"/>
  <c r="S145" i="12"/>
  <c r="S143" i="12" s="1"/>
  <c r="R145" i="12"/>
  <c r="Q145" i="12"/>
  <c r="Q142" i="12" s="1"/>
  <c r="T142" i="12" s="1"/>
  <c r="N145" i="12"/>
  <c r="N143" i="12" s="1"/>
  <c r="M145" i="12"/>
  <c r="L145" i="12"/>
  <c r="L143" i="12" s="1"/>
  <c r="U144" i="12"/>
  <c r="T144" i="12"/>
  <c r="P144" i="12"/>
  <c r="O144" i="12"/>
  <c r="U141" i="12"/>
  <c r="S141" i="12"/>
  <c r="R141" i="12"/>
  <c r="Q141" i="12"/>
  <c r="O141" i="12"/>
  <c r="N141" i="12"/>
  <c r="M141" i="12"/>
  <c r="P141" i="12" s="1"/>
  <c r="L141" i="12"/>
  <c r="J139" i="12"/>
  <c r="J138" i="12"/>
  <c r="J137" i="12"/>
  <c r="I131" i="12"/>
  <c r="K131" i="12" s="1"/>
  <c r="I130" i="12"/>
  <c r="K130" i="12" s="1"/>
  <c r="I129" i="12"/>
  <c r="K129" i="12" s="1"/>
  <c r="I128" i="12"/>
  <c r="K128" i="12" s="1"/>
  <c r="U126" i="12"/>
  <c r="T126" i="12"/>
  <c r="N126" i="12"/>
  <c r="N124" i="12" s="1"/>
  <c r="M126" i="12"/>
  <c r="L126" i="12"/>
  <c r="L124" i="12" s="1"/>
  <c r="O124" i="12" s="1"/>
  <c r="U125" i="12"/>
  <c r="T125" i="12"/>
  <c r="P125" i="12"/>
  <c r="O125" i="12"/>
  <c r="U124" i="12"/>
  <c r="S124" i="12"/>
  <c r="R124" i="12"/>
  <c r="Q124" i="12"/>
  <c r="T124" i="12" s="1"/>
  <c r="S123" i="12"/>
  <c r="S121" i="12" s="1"/>
  <c r="R123" i="12"/>
  <c r="R121" i="12" s="1"/>
  <c r="Q123" i="12"/>
  <c r="Q120" i="12" s="1"/>
  <c r="Q118" i="12" s="1"/>
  <c r="N123" i="12"/>
  <c r="N121" i="12" s="1"/>
  <c r="M123" i="12"/>
  <c r="L123" i="12"/>
  <c r="U122" i="12"/>
  <c r="T122" i="12"/>
  <c r="P122" i="12"/>
  <c r="O122" i="12"/>
  <c r="U119" i="12"/>
  <c r="S119" i="12"/>
  <c r="R119" i="12"/>
  <c r="Q119" i="12"/>
  <c r="T119" i="12" s="1"/>
  <c r="O119" i="12"/>
  <c r="N119" i="12"/>
  <c r="M119" i="12"/>
  <c r="L119" i="12"/>
  <c r="J117" i="12"/>
  <c r="I115" i="12"/>
  <c r="K115" i="12" s="1"/>
  <c r="I114" i="12"/>
  <c r="K114" i="12" s="1"/>
  <c r="I110" i="12"/>
  <c r="I109" i="12"/>
  <c r="I93" i="12" s="1"/>
  <c r="U103" i="12"/>
  <c r="T103" i="12"/>
  <c r="N103" i="12"/>
  <c r="N101" i="12" s="1"/>
  <c r="M103" i="12"/>
  <c r="P103" i="12" s="1"/>
  <c r="L103" i="12"/>
  <c r="L101" i="12" s="1"/>
  <c r="O101" i="12" s="1"/>
  <c r="U102" i="12"/>
  <c r="T102" i="12"/>
  <c r="P102" i="12"/>
  <c r="O102" i="12"/>
  <c r="U101" i="12"/>
  <c r="S101" i="12"/>
  <c r="R101" i="12"/>
  <c r="Q101" i="12"/>
  <c r="T101" i="12" s="1"/>
  <c r="S100" i="12"/>
  <c r="S97" i="12" s="1"/>
  <c r="R100" i="12"/>
  <c r="R98" i="12" s="1"/>
  <c r="Q100" i="12"/>
  <c r="Q97" i="12" s="1"/>
  <c r="N100" i="12"/>
  <c r="N98" i="12" s="1"/>
  <c r="M100" i="12"/>
  <c r="M98" i="12" s="1"/>
  <c r="L100" i="12"/>
  <c r="L98" i="12" s="1"/>
  <c r="U99" i="12"/>
  <c r="T99" i="12"/>
  <c r="P99" i="12"/>
  <c r="O99" i="12"/>
  <c r="S96" i="12"/>
  <c r="R96" i="12"/>
  <c r="Q96" i="12"/>
  <c r="T96" i="12" s="1"/>
  <c r="N96" i="12"/>
  <c r="M96" i="12"/>
  <c r="P96" i="12" s="1"/>
  <c r="L96" i="12"/>
  <c r="J94" i="12"/>
  <c r="J93" i="12"/>
  <c r="I91" i="12"/>
  <c r="K91" i="12" s="1"/>
  <c r="I90" i="12"/>
  <c r="K90" i="12" s="1"/>
  <c r="I89" i="12"/>
  <c r="K89" i="12" s="1"/>
  <c r="I88" i="12"/>
  <c r="I87" i="12"/>
  <c r="K87" i="12" s="1"/>
  <c r="I86" i="12"/>
  <c r="K86" i="12" s="1"/>
  <c r="I85" i="12"/>
  <c r="J84" i="12"/>
  <c r="J83" i="12"/>
  <c r="J71" i="12" s="1"/>
  <c r="U81" i="12"/>
  <c r="T81" i="12"/>
  <c r="N81" i="12"/>
  <c r="N79" i="12" s="1"/>
  <c r="M81" i="12"/>
  <c r="M79" i="12" s="1"/>
  <c r="P79" i="12" s="1"/>
  <c r="L81" i="12"/>
  <c r="U80" i="12"/>
  <c r="T80" i="12"/>
  <c r="P80" i="12"/>
  <c r="O80" i="12"/>
  <c r="S79" i="12"/>
  <c r="R79" i="12"/>
  <c r="U79" i="12" s="1"/>
  <c r="Q79" i="12"/>
  <c r="T79" i="12" s="1"/>
  <c r="S78" i="12"/>
  <c r="S76" i="12" s="1"/>
  <c r="R78" i="12"/>
  <c r="U78" i="12" s="1"/>
  <c r="Q76" i="12"/>
  <c r="T76" i="12" s="1"/>
  <c r="N78" i="12"/>
  <c r="N76" i="12" s="1"/>
  <c r="M78" i="12"/>
  <c r="M76" i="12" s="1"/>
  <c r="P76" i="12" s="1"/>
  <c r="L78" i="12"/>
  <c r="U77" i="12"/>
  <c r="T77" i="12"/>
  <c r="P77" i="12"/>
  <c r="O77" i="12"/>
  <c r="S74" i="12"/>
  <c r="R74" i="12"/>
  <c r="U74" i="12" s="1"/>
  <c r="Q74" i="12"/>
  <c r="N74" i="12"/>
  <c r="M74" i="12"/>
  <c r="P74" i="12" s="1"/>
  <c r="L74" i="12"/>
  <c r="O74" i="12" s="1"/>
  <c r="J72" i="12"/>
  <c r="U68" i="12"/>
  <c r="T68" i="12"/>
  <c r="N68" i="12"/>
  <c r="N66" i="12" s="1"/>
  <c r="M68" i="12"/>
  <c r="L68" i="12"/>
  <c r="O68" i="12" s="1"/>
  <c r="U67" i="12"/>
  <c r="T67" i="12"/>
  <c r="P67" i="12"/>
  <c r="O67" i="12"/>
  <c r="S66" i="12"/>
  <c r="R66" i="12"/>
  <c r="U66" i="12" s="1"/>
  <c r="Q66" i="12"/>
  <c r="T66" i="12" s="1"/>
  <c r="U65" i="12"/>
  <c r="T65" i="12"/>
  <c r="N65" i="12"/>
  <c r="N63" i="12" s="1"/>
  <c r="M65" i="12"/>
  <c r="M63" i="12" s="1"/>
  <c r="L65" i="12"/>
  <c r="U64" i="12"/>
  <c r="T64" i="12"/>
  <c r="P64" i="12"/>
  <c r="O64" i="12"/>
  <c r="T63" i="12"/>
  <c r="S63" i="12"/>
  <c r="R63" i="12"/>
  <c r="U63" i="12" s="1"/>
  <c r="Q63" i="12"/>
  <c r="S62" i="12"/>
  <c r="S60" i="12" s="1"/>
  <c r="R62" i="12"/>
  <c r="U62" i="12" s="1"/>
  <c r="Q62" i="12"/>
  <c r="T62" i="12" s="1"/>
  <c r="S61" i="12"/>
  <c r="R61" i="12"/>
  <c r="U61" i="12" s="1"/>
  <c r="Q61" i="12"/>
  <c r="N61" i="12"/>
  <c r="M61" i="12"/>
  <c r="P61" i="12" s="1"/>
  <c r="L61" i="12"/>
  <c r="O61" i="12" s="1"/>
  <c r="U53" i="12"/>
  <c r="T53" i="12"/>
  <c r="N53" i="12"/>
  <c r="N51" i="12" s="1"/>
  <c r="M53" i="12"/>
  <c r="P53" i="12" s="1"/>
  <c r="L53" i="12"/>
  <c r="U52" i="12"/>
  <c r="T52" i="12"/>
  <c r="P52" i="12"/>
  <c r="O52" i="12"/>
  <c r="S51" i="12"/>
  <c r="R51" i="12"/>
  <c r="U51" i="12" s="1"/>
  <c r="Q51" i="12"/>
  <c r="T51" i="12" s="1"/>
  <c r="U50" i="12"/>
  <c r="T50" i="12"/>
  <c r="N50" i="12"/>
  <c r="M50" i="12"/>
  <c r="M48" i="12" s="1"/>
  <c r="L50" i="12"/>
  <c r="U49" i="12"/>
  <c r="T49" i="12"/>
  <c r="P49" i="12"/>
  <c r="O49" i="12"/>
  <c r="U48" i="12"/>
  <c r="T48" i="12"/>
  <c r="S48" i="12"/>
  <c r="R48" i="12"/>
  <c r="Q48" i="12"/>
  <c r="T47" i="12"/>
  <c r="S47" i="12"/>
  <c r="S45" i="12" s="1"/>
  <c r="R47" i="12"/>
  <c r="U47" i="12" s="1"/>
  <c r="Q47" i="12"/>
  <c r="T46" i="12"/>
  <c r="S46" i="12"/>
  <c r="R46" i="12"/>
  <c r="U46" i="12" s="1"/>
  <c r="Q46" i="12"/>
  <c r="Q45" i="12" s="1"/>
  <c r="T45" i="12" s="1"/>
  <c r="P46" i="12"/>
  <c r="N46" i="12"/>
  <c r="M46" i="12"/>
  <c r="L46" i="12"/>
  <c r="O46" i="12" s="1"/>
  <c r="S27" i="12"/>
  <c r="R27" i="12"/>
  <c r="Q27" i="12"/>
  <c r="T27" i="12" s="1"/>
  <c r="S26" i="12"/>
  <c r="R26" i="12"/>
  <c r="U26" i="12" s="1"/>
  <c r="Q26" i="12"/>
  <c r="T26" i="12" s="1"/>
  <c r="N26" i="12"/>
  <c r="M26" i="12"/>
  <c r="P26" i="12" s="1"/>
  <c r="L26" i="12"/>
  <c r="O26" i="12" s="1"/>
  <c r="S23" i="12"/>
  <c r="R23" i="12"/>
  <c r="U23" i="12" s="1"/>
  <c r="Q23" i="12"/>
  <c r="T23" i="12" s="1"/>
  <c r="N23" i="12"/>
  <c r="M23" i="12"/>
  <c r="L23" i="12"/>
  <c r="O23" i="12" s="1"/>
  <c r="A788" i="11"/>
  <c r="J785" i="11"/>
  <c r="I785" i="11"/>
  <c r="J784" i="11"/>
  <c r="I784" i="11"/>
  <c r="J783" i="11"/>
  <c r="I783" i="11"/>
  <c r="J782" i="11"/>
  <c r="I782" i="11"/>
  <c r="J781" i="11"/>
  <c r="I781" i="11"/>
  <c r="J780" i="11"/>
  <c r="I780" i="11"/>
  <c r="J779" i="11"/>
  <c r="I779" i="11"/>
  <c r="J778" i="11"/>
  <c r="I778" i="11"/>
  <c r="H777" i="11"/>
  <c r="I776" i="11"/>
  <c r="I775" i="11"/>
  <c r="I774" i="11"/>
  <c r="I772" i="11"/>
  <c r="K772" i="11" s="1"/>
  <c r="I770" i="11"/>
  <c r="K770" i="11" s="1"/>
  <c r="U768" i="11"/>
  <c r="T768" i="11"/>
  <c r="P768" i="11"/>
  <c r="O768" i="11"/>
  <c r="U767" i="11"/>
  <c r="T767" i="11"/>
  <c r="P767" i="11"/>
  <c r="O767" i="11"/>
  <c r="U766" i="11"/>
  <c r="T766" i="11"/>
  <c r="S766" i="11"/>
  <c r="R766" i="11"/>
  <c r="Q766" i="11"/>
  <c r="P766" i="11"/>
  <c r="O766" i="11"/>
  <c r="N766" i="11"/>
  <c r="M766" i="11"/>
  <c r="L766" i="11"/>
  <c r="S765" i="11"/>
  <c r="S762" i="11" s="1"/>
  <c r="S760" i="11" s="1"/>
  <c r="R765" i="11"/>
  <c r="U765" i="11" s="1"/>
  <c r="Q765" i="11"/>
  <c r="T765" i="11" s="1"/>
  <c r="P765" i="11"/>
  <c r="O765" i="11"/>
  <c r="U764" i="11"/>
  <c r="T764" i="11"/>
  <c r="P764" i="11"/>
  <c r="O764" i="11"/>
  <c r="N763" i="11"/>
  <c r="M763" i="11"/>
  <c r="P763" i="11" s="1"/>
  <c r="L763" i="11"/>
  <c r="O763" i="11" s="1"/>
  <c r="P762" i="11"/>
  <c r="O762" i="11"/>
  <c r="N762" i="11"/>
  <c r="M762" i="11"/>
  <c r="L762" i="11"/>
  <c r="U761" i="11"/>
  <c r="T761" i="11"/>
  <c r="S761" i="11"/>
  <c r="R761" i="11"/>
  <c r="Q761" i="11"/>
  <c r="O761" i="11"/>
  <c r="N761" i="11"/>
  <c r="N760" i="11" s="1"/>
  <c r="M761" i="11"/>
  <c r="P761" i="11" s="1"/>
  <c r="L761" i="11"/>
  <c r="M760" i="11"/>
  <c r="P760" i="11" s="1"/>
  <c r="L760" i="11"/>
  <c r="O760" i="11" s="1"/>
  <c r="J759" i="11"/>
  <c r="J758" i="11"/>
  <c r="I756" i="11"/>
  <c r="K756" i="11" s="1"/>
  <c r="I753" i="11"/>
  <c r="K753" i="11" s="1"/>
  <c r="I750" i="11"/>
  <c r="K750" i="11" s="1"/>
  <c r="I747" i="11"/>
  <c r="K747" i="11" s="1"/>
  <c r="I745" i="11"/>
  <c r="K745" i="11" s="1"/>
  <c r="I743" i="11"/>
  <c r="K743" i="11" s="1"/>
  <c r="I741" i="11"/>
  <c r="K741" i="11" s="1"/>
  <c r="U737" i="11"/>
  <c r="T737" i="11"/>
  <c r="P737" i="11"/>
  <c r="O737" i="11"/>
  <c r="U736" i="11"/>
  <c r="T736" i="11"/>
  <c r="P736" i="11"/>
  <c r="O736" i="11"/>
  <c r="U735" i="11"/>
  <c r="T735" i="11"/>
  <c r="S735" i="11"/>
  <c r="R735" i="11"/>
  <c r="Q735" i="11"/>
  <c r="O735" i="11"/>
  <c r="N735" i="11"/>
  <c r="M735" i="11"/>
  <c r="P735" i="11" s="1"/>
  <c r="L735" i="11"/>
  <c r="S734" i="11"/>
  <c r="R734" i="11"/>
  <c r="R732" i="11" s="1"/>
  <c r="Q734" i="11"/>
  <c r="Q732" i="11" s="1"/>
  <c r="P734" i="11"/>
  <c r="O734" i="11"/>
  <c r="U733" i="11"/>
  <c r="T733" i="11"/>
  <c r="P733" i="11"/>
  <c r="O733" i="11"/>
  <c r="P732" i="11"/>
  <c r="N732" i="11"/>
  <c r="M732" i="11"/>
  <c r="L732" i="11"/>
  <c r="O732" i="11" s="1"/>
  <c r="P731" i="11"/>
  <c r="O731" i="11"/>
  <c r="N731" i="11"/>
  <c r="M731" i="11"/>
  <c r="L731" i="11"/>
  <c r="T730" i="11"/>
  <c r="S730" i="11"/>
  <c r="R730" i="11"/>
  <c r="U730" i="11" s="1"/>
  <c r="Q730" i="11"/>
  <c r="N730" i="11"/>
  <c r="N729" i="11" s="1"/>
  <c r="M730" i="11"/>
  <c r="P730" i="11" s="1"/>
  <c r="L730" i="11"/>
  <c r="O730" i="11" s="1"/>
  <c r="L729" i="11"/>
  <c r="O729" i="11" s="1"/>
  <c r="J728" i="11"/>
  <c r="I728" i="11"/>
  <c r="K728" i="11" s="1"/>
  <c r="J727" i="11"/>
  <c r="I727" i="11"/>
  <c r="K727" i="11" s="1"/>
  <c r="U723" i="11"/>
  <c r="T723" i="11"/>
  <c r="P723" i="11"/>
  <c r="O723" i="11"/>
  <c r="U722" i="11"/>
  <c r="T722" i="11"/>
  <c r="P722" i="11"/>
  <c r="O722" i="11"/>
  <c r="S721" i="11"/>
  <c r="R721" i="11"/>
  <c r="U721" i="11" s="1"/>
  <c r="Q721" i="11"/>
  <c r="T721" i="11" s="1"/>
  <c r="P721" i="11"/>
  <c r="N721" i="11"/>
  <c r="M721" i="11"/>
  <c r="L721" i="11"/>
  <c r="O721" i="11" s="1"/>
  <c r="U720" i="11"/>
  <c r="T720" i="11"/>
  <c r="P720" i="11"/>
  <c r="O720" i="11"/>
  <c r="U719" i="11"/>
  <c r="T719" i="11"/>
  <c r="P719" i="11"/>
  <c r="O719" i="11"/>
  <c r="S718" i="11"/>
  <c r="R718" i="11"/>
  <c r="U718" i="11" s="1"/>
  <c r="Q718" i="11"/>
  <c r="T718" i="11" s="1"/>
  <c r="P718" i="11"/>
  <c r="N718" i="11"/>
  <c r="M718" i="11"/>
  <c r="L718" i="11"/>
  <c r="O718" i="11" s="1"/>
  <c r="U717" i="11"/>
  <c r="T717" i="11"/>
  <c r="S717" i="11"/>
  <c r="R717" i="11"/>
  <c r="Q717" i="11"/>
  <c r="P717" i="11"/>
  <c r="O717" i="11"/>
  <c r="N717" i="11"/>
  <c r="M717" i="11"/>
  <c r="L717" i="11"/>
  <c r="T716" i="11"/>
  <c r="S716" i="11"/>
  <c r="S715" i="11" s="1"/>
  <c r="R716" i="11"/>
  <c r="U716" i="11" s="1"/>
  <c r="Q716" i="11"/>
  <c r="Q715" i="11" s="1"/>
  <c r="T715" i="11" s="1"/>
  <c r="N716" i="11"/>
  <c r="N715" i="11" s="1"/>
  <c r="M716" i="11"/>
  <c r="P716" i="11" s="1"/>
  <c r="L716" i="11"/>
  <c r="O716" i="11" s="1"/>
  <c r="R715" i="11"/>
  <c r="U715" i="11" s="1"/>
  <c r="L715" i="11"/>
  <c r="O715" i="11" s="1"/>
  <c r="K713" i="11"/>
  <c r="J713" i="11"/>
  <c r="K711" i="11"/>
  <c r="J711" i="11"/>
  <c r="J710" i="11"/>
  <c r="I710" i="11"/>
  <c r="K709" i="11"/>
  <c r="J709" i="11"/>
  <c r="J708" i="11"/>
  <c r="J690" i="11" s="1"/>
  <c r="I708" i="11"/>
  <c r="K707" i="11"/>
  <c r="J707" i="11"/>
  <c r="J706" i="11"/>
  <c r="I706" i="11"/>
  <c r="K705" i="11"/>
  <c r="J705" i="11"/>
  <c r="J704" i="11"/>
  <c r="I704" i="11"/>
  <c r="K703" i="11"/>
  <c r="I701" i="11"/>
  <c r="K701" i="11" s="1"/>
  <c r="U699" i="11"/>
  <c r="T699" i="11"/>
  <c r="P699" i="11"/>
  <c r="O699" i="11"/>
  <c r="U698" i="11"/>
  <c r="T698" i="11"/>
  <c r="P698" i="11"/>
  <c r="O698" i="11"/>
  <c r="U697" i="11"/>
  <c r="S697" i="11"/>
  <c r="R697" i="11"/>
  <c r="Q697" i="11"/>
  <c r="T697" i="11" s="1"/>
  <c r="P697" i="11"/>
  <c r="O697" i="11"/>
  <c r="N697" i="11"/>
  <c r="M697" i="11"/>
  <c r="L697" i="11"/>
  <c r="S696" i="11"/>
  <c r="S693" i="11" s="1"/>
  <c r="R696" i="11"/>
  <c r="R694" i="11" s="1"/>
  <c r="Q696" i="11"/>
  <c r="P696" i="11"/>
  <c r="O696" i="11"/>
  <c r="U695" i="11"/>
  <c r="T695" i="11"/>
  <c r="P695" i="11"/>
  <c r="O695" i="11"/>
  <c r="N694" i="11"/>
  <c r="M694" i="11"/>
  <c r="P694" i="11" s="1"/>
  <c r="L694" i="11"/>
  <c r="O694" i="11" s="1"/>
  <c r="P693" i="11"/>
  <c r="N693" i="11"/>
  <c r="M693" i="11"/>
  <c r="L693" i="11"/>
  <c r="U692" i="11"/>
  <c r="T692" i="11"/>
  <c r="S692" i="11"/>
  <c r="R692" i="11"/>
  <c r="Q692" i="11"/>
  <c r="P692" i="11"/>
  <c r="O692" i="11"/>
  <c r="N692" i="11"/>
  <c r="M692" i="11"/>
  <c r="M691" i="11" s="1"/>
  <c r="P691" i="11" s="1"/>
  <c r="L692" i="11"/>
  <c r="N691" i="11"/>
  <c r="J683" i="11"/>
  <c r="I683" i="11"/>
  <c r="K683" i="11" s="1"/>
  <c r="J682" i="11"/>
  <c r="I682" i="11"/>
  <c r="K682" i="11" s="1"/>
  <c r="J681" i="11"/>
  <c r="J680" i="11"/>
  <c r="I680" i="11"/>
  <c r="K680" i="11" s="1"/>
  <c r="J679" i="11"/>
  <c r="I679" i="11"/>
  <c r="K679" i="11" s="1"/>
  <c r="J678" i="11"/>
  <c r="J677" i="11"/>
  <c r="I677" i="11"/>
  <c r="K677" i="11" s="1"/>
  <c r="I676" i="11"/>
  <c r="K676" i="11" s="1"/>
  <c r="I675" i="11"/>
  <c r="K675" i="11" s="1"/>
  <c r="J674" i="11"/>
  <c r="I674" i="11"/>
  <c r="K674" i="11" s="1"/>
  <c r="J673" i="11"/>
  <c r="J672" i="11"/>
  <c r="J662" i="11"/>
  <c r="I662" i="11"/>
  <c r="K662" i="11" s="1"/>
  <c r="I661" i="11"/>
  <c r="I658" i="11"/>
  <c r="J655" i="11"/>
  <c r="I655" i="11"/>
  <c r="K655" i="11" s="1"/>
  <c r="J654" i="11"/>
  <c r="I654" i="11"/>
  <c r="K654" i="11" s="1"/>
  <c r="J653" i="11"/>
  <c r="I653" i="11"/>
  <c r="K653" i="11" s="1"/>
  <c r="U651" i="11"/>
  <c r="T651" i="11"/>
  <c r="P651" i="11"/>
  <c r="O651" i="11"/>
  <c r="U650" i="11"/>
  <c r="T650" i="11"/>
  <c r="P650" i="11"/>
  <c r="O650" i="11"/>
  <c r="U649" i="11"/>
  <c r="S649" i="11"/>
  <c r="R649" i="11"/>
  <c r="Q649" i="11"/>
  <c r="T649" i="11" s="1"/>
  <c r="P649" i="11"/>
  <c r="O649" i="11"/>
  <c r="N649" i="11"/>
  <c r="M649" i="11"/>
  <c r="L649" i="11"/>
  <c r="S648" i="11"/>
  <c r="S645" i="11" s="1"/>
  <c r="R648" i="11"/>
  <c r="R646" i="11" s="1"/>
  <c r="U646" i="11" s="1"/>
  <c r="Q648" i="11"/>
  <c r="P648" i="11"/>
  <c r="O648" i="11"/>
  <c r="U647" i="11"/>
  <c r="T647" i="11"/>
  <c r="P647" i="11"/>
  <c r="O647" i="11"/>
  <c r="N646" i="11"/>
  <c r="M646" i="11"/>
  <c r="P646" i="11" s="1"/>
  <c r="L646" i="11"/>
  <c r="O646" i="11" s="1"/>
  <c r="P645" i="11"/>
  <c r="N645" i="11"/>
  <c r="M645" i="11"/>
  <c r="L645" i="11"/>
  <c r="U644" i="11"/>
  <c r="T644" i="11"/>
  <c r="S644" i="11"/>
  <c r="R644" i="11"/>
  <c r="Q644" i="11"/>
  <c r="P644" i="11"/>
  <c r="O644" i="11"/>
  <c r="N644" i="11"/>
  <c r="M644" i="11"/>
  <c r="M643" i="11" s="1"/>
  <c r="P643" i="11" s="1"/>
  <c r="L644" i="11"/>
  <c r="N643" i="11"/>
  <c r="J637" i="11"/>
  <c r="J636" i="11" s="1"/>
  <c r="I636" i="11"/>
  <c r="K636" i="11" s="1"/>
  <c r="J633" i="11"/>
  <c r="J627" i="11" s="1"/>
  <c r="J616" i="11" s="1"/>
  <c r="I629" i="11"/>
  <c r="K629" i="11" s="1"/>
  <c r="I628" i="11"/>
  <c r="K628" i="11" s="1"/>
  <c r="I627" i="11"/>
  <c r="I616" i="11" s="1"/>
  <c r="K616" i="11" s="1"/>
  <c r="U625" i="11"/>
  <c r="T625" i="11"/>
  <c r="P625" i="11"/>
  <c r="O625" i="11"/>
  <c r="U624" i="11"/>
  <c r="T624" i="11"/>
  <c r="P624" i="11"/>
  <c r="O624" i="11"/>
  <c r="S623" i="11"/>
  <c r="R623" i="11"/>
  <c r="U623" i="11" s="1"/>
  <c r="Q623" i="11"/>
  <c r="T623" i="11" s="1"/>
  <c r="P623" i="11"/>
  <c r="N623" i="11"/>
  <c r="M623" i="11"/>
  <c r="L623" i="11"/>
  <c r="O623" i="11" s="1"/>
  <c r="S622" i="11"/>
  <c r="S619" i="11" s="1"/>
  <c r="S617" i="11" s="1"/>
  <c r="R622" i="11"/>
  <c r="R620" i="11" s="1"/>
  <c r="Q622" i="11"/>
  <c r="Q620" i="11" s="1"/>
  <c r="P622" i="11"/>
  <c r="O622" i="11"/>
  <c r="U621" i="11"/>
  <c r="T621" i="11"/>
  <c r="P621" i="11"/>
  <c r="O621" i="11"/>
  <c r="O620" i="11"/>
  <c r="N620" i="11"/>
  <c r="M620" i="11"/>
  <c r="P620" i="11" s="1"/>
  <c r="L620" i="11"/>
  <c r="N619" i="11"/>
  <c r="M619" i="11"/>
  <c r="L619" i="11"/>
  <c r="O619" i="11" s="1"/>
  <c r="U618" i="11"/>
  <c r="S618" i="11"/>
  <c r="R618" i="11"/>
  <c r="Q618" i="11"/>
  <c r="P618" i="11"/>
  <c r="O618" i="11"/>
  <c r="N618" i="11"/>
  <c r="N617" i="11" s="1"/>
  <c r="M618" i="11"/>
  <c r="L618" i="11"/>
  <c r="O617" i="11"/>
  <c r="L617" i="11"/>
  <c r="U608" i="11"/>
  <c r="T608" i="11"/>
  <c r="P608" i="11"/>
  <c r="O608" i="11"/>
  <c r="U607" i="11"/>
  <c r="T607" i="11"/>
  <c r="P607" i="11"/>
  <c r="O607" i="11"/>
  <c r="S606" i="11"/>
  <c r="R606" i="11"/>
  <c r="U606" i="11" s="1"/>
  <c r="Q606" i="11"/>
  <c r="T606" i="11" s="1"/>
  <c r="P606" i="11"/>
  <c r="N606" i="11"/>
  <c r="M606" i="11"/>
  <c r="L606" i="11"/>
  <c r="O606" i="11" s="1"/>
  <c r="U605" i="11"/>
  <c r="T605" i="11"/>
  <c r="P605" i="11"/>
  <c r="O605" i="11"/>
  <c r="U604" i="11"/>
  <c r="T604" i="11"/>
  <c r="P604" i="11"/>
  <c r="O604" i="11"/>
  <c r="S603" i="11"/>
  <c r="R603" i="11"/>
  <c r="U603" i="11" s="1"/>
  <c r="Q603" i="11"/>
  <c r="T603" i="11" s="1"/>
  <c r="P603" i="11"/>
  <c r="N603" i="11"/>
  <c r="M603" i="11"/>
  <c r="L603" i="11"/>
  <c r="O603" i="11" s="1"/>
  <c r="U602" i="11"/>
  <c r="T602" i="11"/>
  <c r="S602" i="11"/>
  <c r="R602" i="11"/>
  <c r="Q602" i="11"/>
  <c r="P602" i="11"/>
  <c r="O602" i="11"/>
  <c r="N602" i="11"/>
  <c r="M602" i="11"/>
  <c r="L602" i="11"/>
  <c r="T601" i="11"/>
  <c r="S601" i="11"/>
  <c r="S600" i="11" s="1"/>
  <c r="R601" i="11"/>
  <c r="U601" i="11" s="1"/>
  <c r="Q601" i="11"/>
  <c r="Q600" i="11" s="1"/>
  <c r="T600" i="11" s="1"/>
  <c r="N601" i="11"/>
  <c r="N600" i="11" s="1"/>
  <c r="M601" i="11"/>
  <c r="P601" i="11" s="1"/>
  <c r="L601" i="11"/>
  <c r="O601" i="11" s="1"/>
  <c r="R600" i="11"/>
  <c r="U600" i="11" s="1"/>
  <c r="L600" i="11"/>
  <c r="O600" i="11" s="1"/>
  <c r="U585" i="11"/>
  <c r="T585" i="11"/>
  <c r="P585" i="11"/>
  <c r="O585" i="11"/>
  <c r="U584" i="11"/>
  <c r="T584" i="11"/>
  <c r="P584" i="11"/>
  <c r="O584" i="11"/>
  <c r="S583" i="11"/>
  <c r="R583" i="11"/>
  <c r="U583" i="11" s="1"/>
  <c r="Q583" i="11"/>
  <c r="T583" i="11" s="1"/>
  <c r="P583" i="11"/>
  <c r="N583" i="11"/>
  <c r="M583" i="11"/>
  <c r="L583" i="11"/>
  <c r="O583" i="11" s="1"/>
  <c r="U582" i="11"/>
  <c r="T582" i="11"/>
  <c r="P582" i="11"/>
  <c r="O582" i="11"/>
  <c r="U581" i="11"/>
  <c r="T581" i="11"/>
  <c r="P581" i="11"/>
  <c r="O581" i="11"/>
  <c r="S580" i="11"/>
  <c r="R580" i="11"/>
  <c r="U580" i="11" s="1"/>
  <c r="Q580" i="11"/>
  <c r="T580" i="11" s="1"/>
  <c r="P580" i="11"/>
  <c r="N580" i="11"/>
  <c r="M580" i="11"/>
  <c r="L580" i="11"/>
  <c r="O580" i="11" s="1"/>
  <c r="U579" i="11"/>
  <c r="T579" i="11"/>
  <c r="S579" i="11"/>
  <c r="R579" i="11"/>
  <c r="Q579" i="11"/>
  <c r="P579" i="11"/>
  <c r="O579" i="11"/>
  <c r="N579" i="11"/>
  <c r="M579" i="11"/>
  <c r="L579" i="11"/>
  <c r="T578" i="11"/>
  <c r="S578" i="11"/>
  <c r="S577" i="11" s="1"/>
  <c r="R578" i="11"/>
  <c r="U578" i="11" s="1"/>
  <c r="Q578" i="11"/>
  <c r="Q577" i="11" s="1"/>
  <c r="T577" i="11" s="1"/>
  <c r="N578" i="11"/>
  <c r="N577" i="11" s="1"/>
  <c r="M578" i="11"/>
  <c r="P578" i="11" s="1"/>
  <c r="L578" i="11"/>
  <c r="O578" i="11" s="1"/>
  <c r="R577" i="11"/>
  <c r="U577" i="11" s="1"/>
  <c r="L577" i="11"/>
  <c r="O577" i="11" s="1"/>
  <c r="J576" i="11"/>
  <c r="I576" i="11"/>
  <c r="K576" i="11" s="1"/>
  <c r="U564" i="11"/>
  <c r="T564" i="11"/>
  <c r="P564" i="11"/>
  <c r="O564" i="11"/>
  <c r="U563" i="11"/>
  <c r="T563" i="11"/>
  <c r="P563" i="11"/>
  <c r="O563" i="11"/>
  <c r="T562" i="11"/>
  <c r="S562" i="11"/>
  <c r="R562" i="11"/>
  <c r="U562" i="11" s="1"/>
  <c r="Q562" i="11"/>
  <c r="N562" i="11"/>
  <c r="M562" i="11"/>
  <c r="P562" i="11" s="1"/>
  <c r="L562" i="11"/>
  <c r="O562" i="11" s="1"/>
  <c r="U561" i="11"/>
  <c r="T561" i="11"/>
  <c r="P561" i="11"/>
  <c r="O561" i="11"/>
  <c r="U560" i="11"/>
  <c r="T560" i="11"/>
  <c r="P560" i="11"/>
  <c r="O560" i="11"/>
  <c r="T559" i="11"/>
  <c r="S559" i="11"/>
  <c r="R559" i="11"/>
  <c r="U559" i="11" s="1"/>
  <c r="Q559" i="11"/>
  <c r="O559" i="11"/>
  <c r="N559" i="11"/>
  <c r="M559" i="11"/>
  <c r="P559" i="11" s="1"/>
  <c r="L559" i="11"/>
  <c r="S558" i="11"/>
  <c r="S556" i="11" s="1"/>
  <c r="R558" i="11"/>
  <c r="U558" i="11" s="1"/>
  <c r="Q558" i="11"/>
  <c r="T558" i="11" s="1"/>
  <c r="P558" i="11"/>
  <c r="N558" i="11"/>
  <c r="M558" i="11"/>
  <c r="L558" i="11"/>
  <c r="O558" i="11" s="1"/>
  <c r="U557" i="11"/>
  <c r="T557" i="11"/>
  <c r="S557" i="11"/>
  <c r="R557" i="11"/>
  <c r="Q557" i="11"/>
  <c r="P557" i="11"/>
  <c r="O557" i="11"/>
  <c r="N557" i="11"/>
  <c r="N556" i="11" s="1"/>
  <c r="M557" i="11"/>
  <c r="L557" i="11"/>
  <c r="R556" i="11"/>
  <c r="U556" i="11" s="1"/>
  <c r="O556" i="11"/>
  <c r="M556" i="11"/>
  <c r="P556" i="11" s="1"/>
  <c r="L556" i="11"/>
  <c r="J555" i="11"/>
  <c r="I555" i="11"/>
  <c r="K555" i="11" s="1"/>
  <c r="U543" i="11"/>
  <c r="T543" i="11"/>
  <c r="P543" i="11"/>
  <c r="O543" i="11"/>
  <c r="U542" i="11"/>
  <c r="T542" i="11"/>
  <c r="P542" i="11"/>
  <c r="O542" i="11"/>
  <c r="S541" i="11"/>
  <c r="R541" i="11"/>
  <c r="U541" i="11" s="1"/>
  <c r="Q541" i="11"/>
  <c r="T541" i="11" s="1"/>
  <c r="P541" i="11"/>
  <c r="N541" i="11"/>
  <c r="M541" i="11"/>
  <c r="L541" i="11"/>
  <c r="O541" i="11" s="1"/>
  <c r="U540" i="11"/>
  <c r="T540" i="11"/>
  <c r="P540" i="11"/>
  <c r="O540" i="11"/>
  <c r="U539" i="11"/>
  <c r="T539" i="11"/>
  <c r="P539" i="11"/>
  <c r="O539" i="11"/>
  <c r="S538" i="11"/>
  <c r="R538" i="11"/>
  <c r="U538" i="11" s="1"/>
  <c r="Q538" i="11"/>
  <c r="T538" i="11" s="1"/>
  <c r="P538" i="11"/>
  <c r="N538" i="11"/>
  <c r="M538" i="11"/>
  <c r="L538" i="11"/>
  <c r="O538" i="11" s="1"/>
  <c r="U537" i="11"/>
  <c r="T537" i="11"/>
  <c r="S537" i="11"/>
  <c r="R537" i="11"/>
  <c r="Q537" i="11"/>
  <c r="P537" i="11"/>
  <c r="O537" i="11"/>
  <c r="N537" i="11"/>
  <c r="M537" i="11"/>
  <c r="L537" i="11"/>
  <c r="S536" i="11"/>
  <c r="S535" i="11" s="1"/>
  <c r="R536" i="11"/>
  <c r="U536" i="11" s="1"/>
  <c r="Q536" i="11"/>
  <c r="T536" i="11" s="1"/>
  <c r="N536" i="11"/>
  <c r="N535" i="11" s="1"/>
  <c r="M536" i="11"/>
  <c r="L536" i="11"/>
  <c r="O536" i="11" s="1"/>
  <c r="U535" i="11"/>
  <c r="R535" i="11"/>
  <c r="Q535" i="11"/>
  <c r="T535" i="11" s="1"/>
  <c r="O535" i="11"/>
  <c r="L535" i="11"/>
  <c r="K534" i="11"/>
  <c r="J534" i="11"/>
  <c r="I534" i="11"/>
  <c r="K525" i="11"/>
  <c r="K524" i="11"/>
  <c r="U522" i="11"/>
  <c r="T522" i="11"/>
  <c r="N522" i="11"/>
  <c r="N520" i="11" s="1"/>
  <c r="M522" i="11"/>
  <c r="L522" i="11"/>
  <c r="U521" i="11"/>
  <c r="T521" i="11"/>
  <c r="P521" i="11"/>
  <c r="O521" i="11"/>
  <c r="S520" i="11"/>
  <c r="R520" i="11"/>
  <c r="U520" i="11" s="1"/>
  <c r="Q520" i="11"/>
  <c r="T520" i="11" s="1"/>
  <c r="U519" i="11"/>
  <c r="T519" i="11"/>
  <c r="N519" i="11"/>
  <c r="N517" i="11" s="1"/>
  <c r="M519" i="11"/>
  <c r="L519" i="11"/>
  <c r="L517" i="11" s="1"/>
  <c r="O517" i="11" s="1"/>
  <c r="U518" i="11"/>
  <c r="T518" i="11"/>
  <c r="P518" i="11"/>
  <c r="O518" i="11"/>
  <c r="U517" i="11"/>
  <c r="S517" i="11"/>
  <c r="R517" i="11"/>
  <c r="Q517" i="11"/>
  <c r="T517" i="11" s="1"/>
  <c r="T516" i="11"/>
  <c r="S516" i="11"/>
  <c r="R516" i="11"/>
  <c r="U516" i="11" s="1"/>
  <c r="Q516" i="11"/>
  <c r="S515" i="11"/>
  <c r="R515" i="11"/>
  <c r="Q515" i="11"/>
  <c r="T515" i="11" s="1"/>
  <c r="N515" i="11"/>
  <c r="M515" i="11"/>
  <c r="P515" i="11" s="1"/>
  <c r="L515" i="11"/>
  <c r="K513" i="11"/>
  <c r="J513" i="11"/>
  <c r="I513" i="11"/>
  <c r="I510" i="11"/>
  <c r="K510" i="11" s="1"/>
  <c r="K509" i="11"/>
  <c r="I508" i="11"/>
  <c r="K508" i="11" s="1"/>
  <c r="I507" i="11"/>
  <c r="K507" i="11" s="1"/>
  <c r="I506" i="11"/>
  <c r="K506" i="11" s="1"/>
  <c r="I505" i="11"/>
  <c r="K505" i="11" s="1"/>
  <c r="I504" i="11"/>
  <c r="K504" i="11" s="1"/>
  <c r="U502" i="11"/>
  <c r="T502" i="11"/>
  <c r="P502" i="11"/>
  <c r="O502" i="11"/>
  <c r="U501" i="11"/>
  <c r="T501" i="11"/>
  <c r="P501" i="11"/>
  <c r="O501" i="11"/>
  <c r="U500" i="11"/>
  <c r="T500" i="11"/>
  <c r="S500" i="11"/>
  <c r="R500" i="11"/>
  <c r="Q500" i="11"/>
  <c r="P500" i="11"/>
  <c r="O500" i="11"/>
  <c r="N500" i="11"/>
  <c r="M500" i="11"/>
  <c r="L500" i="11"/>
  <c r="S499" i="11"/>
  <c r="S496" i="11" s="1"/>
  <c r="S494" i="11" s="1"/>
  <c r="R499" i="11"/>
  <c r="R497" i="11" s="1"/>
  <c r="U497" i="11" s="1"/>
  <c r="Q499" i="11"/>
  <c r="Q496" i="11" s="1"/>
  <c r="P499" i="11"/>
  <c r="O499" i="11"/>
  <c r="U498" i="11"/>
  <c r="T498" i="11"/>
  <c r="P498" i="11"/>
  <c r="O498" i="11"/>
  <c r="P497" i="11"/>
  <c r="N497" i="11"/>
  <c r="M497" i="11"/>
  <c r="L497" i="11"/>
  <c r="O497" i="11" s="1"/>
  <c r="P496" i="11"/>
  <c r="O496" i="11"/>
  <c r="N496" i="11"/>
  <c r="M496" i="11"/>
  <c r="L496" i="11"/>
  <c r="U495" i="11"/>
  <c r="T495" i="11"/>
  <c r="S495" i="11"/>
  <c r="R495" i="11"/>
  <c r="Q495" i="11"/>
  <c r="O495" i="11"/>
  <c r="N495" i="11"/>
  <c r="N494" i="11" s="1"/>
  <c r="M495" i="11"/>
  <c r="P495" i="11" s="1"/>
  <c r="L495" i="11"/>
  <c r="P494" i="11"/>
  <c r="M494" i="11"/>
  <c r="L494" i="11"/>
  <c r="O494" i="11" s="1"/>
  <c r="J486" i="11"/>
  <c r="I486" i="11"/>
  <c r="K486" i="11" s="1"/>
  <c r="K485" i="11"/>
  <c r="J485" i="11"/>
  <c r="I485" i="11"/>
  <c r="J484" i="11"/>
  <c r="J483" i="11"/>
  <c r="K478" i="11"/>
  <c r="J478" i="11"/>
  <c r="K477" i="11"/>
  <c r="J477" i="11"/>
  <c r="K476" i="11"/>
  <c r="J476" i="11"/>
  <c r="J469" i="11"/>
  <c r="J468" i="11"/>
  <c r="J461" i="11"/>
  <c r="J459" i="11" s="1"/>
  <c r="J460" i="11"/>
  <c r="I459" i="11"/>
  <c r="K459" i="11" s="1"/>
  <c r="J458" i="11"/>
  <c r="I458" i="11"/>
  <c r="I457" i="11" s="1"/>
  <c r="K457" i="11" s="1"/>
  <c r="J457" i="11"/>
  <c r="J448" i="11"/>
  <c r="J442" i="11" s="1"/>
  <c r="J447" i="11"/>
  <c r="I442" i="11"/>
  <c r="K442" i="11" s="1"/>
  <c r="J441" i="11"/>
  <c r="J424" i="11" s="1"/>
  <c r="J413" i="11" s="1"/>
  <c r="I441" i="11"/>
  <c r="I424" i="11" s="1"/>
  <c r="K424" i="11" s="1"/>
  <c r="J434" i="11"/>
  <c r="I434" i="11"/>
  <c r="K434" i="11" s="1"/>
  <c r="J433" i="11"/>
  <c r="I433" i="11"/>
  <c r="K433" i="11" s="1"/>
  <c r="J426" i="11"/>
  <c r="I426" i="11"/>
  <c r="K426" i="11" s="1"/>
  <c r="J425" i="11"/>
  <c r="I425" i="11"/>
  <c r="K425" i="11" s="1"/>
  <c r="U422" i="11"/>
  <c r="T422" i="11"/>
  <c r="P422" i="11"/>
  <c r="O422" i="11"/>
  <c r="U421" i="11"/>
  <c r="T421" i="11"/>
  <c r="P421" i="11"/>
  <c r="O421" i="11"/>
  <c r="S420" i="11"/>
  <c r="R420" i="11"/>
  <c r="U420" i="11" s="1"/>
  <c r="Q420" i="11"/>
  <c r="T420" i="11" s="1"/>
  <c r="P420" i="11"/>
  <c r="N420" i="11"/>
  <c r="M420" i="11"/>
  <c r="L420" i="11"/>
  <c r="O420" i="11" s="1"/>
  <c r="S419" i="11"/>
  <c r="S417" i="11" s="1"/>
  <c r="R419" i="11"/>
  <c r="R417" i="11" s="1"/>
  <c r="U417" i="11" s="1"/>
  <c r="Q419" i="11"/>
  <c r="Q417" i="11" s="1"/>
  <c r="T417" i="11" s="1"/>
  <c r="P419" i="11"/>
  <c r="O419" i="11"/>
  <c r="U418" i="11"/>
  <c r="T418" i="11"/>
  <c r="P418" i="11"/>
  <c r="O418" i="11"/>
  <c r="N417" i="11"/>
  <c r="M417" i="11"/>
  <c r="P417" i="11" s="1"/>
  <c r="L417" i="11"/>
  <c r="O417" i="11" s="1"/>
  <c r="P416" i="11"/>
  <c r="N416" i="11"/>
  <c r="M416" i="11"/>
  <c r="L416" i="11"/>
  <c r="O416" i="11" s="1"/>
  <c r="U415" i="11"/>
  <c r="S415" i="11"/>
  <c r="R415" i="11"/>
  <c r="Q415" i="11"/>
  <c r="P415" i="11"/>
  <c r="O415" i="11"/>
  <c r="N415" i="11"/>
  <c r="M415" i="11"/>
  <c r="L415" i="11"/>
  <c r="O414" i="11"/>
  <c r="N414" i="11"/>
  <c r="M414" i="11"/>
  <c r="P414" i="11" s="1"/>
  <c r="L414" i="11"/>
  <c r="U401" i="11"/>
  <c r="T401" i="11"/>
  <c r="P401" i="11"/>
  <c r="O401" i="11"/>
  <c r="U400" i="11"/>
  <c r="T400" i="11"/>
  <c r="P400" i="11"/>
  <c r="O400" i="11"/>
  <c r="S399" i="11"/>
  <c r="R399" i="11"/>
  <c r="U399" i="11" s="1"/>
  <c r="Q399" i="11"/>
  <c r="T399" i="11" s="1"/>
  <c r="P399" i="11"/>
  <c r="O399" i="11"/>
  <c r="N399" i="11"/>
  <c r="M399" i="11"/>
  <c r="L399" i="11"/>
  <c r="U398" i="11"/>
  <c r="T398" i="11"/>
  <c r="P398" i="11"/>
  <c r="O398" i="11"/>
  <c r="U397" i="11"/>
  <c r="T397" i="11"/>
  <c r="P397" i="11"/>
  <c r="O397" i="11"/>
  <c r="U396" i="11"/>
  <c r="S396" i="11"/>
  <c r="R396" i="11"/>
  <c r="Q396" i="11"/>
  <c r="T396" i="11" s="1"/>
  <c r="P396" i="11"/>
  <c r="N396" i="11"/>
  <c r="M396" i="11"/>
  <c r="L396" i="11"/>
  <c r="O396" i="11" s="1"/>
  <c r="U395" i="11"/>
  <c r="T395" i="11"/>
  <c r="S395" i="11"/>
  <c r="R395" i="11"/>
  <c r="Q395" i="11"/>
  <c r="P395" i="11"/>
  <c r="O395" i="11"/>
  <c r="N395" i="11"/>
  <c r="M395" i="11"/>
  <c r="L395" i="11"/>
  <c r="T394" i="11"/>
  <c r="S394" i="11"/>
  <c r="R394" i="11"/>
  <c r="Q394" i="11"/>
  <c r="Q393" i="11" s="1"/>
  <c r="T393" i="11" s="1"/>
  <c r="N394" i="11"/>
  <c r="N393" i="11" s="1"/>
  <c r="M394" i="11"/>
  <c r="P394" i="11" s="1"/>
  <c r="L394" i="11"/>
  <c r="O394" i="11" s="1"/>
  <c r="S393" i="11"/>
  <c r="M393" i="11"/>
  <c r="P393" i="11" s="1"/>
  <c r="J392" i="11"/>
  <c r="I392" i="11"/>
  <c r="K392" i="11" s="1"/>
  <c r="J389" i="11"/>
  <c r="I389" i="11"/>
  <c r="K389" i="11" s="1"/>
  <c r="K388" i="11"/>
  <c r="J388" i="11"/>
  <c r="J387" i="11"/>
  <c r="I387" i="11"/>
  <c r="K386" i="11"/>
  <c r="J386" i="11"/>
  <c r="U384" i="11"/>
  <c r="T384" i="11"/>
  <c r="P384" i="11"/>
  <c r="O384" i="11"/>
  <c r="U383" i="11"/>
  <c r="T383" i="11"/>
  <c r="P383" i="11"/>
  <c r="O383" i="11"/>
  <c r="S382" i="11"/>
  <c r="R382" i="11"/>
  <c r="U382" i="11" s="1"/>
  <c r="Q382" i="11"/>
  <c r="T382" i="11" s="1"/>
  <c r="N382" i="11"/>
  <c r="M382" i="11"/>
  <c r="P382" i="11" s="1"/>
  <c r="L382" i="11"/>
  <c r="O382" i="11" s="1"/>
  <c r="S381" i="11"/>
  <c r="S379" i="11" s="1"/>
  <c r="R381" i="11"/>
  <c r="R379" i="11" s="1"/>
  <c r="U379" i="11" s="1"/>
  <c r="Q381" i="11"/>
  <c r="Q379" i="11" s="1"/>
  <c r="P381" i="11"/>
  <c r="O381" i="11"/>
  <c r="U380" i="11"/>
  <c r="T380" i="11"/>
  <c r="P380" i="11"/>
  <c r="O380" i="11"/>
  <c r="P379" i="11"/>
  <c r="O379" i="11"/>
  <c r="N379" i="11"/>
  <c r="M379" i="11"/>
  <c r="L379" i="11"/>
  <c r="N378" i="11"/>
  <c r="M378" i="11"/>
  <c r="P378" i="11" s="1"/>
  <c r="L378" i="11"/>
  <c r="O378" i="11" s="1"/>
  <c r="S377" i="11"/>
  <c r="R377" i="11"/>
  <c r="U377" i="11" s="1"/>
  <c r="Q377" i="11"/>
  <c r="T377" i="11" s="1"/>
  <c r="N377" i="11"/>
  <c r="M377" i="11"/>
  <c r="L377" i="11"/>
  <c r="O377" i="11" s="1"/>
  <c r="N376" i="11"/>
  <c r="D374" i="11"/>
  <c r="K373" i="11"/>
  <c r="J373" i="11"/>
  <c r="J372" i="11"/>
  <c r="J366" i="11" s="1"/>
  <c r="I372" i="11"/>
  <c r="I366" i="11" s="1"/>
  <c r="K371" i="11"/>
  <c r="J371" i="11"/>
  <c r="J370" i="11"/>
  <c r="I370" i="11"/>
  <c r="J369" i="11"/>
  <c r="I369" i="11"/>
  <c r="K368" i="11"/>
  <c r="J368" i="11"/>
  <c r="U365" i="11"/>
  <c r="T365" i="11"/>
  <c r="N365" i="11"/>
  <c r="M365" i="11"/>
  <c r="M363" i="11" s="1"/>
  <c r="P363" i="11" s="1"/>
  <c r="L365" i="11"/>
  <c r="L363" i="11" s="1"/>
  <c r="O363" i="11" s="1"/>
  <c r="U364" i="11"/>
  <c r="T364" i="11"/>
  <c r="P364" i="11"/>
  <c r="O364" i="11"/>
  <c r="U363" i="11"/>
  <c r="S363" i="11"/>
  <c r="R363" i="11"/>
  <c r="Q363" i="11"/>
  <c r="T363" i="11" s="1"/>
  <c r="U362" i="11"/>
  <c r="T362" i="11"/>
  <c r="N362" i="11"/>
  <c r="N360" i="11" s="1"/>
  <c r="M362" i="11"/>
  <c r="M360" i="11" s="1"/>
  <c r="L362" i="11"/>
  <c r="U361" i="11"/>
  <c r="T361" i="11"/>
  <c r="P361" i="11"/>
  <c r="O361" i="11"/>
  <c r="U360" i="11"/>
  <c r="T360" i="11"/>
  <c r="S360" i="11"/>
  <c r="R360" i="11"/>
  <c r="Q360" i="11"/>
  <c r="S359" i="11"/>
  <c r="S357" i="11" s="1"/>
  <c r="R359" i="11"/>
  <c r="U359" i="11" s="1"/>
  <c r="Q359" i="11"/>
  <c r="T359" i="11" s="1"/>
  <c r="U358" i="11"/>
  <c r="S358" i="11"/>
  <c r="R358" i="11"/>
  <c r="Q358" i="11"/>
  <c r="Q357" i="11" s="1"/>
  <c r="T357" i="11" s="1"/>
  <c r="P358" i="11"/>
  <c r="O358" i="11"/>
  <c r="N358" i="11"/>
  <c r="M358" i="11"/>
  <c r="L358" i="11"/>
  <c r="R357" i="11"/>
  <c r="U357" i="11" s="1"/>
  <c r="D355" i="11"/>
  <c r="J354" i="11"/>
  <c r="J353" i="11"/>
  <c r="D351" i="11"/>
  <c r="J350" i="11"/>
  <c r="J349" i="11"/>
  <c r="J348" i="11"/>
  <c r="J347" i="11"/>
  <c r="I347" i="11"/>
  <c r="J345" i="11"/>
  <c r="I345" i="11"/>
  <c r="U342" i="11"/>
  <c r="T342" i="11"/>
  <c r="N342" i="11"/>
  <c r="N340" i="11" s="1"/>
  <c r="M342" i="11"/>
  <c r="L342" i="11"/>
  <c r="U341" i="11"/>
  <c r="T341" i="11"/>
  <c r="P341" i="11"/>
  <c r="O341" i="11"/>
  <c r="U340" i="11"/>
  <c r="S340" i="11"/>
  <c r="R340" i="11"/>
  <c r="Q340" i="11"/>
  <c r="T340" i="11" s="1"/>
  <c r="U339" i="11"/>
  <c r="T339" i="11"/>
  <c r="N339" i="11"/>
  <c r="N337" i="11" s="1"/>
  <c r="M339" i="11"/>
  <c r="M337" i="11" s="1"/>
  <c r="L339" i="11"/>
  <c r="L337" i="11" s="1"/>
  <c r="U338" i="11"/>
  <c r="T338" i="11"/>
  <c r="P338" i="11"/>
  <c r="O338" i="11"/>
  <c r="T337" i="11"/>
  <c r="S337" i="11"/>
  <c r="R337" i="11"/>
  <c r="U337" i="11" s="1"/>
  <c r="Q337" i="11"/>
  <c r="T336" i="11"/>
  <c r="S336" i="11"/>
  <c r="R336" i="11"/>
  <c r="U336" i="11" s="1"/>
  <c r="Q336" i="11"/>
  <c r="S335" i="11"/>
  <c r="R335" i="11"/>
  <c r="U335" i="11" s="1"/>
  <c r="Q335" i="11"/>
  <c r="P335" i="11"/>
  <c r="N335" i="11"/>
  <c r="M335" i="11"/>
  <c r="L335" i="11"/>
  <c r="O335" i="11" s="1"/>
  <c r="R334" i="11"/>
  <c r="U334" i="11" s="1"/>
  <c r="I331" i="11"/>
  <c r="I320" i="11" s="1"/>
  <c r="K320" i="11" s="1"/>
  <c r="U329" i="11"/>
  <c r="T329" i="11"/>
  <c r="N329" i="11"/>
  <c r="M329" i="11"/>
  <c r="L329" i="11"/>
  <c r="U328" i="11"/>
  <c r="T328" i="11"/>
  <c r="P328" i="11"/>
  <c r="O328" i="11"/>
  <c r="S327" i="11"/>
  <c r="R327" i="11"/>
  <c r="U327" i="11" s="1"/>
  <c r="Q327" i="11"/>
  <c r="T327" i="11" s="1"/>
  <c r="U326" i="11"/>
  <c r="T326" i="11"/>
  <c r="N326" i="11"/>
  <c r="N324" i="11" s="1"/>
  <c r="M326" i="11"/>
  <c r="P326" i="11" s="1"/>
  <c r="L326" i="11"/>
  <c r="L324" i="11" s="1"/>
  <c r="O324" i="11" s="1"/>
  <c r="U325" i="11"/>
  <c r="T325" i="11"/>
  <c r="P325" i="11"/>
  <c r="O325" i="11"/>
  <c r="U324" i="11"/>
  <c r="S324" i="11"/>
  <c r="R324" i="11"/>
  <c r="Q324" i="11"/>
  <c r="T324" i="11" s="1"/>
  <c r="U323" i="11"/>
  <c r="S323" i="11"/>
  <c r="R323" i="11"/>
  <c r="Q323" i="11"/>
  <c r="T323" i="11" s="1"/>
  <c r="U322" i="11"/>
  <c r="S322" i="11"/>
  <c r="S321" i="11" s="1"/>
  <c r="R322" i="11"/>
  <c r="R321" i="11" s="1"/>
  <c r="U321" i="11" s="1"/>
  <c r="Q322" i="11"/>
  <c r="T322" i="11" s="1"/>
  <c r="O322" i="11"/>
  <c r="N322" i="11"/>
  <c r="M322" i="11"/>
  <c r="L322" i="11"/>
  <c r="Q321" i="11"/>
  <c r="T321" i="11" s="1"/>
  <c r="J320" i="11"/>
  <c r="I315" i="11"/>
  <c r="I303" i="11" s="1"/>
  <c r="U312" i="11"/>
  <c r="T312" i="11"/>
  <c r="N312" i="11"/>
  <c r="N310" i="11" s="1"/>
  <c r="M312" i="11"/>
  <c r="L312" i="11"/>
  <c r="O312" i="11" s="1"/>
  <c r="U311" i="11"/>
  <c r="T311" i="11"/>
  <c r="P311" i="11"/>
  <c r="O311" i="11"/>
  <c r="U310" i="11"/>
  <c r="S310" i="11"/>
  <c r="R310" i="11"/>
  <c r="Q310" i="11"/>
  <c r="T310" i="11" s="1"/>
  <c r="S309" i="11"/>
  <c r="R309" i="11"/>
  <c r="R307" i="11" s="1"/>
  <c r="Q309" i="11"/>
  <c r="Q307" i="11" s="1"/>
  <c r="N309" i="11"/>
  <c r="N307" i="11" s="1"/>
  <c r="M309" i="11"/>
  <c r="P309" i="11" s="1"/>
  <c r="L309" i="11"/>
  <c r="O309" i="11" s="1"/>
  <c r="U308" i="11"/>
  <c r="T308" i="11"/>
  <c r="P308" i="11"/>
  <c r="O308" i="11"/>
  <c r="U305" i="11"/>
  <c r="S305" i="11"/>
  <c r="R305" i="11"/>
  <c r="Q305" i="11"/>
  <c r="T305" i="11" s="1"/>
  <c r="N305" i="11"/>
  <c r="M305" i="11"/>
  <c r="P305" i="11" s="1"/>
  <c r="L305" i="11"/>
  <c r="J303" i="11"/>
  <c r="I297" i="11"/>
  <c r="K297" i="11" s="1"/>
  <c r="I296" i="11"/>
  <c r="K296" i="11" s="1"/>
  <c r="J294" i="11"/>
  <c r="I294" i="11"/>
  <c r="K294" i="11" s="1"/>
  <c r="I293" i="11"/>
  <c r="K293" i="11" s="1"/>
  <c r="U291" i="11"/>
  <c r="T291" i="11"/>
  <c r="N291" i="11"/>
  <c r="N289" i="11" s="1"/>
  <c r="M291" i="11"/>
  <c r="L291" i="11"/>
  <c r="O291" i="11" s="1"/>
  <c r="U290" i="11"/>
  <c r="T290" i="11"/>
  <c r="P290" i="11"/>
  <c r="O290" i="11"/>
  <c r="T289" i="11"/>
  <c r="S289" i="11"/>
  <c r="R289" i="11"/>
  <c r="U289" i="11" s="1"/>
  <c r="Q289" i="11"/>
  <c r="U288" i="11"/>
  <c r="T288" i="11"/>
  <c r="N288" i="11"/>
  <c r="N286" i="11" s="1"/>
  <c r="M288" i="11"/>
  <c r="P288" i="11" s="1"/>
  <c r="L288" i="11"/>
  <c r="L286" i="11" s="1"/>
  <c r="O286" i="11" s="1"/>
  <c r="U287" i="11"/>
  <c r="T287" i="11"/>
  <c r="P287" i="11"/>
  <c r="O287" i="11"/>
  <c r="U286" i="11"/>
  <c r="S286" i="11"/>
  <c r="R286" i="11"/>
  <c r="Q286" i="11"/>
  <c r="T286" i="11" s="1"/>
  <c r="U285" i="11"/>
  <c r="S285" i="11"/>
  <c r="R285" i="11"/>
  <c r="Q285" i="11"/>
  <c r="T285" i="11" s="1"/>
  <c r="S284" i="11"/>
  <c r="R284" i="11"/>
  <c r="R283" i="11" s="1"/>
  <c r="U283" i="11" s="1"/>
  <c r="Q284" i="11"/>
  <c r="T284" i="11" s="1"/>
  <c r="O284" i="11"/>
  <c r="N284" i="11"/>
  <c r="M284" i="11"/>
  <c r="P284" i="11" s="1"/>
  <c r="L284" i="11"/>
  <c r="S283" i="11"/>
  <c r="J282" i="11"/>
  <c r="J281" i="11"/>
  <c r="I277" i="11"/>
  <c r="U275" i="11"/>
  <c r="T275" i="11"/>
  <c r="N275" i="11"/>
  <c r="N273" i="11" s="1"/>
  <c r="M275" i="11"/>
  <c r="M273" i="11" s="1"/>
  <c r="P273" i="11" s="1"/>
  <c r="L275" i="11"/>
  <c r="U274" i="11"/>
  <c r="T274" i="11"/>
  <c r="P274" i="11"/>
  <c r="O274" i="11"/>
  <c r="T273" i="11"/>
  <c r="S273" i="11"/>
  <c r="R273" i="11"/>
  <c r="U273" i="11" s="1"/>
  <c r="Q273" i="11"/>
  <c r="S272" i="11"/>
  <c r="S269" i="11" s="1"/>
  <c r="R272" i="11"/>
  <c r="Q272" i="11"/>
  <c r="N272" i="11"/>
  <c r="N270" i="11" s="1"/>
  <c r="M272" i="11"/>
  <c r="L272" i="11"/>
  <c r="O272" i="11" s="1"/>
  <c r="U271" i="11"/>
  <c r="T271" i="11"/>
  <c r="P271" i="11"/>
  <c r="O271" i="11"/>
  <c r="T268" i="11"/>
  <c r="S268" i="11"/>
  <c r="R268" i="11"/>
  <c r="U268" i="11" s="1"/>
  <c r="Q268" i="11"/>
  <c r="P268" i="11"/>
  <c r="N268" i="11"/>
  <c r="M268" i="11"/>
  <c r="L268" i="11"/>
  <c r="O268" i="11" s="1"/>
  <c r="J266" i="11"/>
  <c r="K264" i="11"/>
  <c r="K263" i="11"/>
  <c r="I261" i="11"/>
  <c r="L259" i="11"/>
  <c r="L258" i="11"/>
  <c r="L257" i="11"/>
  <c r="L256" i="11"/>
  <c r="P255" i="11"/>
  <c r="N255" i="11"/>
  <c r="J254" i="11"/>
  <c r="K253" i="11"/>
  <c r="K252" i="11"/>
  <c r="I250" i="11"/>
  <c r="K250" i="11" s="1"/>
  <c r="L248" i="11"/>
  <c r="L247" i="11"/>
  <c r="L246" i="11"/>
  <c r="L245" i="11"/>
  <c r="P244" i="11"/>
  <c r="N244" i="11"/>
  <c r="J243" i="11"/>
  <c r="J242" i="11"/>
  <c r="I242" i="11"/>
  <c r="K242" i="11" s="1"/>
  <c r="J241" i="11"/>
  <c r="I241" i="11"/>
  <c r="K241" i="11" s="1"/>
  <c r="J239" i="11"/>
  <c r="N237" i="11"/>
  <c r="N236" i="11"/>
  <c r="N235" i="11"/>
  <c r="N234" i="11"/>
  <c r="N233" i="11"/>
  <c r="J232" i="11"/>
  <c r="J186" i="11" s="1"/>
  <c r="I231" i="11"/>
  <c r="K231" i="11" s="1"/>
  <c r="I230" i="11"/>
  <c r="I229" i="11"/>
  <c r="K229" i="11" s="1"/>
  <c r="L226" i="11"/>
  <c r="L225" i="11"/>
  <c r="L224" i="11"/>
  <c r="P223" i="11"/>
  <c r="N223" i="11"/>
  <c r="J222" i="11"/>
  <c r="I221" i="11"/>
  <c r="I214" i="11" s="1"/>
  <c r="K214" i="11" s="1"/>
  <c r="I220" i="11"/>
  <c r="K220" i="11" s="1"/>
  <c r="L218" i="11"/>
  <c r="L217" i="11"/>
  <c r="L216" i="11"/>
  <c r="P215" i="11"/>
  <c r="N215" i="11"/>
  <c r="J214" i="11"/>
  <c r="I213" i="11"/>
  <c r="K213" i="11" s="1"/>
  <c r="I212" i="11"/>
  <c r="K212" i="11" s="1"/>
  <c r="I210" i="11"/>
  <c r="K210" i="11" s="1"/>
  <c r="L208" i="11"/>
  <c r="L207" i="11"/>
  <c r="L206" i="11"/>
  <c r="L205" i="11"/>
  <c r="P204" i="11"/>
  <c r="N204" i="11"/>
  <c r="J203" i="11"/>
  <c r="J200" i="11"/>
  <c r="I199" i="11"/>
  <c r="K199" i="11" s="1"/>
  <c r="P197" i="11"/>
  <c r="L197" i="11"/>
  <c r="O197" i="11" s="1"/>
  <c r="J196" i="11"/>
  <c r="U195" i="11"/>
  <c r="T195" i="11"/>
  <c r="N195" i="11"/>
  <c r="N193" i="11" s="1"/>
  <c r="M195" i="11"/>
  <c r="L195" i="11"/>
  <c r="O195" i="11" s="1"/>
  <c r="U194" i="11"/>
  <c r="T194" i="11"/>
  <c r="P194" i="11"/>
  <c r="O194" i="11"/>
  <c r="U193" i="11"/>
  <c r="T193" i="11"/>
  <c r="S193" i="11"/>
  <c r="R193" i="11"/>
  <c r="Q193" i="11"/>
  <c r="S192" i="11"/>
  <c r="R192" i="11"/>
  <c r="R189" i="11" s="1"/>
  <c r="R187" i="11" s="1"/>
  <c r="Q192" i="11"/>
  <c r="Q189" i="11" s="1"/>
  <c r="N192" i="11"/>
  <c r="M192" i="11"/>
  <c r="M190" i="11" s="1"/>
  <c r="L192" i="11"/>
  <c r="U191" i="11"/>
  <c r="T191" i="11"/>
  <c r="P191" i="11"/>
  <c r="O191" i="11"/>
  <c r="S188" i="11"/>
  <c r="R188" i="11"/>
  <c r="U188" i="11" s="1"/>
  <c r="Q188" i="11"/>
  <c r="P188" i="11"/>
  <c r="N188" i="11"/>
  <c r="M188" i="11"/>
  <c r="L188" i="11"/>
  <c r="O188" i="11" s="1"/>
  <c r="K185" i="11"/>
  <c r="I184" i="11"/>
  <c r="U182" i="11"/>
  <c r="T182" i="11"/>
  <c r="N182" i="11"/>
  <c r="N180" i="11" s="1"/>
  <c r="M182" i="11"/>
  <c r="L182" i="11"/>
  <c r="O182" i="11" s="1"/>
  <c r="U181" i="11"/>
  <c r="T181" i="11"/>
  <c r="P181" i="11"/>
  <c r="O181" i="11"/>
  <c r="S180" i="11"/>
  <c r="R180" i="11"/>
  <c r="U180" i="11" s="1"/>
  <c r="Q180" i="11"/>
  <c r="T180" i="11" s="1"/>
  <c r="S179" i="11"/>
  <c r="R179" i="11"/>
  <c r="U179" i="11" s="1"/>
  <c r="Q179" i="11"/>
  <c r="T179" i="11" s="1"/>
  <c r="N179" i="11"/>
  <c r="M179" i="11"/>
  <c r="L179" i="11"/>
  <c r="L177" i="11" s="1"/>
  <c r="U178" i="11"/>
  <c r="T178" i="11"/>
  <c r="P178" i="11"/>
  <c r="O178" i="11"/>
  <c r="U175" i="11"/>
  <c r="T175" i="11"/>
  <c r="S175" i="11"/>
  <c r="R175" i="11"/>
  <c r="Q175" i="11"/>
  <c r="O175" i="11"/>
  <c r="N175" i="11"/>
  <c r="M175" i="11"/>
  <c r="P175" i="11" s="1"/>
  <c r="L175" i="11"/>
  <c r="J173" i="11"/>
  <c r="I168" i="11"/>
  <c r="I157" i="11" s="1"/>
  <c r="K157" i="11" s="1"/>
  <c r="U166" i="11"/>
  <c r="T166" i="11"/>
  <c r="N166" i="11"/>
  <c r="N164" i="11" s="1"/>
  <c r="M166" i="11"/>
  <c r="M164" i="11" s="1"/>
  <c r="P164" i="11" s="1"/>
  <c r="L166" i="11"/>
  <c r="O166" i="11" s="1"/>
  <c r="U165" i="11"/>
  <c r="T165" i="11"/>
  <c r="P165" i="11"/>
  <c r="O165" i="11"/>
  <c r="S164" i="11"/>
  <c r="R164" i="11"/>
  <c r="U164" i="11" s="1"/>
  <c r="Q164" i="11"/>
  <c r="T164" i="11" s="1"/>
  <c r="S163" i="11"/>
  <c r="S161" i="11" s="1"/>
  <c r="R163" i="11"/>
  <c r="U163" i="11" s="1"/>
  <c r="Q161" i="11"/>
  <c r="T161" i="11" s="1"/>
  <c r="N163" i="11"/>
  <c r="M163" i="11"/>
  <c r="M161" i="11" s="1"/>
  <c r="L163" i="11"/>
  <c r="U162" i="11"/>
  <c r="T162" i="11"/>
  <c r="P162" i="11"/>
  <c r="O162" i="11"/>
  <c r="S159" i="11"/>
  <c r="R159" i="11"/>
  <c r="U159" i="11" s="1"/>
  <c r="Q159" i="11"/>
  <c r="T159" i="11" s="1"/>
  <c r="N159" i="11"/>
  <c r="M159" i="11"/>
  <c r="P159" i="11" s="1"/>
  <c r="L159" i="11"/>
  <c r="O159" i="11" s="1"/>
  <c r="J157" i="11"/>
  <c r="I155" i="11"/>
  <c r="I154" i="11"/>
  <c r="I139" i="11" s="1"/>
  <c r="K139" i="11" s="1"/>
  <c r="I153" i="11"/>
  <c r="I152" i="11"/>
  <c r="K152" i="11" s="1"/>
  <c r="I151" i="11"/>
  <c r="K151" i="11" s="1"/>
  <c r="U148" i="11"/>
  <c r="T148" i="11"/>
  <c r="N148" i="11"/>
  <c r="N146" i="11" s="1"/>
  <c r="M148" i="11"/>
  <c r="L148" i="11"/>
  <c r="O148" i="11" s="1"/>
  <c r="U147" i="11"/>
  <c r="T147" i="11"/>
  <c r="P147" i="11"/>
  <c r="O147" i="11"/>
  <c r="U146" i="11"/>
  <c r="S146" i="11"/>
  <c r="R146" i="11"/>
  <c r="Q146" i="11"/>
  <c r="T146" i="11" s="1"/>
  <c r="S145" i="11"/>
  <c r="S142" i="11" s="1"/>
  <c r="R145" i="11"/>
  <c r="R142" i="11" s="1"/>
  <c r="U142" i="11" s="1"/>
  <c r="Q145" i="11"/>
  <c r="T145" i="11" s="1"/>
  <c r="N145" i="11"/>
  <c r="N143" i="11" s="1"/>
  <c r="M145" i="11"/>
  <c r="L145" i="11"/>
  <c r="U144" i="11"/>
  <c r="T144" i="11"/>
  <c r="P144" i="11"/>
  <c r="O144" i="11"/>
  <c r="U141" i="11"/>
  <c r="S141" i="11"/>
  <c r="R141" i="11"/>
  <c r="Q141" i="11"/>
  <c r="T141" i="11" s="1"/>
  <c r="N141" i="11"/>
  <c r="M141" i="11"/>
  <c r="P141" i="11" s="1"/>
  <c r="L141" i="11"/>
  <c r="J139" i="11"/>
  <c r="J138" i="11"/>
  <c r="J137" i="11"/>
  <c r="I131" i="11"/>
  <c r="K131" i="11" s="1"/>
  <c r="I130" i="11"/>
  <c r="K130" i="11" s="1"/>
  <c r="I129" i="11"/>
  <c r="K129" i="11" s="1"/>
  <c r="I128" i="11"/>
  <c r="K128" i="11" s="1"/>
  <c r="U126" i="11"/>
  <c r="T126" i="11"/>
  <c r="N126" i="11"/>
  <c r="N124" i="11" s="1"/>
  <c r="M126" i="11"/>
  <c r="P126" i="11" s="1"/>
  <c r="L126" i="11"/>
  <c r="U125" i="11"/>
  <c r="T125" i="11"/>
  <c r="P125" i="11"/>
  <c r="O125" i="11"/>
  <c r="U124" i="11"/>
  <c r="S124" i="11"/>
  <c r="R124" i="11"/>
  <c r="Q124" i="11"/>
  <c r="T124" i="11" s="1"/>
  <c r="S123" i="11"/>
  <c r="R123" i="11"/>
  <c r="R121" i="11" s="1"/>
  <c r="Q123" i="11"/>
  <c r="Q121" i="11" s="1"/>
  <c r="N123" i="11"/>
  <c r="N121" i="11" s="1"/>
  <c r="M123" i="11"/>
  <c r="L123" i="11"/>
  <c r="U122" i="11"/>
  <c r="T122" i="11"/>
  <c r="P122" i="11"/>
  <c r="O122" i="11"/>
  <c r="U119" i="11"/>
  <c r="T119" i="11"/>
  <c r="S119" i="11"/>
  <c r="R119" i="11"/>
  <c r="Q119" i="11"/>
  <c r="O119" i="11"/>
  <c r="N119" i="11"/>
  <c r="M119" i="11"/>
  <c r="P119" i="11" s="1"/>
  <c r="L119" i="11"/>
  <c r="J117" i="11"/>
  <c r="I115" i="11"/>
  <c r="K115" i="11" s="1"/>
  <c r="I114" i="11"/>
  <c r="K114" i="11" s="1"/>
  <c r="I110" i="11"/>
  <c r="K110" i="11" s="1"/>
  <c r="I109" i="11"/>
  <c r="I93" i="11" s="1"/>
  <c r="U103" i="11"/>
  <c r="T103" i="11"/>
  <c r="N103" i="11"/>
  <c r="N101" i="11" s="1"/>
  <c r="M103" i="11"/>
  <c r="L103" i="11"/>
  <c r="L101" i="11" s="1"/>
  <c r="O101" i="11" s="1"/>
  <c r="U102" i="11"/>
  <c r="T102" i="11"/>
  <c r="P102" i="11"/>
  <c r="O102" i="11"/>
  <c r="U101" i="11"/>
  <c r="S101" i="11"/>
  <c r="R101" i="11"/>
  <c r="Q101" i="11"/>
  <c r="T101" i="11" s="1"/>
  <c r="S100" i="11"/>
  <c r="S97" i="11" s="1"/>
  <c r="R100" i="11"/>
  <c r="Q100" i="11"/>
  <c r="Q97" i="11" s="1"/>
  <c r="Q95" i="11" s="1"/>
  <c r="N100" i="11"/>
  <c r="N98" i="11" s="1"/>
  <c r="M100" i="11"/>
  <c r="L100" i="11"/>
  <c r="L98" i="11" s="1"/>
  <c r="O98" i="11" s="1"/>
  <c r="U99" i="11"/>
  <c r="T99" i="11"/>
  <c r="P99" i="11"/>
  <c r="O99" i="11"/>
  <c r="U96" i="11"/>
  <c r="S96" i="11"/>
  <c r="R96" i="11"/>
  <c r="Q96" i="11"/>
  <c r="T96" i="11" s="1"/>
  <c r="N96" i="11"/>
  <c r="M96" i="11"/>
  <c r="L96" i="11"/>
  <c r="O96" i="11" s="1"/>
  <c r="J94" i="11"/>
  <c r="J93" i="11"/>
  <c r="I91" i="11"/>
  <c r="K91" i="11" s="1"/>
  <c r="I90" i="11"/>
  <c r="I89" i="11"/>
  <c r="K89" i="11" s="1"/>
  <c r="I88" i="11"/>
  <c r="K88" i="11" s="1"/>
  <c r="I87" i="11"/>
  <c r="K87" i="11" s="1"/>
  <c r="I86" i="11"/>
  <c r="K86" i="11" s="1"/>
  <c r="I85" i="11"/>
  <c r="K85" i="11" s="1"/>
  <c r="J84" i="11"/>
  <c r="J72" i="11" s="1"/>
  <c r="J83" i="11"/>
  <c r="J71" i="11" s="1"/>
  <c r="U81" i="11"/>
  <c r="T81" i="11"/>
  <c r="N81" i="11"/>
  <c r="N79" i="11" s="1"/>
  <c r="M81" i="11"/>
  <c r="L81" i="11"/>
  <c r="O81" i="11" s="1"/>
  <c r="U80" i="11"/>
  <c r="T80" i="11"/>
  <c r="P80" i="11"/>
  <c r="O80" i="11"/>
  <c r="S79" i="11"/>
  <c r="R79" i="11"/>
  <c r="U79" i="11" s="1"/>
  <c r="Q79" i="11"/>
  <c r="T79" i="11" s="1"/>
  <c r="S78" i="11"/>
  <c r="S76" i="11" s="1"/>
  <c r="R78" i="11"/>
  <c r="R75" i="11" s="1"/>
  <c r="U75" i="11" s="1"/>
  <c r="Q75" i="11"/>
  <c r="T75" i="11" s="1"/>
  <c r="N78" i="11"/>
  <c r="N76" i="11" s="1"/>
  <c r="M78" i="11"/>
  <c r="L78" i="11"/>
  <c r="U77" i="11"/>
  <c r="T77" i="11"/>
  <c r="P77" i="11"/>
  <c r="O77" i="11"/>
  <c r="S74" i="11"/>
  <c r="R74" i="11"/>
  <c r="U74" i="11" s="1"/>
  <c r="Q74" i="11"/>
  <c r="T74" i="11" s="1"/>
  <c r="N74" i="11"/>
  <c r="M74" i="11"/>
  <c r="P74" i="11" s="1"/>
  <c r="L74" i="11"/>
  <c r="O74" i="11" s="1"/>
  <c r="U68" i="11"/>
  <c r="T68" i="11"/>
  <c r="N68" i="11"/>
  <c r="N66" i="11" s="1"/>
  <c r="M68" i="11"/>
  <c r="M66" i="11" s="1"/>
  <c r="P66" i="11" s="1"/>
  <c r="L68" i="11"/>
  <c r="U67" i="11"/>
  <c r="T67" i="11"/>
  <c r="P67" i="11"/>
  <c r="O67" i="11"/>
  <c r="U66" i="11"/>
  <c r="T66" i="11"/>
  <c r="S66" i="11"/>
  <c r="R66" i="11"/>
  <c r="Q66" i="11"/>
  <c r="U65" i="11"/>
  <c r="T65" i="11"/>
  <c r="N65" i="11"/>
  <c r="N63" i="11" s="1"/>
  <c r="M65" i="11"/>
  <c r="M63" i="11" s="1"/>
  <c r="L65" i="11"/>
  <c r="L63" i="11" s="1"/>
  <c r="U64" i="11"/>
  <c r="T64" i="11"/>
  <c r="P64" i="11"/>
  <c r="O64" i="11"/>
  <c r="S63" i="11"/>
  <c r="R63" i="11"/>
  <c r="U63" i="11" s="1"/>
  <c r="Q63" i="11"/>
  <c r="T63" i="11" s="1"/>
  <c r="U62" i="11"/>
  <c r="T62" i="11"/>
  <c r="S62" i="11"/>
  <c r="R62" i="11"/>
  <c r="Q62" i="11"/>
  <c r="T61" i="11"/>
  <c r="S61" i="11"/>
  <c r="R61" i="11"/>
  <c r="R60" i="11" s="1"/>
  <c r="U60" i="11" s="1"/>
  <c r="Q61" i="11"/>
  <c r="O61" i="11"/>
  <c r="N61" i="11"/>
  <c r="M61" i="11"/>
  <c r="P61" i="11" s="1"/>
  <c r="L61" i="11"/>
  <c r="S60" i="11"/>
  <c r="Q60" i="11"/>
  <c r="T60" i="11" s="1"/>
  <c r="U53" i="11"/>
  <c r="T53" i="11"/>
  <c r="N53" i="11"/>
  <c r="N51" i="11" s="1"/>
  <c r="M53" i="11"/>
  <c r="M51" i="11" s="1"/>
  <c r="P51" i="11" s="1"/>
  <c r="L53" i="11"/>
  <c r="U52" i="11"/>
  <c r="T52" i="11"/>
  <c r="P52" i="11"/>
  <c r="O52" i="11"/>
  <c r="U51" i="11"/>
  <c r="T51" i="11"/>
  <c r="S51" i="11"/>
  <c r="R51" i="11"/>
  <c r="Q51" i="11"/>
  <c r="U50" i="11"/>
  <c r="T50" i="11"/>
  <c r="N50" i="11"/>
  <c r="N48" i="11" s="1"/>
  <c r="M50" i="11"/>
  <c r="M48" i="11" s="1"/>
  <c r="L50" i="11"/>
  <c r="L48" i="11" s="1"/>
  <c r="U49" i="11"/>
  <c r="T49" i="11"/>
  <c r="P49" i="11"/>
  <c r="O49" i="11"/>
  <c r="S48" i="11"/>
  <c r="R48" i="11"/>
  <c r="U48" i="11" s="1"/>
  <c r="Q48" i="11"/>
  <c r="T48" i="11" s="1"/>
  <c r="U47" i="11"/>
  <c r="T47" i="11"/>
  <c r="S47" i="11"/>
  <c r="R47" i="11"/>
  <c r="Q47" i="11"/>
  <c r="U46" i="11"/>
  <c r="T46" i="11"/>
  <c r="S46" i="11"/>
  <c r="R46" i="11"/>
  <c r="R45" i="11" s="1"/>
  <c r="U45" i="11" s="1"/>
  <c r="Q46" i="11"/>
  <c r="O46" i="11"/>
  <c r="N46" i="11"/>
  <c r="M46" i="11"/>
  <c r="P46" i="11" s="1"/>
  <c r="L46" i="11"/>
  <c r="S45" i="11"/>
  <c r="Q45" i="11"/>
  <c r="T45" i="11" s="1"/>
  <c r="S27" i="11"/>
  <c r="R27" i="11"/>
  <c r="U27" i="11" s="1"/>
  <c r="Q27" i="11"/>
  <c r="Q25" i="11" s="1"/>
  <c r="T25" i="11" s="1"/>
  <c r="S26" i="11"/>
  <c r="R26" i="11"/>
  <c r="U26" i="11" s="1"/>
  <c r="Q26" i="11"/>
  <c r="T26" i="11" s="1"/>
  <c r="N26" i="11"/>
  <c r="M26" i="11"/>
  <c r="L26" i="11"/>
  <c r="O26" i="11" s="1"/>
  <c r="S23" i="11"/>
  <c r="R23" i="11"/>
  <c r="U23" i="11" s="1"/>
  <c r="Q23" i="11"/>
  <c r="Q20" i="11" s="1"/>
  <c r="N23" i="11"/>
  <c r="M23" i="11"/>
  <c r="M20" i="11" s="1"/>
  <c r="L23" i="11"/>
  <c r="O23" i="11" s="1"/>
  <c r="A788" i="10"/>
  <c r="J785" i="10"/>
  <c r="I785" i="10"/>
  <c r="J784" i="10"/>
  <c r="I784" i="10"/>
  <c r="J783" i="10"/>
  <c r="I783" i="10"/>
  <c r="J782" i="10"/>
  <c r="I782" i="10"/>
  <c r="J781" i="10"/>
  <c r="I781" i="10"/>
  <c r="J780" i="10"/>
  <c r="I780" i="10"/>
  <c r="J779" i="10"/>
  <c r="I779" i="10"/>
  <c r="J778" i="10"/>
  <c r="I778" i="10"/>
  <c r="H777" i="10"/>
  <c r="I776" i="10"/>
  <c r="I775" i="10"/>
  <c r="I774" i="10"/>
  <c r="I772" i="10"/>
  <c r="K772" i="10" s="1"/>
  <c r="I770" i="10"/>
  <c r="K770" i="10" s="1"/>
  <c r="U768" i="10"/>
  <c r="T768" i="10"/>
  <c r="P768" i="10"/>
  <c r="O768" i="10"/>
  <c r="U767" i="10"/>
  <c r="T767" i="10"/>
  <c r="P767" i="10"/>
  <c r="O767" i="10"/>
  <c r="U766" i="10"/>
  <c r="T766" i="10"/>
  <c r="S766" i="10"/>
  <c r="R766" i="10"/>
  <c r="Q766" i="10"/>
  <c r="P766" i="10"/>
  <c r="O766" i="10"/>
  <c r="N766" i="10"/>
  <c r="M766" i="10"/>
  <c r="L766" i="10"/>
  <c r="S765" i="10"/>
  <c r="R765" i="10"/>
  <c r="R763" i="10" s="1"/>
  <c r="Q765" i="10"/>
  <c r="Q763" i="10" s="1"/>
  <c r="P765" i="10"/>
  <c r="O765" i="10"/>
  <c r="U764" i="10"/>
  <c r="T764" i="10"/>
  <c r="P764" i="10"/>
  <c r="O764" i="10"/>
  <c r="N763" i="10"/>
  <c r="M763" i="10"/>
  <c r="P763" i="10" s="1"/>
  <c r="L763" i="10"/>
  <c r="O763" i="10" s="1"/>
  <c r="P762" i="10"/>
  <c r="O762" i="10"/>
  <c r="N762" i="10"/>
  <c r="M762" i="10"/>
  <c r="L762" i="10"/>
  <c r="U761" i="10"/>
  <c r="T761" i="10"/>
  <c r="S761" i="10"/>
  <c r="R761" i="10"/>
  <c r="Q761" i="10"/>
  <c r="O761" i="10"/>
  <c r="N761" i="10"/>
  <c r="N760" i="10" s="1"/>
  <c r="M761" i="10"/>
  <c r="P761" i="10" s="1"/>
  <c r="L761" i="10"/>
  <c r="M760" i="10"/>
  <c r="P760" i="10" s="1"/>
  <c r="L760" i="10"/>
  <c r="O760" i="10" s="1"/>
  <c r="J759" i="10"/>
  <c r="J758" i="10"/>
  <c r="I756" i="10"/>
  <c r="K756" i="10" s="1"/>
  <c r="I753" i="10"/>
  <c r="K753" i="10" s="1"/>
  <c r="I750" i="10"/>
  <c r="K750" i="10" s="1"/>
  <c r="I747" i="10"/>
  <c r="K747" i="10" s="1"/>
  <c r="I745" i="10"/>
  <c r="K745" i="10" s="1"/>
  <c r="I743" i="10"/>
  <c r="K743" i="10" s="1"/>
  <c r="I741" i="10"/>
  <c r="K741" i="10" s="1"/>
  <c r="U737" i="10"/>
  <c r="T737" i="10"/>
  <c r="P737" i="10"/>
  <c r="O737" i="10"/>
  <c r="U736" i="10"/>
  <c r="T736" i="10"/>
  <c r="P736" i="10"/>
  <c r="O736" i="10"/>
  <c r="U735" i="10"/>
  <c r="T735" i="10"/>
  <c r="S735" i="10"/>
  <c r="R735" i="10"/>
  <c r="Q735" i="10"/>
  <c r="O735" i="10"/>
  <c r="N735" i="10"/>
  <c r="M735" i="10"/>
  <c r="P735" i="10" s="1"/>
  <c r="L735" i="10"/>
  <c r="S734" i="10"/>
  <c r="R734" i="10"/>
  <c r="U734" i="10" s="1"/>
  <c r="Q734" i="10"/>
  <c r="Q732" i="10" s="1"/>
  <c r="T732" i="10" s="1"/>
  <c r="P734" i="10"/>
  <c r="O734" i="10"/>
  <c r="U733" i="10"/>
  <c r="T733" i="10"/>
  <c r="P733" i="10"/>
  <c r="O733" i="10"/>
  <c r="P732" i="10"/>
  <c r="N732" i="10"/>
  <c r="M732" i="10"/>
  <c r="L732" i="10"/>
  <c r="O732" i="10" s="1"/>
  <c r="P731" i="10"/>
  <c r="O731" i="10"/>
  <c r="N731" i="10"/>
  <c r="M731" i="10"/>
  <c r="L731" i="10"/>
  <c r="T730" i="10"/>
  <c r="S730" i="10"/>
  <c r="R730" i="10"/>
  <c r="U730" i="10" s="1"/>
  <c r="Q730" i="10"/>
  <c r="N730" i="10"/>
  <c r="N729" i="10" s="1"/>
  <c r="M730" i="10"/>
  <c r="P730" i="10" s="1"/>
  <c r="L730" i="10"/>
  <c r="O730" i="10" s="1"/>
  <c r="P729" i="10"/>
  <c r="M729" i="10"/>
  <c r="L729" i="10"/>
  <c r="O729" i="10" s="1"/>
  <c r="J728" i="10"/>
  <c r="I728" i="10"/>
  <c r="K728" i="10" s="1"/>
  <c r="J727" i="10"/>
  <c r="I727" i="10"/>
  <c r="K727" i="10" s="1"/>
  <c r="U723" i="10"/>
  <c r="T723" i="10"/>
  <c r="P723" i="10"/>
  <c r="O723" i="10"/>
  <c r="U722" i="10"/>
  <c r="T722" i="10"/>
  <c r="P722" i="10"/>
  <c r="O722" i="10"/>
  <c r="S721" i="10"/>
  <c r="R721" i="10"/>
  <c r="U721" i="10" s="1"/>
  <c r="Q721" i="10"/>
  <c r="T721" i="10" s="1"/>
  <c r="P721" i="10"/>
  <c r="N721" i="10"/>
  <c r="M721" i="10"/>
  <c r="L721" i="10"/>
  <c r="O721" i="10" s="1"/>
  <c r="U720" i="10"/>
  <c r="T720" i="10"/>
  <c r="P720" i="10"/>
  <c r="O720" i="10"/>
  <c r="U719" i="10"/>
  <c r="T719" i="10"/>
  <c r="P719" i="10"/>
  <c r="O719" i="10"/>
  <c r="T718" i="10"/>
  <c r="S718" i="10"/>
  <c r="R718" i="10"/>
  <c r="U718" i="10" s="1"/>
  <c r="Q718" i="10"/>
  <c r="P718" i="10"/>
  <c r="N718" i="10"/>
  <c r="M718" i="10"/>
  <c r="L718" i="10"/>
  <c r="O718" i="10" s="1"/>
  <c r="T717" i="10"/>
  <c r="S717" i="10"/>
  <c r="R717" i="10"/>
  <c r="U717" i="10" s="1"/>
  <c r="Q717" i="10"/>
  <c r="P717" i="10"/>
  <c r="N717" i="10"/>
  <c r="M717" i="10"/>
  <c r="L717" i="10"/>
  <c r="O717" i="10" s="1"/>
  <c r="T716" i="10"/>
  <c r="S716" i="10"/>
  <c r="R716" i="10"/>
  <c r="U716" i="10" s="1"/>
  <c r="Q716" i="10"/>
  <c r="Q715" i="10" s="1"/>
  <c r="T715" i="10" s="1"/>
  <c r="P716" i="10"/>
  <c r="N716" i="10"/>
  <c r="N715" i="10" s="1"/>
  <c r="M716" i="10"/>
  <c r="L716" i="10"/>
  <c r="O716" i="10" s="1"/>
  <c r="S715" i="10"/>
  <c r="R715" i="10"/>
  <c r="U715" i="10" s="1"/>
  <c r="P715" i="10"/>
  <c r="M715" i="10"/>
  <c r="L715" i="10"/>
  <c r="O715" i="10" s="1"/>
  <c r="K713" i="10"/>
  <c r="J713" i="10"/>
  <c r="K711" i="10"/>
  <c r="J711" i="10"/>
  <c r="J710" i="10"/>
  <c r="I710" i="10"/>
  <c r="K709" i="10"/>
  <c r="J709" i="10"/>
  <c r="J708" i="10"/>
  <c r="J690" i="10" s="1"/>
  <c r="I708" i="10"/>
  <c r="K707" i="10"/>
  <c r="J707" i="10"/>
  <c r="J706" i="10"/>
  <c r="I706" i="10"/>
  <c r="K705" i="10"/>
  <c r="J705" i="10"/>
  <c r="J704" i="10"/>
  <c r="I704" i="10"/>
  <c r="K703" i="10"/>
  <c r="I701" i="10"/>
  <c r="K701" i="10" s="1"/>
  <c r="U699" i="10"/>
  <c r="T699" i="10"/>
  <c r="P699" i="10"/>
  <c r="O699" i="10"/>
  <c r="U698" i="10"/>
  <c r="T698" i="10"/>
  <c r="P698" i="10"/>
  <c r="O698" i="10"/>
  <c r="U697" i="10"/>
  <c r="S697" i="10"/>
  <c r="R697" i="10"/>
  <c r="Q697" i="10"/>
  <c r="T697" i="10" s="1"/>
  <c r="O697" i="10"/>
  <c r="N697" i="10"/>
  <c r="M697" i="10"/>
  <c r="P697" i="10" s="1"/>
  <c r="L697" i="10"/>
  <c r="S696" i="10"/>
  <c r="S694" i="10" s="1"/>
  <c r="R696" i="10"/>
  <c r="Q696" i="10"/>
  <c r="Q694" i="10" s="1"/>
  <c r="P696" i="10"/>
  <c r="O696" i="10"/>
  <c r="U695" i="10"/>
  <c r="T695" i="10"/>
  <c r="P695" i="10"/>
  <c r="O695" i="10"/>
  <c r="P694" i="10"/>
  <c r="N694" i="10"/>
  <c r="M694" i="10"/>
  <c r="L694" i="10"/>
  <c r="O694" i="10" s="1"/>
  <c r="P693" i="10"/>
  <c r="N693" i="10"/>
  <c r="M693" i="10"/>
  <c r="L693" i="10"/>
  <c r="T692" i="10"/>
  <c r="S692" i="10"/>
  <c r="R692" i="10"/>
  <c r="U692" i="10" s="1"/>
  <c r="Q692" i="10"/>
  <c r="P692" i="10"/>
  <c r="N692" i="10"/>
  <c r="M692" i="10"/>
  <c r="L692" i="10"/>
  <c r="O692" i="10" s="1"/>
  <c r="P691" i="10"/>
  <c r="N691" i="10"/>
  <c r="M691" i="10"/>
  <c r="J683" i="10"/>
  <c r="I683" i="10"/>
  <c r="J682" i="10"/>
  <c r="I682" i="10"/>
  <c r="J681" i="10"/>
  <c r="J680" i="10"/>
  <c r="I680" i="10"/>
  <c r="J679" i="10"/>
  <c r="I679" i="10"/>
  <c r="J678" i="10"/>
  <c r="J677" i="10"/>
  <c r="I677" i="10"/>
  <c r="I676" i="10"/>
  <c r="I675" i="10"/>
  <c r="J674" i="10"/>
  <c r="I674" i="10"/>
  <c r="J673" i="10"/>
  <c r="J672" i="10"/>
  <c r="J662" i="10"/>
  <c r="I662" i="10"/>
  <c r="I661" i="10"/>
  <c r="I658" i="10"/>
  <c r="J655" i="10"/>
  <c r="I655" i="10"/>
  <c r="J654" i="10"/>
  <c r="I654" i="10"/>
  <c r="K654" i="10" s="1"/>
  <c r="J653" i="10"/>
  <c r="I653" i="10"/>
  <c r="K653" i="10" s="1"/>
  <c r="U651" i="10"/>
  <c r="T651" i="10"/>
  <c r="P651" i="10"/>
  <c r="O651" i="10"/>
  <c r="U650" i="10"/>
  <c r="T650" i="10"/>
  <c r="P650" i="10"/>
  <c r="O650" i="10"/>
  <c r="U649" i="10"/>
  <c r="S649" i="10"/>
  <c r="R649" i="10"/>
  <c r="Q649" i="10"/>
  <c r="T649" i="10" s="1"/>
  <c r="O649" i="10"/>
  <c r="N649" i="10"/>
  <c r="M649" i="10"/>
  <c r="P649" i="10" s="1"/>
  <c r="L649" i="10"/>
  <c r="S648" i="10"/>
  <c r="S646" i="10" s="1"/>
  <c r="R648" i="10"/>
  <c r="R646" i="10" s="1"/>
  <c r="Q648" i="10"/>
  <c r="Q646" i="10" s="1"/>
  <c r="P648" i="10"/>
  <c r="O648" i="10"/>
  <c r="U647" i="10"/>
  <c r="T647" i="10"/>
  <c r="P647" i="10"/>
  <c r="O647" i="10"/>
  <c r="P646" i="10"/>
  <c r="N646" i="10"/>
  <c r="M646" i="10"/>
  <c r="L646" i="10"/>
  <c r="O646" i="10" s="1"/>
  <c r="P645" i="10"/>
  <c r="N645" i="10"/>
  <c r="M645" i="10"/>
  <c r="L645" i="10"/>
  <c r="T644" i="10"/>
  <c r="S644" i="10"/>
  <c r="R644" i="10"/>
  <c r="U644" i="10" s="1"/>
  <c r="Q644" i="10"/>
  <c r="P644" i="10"/>
  <c r="N644" i="10"/>
  <c r="M644" i="10"/>
  <c r="M643" i="10" s="1"/>
  <c r="P643" i="10" s="1"/>
  <c r="L644" i="10"/>
  <c r="O644" i="10" s="1"/>
  <c r="N643" i="10"/>
  <c r="J637" i="10"/>
  <c r="J636" i="10" s="1"/>
  <c r="I636" i="10"/>
  <c r="K636" i="10" s="1"/>
  <c r="J633" i="10"/>
  <c r="J627" i="10" s="1"/>
  <c r="J616" i="10" s="1"/>
  <c r="I629" i="10"/>
  <c r="K629" i="10" s="1"/>
  <c r="I628" i="10"/>
  <c r="K628" i="10" s="1"/>
  <c r="I627" i="10"/>
  <c r="U625" i="10"/>
  <c r="T625" i="10"/>
  <c r="P625" i="10"/>
  <c r="O625" i="10"/>
  <c r="U624" i="10"/>
  <c r="T624" i="10"/>
  <c r="P624" i="10"/>
  <c r="O624" i="10"/>
  <c r="S623" i="10"/>
  <c r="R623" i="10"/>
  <c r="U623" i="10" s="1"/>
  <c r="Q623" i="10"/>
  <c r="T623" i="10" s="1"/>
  <c r="P623" i="10"/>
  <c r="N623" i="10"/>
  <c r="M623" i="10"/>
  <c r="L623" i="10"/>
  <c r="O623" i="10" s="1"/>
  <c r="S622" i="10"/>
  <c r="S620" i="10" s="1"/>
  <c r="R622" i="10"/>
  <c r="R620" i="10" s="1"/>
  <c r="Q622" i="10"/>
  <c r="Q620" i="10" s="1"/>
  <c r="P622" i="10"/>
  <c r="O622" i="10"/>
  <c r="U621" i="10"/>
  <c r="T621" i="10"/>
  <c r="P621" i="10"/>
  <c r="O621" i="10"/>
  <c r="O620" i="10"/>
  <c r="N620" i="10"/>
  <c r="M620" i="10"/>
  <c r="P620" i="10" s="1"/>
  <c r="L620" i="10"/>
  <c r="O619" i="10"/>
  <c r="N619" i="10"/>
  <c r="M619" i="10"/>
  <c r="L619" i="10"/>
  <c r="U618" i="10"/>
  <c r="S618" i="10"/>
  <c r="R618" i="10"/>
  <c r="Q618" i="10"/>
  <c r="O618" i="10"/>
  <c r="N618" i="10"/>
  <c r="N617" i="10" s="1"/>
  <c r="M618" i="10"/>
  <c r="P618" i="10" s="1"/>
  <c r="L618" i="10"/>
  <c r="O617" i="10"/>
  <c r="L617" i="10"/>
  <c r="U608" i="10"/>
  <c r="T608" i="10"/>
  <c r="P608" i="10"/>
  <c r="O608" i="10"/>
  <c r="U607" i="10"/>
  <c r="T607" i="10"/>
  <c r="P607" i="10"/>
  <c r="O607" i="10"/>
  <c r="S606" i="10"/>
  <c r="R606" i="10"/>
  <c r="U606" i="10" s="1"/>
  <c r="Q606" i="10"/>
  <c r="T606" i="10" s="1"/>
  <c r="N606" i="10"/>
  <c r="M606" i="10"/>
  <c r="P606" i="10" s="1"/>
  <c r="L606" i="10"/>
  <c r="O606" i="10" s="1"/>
  <c r="U605" i="10"/>
  <c r="T605" i="10"/>
  <c r="P605" i="10"/>
  <c r="O605" i="10"/>
  <c r="U604" i="10"/>
  <c r="T604" i="10"/>
  <c r="P604" i="10"/>
  <c r="O604" i="10"/>
  <c r="S603" i="10"/>
  <c r="R603" i="10"/>
  <c r="U603" i="10" s="1"/>
  <c r="Q603" i="10"/>
  <c r="T603" i="10" s="1"/>
  <c r="N603" i="10"/>
  <c r="M603" i="10"/>
  <c r="P603" i="10" s="1"/>
  <c r="L603" i="10"/>
  <c r="O603" i="10" s="1"/>
  <c r="S602" i="10"/>
  <c r="R602" i="10"/>
  <c r="U602" i="10" s="1"/>
  <c r="Q602" i="10"/>
  <c r="T602" i="10" s="1"/>
  <c r="N602" i="10"/>
  <c r="M602" i="10"/>
  <c r="L602" i="10"/>
  <c r="O602" i="10" s="1"/>
  <c r="T601" i="10"/>
  <c r="S601" i="10"/>
  <c r="R601" i="10"/>
  <c r="U601" i="10" s="1"/>
  <c r="Q601" i="10"/>
  <c r="N601" i="10"/>
  <c r="M601" i="10"/>
  <c r="P601" i="10" s="1"/>
  <c r="L601" i="10"/>
  <c r="O601" i="10" s="1"/>
  <c r="U585" i="10"/>
  <c r="T585" i="10"/>
  <c r="P585" i="10"/>
  <c r="O585" i="10"/>
  <c r="U584" i="10"/>
  <c r="T584" i="10"/>
  <c r="P584" i="10"/>
  <c r="O584" i="10"/>
  <c r="T583" i="10"/>
  <c r="S583" i="10"/>
  <c r="R583" i="10"/>
  <c r="U583" i="10" s="1"/>
  <c r="Q583" i="10"/>
  <c r="N583" i="10"/>
  <c r="M583" i="10"/>
  <c r="P583" i="10" s="1"/>
  <c r="L583" i="10"/>
  <c r="O583" i="10" s="1"/>
  <c r="U582" i="10"/>
  <c r="T582" i="10"/>
  <c r="P582" i="10"/>
  <c r="O582" i="10"/>
  <c r="U581" i="10"/>
  <c r="T581" i="10"/>
  <c r="P581" i="10"/>
  <c r="O581" i="10"/>
  <c r="S580" i="10"/>
  <c r="R580" i="10"/>
  <c r="U580" i="10" s="1"/>
  <c r="Q580" i="10"/>
  <c r="T580" i="10" s="1"/>
  <c r="N580" i="10"/>
  <c r="M580" i="10"/>
  <c r="P580" i="10" s="1"/>
  <c r="L580" i="10"/>
  <c r="O580" i="10" s="1"/>
  <c r="S579" i="10"/>
  <c r="R579" i="10"/>
  <c r="U579" i="10" s="1"/>
  <c r="Q579" i="10"/>
  <c r="T579" i="10" s="1"/>
  <c r="N579" i="10"/>
  <c r="M579" i="10"/>
  <c r="M577" i="10" s="1"/>
  <c r="P577" i="10" s="1"/>
  <c r="L579" i="10"/>
  <c r="O579" i="10" s="1"/>
  <c r="S578" i="10"/>
  <c r="R578" i="10"/>
  <c r="U578" i="10" s="1"/>
  <c r="Q578" i="10"/>
  <c r="P578" i="10"/>
  <c r="N578" i="10"/>
  <c r="M578" i="10"/>
  <c r="L578" i="10"/>
  <c r="O578" i="10" s="1"/>
  <c r="R577" i="10"/>
  <c r="U577" i="10" s="1"/>
  <c r="J576" i="10"/>
  <c r="I576" i="10"/>
  <c r="K576" i="10" s="1"/>
  <c r="U564" i="10"/>
  <c r="T564" i="10"/>
  <c r="P564" i="10"/>
  <c r="O564" i="10"/>
  <c r="U563" i="10"/>
  <c r="T563" i="10"/>
  <c r="P563" i="10"/>
  <c r="O563" i="10"/>
  <c r="S562" i="10"/>
  <c r="R562" i="10"/>
  <c r="U562" i="10" s="1"/>
  <c r="Q562" i="10"/>
  <c r="T562" i="10" s="1"/>
  <c r="O562" i="10"/>
  <c r="N562" i="10"/>
  <c r="M562" i="10"/>
  <c r="P562" i="10" s="1"/>
  <c r="L562" i="10"/>
  <c r="U561" i="10"/>
  <c r="T561" i="10"/>
  <c r="P561" i="10"/>
  <c r="O561" i="10"/>
  <c r="U560" i="10"/>
  <c r="T560" i="10"/>
  <c r="P560" i="10"/>
  <c r="O560" i="10"/>
  <c r="S559" i="10"/>
  <c r="R559" i="10"/>
  <c r="U559" i="10" s="1"/>
  <c r="Q559" i="10"/>
  <c r="T559" i="10" s="1"/>
  <c r="N559" i="10"/>
  <c r="M559" i="10"/>
  <c r="P559" i="10" s="1"/>
  <c r="L559" i="10"/>
  <c r="O559" i="10" s="1"/>
  <c r="S558" i="10"/>
  <c r="R558" i="10"/>
  <c r="R556" i="10" s="1"/>
  <c r="U556" i="10" s="1"/>
  <c r="Q558" i="10"/>
  <c r="T558" i="10" s="1"/>
  <c r="N558" i="10"/>
  <c r="M558" i="10"/>
  <c r="L558" i="10"/>
  <c r="O558" i="10" s="1"/>
  <c r="U557" i="10"/>
  <c r="S557" i="10"/>
  <c r="R557" i="10"/>
  <c r="Q557" i="10"/>
  <c r="N557" i="10"/>
  <c r="M557" i="10"/>
  <c r="P557" i="10" s="1"/>
  <c r="L557" i="10"/>
  <c r="O557" i="10" s="1"/>
  <c r="J555" i="10"/>
  <c r="I555" i="10"/>
  <c r="K555" i="10" s="1"/>
  <c r="U543" i="10"/>
  <c r="T543" i="10"/>
  <c r="P543" i="10"/>
  <c r="O543" i="10"/>
  <c r="U542" i="10"/>
  <c r="T542" i="10"/>
  <c r="P542" i="10"/>
  <c r="O542" i="10"/>
  <c r="S541" i="10"/>
  <c r="R541" i="10"/>
  <c r="U541" i="10" s="1"/>
  <c r="Q541" i="10"/>
  <c r="T541" i="10" s="1"/>
  <c r="N541" i="10"/>
  <c r="M541" i="10"/>
  <c r="P541" i="10" s="1"/>
  <c r="L541" i="10"/>
  <c r="O541" i="10" s="1"/>
  <c r="U540" i="10"/>
  <c r="T540" i="10"/>
  <c r="P540" i="10"/>
  <c r="O540" i="10"/>
  <c r="U539" i="10"/>
  <c r="T539" i="10"/>
  <c r="P539" i="10"/>
  <c r="O539" i="10"/>
  <c r="S538" i="10"/>
  <c r="R538" i="10"/>
  <c r="U538" i="10" s="1"/>
  <c r="Q538" i="10"/>
  <c r="T538" i="10" s="1"/>
  <c r="N538" i="10"/>
  <c r="M538" i="10"/>
  <c r="P538" i="10" s="1"/>
  <c r="L538" i="10"/>
  <c r="O538" i="10" s="1"/>
  <c r="S537" i="10"/>
  <c r="R537" i="10"/>
  <c r="U537" i="10" s="1"/>
  <c r="Q537" i="10"/>
  <c r="T537" i="10" s="1"/>
  <c r="N537" i="10"/>
  <c r="M537" i="10"/>
  <c r="L537" i="10"/>
  <c r="O537" i="10" s="1"/>
  <c r="S536" i="10"/>
  <c r="R536" i="10"/>
  <c r="U536" i="10" s="1"/>
  <c r="Q536" i="10"/>
  <c r="T536" i="10" s="1"/>
  <c r="N536" i="10"/>
  <c r="M536" i="10"/>
  <c r="P536" i="10" s="1"/>
  <c r="L536" i="10"/>
  <c r="O536" i="10" s="1"/>
  <c r="R535" i="10"/>
  <c r="U535" i="10" s="1"/>
  <c r="J534" i="10"/>
  <c r="I534" i="10"/>
  <c r="K534" i="10" s="1"/>
  <c r="K525" i="10"/>
  <c r="K524" i="10"/>
  <c r="U522" i="10"/>
  <c r="T522" i="10"/>
  <c r="N522" i="10"/>
  <c r="N520" i="10" s="1"/>
  <c r="M522" i="10"/>
  <c r="P522" i="10" s="1"/>
  <c r="L522" i="10"/>
  <c r="U521" i="10"/>
  <c r="T521" i="10"/>
  <c r="P521" i="10"/>
  <c r="O521" i="10"/>
  <c r="S520" i="10"/>
  <c r="R520" i="10"/>
  <c r="U520" i="10" s="1"/>
  <c r="Q520" i="10"/>
  <c r="T520" i="10" s="1"/>
  <c r="U519" i="10"/>
  <c r="T519" i="10"/>
  <c r="N519" i="10"/>
  <c r="N517" i="10" s="1"/>
  <c r="M519" i="10"/>
  <c r="L519" i="10"/>
  <c r="L517" i="10" s="1"/>
  <c r="O517" i="10" s="1"/>
  <c r="U518" i="10"/>
  <c r="T518" i="10"/>
  <c r="P518" i="10"/>
  <c r="O518" i="10"/>
  <c r="S517" i="10"/>
  <c r="R517" i="10"/>
  <c r="U517" i="10" s="1"/>
  <c r="Q517" i="10"/>
  <c r="T517" i="10" s="1"/>
  <c r="S516" i="10"/>
  <c r="R516" i="10"/>
  <c r="U516" i="10" s="1"/>
  <c r="Q516" i="10"/>
  <c r="T516" i="10" s="1"/>
  <c r="S515" i="10"/>
  <c r="R515" i="10"/>
  <c r="U515" i="10" s="1"/>
  <c r="Q515" i="10"/>
  <c r="T515" i="10" s="1"/>
  <c r="N515" i="10"/>
  <c r="M515" i="10"/>
  <c r="L515" i="10"/>
  <c r="O515" i="10" s="1"/>
  <c r="J513" i="10"/>
  <c r="I513" i="10"/>
  <c r="K513" i="10" s="1"/>
  <c r="I510" i="10"/>
  <c r="K510" i="10" s="1"/>
  <c r="K509" i="10"/>
  <c r="I508" i="10"/>
  <c r="K508" i="10" s="1"/>
  <c r="I507" i="10"/>
  <c r="K507" i="10" s="1"/>
  <c r="I506" i="10"/>
  <c r="K506" i="10" s="1"/>
  <c r="I505" i="10"/>
  <c r="K505" i="10" s="1"/>
  <c r="I504" i="10"/>
  <c r="K504" i="10" s="1"/>
  <c r="U502" i="10"/>
  <c r="T502" i="10"/>
  <c r="P502" i="10"/>
  <c r="O502" i="10"/>
  <c r="U501" i="10"/>
  <c r="T501" i="10"/>
  <c r="P501" i="10"/>
  <c r="O501" i="10"/>
  <c r="S500" i="10"/>
  <c r="R500" i="10"/>
  <c r="U500" i="10" s="1"/>
  <c r="Q500" i="10"/>
  <c r="T500" i="10" s="1"/>
  <c r="N500" i="10"/>
  <c r="M500" i="10"/>
  <c r="P500" i="10" s="1"/>
  <c r="L500" i="10"/>
  <c r="O500" i="10" s="1"/>
  <c r="S499" i="10"/>
  <c r="R499" i="10"/>
  <c r="R497" i="10" s="1"/>
  <c r="U497" i="10" s="1"/>
  <c r="Q499" i="10"/>
  <c r="Q497" i="10" s="1"/>
  <c r="T497" i="10" s="1"/>
  <c r="P499" i="10"/>
  <c r="O499" i="10"/>
  <c r="U498" i="10"/>
  <c r="T498" i="10"/>
  <c r="P498" i="10"/>
  <c r="O498" i="10"/>
  <c r="N497" i="10"/>
  <c r="M497" i="10"/>
  <c r="P497" i="10" s="1"/>
  <c r="L497" i="10"/>
  <c r="O497" i="10" s="1"/>
  <c r="O496" i="10"/>
  <c r="N496" i="10"/>
  <c r="M496" i="10"/>
  <c r="P496" i="10" s="1"/>
  <c r="L496" i="10"/>
  <c r="S495" i="10"/>
  <c r="R495" i="10"/>
  <c r="U495" i="10" s="1"/>
  <c r="Q495" i="10"/>
  <c r="T495" i="10" s="1"/>
  <c r="N495" i="10"/>
  <c r="M495" i="10"/>
  <c r="P495" i="10" s="1"/>
  <c r="L495" i="10"/>
  <c r="O495" i="10" s="1"/>
  <c r="M494" i="10"/>
  <c r="P494" i="10" s="1"/>
  <c r="J486" i="10"/>
  <c r="I486" i="10"/>
  <c r="K486" i="10" s="1"/>
  <c r="J485" i="10"/>
  <c r="I485" i="10"/>
  <c r="K485" i="10" s="1"/>
  <c r="J484" i="10"/>
  <c r="J483" i="10"/>
  <c r="K478" i="10"/>
  <c r="J478" i="10"/>
  <c r="K477" i="10"/>
  <c r="J477" i="10"/>
  <c r="K476" i="10"/>
  <c r="J476" i="10"/>
  <c r="J469" i="10"/>
  <c r="J468" i="10"/>
  <c r="J458" i="10" s="1"/>
  <c r="J457" i="10" s="1"/>
  <c r="J461" i="10"/>
  <c r="J460" i="10"/>
  <c r="J459" i="10"/>
  <c r="I459" i="10"/>
  <c r="K459" i="10" s="1"/>
  <c r="I458" i="10"/>
  <c r="I457" i="10" s="1"/>
  <c r="K457" i="10" s="1"/>
  <c r="J448" i="10"/>
  <c r="J442" i="10" s="1"/>
  <c r="J447" i="10"/>
  <c r="J441" i="10" s="1"/>
  <c r="J424" i="10" s="1"/>
  <c r="J413" i="10" s="1"/>
  <c r="I442" i="10"/>
  <c r="K442" i="10" s="1"/>
  <c r="I441" i="10"/>
  <c r="K441" i="10" s="1"/>
  <c r="J434" i="10"/>
  <c r="I434" i="10"/>
  <c r="K434" i="10" s="1"/>
  <c r="J433" i="10"/>
  <c r="I433" i="10"/>
  <c r="K433" i="10" s="1"/>
  <c r="J426" i="10"/>
  <c r="I426" i="10"/>
  <c r="K426" i="10" s="1"/>
  <c r="J425" i="10"/>
  <c r="I425" i="10"/>
  <c r="K425" i="10" s="1"/>
  <c r="U422" i="10"/>
  <c r="T422" i="10"/>
  <c r="P422" i="10"/>
  <c r="O422" i="10"/>
  <c r="U421" i="10"/>
  <c r="T421" i="10"/>
  <c r="P421" i="10"/>
  <c r="O421" i="10"/>
  <c r="S420" i="10"/>
  <c r="R420" i="10"/>
  <c r="U420" i="10" s="1"/>
  <c r="Q420" i="10"/>
  <c r="T420" i="10" s="1"/>
  <c r="N420" i="10"/>
  <c r="M420" i="10"/>
  <c r="P420" i="10" s="1"/>
  <c r="L420" i="10"/>
  <c r="O420" i="10" s="1"/>
  <c r="S419" i="10"/>
  <c r="S417" i="10" s="1"/>
  <c r="R419" i="10"/>
  <c r="U419" i="10" s="1"/>
  <c r="Q419" i="10"/>
  <c r="T419" i="10" s="1"/>
  <c r="P419" i="10"/>
  <c r="O419" i="10"/>
  <c r="U418" i="10"/>
  <c r="T418" i="10"/>
  <c r="P418" i="10"/>
  <c r="O418" i="10"/>
  <c r="N417" i="10"/>
  <c r="M417" i="10"/>
  <c r="P417" i="10" s="1"/>
  <c r="L417" i="10"/>
  <c r="O417" i="10" s="1"/>
  <c r="N416" i="10"/>
  <c r="M416" i="10"/>
  <c r="P416" i="10" s="1"/>
  <c r="L416" i="10"/>
  <c r="O416" i="10" s="1"/>
  <c r="S415" i="10"/>
  <c r="R415" i="10"/>
  <c r="U415" i="10" s="1"/>
  <c r="Q415" i="10"/>
  <c r="N415" i="10"/>
  <c r="N414" i="10" s="1"/>
  <c r="M415" i="10"/>
  <c r="P415" i="10" s="1"/>
  <c r="L415" i="10"/>
  <c r="O415" i="10" s="1"/>
  <c r="L414" i="10"/>
  <c r="O414" i="10" s="1"/>
  <c r="U401" i="10"/>
  <c r="T401" i="10"/>
  <c r="P401" i="10"/>
  <c r="O401" i="10"/>
  <c r="U400" i="10"/>
  <c r="T400" i="10"/>
  <c r="P400" i="10"/>
  <c r="O400" i="10"/>
  <c r="S399" i="10"/>
  <c r="R399" i="10"/>
  <c r="U399" i="10" s="1"/>
  <c r="Q399" i="10"/>
  <c r="T399" i="10" s="1"/>
  <c r="N399" i="10"/>
  <c r="M399" i="10"/>
  <c r="P399" i="10" s="1"/>
  <c r="L399" i="10"/>
  <c r="O399" i="10" s="1"/>
  <c r="U398" i="10"/>
  <c r="T398" i="10"/>
  <c r="P398" i="10"/>
  <c r="O398" i="10"/>
  <c r="U397" i="10"/>
  <c r="T397" i="10"/>
  <c r="P397" i="10"/>
  <c r="O397" i="10"/>
  <c r="S396" i="10"/>
  <c r="R396" i="10"/>
  <c r="U396" i="10" s="1"/>
  <c r="Q396" i="10"/>
  <c r="T396" i="10" s="1"/>
  <c r="N396" i="10"/>
  <c r="M396" i="10"/>
  <c r="P396" i="10" s="1"/>
  <c r="L396" i="10"/>
  <c r="O396" i="10" s="1"/>
  <c r="S395" i="10"/>
  <c r="R395" i="10"/>
  <c r="U395" i="10" s="1"/>
  <c r="Q395" i="10"/>
  <c r="T395" i="10" s="1"/>
  <c r="N395" i="10"/>
  <c r="M395" i="10"/>
  <c r="L395" i="10"/>
  <c r="O395" i="10" s="1"/>
  <c r="U394" i="10"/>
  <c r="T394" i="10"/>
  <c r="S394" i="10"/>
  <c r="R394" i="10"/>
  <c r="Q394" i="10"/>
  <c r="N394" i="10"/>
  <c r="M394" i="10"/>
  <c r="P394" i="10" s="1"/>
  <c r="L394" i="10"/>
  <c r="L393" i="10" s="1"/>
  <c r="O393" i="10" s="1"/>
  <c r="J392" i="10"/>
  <c r="I392" i="10"/>
  <c r="K392" i="10" s="1"/>
  <c r="K389" i="10"/>
  <c r="K388" i="10"/>
  <c r="I387" i="10"/>
  <c r="K387" i="10" s="1"/>
  <c r="I386" i="10"/>
  <c r="K386" i="10" s="1"/>
  <c r="U384" i="10"/>
  <c r="T384" i="10"/>
  <c r="P384" i="10"/>
  <c r="O384" i="10"/>
  <c r="U383" i="10"/>
  <c r="T383" i="10"/>
  <c r="P383" i="10"/>
  <c r="O383" i="10"/>
  <c r="S382" i="10"/>
  <c r="R382" i="10"/>
  <c r="U382" i="10" s="1"/>
  <c r="Q382" i="10"/>
  <c r="T382" i="10" s="1"/>
  <c r="N382" i="10"/>
  <c r="M382" i="10"/>
  <c r="P382" i="10" s="1"/>
  <c r="L382" i="10"/>
  <c r="O382" i="10" s="1"/>
  <c r="S381" i="10"/>
  <c r="R381" i="10"/>
  <c r="R378" i="10" s="1"/>
  <c r="Q379" i="10"/>
  <c r="T379" i="10" s="1"/>
  <c r="P381" i="10"/>
  <c r="O381" i="10"/>
  <c r="U380" i="10"/>
  <c r="T380" i="10"/>
  <c r="P380" i="10"/>
  <c r="O380" i="10"/>
  <c r="N379" i="10"/>
  <c r="M379" i="10"/>
  <c r="P379" i="10" s="1"/>
  <c r="L379" i="10"/>
  <c r="O379" i="10" s="1"/>
  <c r="P378" i="10"/>
  <c r="N378" i="10"/>
  <c r="M378" i="10"/>
  <c r="L378" i="10"/>
  <c r="O378" i="10" s="1"/>
  <c r="T377" i="10"/>
  <c r="S377" i="10"/>
  <c r="R377" i="10"/>
  <c r="U377" i="10" s="1"/>
  <c r="Q377" i="10"/>
  <c r="N377" i="10"/>
  <c r="M377" i="10"/>
  <c r="M376" i="10" s="1"/>
  <c r="P376" i="10" s="1"/>
  <c r="L377" i="10"/>
  <c r="O377" i="10" s="1"/>
  <c r="L376" i="10"/>
  <c r="O376" i="10" s="1"/>
  <c r="J375" i="10"/>
  <c r="D374" i="10"/>
  <c r="K373" i="10"/>
  <c r="J373" i="10"/>
  <c r="J372" i="10"/>
  <c r="J366" i="10" s="1"/>
  <c r="I372" i="10"/>
  <c r="K371" i="10"/>
  <c r="J371" i="10"/>
  <c r="J370" i="10"/>
  <c r="I370" i="10"/>
  <c r="K370" i="10" s="1"/>
  <c r="J369" i="10"/>
  <c r="I369" i="10"/>
  <c r="K369" i="10" s="1"/>
  <c r="K368" i="10"/>
  <c r="J368" i="10"/>
  <c r="U365" i="10"/>
  <c r="T365" i="10"/>
  <c r="N365" i="10"/>
  <c r="N363" i="10" s="1"/>
  <c r="M365" i="10"/>
  <c r="M363" i="10" s="1"/>
  <c r="P363" i="10" s="1"/>
  <c r="L365" i="10"/>
  <c r="U364" i="10"/>
  <c r="T364" i="10"/>
  <c r="P364" i="10"/>
  <c r="O364" i="10"/>
  <c r="U363" i="10"/>
  <c r="T363" i="10"/>
  <c r="S363" i="10"/>
  <c r="R363" i="10"/>
  <c r="Q363" i="10"/>
  <c r="U362" i="10"/>
  <c r="T362" i="10"/>
  <c r="N362" i="10"/>
  <c r="N360" i="10" s="1"/>
  <c r="M362" i="10"/>
  <c r="M360" i="10" s="1"/>
  <c r="L362" i="10"/>
  <c r="L360" i="10" s="1"/>
  <c r="U361" i="10"/>
  <c r="T361" i="10"/>
  <c r="P361" i="10"/>
  <c r="O361" i="10"/>
  <c r="S360" i="10"/>
  <c r="R360" i="10"/>
  <c r="U360" i="10" s="1"/>
  <c r="Q360" i="10"/>
  <c r="T360" i="10" s="1"/>
  <c r="U359" i="10"/>
  <c r="T359" i="10"/>
  <c r="S359" i="10"/>
  <c r="R359" i="10"/>
  <c r="Q359" i="10"/>
  <c r="T358" i="10"/>
  <c r="S358" i="10"/>
  <c r="S357" i="10" s="1"/>
  <c r="R358" i="10"/>
  <c r="U358" i="10" s="1"/>
  <c r="Q358" i="10"/>
  <c r="N358" i="10"/>
  <c r="M358" i="10"/>
  <c r="P358" i="10" s="1"/>
  <c r="L358" i="10"/>
  <c r="O358" i="10" s="1"/>
  <c r="R357" i="10"/>
  <c r="U357" i="10" s="1"/>
  <c r="Q357" i="10"/>
  <c r="T357" i="10" s="1"/>
  <c r="D355" i="10"/>
  <c r="D351" i="10"/>
  <c r="J350" i="10"/>
  <c r="J349" i="10"/>
  <c r="J348" i="10"/>
  <c r="J347" i="10"/>
  <c r="I347" i="10"/>
  <c r="J345" i="10"/>
  <c r="I345" i="10"/>
  <c r="I333" i="10" s="1"/>
  <c r="U342" i="10"/>
  <c r="T342" i="10"/>
  <c r="N342" i="10"/>
  <c r="M342" i="10"/>
  <c r="L342" i="10"/>
  <c r="U341" i="10"/>
  <c r="T341" i="10"/>
  <c r="P341" i="10"/>
  <c r="O341" i="10"/>
  <c r="S340" i="10"/>
  <c r="R340" i="10"/>
  <c r="U340" i="10" s="1"/>
  <c r="Q340" i="10"/>
  <c r="T340" i="10" s="1"/>
  <c r="U339" i="10"/>
  <c r="T339" i="10"/>
  <c r="N339" i="10"/>
  <c r="N337" i="10" s="1"/>
  <c r="M339" i="10"/>
  <c r="M336" i="10" s="1"/>
  <c r="L339" i="10"/>
  <c r="U338" i="10"/>
  <c r="T338" i="10"/>
  <c r="P338" i="10"/>
  <c r="O338" i="10"/>
  <c r="U337" i="10"/>
  <c r="T337" i="10"/>
  <c r="S337" i="10"/>
  <c r="R337" i="10"/>
  <c r="Q337" i="10"/>
  <c r="S336" i="10"/>
  <c r="R336" i="10"/>
  <c r="U336" i="10" s="1"/>
  <c r="Q336" i="10"/>
  <c r="T336" i="10" s="1"/>
  <c r="U335" i="10"/>
  <c r="S335" i="10"/>
  <c r="R335" i="10"/>
  <c r="R334" i="10" s="1"/>
  <c r="Q335" i="10"/>
  <c r="P335" i="10"/>
  <c r="O335" i="10"/>
  <c r="N335" i="10"/>
  <c r="M335" i="10"/>
  <c r="L335" i="10"/>
  <c r="U334" i="10"/>
  <c r="S334" i="10"/>
  <c r="I331" i="10"/>
  <c r="I320" i="10" s="1"/>
  <c r="K320" i="10" s="1"/>
  <c r="U329" i="10"/>
  <c r="T329" i="10"/>
  <c r="N329" i="10"/>
  <c r="M329" i="10"/>
  <c r="L329" i="10"/>
  <c r="O329" i="10" s="1"/>
  <c r="U328" i="10"/>
  <c r="T328" i="10"/>
  <c r="P328" i="10"/>
  <c r="O328" i="10"/>
  <c r="U327" i="10"/>
  <c r="S327" i="10"/>
  <c r="R327" i="10"/>
  <c r="Q327" i="10"/>
  <c r="T327" i="10" s="1"/>
  <c r="U326" i="10"/>
  <c r="T326" i="10"/>
  <c r="N326" i="10"/>
  <c r="N324" i="10" s="1"/>
  <c r="M326" i="10"/>
  <c r="L326" i="10"/>
  <c r="O326" i="10" s="1"/>
  <c r="U325" i="10"/>
  <c r="T325" i="10"/>
  <c r="P325" i="10"/>
  <c r="O325" i="10"/>
  <c r="T324" i="10"/>
  <c r="S324" i="10"/>
  <c r="R324" i="10"/>
  <c r="U324" i="10" s="1"/>
  <c r="Q324" i="10"/>
  <c r="S323" i="10"/>
  <c r="R323" i="10"/>
  <c r="U323" i="10" s="1"/>
  <c r="Q323" i="10"/>
  <c r="T323" i="10" s="1"/>
  <c r="U322" i="10"/>
  <c r="T322" i="10"/>
  <c r="S322" i="10"/>
  <c r="R322" i="10"/>
  <c r="Q322" i="10"/>
  <c r="P322" i="10"/>
  <c r="O322" i="10"/>
  <c r="N322" i="10"/>
  <c r="M322" i="10"/>
  <c r="L322" i="10"/>
  <c r="S321" i="10"/>
  <c r="R321" i="10"/>
  <c r="U321" i="10" s="1"/>
  <c r="J320" i="10"/>
  <c r="I315" i="10"/>
  <c r="K315" i="10" s="1"/>
  <c r="U312" i="10"/>
  <c r="T312" i="10"/>
  <c r="N312" i="10"/>
  <c r="N310" i="10" s="1"/>
  <c r="M312" i="10"/>
  <c r="L312" i="10"/>
  <c r="U311" i="10"/>
  <c r="T311" i="10"/>
  <c r="P311" i="10"/>
  <c r="O311" i="10"/>
  <c r="U310" i="10"/>
  <c r="T310" i="10"/>
  <c r="S310" i="10"/>
  <c r="R310" i="10"/>
  <c r="Q310" i="10"/>
  <c r="S309" i="10"/>
  <c r="R309" i="10"/>
  <c r="R306" i="10" s="1"/>
  <c r="Q309" i="10"/>
  <c r="Q307" i="10" s="1"/>
  <c r="N309" i="10"/>
  <c r="N307" i="10" s="1"/>
  <c r="M309" i="10"/>
  <c r="L309" i="10"/>
  <c r="U308" i="10"/>
  <c r="T308" i="10"/>
  <c r="P308" i="10"/>
  <c r="O308" i="10"/>
  <c r="S305" i="10"/>
  <c r="R305" i="10"/>
  <c r="Q305" i="10"/>
  <c r="P305" i="10"/>
  <c r="N305" i="10"/>
  <c r="M305" i="10"/>
  <c r="L305" i="10"/>
  <c r="J303" i="10"/>
  <c r="I297" i="10"/>
  <c r="K297" i="10" s="1"/>
  <c r="I296" i="10"/>
  <c r="K296" i="10" s="1"/>
  <c r="J294" i="10"/>
  <c r="J281" i="10" s="1"/>
  <c r="I294" i="10"/>
  <c r="I293" i="10"/>
  <c r="K293" i="10" s="1"/>
  <c r="U291" i="10"/>
  <c r="T291" i="10"/>
  <c r="N291" i="10"/>
  <c r="N289" i="10" s="1"/>
  <c r="M291" i="10"/>
  <c r="P291" i="10" s="1"/>
  <c r="L291" i="10"/>
  <c r="O291" i="10" s="1"/>
  <c r="U290" i="10"/>
  <c r="T290" i="10"/>
  <c r="P290" i="10"/>
  <c r="O290" i="10"/>
  <c r="S289" i="10"/>
  <c r="R289" i="10"/>
  <c r="U289" i="10" s="1"/>
  <c r="Q289" i="10"/>
  <c r="T289" i="10" s="1"/>
  <c r="U288" i="10"/>
  <c r="T288" i="10"/>
  <c r="N288" i="10"/>
  <c r="N286" i="10" s="1"/>
  <c r="M288" i="10"/>
  <c r="L288" i="10"/>
  <c r="U287" i="10"/>
  <c r="T287" i="10"/>
  <c r="P287" i="10"/>
  <c r="O287" i="10"/>
  <c r="U286" i="10"/>
  <c r="T286" i="10"/>
  <c r="S286" i="10"/>
  <c r="R286" i="10"/>
  <c r="Q286" i="10"/>
  <c r="T285" i="10"/>
  <c r="S285" i="10"/>
  <c r="R285" i="10"/>
  <c r="U285" i="10" s="1"/>
  <c r="Q285" i="10"/>
  <c r="S284" i="10"/>
  <c r="S283" i="10" s="1"/>
  <c r="R284" i="10"/>
  <c r="Q284" i="10"/>
  <c r="P284" i="10"/>
  <c r="N284" i="10"/>
  <c r="M284" i="10"/>
  <c r="L284" i="10"/>
  <c r="J282" i="10"/>
  <c r="I277" i="10"/>
  <c r="K277" i="10" s="1"/>
  <c r="U275" i="10"/>
  <c r="T275" i="10"/>
  <c r="N275" i="10"/>
  <c r="N273" i="10" s="1"/>
  <c r="M275" i="10"/>
  <c r="L275" i="10"/>
  <c r="U274" i="10"/>
  <c r="T274" i="10"/>
  <c r="P274" i="10"/>
  <c r="O274" i="10"/>
  <c r="U273" i="10"/>
  <c r="T273" i="10"/>
  <c r="S273" i="10"/>
  <c r="R273" i="10"/>
  <c r="Q273" i="10"/>
  <c r="S272" i="10"/>
  <c r="S270" i="10" s="1"/>
  <c r="R272" i="10"/>
  <c r="Q272" i="10"/>
  <c r="N272" i="10"/>
  <c r="N270" i="10" s="1"/>
  <c r="M272" i="10"/>
  <c r="L272" i="10"/>
  <c r="U271" i="10"/>
  <c r="T271" i="10"/>
  <c r="P271" i="10"/>
  <c r="O271" i="10"/>
  <c r="U268" i="10"/>
  <c r="S268" i="10"/>
  <c r="R268" i="10"/>
  <c r="Q268" i="10"/>
  <c r="P268" i="10"/>
  <c r="O268" i="10"/>
  <c r="N268" i="10"/>
  <c r="M268" i="10"/>
  <c r="L268" i="10"/>
  <c r="J266" i="10"/>
  <c r="K264" i="10"/>
  <c r="K263" i="10"/>
  <c r="I261" i="10"/>
  <c r="K261" i="10" s="1"/>
  <c r="L259" i="10"/>
  <c r="L258" i="10"/>
  <c r="L257" i="10"/>
  <c r="L256" i="10"/>
  <c r="P255" i="10"/>
  <c r="N255" i="10"/>
  <c r="J254" i="10"/>
  <c r="I253" i="10"/>
  <c r="K253" i="10" s="1"/>
  <c r="I252" i="10"/>
  <c r="K252" i="10" s="1"/>
  <c r="I250" i="10"/>
  <c r="K250" i="10" s="1"/>
  <c r="L248" i="10"/>
  <c r="L247" i="10"/>
  <c r="L246" i="10"/>
  <c r="L245" i="10"/>
  <c r="P244" i="10"/>
  <c r="N244" i="10"/>
  <c r="J243" i="10"/>
  <c r="J242" i="10"/>
  <c r="J241" i="10"/>
  <c r="J239" i="10"/>
  <c r="N237" i="10"/>
  <c r="N236" i="10"/>
  <c r="N235" i="10"/>
  <c r="N234" i="10"/>
  <c r="N233" i="10"/>
  <c r="I231" i="10"/>
  <c r="I230" i="10"/>
  <c r="I229" i="10"/>
  <c r="K229" i="10" s="1"/>
  <c r="L226" i="10"/>
  <c r="L225" i="10"/>
  <c r="L224" i="10"/>
  <c r="P223" i="10"/>
  <c r="N223" i="10"/>
  <c r="J222" i="10"/>
  <c r="I221" i="10"/>
  <c r="K221" i="10" s="1"/>
  <c r="I220" i="10"/>
  <c r="K220" i="10" s="1"/>
  <c r="L218" i="10"/>
  <c r="L217" i="10"/>
  <c r="L216" i="10"/>
  <c r="P215" i="10"/>
  <c r="N215" i="10"/>
  <c r="J214" i="10"/>
  <c r="I213" i="10"/>
  <c r="K213" i="10" s="1"/>
  <c r="I212" i="10"/>
  <c r="K212" i="10" s="1"/>
  <c r="I210" i="10"/>
  <c r="L208" i="10"/>
  <c r="L207" i="10"/>
  <c r="L206" i="10"/>
  <c r="L205" i="10"/>
  <c r="P204" i="10"/>
  <c r="N204" i="10"/>
  <c r="J203" i="10"/>
  <c r="J200" i="10"/>
  <c r="I199" i="10"/>
  <c r="K199" i="10" s="1"/>
  <c r="P197" i="10"/>
  <c r="L197" i="10"/>
  <c r="O197" i="10" s="1"/>
  <c r="J196" i="10"/>
  <c r="U195" i="10"/>
  <c r="T195" i="10"/>
  <c r="N195" i="10"/>
  <c r="N193" i="10" s="1"/>
  <c r="M195" i="10"/>
  <c r="L195" i="10"/>
  <c r="L193" i="10" s="1"/>
  <c r="O193" i="10" s="1"/>
  <c r="U194" i="10"/>
  <c r="T194" i="10"/>
  <c r="P194" i="10"/>
  <c r="O194" i="10"/>
  <c r="U193" i="10"/>
  <c r="S193" i="10"/>
  <c r="R193" i="10"/>
  <c r="Q193" i="10"/>
  <c r="T193" i="10" s="1"/>
  <c r="S192" i="10"/>
  <c r="R192" i="10"/>
  <c r="R190" i="10" s="1"/>
  <c r="Q192" i="10"/>
  <c r="Q190" i="10" s="1"/>
  <c r="N192" i="10"/>
  <c r="N190" i="10" s="1"/>
  <c r="M192" i="10"/>
  <c r="L192" i="10"/>
  <c r="L190" i="10" s="1"/>
  <c r="U191" i="10"/>
  <c r="T191" i="10"/>
  <c r="P191" i="10"/>
  <c r="O191" i="10"/>
  <c r="S188" i="10"/>
  <c r="R188" i="10"/>
  <c r="Q188" i="10"/>
  <c r="T188" i="10" s="1"/>
  <c r="N188" i="10"/>
  <c r="M188" i="10"/>
  <c r="L188" i="10"/>
  <c r="K185" i="10"/>
  <c r="I184" i="10"/>
  <c r="K184" i="10" s="1"/>
  <c r="U182" i="10"/>
  <c r="T182" i="10"/>
  <c r="N182" i="10"/>
  <c r="N180" i="10" s="1"/>
  <c r="M182" i="10"/>
  <c r="P182" i="10" s="1"/>
  <c r="L182" i="10"/>
  <c r="O182" i="10" s="1"/>
  <c r="U181" i="10"/>
  <c r="T181" i="10"/>
  <c r="P181" i="10"/>
  <c r="O181" i="10"/>
  <c r="T180" i="10"/>
  <c r="S180" i="10"/>
  <c r="R180" i="10"/>
  <c r="U180" i="10" s="1"/>
  <c r="Q180" i="10"/>
  <c r="S179" i="10"/>
  <c r="S177" i="10" s="1"/>
  <c r="R179" i="10"/>
  <c r="Q179" i="10"/>
  <c r="N179" i="10"/>
  <c r="M179" i="10"/>
  <c r="M177" i="10" s="1"/>
  <c r="L179" i="10"/>
  <c r="L177" i="10" s="1"/>
  <c r="U178" i="10"/>
  <c r="T178" i="10"/>
  <c r="P178" i="10"/>
  <c r="O178" i="10"/>
  <c r="U175" i="10"/>
  <c r="T175" i="10"/>
  <c r="S175" i="10"/>
  <c r="R175" i="10"/>
  <c r="Q175" i="10"/>
  <c r="P175" i="10"/>
  <c r="O175" i="10"/>
  <c r="N175" i="10"/>
  <c r="M175" i="10"/>
  <c r="L175" i="10"/>
  <c r="J173" i="10"/>
  <c r="I170" i="10"/>
  <c r="I169" i="10"/>
  <c r="K169" i="10" s="1"/>
  <c r="I168" i="10"/>
  <c r="K168" i="10" s="1"/>
  <c r="U166" i="10"/>
  <c r="T166" i="10"/>
  <c r="N166" i="10"/>
  <c r="N164" i="10" s="1"/>
  <c r="M166" i="10"/>
  <c r="P166" i="10" s="1"/>
  <c r="L166" i="10"/>
  <c r="U165" i="10"/>
  <c r="T165" i="10"/>
  <c r="P165" i="10"/>
  <c r="O165" i="10"/>
  <c r="S164" i="10"/>
  <c r="R164" i="10"/>
  <c r="U164" i="10" s="1"/>
  <c r="Q164" i="10"/>
  <c r="T164" i="10" s="1"/>
  <c r="S163" i="10"/>
  <c r="R163" i="10"/>
  <c r="U163" i="10" s="1"/>
  <c r="N163" i="10"/>
  <c r="N161" i="10" s="1"/>
  <c r="M163" i="10"/>
  <c r="M161" i="10" s="1"/>
  <c r="P161" i="10" s="1"/>
  <c r="L163" i="10"/>
  <c r="L161" i="10" s="1"/>
  <c r="O161" i="10" s="1"/>
  <c r="U162" i="10"/>
  <c r="T162" i="10"/>
  <c r="P162" i="10"/>
  <c r="O162" i="10"/>
  <c r="S159" i="10"/>
  <c r="R159" i="10"/>
  <c r="U159" i="10" s="1"/>
  <c r="Q159" i="10"/>
  <c r="T159" i="10" s="1"/>
  <c r="P159" i="10"/>
  <c r="N159" i="10"/>
  <c r="M159" i="10"/>
  <c r="L159" i="10"/>
  <c r="O159" i="10" s="1"/>
  <c r="J157" i="10"/>
  <c r="I155" i="10"/>
  <c r="I137" i="10" s="1"/>
  <c r="K137" i="10" s="1"/>
  <c r="I154" i="10"/>
  <c r="I153" i="10"/>
  <c r="K153" i="10" s="1"/>
  <c r="I152" i="10"/>
  <c r="K152" i="10" s="1"/>
  <c r="I151" i="10"/>
  <c r="K151" i="10" s="1"/>
  <c r="U148" i="10"/>
  <c r="T148" i="10"/>
  <c r="N148" i="10"/>
  <c r="N146" i="10" s="1"/>
  <c r="M148" i="10"/>
  <c r="P148" i="10" s="1"/>
  <c r="L148" i="10"/>
  <c r="L146" i="10" s="1"/>
  <c r="O146" i="10" s="1"/>
  <c r="U147" i="10"/>
  <c r="T147" i="10"/>
  <c r="P147" i="10"/>
  <c r="O147" i="10"/>
  <c r="S146" i="10"/>
  <c r="R146" i="10"/>
  <c r="U146" i="10" s="1"/>
  <c r="Q146" i="10"/>
  <c r="T146" i="10" s="1"/>
  <c r="S145" i="10"/>
  <c r="S142" i="10" s="1"/>
  <c r="R145" i="10"/>
  <c r="R142" i="10" s="1"/>
  <c r="Q145" i="10"/>
  <c r="T145" i="10" s="1"/>
  <c r="N145" i="10"/>
  <c r="N143" i="10" s="1"/>
  <c r="M145" i="10"/>
  <c r="P145" i="10" s="1"/>
  <c r="L145" i="10"/>
  <c r="O145" i="10" s="1"/>
  <c r="U144" i="10"/>
  <c r="T144" i="10"/>
  <c r="P144" i="10"/>
  <c r="O144" i="10"/>
  <c r="S141" i="10"/>
  <c r="R141" i="10"/>
  <c r="U141" i="10" s="1"/>
  <c r="Q141" i="10"/>
  <c r="T141" i="10" s="1"/>
  <c r="N141" i="10"/>
  <c r="M141" i="10"/>
  <c r="L141" i="10"/>
  <c r="O141" i="10" s="1"/>
  <c r="J139" i="10"/>
  <c r="J138" i="10"/>
  <c r="J137" i="10"/>
  <c r="I131" i="10"/>
  <c r="K131" i="10" s="1"/>
  <c r="I130" i="10"/>
  <c r="K130" i="10" s="1"/>
  <c r="I129" i="10"/>
  <c r="K129" i="10" s="1"/>
  <c r="I128" i="10"/>
  <c r="I117" i="10" s="1"/>
  <c r="K117" i="10" s="1"/>
  <c r="U126" i="10"/>
  <c r="T126" i="10"/>
  <c r="N126" i="10"/>
  <c r="N124" i="10" s="1"/>
  <c r="M126" i="10"/>
  <c r="P126" i="10" s="1"/>
  <c r="L126" i="10"/>
  <c r="U125" i="10"/>
  <c r="T125" i="10"/>
  <c r="P125" i="10"/>
  <c r="O125" i="10"/>
  <c r="T124" i="10"/>
  <c r="S124" i="10"/>
  <c r="R124" i="10"/>
  <c r="U124" i="10" s="1"/>
  <c r="Q124" i="10"/>
  <c r="S123" i="10"/>
  <c r="S121" i="10" s="1"/>
  <c r="R123" i="10"/>
  <c r="Q123" i="10"/>
  <c r="Q120" i="10" s="1"/>
  <c r="N123" i="10"/>
  <c r="N121" i="10" s="1"/>
  <c r="M123" i="10"/>
  <c r="L123" i="10"/>
  <c r="U122" i="10"/>
  <c r="T122" i="10"/>
  <c r="P122" i="10"/>
  <c r="O122" i="10"/>
  <c r="U119" i="10"/>
  <c r="T119" i="10"/>
  <c r="S119" i="10"/>
  <c r="R119" i="10"/>
  <c r="Q119" i="10"/>
  <c r="P119" i="10"/>
  <c r="O119" i="10"/>
  <c r="N119" i="10"/>
  <c r="M119" i="10"/>
  <c r="L119" i="10"/>
  <c r="J117" i="10"/>
  <c r="I115" i="10"/>
  <c r="K115" i="10" s="1"/>
  <c r="I114" i="10"/>
  <c r="K114" i="10" s="1"/>
  <c r="I110" i="10"/>
  <c r="K110" i="10" s="1"/>
  <c r="I109" i="10"/>
  <c r="K109" i="10" s="1"/>
  <c r="U103" i="10"/>
  <c r="T103" i="10"/>
  <c r="N103" i="10"/>
  <c r="N101" i="10" s="1"/>
  <c r="M103" i="10"/>
  <c r="M101" i="10" s="1"/>
  <c r="P101" i="10" s="1"/>
  <c r="L103" i="10"/>
  <c r="U102" i="10"/>
  <c r="T102" i="10"/>
  <c r="P102" i="10"/>
  <c r="O102" i="10"/>
  <c r="T101" i="10"/>
  <c r="S101" i="10"/>
  <c r="R101" i="10"/>
  <c r="U101" i="10" s="1"/>
  <c r="Q101" i="10"/>
  <c r="S100" i="10"/>
  <c r="S98" i="10" s="1"/>
  <c r="R100" i="10"/>
  <c r="R98" i="10" s="1"/>
  <c r="Q100" i="10"/>
  <c r="Q98" i="10" s="1"/>
  <c r="N100" i="10"/>
  <c r="N98" i="10" s="1"/>
  <c r="M100" i="10"/>
  <c r="L100" i="10"/>
  <c r="O100" i="10" s="1"/>
  <c r="U99" i="10"/>
  <c r="T99" i="10"/>
  <c r="P99" i="10"/>
  <c r="O99" i="10"/>
  <c r="S96" i="10"/>
  <c r="R96" i="10"/>
  <c r="U96" i="10" s="1"/>
  <c r="Q96" i="10"/>
  <c r="P96" i="10"/>
  <c r="N96" i="10"/>
  <c r="M96" i="10"/>
  <c r="L96" i="10"/>
  <c r="O96" i="10" s="1"/>
  <c r="J94" i="10"/>
  <c r="J93" i="10"/>
  <c r="I91" i="10"/>
  <c r="K91" i="10" s="1"/>
  <c r="I90" i="10"/>
  <c r="K90" i="10" s="1"/>
  <c r="I89" i="10"/>
  <c r="K89" i="10" s="1"/>
  <c r="I88" i="10"/>
  <c r="K88" i="10" s="1"/>
  <c r="I87" i="10"/>
  <c r="K87" i="10" s="1"/>
  <c r="I86" i="10"/>
  <c r="I85" i="10"/>
  <c r="K85" i="10" s="1"/>
  <c r="J84" i="10"/>
  <c r="J83" i="10"/>
  <c r="U81" i="10"/>
  <c r="T81" i="10"/>
  <c r="N81" i="10"/>
  <c r="N79" i="10" s="1"/>
  <c r="M81" i="10"/>
  <c r="P81" i="10" s="1"/>
  <c r="L81" i="10"/>
  <c r="U80" i="10"/>
  <c r="T80" i="10"/>
  <c r="P80" i="10"/>
  <c r="O80" i="10"/>
  <c r="S79" i="10"/>
  <c r="R79" i="10"/>
  <c r="U79" i="10" s="1"/>
  <c r="Q79" i="10"/>
  <c r="T79" i="10" s="1"/>
  <c r="S78" i="10"/>
  <c r="R78" i="10"/>
  <c r="R76" i="10" s="1"/>
  <c r="U76" i="10" s="1"/>
  <c r="Q76" i="10"/>
  <c r="T76" i="10" s="1"/>
  <c r="N78" i="10"/>
  <c r="M78" i="10"/>
  <c r="P78" i="10" s="1"/>
  <c r="L78" i="10"/>
  <c r="O78" i="10" s="1"/>
  <c r="U77" i="10"/>
  <c r="T77" i="10"/>
  <c r="P77" i="10"/>
  <c r="O77" i="10"/>
  <c r="S74" i="10"/>
  <c r="R74" i="10"/>
  <c r="U74" i="10" s="1"/>
  <c r="Q74" i="10"/>
  <c r="T74" i="10" s="1"/>
  <c r="N74" i="10"/>
  <c r="M74" i="10"/>
  <c r="L74" i="10"/>
  <c r="O74" i="10" s="1"/>
  <c r="J72" i="10"/>
  <c r="J71" i="10"/>
  <c r="U68" i="10"/>
  <c r="T68" i="10"/>
  <c r="N68" i="10"/>
  <c r="N66" i="10" s="1"/>
  <c r="M68" i="10"/>
  <c r="M66" i="10" s="1"/>
  <c r="P66" i="10" s="1"/>
  <c r="L68" i="10"/>
  <c r="L66" i="10" s="1"/>
  <c r="O66" i="10" s="1"/>
  <c r="U67" i="10"/>
  <c r="T67" i="10"/>
  <c r="P67" i="10"/>
  <c r="O67" i="10"/>
  <c r="U66" i="10"/>
  <c r="T66" i="10"/>
  <c r="S66" i="10"/>
  <c r="R66" i="10"/>
  <c r="Q66" i="10"/>
  <c r="U65" i="10"/>
  <c r="T65" i="10"/>
  <c r="N65" i="10"/>
  <c r="N63" i="10" s="1"/>
  <c r="M65" i="10"/>
  <c r="M63" i="10" s="1"/>
  <c r="L65" i="10"/>
  <c r="U64" i="10"/>
  <c r="T64" i="10"/>
  <c r="P64" i="10"/>
  <c r="O64" i="10"/>
  <c r="S63" i="10"/>
  <c r="R63" i="10"/>
  <c r="U63" i="10" s="1"/>
  <c r="Q63" i="10"/>
  <c r="T63" i="10" s="1"/>
  <c r="U62" i="10"/>
  <c r="T62" i="10"/>
  <c r="S62" i="10"/>
  <c r="R62" i="10"/>
  <c r="Q62" i="10"/>
  <c r="T61" i="10"/>
  <c r="S61" i="10"/>
  <c r="R61" i="10"/>
  <c r="U61" i="10" s="1"/>
  <c r="Q61" i="10"/>
  <c r="N61" i="10"/>
  <c r="M61" i="10"/>
  <c r="L61" i="10"/>
  <c r="O61" i="10" s="1"/>
  <c r="R60" i="10"/>
  <c r="U60" i="10" s="1"/>
  <c r="Q60" i="10"/>
  <c r="T60" i="10" s="1"/>
  <c r="U53" i="10"/>
  <c r="T53" i="10"/>
  <c r="N53" i="10"/>
  <c r="N51" i="10" s="1"/>
  <c r="M53" i="10"/>
  <c r="P53" i="10" s="1"/>
  <c r="L53" i="10"/>
  <c r="U52" i="10"/>
  <c r="T52" i="10"/>
  <c r="P52" i="10"/>
  <c r="O52" i="10"/>
  <c r="T51" i="10"/>
  <c r="S51" i="10"/>
  <c r="R51" i="10"/>
  <c r="U51" i="10" s="1"/>
  <c r="Q51" i="10"/>
  <c r="U50" i="10"/>
  <c r="T50" i="10"/>
  <c r="N50" i="10"/>
  <c r="N48" i="10" s="1"/>
  <c r="M50" i="10"/>
  <c r="M48" i="10" s="1"/>
  <c r="L50" i="10"/>
  <c r="L48" i="10" s="1"/>
  <c r="U49" i="10"/>
  <c r="T49" i="10"/>
  <c r="P49" i="10"/>
  <c r="O49" i="10"/>
  <c r="S48" i="10"/>
  <c r="R48" i="10"/>
  <c r="U48" i="10" s="1"/>
  <c r="Q48" i="10"/>
  <c r="T48" i="10" s="1"/>
  <c r="U47" i="10"/>
  <c r="T47" i="10"/>
  <c r="S47" i="10"/>
  <c r="R47" i="10"/>
  <c r="Q47" i="10"/>
  <c r="S46" i="10"/>
  <c r="S45" i="10" s="1"/>
  <c r="R46" i="10"/>
  <c r="U46" i="10" s="1"/>
  <c r="Q46" i="10"/>
  <c r="T46" i="10" s="1"/>
  <c r="N46" i="10"/>
  <c r="M46" i="10"/>
  <c r="L46" i="10"/>
  <c r="O46" i="10" s="1"/>
  <c r="U45" i="10"/>
  <c r="R45" i="10"/>
  <c r="Q45" i="10"/>
  <c r="T45" i="10" s="1"/>
  <c r="S27" i="10"/>
  <c r="R27" i="10"/>
  <c r="U27" i="10" s="1"/>
  <c r="Q27" i="10"/>
  <c r="S26" i="10"/>
  <c r="R26" i="10"/>
  <c r="Q26" i="10"/>
  <c r="T26" i="10" s="1"/>
  <c r="N26" i="10"/>
  <c r="M26" i="10"/>
  <c r="L26" i="10"/>
  <c r="S23" i="10"/>
  <c r="R23" i="10"/>
  <c r="Q23" i="10"/>
  <c r="T23" i="10" s="1"/>
  <c r="N23" i="10"/>
  <c r="M23" i="10"/>
  <c r="P23" i="10" s="1"/>
  <c r="L23" i="10"/>
  <c r="A788" i="9"/>
  <c r="J785" i="9"/>
  <c r="I785" i="9"/>
  <c r="J784" i="9"/>
  <c r="I784" i="9"/>
  <c r="J783" i="9"/>
  <c r="I783" i="9"/>
  <c r="J782" i="9"/>
  <c r="I782" i="9"/>
  <c r="J781" i="9"/>
  <c r="I781" i="9"/>
  <c r="J780" i="9"/>
  <c r="I780" i="9"/>
  <c r="J779" i="9"/>
  <c r="I779" i="9"/>
  <c r="J778" i="9"/>
  <c r="I778" i="9"/>
  <c r="H777" i="9"/>
  <c r="I776" i="9"/>
  <c r="I775" i="9"/>
  <c r="I774" i="9"/>
  <c r="I772" i="9"/>
  <c r="K772" i="9" s="1"/>
  <c r="I770" i="9"/>
  <c r="K770" i="9" s="1"/>
  <c r="U768" i="9"/>
  <c r="T768" i="9"/>
  <c r="P768" i="9"/>
  <c r="O768" i="9"/>
  <c r="U767" i="9"/>
  <c r="T767" i="9"/>
  <c r="P767" i="9"/>
  <c r="O767" i="9"/>
  <c r="T766" i="9"/>
  <c r="S766" i="9"/>
  <c r="R766" i="9"/>
  <c r="U766" i="9" s="1"/>
  <c r="Q766" i="9"/>
  <c r="P766" i="9"/>
  <c r="N766" i="9"/>
  <c r="M766" i="9"/>
  <c r="L766" i="9"/>
  <c r="O766" i="9" s="1"/>
  <c r="S765" i="9"/>
  <c r="R765" i="9"/>
  <c r="R763" i="9" s="1"/>
  <c r="U763" i="9" s="1"/>
  <c r="Q765" i="9"/>
  <c r="P765" i="9"/>
  <c r="O765" i="9"/>
  <c r="U764" i="9"/>
  <c r="T764" i="9"/>
  <c r="P764" i="9"/>
  <c r="O764" i="9"/>
  <c r="O763" i="9"/>
  <c r="N763" i="9"/>
  <c r="M763" i="9"/>
  <c r="P763" i="9" s="1"/>
  <c r="L763" i="9"/>
  <c r="O762" i="9"/>
  <c r="N762" i="9"/>
  <c r="M762" i="9"/>
  <c r="P762" i="9" s="1"/>
  <c r="L762" i="9"/>
  <c r="U761" i="9"/>
  <c r="S761" i="9"/>
  <c r="R761" i="9"/>
  <c r="Q761" i="9"/>
  <c r="T761" i="9" s="1"/>
  <c r="O761" i="9"/>
  <c r="N761" i="9"/>
  <c r="N760" i="9" s="1"/>
  <c r="M761" i="9"/>
  <c r="P761" i="9" s="1"/>
  <c r="L761" i="9"/>
  <c r="L760" i="9" s="1"/>
  <c r="O760" i="9" s="1"/>
  <c r="M760" i="9"/>
  <c r="P760" i="9" s="1"/>
  <c r="J759" i="9"/>
  <c r="J758" i="9"/>
  <c r="I756" i="9"/>
  <c r="K756" i="9" s="1"/>
  <c r="I753" i="9"/>
  <c r="K753" i="9" s="1"/>
  <c r="I750" i="9"/>
  <c r="K750" i="9" s="1"/>
  <c r="I747" i="9"/>
  <c r="K747" i="9" s="1"/>
  <c r="I745" i="9"/>
  <c r="K745" i="9" s="1"/>
  <c r="I743" i="9"/>
  <c r="K743" i="9" s="1"/>
  <c r="I741" i="9"/>
  <c r="K741" i="9" s="1"/>
  <c r="U737" i="9"/>
  <c r="T737" i="9"/>
  <c r="P737" i="9"/>
  <c r="O737" i="9"/>
  <c r="U736" i="9"/>
  <c r="T736" i="9"/>
  <c r="P736" i="9"/>
  <c r="O736" i="9"/>
  <c r="U735" i="9"/>
  <c r="S735" i="9"/>
  <c r="R735" i="9"/>
  <c r="Q735" i="9"/>
  <c r="T735" i="9" s="1"/>
  <c r="O735" i="9"/>
  <c r="N735" i="9"/>
  <c r="M735" i="9"/>
  <c r="P735" i="9" s="1"/>
  <c r="L735" i="9"/>
  <c r="S734" i="9"/>
  <c r="R734" i="9"/>
  <c r="R731" i="9" s="1"/>
  <c r="Q734" i="9"/>
  <c r="Q732" i="9" s="1"/>
  <c r="T732" i="9" s="1"/>
  <c r="P734" i="9"/>
  <c r="O734" i="9"/>
  <c r="U733" i="9"/>
  <c r="T733" i="9"/>
  <c r="P733" i="9"/>
  <c r="O733" i="9"/>
  <c r="P732" i="9"/>
  <c r="N732" i="9"/>
  <c r="M732" i="9"/>
  <c r="L732" i="9"/>
  <c r="O732" i="9" s="1"/>
  <c r="P731" i="9"/>
  <c r="N731" i="9"/>
  <c r="M731" i="9"/>
  <c r="L731" i="9"/>
  <c r="O731" i="9" s="1"/>
  <c r="T730" i="9"/>
  <c r="S730" i="9"/>
  <c r="R730" i="9"/>
  <c r="U730" i="9" s="1"/>
  <c r="Q730" i="9"/>
  <c r="P730" i="9"/>
  <c r="N730" i="9"/>
  <c r="N729" i="9" s="1"/>
  <c r="M730" i="9"/>
  <c r="M729" i="9" s="1"/>
  <c r="P729" i="9" s="1"/>
  <c r="L730" i="9"/>
  <c r="O730" i="9" s="1"/>
  <c r="L729" i="9"/>
  <c r="O729" i="9" s="1"/>
  <c r="J728" i="9"/>
  <c r="I728" i="9"/>
  <c r="K728" i="9" s="1"/>
  <c r="J727" i="9"/>
  <c r="I727" i="9"/>
  <c r="K727" i="9" s="1"/>
  <c r="U723" i="9"/>
  <c r="T723" i="9"/>
  <c r="P723" i="9"/>
  <c r="O723" i="9"/>
  <c r="U722" i="9"/>
  <c r="T722" i="9"/>
  <c r="P722" i="9"/>
  <c r="O722" i="9"/>
  <c r="T721" i="9"/>
  <c r="S721" i="9"/>
  <c r="R721" i="9"/>
  <c r="U721" i="9" s="1"/>
  <c r="Q721" i="9"/>
  <c r="P721" i="9"/>
  <c r="N721" i="9"/>
  <c r="M721" i="9"/>
  <c r="L721" i="9"/>
  <c r="O721" i="9" s="1"/>
  <c r="U720" i="9"/>
  <c r="T720" i="9"/>
  <c r="P720" i="9"/>
  <c r="O720" i="9"/>
  <c r="U719" i="9"/>
  <c r="T719" i="9"/>
  <c r="P719" i="9"/>
  <c r="O719" i="9"/>
  <c r="T718" i="9"/>
  <c r="S718" i="9"/>
  <c r="R718" i="9"/>
  <c r="U718" i="9" s="1"/>
  <c r="Q718" i="9"/>
  <c r="P718" i="9"/>
  <c r="N718" i="9"/>
  <c r="M718" i="9"/>
  <c r="L718" i="9"/>
  <c r="O718" i="9" s="1"/>
  <c r="T717" i="9"/>
  <c r="S717" i="9"/>
  <c r="R717" i="9"/>
  <c r="U717" i="9" s="1"/>
  <c r="Q717" i="9"/>
  <c r="P717" i="9"/>
  <c r="N717" i="9"/>
  <c r="M717" i="9"/>
  <c r="L717" i="9"/>
  <c r="O717" i="9" s="1"/>
  <c r="T716" i="9"/>
  <c r="S716" i="9"/>
  <c r="S715" i="9" s="1"/>
  <c r="R716" i="9"/>
  <c r="U716" i="9" s="1"/>
  <c r="Q716" i="9"/>
  <c r="Q715" i="9" s="1"/>
  <c r="T715" i="9" s="1"/>
  <c r="P716" i="9"/>
  <c r="N716" i="9"/>
  <c r="N715" i="9" s="1"/>
  <c r="M716" i="9"/>
  <c r="M715" i="9" s="1"/>
  <c r="P715" i="9" s="1"/>
  <c r="L716" i="9"/>
  <c r="O716" i="9" s="1"/>
  <c r="R715" i="9"/>
  <c r="U715" i="9" s="1"/>
  <c r="L715" i="9"/>
  <c r="O715" i="9" s="1"/>
  <c r="K713" i="9"/>
  <c r="J713" i="9"/>
  <c r="K711" i="9"/>
  <c r="J711" i="9"/>
  <c r="J710" i="9"/>
  <c r="I710" i="9"/>
  <c r="K710" i="9" s="1"/>
  <c r="K709" i="9"/>
  <c r="J709" i="9"/>
  <c r="J708" i="9"/>
  <c r="J690" i="9" s="1"/>
  <c r="I708" i="9"/>
  <c r="K707" i="9"/>
  <c r="J707" i="9"/>
  <c r="J706" i="9"/>
  <c r="I706" i="9"/>
  <c r="K706" i="9" s="1"/>
  <c r="K705" i="9"/>
  <c r="J705" i="9"/>
  <c r="J704" i="9"/>
  <c r="I704" i="9"/>
  <c r="K704" i="9" s="1"/>
  <c r="K703" i="9"/>
  <c r="I701" i="9"/>
  <c r="K701" i="9" s="1"/>
  <c r="U699" i="9"/>
  <c r="T699" i="9"/>
  <c r="P699" i="9"/>
  <c r="O699" i="9"/>
  <c r="U698" i="9"/>
  <c r="T698" i="9"/>
  <c r="P698" i="9"/>
  <c r="O698" i="9"/>
  <c r="U697" i="9"/>
  <c r="S697" i="9"/>
  <c r="R697" i="9"/>
  <c r="Q697" i="9"/>
  <c r="T697" i="9" s="1"/>
  <c r="O697" i="9"/>
  <c r="N697" i="9"/>
  <c r="M697" i="9"/>
  <c r="P697" i="9" s="1"/>
  <c r="L697" i="9"/>
  <c r="S696" i="9"/>
  <c r="S694" i="9" s="1"/>
  <c r="R696" i="9"/>
  <c r="R693" i="9" s="1"/>
  <c r="Q696" i="9"/>
  <c r="T696" i="9" s="1"/>
  <c r="P696" i="9"/>
  <c r="O696" i="9"/>
  <c r="U695" i="9"/>
  <c r="T695" i="9"/>
  <c r="P695" i="9"/>
  <c r="O695" i="9"/>
  <c r="P694" i="9"/>
  <c r="N694" i="9"/>
  <c r="M694" i="9"/>
  <c r="L694" i="9"/>
  <c r="O694" i="9" s="1"/>
  <c r="P693" i="9"/>
  <c r="N693" i="9"/>
  <c r="M693" i="9"/>
  <c r="L693" i="9"/>
  <c r="T692" i="9"/>
  <c r="S692" i="9"/>
  <c r="R692" i="9"/>
  <c r="U692" i="9" s="1"/>
  <c r="Q692" i="9"/>
  <c r="P692" i="9"/>
  <c r="N692" i="9"/>
  <c r="M692" i="9"/>
  <c r="M691" i="9" s="1"/>
  <c r="P691" i="9" s="1"/>
  <c r="L692" i="9"/>
  <c r="O692" i="9" s="1"/>
  <c r="N691" i="9"/>
  <c r="J683" i="9"/>
  <c r="I683" i="9"/>
  <c r="K683" i="9" s="1"/>
  <c r="J682" i="9"/>
  <c r="I682" i="9"/>
  <c r="J681" i="9"/>
  <c r="J680" i="9"/>
  <c r="I680" i="9"/>
  <c r="J679" i="9"/>
  <c r="I679" i="9"/>
  <c r="J678" i="9"/>
  <c r="J677" i="9"/>
  <c r="I677" i="9"/>
  <c r="I676" i="9"/>
  <c r="I675" i="9"/>
  <c r="J674" i="9"/>
  <c r="I674" i="9"/>
  <c r="J673" i="9"/>
  <c r="J672" i="9"/>
  <c r="J662" i="9"/>
  <c r="I662" i="9"/>
  <c r="I661" i="9"/>
  <c r="I658" i="9"/>
  <c r="J655" i="9"/>
  <c r="I655" i="9"/>
  <c r="J654" i="9"/>
  <c r="I654" i="9"/>
  <c r="K654" i="9" s="1"/>
  <c r="J653" i="9"/>
  <c r="I653" i="9"/>
  <c r="K653" i="9" s="1"/>
  <c r="U651" i="9"/>
  <c r="T651" i="9"/>
  <c r="P651" i="9"/>
  <c r="O651" i="9"/>
  <c r="U650" i="9"/>
  <c r="T650" i="9"/>
  <c r="P650" i="9"/>
  <c r="O650" i="9"/>
  <c r="U649" i="9"/>
  <c r="S649" i="9"/>
  <c r="R649" i="9"/>
  <c r="Q649" i="9"/>
  <c r="T649" i="9" s="1"/>
  <c r="O649" i="9"/>
  <c r="N649" i="9"/>
  <c r="M649" i="9"/>
  <c r="P649" i="9" s="1"/>
  <c r="L649" i="9"/>
  <c r="S648" i="9"/>
  <c r="R648" i="9"/>
  <c r="R645" i="9" s="1"/>
  <c r="R643" i="9" s="1"/>
  <c r="Q648" i="9"/>
  <c r="P648" i="9"/>
  <c r="O648" i="9"/>
  <c r="U647" i="9"/>
  <c r="T647" i="9"/>
  <c r="P647" i="9"/>
  <c r="O647" i="9"/>
  <c r="P646" i="9"/>
  <c r="N646" i="9"/>
  <c r="M646" i="9"/>
  <c r="L646" i="9"/>
  <c r="O646" i="9" s="1"/>
  <c r="P645" i="9"/>
  <c r="N645" i="9"/>
  <c r="M645" i="9"/>
  <c r="L645" i="9"/>
  <c r="T644" i="9"/>
  <c r="S644" i="9"/>
  <c r="R644" i="9"/>
  <c r="U644" i="9" s="1"/>
  <c r="Q644" i="9"/>
  <c r="P644" i="9"/>
  <c r="N644" i="9"/>
  <c r="N643" i="9" s="1"/>
  <c r="M644" i="9"/>
  <c r="M643" i="9" s="1"/>
  <c r="P643" i="9" s="1"/>
  <c r="L644" i="9"/>
  <c r="O644" i="9" s="1"/>
  <c r="J637" i="9"/>
  <c r="J636" i="9" s="1"/>
  <c r="I636" i="9"/>
  <c r="K636" i="9" s="1"/>
  <c r="J633" i="9"/>
  <c r="J627" i="9" s="1"/>
  <c r="J616" i="9" s="1"/>
  <c r="I629" i="9"/>
  <c r="K629" i="9" s="1"/>
  <c r="I628" i="9"/>
  <c r="K628" i="9" s="1"/>
  <c r="I627" i="9"/>
  <c r="K627" i="9" s="1"/>
  <c r="U625" i="9"/>
  <c r="T625" i="9"/>
  <c r="P625" i="9"/>
  <c r="O625" i="9"/>
  <c r="U624" i="9"/>
  <c r="T624" i="9"/>
  <c r="P624" i="9"/>
  <c r="O624" i="9"/>
  <c r="T623" i="9"/>
  <c r="S623" i="9"/>
  <c r="R623" i="9"/>
  <c r="U623" i="9" s="1"/>
  <c r="Q623" i="9"/>
  <c r="P623" i="9"/>
  <c r="N623" i="9"/>
  <c r="M623" i="9"/>
  <c r="L623" i="9"/>
  <c r="O623" i="9" s="1"/>
  <c r="S622" i="9"/>
  <c r="S620" i="9" s="1"/>
  <c r="R622" i="9"/>
  <c r="Q622" i="9"/>
  <c r="Q620" i="9" s="1"/>
  <c r="P622" i="9"/>
  <c r="O622" i="9"/>
  <c r="U621" i="9"/>
  <c r="T621" i="9"/>
  <c r="P621" i="9"/>
  <c r="O621" i="9"/>
  <c r="N620" i="9"/>
  <c r="M620" i="9"/>
  <c r="P620" i="9" s="1"/>
  <c r="L620" i="9"/>
  <c r="O620" i="9" s="1"/>
  <c r="P619" i="9"/>
  <c r="O619" i="9"/>
  <c r="N619" i="9"/>
  <c r="M619" i="9"/>
  <c r="L619" i="9"/>
  <c r="U618" i="9"/>
  <c r="T618" i="9"/>
  <c r="S618" i="9"/>
  <c r="R618" i="9"/>
  <c r="Q618" i="9"/>
  <c r="O618" i="9"/>
  <c r="N618" i="9"/>
  <c r="N617" i="9" s="1"/>
  <c r="M618" i="9"/>
  <c r="P618" i="9" s="1"/>
  <c r="L618" i="9"/>
  <c r="M617" i="9"/>
  <c r="P617" i="9" s="1"/>
  <c r="L617" i="9"/>
  <c r="O617" i="9" s="1"/>
  <c r="U608" i="9"/>
  <c r="T608" i="9"/>
  <c r="P608" i="9"/>
  <c r="O608" i="9"/>
  <c r="U607" i="9"/>
  <c r="T607" i="9"/>
  <c r="P607" i="9"/>
  <c r="O607" i="9"/>
  <c r="S606" i="9"/>
  <c r="R606" i="9"/>
  <c r="U606" i="9" s="1"/>
  <c r="Q606" i="9"/>
  <c r="T606" i="9" s="1"/>
  <c r="N606" i="9"/>
  <c r="M606" i="9"/>
  <c r="P606" i="9" s="1"/>
  <c r="L606" i="9"/>
  <c r="O606" i="9" s="1"/>
  <c r="U605" i="9"/>
  <c r="T605" i="9"/>
  <c r="P605" i="9"/>
  <c r="O605" i="9"/>
  <c r="U604" i="9"/>
  <c r="T604" i="9"/>
  <c r="P604" i="9"/>
  <c r="O604" i="9"/>
  <c r="S603" i="9"/>
  <c r="R603" i="9"/>
  <c r="U603" i="9" s="1"/>
  <c r="Q603" i="9"/>
  <c r="T603" i="9" s="1"/>
  <c r="N603" i="9"/>
  <c r="M603" i="9"/>
  <c r="P603" i="9" s="1"/>
  <c r="L603" i="9"/>
  <c r="O603" i="9" s="1"/>
  <c r="S602" i="9"/>
  <c r="R602" i="9"/>
  <c r="Q602" i="9"/>
  <c r="T602" i="9" s="1"/>
  <c r="N602" i="9"/>
  <c r="M602" i="9"/>
  <c r="P602" i="9" s="1"/>
  <c r="L602" i="9"/>
  <c r="O602" i="9" s="1"/>
  <c r="S601" i="9"/>
  <c r="S600" i="9" s="1"/>
  <c r="R601" i="9"/>
  <c r="U601" i="9" s="1"/>
  <c r="Q601" i="9"/>
  <c r="T601" i="9" s="1"/>
  <c r="P601" i="9"/>
  <c r="N601" i="9"/>
  <c r="M601" i="9"/>
  <c r="L601" i="9"/>
  <c r="O601" i="9" s="1"/>
  <c r="U585" i="9"/>
  <c r="T585" i="9"/>
  <c r="P585" i="9"/>
  <c r="O585" i="9"/>
  <c r="U584" i="9"/>
  <c r="T584" i="9"/>
  <c r="P584" i="9"/>
  <c r="O584" i="9"/>
  <c r="S583" i="9"/>
  <c r="R583" i="9"/>
  <c r="U583" i="9" s="1"/>
  <c r="Q583" i="9"/>
  <c r="T583" i="9" s="1"/>
  <c r="O583" i="9"/>
  <c r="N583" i="9"/>
  <c r="M583" i="9"/>
  <c r="P583" i="9" s="1"/>
  <c r="L583" i="9"/>
  <c r="U582" i="9"/>
  <c r="T582" i="9"/>
  <c r="P582" i="9"/>
  <c r="O582" i="9"/>
  <c r="U581" i="9"/>
  <c r="T581" i="9"/>
  <c r="P581" i="9"/>
  <c r="O581" i="9"/>
  <c r="U580" i="9"/>
  <c r="S580" i="9"/>
  <c r="R580" i="9"/>
  <c r="Q580" i="9"/>
  <c r="T580" i="9" s="1"/>
  <c r="P580" i="9"/>
  <c r="O580" i="9"/>
  <c r="N580" i="9"/>
  <c r="M580" i="9"/>
  <c r="L580" i="9"/>
  <c r="S579" i="9"/>
  <c r="R579" i="9"/>
  <c r="U579" i="9" s="1"/>
  <c r="Q579" i="9"/>
  <c r="T579" i="9" s="1"/>
  <c r="N579" i="9"/>
  <c r="M579" i="9"/>
  <c r="P579" i="9" s="1"/>
  <c r="L579" i="9"/>
  <c r="O579" i="9" s="1"/>
  <c r="T578" i="9"/>
  <c r="S578" i="9"/>
  <c r="R578" i="9"/>
  <c r="U578" i="9" s="1"/>
  <c r="Q578" i="9"/>
  <c r="N578" i="9"/>
  <c r="N577" i="9" s="1"/>
  <c r="M578" i="9"/>
  <c r="P578" i="9" s="1"/>
  <c r="L578" i="9"/>
  <c r="J576" i="9"/>
  <c r="I576" i="9"/>
  <c r="K576" i="9" s="1"/>
  <c r="U564" i="9"/>
  <c r="T564" i="9"/>
  <c r="P564" i="9"/>
  <c r="O564" i="9"/>
  <c r="U563" i="9"/>
  <c r="T563" i="9"/>
  <c r="P563" i="9"/>
  <c r="O563" i="9"/>
  <c r="S562" i="9"/>
  <c r="R562" i="9"/>
  <c r="U562" i="9" s="1"/>
  <c r="Q562" i="9"/>
  <c r="T562" i="9" s="1"/>
  <c r="N562" i="9"/>
  <c r="M562" i="9"/>
  <c r="P562" i="9" s="1"/>
  <c r="L562" i="9"/>
  <c r="O562" i="9" s="1"/>
  <c r="U561" i="9"/>
  <c r="T561" i="9"/>
  <c r="P561" i="9"/>
  <c r="O561" i="9"/>
  <c r="U560" i="9"/>
  <c r="T560" i="9"/>
  <c r="P560" i="9"/>
  <c r="O560" i="9"/>
  <c r="S559" i="9"/>
  <c r="R559" i="9"/>
  <c r="U559" i="9" s="1"/>
  <c r="Q559" i="9"/>
  <c r="T559" i="9" s="1"/>
  <c r="N559" i="9"/>
  <c r="M559" i="9"/>
  <c r="P559" i="9" s="1"/>
  <c r="L559" i="9"/>
  <c r="O559" i="9" s="1"/>
  <c r="S558" i="9"/>
  <c r="R558" i="9"/>
  <c r="U558" i="9" s="1"/>
  <c r="Q558" i="9"/>
  <c r="T558" i="9" s="1"/>
  <c r="N558" i="9"/>
  <c r="M558" i="9"/>
  <c r="P558" i="9" s="1"/>
  <c r="L558" i="9"/>
  <c r="U557" i="9"/>
  <c r="S557" i="9"/>
  <c r="R557" i="9"/>
  <c r="Q557" i="9"/>
  <c r="T557" i="9" s="1"/>
  <c r="O557" i="9"/>
  <c r="N557" i="9"/>
  <c r="M557" i="9"/>
  <c r="P557" i="9" s="1"/>
  <c r="L557" i="9"/>
  <c r="Q556" i="9"/>
  <c r="T556" i="9" s="1"/>
  <c r="J555" i="9"/>
  <c r="I555" i="9"/>
  <c r="K555" i="9" s="1"/>
  <c r="U543" i="9"/>
  <c r="T543" i="9"/>
  <c r="P543" i="9"/>
  <c r="O543" i="9"/>
  <c r="U542" i="9"/>
  <c r="T542" i="9"/>
  <c r="P542" i="9"/>
  <c r="O542" i="9"/>
  <c r="S541" i="9"/>
  <c r="R541" i="9"/>
  <c r="U541" i="9" s="1"/>
  <c r="Q541" i="9"/>
  <c r="T541" i="9" s="1"/>
  <c r="N541" i="9"/>
  <c r="M541" i="9"/>
  <c r="P541" i="9" s="1"/>
  <c r="L541" i="9"/>
  <c r="O541" i="9" s="1"/>
  <c r="U540" i="9"/>
  <c r="T540" i="9"/>
  <c r="P540" i="9"/>
  <c r="O540" i="9"/>
  <c r="U539" i="9"/>
  <c r="T539" i="9"/>
  <c r="P539" i="9"/>
  <c r="O539" i="9"/>
  <c r="S538" i="9"/>
  <c r="R538" i="9"/>
  <c r="U538" i="9" s="1"/>
  <c r="Q538" i="9"/>
  <c r="T538" i="9" s="1"/>
  <c r="P538" i="9"/>
  <c r="N538" i="9"/>
  <c r="M538" i="9"/>
  <c r="L538" i="9"/>
  <c r="O538" i="9" s="1"/>
  <c r="T537" i="9"/>
  <c r="S537" i="9"/>
  <c r="R537" i="9"/>
  <c r="U537" i="9" s="1"/>
  <c r="Q537" i="9"/>
  <c r="N537" i="9"/>
  <c r="M537" i="9"/>
  <c r="P537" i="9" s="1"/>
  <c r="L537" i="9"/>
  <c r="O537" i="9" s="1"/>
  <c r="S536" i="9"/>
  <c r="R536" i="9"/>
  <c r="U536" i="9" s="1"/>
  <c r="Q536" i="9"/>
  <c r="N536" i="9"/>
  <c r="M536" i="9"/>
  <c r="L536" i="9"/>
  <c r="O536" i="9" s="1"/>
  <c r="R535" i="9"/>
  <c r="U535" i="9" s="1"/>
  <c r="J534" i="9"/>
  <c r="I534" i="9"/>
  <c r="K534" i="9" s="1"/>
  <c r="K525" i="9"/>
  <c r="K524" i="9"/>
  <c r="U522" i="9"/>
  <c r="T522" i="9"/>
  <c r="N522" i="9"/>
  <c r="N520" i="9" s="1"/>
  <c r="M522" i="9"/>
  <c r="P522" i="9" s="1"/>
  <c r="L522" i="9"/>
  <c r="O522" i="9" s="1"/>
  <c r="U521" i="9"/>
  <c r="T521" i="9"/>
  <c r="P521" i="9"/>
  <c r="O521" i="9"/>
  <c r="T520" i="9"/>
  <c r="S520" i="9"/>
  <c r="R520" i="9"/>
  <c r="U520" i="9" s="1"/>
  <c r="Q520" i="9"/>
  <c r="U519" i="9"/>
  <c r="T519" i="9"/>
  <c r="N519" i="9"/>
  <c r="N517" i="9" s="1"/>
  <c r="M519" i="9"/>
  <c r="L519" i="9"/>
  <c r="U518" i="9"/>
  <c r="T518" i="9"/>
  <c r="P518" i="9"/>
  <c r="O518" i="9"/>
  <c r="T517" i="9"/>
  <c r="S517" i="9"/>
  <c r="R517" i="9"/>
  <c r="U517" i="9" s="1"/>
  <c r="Q517" i="9"/>
  <c r="S516" i="9"/>
  <c r="R516" i="9"/>
  <c r="U516" i="9" s="1"/>
  <c r="Q516" i="9"/>
  <c r="S515" i="9"/>
  <c r="R515" i="9"/>
  <c r="Q515" i="9"/>
  <c r="T515" i="9" s="1"/>
  <c r="N515" i="9"/>
  <c r="M515" i="9"/>
  <c r="L515" i="9"/>
  <c r="O515" i="9" s="1"/>
  <c r="J513" i="9"/>
  <c r="I513" i="9"/>
  <c r="K513" i="9" s="1"/>
  <c r="I510" i="9"/>
  <c r="K510" i="9" s="1"/>
  <c r="K509" i="9"/>
  <c r="I508" i="9"/>
  <c r="K508" i="9" s="1"/>
  <c r="I507" i="9"/>
  <c r="K507" i="9" s="1"/>
  <c r="I506" i="9"/>
  <c r="K506" i="9" s="1"/>
  <c r="I505" i="9"/>
  <c r="I504" i="9"/>
  <c r="K504" i="9" s="1"/>
  <c r="U502" i="9"/>
  <c r="T502" i="9"/>
  <c r="P502" i="9"/>
  <c r="O502" i="9"/>
  <c r="U501" i="9"/>
  <c r="T501" i="9"/>
  <c r="P501" i="9"/>
  <c r="O501" i="9"/>
  <c r="U500" i="9"/>
  <c r="S500" i="9"/>
  <c r="R500" i="9"/>
  <c r="Q500" i="9"/>
  <c r="T500" i="9" s="1"/>
  <c r="N500" i="9"/>
  <c r="M500" i="9"/>
  <c r="P500" i="9" s="1"/>
  <c r="L500" i="9"/>
  <c r="O500" i="9" s="1"/>
  <c r="S499" i="9"/>
  <c r="R499" i="9"/>
  <c r="R497" i="9" s="1"/>
  <c r="U497" i="9" s="1"/>
  <c r="Q499" i="9"/>
  <c r="T499" i="9" s="1"/>
  <c r="P499" i="9"/>
  <c r="O499" i="9"/>
  <c r="U498" i="9"/>
  <c r="T498" i="9"/>
  <c r="P498" i="9"/>
  <c r="O498" i="9"/>
  <c r="N497" i="9"/>
  <c r="M497" i="9"/>
  <c r="P497" i="9" s="1"/>
  <c r="L497" i="9"/>
  <c r="O497" i="9" s="1"/>
  <c r="N496" i="9"/>
  <c r="M496" i="9"/>
  <c r="P496" i="9" s="1"/>
  <c r="L496" i="9"/>
  <c r="O496" i="9" s="1"/>
  <c r="S495" i="9"/>
  <c r="R495" i="9"/>
  <c r="U495" i="9" s="1"/>
  <c r="Q495" i="9"/>
  <c r="T495" i="9" s="1"/>
  <c r="N495" i="9"/>
  <c r="M495" i="9"/>
  <c r="P495" i="9" s="1"/>
  <c r="L495" i="9"/>
  <c r="M494" i="9"/>
  <c r="P494" i="9" s="1"/>
  <c r="J486" i="9"/>
  <c r="I486" i="9"/>
  <c r="K486" i="9" s="1"/>
  <c r="J485" i="9"/>
  <c r="I485" i="9"/>
  <c r="K485" i="9" s="1"/>
  <c r="J484" i="9"/>
  <c r="J483" i="9"/>
  <c r="K478" i="9"/>
  <c r="J478" i="9"/>
  <c r="K477" i="9"/>
  <c r="J477" i="9"/>
  <c r="K476" i="9"/>
  <c r="J476" i="9"/>
  <c r="J469" i="9"/>
  <c r="J468" i="9"/>
  <c r="J461" i="9"/>
  <c r="J459" i="9" s="1"/>
  <c r="J460" i="9"/>
  <c r="J458" i="9" s="1"/>
  <c r="J457" i="9" s="1"/>
  <c r="I459" i="9"/>
  <c r="K459" i="9" s="1"/>
  <c r="I458" i="9"/>
  <c r="J448" i="9"/>
  <c r="J442" i="9" s="1"/>
  <c r="J447" i="9"/>
  <c r="J441" i="9" s="1"/>
  <c r="J424" i="9" s="1"/>
  <c r="J413" i="9" s="1"/>
  <c r="I442" i="9"/>
  <c r="K442" i="9" s="1"/>
  <c r="I441" i="9"/>
  <c r="J434" i="9"/>
  <c r="I434" i="9"/>
  <c r="K434" i="9" s="1"/>
  <c r="J433" i="9"/>
  <c r="I433" i="9"/>
  <c r="K433" i="9" s="1"/>
  <c r="J426" i="9"/>
  <c r="I426" i="9"/>
  <c r="K426" i="9" s="1"/>
  <c r="J425" i="9"/>
  <c r="I425" i="9"/>
  <c r="K425" i="9" s="1"/>
  <c r="U422" i="9"/>
  <c r="T422" i="9"/>
  <c r="P422" i="9"/>
  <c r="O422" i="9"/>
  <c r="U421" i="9"/>
  <c r="T421" i="9"/>
  <c r="P421" i="9"/>
  <c r="O421" i="9"/>
  <c r="S420" i="9"/>
  <c r="R420" i="9"/>
  <c r="U420" i="9" s="1"/>
  <c r="Q420" i="9"/>
  <c r="T420" i="9" s="1"/>
  <c r="N420" i="9"/>
  <c r="M420" i="9"/>
  <c r="P420" i="9" s="1"/>
  <c r="L420" i="9"/>
  <c r="O420" i="9" s="1"/>
  <c r="S419" i="9"/>
  <c r="S416" i="9" s="1"/>
  <c r="R419" i="9"/>
  <c r="U419" i="9" s="1"/>
  <c r="Q419" i="9"/>
  <c r="T419" i="9" s="1"/>
  <c r="P419" i="9"/>
  <c r="O419" i="9"/>
  <c r="U418" i="9"/>
  <c r="T418" i="9"/>
  <c r="P418" i="9"/>
  <c r="O418" i="9"/>
  <c r="N417" i="9"/>
  <c r="M417" i="9"/>
  <c r="P417" i="9" s="1"/>
  <c r="L417" i="9"/>
  <c r="O417" i="9" s="1"/>
  <c r="O416" i="9"/>
  <c r="N416" i="9"/>
  <c r="N414" i="9" s="1"/>
  <c r="M416" i="9"/>
  <c r="P416" i="9" s="1"/>
  <c r="L416" i="9"/>
  <c r="S415" i="9"/>
  <c r="R415" i="9"/>
  <c r="U415" i="9" s="1"/>
  <c r="Q415" i="9"/>
  <c r="O415" i="9"/>
  <c r="N415" i="9"/>
  <c r="M415" i="9"/>
  <c r="P415" i="9" s="1"/>
  <c r="L415" i="9"/>
  <c r="L414" i="9"/>
  <c r="O414" i="9" s="1"/>
  <c r="U401" i="9"/>
  <c r="T401" i="9"/>
  <c r="P401" i="9"/>
  <c r="O401" i="9"/>
  <c r="U400" i="9"/>
  <c r="T400" i="9"/>
  <c r="P400" i="9"/>
  <c r="O400" i="9"/>
  <c r="S399" i="9"/>
  <c r="R399" i="9"/>
  <c r="U399" i="9" s="1"/>
  <c r="Q399" i="9"/>
  <c r="T399" i="9" s="1"/>
  <c r="N399" i="9"/>
  <c r="M399" i="9"/>
  <c r="P399" i="9" s="1"/>
  <c r="L399" i="9"/>
  <c r="O399" i="9" s="1"/>
  <c r="U398" i="9"/>
  <c r="T398" i="9"/>
  <c r="P398" i="9"/>
  <c r="O398" i="9"/>
  <c r="U397" i="9"/>
  <c r="T397" i="9"/>
  <c r="P397" i="9"/>
  <c r="O397" i="9"/>
  <c r="S396" i="9"/>
  <c r="R396" i="9"/>
  <c r="U396" i="9" s="1"/>
  <c r="Q396" i="9"/>
  <c r="T396" i="9" s="1"/>
  <c r="P396" i="9"/>
  <c r="N396" i="9"/>
  <c r="M396" i="9"/>
  <c r="L396" i="9"/>
  <c r="O396" i="9" s="1"/>
  <c r="S395" i="9"/>
  <c r="R395" i="9"/>
  <c r="U395" i="9" s="1"/>
  <c r="Q395" i="9"/>
  <c r="T395" i="9" s="1"/>
  <c r="N395" i="9"/>
  <c r="M395" i="9"/>
  <c r="P395" i="9" s="1"/>
  <c r="L395" i="9"/>
  <c r="O395" i="9" s="1"/>
  <c r="S394" i="9"/>
  <c r="S393" i="9" s="1"/>
  <c r="R394" i="9"/>
  <c r="U394" i="9" s="1"/>
  <c r="Q394" i="9"/>
  <c r="N394" i="9"/>
  <c r="N393" i="9" s="1"/>
  <c r="M394" i="9"/>
  <c r="P394" i="9" s="1"/>
  <c r="L394" i="9"/>
  <c r="O394" i="9" s="1"/>
  <c r="J392" i="9"/>
  <c r="I392" i="9"/>
  <c r="K392" i="9" s="1"/>
  <c r="K389" i="9"/>
  <c r="K388" i="9"/>
  <c r="I387" i="9"/>
  <c r="K387" i="9" s="1"/>
  <c r="I386" i="9"/>
  <c r="K386" i="9" s="1"/>
  <c r="U384" i="9"/>
  <c r="T384" i="9"/>
  <c r="P384" i="9"/>
  <c r="O384" i="9"/>
  <c r="U383" i="9"/>
  <c r="T383" i="9"/>
  <c r="P383" i="9"/>
  <c r="O383" i="9"/>
  <c r="U382" i="9"/>
  <c r="S382" i="9"/>
  <c r="R382" i="9"/>
  <c r="Q382" i="9"/>
  <c r="T382" i="9" s="1"/>
  <c r="P382" i="9"/>
  <c r="O382" i="9"/>
  <c r="N382" i="9"/>
  <c r="M382" i="9"/>
  <c r="L382" i="9"/>
  <c r="S381" i="9"/>
  <c r="S378" i="9" s="1"/>
  <c r="R381" i="9"/>
  <c r="U381" i="9" s="1"/>
  <c r="P381" i="9"/>
  <c r="O381" i="9"/>
  <c r="U380" i="9"/>
  <c r="T380" i="9"/>
  <c r="P380" i="9"/>
  <c r="O380" i="9"/>
  <c r="N379" i="9"/>
  <c r="M379" i="9"/>
  <c r="P379" i="9" s="1"/>
  <c r="L379" i="9"/>
  <c r="O379" i="9" s="1"/>
  <c r="N378" i="9"/>
  <c r="M378" i="9"/>
  <c r="P378" i="9" s="1"/>
  <c r="L378" i="9"/>
  <c r="O378" i="9" s="1"/>
  <c r="S377" i="9"/>
  <c r="R377" i="9"/>
  <c r="U377" i="9" s="1"/>
  <c r="Q377" i="9"/>
  <c r="T377" i="9" s="1"/>
  <c r="N377" i="9"/>
  <c r="M377" i="9"/>
  <c r="L377" i="9"/>
  <c r="O377" i="9" s="1"/>
  <c r="J375" i="9"/>
  <c r="D374" i="9"/>
  <c r="K373" i="9"/>
  <c r="J373" i="9"/>
  <c r="J372" i="9"/>
  <c r="J366" i="9" s="1"/>
  <c r="I372" i="9"/>
  <c r="I366" i="9" s="1"/>
  <c r="K366" i="9" s="1"/>
  <c r="K371" i="9"/>
  <c r="J371" i="9"/>
  <c r="J370" i="9"/>
  <c r="I370" i="9"/>
  <c r="K370" i="9" s="1"/>
  <c r="J369" i="9"/>
  <c r="I369" i="9"/>
  <c r="K369" i="9" s="1"/>
  <c r="K368" i="9"/>
  <c r="J368" i="9"/>
  <c r="U365" i="9"/>
  <c r="T365" i="9"/>
  <c r="N365" i="9"/>
  <c r="N363" i="9" s="1"/>
  <c r="M365" i="9"/>
  <c r="L365" i="9"/>
  <c r="O365" i="9" s="1"/>
  <c r="U364" i="9"/>
  <c r="T364" i="9"/>
  <c r="P364" i="9"/>
  <c r="O364" i="9"/>
  <c r="T363" i="9"/>
  <c r="S363" i="9"/>
  <c r="R363" i="9"/>
  <c r="U363" i="9" s="1"/>
  <c r="Q363" i="9"/>
  <c r="U362" i="9"/>
  <c r="T362" i="9"/>
  <c r="N362" i="9"/>
  <c r="M362" i="9"/>
  <c r="M360" i="9" s="1"/>
  <c r="L362" i="9"/>
  <c r="L360" i="9" s="1"/>
  <c r="U361" i="9"/>
  <c r="T361" i="9"/>
  <c r="P361" i="9"/>
  <c r="O361" i="9"/>
  <c r="U360" i="9"/>
  <c r="S360" i="9"/>
  <c r="R360" i="9"/>
  <c r="Q360" i="9"/>
  <c r="T360" i="9" s="1"/>
  <c r="U359" i="9"/>
  <c r="T359" i="9"/>
  <c r="S359" i="9"/>
  <c r="S357" i="9" s="1"/>
  <c r="R359" i="9"/>
  <c r="Q359" i="9"/>
  <c r="U358" i="9"/>
  <c r="S358" i="9"/>
  <c r="R358" i="9"/>
  <c r="R357" i="9" s="1"/>
  <c r="Q358" i="9"/>
  <c r="O358" i="9"/>
  <c r="N358" i="9"/>
  <c r="M358" i="9"/>
  <c r="P358" i="9" s="1"/>
  <c r="L358" i="9"/>
  <c r="U357" i="9"/>
  <c r="D355" i="9"/>
  <c r="D351" i="9"/>
  <c r="J350" i="9"/>
  <c r="J349" i="9"/>
  <c r="J348" i="9"/>
  <c r="J347" i="9"/>
  <c r="I347" i="9"/>
  <c r="J345" i="9"/>
  <c r="I345" i="9"/>
  <c r="U342" i="9"/>
  <c r="T342" i="9"/>
  <c r="N342" i="9"/>
  <c r="N340" i="9" s="1"/>
  <c r="M342" i="9"/>
  <c r="M340" i="9" s="1"/>
  <c r="P340" i="9" s="1"/>
  <c r="L342" i="9"/>
  <c r="O342" i="9" s="1"/>
  <c r="U341" i="9"/>
  <c r="T341" i="9"/>
  <c r="P341" i="9"/>
  <c r="O341" i="9"/>
  <c r="U340" i="9"/>
  <c r="S340" i="9"/>
  <c r="R340" i="9"/>
  <c r="Q340" i="9"/>
  <c r="T340" i="9" s="1"/>
  <c r="U339" i="9"/>
  <c r="T339" i="9"/>
  <c r="N339" i="9"/>
  <c r="N337" i="9" s="1"/>
  <c r="M339" i="9"/>
  <c r="M337" i="9" s="1"/>
  <c r="L339" i="9"/>
  <c r="U338" i="9"/>
  <c r="T338" i="9"/>
  <c r="P338" i="9"/>
  <c r="O338" i="9"/>
  <c r="T337" i="9"/>
  <c r="S337" i="9"/>
  <c r="R337" i="9"/>
  <c r="U337" i="9" s="1"/>
  <c r="Q337" i="9"/>
  <c r="S336" i="9"/>
  <c r="R336" i="9"/>
  <c r="U336" i="9" s="1"/>
  <c r="Q336" i="9"/>
  <c r="T336" i="9" s="1"/>
  <c r="T335" i="9"/>
  <c r="S335" i="9"/>
  <c r="R335" i="9"/>
  <c r="U335" i="9" s="1"/>
  <c r="Q335" i="9"/>
  <c r="Q334" i="9" s="1"/>
  <c r="P335" i="9"/>
  <c r="N335" i="9"/>
  <c r="M335" i="9"/>
  <c r="L335" i="9"/>
  <c r="O335" i="9" s="1"/>
  <c r="T334" i="9"/>
  <c r="S334" i="9"/>
  <c r="I331" i="9"/>
  <c r="U329" i="9"/>
  <c r="T329" i="9"/>
  <c r="N329" i="9"/>
  <c r="N327" i="9" s="1"/>
  <c r="M329" i="9"/>
  <c r="M327" i="9" s="1"/>
  <c r="P327" i="9" s="1"/>
  <c r="L329" i="9"/>
  <c r="U328" i="9"/>
  <c r="T328" i="9"/>
  <c r="P328" i="9"/>
  <c r="O328" i="9"/>
  <c r="T327" i="9"/>
  <c r="S327" i="9"/>
  <c r="R327" i="9"/>
  <c r="U327" i="9" s="1"/>
  <c r="Q327" i="9"/>
  <c r="U326" i="9"/>
  <c r="T326" i="9"/>
  <c r="N326" i="9"/>
  <c r="N324" i="9" s="1"/>
  <c r="M326" i="9"/>
  <c r="P326" i="9" s="1"/>
  <c r="L326" i="9"/>
  <c r="L324" i="9" s="1"/>
  <c r="O324" i="9" s="1"/>
  <c r="U325" i="9"/>
  <c r="T325" i="9"/>
  <c r="P325" i="9"/>
  <c r="O325" i="9"/>
  <c r="S324" i="9"/>
  <c r="R324" i="9"/>
  <c r="U324" i="9" s="1"/>
  <c r="Q324" i="9"/>
  <c r="T324" i="9" s="1"/>
  <c r="U323" i="9"/>
  <c r="S323" i="9"/>
  <c r="R323" i="9"/>
  <c r="Q323" i="9"/>
  <c r="T323" i="9" s="1"/>
  <c r="U322" i="9"/>
  <c r="T322" i="9"/>
  <c r="S322" i="9"/>
  <c r="S321" i="9" s="1"/>
  <c r="R322" i="9"/>
  <c r="Q322" i="9"/>
  <c r="Q321" i="9" s="1"/>
  <c r="T321" i="9" s="1"/>
  <c r="O322" i="9"/>
  <c r="N322" i="9"/>
  <c r="M322" i="9"/>
  <c r="P322" i="9" s="1"/>
  <c r="L322" i="9"/>
  <c r="R321" i="9"/>
  <c r="U321" i="9" s="1"/>
  <c r="J320" i="9"/>
  <c r="I315" i="9"/>
  <c r="K315" i="9" s="1"/>
  <c r="U312" i="9"/>
  <c r="T312" i="9"/>
  <c r="N312" i="9"/>
  <c r="N310" i="9" s="1"/>
  <c r="M312" i="9"/>
  <c r="P312" i="9" s="1"/>
  <c r="L312" i="9"/>
  <c r="L310" i="9" s="1"/>
  <c r="O310" i="9" s="1"/>
  <c r="U311" i="9"/>
  <c r="T311" i="9"/>
  <c r="P311" i="9"/>
  <c r="O311" i="9"/>
  <c r="U310" i="9"/>
  <c r="S310" i="9"/>
  <c r="R310" i="9"/>
  <c r="Q310" i="9"/>
  <c r="T310" i="9" s="1"/>
  <c r="S309" i="9"/>
  <c r="S306" i="9" s="1"/>
  <c r="R309" i="9"/>
  <c r="R307" i="9" s="1"/>
  <c r="U307" i="9" s="1"/>
  <c r="Q309" i="9"/>
  <c r="Q306" i="9" s="1"/>
  <c r="N309" i="9"/>
  <c r="M309" i="9"/>
  <c r="P309" i="9" s="1"/>
  <c r="L309" i="9"/>
  <c r="L307" i="9" s="1"/>
  <c r="O307" i="9" s="1"/>
  <c r="U308" i="9"/>
  <c r="T308" i="9"/>
  <c r="P308" i="9"/>
  <c r="O308" i="9"/>
  <c r="U305" i="9"/>
  <c r="S305" i="9"/>
  <c r="R305" i="9"/>
  <c r="Q305" i="9"/>
  <c r="T305" i="9" s="1"/>
  <c r="N305" i="9"/>
  <c r="M305" i="9"/>
  <c r="P305" i="9" s="1"/>
  <c r="L305" i="9"/>
  <c r="O305" i="9" s="1"/>
  <c r="J303" i="9"/>
  <c r="I297" i="9"/>
  <c r="K297" i="9" s="1"/>
  <c r="I296" i="9"/>
  <c r="K296" i="9" s="1"/>
  <c r="J294" i="9"/>
  <c r="J281" i="9" s="1"/>
  <c r="I294" i="9"/>
  <c r="I281" i="9" s="1"/>
  <c r="K281" i="9" s="1"/>
  <c r="I293" i="9"/>
  <c r="K293" i="9" s="1"/>
  <c r="U291" i="9"/>
  <c r="T291" i="9"/>
  <c r="N291" i="9"/>
  <c r="N289" i="9" s="1"/>
  <c r="M291" i="9"/>
  <c r="M289" i="9" s="1"/>
  <c r="P289" i="9" s="1"/>
  <c r="L291" i="9"/>
  <c r="L289" i="9" s="1"/>
  <c r="O289" i="9" s="1"/>
  <c r="U290" i="9"/>
  <c r="T290" i="9"/>
  <c r="P290" i="9"/>
  <c r="O290" i="9"/>
  <c r="S289" i="9"/>
  <c r="R289" i="9"/>
  <c r="U289" i="9" s="1"/>
  <c r="Q289" i="9"/>
  <c r="T289" i="9" s="1"/>
  <c r="U288" i="9"/>
  <c r="T288" i="9"/>
  <c r="N288" i="9"/>
  <c r="N286" i="9" s="1"/>
  <c r="M288" i="9"/>
  <c r="P288" i="9" s="1"/>
  <c r="L288" i="9"/>
  <c r="L286" i="9" s="1"/>
  <c r="O286" i="9" s="1"/>
  <c r="U287" i="9"/>
  <c r="T287" i="9"/>
  <c r="P287" i="9"/>
  <c r="O287" i="9"/>
  <c r="U286" i="9"/>
  <c r="S286" i="9"/>
  <c r="R286" i="9"/>
  <c r="Q286" i="9"/>
  <c r="T286" i="9" s="1"/>
  <c r="U285" i="9"/>
  <c r="T285" i="9"/>
  <c r="S285" i="9"/>
  <c r="R285" i="9"/>
  <c r="Q285" i="9"/>
  <c r="U284" i="9"/>
  <c r="S284" i="9"/>
  <c r="R284" i="9"/>
  <c r="Q284" i="9"/>
  <c r="P284" i="9"/>
  <c r="O284" i="9"/>
  <c r="N284" i="9"/>
  <c r="M284" i="9"/>
  <c r="L284" i="9"/>
  <c r="S283" i="9"/>
  <c r="J282" i="9"/>
  <c r="I277" i="9"/>
  <c r="K277" i="9" s="1"/>
  <c r="U275" i="9"/>
  <c r="T275" i="9"/>
  <c r="N275" i="9"/>
  <c r="M275" i="9"/>
  <c r="M273" i="9" s="1"/>
  <c r="P273" i="9" s="1"/>
  <c r="L275" i="9"/>
  <c r="O275" i="9" s="1"/>
  <c r="U274" i="9"/>
  <c r="T274" i="9"/>
  <c r="P274" i="9"/>
  <c r="O274" i="9"/>
  <c r="U273" i="9"/>
  <c r="T273" i="9"/>
  <c r="S273" i="9"/>
  <c r="R273" i="9"/>
  <c r="Q273" i="9"/>
  <c r="S272" i="9"/>
  <c r="R272" i="9"/>
  <c r="R270" i="9" s="1"/>
  <c r="Q272" i="9"/>
  <c r="Q270" i="9" s="1"/>
  <c r="N272" i="9"/>
  <c r="N270" i="9" s="1"/>
  <c r="M272" i="9"/>
  <c r="M270" i="9" s="1"/>
  <c r="L272" i="9"/>
  <c r="U271" i="9"/>
  <c r="T271" i="9"/>
  <c r="P271" i="9"/>
  <c r="O271" i="9"/>
  <c r="S268" i="9"/>
  <c r="R268" i="9"/>
  <c r="U268" i="9" s="1"/>
  <c r="Q268" i="9"/>
  <c r="T268" i="9" s="1"/>
  <c r="N268" i="9"/>
  <c r="M268" i="9"/>
  <c r="L268" i="9"/>
  <c r="O268" i="9" s="1"/>
  <c r="J266" i="9"/>
  <c r="K264" i="9"/>
  <c r="K263" i="9"/>
  <c r="I261" i="9"/>
  <c r="L259" i="9"/>
  <c r="L258" i="9"/>
  <c r="L257" i="9"/>
  <c r="L256" i="9"/>
  <c r="P255" i="9"/>
  <c r="N255" i="9"/>
  <c r="J254" i="9"/>
  <c r="I253" i="9"/>
  <c r="K253" i="9" s="1"/>
  <c r="I252" i="9"/>
  <c r="K252" i="9" s="1"/>
  <c r="I250" i="9"/>
  <c r="K250" i="9" s="1"/>
  <c r="L248" i="9"/>
  <c r="L247" i="9"/>
  <c r="L246" i="9"/>
  <c r="L245" i="9"/>
  <c r="P244" i="9"/>
  <c r="N244" i="9"/>
  <c r="N233" i="9" s="1"/>
  <c r="J243" i="9"/>
  <c r="J232" i="9" s="1"/>
  <c r="J186" i="9" s="1"/>
  <c r="J242" i="9"/>
  <c r="J241" i="9"/>
  <c r="J239" i="9"/>
  <c r="N237" i="9"/>
  <c r="N236" i="9"/>
  <c r="N235" i="9"/>
  <c r="N234" i="9"/>
  <c r="I231" i="9"/>
  <c r="K231" i="9" s="1"/>
  <c r="I230" i="9"/>
  <c r="K230" i="9" s="1"/>
  <c r="I229" i="9"/>
  <c r="K229" i="9" s="1"/>
  <c r="L226" i="9"/>
  <c r="L225" i="9"/>
  <c r="L224" i="9"/>
  <c r="P223" i="9"/>
  <c r="N223" i="9"/>
  <c r="J222" i="9"/>
  <c r="I221" i="9"/>
  <c r="I214" i="9" s="1"/>
  <c r="K214" i="9" s="1"/>
  <c r="I220" i="9"/>
  <c r="K220" i="9" s="1"/>
  <c r="L218" i="9"/>
  <c r="L217" i="9"/>
  <c r="L216" i="9"/>
  <c r="P215" i="9"/>
  <c r="N215" i="9"/>
  <c r="J214" i="9"/>
  <c r="I213" i="9"/>
  <c r="K213" i="9" s="1"/>
  <c r="I212" i="9"/>
  <c r="K212" i="9" s="1"/>
  <c r="I210" i="9"/>
  <c r="I203" i="9" s="1"/>
  <c r="K203" i="9" s="1"/>
  <c r="L208" i="9"/>
  <c r="L207" i="9"/>
  <c r="L206" i="9"/>
  <c r="L205" i="9"/>
  <c r="P204" i="9"/>
  <c r="N204" i="9"/>
  <c r="J203" i="9"/>
  <c r="J200" i="9"/>
  <c r="I199" i="9"/>
  <c r="K199" i="9" s="1"/>
  <c r="P197" i="9"/>
  <c r="L197" i="9"/>
  <c r="O197" i="9" s="1"/>
  <c r="J196" i="9"/>
  <c r="U195" i="9"/>
  <c r="T195" i="9"/>
  <c r="N195" i="9"/>
  <c r="N193" i="9" s="1"/>
  <c r="M195" i="9"/>
  <c r="M193" i="9" s="1"/>
  <c r="P193" i="9" s="1"/>
  <c r="L195" i="9"/>
  <c r="O195" i="9" s="1"/>
  <c r="U194" i="9"/>
  <c r="T194" i="9"/>
  <c r="P194" i="9"/>
  <c r="O194" i="9"/>
  <c r="S193" i="9"/>
  <c r="R193" i="9"/>
  <c r="U193" i="9" s="1"/>
  <c r="Q193" i="9"/>
  <c r="T193" i="9" s="1"/>
  <c r="S192" i="9"/>
  <c r="S190" i="9" s="1"/>
  <c r="R192" i="9"/>
  <c r="U192" i="9" s="1"/>
  <c r="Q192" i="9"/>
  <c r="Q189" i="9" s="1"/>
  <c r="N192" i="9"/>
  <c r="M192" i="9"/>
  <c r="M190" i="9" s="1"/>
  <c r="L192" i="9"/>
  <c r="L190" i="9" s="1"/>
  <c r="U191" i="9"/>
  <c r="T191" i="9"/>
  <c r="P191" i="9"/>
  <c r="O191" i="9"/>
  <c r="U188" i="9"/>
  <c r="T188" i="9"/>
  <c r="S188" i="9"/>
  <c r="R188" i="9"/>
  <c r="Q188" i="9"/>
  <c r="O188" i="9"/>
  <c r="N188" i="9"/>
  <c r="M188" i="9"/>
  <c r="P188" i="9" s="1"/>
  <c r="L188" i="9"/>
  <c r="K185" i="9"/>
  <c r="I184" i="9"/>
  <c r="K184" i="9" s="1"/>
  <c r="U182" i="9"/>
  <c r="T182" i="9"/>
  <c r="N182" i="9"/>
  <c r="N180" i="9" s="1"/>
  <c r="M182" i="9"/>
  <c r="P182" i="9" s="1"/>
  <c r="L182" i="9"/>
  <c r="L180" i="9" s="1"/>
  <c r="O180" i="9" s="1"/>
  <c r="U181" i="9"/>
  <c r="T181" i="9"/>
  <c r="P181" i="9"/>
  <c r="O181" i="9"/>
  <c r="U180" i="9"/>
  <c r="T180" i="9"/>
  <c r="S180" i="9"/>
  <c r="R180" i="9"/>
  <c r="Q180" i="9"/>
  <c r="S179" i="9"/>
  <c r="S177" i="9" s="1"/>
  <c r="R179" i="9"/>
  <c r="R177" i="9" s="1"/>
  <c r="U177" i="9" s="1"/>
  <c r="Q179" i="9"/>
  <c r="Q177" i="9" s="1"/>
  <c r="T177" i="9" s="1"/>
  <c r="N179" i="9"/>
  <c r="N177" i="9" s="1"/>
  <c r="M179" i="9"/>
  <c r="M177" i="9" s="1"/>
  <c r="L179" i="9"/>
  <c r="L177" i="9" s="1"/>
  <c r="U178" i="9"/>
  <c r="T178" i="9"/>
  <c r="P178" i="9"/>
  <c r="O178" i="9"/>
  <c r="S175" i="9"/>
  <c r="R175" i="9"/>
  <c r="Q175" i="9"/>
  <c r="T175" i="9" s="1"/>
  <c r="P175" i="9"/>
  <c r="N175" i="9"/>
  <c r="M175" i="9"/>
  <c r="L175" i="9"/>
  <c r="J173" i="9"/>
  <c r="I170" i="9"/>
  <c r="I157" i="9" s="1"/>
  <c r="K157" i="9" s="1"/>
  <c r="I169" i="9"/>
  <c r="K169" i="9" s="1"/>
  <c r="I168" i="9"/>
  <c r="K168" i="9" s="1"/>
  <c r="U166" i="9"/>
  <c r="T166" i="9"/>
  <c r="N166" i="9"/>
  <c r="N164" i="9" s="1"/>
  <c r="M166" i="9"/>
  <c r="P166" i="9" s="1"/>
  <c r="L166" i="9"/>
  <c r="L164" i="9" s="1"/>
  <c r="O164" i="9" s="1"/>
  <c r="U165" i="9"/>
  <c r="T165" i="9"/>
  <c r="P165" i="9"/>
  <c r="O165" i="9"/>
  <c r="S164" i="9"/>
  <c r="R164" i="9"/>
  <c r="U164" i="9" s="1"/>
  <c r="Q164" i="9"/>
  <c r="T164" i="9" s="1"/>
  <c r="S163" i="9"/>
  <c r="S160" i="9" s="1"/>
  <c r="R163" i="9"/>
  <c r="R161" i="9" s="1"/>
  <c r="U161" i="9" s="1"/>
  <c r="Q161" i="9"/>
  <c r="T161" i="9" s="1"/>
  <c r="N163" i="9"/>
  <c r="N161" i="9" s="1"/>
  <c r="M163" i="9"/>
  <c r="P163" i="9" s="1"/>
  <c r="L163" i="9"/>
  <c r="L161" i="9" s="1"/>
  <c r="O161" i="9" s="1"/>
  <c r="U162" i="9"/>
  <c r="T162" i="9"/>
  <c r="P162" i="9"/>
  <c r="O162" i="9"/>
  <c r="U159" i="9"/>
  <c r="S159" i="9"/>
  <c r="R159" i="9"/>
  <c r="Q159" i="9"/>
  <c r="T159" i="9" s="1"/>
  <c r="N159" i="9"/>
  <c r="M159" i="9"/>
  <c r="P159" i="9" s="1"/>
  <c r="L159" i="9"/>
  <c r="O159" i="9" s="1"/>
  <c r="J157" i="9"/>
  <c r="I155" i="9"/>
  <c r="I154" i="9"/>
  <c r="K154" i="9" s="1"/>
  <c r="I153" i="9"/>
  <c r="K153" i="9" s="1"/>
  <c r="I152" i="9"/>
  <c r="K152" i="9" s="1"/>
  <c r="I151" i="9"/>
  <c r="K151" i="9" s="1"/>
  <c r="U148" i="9"/>
  <c r="T148" i="9"/>
  <c r="N148" i="9"/>
  <c r="N146" i="9" s="1"/>
  <c r="M148" i="9"/>
  <c r="P148" i="9" s="1"/>
  <c r="L148" i="9"/>
  <c r="L146" i="9" s="1"/>
  <c r="O146" i="9" s="1"/>
  <c r="U147" i="9"/>
  <c r="T147" i="9"/>
  <c r="P147" i="9"/>
  <c r="O147" i="9"/>
  <c r="S146" i="9"/>
  <c r="R146" i="9"/>
  <c r="U146" i="9" s="1"/>
  <c r="Q146" i="9"/>
  <c r="T146" i="9" s="1"/>
  <c r="S145" i="9"/>
  <c r="S142" i="9" s="1"/>
  <c r="R145" i="9"/>
  <c r="R143" i="9" s="1"/>
  <c r="U143" i="9" s="1"/>
  <c r="Q145" i="9"/>
  <c r="T145" i="9" s="1"/>
  <c r="N145" i="9"/>
  <c r="N143" i="9" s="1"/>
  <c r="M145" i="9"/>
  <c r="M143" i="9" s="1"/>
  <c r="P143" i="9" s="1"/>
  <c r="L145" i="9"/>
  <c r="L143" i="9" s="1"/>
  <c r="O143" i="9" s="1"/>
  <c r="U144" i="9"/>
  <c r="T144" i="9"/>
  <c r="P144" i="9"/>
  <c r="O144" i="9"/>
  <c r="S141" i="9"/>
  <c r="R141" i="9"/>
  <c r="U141" i="9" s="1"/>
  <c r="Q141" i="9"/>
  <c r="T141" i="9" s="1"/>
  <c r="N141" i="9"/>
  <c r="M141" i="9"/>
  <c r="P141" i="9" s="1"/>
  <c r="L141" i="9"/>
  <c r="O141" i="9" s="1"/>
  <c r="J139" i="9"/>
  <c r="J138" i="9"/>
  <c r="J137" i="9"/>
  <c r="I131" i="9"/>
  <c r="K131" i="9" s="1"/>
  <c r="I130" i="9"/>
  <c r="K130" i="9" s="1"/>
  <c r="I129" i="9"/>
  <c r="K129" i="9" s="1"/>
  <c r="I128" i="9"/>
  <c r="U126" i="9"/>
  <c r="T126" i="9"/>
  <c r="N126" i="9"/>
  <c r="N124" i="9" s="1"/>
  <c r="M126" i="9"/>
  <c r="P126" i="9" s="1"/>
  <c r="L126" i="9"/>
  <c r="L124" i="9" s="1"/>
  <c r="O124" i="9" s="1"/>
  <c r="U125" i="9"/>
  <c r="T125" i="9"/>
  <c r="P125" i="9"/>
  <c r="O125" i="9"/>
  <c r="U124" i="9"/>
  <c r="T124" i="9"/>
  <c r="S124" i="9"/>
  <c r="R124" i="9"/>
  <c r="Q124" i="9"/>
  <c r="S123" i="9"/>
  <c r="S121" i="9" s="1"/>
  <c r="R123" i="9"/>
  <c r="R121" i="9" s="1"/>
  <c r="Q123" i="9"/>
  <c r="Q121" i="9" s="1"/>
  <c r="N123" i="9"/>
  <c r="N121" i="9" s="1"/>
  <c r="M123" i="9"/>
  <c r="P123" i="9" s="1"/>
  <c r="L123" i="9"/>
  <c r="L121" i="9" s="1"/>
  <c r="O121" i="9" s="1"/>
  <c r="U122" i="9"/>
  <c r="T122" i="9"/>
  <c r="P122" i="9"/>
  <c r="O122" i="9"/>
  <c r="S119" i="9"/>
  <c r="R119" i="9"/>
  <c r="Q119" i="9"/>
  <c r="P119" i="9"/>
  <c r="N119" i="9"/>
  <c r="M119" i="9"/>
  <c r="L119" i="9"/>
  <c r="J117" i="9"/>
  <c r="I115" i="9"/>
  <c r="K115" i="9" s="1"/>
  <c r="I110" i="9"/>
  <c r="K110" i="9" s="1"/>
  <c r="I109" i="9"/>
  <c r="I93" i="9" s="1"/>
  <c r="K93" i="9" s="1"/>
  <c r="U103" i="9"/>
  <c r="T103" i="9"/>
  <c r="N103" i="9"/>
  <c r="N101" i="9" s="1"/>
  <c r="M103" i="9"/>
  <c r="P103" i="9" s="1"/>
  <c r="L103" i="9"/>
  <c r="U102" i="9"/>
  <c r="T102" i="9"/>
  <c r="P102" i="9"/>
  <c r="O102" i="9"/>
  <c r="S101" i="9"/>
  <c r="R101" i="9"/>
  <c r="U101" i="9" s="1"/>
  <c r="Q101" i="9"/>
  <c r="T101" i="9" s="1"/>
  <c r="S100" i="9"/>
  <c r="S97" i="9" s="1"/>
  <c r="R100" i="9"/>
  <c r="R97" i="9" s="1"/>
  <c r="U97" i="9" s="1"/>
  <c r="Q98" i="9"/>
  <c r="T98" i="9" s="1"/>
  <c r="N100" i="9"/>
  <c r="N98" i="9" s="1"/>
  <c r="M100" i="9"/>
  <c r="P100" i="9" s="1"/>
  <c r="L100" i="9"/>
  <c r="U99" i="9"/>
  <c r="T99" i="9"/>
  <c r="P99" i="9"/>
  <c r="O99" i="9"/>
  <c r="S96" i="9"/>
  <c r="R96" i="9"/>
  <c r="U96" i="9" s="1"/>
  <c r="Q96" i="9"/>
  <c r="O96" i="9"/>
  <c r="N96" i="9"/>
  <c r="M96" i="9"/>
  <c r="P96" i="9" s="1"/>
  <c r="L96" i="9"/>
  <c r="J94" i="9"/>
  <c r="J93" i="9"/>
  <c r="I91" i="9"/>
  <c r="K91" i="9" s="1"/>
  <c r="I90" i="9"/>
  <c r="K90" i="9" s="1"/>
  <c r="I89" i="9"/>
  <c r="K89" i="9" s="1"/>
  <c r="I88" i="9"/>
  <c r="K88" i="9" s="1"/>
  <c r="I87" i="9"/>
  <c r="K87" i="9" s="1"/>
  <c r="I86" i="9"/>
  <c r="K86" i="9" s="1"/>
  <c r="I85" i="9"/>
  <c r="K85" i="9" s="1"/>
  <c r="J84" i="9"/>
  <c r="J72" i="9" s="1"/>
  <c r="J83" i="9"/>
  <c r="J71" i="9" s="1"/>
  <c r="U81" i="9"/>
  <c r="T81" i="9"/>
  <c r="N81" i="9"/>
  <c r="N79" i="9" s="1"/>
  <c r="M81" i="9"/>
  <c r="M79" i="9" s="1"/>
  <c r="P79" i="9" s="1"/>
  <c r="L81" i="9"/>
  <c r="L79" i="9" s="1"/>
  <c r="O79" i="9" s="1"/>
  <c r="U80" i="9"/>
  <c r="T80" i="9"/>
  <c r="P80" i="9"/>
  <c r="O80" i="9"/>
  <c r="S79" i="9"/>
  <c r="R79" i="9"/>
  <c r="U79" i="9" s="1"/>
  <c r="Q79" i="9"/>
  <c r="T79" i="9" s="1"/>
  <c r="S78" i="9"/>
  <c r="R78" i="9"/>
  <c r="R75" i="9" s="1"/>
  <c r="U75" i="9" s="1"/>
  <c r="N78" i="9"/>
  <c r="N76" i="9" s="1"/>
  <c r="M78" i="9"/>
  <c r="P78" i="9" s="1"/>
  <c r="L78" i="9"/>
  <c r="O78" i="9" s="1"/>
  <c r="U77" i="9"/>
  <c r="T77" i="9"/>
  <c r="P77" i="9"/>
  <c r="O77" i="9"/>
  <c r="U74" i="9"/>
  <c r="S74" i="9"/>
  <c r="R74" i="9"/>
  <c r="Q74" i="9"/>
  <c r="T74" i="9" s="1"/>
  <c r="O74" i="9"/>
  <c r="N74" i="9"/>
  <c r="M74" i="9"/>
  <c r="P74" i="9" s="1"/>
  <c r="L74" i="9"/>
  <c r="U68" i="9"/>
  <c r="T68" i="9"/>
  <c r="N68" i="9"/>
  <c r="N66" i="9" s="1"/>
  <c r="M68" i="9"/>
  <c r="M66" i="9" s="1"/>
  <c r="P66" i="9" s="1"/>
  <c r="L68" i="9"/>
  <c r="O68" i="9" s="1"/>
  <c r="U67" i="9"/>
  <c r="T67" i="9"/>
  <c r="P67" i="9"/>
  <c r="O67" i="9"/>
  <c r="T66" i="9"/>
  <c r="S66" i="9"/>
  <c r="R66" i="9"/>
  <c r="U66" i="9" s="1"/>
  <c r="Q66" i="9"/>
  <c r="U65" i="9"/>
  <c r="T65" i="9"/>
  <c r="N65" i="9"/>
  <c r="N63" i="9" s="1"/>
  <c r="M65" i="9"/>
  <c r="M63" i="9" s="1"/>
  <c r="L65" i="9"/>
  <c r="L63" i="9" s="1"/>
  <c r="U64" i="9"/>
  <c r="T64" i="9"/>
  <c r="P64" i="9"/>
  <c r="O64" i="9"/>
  <c r="U63" i="9"/>
  <c r="T63" i="9"/>
  <c r="S63" i="9"/>
  <c r="R63" i="9"/>
  <c r="Q63" i="9"/>
  <c r="S62" i="9"/>
  <c r="R62" i="9"/>
  <c r="U62" i="9" s="1"/>
  <c r="Q62" i="9"/>
  <c r="T62" i="9" s="1"/>
  <c r="U61" i="9"/>
  <c r="T61" i="9"/>
  <c r="S61" i="9"/>
  <c r="S60" i="9" s="1"/>
  <c r="R61" i="9"/>
  <c r="Q61" i="9"/>
  <c r="O61" i="9"/>
  <c r="N61" i="9"/>
  <c r="M61" i="9"/>
  <c r="P61" i="9" s="1"/>
  <c r="L61" i="9"/>
  <c r="Q60" i="9"/>
  <c r="T60" i="9" s="1"/>
  <c r="U53" i="9"/>
  <c r="T53" i="9"/>
  <c r="N53" i="9"/>
  <c r="M53" i="9"/>
  <c r="L53" i="9"/>
  <c r="O53" i="9" s="1"/>
  <c r="U52" i="9"/>
  <c r="T52" i="9"/>
  <c r="P52" i="9"/>
  <c r="O52" i="9"/>
  <c r="U51" i="9"/>
  <c r="T51" i="9"/>
  <c r="S51" i="9"/>
  <c r="R51" i="9"/>
  <c r="Q51" i="9"/>
  <c r="U50" i="9"/>
  <c r="T50" i="9"/>
  <c r="N50" i="9"/>
  <c r="N48" i="9" s="1"/>
  <c r="M50" i="9"/>
  <c r="L50" i="9"/>
  <c r="L48" i="9" s="1"/>
  <c r="U49" i="9"/>
  <c r="T49" i="9"/>
  <c r="P49" i="9"/>
  <c r="O49" i="9"/>
  <c r="U48" i="9"/>
  <c r="S48" i="9"/>
  <c r="R48" i="9"/>
  <c r="Q48" i="9"/>
  <c r="T48" i="9" s="1"/>
  <c r="U47" i="9"/>
  <c r="S47" i="9"/>
  <c r="R47" i="9"/>
  <c r="Q47" i="9"/>
  <c r="T47" i="9" s="1"/>
  <c r="U46" i="9"/>
  <c r="T46" i="9"/>
  <c r="S46" i="9"/>
  <c r="S45" i="9" s="1"/>
  <c r="R46" i="9"/>
  <c r="Q46" i="9"/>
  <c r="Q45" i="9" s="1"/>
  <c r="T45" i="9" s="1"/>
  <c r="P46" i="9"/>
  <c r="O46" i="9"/>
  <c r="N46" i="9"/>
  <c r="M46" i="9"/>
  <c r="L46" i="9"/>
  <c r="R45" i="9"/>
  <c r="U45" i="9" s="1"/>
  <c r="S27" i="9"/>
  <c r="R27" i="9"/>
  <c r="U27" i="9" s="1"/>
  <c r="Q27" i="9"/>
  <c r="T27" i="9" s="1"/>
  <c r="S26" i="9"/>
  <c r="R26" i="9"/>
  <c r="U26" i="9" s="1"/>
  <c r="Q26" i="9"/>
  <c r="T26" i="9" s="1"/>
  <c r="N26" i="9"/>
  <c r="M26" i="9"/>
  <c r="P26" i="9" s="1"/>
  <c r="L26" i="9"/>
  <c r="O26" i="9" s="1"/>
  <c r="S23" i="9"/>
  <c r="R23" i="9"/>
  <c r="Q23" i="9"/>
  <c r="N23" i="9"/>
  <c r="M23" i="9"/>
  <c r="P23" i="9" s="1"/>
  <c r="L23" i="9"/>
  <c r="A788" i="8"/>
  <c r="J785" i="8"/>
  <c r="I785" i="8"/>
  <c r="J784" i="8"/>
  <c r="I784" i="8"/>
  <c r="J783" i="8"/>
  <c r="I783" i="8"/>
  <c r="J782" i="8"/>
  <c r="I782" i="8"/>
  <c r="J781" i="8"/>
  <c r="I781" i="8"/>
  <c r="J780" i="8"/>
  <c r="I780" i="8"/>
  <c r="J779" i="8"/>
  <c r="I779" i="8"/>
  <c r="J778" i="8"/>
  <c r="I778" i="8"/>
  <c r="H777" i="8"/>
  <c r="I776" i="8"/>
  <c r="I775" i="8"/>
  <c r="I774" i="8"/>
  <c r="I759" i="8" s="1"/>
  <c r="K759" i="8" s="1"/>
  <c r="I772" i="8"/>
  <c r="K772" i="8" s="1"/>
  <c r="I770" i="8"/>
  <c r="K770" i="8" s="1"/>
  <c r="U768" i="8"/>
  <c r="T768" i="8"/>
  <c r="P768" i="8"/>
  <c r="O768" i="8"/>
  <c r="U767" i="8"/>
  <c r="T767" i="8"/>
  <c r="P767" i="8"/>
  <c r="O767" i="8"/>
  <c r="U766" i="8"/>
  <c r="S766" i="8"/>
  <c r="R766" i="8"/>
  <c r="Q766" i="8"/>
  <c r="T766" i="8" s="1"/>
  <c r="P766" i="8"/>
  <c r="O766" i="8"/>
  <c r="N766" i="8"/>
  <c r="M766" i="8"/>
  <c r="L766" i="8"/>
  <c r="S765" i="8"/>
  <c r="S762" i="8" s="1"/>
  <c r="S760" i="8" s="1"/>
  <c r="R765" i="8"/>
  <c r="R762" i="8" s="1"/>
  <c r="Q765" i="8"/>
  <c r="Q762" i="8" s="1"/>
  <c r="P765" i="8"/>
  <c r="O765" i="8"/>
  <c r="U764" i="8"/>
  <c r="T764" i="8"/>
  <c r="P764" i="8"/>
  <c r="O764" i="8"/>
  <c r="N763" i="8"/>
  <c r="M763" i="8"/>
  <c r="P763" i="8" s="1"/>
  <c r="L763" i="8"/>
  <c r="O763" i="8" s="1"/>
  <c r="P762" i="8"/>
  <c r="N762" i="8"/>
  <c r="M762" i="8"/>
  <c r="L762" i="8"/>
  <c r="O762" i="8" s="1"/>
  <c r="U761" i="8"/>
  <c r="T761" i="8"/>
  <c r="S761" i="8"/>
  <c r="R761" i="8"/>
  <c r="Q761" i="8"/>
  <c r="P761" i="8"/>
  <c r="O761" i="8"/>
  <c r="N761" i="8"/>
  <c r="M761" i="8"/>
  <c r="L761" i="8"/>
  <c r="L760" i="8" s="1"/>
  <c r="O760" i="8" s="1"/>
  <c r="N760" i="8"/>
  <c r="M760" i="8"/>
  <c r="P760" i="8" s="1"/>
  <c r="J759" i="8"/>
  <c r="J758" i="8"/>
  <c r="I756" i="8"/>
  <c r="K756" i="8" s="1"/>
  <c r="I753" i="8"/>
  <c r="K753" i="8" s="1"/>
  <c r="I750" i="8"/>
  <c r="K750" i="8" s="1"/>
  <c r="I747" i="8"/>
  <c r="K747" i="8" s="1"/>
  <c r="I745" i="8"/>
  <c r="K745" i="8" s="1"/>
  <c r="I743" i="8"/>
  <c r="K743" i="8" s="1"/>
  <c r="I741" i="8"/>
  <c r="K741" i="8" s="1"/>
  <c r="U737" i="8"/>
  <c r="T737" i="8"/>
  <c r="P737" i="8"/>
  <c r="O737" i="8"/>
  <c r="U736" i="8"/>
  <c r="T736" i="8"/>
  <c r="P736" i="8"/>
  <c r="O736" i="8"/>
  <c r="U735" i="8"/>
  <c r="T735" i="8"/>
  <c r="S735" i="8"/>
  <c r="R735" i="8"/>
  <c r="Q735" i="8"/>
  <c r="P735" i="8"/>
  <c r="O735" i="8"/>
  <c r="N735" i="8"/>
  <c r="M735" i="8"/>
  <c r="L735" i="8"/>
  <c r="S734" i="8"/>
  <c r="S731" i="8" s="1"/>
  <c r="S729" i="8" s="1"/>
  <c r="R734" i="8"/>
  <c r="U734" i="8" s="1"/>
  <c r="Q734" i="8"/>
  <c r="Q732" i="8" s="1"/>
  <c r="T732" i="8" s="1"/>
  <c r="P734" i="8"/>
  <c r="O734" i="8"/>
  <c r="U733" i="8"/>
  <c r="T733" i="8"/>
  <c r="P733" i="8"/>
  <c r="O733" i="8"/>
  <c r="N732" i="8"/>
  <c r="M732" i="8"/>
  <c r="P732" i="8" s="1"/>
  <c r="L732" i="8"/>
  <c r="O732" i="8" s="1"/>
  <c r="P731" i="8"/>
  <c r="O731" i="8"/>
  <c r="N731" i="8"/>
  <c r="M731" i="8"/>
  <c r="L731" i="8"/>
  <c r="U730" i="8"/>
  <c r="T730" i="8"/>
  <c r="S730" i="8"/>
  <c r="R730" i="8"/>
  <c r="Q730" i="8"/>
  <c r="O730" i="8"/>
  <c r="N730" i="8"/>
  <c r="N729" i="8" s="1"/>
  <c r="M730" i="8"/>
  <c r="P730" i="8" s="1"/>
  <c r="L730" i="8"/>
  <c r="M729" i="8"/>
  <c r="P729" i="8" s="1"/>
  <c r="L729" i="8"/>
  <c r="O729" i="8" s="1"/>
  <c r="J728" i="8"/>
  <c r="I728" i="8"/>
  <c r="K728" i="8" s="1"/>
  <c r="J727" i="8"/>
  <c r="I727" i="8"/>
  <c r="K727" i="8" s="1"/>
  <c r="U723" i="8"/>
  <c r="T723" i="8"/>
  <c r="P723" i="8"/>
  <c r="O723" i="8"/>
  <c r="U722" i="8"/>
  <c r="T722" i="8"/>
  <c r="P722" i="8"/>
  <c r="O722" i="8"/>
  <c r="S721" i="8"/>
  <c r="R721" i="8"/>
  <c r="U721" i="8" s="1"/>
  <c r="Q721" i="8"/>
  <c r="T721" i="8" s="1"/>
  <c r="N721" i="8"/>
  <c r="M721" i="8"/>
  <c r="P721" i="8" s="1"/>
  <c r="L721" i="8"/>
  <c r="O721" i="8" s="1"/>
  <c r="U720" i="8"/>
  <c r="T720" i="8"/>
  <c r="P720" i="8"/>
  <c r="O720" i="8"/>
  <c r="U719" i="8"/>
  <c r="T719" i="8"/>
  <c r="P719" i="8"/>
  <c r="O719" i="8"/>
  <c r="S718" i="8"/>
  <c r="R718" i="8"/>
  <c r="U718" i="8" s="1"/>
  <c r="Q718" i="8"/>
  <c r="T718" i="8" s="1"/>
  <c r="N718" i="8"/>
  <c r="M718" i="8"/>
  <c r="P718" i="8" s="1"/>
  <c r="L718" i="8"/>
  <c r="O718" i="8" s="1"/>
  <c r="U717" i="8"/>
  <c r="S717" i="8"/>
  <c r="R717" i="8"/>
  <c r="Q717" i="8"/>
  <c r="P717" i="8"/>
  <c r="O717" i="8"/>
  <c r="N717" i="8"/>
  <c r="M717" i="8"/>
  <c r="L717" i="8"/>
  <c r="U716" i="8"/>
  <c r="T716" i="8"/>
  <c r="S716" i="8"/>
  <c r="R716" i="8"/>
  <c r="Q716" i="8"/>
  <c r="O716" i="8"/>
  <c r="N716" i="8"/>
  <c r="N715" i="8" s="1"/>
  <c r="M716" i="8"/>
  <c r="P716" i="8" s="1"/>
  <c r="L716" i="8"/>
  <c r="S715" i="8"/>
  <c r="R715" i="8"/>
  <c r="U715" i="8" s="1"/>
  <c r="M715" i="8"/>
  <c r="P715" i="8" s="1"/>
  <c r="L715" i="8"/>
  <c r="O715" i="8" s="1"/>
  <c r="K713" i="8"/>
  <c r="J713" i="8"/>
  <c r="K711" i="8"/>
  <c r="J711" i="8"/>
  <c r="J710" i="8"/>
  <c r="I710" i="8"/>
  <c r="K709" i="8"/>
  <c r="J709" i="8"/>
  <c r="J708" i="8"/>
  <c r="J690" i="8" s="1"/>
  <c r="I708" i="8"/>
  <c r="K707" i="8"/>
  <c r="J707" i="8"/>
  <c r="J706" i="8"/>
  <c r="I706" i="8"/>
  <c r="K705" i="8"/>
  <c r="J705" i="8"/>
  <c r="J704" i="8"/>
  <c r="I704" i="8"/>
  <c r="K704" i="8" s="1"/>
  <c r="K703" i="8"/>
  <c r="I701" i="8"/>
  <c r="K701" i="8" s="1"/>
  <c r="U699" i="8"/>
  <c r="T699" i="8"/>
  <c r="P699" i="8"/>
  <c r="O699" i="8"/>
  <c r="U698" i="8"/>
  <c r="T698" i="8"/>
  <c r="P698" i="8"/>
  <c r="O698" i="8"/>
  <c r="S697" i="8"/>
  <c r="R697" i="8"/>
  <c r="U697" i="8" s="1"/>
  <c r="Q697" i="8"/>
  <c r="T697" i="8" s="1"/>
  <c r="P697" i="8"/>
  <c r="N697" i="8"/>
  <c r="M697" i="8"/>
  <c r="L697" i="8"/>
  <c r="O697" i="8" s="1"/>
  <c r="S696" i="8"/>
  <c r="S694" i="8" s="1"/>
  <c r="R696" i="8"/>
  <c r="Q696" i="8"/>
  <c r="Q694" i="8" s="1"/>
  <c r="P696" i="8"/>
  <c r="O696" i="8"/>
  <c r="U695" i="8"/>
  <c r="T695" i="8"/>
  <c r="P695" i="8"/>
  <c r="O695" i="8"/>
  <c r="O694" i="8"/>
  <c r="N694" i="8"/>
  <c r="M694" i="8"/>
  <c r="P694" i="8" s="1"/>
  <c r="L694" i="8"/>
  <c r="N693" i="8"/>
  <c r="M693" i="8"/>
  <c r="L693" i="8"/>
  <c r="U692" i="8"/>
  <c r="S692" i="8"/>
  <c r="R692" i="8"/>
  <c r="Q692" i="8"/>
  <c r="P692" i="8"/>
  <c r="O692" i="8"/>
  <c r="N692" i="8"/>
  <c r="M692" i="8"/>
  <c r="L692" i="8"/>
  <c r="N691" i="8"/>
  <c r="J683" i="8"/>
  <c r="I683" i="8"/>
  <c r="J682" i="8"/>
  <c r="I682" i="8"/>
  <c r="J681" i="8"/>
  <c r="J680" i="8"/>
  <c r="I680" i="8"/>
  <c r="J679" i="8"/>
  <c r="I679" i="8"/>
  <c r="J678" i="8"/>
  <c r="J677" i="8"/>
  <c r="I677" i="8"/>
  <c r="I676" i="8"/>
  <c r="I675" i="8"/>
  <c r="J674" i="8"/>
  <c r="I674" i="8"/>
  <c r="J673" i="8"/>
  <c r="J672" i="8"/>
  <c r="J662" i="8"/>
  <c r="I662" i="8"/>
  <c r="I661" i="8"/>
  <c r="I658" i="8"/>
  <c r="J655" i="8"/>
  <c r="I655" i="8"/>
  <c r="J654" i="8"/>
  <c r="I654" i="8"/>
  <c r="J653" i="8"/>
  <c r="I653" i="8"/>
  <c r="K653" i="8" s="1"/>
  <c r="U651" i="8"/>
  <c r="T651" i="8"/>
  <c r="P651" i="8"/>
  <c r="O651" i="8"/>
  <c r="U650" i="8"/>
  <c r="T650" i="8"/>
  <c r="P650" i="8"/>
  <c r="O650" i="8"/>
  <c r="S649" i="8"/>
  <c r="R649" i="8"/>
  <c r="U649" i="8" s="1"/>
  <c r="Q649" i="8"/>
  <c r="T649" i="8" s="1"/>
  <c r="P649" i="8"/>
  <c r="N649" i="8"/>
  <c r="M649" i="8"/>
  <c r="L649" i="8"/>
  <c r="O649" i="8" s="1"/>
  <c r="S648" i="8"/>
  <c r="S646" i="8" s="1"/>
  <c r="R648" i="8"/>
  <c r="Q648" i="8"/>
  <c r="Q646" i="8" s="1"/>
  <c r="P648" i="8"/>
  <c r="O648" i="8"/>
  <c r="U647" i="8"/>
  <c r="T647" i="8"/>
  <c r="P647" i="8"/>
  <c r="O647" i="8"/>
  <c r="O646" i="8"/>
  <c r="N646" i="8"/>
  <c r="M646" i="8"/>
  <c r="P646" i="8" s="1"/>
  <c r="L646" i="8"/>
  <c r="N645" i="8"/>
  <c r="M645" i="8"/>
  <c r="L645" i="8"/>
  <c r="U644" i="8"/>
  <c r="S644" i="8"/>
  <c r="R644" i="8"/>
  <c r="Q644" i="8"/>
  <c r="P644" i="8"/>
  <c r="O644" i="8"/>
  <c r="N644" i="8"/>
  <c r="M644" i="8"/>
  <c r="L644" i="8"/>
  <c r="N643" i="8"/>
  <c r="J637" i="8"/>
  <c r="J636" i="8"/>
  <c r="I636" i="8"/>
  <c r="K636" i="8" s="1"/>
  <c r="J633" i="8"/>
  <c r="I629" i="8"/>
  <c r="K629" i="8" s="1"/>
  <c r="I628" i="8"/>
  <c r="K628" i="8" s="1"/>
  <c r="J627" i="8"/>
  <c r="J616" i="8" s="1"/>
  <c r="I627" i="8"/>
  <c r="U625" i="8"/>
  <c r="T625" i="8"/>
  <c r="P625" i="8"/>
  <c r="O625" i="8"/>
  <c r="U624" i="8"/>
  <c r="T624" i="8"/>
  <c r="P624" i="8"/>
  <c r="O624" i="8"/>
  <c r="S623" i="8"/>
  <c r="R623" i="8"/>
  <c r="U623" i="8" s="1"/>
  <c r="Q623" i="8"/>
  <c r="T623" i="8" s="1"/>
  <c r="N623" i="8"/>
  <c r="M623" i="8"/>
  <c r="P623" i="8" s="1"/>
  <c r="L623" i="8"/>
  <c r="O623" i="8" s="1"/>
  <c r="S622" i="8"/>
  <c r="S620" i="8" s="1"/>
  <c r="R622" i="8"/>
  <c r="R619" i="8" s="1"/>
  <c r="Q622" i="8"/>
  <c r="P622" i="8"/>
  <c r="O622" i="8"/>
  <c r="U621" i="8"/>
  <c r="T621" i="8"/>
  <c r="P621" i="8"/>
  <c r="O621" i="8"/>
  <c r="P620" i="8"/>
  <c r="O620" i="8"/>
  <c r="N620" i="8"/>
  <c r="M620" i="8"/>
  <c r="L620" i="8"/>
  <c r="N619" i="8"/>
  <c r="N617" i="8" s="1"/>
  <c r="M619" i="8"/>
  <c r="L619" i="8"/>
  <c r="O619" i="8" s="1"/>
  <c r="S618" i="8"/>
  <c r="R618" i="8"/>
  <c r="Q618" i="8"/>
  <c r="P618" i="8"/>
  <c r="N618" i="8"/>
  <c r="M618" i="8"/>
  <c r="L618" i="8"/>
  <c r="U608" i="8"/>
  <c r="T608" i="8"/>
  <c r="P608" i="8"/>
  <c r="O608" i="8"/>
  <c r="U607" i="8"/>
  <c r="T607" i="8"/>
  <c r="P607" i="8"/>
  <c r="O607" i="8"/>
  <c r="S606" i="8"/>
  <c r="R606" i="8"/>
  <c r="U606" i="8" s="1"/>
  <c r="Q606" i="8"/>
  <c r="T606" i="8" s="1"/>
  <c r="N606" i="8"/>
  <c r="M606" i="8"/>
  <c r="P606" i="8" s="1"/>
  <c r="L606" i="8"/>
  <c r="O606" i="8" s="1"/>
  <c r="U605" i="8"/>
  <c r="T605" i="8"/>
  <c r="P605" i="8"/>
  <c r="O605" i="8"/>
  <c r="U604" i="8"/>
  <c r="T604" i="8"/>
  <c r="P604" i="8"/>
  <c r="O604" i="8"/>
  <c r="S603" i="8"/>
  <c r="R603" i="8"/>
  <c r="U603" i="8" s="1"/>
  <c r="Q603" i="8"/>
  <c r="T603" i="8" s="1"/>
  <c r="N603" i="8"/>
  <c r="M603" i="8"/>
  <c r="P603" i="8" s="1"/>
  <c r="L603" i="8"/>
  <c r="O603" i="8" s="1"/>
  <c r="S602" i="8"/>
  <c r="R602" i="8"/>
  <c r="U602" i="8" s="1"/>
  <c r="Q602" i="8"/>
  <c r="P602" i="8"/>
  <c r="N602" i="8"/>
  <c r="M602" i="8"/>
  <c r="L602" i="8"/>
  <c r="O602" i="8" s="1"/>
  <c r="U601" i="8"/>
  <c r="T601" i="8"/>
  <c r="S601" i="8"/>
  <c r="R601" i="8"/>
  <c r="Q601" i="8"/>
  <c r="N601" i="8"/>
  <c r="N600" i="8" s="1"/>
  <c r="M601" i="8"/>
  <c r="P601" i="8" s="1"/>
  <c r="L601" i="8"/>
  <c r="L600" i="8" s="1"/>
  <c r="O600" i="8" s="1"/>
  <c r="S600" i="8"/>
  <c r="U585" i="8"/>
  <c r="T585" i="8"/>
  <c r="P585" i="8"/>
  <c r="O585" i="8"/>
  <c r="U584" i="8"/>
  <c r="T584" i="8"/>
  <c r="P584" i="8"/>
  <c r="O584" i="8"/>
  <c r="S583" i="8"/>
  <c r="R583" i="8"/>
  <c r="U583" i="8" s="1"/>
  <c r="Q583" i="8"/>
  <c r="T583" i="8" s="1"/>
  <c r="N583" i="8"/>
  <c r="M583" i="8"/>
  <c r="P583" i="8" s="1"/>
  <c r="L583" i="8"/>
  <c r="O583" i="8" s="1"/>
  <c r="U582" i="8"/>
  <c r="T582" i="8"/>
  <c r="P582" i="8"/>
  <c r="O582" i="8"/>
  <c r="U581" i="8"/>
  <c r="T581" i="8"/>
  <c r="P581" i="8"/>
  <c r="O581" i="8"/>
  <c r="S580" i="8"/>
  <c r="R580" i="8"/>
  <c r="U580" i="8" s="1"/>
  <c r="Q580" i="8"/>
  <c r="T580" i="8" s="1"/>
  <c r="N580" i="8"/>
  <c r="M580" i="8"/>
  <c r="P580" i="8" s="1"/>
  <c r="L580" i="8"/>
  <c r="O580" i="8" s="1"/>
  <c r="S579" i="8"/>
  <c r="R579" i="8"/>
  <c r="Q579" i="8"/>
  <c r="N579" i="8"/>
  <c r="M579" i="8"/>
  <c r="P579" i="8" s="1"/>
  <c r="L579" i="8"/>
  <c r="S578" i="8"/>
  <c r="R578" i="8"/>
  <c r="U578" i="8" s="1"/>
  <c r="Q578" i="8"/>
  <c r="T578" i="8" s="1"/>
  <c r="O578" i="8"/>
  <c r="N578" i="8"/>
  <c r="M578" i="8"/>
  <c r="P578" i="8" s="1"/>
  <c r="L578" i="8"/>
  <c r="J576" i="8"/>
  <c r="I576" i="8"/>
  <c r="K576" i="8" s="1"/>
  <c r="U564" i="8"/>
  <c r="T564" i="8"/>
  <c r="P564" i="8"/>
  <c r="O564" i="8"/>
  <c r="U563" i="8"/>
  <c r="T563" i="8"/>
  <c r="P563" i="8"/>
  <c r="O563" i="8"/>
  <c r="S562" i="8"/>
  <c r="R562" i="8"/>
  <c r="U562" i="8" s="1"/>
  <c r="Q562" i="8"/>
  <c r="T562" i="8" s="1"/>
  <c r="P562" i="8"/>
  <c r="N562" i="8"/>
  <c r="M562" i="8"/>
  <c r="L562" i="8"/>
  <c r="O562" i="8" s="1"/>
  <c r="U561" i="8"/>
  <c r="T561" i="8"/>
  <c r="P561" i="8"/>
  <c r="O561" i="8"/>
  <c r="U560" i="8"/>
  <c r="T560" i="8"/>
  <c r="P560" i="8"/>
  <c r="O560" i="8"/>
  <c r="S559" i="8"/>
  <c r="R559" i="8"/>
  <c r="U559" i="8" s="1"/>
  <c r="Q559" i="8"/>
  <c r="T559" i="8" s="1"/>
  <c r="P559" i="8"/>
  <c r="N559" i="8"/>
  <c r="M559" i="8"/>
  <c r="L559" i="8"/>
  <c r="O559" i="8" s="1"/>
  <c r="S558" i="8"/>
  <c r="R558" i="8"/>
  <c r="U558" i="8" s="1"/>
  <c r="Q558" i="8"/>
  <c r="T558" i="8" s="1"/>
  <c r="N558" i="8"/>
  <c r="M558" i="8"/>
  <c r="L558" i="8"/>
  <c r="O558" i="8" s="1"/>
  <c r="S557" i="8"/>
  <c r="R557" i="8"/>
  <c r="Q557" i="8"/>
  <c r="N557" i="8"/>
  <c r="M557" i="8"/>
  <c r="P557" i="8" s="1"/>
  <c r="L557" i="8"/>
  <c r="J555" i="8"/>
  <c r="I555" i="8"/>
  <c r="K555" i="8" s="1"/>
  <c r="U543" i="8"/>
  <c r="T543" i="8"/>
  <c r="P543" i="8"/>
  <c r="O543" i="8"/>
  <c r="U542" i="8"/>
  <c r="T542" i="8"/>
  <c r="P542" i="8"/>
  <c r="O542" i="8"/>
  <c r="S541" i="8"/>
  <c r="R541" i="8"/>
  <c r="U541" i="8" s="1"/>
  <c r="Q541" i="8"/>
  <c r="T541" i="8" s="1"/>
  <c r="N541" i="8"/>
  <c r="M541" i="8"/>
  <c r="P541" i="8" s="1"/>
  <c r="L541" i="8"/>
  <c r="O541" i="8" s="1"/>
  <c r="U540" i="8"/>
  <c r="T540" i="8"/>
  <c r="P540" i="8"/>
  <c r="O540" i="8"/>
  <c r="U539" i="8"/>
  <c r="T539" i="8"/>
  <c r="P539" i="8"/>
  <c r="O539" i="8"/>
  <c r="S538" i="8"/>
  <c r="R538" i="8"/>
  <c r="U538" i="8" s="1"/>
  <c r="Q538" i="8"/>
  <c r="T538" i="8" s="1"/>
  <c r="N538" i="8"/>
  <c r="M538" i="8"/>
  <c r="P538" i="8" s="1"/>
  <c r="L538" i="8"/>
  <c r="O538" i="8" s="1"/>
  <c r="S537" i="8"/>
  <c r="R537" i="8"/>
  <c r="U537" i="8" s="1"/>
  <c r="Q537" i="8"/>
  <c r="O537" i="8"/>
  <c r="N537" i="8"/>
  <c r="M537" i="8"/>
  <c r="P537" i="8" s="1"/>
  <c r="L537" i="8"/>
  <c r="S536" i="8"/>
  <c r="S535" i="8" s="1"/>
  <c r="R536" i="8"/>
  <c r="U536" i="8" s="1"/>
  <c r="Q536" i="8"/>
  <c r="T536" i="8" s="1"/>
  <c r="N536" i="8"/>
  <c r="N535" i="8" s="1"/>
  <c r="M536" i="8"/>
  <c r="P536" i="8" s="1"/>
  <c r="L536" i="8"/>
  <c r="O536" i="8" s="1"/>
  <c r="R535" i="8"/>
  <c r="U535" i="8" s="1"/>
  <c r="J534" i="8"/>
  <c r="I534" i="8"/>
  <c r="K534" i="8" s="1"/>
  <c r="K525" i="8"/>
  <c r="K524" i="8"/>
  <c r="U522" i="8"/>
  <c r="T522" i="8"/>
  <c r="N522" i="8"/>
  <c r="N520" i="8" s="1"/>
  <c r="M522" i="8"/>
  <c r="L522" i="8"/>
  <c r="U521" i="8"/>
  <c r="T521" i="8"/>
  <c r="P521" i="8"/>
  <c r="O521" i="8"/>
  <c r="S520" i="8"/>
  <c r="R520" i="8"/>
  <c r="U520" i="8" s="1"/>
  <c r="Q520" i="8"/>
  <c r="T520" i="8" s="1"/>
  <c r="U519" i="8"/>
  <c r="T519" i="8"/>
  <c r="N519" i="8"/>
  <c r="N517" i="8" s="1"/>
  <c r="M519" i="8"/>
  <c r="M517" i="8" s="1"/>
  <c r="P517" i="8" s="1"/>
  <c r="L519" i="8"/>
  <c r="L517" i="8" s="1"/>
  <c r="O517" i="8" s="1"/>
  <c r="U518" i="8"/>
  <c r="T518" i="8"/>
  <c r="P518" i="8"/>
  <c r="O518" i="8"/>
  <c r="S517" i="8"/>
  <c r="R517" i="8"/>
  <c r="U517" i="8" s="1"/>
  <c r="Q517" i="8"/>
  <c r="T517" i="8" s="1"/>
  <c r="U516" i="8"/>
  <c r="S516" i="8"/>
  <c r="R516" i="8"/>
  <c r="Q516" i="8"/>
  <c r="T516" i="8" s="1"/>
  <c r="T515" i="8"/>
  <c r="S515" i="8"/>
  <c r="S514" i="8" s="1"/>
  <c r="R515" i="8"/>
  <c r="U515" i="8" s="1"/>
  <c r="Q515" i="8"/>
  <c r="N515" i="8"/>
  <c r="M515" i="8"/>
  <c r="L515" i="8"/>
  <c r="O515" i="8" s="1"/>
  <c r="J513" i="8"/>
  <c r="I513" i="8"/>
  <c r="K513" i="8" s="1"/>
  <c r="I510" i="8"/>
  <c r="K510" i="8" s="1"/>
  <c r="K509" i="8"/>
  <c r="I508" i="8"/>
  <c r="K508" i="8" s="1"/>
  <c r="I507" i="8"/>
  <c r="K507" i="8" s="1"/>
  <c r="I506" i="8"/>
  <c r="K506" i="8" s="1"/>
  <c r="I505" i="8"/>
  <c r="K505" i="8" s="1"/>
  <c r="I504" i="8"/>
  <c r="K504" i="8" s="1"/>
  <c r="U502" i="8"/>
  <c r="T502" i="8"/>
  <c r="P502" i="8"/>
  <c r="O502" i="8"/>
  <c r="U501" i="8"/>
  <c r="T501" i="8"/>
  <c r="P501" i="8"/>
  <c r="O501" i="8"/>
  <c r="S500" i="8"/>
  <c r="R500" i="8"/>
  <c r="U500" i="8" s="1"/>
  <c r="Q500" i="8"/>
  <c r="T500" i="8" s="1"/>
  <c r="P500" i="8"/>
  <c r="N500" i="8"/>
  <c r="M500" i="8"/>
  <c r="L500" i="8"/>
  <c r="O500" i="8" s="1"/>
  <c r="S499" i="8"/>
  <c r="S496" i="8" s="1"/>
  <c r="S494" i="8" s="1"/>
  <c r="R499" i="8"/>
  <c r="R497" i="8" s="1"/>
  <c r="U497" i="8" s="1"/>
  <c r="Q499" i="8"/>
  <c r="T499" i="8" s="1"/>
  <c r="P499" i="8"/>
  <c r="O499" i="8"/>
  <c r="U498" i="8"/>
  <c r="T498" i="8"/>
  <c r="P498" i="8"/>
  <c r="O498" i="8"/>
  <c r="N497" i="8"/>
  <c r="M497" i="8"/>
  <c r="P497" i="8" s="1"/>
  <c r="L497" i="8"/>
  <c r="O497" i="8" s="1"/>
  <c r="P496" i="8"/>
  <c r="N496" i="8"/>
  <c r="M496" i="8"/>
  <c r="L496" i="8"/>
  <c r="S495" i="8"/>
  <c r="R495" i="8"/>
  <c r="U495" i="8" s="1"/>
  <c r="Q495" i="8"/>
  <c r="T495" i="8" s="1"/>
  <c r="N495" i="8"/>
  <c r="N494" i="8" s="1"/>
  <c r="M495" i="8"/>
  <c r="P495" i="8" s="1"/>
  <c r="L495" i="8"/>
  <c r="O495" i="8" s="1"/>
  <c r="J486" i="8"/>
  <c r="I486" i="8"/>
  <c r="K486" i="8" s="1"/>
  <c r="J485" i="8"/>
  <c r="I485" i="8"/>
  <c r="K485" i="8" s="1"/>
  <c r="J484" i="8"/>
  <c r="J483" i="8"/>
  <c r="K478" i="8"/>
  <c r="J478" i="8"/>
  <c r="K477" i="8"/>
  <c r="J477" i="8"/>
  <c r="K476" i="8"/>
  <c r="J476" i="8"/>
  <c r="J469" i="8"/>
  <c r="J468" i="8"/>
  <c r="J461" i="8"/>
  <c r="J460" i="8"/>
  <c r="I459" i="8"/>
  <c r="K459" i="8" s="1"/>
  <c r="I458" i="8"/>
  <c r="K458" i="8" s="1"/>
  <c r="J448" i="8"/>
  <c r="J442" i="8" s="1"/>
  <c r="J447" i="8"/>
  <c r="I442" i="8"/>
  <c r="K442" i="8" s="1"/>
  <c r="J441" i="8"/>
  <c r="J424" i="8" s="1"/>
  <c r="J413" i="8" s="1"/>
  <c r="I441" i="8"/>
  <c r="K441" i="8" s="1"/>
  <c r="J434" i="8"/>
  <c r="I434" i="8"/>
  <c r="K434" i="8" s="1"/>
  <c r="J433" i="8"/>
  <c r="I433" i="8"/>
  <c r="K433" i="8" s="1"/>
  <c r="J426" i="8"/>
  <c r="I426" i="8"/>
  <c r="K426" i="8" s="1"/>
  <c r="J425" i="8"/>
  <c r="I425" i="8"/>
  <c r="K425" i="8" s="1"/>
  <c r="U422" i="8"/>
  <c r="T422" i="8"/>
  <c r="P422" i="8"/>
  <c r="O422" i="8"/>
  <c r="U421" i="8"/>
  <c r="T421" i="8"/>
  <c r="P421" i="8"/>
  <c r="O421" i="8"/>
  <c r="S420" i="8"/>
  <c r="R420" i="8"/>
  <c r="U420" i="8" s="1"/>
  <c r="Q420" i="8"/>
  <c r="T420" i="8" s="1"/>
  <c r="N420" i="8"/>
  <c r="M420" i="8"/>
  <c r="P420" i="8" s="1"/>
  <c r="L420" i="8"/>
  <c r="O420" i="8" s="1"/>
  <c r="S419" i="8"/>
  <c r="S417" i="8" s="1"/>
  <c r="R419" i="8"/>
  <c r="R416" i="8" s="1"/>
  <c r="U416" i="8" s="1"/>
  <c r="Q419" i="8"/>
  <c r="P419" i="8"/>
  <c r="O419" i="8"/>
  <c r="U418" i="8"/>
  <c r="T418" i="8"/>
  <c r="P418" i="8"/>
  <c r="O418" i="8"/>
  <c r="O417" i="8"/>
  <c r="N417" i="8"/>
  <c r="M417" i="8"/>
  <c r="P417" i="8" s="1"/>
  <c r="L417" i="8"/>
  <c r="N416" i="8"/>
  <c r="M416" i="8"/>
  <c r="L416" i="8"/>
  <c r="O416" i="8" s="1"/>
  <c r="S415" i="8"/>
  <c r="R415" i="8"/>
  <c r="Q415" i="8"/>
  <c r="N415" i="8"/>
  <c r="M415" i="8"/>
  <c r="P415" i="8" s="1"/>
  <c r="L415" i="8"/>
  <c r="U401" i="8"/>
  <c r="T401" i="8"/>
  <c r="P401" i="8"/>
  <c r="O401" i="8"/>
  <c r="U400" i="8"/>
  <c r="T400" i="8"/>
  <c r="P400" i="8"/>
  <c r="O400" i="8"/>
  <c r="S399" i="8"/>
  <c r="R399" i="8"/>
  <c r="U399" i="8" s="1"/>
  <c r="Q399" i="8"/>
  <c r="T399" i="8" s="1"/>
  <c r="N399" i="8"/>
  <c r="M399" i="8"/>
  <c r="P399" i="8" s="1"/>
  <c r="L399" i="8"/>
  <c r="O399" i="8" s="1"/>
  <c r="U398" i="8"/>
  <c r="T398" i="8"/>
  <c r="P398" i="8"/>
  <c r="O398" i="8"/>
  <c r="U397" i="8"/>
  <c r="T397" i="8"/>
  <c r="P397" i="8"/>
  <c r="O397" i="8"/>
  <c r="S396" i="8"/>
  <c r="R396" i="8"/>
  <c r="U396" i="8" s="1"/>
  <c r="Q396" i="8"/>
  <c r="T396" i="8" s="1"/>
  <c r="N396" i="8"/>
  <c r="M396" i="8"/>
  <c r="P396" i="8" s="1"/>
  <c r="L396" i="8"/>
  <c r="O396" i="8" s="1"/>
  <c r="U395" i="8"/>
  <c r="T395" i="8"/>
  <c r="S395" i="8"/>
  <c r="S393" i="8" s="1"/>
  <c r="R395" i="8"/>
  <c r="Q395" i="8"/>
  <c r="Q393" i="8" s="1"/>
  <c r="T393" i="8" s="1"/>
  <c r="N395" i="8"/>
  <c r="M395" i="8"/>
  <c r="M393" i="8" s="1"/>
  <c r="P393" i="8" s="1"/>
  <c r="L395" i="8"/>
  <c r="O395" i="8" s="1"/>
  <c r="S394" i="8"/>
  <c r="R394" i="8"/>
  <c r="U394" i="8" s="1"/>
  <c r="Q394" i="8"/>
  <c r="T394" i="8" s="1"/>
  <c r="O394" i="8"/>
  <c r="N394" i="8"/>
  <c r="M394" i="8"/>
  <c r="P394" i="8" s="1"/>
  <c r="L394" i="8"/>
  <c r="R393" i="8"/>
  <c r="U393" i="8" s="1"/>
  <c r="L393" i="8"/>
  <c r="O393" i="8" s="1"/>
  <c r="J392" i="8"/>
  <c r="I392" i="8"/>
  <c r="K392" i="8" s="1"/>
  <c r="K389" i="8"/>
  <c r="K388" i="8"/>
  <c r="I387" i="8"/>
  <c r="K387" i="8" s="1"/>
  <c r="I386" i="8"/>
  <c r="K386" i="8" s="1"/>
  <c r="U384" i="8"/>
  <c r="T384" i="8"/>
  <c r="P384" i="8"/>
  <c r="O384" i="8"/>
  <c r="U383" i="8"/>
  <c r="T383" i="8"/>
  <c r="P383" i="8"/>
  <c r="O383" i="8"/>
  <c r="S382" i="8"/>
  <c r="R382" i="8"/>
  <c r="U382" i="8" s="1"/>
  <c r="Q382" i="8"/>
  <c r="T382" i="8" s="1"/>
  <c r="O382" i="8"/>
  <c r="N382" i="8"/>
  <c r="M382" i="8"/>
  <c r="P382" i="8" s="1"/>
  <c r="L382" i="8"/>
  <c r="S381" i="8"/>
  <c r="R381" i="8"/>
  <c r="R379" i="8" s="1"/>
  <c r="U379" i="8" s="1"/>
  <c r="Q379" i="8"/>
  <c r="T379" i="8" s="1"/>
  <c r="P381" i="8"/>
  <c r="O381" i="8"/>
  <c r="U380" i="8"/>
  <c r="T380" i="8"/>
  <c r="P380" i="8"/>
  <c r="O380" i="8"/>
  <c r="N379" i="8"/>
  <c r="M379" i="8"/>
  <c r="P379" i="8" s="1"/>
  <c r="L379" i="8"/>
  <c r="O379" i="8" s="1"/>
  <c r="O378" i="8"/>
  <c r="N378" i="8"/>
  <c r="M378" i="8"/>
  <c r="P378" i="8" s="1"/>
  <c r="L378" i="8"/>
  <c r="S377" i="8"/>
  <c r="R377" i="8"/>
  <c r="U377" i="8" s="1"/>
  <c r="Q377" i="8"/>
  <c r="T377" i="8" s="1"/>
  <c r="N377" i="8"/>
  <c r="N376" i="8" s="1"/>
  <c r="M377" i="8"/>
  <c r="L377" i="8"/>
  <c r="O377" i="8" s="1"/>
  <c r="L376" i="8"/>
  <c r="O376" i="8" s="1"/>
  <c r="J375" i="8"/>
  <c r="D374" i="8"/>
  <c r="K373" i="8"/>
  <c r="J373" i="8"/>
  <c r="J372" i="8"/>
  <c r="J366" i="8" s="1"/>
  <c r="I372" i="8"/>
  <c r="I366" i="8" s="1"/>
  <c r="K371" i="8"/>
  <c r="J371" i="8"/>
  <c r="J370" i="8"/>
  <c r="I370" i="8"/>
  <c r="K370" i="8" s="1"/>
  <c r="J369" i="8"/>
  <c r="I369" i="8"/>
  <c r="K369" i="8" s="1"/>
  <c r="K368" i="8"/>
  <c r="J368" i="8"/>
  <c r="U365" i="8"/>
  <c r="T365" i="8"/>
  <c r="N365" i="8"/>
  <c r="N363" i="8" s="1"/>
  <c r="M365" i="8"/>
  <c r="P365" i="8" s="1"/>
  <c r="L365" i="8"/>
  <c r="O365" i="8" s="1"/>
  <c r="U364" i="8"/>
  <c r="T364" i="8"/>
  <c r="P364" i="8"/>
  <c r="O364" i="8"/>
  <c r="S363" i="8"/>
  <c r="R363" i="8"/>
  <c r="U363" i="8" s="1"/>
  <c r="Q363" i="8"/>
  <c r="T363" i="8" s="1"/>
  <c r="U362" i="8"/>
  <c r="T362" i="8"/>
  <c r="N362" i="8"/>
  <c r="N360" i="8" s="1"/>
  <c r="M362" i="8"/>
  <c r="L362" i="8"/>
  <c r="L360" i="8" s="1"/>
  <c r="U361" i="8"/>
  <c r="T361" i="8"/>
  <c r="P361" i="8"/>
  <c r="O361" i="8"/>
  <c r="U360" i="8"/>
  <c r="T360" i="8"/>
  <c r="S360" i="8"/>
  <c r="R360" i="8"/>
  <c r="Q360" i="8"/>
  <c r="T359" i="8"/>
  <c r="S359" i="8"/>
  <c r="S357" i="8" s="1"/>
  <c r="R359" i="8"/>
  <c r="U359" i="8" s="1"/>
  <c r="Q359" i="8"/>
  <c r="S358" i="8"/>
  <c r="R358" i="8"/>
  <c r="Q358" i="8"/>
  <c r="P358" i="8"/>
  <c r="N358" i="8"/>
  <c r="M358" i="8"/>
  <c r="L358" i="8"/>
  <c r="D355" i="8"/>
  <c r="J354" i="8"/>
  <c r="J353" i="8"/>
  <c r="D351" i="8"/>
  <c r="J350" i="8"/>
  <c r="J349" i="8"/>
  <c r="J348" i="8"/>
  <c r="J347" i="8"/>
  <c r="I347" i="8"/>
  <c r="J345" i="8"/>
  <c r="I345" i="8"/>
  <c r="U342" i="8"/>
  <c r="T342" i="8"/>
  <c r="N342" i="8"/>
  <c r="M342" i="8"/>
  <c r="L342" i="8"/>
  <c r="L340" i="8" s="1"/>
  <c r="O340" i="8" s="1"/>
  <c r="U341" i="8"/>
  <c r="T341" i="8"/>
  <c r="P341" i="8"/>
  <c r="O341" i="8"/>
  <c r="U340" i="8"/>
  <c r="T340" i="8"/>
  <c r="S340" i="8"/>
  <c r="R340" i="8"/>
  <c r="Q340" i="8"/>
  <c r="U339" i="8"/>
  <c r="T339" i="8"/>
  <c r="N339" i="8"/>
  <c r="N337" i="8" s="1"/>
  <c r="M339" i="8"/>
  <c r="L339" i="8"/>
  <c r="L337" i="8" s="1"/>
  <c r="U338" i="8"/>
  <c r="T338" i="8"/>
  <c r="P338" i="8"/>
  <c r="O338" i="8"/>
  <c r="S337" i="8"/>
  <c r="R337" i="8"/>
  <c r="U337" i="8" s="1"/>
  <c r="Q337" i="8"/>
  <c r="T337" i="8" s="1"/>
  <c r="U336" i="8"/>
  <c r="S336" i="8"/>
  <c r="R336" i="8"/>
  <c r="Q336" i="8"/>
  <c r="U335" i="8"/>
  <c r="T335" i="8"/>
  <c r="S335" i="8"/>
  <c r="R335" i="8"/>
  <c r="Q335" i="8"/>
  <c r="O335" i="8"/>
  <c r="N335" i="8"/>
  <c r="M335" i="8"/>
  <c r="P335" i="8" s="1"/>
  <c r="L335" i="8"/>
  <c r="S334" i="8"/>
  <c r="R334" i="8"/>
  <c r="U334" i="8" s="1"/>
  <c r="I331" i="8"/>
  <c r="U329" i="8"/>
  <c r="T329" i="8"/>
  <c r="N329" i="8"/>
  <c r="N327" i="8" s="1"/>
  <c r="M329" i="8"/>
  <c r="L329" i="8"/>
  <c r="U328" i="8"/>
  <c r="T328" i="8"/>
  <c r="P328" i="8"/>
  <c r="O328" i="8"/>
  <c r="U327" i="8"/>
  <c r="T327" i="8"/>
  <c r="S327" i="8"/>
  <c r="R327" i="8"/>
  <c r="Q327" i="8"/>
  <c r="U326" i="8"/>
  <c r="T326" i="8"/>
  <c r="N326" i="8"/>
  <c r="N324" i="8" s="1"/>
  <c r="M326" i="8"/>
  <c r="P326" i="8" s="1"/>
  <c r="L326" i="8"/>
  <c r="L324" i="8" s="1"/>
  <c r="O324" i="8" s="1"/>
  <c r="U325" i="8"/>
  <c r="T325" i="8"/>
  <c r="P325" i="8"/>
  <c r="O325" i="8"/>
  <c r="S324" i="8"/>
  <c r="R324" i="8"/>
  <c r="U324" i="8" s="1"/>
  <c r="Q324" i="8"/>
  <c r="T324" i="8" s="1"/>
  <c r="U323" i="8"/>
  <c r="S323" i="8"/>
  <c r="R323" i="8"/>
  <c r="Q323" i="8"/>
  <c r="T323" i="8" s="1"/>
  <c r="T322" i="8"/>
  <c r="S322" i="8"/>
  <c r="S321" i="8" s="1"/>
  <c r="R322" i="8"/>
  <c r="U322" i="8" s="1"/>
  <c r="Q322" i="8"/>
  <c r="N322" i="8"/>
  <c r="M322" i="8"/>
  <c r="L322" i="8"/>
  <c r="O322" i="8" s="1"/>
  <c r="R321" i="8"/>
  <c r="U321" i="8" s="1"/>
  <c r="Q321" i="8"/>
  <c r="T321" i="8" s="1"/>
  <c r="J320" i="8"/>
  <c r="I315" i="8"/>
  <c r="K315" i="8" s="1"/>
  <c r="U312" i="8"/>
  <c r="T312" i="8"/>
  <c r="N312" i="8"/>
  <c r="M312" i="8"/>
  <c r="P312" i="8" s="1"/>
  <c r="L312" i="8"/>
  <c r="U311" i="8"/>
  <c r="T311" i="8"/>
  <c r="P311" i="8"/>
  <c r="O311" i="8"/>
  <c r="T310" i="8"/>
  <c r="S310" i="8"/>
  <c r="R310" i="8"/>
  <c r="U310" i="8" s="1"/>
  <c r="Q310" i="8"/>
  <c r="S309" i="8"/>
  <c r="S307" i="8" s="1"/>
  <c r="R309" i="8"/>
  <c r="R306" i="8" s="1"/>
  <c r="Q309" i="8"/>
  <c r="Q306" i="8" s="1"/>
  <c r="N309" i="8"/>
  <c r="N307" i="8" s="1"/>
  <c r="M309" i="8"/>
  <c r="L309" i="8"/>
  <c r="U308" i="8"/>
  <c r="T308" i="8"/>
  <c r="P308" i="8"/>
  <c r="O308" i="8"/>
  <c r="U305" i="8"/>
  <c r="S305" i="8"/>
  <c r="R305" i="8"/>
  <c r="Q305" i="8"/>
  <c r="T305" i="8" s="1"/>
  <c r="P305" i="8"/>
  <c r="O305" i="8"/>
  <c r="N305" i="8"/>
  <c r="M305" i="8"/>
  <c r="L305" i="8"/>
  <c r="J303" i="8"/>
  <c r="I297" i="8"/>
  <c r="K297" i="8" s="1"/>
  <c r="I296" i="8"/>
  <c r="K296" i="8" s="1"/>
  <c r="J294" i="8"/>
  <c r="J281" i="8" s="1"/>
  <c r="I294" i="8"/>
  <c r="I293" i="8"/>
  <c r="K293" i="8" s="1"/>
  <c r="U291" i="8"/>
  <c r="T291" i="8"/>
  <c r="N291" i="8"/>
  <c r="M291" i="8"/>
  <c r="M289" i="8" s="1"/>
  <c r="P289" i="8" s="1"/>
  <c r="L291" i="8"/>
  <c r="O291" i="8" s="1"/>
  <c r="U290" i="8"/>
  <c r="T290" i="8"/>
  <c r="P290" i="8"/>
  <c r="O290" i="8"/>
  <c r="S289" i="8"/>
  <c r="R289" i="8"/>
  <c r="U289" i="8" s="1"/>
  <c r="Q289" i="8"/>
  <c r="T289" i="8" s="1"/>
  <c r="U288" i="8"/>
  <c r="T288" i="8"/>
  <c r="N288" i="8"/>
  <c r="N286" i="8" s="1"/>
  <c r="M288" i="8"/>
  <c r="P288" i="8" s="1"/>
  <c r="L288" i="8"/>
  <c r="U287" i="8"/>
  <c r="T287" i="8"/>
  <c r="P287" i="8"/>
  <c r="O287" i="8"/>
  <c r="U286" i="8"/>
  <c r="S286" i="8"/>
  <c r="R286" i="8"/>
  <c r="Q286" i="8"/>
  <c r="T286" i="8" s="1"/>
  <c r="S285" i="8"/>
  <c r="S283" i="8" s="1"/>
  <c r="R285" i="8"/>
  <c r="U285" i="8" s="1"/>
  <c r="Q285" i="8"/>
  <c r="T285" i="8" s="1"/>
  <c r="S284" i="8"/>
  <c r="R284" i="8"/>
  <c r="Q284" i="8"/>
  <c r="T284" i="8" s="1"/>
  <c r="N284" i="8"/>
  <c r="M284" i="8"/>
  <c r="P284" i="8" s="1"/>
  <c r="L284" i="8"/>
  <c r="O284" i="8" s="1"/>
  <c r="J282" i="8"/>
  <c r="I277" i="8"/>
  <c r="K277" i="8" s="1"/>
  <c r="U275" i="8"/>
  <c r="T275" i="8"/>
  <c r="N275" i="8"/>
  <c r="N273" i="8" s="1"/>
  <c r="M275" i="8"/>
  <c r="P275" i="8" s="1"/>
  <c r="L275" i="8"/>
  <c r="O275" i="8" s="1"/>
  <c r="U274" i="8"/>
  <c r="T274" i="8"/>
  <c r="P274" i="8"/>
  <c r="O274" i="8"/>
  <c r="T273" i="8"/>
  <c r="S273" i="8"/>
  <c r="R273" i="8"/>
  <c r="U273" i="8" s="1"/>
  <c r="Q273" i="8"/>
  <c r="S272" i="8"/>
  <c r="S269" i="8" s="1"/>
  <c r="S267" i="8" s="1"/>
  <c r="R272" i="8"/>
  <c r="R269" i="8" s="1"/>
  <c r="Q272" i="8"/>
  <c r="N272" i="8"/>
  <c r="M272" i="8"/>
  <c r="M270" i="8" s="1"/>
  <c r="L272" i="8"/>
  <c r="O272" i="8" s="1"/>
  <c r="U271" i="8"/>
  <c r="T271" i="8"/>
  <c r="P271" i="8"/>
  <c r="O271" i="8"/>
  <c r="U268" i="8"/>
  <c r="T268" i="8"/>
  <c r="S268" i="8"/>
  <c r="R268" i="8"/>
  <c r="Q268" i="8"/>
  <c r="P268" i="8"/>
  <c r="O268" i="8"/>
  <c r="N268" i="8"/>
  <c r="M268" i="8"/>
  <c r="L268" i="8"/>
  <c r="J266" i="8"/>
  <c r="K264" i="8"/>
  <c r="K263" i="8"/>
  <c r="I261" i="8"/>
  <c r="K261" i="8" s="1"/>
  <c r="L259" i="8"/>
  <c r="L258" i="8"/>
  <c r="L257" i="8"/>
  <c r="L256" i="8"/>
  <c r="P255" i="8"/>
  <c r="N255" i="8"/>
  <c r="J254" i="8"/>
  <c r="I253" i="8"/>
  <c r="K253" i="8" s="1"/>
  <c r="I252" i="8"/>
  <c r="K252" i="8" s="1"/>
  <c r="I250" i="8"/>
  <c r="L248" i="8"/>
  <c r="L247" i="8"/>
  <c r="L246" i="8"/>
  <c r="L245" i="8"/>
  <c r="P244" i="8"/>
  <c r="N244" i="8"/>
  <c r="J243" i="8"/>
  <c r="J232" i="8" s="1"/>
  <c r="J242" i="8"/>
  <c r="J241" i="8"/>
  <c r="J239" i="8"/>
  <c r="N237" i="8"/>
  <c r="N236" i="8"/>
  <c r="N235" i="8"/>
  <c r="N234" i="8"/>
  <c r="N233" i="8"/>
  <c r="I231" i="8"/>
  <c r="K231" i="8" s="1"/>
  <c r="I230" i="8"/>
  <c r="K230" i="8" s="1"/>
  <c r="I229" i="8"/>
  <c r="K229" i="8" s="1"/>
  <c r="L226" i="8"/>
  <c r="L225" i="8"/>
  <c r="L224" i="8"/>
  <c r="P223" i="8"/>
  <c r="N223" i="8"/>
  <c r="J222" i="8"/>
  <c r="I221" i="8"/>
  <c r="K221" i="8" s="1"/>
  <c r="I220" i="8"/>
  <c r="K220" i="8" s="1"/>
  <c r="L218" i="8"/>
  <c r="L217" i="8"/>
  <c r="L216" i="8"/>
  <c r="P215" i="8"/>
  <c r="N215" i="8"/>
  <c r="J214" i="8"/>
  <c r="I213" i="8"/>
  <c r="K213" i="8" s="1"/>
  <c r="I212" i="8"/>
  <c r="K212" i="8" s="1"/>
  <c r="I210" i="8"/>
  <c r="K210" i="8" s="1"/>
  <c r="L208" i="8"/>
  <c r="L207" i="8"/>
  <c r="L206" i="8"/>
  <c r="L205" i="8"/>
  <c r="P204" i="8"/>
  <c r="N204" i="8"/>
  <c r="J203" i="8"/>
  <c r="J200" i="8"/>
  <c r="I199" i="8"/>
  <c r="K199" i="8" s="1"/>
  <c r="P197" i="8"/>
  <c r="L197" i="8"/>
  <c r="O197" i="8" s="1"/>
  <c r="J196" i="8"/>
  <c r="U195" i="8"/>
  <c r="T195" i="8"/>
  <c r="N195" i="8"/>
  <c r="N193" i="8" s="1"/>
  <c r="M195" i="8"/>
  <c r="L195" i="8"/>
  <c r="U194" i="8"/>
  <c r="T194" i="8"/>
  <c r="P194" i="8"/>
  <c r="O194" i="8"/>
  <c r="U193" i="8"/>
  <c r="T193" i="8"/>
  <c r="S193" i="8"/>
  <c r="R193" i="8"/>
  <c r="Q193" i="8"/>
  <c r="S192" i="8"/>
  <c r="S190" i="8" s="1"/>
  <c r="R192" i="8"/>
  <c r="Q192" i="8"/>
  <c r="Q190" i="8" s="1"/>
  <c r="N192" i="8"/>
  <c r="N190" i="8" s="1"/>
  <c r="M192" i="8"/>
  <c r="L192" i="8"/>
  <c r="U191" i="8"/>
  <c r="T191" i="8"/>
  <c r="P191" i="8"/>
  <c r="O191" i="8"/>
  <c r="S188" i="8"/>
  <c r="R188" i="8"/>
  <c r="Q188" i="8"/>
  <c r="P188" i="8"/>
  <c r="N188" i="8"/>
  <c r="M188" i="8"/>
  <c r="L188" i="8"/>
  <c r="J186" i="8"/>
  <c r="K185" i="8"/>
  <c r="I184" i="8"/>
  <c r="I173" i="8" s="1"/>
  <c r="K173" i="8" s="1"/>
  <c r="U182" i="8"/>
  <c r="T182" i="8"/>
  <c r="N182" i="8"/>
  <c r="N180" i="8" s="1"/>
  <c r="M182" i="8"/>
  <c r="M180" i="8" s="1"/>
  <c r="P180" i="8" s="1"/>
  <c r="L182" i="8"/>
  <c r="O182" i="8" s="1"/>
  <c r="U181" i="8"/>
  <c r="T181" i="8"/>
  <c r="P181" i="8"/>
  <c r="O181" i="8"/>
  <c r="S180" i="8"/>
  <c r="R180" i="8"/>
  <c r="U180" i="8" s="1"/>
  <c r="Q180" i="8"/>
  <c r="T180" i="8" s="1"/>
  <c r="S179" i="8"/>
  <c r="S177" i="8" s="1"/>
  <c r="R179" i="8"/>
  <c r="R176" i="8" s="1"/>
  <c r="Q179" i="8"/>
  <c r="T179" i="8" s="1"/>
  <c r="N179" i="8"/>
  <c r="N177" i="8" s="1"/>
  <c r="M179" i="8"/>
  <c r="M177" i="8" s="1"/>
  <c r="L179" i="8"/>
  <c r="U178" i="8"/>
  <c r="T178" i="8"/>
  <c r="P178" i="8"/>
  <c r="O178" i="8"/>
  <c r="U175" i="8"/>
  <c r="T175" i="8"/>
  <c r="S175" i="8"/>
  <c r="R175" i="8"/>
  <c r="Q175" i="8"/>
  <c r="O175" i="8"/>
  <c r="N175" i="8"/>
  <c r="M175" i="8"/>
  <c r="L175" i="8"/>
  <c r="J173" i="8"/>
  <c r="I170" i="8"/>
  <c r="K170" i="8" s="1"/>
  <c r="I169" i="8"/>
  <c r="K169" i="8" s="1"/>
  <c r="I168" i="8"/>
  <c r="K168" i="8" s="1"/>
  <c r="U166" i="8"/>
  <c r="T166" i="8"/>
  <c r="N166" i="8"/>
  <c r="N164" i="8" s="1"/>
  <c r="M166" i="8"/>
  <c r="P166" i="8" s="1"/>
  <c r="L166" i="8"/>
  <c r="O166" i="8" s="1"/>
  <c r="U165" i="8"/>
  <c r="T165" i="8"/>
  <c r="P165" i="8"/>
  <c r="O165" i="8"/>
  <c r="S164" i="8"/>
  <c r="R164" i="8"/>
  <c r="U164" i="8" s="1"/>
  <c r="Q164" i="8"/>
  <c r="T164" i="8" s="1"/>
  <c r="S163" i="8"/>
  <c r="S160" i="8" s="1"/>
  <c r="R163" i="8"/>
  <c r="U163" i="8" s="1"/>
  <c r="Q161" i="8"/>
  <c r="T161" i="8" s="1"/>
  <c r="N163" i="8"/>
  <c r="N161" i="8" s="1"/>
  <c r="M163" i="8"/>
  <c r="P163" i="8" s="1"/>
  <c r="L163" i="8"/>
  <c r="L161" i="8" s="1"/>
  <c r="O161" i="8" s="1"/>
  <c r="U162" i="8"/>
  <c r="T162" i="8"/>
  <c r="P162" i="8"/>
  <c r="O162" i="8"/>
  <c r="U159" i="8"/>
  <c r="S159" i="8"/>
  <c r="R159" i="8"/>
  <c r="Q159" i="8"/>
  <c r="T159" i="8" s="1"/>
  <c r="O159" i="8"/>
  <c r="N159" i="8"/>
  <c r="M159" i="8"/>
  <c r="P159" i="8" s="1"/>
  <c r="L159" i="8"/>
  <c r="J157" i="8"/>
  <c r="I155" i="8"/>
  <c r="I154" i="8"/>
  <c r="K154" i="8" s="1"/>
  <c r="I153" i="8"/>
  <c r="I138" i="8" s="1"/>
  <c r="K138" i="8" s="1"/>
  <c r="I152" i="8"/>
  <c r="K152" i="8" s="1"/>
  <c r="I151" i="8"/>
  <c r="K151" i="8" s="1"/>
  <c r="U148" i="8"/>
  <c r="T148" i="8"/>
  <c r="N148" i="8"/>
  <c r="N146" i="8" s="1"/>
  <c r="M148" i="8"/>
  <c r="P148" i="8" s="1"/>
  <c r="L148" i="8"/>
  <c r="O148" i="8" s="1"/>
  <c r="U147" i="8"/>
  <c r="T147" i="8"/>
  <c r="P147" i="8"/>
  <c r="O147" i="8"/>
  <c r="S146" i="8"/>
  <c r="R146" i="8"/>
  <c r="U146" i="8" s="1"/>
  <c r="Q146" i="8"/>
  <c r="T146" i="8" s="1"/>
  <c r="S145" i="8"/>
  <c r="S142" i="8" s="1"/>
  <c r="R145" i="8"/>
  <c r="R143" i="8" s="1"/>
  <c r="U143" i="8" s="1"/>
  <c r="Q145" i="8"/>
  <c r="Q143" i="8" s="1"/>
  <c r="T143" i="8" s="1"/>
  <c r="N145" i="8"/>
  <c r="N143" i="8" s="1"/>
  <c r="M145" i="8"/>
  <c r="M143" i="8" s="1"/>
  <c r="P143" i="8" s="1"/>
  <c r="L145" i="8"/>
  <c r="O145" i="8" s="1"/>
  <c r="U144" i="8"/>
  <c r="T144" i="8"/>
  <c r="P144" i="8"/>
  <c r="O144" i="8"/>
  <c r="S141" i="8"/>
  <c r="R141" i="8"/>
  <c r="Q141" i="8"/>
  <c r="T141" i="8" s="1"/>
  <c r="N141" i="8"/>
  <c r="M141" i="8"/>
  <c r="L141" i="8"/>
  <c r="J139" i="8"/>
  <c r="J138" i="8"/>
  <c r="J137" i="8"/>
  <c r="I131" i="8"/>
  <c r="K131" i="8" s="1"/>
  <c r="I130" i="8"/>
  <c r="K130" i="8" s="1"/>
  <c r="I129" i="8"/>
  <c r="K129" i="8" s="1"/>
  <c r="I128" i="8"/>
  <c r="K128" i="8" s="1"/>
  <c r="U126" i="8"/>
  <c r="T126" i="8"/>
  <c r="N126" i="8"/>
  <c r="N124" i="8" s="1"/>
  <c r="M126" i="8"/>
  <c r="P126" i="8" s="1"/>
  <c r="L126" i="8"/>
  <c r="O126" i="8" s="1"/>
  <c r="U125" i="8"/>
  <c r="T125" i="8"/>
  <c r="P125" i="8"/>
  <c r="O125" i="8"/>
  <c r="T124" i="8"/>
  <c r="S124" i="8"/>
  <c r="R124" i="8"/>
  <c r="U124" i="8" s="1"/>
  <c r="Q124" i="8"/>
  <c r="S123" i="8"/>
  <c r="S120" i="8" s="1"/>
  <c r="S118" i="8" s="1"/>
  <c r="R123" i="8"/>
  <c r="R120" i="8" s="1"/>
  <c r="Q123" i="8"/>
  <c r="Q120" i="8" s="1"/>
  <c r="N123" i="8"/>
  <c r="N121" i="8" s="1"/>
  <c r="M123" i="8"/>
  <c r="P123" i="8" s="1"/>
  <c r="L123" i="8"/>
  <c r="O123" i="8" s="1"/>
  <c r="U122" i="8"/>
  <c r="T122" i="8"/>
  <c r="P122" i="8"/>
  <c r="O122" i="8"/>
  <c r="U119" i="8"/>
  <c r="S119" i="8"/>
  <c r="R119" i="8"/>
  <c r="Q119" i="8"/>
  <c r="P119" i="8"/>
  <c r="O119" i="8"/>
  <c r="N119" i="8"/>
  <c r="M119" i="8"/>
  <c r="L119" i="8"/>
  <c r="J117" i="8"/>
  <c r="I115" i="8"/>
  <c r="K115" i="8" s="1"/>
  <c r="I110" i="8"/>
  <c r="K110" i="8" s="1"/>
  <c r="I109" i="8"/>
  <c r="K109" i="8" s="1"/>
  <c r="U103" i="8"/>
  <c r="T103" i="8"/>
  <c r="N103" i="8"/>
  <c r="N101" i="8" s="1"/>
  <c r="M103" i="8"/>
  <c r="P103" i="8" s="1"/>
  <c r="L103" i="8"/>
  <c r="O103" i="8" s="1"/>
  <c r="U102" i="8"/>
  <c r="T102" i="8"/>
  <c r="P102" i="8"/>
  <c r="O102" i="8"/>
  <c r="T101" i="8"/>
  <c r="S101" i="8"/>
  <c r="R101" i="8"/>
  <c r="U101" i="8" s="1"/>
  <c r="Q101" i="8"/>
  <c r="S100" i="8"/>
  <c r="S97" i="8" s="1"/>
  <c r="R100" i="8"/>
  <c r="U100" i="8" s="1"/>
  <c r="Q97" i="8"/>
  <c r="T97" i="8" s="1"/>
  <c r="N100" i="8"/>
  <c r="M100" i="8"/>
  <c r="L100" i="8"/>
  <c r="O100" i="8" s="1"/>
  <c r="U99" i="8"/>
  <c r="T99" i="8"/>
  <c r="P99" i="8"/>
  <c r="O99" i="8"/>
  <c r="S96" i="8"/>
  <c r="R96" i="8"/>
  <c r="U96" i="8" s="1"/>
  <c r="Q96" i="8"/>
  <c r="N96" i="8"/>
  <c r="M96" i="8"/>
  <c r="P96" i="8" s="1"/>
  <c r="L96" i="8"/>
  <c r="O96" i="8" s="1"/>
  <c r="J94" i="8"/>
  <c r="J93" i="8"/>
  <c r="I91" i="8"/>
  <c r="K91" i="8" s="1"/>
  <c r="I90" i="8"/>
  <c r="K90" i="8" s="1"/>
  <c r="I89" i="8"/>
  <c r="K89" i="8" s="1"/>
  <c r="I88" i="8"/>
  <c r="K88" i="8" s="1"/>
  <c r="I87" i="8"/>
  <c r="K87" i="8" s="1"/>
  <c r="I86" i="8"/>
  <c r="I85" i="8"/>
  <c r="K85" i="8" s="1"/>
  <c r="J84" i="8"/>
  <c r="J83" i="8"/>
  <c r="J71" i="8" s="1"/>
  <c r="U81" i="8"/>
  <c r="T81" i="8"/>
  <c r="N81" i="8"/>
  <c r="N79" i="8" s="1"/>
  <c r="M81" i="8"/>
  <c r="M79" i="8" s="1"/>
  <c r="P79" i="8" s="1"/>
  <c r="L81" i="8"/>
  <c r="L79" i="8" s="1"/>
  <c r="O79" i="8" s="1"/>
  <c r="U80" i="8"/>
  <c r="T80" i="8"/>
  <c r="P80" i="8"/>
  <c r="O80" i="8"/>
  <c r="S79" i="8"/>
  <c r="R79" i="8"/>
  <c r="U79" i="8" s="1"/>
  <c r="Q79" i="8"/>
  <c r="T79" i="8" s="1"/>
  <c r="S78" i="8"/>
  <c r="S75" i="8" s="1"/>
  <c r="R78" i="8"/>
  <c r="U78" i="8" s="1"/>
  <c r="N78" i="8"/>
  <c r="N76" i="8" s="1"/>
  <c r="M78" i="8"/>
  <c r="P78" i="8" s="1"/>
  <c r="L78" i="8"/>
  <c r="O78" i="8" s="1"/>
  <c r="U77" i="8"/>
  <c r="T77" i="8"/>
  <c r="P77" i="8"/>
  <c r="O77" i="8"/>
  <c r="S74" i="8"/>
  <c r="R74" i="8"/>
  <c r="U74" i="8" s="1"/>
  <c r="Q74" i="8"/>
  <c r="T74" i="8" s="1"/>
  <c r="N74" i="8"/>
  <c r="M74" i="8"/>
  <c r="P74" i="8" s="1"/>
  <c r="L74" i="8"/>
  <c r="O74" i="8" s="1"/>
  <c r="J72" i="8"/>
  <c r="U68" i="8"/>
  <c r="T68" i="8"/>
  <c r="N68" i="8"/>
  <c r="N66" i="8" s="1"/>
  <c r="M68" i="8"/>
  <c r="L68" i="8"/>
  <c r="L66" i="8" s="1"/>
  <c r="O66" i="8" s="1"/>
  <c r="U67" i="8"/>
  <c r="T67" i="8"/>
  <c r="P67" i="8"/>
  <c r="O67" i="8"/>
  <c r="U66" i="8"/>
  <c r="T66" i="8"/>
  <c r="S66" i="8"/>
  <c r="R66" i="8"/>
  <c r="Q66" i="8"/>
  <c r="U65" i="8"/>
  <c r="T65" i="8"/>
  <c r="N65" i="8"/>
  <c r="N63" i="8" s="1"/>
  <c r="M65" i="8"/>
  <c r="M63" i="8" s="1"/>
  <c r="L65" i="8"/>
  <c r="L63" i="8" s="1"/>
  <c r="U64" i="8"/>
  <c r="T64" i="8"/>
  <c r="P64" i="8"/>
  <c r="O64" i="8"/>
  <c r="S63" i="8"/>
  <c r="R63" i="8"/>
  <c r="U63" i="8" s="1"/>
  <c r="Q63" i="8"/>
  <c r="T63" i="8" s="1"/>
  <c r="S62" i="8"/>
  <c r="R62" i="8"/>
  <c r="U62" i="8" s="1"/>
  <c r="Q62" i="8"/>
  <c r="T62" i="8" s="1"/>
  <c r="U61" i="8"/>
  <c r="T61" i="8"/>
  <c r="S61" i="8"/>
  <c r="S60" i="8" s="1"/>
  <c r="R61" i="8"/>
  <c r="Q61" i="8"/>
  <c r="P61" i="8"/>
  <c r="O61" i="8"/>
  <c r="N61" i="8"/>
  <c r="M61" i="8"/>
  <c r="L61" i="8"/>
  <c r="Q60" i="8"/>
  <c r="T60" i="8" s="1"/>
  <c r="U53" i="8"/>
  <c r="T53" i="8"/>
  <c r="N53" i="8"/>
  <c r="N51" i="8" s="1"/>
  <c r="M53" i="8"/>
  <c r="L53" i="8"/>
  <c r="O53" i="8" s="1"/>
  <c r="U52" i="8"/>
  <c r="T52" i="8"/>
  <c r="P52" i="8"/>
  <c r="O52" i="8"/>
  <c r="U51" i="8"/>
  <c r="S51" i="8"/>
  <c r="R51" i="8"/>
  <c r="Q51" i="8"/>
  <c r="T51" i="8" s="1"/>
  <c r="U50" i="8"/>
  <c r="T50" i="8"/>
  <c r="N50" i="8"/>
  <c r="N48" i="8" s="1"/>
  <c r="M50" i="8"/>
  <c r="L50" i="8"/>
  <c r="L48" i="8" s="1"/>
  <c r="U49" i="8"/>
  <c r="T49" i="8"/>
  <c r="P49" i="8"/>
  <c r="O49" i="8"/>
  <c r="T48" i="8"/>
  <c r="S48" i="8"/>
  <c r="R48" i="8"/>
  <c r="U48" i="8" s="1"/>
  <c r="Q48" i="8"/>
  <c r="S47" i="8"/>
  <c r="R47" i="8"/>
  <c r="U47" i="8" s="1"/>
  <c r="Q47" i="8"/>
  <c r="T47" i="8" s="1"/>
  <c r="U46" i="8"/>
  <c r="T46" i="8"/>
  <c r="S46" i="8"/>
  <c r="S45" i="8" s="1"/>
  <c r="R46" i="8"/>
  <c r="Q46" i="8"/>
  <c r="O46" i="8"/>
  <c r="N46" i="8"/>
  <c r="M46" i="8"/>
  <c r="P46" i="8" s="1"/>
  <c r="L46" i="8"/>
  <c r="Q45" i="8"/>
  <c r="T45" i="8" s="1"/>
  <c r="S27" i="8"/>
  <c r="R27" i="8"/>
  <c r="U27" i="8" s="1"/>
  <c r="Q27" i="8"/>
  <c r="T27" i="8" s="1"/>
  <c r="S26" i="8"/>
  <c r="R26" i="8"/>
  <c r="Q26" i="8"/>
  <c r="T26" i="8" s="1"/>
  <c r="N26" i="8"/>
  <c r="M26" i="8"/>
  <c r="P26" i="8" s="1"/>
  <c r="L26" i="8"/>
  <c r="O26" i="8" s="1"/>
  <c r="S23" i="8"/>
  <c r="R23" i="8"/>
  <c r="U23" i="8" s="1"/>
  <c r="Q23" i="8"/>
  <c r="T23" i="8" s="1"/>
  <c r="N23" i="8"/>
  <c r="N20" i="8" s="1"/>
  <c r="M23" i="8"/>
  <c r="P23" i="8" s="1"/>
  <c r="L23" i="8"/>
  <c r="O23" i="8" s="1"/>
  <c r="A788" i="7"/>
  <c r="J785" i="7"/>
  <c r="I785" i="7"/>
  <c r="J784" i="7"/>
  <c r="I784" i="7"/>
  <c r="J783" i="7"/>
  <c r="I783" i="7"/>
  <c r="K783" i="7" s="1"/>
  <c r="J782" i="7"/>
  <c r="I782" i="7"/>
  <c r="K782" i="7" s="1"/>
  <c r="J781" i="7"/>
  <c r="I781" i="7"/>
  <c r="J780" i="7"/>
  <c r="I780" i="7"/>
  <c r="J779" i="7"/>
  <c r="I779" i="7"/>
  <c r="J778" i="7"/>
  <c r="I778" i="7"/>
  <c r="H777" i="7"/>
  <c r="I776" i="7"/>
  <c r="I775" i="7"/>
  <c r="I774" i="7"/>
  <c r="I759" i="7" s="1"/>
  <c r="K759" i="7" s="1"/>
  <c r="I772" i="7"/>
  <c r="K772" i="7" s="1"/>
  <c r="I770" i="7"/>
  <c r="K770" i="7" s="1"/>
  <c r="U768" i="7"/>
  <c r="T768" i="7"/>
  <c r="P768" i="7"/>
  <c r="O768" i="7"/>
  <c r="U767" i="7"/>
  <c r="T767" i="7"/>
  <c r="P767" i="7"/>
  <c r="O767" i="7"/>
  <c r="U766" i="7"/>
  <c r="S766" i="7"/>
  <c r="R766" i="7"/>
  <c r="Q766" i="7"/>
  <c r="T766" i="7" s="1"/>
  <c r="P766" i="7"/>
  <c r="O766" i="7"/>
  <c r="N766" i="7"/>
  <c r="M766" i="7"/>
  <c r="L766" i="7"/>
  <c r="S765" i="7"/>
  <c r="R765" i="7"/>
  <c r="R763" i="7" s="1"/>
  <c r="U763" i="7" s="1"/>
  <c r="Q765" i="7"/>
  <c r="P765" i="7"/>
  <c r="O765" i="7"/>
  <c r="U764" i="7"/>
  <c r="T764" i="7"/>
  <c r="P764" i="7"/>
  <c r="O764" i="7"/>
  <c r="N763" i="7"/>
  <c r="M763" i="7"/>
  <c r="P763" i="7" s="1"/>
  <c r="L763" i="7"/>
  <c r="O763" i="7" s="1"/>
  <c r="P762" i="7"/>
  <c r="N762" i="7"/>
  <c r="M762" i="7"/>
  <c r="L762" i="7"/>
  <c r="O762" i="7" s="1"/>
  <c r="U761" i="7"/>
  <c r="T761" i="7"/>
  <c r="S761" i="7"/>
  <c r="R761" i="7"/>
  <c r="Q761" i="7"/>
  <c r="P761" i="7"/>
  <c r="O761" i="7"/>
  <c r="N761" i="7"/>
  <c r="M761" i="7"/>
  <c r="L761" i="7"/>
  <c r="N760" i="7"/>
  <c r="M760" i="7"/>
  <c r="P760" i="7" s="1"/>
  <c r="J759" i="7"/>
  <c r="J758" i="7"/>
  <c r="I756" i="7"/>
  <c r="K756" i="7" s="1"/>
  <c r="I753" i="7"/>
  <c r="K753" i="7" s="1"/>
  <c r="I750" i="7"/>
  <c r="K750" i="7" s="1"/>
  <c r="I747" i="7"/>
  <c r="K747" i="7" s="1"/>
  <c r="I745" i="7"/>
  <c r="K745" i="7" s="1"/>
  <c r="I743" i="7"/>
  <c r="K743" i="7" s="1"/>
  <c r="I741" i="7"/>
  <c r="K741" i="7" s="1"/>
  <c r="U737" i="7"/>
  <c r="T737" i="7"/>
  <c r="P737" i="7"/>
  <c r="O737" i="7"/>
  <c r="U736" i="7"/>
  <c r="T736" i="7"/>
  <c r="P736" i="7"/>
  <c r="O736" i="7"/>
  <c r="U735" i="7"/>
  <c r="T735" i="7"/>
  <c r="S735" i="7"/>
  <c r="R735" i="7"/>
  <c r="Q735" i="7"/>
  <c r="P735" i="7"/>
  <c r="O735" i="7"/>
  <c r="N735" i="7"/>
  <c r="M735" i="7"/>
  <c r="L735" i="7"/>
  <c r="S734" i="7"/>
  <c r="S731" i="7" s="1"/>
  <c r="S729" i="7" s="1"/>
  <c r="R734" i="7"/>
  <c r="R732" i="7" s="1"/>
  <c r="Q734" i="7"/>
  <c r="P734" i="7"/>
  <c r="O734" i="7"/>
  <c r="U733" i="7"/>
  <c r="T733" i="7"/>
  <c r="P733" i="7"/>
  <c r="O733" i="7"/>
  <c r="N732" i="7"/>
  <c r="M732" i="7"/>
  <c r="P732" i="7" s="1"/>
  <c r="L732" i="7"/>
  <c r="O732" i="7" s="1"/>
  <c r="P731" i="7"/>
  <c r="O731" i="7"/>
  <c r="N731" i="7"/>
  <c r="M731" i="7"/>
  <c r="L731" i="7"/>
  <c r="U730" i="7"/>
  <c r="T730" i="7"/>
  <c r="S730" i="7"/>
  <c r="R730" i="7"/>
  <c r="Q730" i="7"/>
  <c r="O730" i="7"/>
  <c r="N730" i="7"/>
  <c r="N729" i="7" s="1"/>
  <c r="M730" i="7"/>
  <c r="P730" i="7" s="1"/>
  <c r="L730" i="7"/>
  <c r="M729" i="7"/>
  <c r="P729" i="7" s="1"/>
  <c r="L729" i="7"/>
  <c r="O729" i="7" s="1"/>
  <c r="J728" i="7"/>
  <c r="I728" i="7"/>
  <c r="K728" i="7" s="1"/>
  <c r="J727" i="7"/>
  <c r="I727" i="7"/>
  <c r="K727" i="7" s="1"/>
  <c r="U723" i="7"/>
  <c r="T723" i="7"/>
  <c r="P723" i="7"/>
  <c r="O723" i="7"/>
  <c r="U722" i="7"/>
  <c r="T722" i="7"/>
  <c r="P722" i="7"/>
  <c r="O722" i="7"/>
  <c r="S721" i="7"/>
  <c r="R721" i="7"/>
  <c r="U721" i="7" s="1"/>
  <c r="Q721" i="7"/>
  <c r="T721" i="7" s="1"/>
  <c r="N721" i="7"/>
  <c r="M721" i="7"/>
  <c r="P721" i="7" s="1"/>
  <c r="L721" i="7"/>
  <c r="O721" i="7" s="1"/>
  <c r="U720" i="7"/>
  <c r="T720" i="7"/>
  <c r="P720" i="7"/>
  <c r="O720" i="7"/>
  <c r="U719" i="7"/>
  <c r="T719" i="7"/>
  <c r="P719" i="7"/>
  <c r="O719" i="7"/>
  <c r="S718" i="7"/>
  <c r="R718" i="7"/>
  <c r="U718" i="7" s="1"/>
  <c r="Q718" i="7"/>
  <c r="T718" i="7" s="1"/>
  <c r="N718" i="7"/>
  <c r="M718" i="7"/>
  <c r="P718" i="7" s="1"/>
  <c r="L718" i="7"/>
  <c r="O718" i="7" s="1"/>
  <c r="U717" i="7"/>
  <c r="S717" i="7"/>
  <c r="R717" i="7"/>
  <c r="Q717" i="7"/>
  <c r="T717" i="7" s="1"/>
  <c r="P717" i="7"/>
  <c r="O717" i="7"/>
  <c r="N717" i="7"/>
  <c r="M717" i="7"/>
  <c r="L717" i="7"/>
  <c r="U716" i="7"/>
  <c r="T716" i="7"/>
  <c r="S716" i="7"/>
  <c r="R716" i="7"/>
  <c r="Q716" i="7"/>
  <c r="Q715" i="7" s="1"/>
  <c r="T715" i="7" s="1"/>
  <c r="O716" i="7"/>
  <c r="N716" i="7"/>
  <c r="N715" i="7" s="1"/>
  <c r="M716" i="7"/>
  <c r="P716" i="7" s="1"/>
  <c r="L716" i="7"/>
  <c r="S715" i="7"/>
  <c r="R715" i="7"/>
  <c r="U715" i="7" s="1"/>
  <c r="M715" i="7"/>
  <c r="P715" i="7" s="1"/>
  <c r="L715" i="7"/>
  <c r="O715" i="7" s="1"/>
  <c r="K713" i="7"/>
  <c r="J713" i="7"/>
  <c r="K711" i="7"/>
  <c r="J711" i="7"/>
  <c r="J710" i="7"/>
  <c r="I710" i="7"/>
  <c r="K709" i="7"/>
  <c r="J709" i="7"/>
  <c r="J708" i="7"/>
  <c r="J690" i="7" s="1"/>
  <c r="I708" i="7"/>
  <c r="K708" i="7" s="1"/>
  <c r="K707" i="7"/>
  <c r="J707" i="7"/>
  <c r="J706" i="7"/>
  <c r="I706" i="7"/>
  <c r="K705" i="7"/>
  <c r="J705" i="7"/>
  <c r="J704" i="7"/>
  <c r="I704" i="7"/>
  <c r="K704" i="7" s="1"/>
  <c r="K703" i="7"/>
  <c r="I701" i="7"/>
  <c r="K701" i="7" s="1"/>
  <c r="U699" i="7"/>
  <c r="T699" i="7"/>
  <c r="P699" i="7"/>
  <c r="O699" i="7"/>
  <c r="U698" i="7"/>
  <c r="T698" i="7"/>
  <c r="P698" i="7"/>
  <c r="O698" i="7"/>
  <c r="S697" i="7"/>
  <c r="R697" i="7"/>
  <c r="U697" i="7" s="1"/>
  <c r="Q697" i="7"/>
  <c r="T697" i="7" s="1"/>
  <c r="P697" i="7"/>
  <c r="N697" i="7"/>
  <c r="M697" i="7"/>
  <c r="L697" i="7"/>
  <c r="O697" i="7" s="1"/>
  <c r="S696" i="7"/>
  <c r="S693" i="7" s="1"/>
  <c r="R696" i="7"/>
  <c r="R694" i="7" s="1"/>
  <c r="Q696" i="7"/>
  <c r="Q694" i="7" s="1"/>
  <c r="P696" i="7"/>
  <c r="O696" i="7"/>
  <c r="U695" i="7"/>
  <c r="T695" i="7"/>
  <c r="P695" i="7"/>
  <c r="O695" i="7"/>
  <c r="O694" i="7"/>
  <c r="N694" i="7"/>
  <c r="M694" i="7"/>
  <c r="P694" i="7" s="1"/>
  <c r="L694" i="7"/>
  <c r="N693" i="7"/>
  <c r="M693" i="7"/>
  <c r="P693" i="7" s="1"/>
  <c r="L693" i="7"/>
  <c r="U692" i="7"/>
  <c r="S692" i="7"/>
  <c r="R692" i="7"/>
  <c r="Q692" i="7"/>
  <c r="P692" i="7"/>
  <c r="O692" i="7"/>
  <c r="N692" i="7"/>
  <c r="M692" i="7"/>
  <c r="M691" i="7" s="1"/>
  <c r="P691" i="7" s="1"/>
  <c r="L692" i="7"/>
  <c r="N691" i="7"/>
  <c r="J683" i="7"/>
  <c r="I683" i="7"/>
  <c r="K683" i="7" s="1"/>
  <c r="J682" i="7"/>
  <c r="I682" i="7"/>
  <c r="K682" i="7" s="1"/>
  <c r="J681" i="7"/>
  <c r="J680" i="7"/>
  <c r="I680" i="7"/>
  <c r="K680" i="7" s="1"/>
  <c r="J679" i="7"/>
  <c r="I679" i="7"/>
  <c r="K679" i="7" s="1"/>
  <c r="J678" i="7"/>
  <c r="J677" i="7"/>
  <c r="I677" i="7"/>
  <c r="K677" i="7" s="1"/>
  <c r="I676" i="7"/>
  <c r="K676" i="7" s="1"/>
  <c r="I675" i="7"/>
  <c r="K675" i="7" s="1"/>
  <c r="J674" i="7"/>
  <c r="I674" i="7"/>
  <c r="K674" i="7" s="1"/>
  <c r="J673" i="7"/>
  <c r="J672" i="7"/>
  <c r="J662" i="7"/>
  <c r="I662" i="7"/>
  <c r="K662" i="7" s="1"/>
  <c r="I661" i="7"/>
  <c r="I658" i="7"/>
  <c r="J655" i="7"/>
  <c r="I655" i="7"/>
  <c r="K655" i="7" s="1"/>
  <c r="J654" i="7"/>
  <c r="I654" i="7"/>
  <c r="K654" i="7" s="1"/>
  <c r="J653" i="7"/>
  <c r="I653" i="7"/>
  <c r="K653" i="7" s="1"/>
  <c r="U651" i="7"/>
  <c r="T651" i="7"/>
  <c r="P651" i="7"/>
  <c r="O651" i="7"/>
  <c r="U650" i="7"/>
  <c r="T650" i="7"/>
  <c r="P650" i="7"/>
  <c r="O650" i="7"/>
  <c r="S649" i="7"/>
  <c r="R649" i="7"/>
  <c r="U649" i="7" s="1"/>
  <c r="Q649" i="7"/>
  <c r="T649" i="7" s="1"/>
  <c r="P649" i="7"/>
  <c r="N649" i="7"/>
  <c r="M649" i="7"/>
  <c r="L649" i="7"/>
  <c r="O649" i="7" s="1"/>
  <c r="S648" i="7"/>
  <c r="S646" i="7" s="1"/>
  <c r="R648" i="7"/>
  <c r="Q648" i="7"/>
  <c r="Q645" i="7" s="1"/>
  <c r="T645" i="7" s="1"/>
  <c r="P648" i="7"/>
  <c r="O648" i="7"/>
  <c r="U647" i="7"/>
  <c r="T647" i="7"/>
  <c r="P647" i="7"/>
  <c r="O647" i="7"/>
  <c r="O646" i="7"/>
  <c r="N646" i="7"/>
  <c r="M646" i="7"/>
  <c r="P646" i="7" s="1"/>
  <c r="L646" i="7"/>
  <c r="N645" i="7"/>
  <c r="M645" i="7"/>
  <c r="P645" i="7" s="1"/>
  <c r="L645" i="7"/>
  <c r="U644" i="7"/>
  <c r="S644" i="7"/>
  <c r="R644" i="7"/>
  <c r="Q644" i="7"/>
  <c r="P644" i="7"/>
  <c r="O644" i="7"/>
  <c r="N644" i="7"/>
  <c r="M644" i="7"/>
  <c r="M643" i="7" s="1"/>
  <c r="P643" i="7" s="1"/>
  <c r="L644" i="7"/>
  <c r="N643" i="7"/>
  <c r="J637" i="7"/>
  <c r="J636" i="7"/>
  <c r="I636" i="7"/>
  <c r="K636" i="7" s="1"/>
  <c r="J633" i="7"/>
  <c r="I629" i="7"/>
  <c r="K629" i="7" s="1"/>
  <c r="I628" i="7"/>
  <c r="K628" i="7" s="1"/>
  <c r="J627" i="7"/>
  <c r="I627" i="7"/>
  <c r="I616" i="7" s="1"/>
  <c r="K616" i="7" s="1"/>
  <c r="U625" i="7"/>
  <c r="T625" i="7"/>
  <c r="P625" i="7"/>
  <c r="O625" i="7"/>
  <c r="U624" i="7"/>
  <c r="T624" i="7"/>
  <c r="P624" i="7"/>
  <c r="O624" i="7"/>
  <c r="S623" i="7"/>
  <c r="R623" i="7"/>
  <c r="U623" i="7" s="1"/>
  <c r="Q623" i="7"/>
  <c r="T623" i="7" s="1"/>
  <c r="N623" i="7"/>
  <c r="M623" i="7"/>
  <c r="P623" i="7" s="1"/>
  <c r="L623" i="7"/>
  <c r="O623" i="7" s="1"/>
  <c r="S622" i="7"/>
  <c r="R622" i="7"/>
  <c r="R619" i="7" s="1"/>
  <c r="Q622" i="7"/>
  <c r="P622" i="7"/>
  <c r="O622" i="7"/>
  <c r="U621" i="7"/>
  <c r="T621" i="7"/>
  <c r="P621" i="7"/>
  <c r="O621" i="7"/>
  <c r="P620" i="7"/>
  <c r="O620" i="7"/>
  <c r="N620" i="7"/>
  <c r="M620" i="7"/>
  <c r="L620" i="7"/>
  <c r="N619" i="7"/>
  <c r="M619" i="7"/>
  <c r="L619" i="7"/>
  <c r="O619" i="7" s="1"/>
  <c r="S618" i="7"/>
  <c r="R618" i="7"/>
  <c r="Q618" i="7"/>
  <c r="P618" i="7"/>
  <c r="N618" i="7"/>
  <c r="N617" i="7" s="1"/>
  <c r="M618" i="7"/>
  <c r="L618" i="7"/>
  <c r="J616" i="7"/>
  <c r="U608" i="7"/>
  <c r="T608" i="7"/>
  <c r="P608" i="7"/>
  <c r="O608" i="7"/>
  <c r="U607" i="7"/>
  <c r="T607" i="7"/>
  <c r="P607" i="7"/>
  <c r="O607" i="7"/>
  <c r="S606" i="7"/>
  <c r="R606" i="7"/>
  <c r="U606" i="7" s="1"/>
  <c r="Q606" i="7"/>
  <c r="T606" i="7" s="1"/>
  <c r="N606" i="7"/>
  <c r="M606" i="7"/>
  <c r="P606" i="7" s="1"/>
  <c r="L606" i="7"/>
  <c r="O606" i="7" s="1"/>
  <c r="U605" i="7"/>
  <c r="T605" i="7"/>
  <c r="P605" i="7"/>
  <c r="O605" i="7"/>
  <c r="U604" i="7"/>
  <c r="T604" i="7"/>
  <c r="P604" i="7"/>
  <c r="O604" i="7"/>
  <c r="S603" i="7"/>
  <c r="R603" i="7"/>
  <c r="U603" i="7" s="1"/>
  <c r="Q603" i="7"/>
  <c r="T603" i="7" s="1"/>
  <c r="N603" i="7"/>
  <c r="M603" i="7"/>
  <c r="P603" i="7" s="1"/>
  <c r="L603" i="7"/>
  <c r="O603" i="7" s="1"/>
  <c r="U602" i="7"/>
  <c r="S602" i="7"/>
  <c r="R602" i="7"/>
  <c r="Q602" i="7"/>
  <c r="T602" i="7" s="1"/>
  <c r="P602" i="7"/>
  <c r="O602" i="7"/>
  <c r="N602" i="7"/>
  <c r="M602" i="7"/>
  <c r="L602" i="7"/>
  <c r="U601" i="7"/>
  <c r="T601" i="7"/>
  <c r="S601" i="7"/>
  <c r="R601" i="7"/>
  <c r="Q601" i="7"/>
  <c r="O601" i="7"/>
  <c r="N601" i="7"/>
  <c r="N600" i="7" s="1"/>
  <c r="M601" i="7"/>
  <c r="P601" i="7" s="1"/>
  <c r="L601" i="7"/>
  <c r="S600" i="7"/>
  <c r="R600" i="7"/>
  <c r="U600" i="7" s="1"/>
  <c r="M600" i="7"/>
  <c r="P600" i="7" s="1"/>
  <c r="L600" i="7"/>
  <c r="O600" i="7" s="1"/>
  <c r="U585" i="7"/>
  <c r="T585" i="7"/>
  <c r="P585" i="7"/>
  <c r="O585" i="7"/>
  <c r="U584" i="7"/>
  <c r="T584" i="7"/>
  <c r="P584" i="7"/>
  <c r="O584" i="7"/>
  <c r="S583" i="7"/>
  <c r="R583" i="7"/>
  <c r="U583" i="7" s="1"/>
  <c r="Q583" i="7"/>
  <c r="T583" i="7" s="1"/>
  <c r="N583" i="7"/>
  <c r="M583" i="7"/>
  <c r="P583" i="7" s="1"/>
  <c r="L583" i="7"/>
  <c r="O583" i="7" s="1"/>
  <c r="U582" i="7"/>
  <c r="T582" i="7"/>
  <c r="P582" i="7"/>
  <c r="O582" i="7"/>
  <c r="U581" i="7"/>
  <c r="T581" i="7"/>
  <c r="P581" i="7"/>
  <c r="O581" i="7"/>
  <c r="S580" i="7"/>
  <c r="R580" i="7"/>
  <c r="U580" i="7" s="1"/>
  <c r="Q580" i="7"/>
  <c r="T580" i="7" s="1"/>
  <c r="N580" i="7"/>
  <c r="M580" i="7"/>
  <c r="P580" i="7" s="1"/>
  <c r="L580" i="7"/>
  <c r="O580" i="7" s="1"/>
  <c r="U579" i="7"/>
  <c r="S579" i="7"/>
  <c r="R579" i="7"/>
  <c r="Q579" i="7"/>
  <c r="T579" i="7" s="1"/>
  <c r="P579" i="7"/>
  <c r="O579" i="7"/>
  <c r="N579" i="7"/>
  <c r="M579" i="7"/>
  <c r="L579" i="7"/>
  <c r="U578" i="7"/>
  <c r="T578" i="7"/>
  <c r="S578" i="7"/>
  <c r="R578" i="7"/>
  <c r="Q578" i="7"/>
  <c r="Q577" i="7" s="1"/>
  <c r="T577" i="7" s="1"/>
  <c r="O578" i="7"/>
  <c r="N578" i="7"/>
  <c r="N577" i="7" s="1"/>
  <c r="M578" i="7"/>
  <c r="P578" i="7" s="1"/>
  <c r="L578" i="7"/>
  <c r="S577" i="7"/>
  <c r="R577" i="7"/>
  <c r="U577" i="7" s="1"/>
  <c r="M577" i="7"/>
  <c r="P577" i="7" s="1"/>
  <c r="L577" i="7"/>
  <c r="O577" i="7" s="1"/>
  <c r="J576" i="7"/>
  <c r="I576" i="7"/>
  <c r="K576" i="7" s="1"/>
  <c r="U564" i="7"/>
  <c r="T564" i="7"/>
  <c r="P564" i="7"/>
  <c r="O564" i="7"/>
  <c r="U563" i="7"/>
  <c r="T563" i="7"/>
  <c r="P563" i="7"/>
  <c r="O563" i="7"/>
  <c r="U562" i="7"/>
  <c r="T562" i="7"/>
  <c r="S562" i="7"/>
  <c r="R562" i="7"/>
  <c r="Q562" i="7"/>
  <c r="P562" i="7"/>
  <c r="O562" i="7"/>
  <c r="N562" i="7"/>
  <c r="M562" i="7"/>
  <c r="L562" i="7"/>
  <c r="U561" i="7"/>
  <c r="T561" i="7"/>
  <c r="P561" i="7"/>
  <c r="O561" i="7"/>
  <c r="U560" i="7"/>
  <c r="T560" i="7"/>
  <c r="P560" i="7"/>
  <c r="O560" i="7"/>
  <c r="U559" i="7"/>
  <c r="T559" i="7"/>
  <c r="S559" i="7"/>
  <c r="R559" i="7"/>
  <c r="Q559" i="7"/>
  <c r="P559" i="7"/>
  <c r="O559" i="7"/>
  <c r="N559" i="7"/>
  <c r="M559" i="7"/>
  <c r="L559" i="7"/>
  <c r="T558" i="7"/>
  <c r="S558" i="7"/>
  <c r="S556" i="7" s="1"/>
  <c r="R558" i="7"/>
  <c r="U558" i="7" s="1"/>
  <c r="Q558" i="7"/>
  <c r="N558" i="7"/>
  <c r="M558" i="7"/>
  <c r="L558" i="7"/>
  <c r="O558" i="7" s="1"/>
  <c r="S557" i="7"/>
  <c r="R557" i="7"/>
  <c r="Q557" i="7"/>
  <c r="P557" i="7"/>
  <c r="N557" i="7"/>
  <c r="N556" i="7" s="1"/>
  <c r="M557" i="7"/>
  <c r="L557" i="7"/>
  <c r="J555" i="7"/>
  <c r="I555" i="7"/>
  <c r="K555" i="7" s="1"/>
  <c r="U543" i="7"/>
  <c r="T543" i="7"/>
  <c r="P543" i="7"/>
  <c r="O543" i="7"/>
  <c r="U542" i="7"/>
  <c r="T542" i="7"/>
  <c r="P542" i="7"/>
  <c r="O542" i="7"/>
  <c r="S541" i="7"/>
  <c r="R541" i="7"/>
  <c r="U541" i="7" s="1"/>
  <c r="Q541" i="7"/>
  <c r="T541" i="7" s="1"/>
  <c r="N541" i="7"/>
  <c r="M541" i="7"/>
  <c r="P541" i="7" s="1"/>
  <c r="L541" i="7"/>
  <c r="O541" i="7" s="1"/>
  <c r="U540" i="7"/>
  <c r="T540" i="7"/>
  <c r="P540" i="7"/>
  <c r="O540" i="7"/>
  <c r="U539" i="7"/>
  <c r="T539" i="7"/>
  <c r="P539" i="7"/>
  <c r="O539" i="7"/>
  <c r="S538" i="7"/>
  <c r="R538" i="7"/>
  <c r="U538" i="7" s="1"/>
  <c r="Q538" i="7"/>
  <c r="T538" i="7" s="1"/>
  <c r="N538" i="7"/>
  <c r="M538" i="7"/>
  <c r="P538" i="7" s="1"/>
  <c r="L538" i="7"/>
  <c r="O538" i="7" s="1"/>
  <c r="U537" i="7"/>
  <c r="S537" i="7"/>
  <c r="R537" i="7"/>
  <c r="Q537" i="7"/>
  <c r="T537" i="7" s="1"/>
  <c r="P537" i="7"/>
  <c r="O537" i="7"/>
  <c r="N537" i="7"/>
  <c r="M537" i="7"/>
  <c r="L537" i="7"/>
  <c r="U536" i="7"/>
  <c r="T536" i="7"/>
  <c r="S536" i="7"/>
  <c r="R536" i="7"/>
  <c r="Q536" i="7"/>
  <c r="Q535" i="7" s="1"/>
  <c r="T535" i="7" s="1"/>
  <c r="O536" i="7"/>
  <c r="N536" i="7"/>
  <c r="N535" i="7" s="1"/>
  <c r="M536" i="7"/>
  <c r="P536" i="7" s="1"/>
  <c r="L536" i="7"/>
  <c r="L535" i="7" s="1"/>
  <c r="O535" i="7" s="1"/>
  <c r="S535" i="7"/>
  <c r="R535" i="7"/>
  <c r="U535" i="7" s="1"/>
  <c r="P535" i="7"/>
  <c r="M535" i="7"/>
  <c r="J534" i="7"/>
  <c r="I534" i="7"/>
  <c r="K534" i="7" s="1"/>
  <c r="K525" i="7"/>
  <c r="K524" i="7"/>
  <c r="U522" i="7"/>
  <c r="T522" i="7"/>
  <c r="N522" i="7"/>
  <c r="N520" i="7" s="1"/>
  <c r="M522" i="7"/>
  <c r="M520" i="7" s="1"/>
  <c r="P520" i="7" s="1"/>
  <c r="L522" i="7"/>
  <c r="L520" i="7" s="1"/>
  <c r="O520" i="7" s="1"/>
  <c r="U521" i="7"/>
  <c r="T521" i="7"/>
  <c r="P521" i="7"/>
  <c r="O521" i="7"/>
  <c r="U520" i="7"/>
  <c r="T520" i="7"/>
  <c r="S520" i="7"/>
  <c r="R520" i="7"/>
  <c r="Q520" i="7"/>
  <c r="U519" i="7"/>
  <c r="T519" i="7"/>
  <c r="N519" i="7"/>
  <c r="N517" i="7" s="1"/>
  <c r="M519" i="7"/>
  <c r="L519" i="7"/>
  <c r="O519" i="7" s="1"/>
  <c r="U518" i="7"/>
  <c r="T518" i="7"/>
  <c r="P518" i="7"/>
  <c r="O518" i="7"/>
  <c r="U517" i="7"/>
  <c r="T517" i="7"/>
  <c r="S517" i="7"/>
  <c r="R517" i="7"/>
  <c r="Q517" i="7"/>
  <c r="T516" i="7"/>
  <c r="S516" i="7"/>
  <c r="R516" i="7"/>
  <c r="U516" i="7" s="1"/>
  <c r="Q516" i="7"/>
  <c r="T515" i="7"/>
  <c r="S515" i="7"/>
  <c r="S514" i="7" s="1"/>
  <c r="R515" i="7"/>
  <c r="U515" i="7" s="1"/>
  <c r="Q515" i="7"/>
  <c r="N515" i="7"/>
  <c r="M515" i="7"/>
  <c r="L515" i="7"/>
  <c r="O515" i="7" s="1"/>
  <c r="Q514" i="7"/>
  <c r="T514" i="7" s="1"/>
  <c r="J513" i="7"/>
  <c r="I513" i="7"/>
  <c r="K513" i="7" s="1"/>
  <c r="I510" i="7"/>
  <c r="K510" i="7" s="1"/>
  <c r="K509" i="7"/>
  <c r="I508" i="7"/>
  <c r="K508" i="7" s="1"/>
  <c r="I507" i="7"/>
  <c r="I506" i="7"/>
  <c r="K506" i="7" s="1"/>
  <c r="I505" i="7"/>
  <c r="K505" i="7" s="1"/>
  <c r="I504" i="7"/>
  <c r="K504" i="7" s="1"/>
  <c r="U502" i="7"/>
  <c r="T502" i="7"/>
  <c r="P502" i="7"/>
  <c r="O502" i="7"/>
  <c r="U501" i="7"/>
  <c r="T501" i="7"/>
  <c r="P501" i="7"/>
  <c r="O501" i="7"/>
  <c r="U500" i="7"/>
  <c r="S500" i="7"/>
  <c r="R500" i="7"/>
  <c r="Q500" i="7"/>
  <c r="T500" i="7" s="1"/>
  <c r="O500" i="7"/>
  <c r="N500" i="7"/>
  <c r="M500" i="7"/>
  <c r="P500" i="7" s="1"/>
  <c r="L500" i="7"/>
  <c r="S499" i="7"/>
  <c r="S496" i="7" s="1"/>
  <c r="R499" i="7"/>
  <c r="R497" i="7" s="1"/>
  <c r="U497" i="7" s="1"/>
  <c r="Q499" i="7"/>
  <c r="T499" i="7" s="1"/>
  <c r="P499" i="7"/>
  <c r="O499" i="7"/>
  <c r="U498" i="7"/>
  <c r="T498" i="7"/>
  <c r="P498" i="7"/>
  <c r="O498" i="7"/>
  <c r="N497" i="7"/>
  <c r="M497" i="7"/>
  <c r="P497" i="7" s="1"/>
  <c r="L497" i="7"/>
  <c r="O497" i="7" s="1"/>
  <c r="P496" i="7"/>
  <c r="O496" i="7"/>
  <c r="N496" i="7"/>
  <c r="M496" i="7"/>
  <c r="L496" i="7"/>
  <c r="T495" i="7"/>
  <c r="S495" i="7"/>
  <c r="R495" i="7"/>
  <c r="U495" i="7" s="1"/>
  <c r="Q495" i="7"/>
  <c r="N495" i="7"/>
  <c r="M495" i="7"/>
  <c r="L495" i="7"/>
  <c r="L494" i="7" s="1"/>
  <c r="O494" i="7" s="1"/>
  <c r="N494" i="7"/>
  <c r="K486" i="7"/>
  <c r="J486" i="7"/>
  <c r="I486" i="7"/>
  <c r="K485" i="7"/>
  <c r="J485" i="7"/>
  <c r="I485" i="7"/>
  <c r="J484" i="7"/>
  <c r="J483" i="7"/>
  <c r="K478" i="7"/>
  <c r="J478" i="7"/>
  <c r="K477" i="7"/>
  <c r="J477" i="7"/>
  <c r="K476" i="7"/>
  <c r="J476" i="7"/>
  <c r="J469" i="7"/>
  <c r="J468" i="7"/>
  <c r="J461" i="7"/>
  <c r="J460" i="7"/>
  <c r="J459" i="7"/>
  <c r="I459" i="7"/>
  <c r="K459" i="7" s="1"/>
  <c r="J458" i="7"/>
  <c r="I458" i="7"/>
  <c r="K458" i="7" s="1"/>
  <c r="J457" i="7"/>
  <c r="J448" i="7"/>
  <c r="J447" i="7"/>
  <c r="J442" i="7"/>
  <c r="I442" i="7"/>
  <c r="K442" i="7" s="1"/>
  <c r="J441" i="7"/>
  <c r="J424" i="7" s="1"/>
  <c r="J413" i="7" s="1"/>
  <c r="I441" i="7"/>
  <c r="J434" i="7"/>
  <c r="I434" i="7"/>
  <c r="K434" i="7" s="1"/>
  <c r="J433" i="7"/>
  <c r="I433" i="7"/>
  <c r="K433" i="7" s="1"/>
  <c r="J426" i="7"/>
  <c r="I426" i="7"/>
  <c r="K426" i="7" s="1"/>
  <c r="J425" i="7"/>
  <c r="I425" i="7"/>
  <c r="K425" i="7" s="1"/>
  <c r="U422" i="7"/>
  <c r="T422" i="7"/>
  <c r="P422" i="7"/>
  <c r="O422" i="7"/>
  <c r="U421" i="7"/>
  <c r="T421" i="7"/>
  <c r="P421" i="7"/>
  <c r="O421" i="7"/>
  <c r="S420" i="7"/>
  <c r="R420" i="7"/>
  <c r="U420" i="7" s="1"/>
  <c r="Q420" i="7"/>
  <c r="T420" i="7" s="1"/>
  <c r="P420" i="7"/>
  <c r="O420" i="7"/>
  <c r="N420" i="7"/>
  <c r="M420" i="7"/>
  <c r="L420" i="7"/>
  <c r="S419" i="7"/>
  <c r="S417" i="7" s="1"/>
  <c r="R419" i="7"/>
  <c r="U419" i="7" s="1"/>
  <c r="Q419" i="7"/>
  <c r="P419" i="7"/>
  <c r="O419" i="7"/>
  <c r="U418" i="7"/>
  <c r="T418" i="7"/>
  <c r="P418" i="7"/>
  <c r="O418" i="7"/>
  <c r="P417" i="7"/>
  <c r="N417" i="7"/>
  <c r="M417" i="7"/>
  <c r="L417" i="7"/>
  <c r="O417" i="7" s="1"/>
  <c r="N416" i="7"/>
  <c r="M416" i="7"/>
  <c r="L416" i="7"/>
  <c r="O416" i="7" s="1"/>
  <c r="S415" i="7"/>
  <c r="R415" i="7"/>
  <c r="Q415" i="7"/>
  <c r="P415" i="7"/>
  <c r="N415" i="7"/>
  <c r="M415" i="7"/>
  <c r="L415" i="7"/>
  <c r="O415" i="7" s="1"/>
  <c r="L414" i="7"/>
  <c r="O414" i="7" s="1"/>
  <c r="U401" i="7"/>
  <c r="T401" i="7"/>
  <c r="P401" i="7"/>
  <c r="O401" i="7"/>
  <c r="U400" i="7"/>
  <c r="T400" i="7"/>
  <c r="P400" i="7"/>
  <c r="O400" i="7"/>
  <c r="U399" i="7"/>
  <c r="S399" i="7"/>
  <c r="R399" i="7"/>
  <c r="Q399" i="7"/>
  <c r="T399" i="7" s="1"/>
  <c r="N399" i="7"/>
  <c r="M399" i="7"/>
  <c r="P399" i="7" s="1"/>
  <c r="L399" i="7"/>
  <c r="O399" i="7" s="1"/>
  <c r="U398" i="7"/>
  <c r="T398" i="7"/>
  <c r="P398" i="7"/>
  <c r="O398" i="7"/>
  <c r="U397" i="7"/>
  <c r="T397" i="7"/>
  <c r="P397" i="7"/>
  <c r="O397" i="7"/>
  <c r="S396" i="7"/>
  <c r="R396" i="7"/>
  <c r="U396" i="7" s="1"/>
  <c r="Q396" i="7"/>
  <c r="T396" i="7" s="1"/>
  <c r="N396" i="7"/>
  <c r="M396" i="7"/>
  <c r="P396" i="7" s="1"/>
  <c r="L396" i="7"/>
  <c r="O396" i="7" s="1"/>
  <c r="U395" i="7"/>
  <c r="S395" i="7"/>
  <c r="R395" i="7"/>
  <c r="Q395" i="7"/>
  <c r="T395" i="7" s="1"/>
  <c r="P395" i="7"/>
  <c r="O395" i="7"/>
  <c r="N395" i="7"/>
  <c r="M395" i="7"/>
  <c r="L395" i="7"/>
  <c r="U394" i="7"/>
  <c r="T394" i="7"/>
  <c r="S394" i="7"/>
  <c r="S393" i="7" s="1"/>
  <c r="R394" i="7"/>
  <c r="Q394" i="7"/>
  <c r="N394" i="7"/>
  <c r="N393" i="7" s="1"/>
  <c r="M394" i="7"/>
  <c r="L394" i="7"/>
  <c r="O394" i="7" s="1"/>
  <c r="R393" i="7"/>
  <c r="U393" i="7" s="1"/>
  <c r="Q393" i="7"/>
  <c r="T393" i="7" s="1"/>
  <c r="K392" i="7"/>
  <c r="J392" i="7"/>
  <c r="I392" i="7"/>
  <c r="J389" i="7"/>
  <c r="I389" i="7"/>
  <c r="K389" i="7" s="1"/>
  <c r="K388" i="7"/>
  <c r="J388" i="7"/>
  <c r="J387" i="7"/>
  <c r="I387" i="7"/>
  <c r="K386" i="7"/>
  <c r="J386" i="7"/>
  <c r="U384" i="7"/>
  <c r="T384" i="7"/>
  <c r="P384" i="7"/>
  <c r="O384" i="7"/>
  <c r="U383" i="7"/>
  <c r="T383" i="7"/>
  <c r="P383" i="7"/>
  <c r="O383" i="7"/>
  <c r="S382" i="7"/>
  <c r="R382" i="7"/>
  <c r="U382" i="7" s="1"/>
  <c r="Q382" i="7"/>
  <c r="T382" i="7" s="1"/>
  <c r="P382" i="7"/>
  <c r="N382" i="7"/>
  <c r="M382" i="7"/>
  <c r="L382" i="7"/>
  <c r="O382" i="7" s="1"/>
  <c r="S381" i="7"/>
  <c r="R381" i="7"/>
  <c r="Q381" i="7"/>
  <c r="Q379" i="7" s="1"/>
  <c r="P381" i="7"/>
  <c r="O381" i="7"/>
  <c r="U380" i="7"/>
  <c r="T380" i="7"/>
  <c r="P380" i="7"/>
  <c r="O380" i="7"/>
  <c r="O379" i="7"/>
  <c r="N379" i="7"/>
  <c r="M379" i="7"/>
  <c r="P379" i="7" s="1"/>
  <c r="L379" i="7"/>
  <c r="N378" i="7"/>
  <c r="M378" i="7"/>
  <c r="L378" i="7"/>
  <c r="O378" i="7" s="1"/>
  <c r="U377" i="7"/>
  <c r="S377" i="7"/>
  <c r="R377" i="7"/>
  <c r="Q377" i="7"/>
  <c r="P377" i="7"/>
  <c r="O377" i="7"/>
  <c r="N377" i="7"/>
  <c r="M377" i="7"/>
  <c r="L377" i="7"/>
  <c r="L376" i="7" s="1"/>
  <c r="O376" i="7" s="1"/>
  <c r="N376" i="7"/>
  <c r="D374" i="7"/>
  <c r="K373" i="7"/>
  <c r="J373" i="7"/>
  <c r="J372" i="7"/>
  <c r="J366" i="7" s="1"/>
  <c r="I372" i="7"/>
  <c r="I366" i="7" s="1"/>
  <c r="K371" i="7"/>
  <c r="J371" i="7"/>
  <c r="J370" i="7"/>
  <c r="I370" i="7"/>
  <c r="J369" i="7"/>
  <c r="I369" i="7"/>
  <c r="K368" i="7"/>
  <c r="J368" i="7"/>
  <c r="U365" i="7"/>
  <c r="T365" i="7"/>
  <c r="N365" i="7"/>
  <c r="M365" i="7"/>
  <c r="L365" i="7"/>
  <c r="L363" i="7" s="1"/>
  <c r="O363" i="7" s="1"/>
  <c r="U364" i="7"/>
  <c r="T364" i="7"/>
  <c r="P364" i="7"/>
  <c r="O364" i="7"/>
  <c r="U363" i="7"/>
  <c r="T363" i="7"/>
  <c r="S363" i="7"/>
  <c r="R363" i="7"/>
  <c r="Q363" i="7"/>
  <c r="U362" i="7"/>
  <c r="T362" i="7"/>
  <c r="N362" i="7"/>
  <c r="N360" i="7" s="1"/>
  <c r="M362" i="7"/>
  <c r="L362" i="7"/>
  <c r="L360" i="7" s="1"/>
  <c r="U361" i="7"/>
  <c r="T361" i="7"/>
  <c r="P361" i="7"/>
  <c r="O361" i="7"/>
  <c r="S360" i="7"/>
  <c r="R360" i="7"/>
  <c r="U360" i="7" s="1"/>
  <c r="Q360" i="7"/>
  <c r="T360" i="7" s="1"/>
  <c r="U359" i="7"/>
  <c r="S359" i="7"/>
  <c r="R359" i="7"/>
  <c r="Q359" i="7"/>
  <c r="U358" i="7"/>
  <c r="T358" i="7"/>
  <c r="S358" i="7"/>
  <c r="R358" i="7"/>
  <c r="Q358" i="7"/>
  <c r="O358" i="7"/>
  <c r="N358" i="7"/>
  <c r="M358" i="7"/>
  <c r="P358" i="7" s="1"/>
  <c r="L358" i="7"/>
  <c r="S357" i="7"/>
  <c r="R357" i="7"/>
  <c r="U357" i="7" s="1"/>
  <c r="D355" i="7"/>
  <c r="J354" i="7"/>
  <c r="J353" i="7"/>
  <c r="D351" i="7"/>
  <c r="J350" i="7"/>
  <c r="J349" i="7"/>
  <c r="J348" i="7"/>
  <c r="J347" i="7"/>
  <c r="I347" i="7"/>
  <c r="J345" i="7"/>
  <c r="I345" i="7"/>
  <c r="I333" i="7" s="1"/>
  <c r="U342" i="7"/>
  <c r="T342" i="7"/>
  <c r="N342" i="7"/>
  <c r="M342" i="7"/>
  <c r="P342" i="7" s="1"/>
  <c r="L342" i="7"/>
  <c r="U341" i="7"/>
  <c r="T341" i="7"/>
  <c r="P341" i="7"/>
  <c r="O341" i="7"/>
  <c r="S340" i="7"/>
  <c r="R340" i="7"/>
  <c r="U340" i="7" s="1"/>
  <c r="Q340" i="7"/>
  <c r="T340" i="7" s="1"/>
  <c r="U339" i="7"/>
  <c r="T339" i="7"/>
  <c r="N339" i="7"/>
  <c r="N337" i="7" s="1"/>
  <c r="M339" i="7"/>
  <c r="L339" i="7"/>
  <c r="L337" i="7" s="1"/>
  <c r="U338" i="7"/>
  <c r="T338" i="7"/>
  <c r="P338" i="7"/>
  <c r="O338" i="7"/>
  <c r="U337" i="7"/>
  <c r="T337" i="7"/>
  <c r="S337" i="7"/>
  <c r="R337" i="7"/>
  <c r="Q337" i="7"/>
  <c r="T336" i="7"/>
  <c r="S336" i="7"/>
  <c r="R336" i="7"/>
  <c r="U336" i="7" s="1"/>
  <c r="Q336" i="7"/>
  <c r="S335" i="7"/>
  <c r="S334" i="7" s="1"/>
  <c r="R335" i="7"/>
  <c r="Q335" i="7"/>
  <c r="P335" i="7"/>
  <c r="N335" i="7"/>
  <c r="M335" i="7"/>
  <c r="L335" i="7"/>
  <c r="I331" i="7"/>
  <c r="K331" i="7" s="1"/>
  <c r="U329" i="7"/>
  <c r="T329" i="7"/>
  <c r="N329" i="7"/>
  <c r="N327" i="7" s="1"/>
  <c r="M329" i="7"/>
  <c r="M327" i="7" s="1"/>
  <c r="P327" i="7" s="1"/>
  <c r="L329" i="7"/>
  <c r="O329" i="7" s="1"/>
  <c r="U328" i="7"/>
  <c r="T328" i="7"/>
  <c r="P328" i="7"/>
  <c r="O328" i="7"/>
  <c r="S327" i="7"/>
  <c r="R327" i="7"/>
  <c r="U327" i="7" s="1"/>
  <c r="Q327" i="7"/>
  <c r="T327" i="7" s="1"/>
  <c r="U326" i="7"/>
  <c r="T326" i="7"/>
  <c r="N326" i="7"/>
  <c r="N324" i="7" s="1"/>
  <c r="M326" i="7"/>
  <c r="L326" i="7"/>
  <c r="U325" i="7"/>
  <c r="T325" i="7"/>
  <c r="P325" i="7"/>
  <c r="O325" i="7"/>
  <c r="U324" i="7"/>
  <c r="T324" i="7"/>
  <c r="S324" i="7"/>
  <c r="R324" i="7"/>
  <c r="Q324" i="7"/>
  <c r="S323" i="7"/>
  <c r="S321" i="7" s="1"/>
  <c r="R323" i="7"/>
  <c r="U323" i="7" s="1"/>
  <c r="Q323" i="7"/>
  <c r="T323" i="7" s="1"/>
  <c r="U322" i="7"/>
  <c r="S322" i="7"/>
  <c r="R322" i="7"/>
  <c r="R321" i="7" s="1"/>
  <c r="U321" i="7" s="1"/>
  <c r="Q322" i="7"/>
  <c r="P322" i="7"/>
  <c r="O322" i="7"/>
  <c r="N322" i="7"/>
  <c r="M322" i="7"/>
  <c r="L322" i="7"/>
  <c r="J320" i="7"/>
  <c r="I315" i="7"/>
  <c r="K315" i="7" s="1"/>
  <c r="U312" i="7"/>
  <c r="T312" i="7"/>
  <c r="N312" i="7"/>
  <c r="N310" i="7" s="1"/>
  <c r="M312" i="7"/>
  <c r="M310" i="7" s="1"/>
  <c r="P310" i="7" s="1"/>
  <c r="L312" i="7"/>
  <c r="L310" i="7" s="1"/>
  <c r="O310" i="7" s="1"/>
  <c r="U311" i="7"/>
  <c r="T311" i="7"/>
  <c r="P311" i="7"/>
  <c r="O311" i="7"/>
  <c r="U310" i="7"/>
  <c r="S310" i="7"/>
  <c r="R310" i="7"/>
  <c r="Q310" i="7"/>
  <c r="T310" i="7" s="1"/>
  <c r="S309" i="7"/>
  <c r="S307" i="7" s="1"/>
  <c r="R309" i="7"/>
  <c r="R307" i="7" s="1"/>
  <c r="U307" i="7" s="1"/>
  <c r="Q309" i="7"/>
  <c r="N309" i="7"/>
  <c r="M309" i="7"/>
  <c r="M307" i="7" s="1"/>
  <c r="P307" i="7" s="1"/>
  <c r="L309" i="7"/>
  <c r="O309" i="7" s="1"/>
  <c r="U308" i="7"/>
  <c r="T308" i="7"/>
  <c r="P308" i="7"/>
  <c r="O308" i="7"/>
  <c r="S305" i="7"/>
  <c r="R305" i="7"/>
  <c r="Q305" i="7"/>
  <c r="T305" i="7" s="1"/>
  <c r="N305" i="7"/>
  <c r="M305" i="7"/>
  <c r="L305" i="7"/>
  <c r="J303" i="7"/>
  <c r="I297" i="7"/>
  <c r="K297" i="7" s="1"/>
  <c r="I296" i="7"/>
  <c r="K296" i="7" s="1"/>
  <c r="J294" i="7"/>
  <c r="J281" i="7" s="1"/>
  <c r="I294" i="7"/>
  <c r="K294" i="7" s="1"/>
  <c r="I293" i="7"/>
  <c r="K293" i="7" s="1"/>
  <c r="U291" i="7"/>
  <c r="T291" i="7"/>
  <c r="N291" i="7"/>
  <c r="N289" i="7" s="1"/>
  <c r="M291" i="7"/>
  <c r="M289" i="7" s="1"/>
  <c r="P289" i="7" s="1"/>
  <c r="L291" i="7"/>
  <c r="U290" i="7"/>
  <c r="T290" i="7"/>
  <c r="P290" i="7"/>
  <c r="O290" i="7"/>
  <c r="T289" i="7"/>
  <c r="S289" i="7"/>
  <c r="R289" i="7"/>
  <c r="U289" i="7" s="1"/>
  <c r="Q289" i="7"/>
  <c r="U288" i="7"/>
  <c r="T288" i="7"/>
  <c r="N288" i="7"/>
  <c r="M288" i="7"/>
  <c r="L288" i="7"/>
  <c r="O288" i="7" s="1"/>
  <c r="U287" i="7"/>
  <c r="T287" i="7"/>
  <c r="P287" i="7"/>
  <c r="O287" i="7"/>
  <c r="U286" i="7"/>
  <c r="S286" i="7"/>
  <c r="R286" i="7"/>
  <c r="Q286" i="7"/>
  <c r="T286" i="7" s="1"/>
  <c r="U285" i="7"/>
  <c r="T285" i="7"/>
  <c r="S285" i="7"/>
  <c r="R285" i="7"/>
  <c r="Q285" i="7"/>
  <c r="S284" i="7"/>
  <c r="S283" i="7" s="1"/>
  <c r="R284" i="7"/>
  <c r="Q284" i="7"/>
  <c r="N284" i="7"/>
  <c r="M284" i="7"/>
  <c r="L284" i="7"/>
  <c r="J282" i="7"/>
  <c r="I277" i="7"/>
  <c r="I266" i="7" s="1"/>
  <c r="U275" i="7"/>
  <c r="T275" i="7"/>
  <c r="N275" i="7"/>
  <c r="M275" i="7"/>
  <c r="L275" i="7"/>
  <c r="U274" i="7"/>
  <c r="T274" i="7"/>
  <c r="P274" i="7"/>
  <c r="O274" i="7"/>
  <c r="U273" i="7"/>
  <c r="T273" i="7"/>
  <c r="S273" i="7"/>
  <c r="R273" i="7"/>
  <c r="Q273" i="7"/>
  <c r="S272" i="7"/>
  <c r="S270" i="7" s="1"/>
  <c r="R272" i="7"/>
  <c r="Q272" i="7"/>
  <c r="Q269" i="7" s="1"/>
  <c r="N272" i="7"/>
  <c r="N270" i="7" s="1"/>
  <c r="M272" i="7"/>
  <c r="L272" i="7"/>
  <c r="U271" i="7"/>
  <c r="T271" i="7"/>
  <c r="P271" i="7"/>
  <c r="O271" i="7"/>
  <c r="S268" i="7"/>
  <c r="R268" i="7"/>
  <c r="Q268" i="7"/>
  <c r="P268" i="7"/>
  <c r="N268" i="7"/>
  <c r="M268" i="7"/>
  <c r="L268" i="7"/>
  <c r="J266" i="7"/>
  <c r="K264" i="7"/>
  <c r="K263" i="7"/>
  <c r="I261" i="7"/>
  <c r="K261" i="7" s="1"/>
  <c r="L259" i="7"/>
  <c r="L258" i="7"/>
  <c r="L257" i="7"/>
  <c r="L256" i="7"/>
  <c r="P255" i="7"/>
  <c r="N255" i="7"/>
  <c r="J254" i="7"/>
  <c r="K253" i="7"/>
  <c r="K252" i="7"/>
  <c r="I250" i="7"/>
  <c r="L248" i="7"/>
  <c r="L247" i="7"/>
  <c r="L246" i="7"/>
  <c r="L245" i="7"/>
  <c r="P244" i="7"/>
  <c r="N244" i="7"/>
  <c r="J243" i="7"/>
  <c r="K242" i="7"/>
  <c r="J242" i="7"/>
  <c r="I242" i="7"/>
  <c r="J241" i="7"/>
  <c r="I241" i="7"/>
  <c r="K241" i="7" s="1"/>
  <c r="J239" i="7"/>
  <c r="N237" i="7"/>
  <c r="N236" i="7"/>
  <c r="N235" i="7"/>
  <c r="N234" i="7"/>
  <c r="N233" i="7"/>
  <c r="J232" i="7"/>
  <c r="I231" i="7"/>
  <c r="K231" i="7" s="1"/>
  <c r="I230" i="7"/>
  <c r="K230" i="7" s="1"/>
  <c r="I229" i="7"/>
  <c r="K229" i="7" s="1"/>
  <c r="L226" i="7"/>
  <c r="L225" i="7"/>
  <c r="L224" i="7"/>
  <c r="P223" i="7"/>
  <c r="N223" i="7"/>
  <c r="J222" i="7"/>
  <c r="I221" i="7"/>
  <c r="K221" i="7" s="1"/>
  <c r="I220" i="7"/>
  <c r="K220" i="7" s="1"/>
  <c r="L218" i="7"/>
  <c r="L217" i="7"/>
  <c r="L216" i="7"/>
  <c r="P215" i="7"/>
  <c r="N215" i="7"/>
  <c r="J214" i="7"/>
  <c r="I213" i="7"/>
  <c r="K213" i="7" s="1"/>
  <c r="I212" i="7"/>
  <c r="K212" i="7" s="1"/>
  <c r="I210" i="7"/>
  <c r="K210" i="7" s="1"/>
  <c r="L208" i="7"/>
  <c r="L207" i="7"/>
  <c r="L206" i="7"/>
  <c r="L205" i="7"/>
  <c r="P204" i="7"/>
  <c r="N204" i="7"/>
  <c r="J203" i="7"/>
  <c r="J200" i="7"/>
  <c r="I199" i="7"/>
  <c r="K199" i="7" s="1"/>
  <c r="P197" i="7"/>
  <c r="L197" i="7"/>
  <c r="O197" i="7" s="1"/>
  <c r="J196" i="7"/>
  <c r="U195" i="7"/>
  <c r="T195" i="7"/>
  <c r="N195" i="7"/>
  <c r="N193" i="7" s="1"/>
  <c r="M195" i="7"/>
  <c r="L195" i="7"/>
  <c r="U194" i="7"/>
  <c r="T194" i="7"/>
  <c r="P194" i="7"/>
  <c r="O194" i="7"/>
  <c r="S193" i="7"/>
  <c r="R193" i="7"/>
  <c r="U193" i="7" s="1"/>
  <c r="Q193" i="7"/>
  <c r="T193" i="7" s="1"/>
  <c r="S192" i="7"/>
  <c r="S189" i="7" s="1"/>
  <c r="R192" i="7"/>
  <c r="R189" i="7" s="1"/>
  <c r="Q192" i="7"/>
  <c r="Q190" i="7" s="1"/>
  <c r="N192" i="7"/>
  <c r="N190" i="7" s="1"/>
  <c r="M192" i="7"/>
  <c r="M190" i="7" s="1"/>
  <c r="L192" i="7"/>
  <c r="L190" i="7" s="1"/>
  <c r="U191" i="7"/>
  <c r="T191" i="7"/>
  <c r="P191" i="7"/>
  <c r="O191" i="7"/>
  <c r="T188" i="7"/>
  <c r="S188" i="7"/>
  <c r="R188" i="7"/>
  <c r="U188" i="7" s="1"/>
  <c r="Q188" i="7"/>
  <c r="N188" i="7"/>
  <c r="M188" i="7"/>
  <c r="L188" i="7"/>
  <c r="O188" i="7" s="1"/>
  <c r="J186" i="7"/>
  <c r="K185" i="7"/>
  <c r="I184" i="7"/>
  <c r="K184" i="7" s="1"/>
  <c r="U182" i="7"/>
  <c r="T182" i="7"/>
  <c r="N182" i="7"/>
  <c r="M182" i="7"/>
  <c r="L182" i="7"/>
  <c r="U181" i="7"/>
  <c r="T181" i="7"/>
  <c r="P181" i="7"/>
  <c r="O181" i="7"/>
  <c r="U180" i="7"/>
  <c r="T180" i="7"/>
  <c r="S180" i="7"/>
  <c r="R180" i="7"/>
  <c r="Q180" i="7"/>
  <c r="N180" i="7"/>
  <c r="S179" i="7"/>
  <c r="S177" i="7" s="1"/>
  <c r="R179" i="7"/>
  <c r="R176" i="7" s="1"/>
  <c r="Q179" i="7"/>
  <c r="Q177" i="7" s="1"/>
  <c r="T177" i="7" s="1"/>
  <c r="N179" i="7"/>
  <c r="N177" i="7" s="1"/>
  <c r="M179" i="7"/>
  <c r="L179" i="7"/>
  <c r="U178" i="7"/>
  <c r="T178" i="7"/>
  <c r="P178" i="7"/>
  <c r="O178" i="7"/>
  <c r="U175" i="7"/>
  <c r="S175" i="7"/>
  <c r="R175" i="7"/>
  <c r="Q175" i="7"/>
  <c r="P175" i="7"/>
  <c r="O175" i="7"/>
  <c r="N175" i="7"/>
  <c r="M175" i="7"/>
  <c r="L175" i="7"/>
  <c r="J173" i="7"/>
  <c r="I170" i="7"/>
  <c r="I169" i="7"/>
  <c r="K169" i="7" s="1"/>
  <c r="I168" i="7"/>
  <c r="K168" i="7" s="1"/>
  <c r="U166" i="7"/>
  <c r="T166" i="7"/>
  <c r="N166" i="7"/>
  <c r="N164" i="7" s="1"/>
  <c r="M166" i="7"/>
  <c r="L166" i="7"/>
  <c r="U165" i="7"/>
  <c r="T165" i="7"/>
  <c r="P165" i="7"/>
  <c r="O165" i="7"/>
  <c r="S164" i="7"/>
  <c r="R164" i="7"/>
  <c r="U164" i="7" s="1"/>
  <c r="Q164" i="7"/>
  <c r="T164" i="7" s="1"/>
  <c r="S163" i="7"/>
  <c r="S161" i="7" s="1"/>
  <c r="R163" i="7"/>
  <c r="Q161" i="7"/>
  <c r="T161" i="7" s="1"/>
  <c r="N163" i="7"/>
  <c r="N161" i="7" s="1"/>
  <c r="M163" i="7"/>
  <c r="P163" i="7" s="1"/>
  <c r="L163" i="7"/>
  <c r="U162" i="7"/>
  <c r="T162" i="7"/>
  <c r="P162" i="7"/>
  <c r="O162" i="7"/>
  <c r="S159" i="7"/>
  <c r="R159" i="7"/>
  <c r="U159" i="7" s="1"/>
  <c r="Q159" i="7"/>
  <c r="N159" i="7"/>
  <c r="M159" i="7"/>
  <c r="P159" i="7" s="1"/>
  <c r="L159" i="7"/>
  <c r="O159" i="7" s="1"/>
  <c r="J157" i="7"/>
  <c r="I155" i="7"/>
  <c r="I137" i="7" s="1"/>
  <c r="K137" i="7" s="1"/>
  <c r="I154" i="7"/>
  <c r="K154" i="7" s="1"/>
  <c r="I153" i="7"/>
  <c r="I152" i="7"/>
  <c r="K152" i="7" s="1"/>
  <c r="I151" i="7"/>
  <c r="K151" i="7" s="1"/>
  <c r="U148" i="7"/>
  <c r="T148" i="7"/>
  <c r="N148" i="7"/>
  <c r="N146" i="7" s="1"/>
  <c r="M148" i="7"/>
  <c r="P148" i="7" s="1"/>
  <c r="L148" i="7"/>
  <c r="L146" i="7" s="1"/>
  <c r="O146" i="7" s="1"/>
  <c r="U147" i="7"/>
  <c r="T147" i="7"/>
  <c r="P147" i="7"/>
  <c r="O147" i="7"/>
  <c r="S146" i="7"/>
  <c r="R146" i="7"/>
  <c r="U146" i="7" s="1"/>
  <c r="Q146" i="7"/>
  <c r="T146" i="7" s="1"/>
  <c r="S145" i="7"/>
  <c r="S142" i="7" s="1"/>
  <c r="R145" i="7"/>
  <c r="R142" i="7" s="1"/>
  <c r="Q145" i="7"/>
  <c r="T145" i="7" s="1"/>
  <c r="N145" i="7"/>
  <c r="M145" i="7"/>
  <c r="L145" i="7"/>
  <c r="U144" i="7"/>
  <c r="T144" i="7"/>
  <c r="P144" i="7"/>
  <c r="O144" i="7"/>
  <c r="T141" i="7"/>
  <c r="S141" i="7"/>
  <c r="R141" i="7"/>
  <c r="U141" i="7" s="1"/>
  <c r="Q141" i="7"/>
  <c r="N141" i="7"/>
  <c r="M141" i="7"/>
  <c r="P141" i="7" s="1"/>
  <c r="L141" i="7"/>
  <c r="O141" i="7" s="1"/>
  <c r="J139" i="7"/>
  <c r="J138" i="7"/>
  <c r="J137" i="7"/>
  <c r="I131" i="7"/>
  <c r="K131" i="7" s="1"/>
  <c r="I130" i="7"/>
  <c r="K130" i="7" s="1"/>
  <c r="I129" i="7"/>
  <c r="K129" i="7" s="1"/>
  <c r="I128" i="7"/>
  <c r="K128" i="7" s="1"/>
  <c r="U126" i="7"/>
  <c r="T126" i="7"/>
  <c r="N126" i="7"/>
  <c r="N124" i="7" s="1"/>
  <c r="M126" i="7"/>
  <c r="M124" i="7" s="1"/>
  <c r="P124" i="7" s="1"/>
  <c r="L126" i="7"/>
  <c r="O126" i="7" s="1"/>
  <c r="U125" i="7"/>
  <c r="T125" i="7"/>
  <c r="P125" i="7"/>
  <c r="O125" i="7"/>
  <c r="U124" i="7"/>
  <c r="T124" i="7"/>
  <c r="S124" i="7"/>
  <c r="R124" i="7"/>
  <c r="Q124" i="7"/>
  <c r="S123" i="7"/>
  <c r="S121" i="7" s="1"/>
  <c r="R123" i="7"/>
  <c r="Q123" i="7"/>
  <c r="Q120" i="7" s="1"/>
  <c r="N123" i="7"/>
  <c r="M123" i="7"/>
  <c r="P123" i="7" s="1"/>
  <c r="L123" i="7"/>
  <c r="O123" i="7" s="1"/>
  <c r="U122" i="7"/>
  <c r="T122" i="7"/>
  <c r="P122" i="7"/>
  <c r="O122" i="7"/>
  <c r="U119" i="7"/>
  <c r="T119" i="7"/>
  <c r="S119" i="7"/>
  <c r="R119" i="7"/>
  <c r="Q119" i="7"/>
  <c r="P119" i="7"/>
  <c r="O119" i="7"/>
  <c r="N119" i="7"/>
  <c r="M119" i="7"/>
  <c r="L119" i="7"/>
  <c r="J117" i="7"/>
  <c r="I115" i="7"/>
  <c r="K115" i="7" s="1"/>
  <c r="I110" i="7"/>
  <c r="I94" i="7" s="1"/>
  <c r="K94" i="7" s="1"/>
  <c r="I109" i="7"/>
  <c r="K109" i="7" s="1"/>
  <c r="U103" i="7"/>
  <c r="T103" i="7"/>
  <c r="N103" i="7"/>
  <c r="N101" i="7" s="1"/>
  <c r="M103" i="7"/>
  <c r="P103" i="7" s="1"/>
  <c r="L103" i="7"/>
  <c r="O103" i="7" s="1"/>
  <c r="U102" i="7"/>
  <c r="T102" i="7"/>
  <c r="P102" i="7"/>
  <c r="O102" i="7"/>
  <c r="S101" i="7"/>
  <c r="R101" i="7"/>
  <c r="U101" i="7" s="1"/>
  <c r="Q101" i="7"/>
  <c r="T101" i="7" s="1"/>
  <c r="S100" i="7"/>
  <c r="R100" i="7"/>
  <c r="U100" i="7" s="1"/>
  <c r="Q97" i="7"/>
  <c r="T97" i="7" s="1"/>
  <c r="N100" i="7"/>
  <c r="M100" i="7"/>
  <c r="L100" i="7"/>
  <c r="O100" i="7" s="1"/>
  <c r="U99" i="7"/>
  <c r="T99" i="7"/>
  <c r="P99" i="7"/>
  <c r="O99" i="7"/>
  <c r="U96" i="7"/>
  <c r="S96" i="7"/>
  <c r="R96" i="7"/>
  <c r="Q96" i="7"/>
  <c r="T96" i="7" s="1"/>
  <c r="N96" i="7"/>
  <c r="M96" i="7"/>
  <c r="P96" i="7" s="1"/>
  <c r="L96" i="7"/>
  <c r="O96" i="7" s="1"/>
  <c r="J94" i="7"/>
  <c r="J93" i="7"/>
  <c r="I91" i="7"/>
  <c r="K91" i="7" s="1"/>
  <c r="I90" i="7"/>
  <c r="K90" i="7" s="1"/>
  <c r="I89" i="7"/>
  <c r="K89" i="7" s="1"/>
  <c r="I88" i="7"/>
  <c r="I87" i="7"/>
  <c r="I86" i="7"/>
  <c r="K86" i="7" s="1"/>
  <c r="I85" i="7"/>
  <c r="K85" i="7" s="1"/>
  <c r="J84" i="7"/>
  <c r="J72" i="7" s="1"/>
  <c r="J83" i="7"/>
  <c r="J71" i="7" s="1"/>
  <c r="U81" i="7"/>
  <c r="T81" i="7"/>
  <c r="N81" i="7"/>
  <c r="N79" i="7" s="1"/>
  <c r="M81" i="7"/>
  <c r="M79" i="7" s="1"/>
  <c r="P79" i="7" s="1"/>
  <c r="L81" i="7"/>
  <c r="L79" i="7" s="1"/>
  <c r="O79" i="7" s="1"/>
  <c r="U80" i="7"/>
  <c r="T80" i="7"/>
  <c r="P80" i="7"/>
  <c r="O80" i="7"/>
  <c r="S79" i="7"/>
  <c r="R79" i="7"/>
  <c r="U79" i="7" s="1"/>
  <c r="Q79" i="7"/>
  <c r="T79" i="7" s="1"/>
  <c r="S78" i="7"/>
  <c r="S75" i="7" s="1"/>
  <c r="R78" i="7"/>
  <c r="N78" i="7"/>
  <c r="M78" i="7"/>
  <c r="P78" i="7" s="1"/>
  <c r="L78" i="7"/>
  <c r="U77" i="7"/>
  <c r="T77" i="7"/>
  <c r="P77" i="7"/>
  <c r="O77" i="7"/>
  <c r="U74" i="7"/>
  <c r="T74" i="7"/>
  <c r="S74" i="7"/>
  <c r="R74" i="7"/>
  <c r="Q74" i="7"/>
  <c r="N74" i="7"/>
  <c r="M74" i="7"/>
  <c r="P74" i="7" s="1"/>
  <c r="L74" i="7"/>
  <c r="O74" i="7" s="1"/>
  <c r="U68" i="7"/>
  <c r="T68" i="7"/>
  <c r="N68" i="7"/>
  <c r="N66" i="7" s="1"/>
  <c r="M68" i="7"/>
  <c r="L68" i="7"/>
  <c r="L66" i="7" s="1"/>
  <c r="O66" i="7" s="1"/>
  <c r="U67" i="7"/>
  <c r="T67" i="7"/>
  <c r="P67" i="7"/>
  <c r="O67" i="7"/>
  <c r="U66" i="7"/>
  <c r="T66" i="7"/>
  <c r="S66" i="7"/>
  <c r="R66" i="7"/>
  <c r="Q66" i="7"/>
  <c r="U65" i="7"/>
  <c r="T65" i="7"/>
  <c r="N65" i="7"/>
  <c r="N63" i="7" s="1"/>
  <c r="M65" i="7"/>
  <c r="L65" i="7"/>
  <c r="U64" i="7"/>
  <c r="T64" i="7"/>
  <c r="P64" i="7"/>
  <c r="O64" i="7"/>
  <c r="T63" i="7"/>
  <c r="S63" i="7"/>
  <c r="R63" i="7"/>
  <c r="U63" i="7" s="1"/>
  <c r="Q63" i="7"/>
  <c r="U62" i="7"/>
  <c r="S62" i="7"/>
  <c r="R62" i="7"/>
  <c r="Q62" i="7"/>
  <c r="T62" i="7" s="1"/>
  <c r="U61" i="7"/>
  <c r="T61" i="7"/>
  <c r="S61" i="7"/>
  <c r="R61" i="7"/>
  <c r="Q61" i="7"/>
  <c r="P61" i="7"/>
  <c r="O61" i="7"/>
  <c r="N61" i="7"/>
  <c r="M61" i="7"/>
  <c r="L61" i="7"/>
  <c r="S60" i="7"/>
  <c r="R60" i="7"/>
  <c r="U60" i="7" s="1"/>
  <c r="U53" i="7"/>
  <c r="T53" i="7"/>
  <c r="N53" i="7"/>
  <c r="N51" i="7" s="1"/>
  <c r="M53" i="7"/>
  <c r="L53" i="7"/>
  <c r="U52" i="7"/>
  <c r="T52" i="7"/>
  <c r="P52" i="7"/>
  <c r="O52" i="7"/>
  <c r="U51" i="7"/>
  <c r="T51" i="7"/>
  <c r="S51" i="7"/>
  <c r="R51" i="7"/>
  <c r="Q51" i="7"/>
  <c r="U50" i="7"/>
  <c r="T50" i="7"/>
  <c r="N50" i="7"/>
  <c r="M50" i="7"/>
  <c r="M48" i="7" s="1"/>
  <c r="L50" i="7"/>
  <c r="U49" i="7"/>
  <c r="T49" i="7"/>
  <c r="P49" i="7"/>
  <c r="O49" i="7"/>
  <c r="T48" i="7"/>
  <c r="S48" i="7"/>
  <c r="R48" i="7"/>
  <c r="U48" i="7" s="1"/>
  <c r="Q48" i="7"/>
  <c r="U47" i="7"/>
  <c r="S47" i="7"/>
  <c r="R47" i="7"/>
  <c r="Q47" i="7"/>
  <c r="T47" i="7" s="1"/>
  <c r="U46" i="7"/>
  <c r="T46" i="7"/>
  <c r="S46" i="7"/>
  <c r="R46" i="7"/>
  <c r="Q46" i="7"/>
  <c r="P46" i="7"/>
  <c r="O46" i="7"/>
  <c r="N46" i="7"/>
  <c r="M46" i="7"/>
  <c r="L46" i="7"/>
  <c r="S45" i="7"/>
  <c r="R45" i="7"/>
  <c r="U45" i="7" s="1"/>
  <c r="S27" i="7"/>
  <c r="R27" i="7"/>
  <c r="U27" i="7" s="1"/>
  <c r="Q27" i="7"/>
  <c r="T27" i="7" s="1"/>
  <c r="S26" i="7"/>
  <c r="R26" i="7"/>
  <c r="U26" i="7" s="1"/>
  <c r="Q26" i="7"/>
  <c r="N26" i="7"/>
  <c r="M26" i="7"/>
  <c r="P26" i="7" s="1"/>
  <c r="L26" i="7"/>
  <c r="O26" i="7" s="1"/>
  <c r="R25" i="7"/>
  <c r="U25" i="7" s="1"/>
  <c r="S23" i="7"/>
  <c r="R23" i="7"/>
  <c r="U23" i="7" s="1"/>
  <c r="Q23" i="7"/>
  <c r="N23" i="7"/>
  <c r="M23" i="7"/>
  <c r="P23" i="7" s="1"/>
  <c r="L23" i="7"/>
  <c r="O23" i="7" s="1"/>
  <c r="L23" i="6"/>
  <c r="M23" i="6"/>
  <c r="N23" i="6"/>
  <c r="Q23" i="6"/>
  <c r="T23" i="6" s="1"/>
  <c r="R23" i="6"/>
  <c r="S23" i="6"/>
  <c r="L26" i="6"/>
  <c r="M26" i="6"/>
  <c r="N26" i="6"/>
  <c r="Q26" i="6"/>
  <c r="R26" i="6"/>
  <c r="S26" i="6"/>
  <c r="Q27" i="6"/>
  <c r="T27" i="6" s="1"/>
  <c r="R27" i="6"/>
  <c r="U27" i="6" s="1"/>
  <c r="S27" i="6"/>
  <c r="L46" i="6"/>
  <c r="O46" i="6" s="1"/>
  <c r="M46" i="6"/>
  <c r="N46" i="6"/>
  <c r="Q46" i="6"/>
  <c r="T46" i="6" s="1"/>
  <c r="R46" i="6"/>
  <c r="R45" i="6" s="1"/>
  <c r="U45" i="6" s="1"/>
  <c r="S46" i="6"/>
  <c r="S45" i="6" s="1"/>
  <c r="U46" i="6"/>
  <c r="Q47" i="6"/>
  <c r="T47" i="6" s="1"/>
  <c r="R47" i="6"/>
  <c r="S47" i="6"/>
  <c r="U47" i="6"/>
  <c r="Q48" i="6"/>
  <c r="T48" i="6" s="1"/>
  <c r="R48" i="6"/>
  <c r="U48" i="6" s="1"/>
  <c r="S48" i="6"/>
  <c r="O49" i="6"/>
  <c r="P49" i="6"/>
  <c r="T49" i="6"/>
  <c r="U49" i="6"/>
  <c r="L50" i="6"/>
  <c r="L48" i="6" s="1"/>
  <c r="M50" i="6"/>
  <c r="M48" i="6" s="1"/>
  <c r="N50" i="6"/>
  <c r="T50" i="6"/>
  <c r="U50" i="6"/>
  <c r="Q51" i="6"/>
  <c r="T51" i="6" s="1"/>
  <c r="R51" i="6"/>
  <c r="S51" i="6"/>
  <c r="U51" i="6"/>
  <c r="O52" i="6"/>
  <c r="P52" i="6"/>
  <c r="T52" i="6"/>
  <c r="U52" i="6"/>
  <c r="L53" i="6"/>
  <c r="M53" i="6"/>
  <c r="N53" i="6"/>
  <c r="N51" i="6" s="1"/>
  <c r="T53" i="6"/>
  <c r="U53" i="6"/>
  <c r="L61" i="6"/>
  <c r="O61" i="6" s="1"/>
  <c r="M61" i="6"/>
  <c r="N61" i="6"/>
  <c r="Q61" i="6"/>
  <c r="Q60" i="6" s="1"/>
  <c r="T60" i="6" s="1"/>
  <c r="R61" i="6"/>
  <c r="R60" i="6" s="1"/>
  <c r="U60" i="6" s="1"/>
  <c r="S61" i="6"/>
  <c r="S60" i="6" s="1"/>
  <c r="U61" i="6"/>
  <c r="Q62" i="6"/>
  <c r="T62" i="6" s="1"/>
  <c r="R62" i="6"/>
  <c r="S62" i="6"/>
  <c r="U62" i="6"/>
  <c r="Q63" i="6"/>
  <c r="T63" i="6" s="1"/>
  <c r="R63" i="6"/>
  <c r="U63" i="6" s="1"/>
  <c r="S63" i="6"/>
  <c r="O64" i="6"/>
  <c r="P64" i="6"/>
  <c r="T64" i="6"/>
  <c r="U64" i="6"/>
  <c r="L65" i="6"/>
  <c r="L63" i="6" s="1"/>
  <c r="M65" i="6"/>
  <c r="M63" i="6" s="1"/>
  <c r="N65" i="6"/>
  <c r="N63" i="6" s="1"/>
  <c r="T65" i="6"/>
  <c r="U65" i="6"/>
  <c r="Q66" i="6"/>
  <c r="T66" i="6" s="1"/>
  <c r="R66" i="6"/>
  <c r="S66" i="6"/>
  <c r="U66" i="6"/>
  <c r="O67" i="6"/>
  <c r="P67" i="6"/>
  <c r="T67" i="6"/>
  <c r="U67" i="6"/>
  <c r="L68" i="6"/>
  <c r="M68" i="6"/>
  <c r="N68" i="6"/>
  <c r="N66" i="6" s="1"/>
  <c r="T68" i="6"/>
  <c r="U68" i="6"/>
  <c r="L74" i="6"/>
  <c r="O74" i="6" s="1"/>
  <c r="M74" i="6"/>
  <c r="N74" i="6"/>
  <c r="Q74" i="6"/>
  <c r="R74" i="6"/>
  <c r="S74" i="6"/>
  <c r="U74" i="6"/>
  <c r="O77" i="6"/>
  <c r="P77" i="6"/>
  <c r="T77" i="6"/>
  <c r="U77" i="6"/>
  <c r="L78" i="6"/>
  <c r="L76" i="6" s="1"/>
  <c r="M78" i="6"/>
  <c r="M76" i="6" s="1"/>
  <c r="N78" i="6"/>
  <c r="Q78" i="6"/>
  <c r="R78" i="6"/>
  <c r="R75" i="6" s="1"/>
  <c r="S78" i="6"/>
  <c r="S76" i="6" s="1"/>
  <c r="Q79" i="6"/>
  <c r="T79" i="6" s="1"/>
  <c r="R79" i="6"/>
  <c r="U79" i="6" s="1"/>
  <c r="S79" i="6"/>
  <c r="O80" i="6"/>
  <c r="P80" i="6"/>
  <c r="T80" i="6"/>
  <c r="U80" i="6"/>
  <c r="L81" i="6"/>
  <c r="L79" i="6" s="1"/>
  <c r="O79" i="6" s="1"/>
  <c r="M81" i="6"/>
  <c r="M79" i="6" s="1"/>
  <c r="P79" i="6" s="1"/>
  <c r="N81" i="6"/>
  <c r="N79" i="6" s="1"/>
  <c r="T81" i="6"/>
  <c r="U81" i="6"/>
  <c r="J83" i="6"/>
  <c r="J71" i="6" s="1"/>
  <c r="J84" i="6"/>
  <c r="J72" i="6" s="1"/>
  <c r="I85" i="6"/>
  <c r="I86" i="6"/>
  <c r="I87" i="6"/>
  <c r="K87" i="6" s="1"/>
  <c r="I88" i="6"/>
  <c r="K88" i="6" s="1"/>
  <c r="I89" i="6"/>
  <c r="K89" i="6" s="1"/>
  <c r="I90" i="6"/>
  <c r="K90" i="6" s="1"/>
  <c r="I91" i="6"/>
  <c r="K91" i="6" s="1"/>
  <c r="J93" i="6"/>
  <c r="J94" i="6"/>
  <c r="L96" i="6"/>
  <c r="O96" i="6" s="1"/>
  <c r="M96" i="6"/>
  <c r="N96" i="6"/>
  <c r="P96" i="6"/>
  <c r="Q96" i="6"/>
  <c r="R96" i="6"/>
  <c r="U96" i="6" s="1"/>
  <c r="S96" i="6"/>
  <c r="T96" i="6"/>
  <c r="O99" i="6"/>
  <c r="P99" i="6"/>
  <c r="T99" i="6"/>
  <c r="U99" i="6"/>
  <c r="L100" i="6"/>
  <c r="M100" i="6"/>
  <c r="M98" i="6" s="1"/>
  <c r="P98" i="6" s="1"/>
  <c r="N100" i="6"/>
  <c r="N98" i="6" s="1"/>
  <c r="Q100" i="6"/>
  <c r="R100" i="6"/>
  <c r="R97" i="6" s="1"/>
  <c r="S100" i="6"/>
  <c r="Q101" i="6"/>
  <c r="R101" i="6"/>
  <c r="U101" i="6" s="1"/>
  <c r="S101" i="6"/>
  <c r="T101" i="6"/>
  <c r="O102" i="6"/>
  <c r="P102" i="6"/>
  <c r="T102" i="6"/>
  <c r="U102" i="6"/>
  <c r="L103" i="6"/>
  <c r="O103" i="6" s="1"/>
  <c r="M103" i="6"/>
  <c r="N103" i="6"/>
  <c r="N101" i="6" s="1"/>
  <c r="T103" i="6"/>
  <c r="U103" i="6"/>
  <c r="I109" i="6"/>
  <c r="K109" i="6" s="1"/>
  <c r="I110" i="6"/>
  <c r="I94" i="6" s="1"/>
  <c r="K94" i="6" s="1"/>
  <c r="I114" i="6"/>
  <c r="K114" i="6" s="1"/>
  <c r="I115" i="6"/>
  <c r="K115" i="6" s="1"/>
  <c r="J117" i="6"/>
  <c r="L119" i="6"/>
  <c r="M119" i="6"/>
  <c r="N119" i="6"/>
  <c r="Q119" i="6"/>
  <c r="T119" i="6" s="1"/>
  <c r="R119" i="6"/>
  <c r="S119" i="6"/>
  <c r="O122" i="6"/>
  <c r="P122" i="6"/>
  <c r="T122" i="6"/>
  <c r="U122" i="6"/>
  <c r="L123" i="6"/>
  <c r="L121" i="6" s="1"/>
  <c r="O121" i="6" s="1"/>
  <c r="M123" i="6"/>
  <c r="N123" i="6"/>
  <c r="N121" i="6" s="1"/>
  <c r="Q123" i="6"/>
  <c r="Q120" i="6" s="1"/>
  <c r="R123" i="6"/>
  <c r="R121" i="6" s="1"/>
  <c r="S123" i="6"/>
  <c r="S121" i="6" s="1"/>
  <c r="Q124" i="6"/>
  <c r="T124" i="6" s="1"/>
  <c r="R124" i="6"/>
  <c r="U124" i="6" s="1"/>
  <c r="S124" i="6"/>
  <c r="O125" i="6"/>
  <c r="P125" i="6"/>
  <c r="T125" i="6"/>
  <c r="U125" i="6"/>
  <c r="L126" i="6"/>
  <c r="M126" i="6"/>
  <c r="M124" i="6" s="1"/>
  <c r="P124" i="6" s="1"/>
  <c r="N126" i="6"/>
  <c r="N124" i="6" s="1"/>
  <c r="T126" i="6"/>
  <c r="U126" i="6"/>
  <c r="I128" i="6"/>
  <c r="I117" i="6" s="1"/>
  <c r="I129" i="6"/>
  <c r="K129" i="6" s="1"/>
  <c r="I130" i="6"/>
  <c r="K130" i="6" s="1"/>
  <c r="I131" i="6"/>
  <c r="K131" i="6" s="1"/>
  <c r="J137" i="6"/>
  <c r="J138" i="6"/>
  <c r="J139" i="6"/>
  <c r="L141" i="6"/>
  <c r="O141" i="6" s="1"/>
  <c r="M141" i="6"/>
  <c r="P141" i="6" s="1"/>
  <c r="N141" i="6"/>
  <c r="Q141" i="6"/>
  <c r="R141" i="6"/>
  <c r="U141" i="6" s="1"/>
  <c r="S141" i="6"/>
  <c r="O144" i="6"/>
  <c r="P144" i="6"/>
  <c r="T144" i="6"/>
  <c r="U144" i="6"/>
  <c r="L145" i="6"/>
  <c r="M145" i="6"/>
  <c r="N145" i="6"/>
  <c r="N143" i="6" s="1"/>
  <c r="Q145" i="6"/>
  <c r="T145" i="6" s="1"/>
  <c r="R145" i="6"/>
  <c r="R142" i="6" s="1"/>
  <c r="S145" i="6"/>
  <c r="S143" i="6" s="1"/>
  <c r="Q146" i="6"/>
  <c r="T146" i="6" s="1"/>
  <c r="R146" i="6"/>
  <c r="U146" i="6" s="1"/>
  <c r="S146" i="6"/>
  <c r="O147" i="6"/>
  <c r="P147" i="6"/>
  <c r="T147" i="6"/>
  <c r="U147" i="6"/>
  <c r="L148" i="6"/>
  <c r="M148" i="6"/>
  <c r="N148" i="6"/>
  <c r="N146" i="6" s="1"/>
  <c r="T148" i="6"/>
  <c r="U148" i="6"/>
  <c r="I151" i="6"/>
  <c r="K151" i="6" s="1"/>
  <c r="I152" i="6"/>
  <c r="K152" i="6" s="1"/>
  <c r="I153" i="6"/>
  <c r="K153" i="6" s="1"/>
  <c r="I154" i="6"/>
  <c r="I155" i="6"/>
  <c r="I137" i="6" s="1"/>
  <c r="K137" i="6" s="1"/>
  <c r="J157" i="6"/>
  <c r="L159" i="6"/>
  <c r="M159" i="6"/>
  <c r="N159" i="6"/>
  <c r="Q159" i="6"/>
  <c r="T159" i="6" s="1"/>
  <c r="R159" i="6"/>
  <c r="S159" i="6"/>
  <c r="O162" i="6"/>
  <c r="P162" i="6"/>
  <c r="T162" i="6"/>
  <c r="U162" i="6"/>
  <c r="L163" i="6"/>
  <c r="M163" i="6"/>
  <c r="M161" i="6" s="1"/>
  <c r="N163" i="6"/>
  <c r="N161" i="6" s="1"/>
  <c r="Q160" i="6"/>
  <c r="T160" i="6" s="1"/>
  <c r="R163" i="6"/>
  <c r="R161" i="6" s="1"/>
  <c r="U161" i="6" s="1"/>
  <c r="S163" i="6"/>
  <c r="Q164" i="6"/>
  <c r="T164" i="6" s="1"/>
  <c r="R164" i="6"/>
  <c r="S164" i="6"/>
  <c r="U164" i="6"/>
  <c r="O165" i="6"/>
  <c r="P165" i="6"/>
  <c r="T165" i="6"/>
  <c r="U165" i="6"/>
  <c r="L166" i="6"/>
  <c r="L164" i="6" s="1"/>
  <c r="O164" i="6" s="1"/>
  <c r="M166" i="6"/>
  <c r="N166" i="6"/>
  <c r="T166" i="6"/>
  <c r="U166" i="6"/>
  <c r="I168" i="6"/>
  <c r="I157" i="6" s="1"/>
  <c r="K157" i="6" s="1"/>
  <c r="J173" i="6"/>
  <c r="L175" i="6"/>
  <c r="M175" i="6"/>
  <c r="N175" i="6"/>
  <c r="Q175" i="6"/>
  <c r="T175" i="6" s="1"/>
  <c r="R175" i="6"/>
  <c r="S175" i="6"/>
  <c r="O178" i="6"/>
  <c r="P178" i="6"/>
  <c r="T178" i="6"/>
  <c r="U178" i="6"/>
  <c r="L179" i="6"/>
  <c r="M179" i="6"/>
  <c r="M177" i="6" s="1"/>
  <c r="N179" i="6"/>
  <c r="N177" i="6" s="1"/>
  <c r="Q179" i="6"/>
  <c r="R179" i="6"/>
  <c r="S179" i="6"/>
  <c r="S176" i="6" s="1"/>
  <c r="Q180" i="6"/>
  <c r="T180" i="6" s="1"/>
  <c r="R180" i="6"/>
  <c r="S180" i="6"/>
  <c r="U180" i="6"/>
  <c r="O181" i="6"/>
  <c r="P181" i="6"/>
  <c r="T181" i="6"/>
  <c r="U181" i="6"/>
  <c r="L182" i="6"/>
  <c r="L180" i="6" s="1"/>
  <c r="O180" i="6" s="1"/>
  <c r="M182" i="6"/>
  <c r="P182" i="6" s="1"/>
  <c r="N182" i="6"/>
  <c r="T182" i="6"/>
  <c r="U182" i="6"/>
  <c r="I184" i="6"/>
  <c r="I173" i="6" s="1"/>
  <c r="K185" i="6"/>
  <c r="L188" i="6"/>
  <c r="M188" i="6"/>
  <c r="P188" i="6" s="1"/>
  <c r="N188" i="6"/>
  <c r="O188" i="6"/>
  <c r="Q188" i="6"/>
  <c r="T188" i="6" s="1"/>
  <c r="R188" i="6"/>
  <c r="S188" i="6"/>
  <c r="U188" i="6"/>
  <c r="O191" i="6"/>
  <c r="P191" i="6"/>
  <c r="T191" i="6"/>
  <c r="U191" i="6"/>
  <c r="L192" i="6"/>
  <c r="M192" i="6"/>
  <c r="M190" i="6" s="1"/>
  <c r="N192" i="6"/>
  <c r="Q192" i="6"/>
  <c r="R192" i="6"/>
  <c r="S192" i="6"/>
  <c r="Q193" i="6"/>
  <c r="T193" i="6" s="1"/>
  <c r="R193" i="6"/>
  <c r="U193" i="6" s="1"/>
  <c r="S193" i="6"/>
  <c r="O194" i="6"/>
  <c r="P194" i="6"/>
  <c r="T194" i="6"/>
  <c r="U194" i="6"/>
  <c r="L195" i="6"/>
  <c r="L193" i="6" s="1"/>
  <c r="O193" i="6" s="1"/>
  <c r="M195" i="6"/>
  <c r="N195" i="6"/>
  <c r="N193" i="6" s="1"/>
  <c r="T195" i="6"/>
  <c r="U195" i="6"/>
  <c r="J196" i="6"/>
  <c r="L197" i="6"/>
  <c r="O197" i="6" s="1"/>
  <c r="P197" i="6"/>
  <c r="I199" i="6"/>
  <c r="J200" i="6"/>
  <c r="J203" i="6"/>
  <c r="N204" i="6"/>
  <c r="P204" i="6"/>
  <c r="L205" i="6"/>
  <c r="L206" i="6"/>
  <c r="L207" i="6"/>
  <c r="L208" i="6"/>
  <c r="I210" i="6"/>
  <c r="I212" i="6"/>
  <c r="K212" i="6" s="1"/>
  <c r="I213" i="6"/>
  <c r="K213" i="6" s="1"/>
  <c r="J214" i="6"/>
  <c r="N215" i="6"/>
  <c r="P215" i="6"/>
  <c r="L216" i="6"/>
  <c r="L217" i="6"/>
  <c r="L218" i="6"/>
  <c r="I220" i="6"/>
  <c r="K220" i="6" s="1"/>
  <c r="I221" i="6"/>
  <c r="J222" i="6"/>
  <c r="N223" i="6"/>
  <c r="P223" i="6"/>
  <c r="L224" i="6"/>
  <c r="L225" i="6"/>
  <c r="L226" i="6"/>
  <c r="I229" i="6"/>
  <c r="K229" i="6" s="1"/>
  <c r="I230" i="6"/>
  <c r="I222" i="6" s="1"/>
  <c r="I231" i="6"/>
  <c r="K231" i="6" s="1"/>
  <c r="N234" i="6"/>
  <c r="N235" i="6"/>
  <c r="N236" i="6"/>
  <c r="N237" i="6"/>
  <c r="J239" i="6"/>
  <c r="I241" i="6"/>
  <c r="J241" i="6"/>
  <c r="K241" i="6"/>
  <c r="I242" i="6"/>
  <c r="J242" i="6"/>
  <c r="K242" i="6"/>
  <c r="J243" i="6"/>
  <c r="J232" i="6" s="1"/>
  <c r="J186" i="6" s="1"/>
  <c r="N244" i="6"/>
  <c r="P244" i="6"/>
  <c r="L245" i="6"/>
  <c r="L246" i="6"/>
  <c r="L247" i="6"/>
  <c r="L248" i="6"/>
  <c r="I250" i="6"/>
  <c r="K250" i="6" s="1"/>
  <c r="K252" i="6"/>
  <c r="K253" i="6"/>
  <c r="J254" i="6"/>
  <c r="N255" i="6"/>
  <c r="P255" i="6"/>
  <c r="L256" i="6"/>
  <c r="L257" i="6"/>
  <c r="L258" i="6"/>
  <c r="L259" i="6"/>
  <c r="I261" i="6"/>
  <c r="I254" i="6" s="1"/>
  <c r="K254" i="6" s="1"/>
  <c r="K263" i="6"/>
  <c r="K264" i="6"/>
  <c r="J266" i="6"/>
  <c r="L268" i="6"/>
  <c r="M268" i="6"/>
  <c r="N268" i="6"/>
  <c r="P268" i="6"/>
  <c r="Q268" i="6"/>
  <c r="R268" i="6"/>
  <c r="S268" i="6"/>
  <c r="O271" i="6"/>
  <c r="P271" i="6"/>
  <c r="T271" i="6"/>
  <c r="U271" i="6"/>
  <c r="L272" i="6"/>
  <c r="M272" i="6"/>
  <c r="N272" i="6"/>
  <c r="N270" i="6" s="1"/>
  <c r="Q272" i="6"/>
  <c r="Q269" i="6" s="1"/>
  <c r="R272" i="6"/>
  <c r="R269" i="6" s="1"/>
  <c r="S272" i="6"/>
  <c r="Q273" i="6"/>
  <c r="T273" i="6" s="1"/>
  <c r="R273" i="6"/>
  <c r="S273" i="6"/>
  <c r="U273" i="6"/>
  <c r="O274" i="6"/>
  <c r="P274" i="6"/>
  <c r="T274" i="6"/>
  <c r="U274" i="6"/>
  <c r="L275" i="6"/>
  <c r="M275" i="6"/>
  <c r="N275" i="6"/>
  <c r="N273" i="6" s="1"/>
  <c r="T275" i="6"/>
  <c r="U275" i="6"/>
  <c r="I277" i="6"/>
  <c r="I266" i="6" s="1"/>
  <c r="K266" i="6" s="1"/>
  <c r="J282" i="6"/>
  <c r="L284" i="6"/>
  <c r="M284" i="6"/>
  <c r="N284" i="6"/>
  <c r="Q284" i="6"/>
  <c r="R284" i="6"/>
  <c r="S284" i="6"/>
  <c r="Q285" i="6"/>
  <c r="T285" i="6" s="1"/>
  <c r="R285" i="6"/>
  <c r="U285" i="6" s="1"/>
  <c r="S285" i="6"/>
  <c r="Q286" i="6"/>
  <c r="T286" i="6" s="1"/>
  <c r="R286" i="6"/>
  <c r="U286" i="6" s="1"/>
  <c r="S286" i="6"/>
  <c r="O287" i="6"/>
  <c r="P287" i="6"/>
  <c r="T287" i="6"/>
  <c r="U287" i="6"/>
  <c r="L288" i="6"/>
  <c r="L286" i="6" s="1"/>
  <c r="O286" i="6" s="1"/>
  <c r="M288" i="6"/>
  <c r="N288" i="6"/>
  <c r="N286" i="6" s="1"/>
  <c r="T288" i="6"/>
  <c r="U288" i="6"/>
  <c r="Q289" i="6"/>
  <c r="T289" i="6" s="1"/>
  <c r="R289" i="6"/>
  <c r="U289" i="6" s="1"/>
  <c r="S289" i="6"/>
  <c r="O290" i="6"/>
  <c r="P290" i="6"/>
  <c r="T290" i="6"/>
  <c r="U290" i="6"/>
  <c r="L291" i="6"/>
  <c r="M291" i="6"/>
  <c r="P291" i="6" s="1"/>
  <c r="N291" i="6"/>
  <c r="N289" i="6" s="1"/>
  <c r="T291" i="6"/>
  <c r="U291" i="6"/>
  <c r="I293" i="6"/>
  <c r="I294" i="6"/>
  <c r="K294" i="6" s="1"/>
  <c r="J294" i="6"/>
  <c r="J281" i="6" s="1"/>
  <c r="I296" i="6"/>
  <c r="K296" i="6" s="1"/>
  <c r="I297" i="6"/>
  <c r="K297" i="6" s="1"/>
  <c r="J303" i="6"/>
  <c r="L305" i="6"/>
  <c r="M305" i="6"/>
  <c r="N305" i="6"/>
  <c r="Q305" i="6"/>
  <c r="T305" i="6" s="1"/>
  <c r="R305" i="6"/>
  <c r="S305" i="6"/>
  <c r="O308" i="6"/>
  <c r="P308" i="6"/>
  <c r="T308" i="6"/>
  <c r="U308" i="6"/>
  <c r="L309" i="6"/>
  <c r="M309" i="6"/>
  <c r="N309" i="6"/>
  <c r="Q309" i="6"/>
  <c r="R309" i="6"/>
  <c r="R306" i="6" s="1"/>
  <c r="S309" i="6"/>
  <c r="S307" i="6" s="1"/>
  <c r="Q310" i="6"/>
  <c r="T310" i="6" s="1"/>
  <c r="R310" i="6"/>
  <c r="S310" i="6"/>
  <c r="U310" i="6"/>
  <c r="O311" i="6"/>
  <c r="P311" i="6"/>
  <c r="T311" i="6"/>
  <c r="U311" i="6"/>
  <c r="L312" i="6"/>
  <c r="L310" i="6" s="1"/>
  <c r="O310" i="6" s="1"/>
  <c r="M312" i="6"/>
  <c r="N312" i="6"/>
  <c r="N310" i="6" s="1"/>
  <c r="T312" i="6"/>
  <c r="U312" i="6"/>
  <c r="I315" i="6"/>
  <c r="I303" i="6" s="1"/>
  <c r="J320" i="6"/>
  <c r="L322" i="6"/>
  <c r="M322" i="6"/>
  <c r="P322" i="6" s="1"/>
  <c r="N322" i="6"/>
  <c r="O322" i="6"/>
  <c r="Q322" i="6"/>
  <c r="R322" i="6"/>
  <c r="S322" i="6"/>
  <c r="U322" i="6"/>
  <c r="Q323" i="6"/>
  <c r="T323" i="6" s="1"/>
  <c r="R323" i="6"/>
  <c r="U323" i="6" s="1"/>
  <c r="S323" i="6"/>
  <c r="S321" i="6" s="1"/>
  <c r="Q324" i="6"/>
  <c r="T324" i="6" s="1"/>
  <c r="R324" i="6"/>
  <c r="S324" i="6"/>
  <c r="U324" i="6"/>
  <c r="O325" i="6"/>
  <c r="P325" i="6"/>
  <c r="T325" i="6"/>
  <c r="U325" i="6"/>
  <c r="L326" i="6"/>
  <c r="M326" i="6"/>
  <c r="N326" i="6"/>
  <c r="N324" i="6" s="1"/>
  <c r="T326" i="6"/>
  <c r="U326" i="6"/>
  <c r="Q327" i="6"/>
  <c r="T327" i="6" s="1"/>
  <c r="R327" i="6"/>
  <c r="U327" i="6" s="1"/>
  <c r="S327" i="6"/>
  <c r="O328" i="6"/>
  <c r="P328" i="6"/>
  <c r="T328" i="6"/>
  <c r="U328" i="6"/>
  <c r="L329" i="6"/>
  <c r="O329" i="6" s="1"/>
  <c r="M329" i="6"/>
  <c r="M327" i="6" s="1"/>
  <c r="P327" i="6" s="1"/>
  <c r="N329" i="6"/>
  <c r="N327" i="6" s="1"/>
  <c r="T329" i="6"/>
  <c r="U329" i="6"/>
  <c r="I331" i="6"/>
  <c r="I320" i="6" s="1"/>
  <c r="K320" i="6" s="1"/>
  <c r="L335" i="6"/>
  <c r="M335" i="6"/>
  <c r="N335" i="6"/>
  <c r="P335" i="6"/>
  <c r="Q335" i="6"/>
  <c r="R335" i="6"/>
  <c r="S335" i="6"/>
  <c r="Q336" i="6"/>
  <c r="R336" i="6"/>
  <c r="U336" i="6" s="1"/>
  <c r="S336" i="6"/>
  <c r="T336" i="6"/>
  <c r="Q337" i="6"/>
  <c r="R337" i="6"/>
  <c r="U337" i="6" s="1"/>
  <c r="S337" i="6"/>
  <c r="T337" i="6"/>
  <c r="O338" i="6"/>
  <c r="P338" i="6"/>
  <c r="T338" i="6"/>
  <c r="U338" i="6"/>
  <c r="L339" i="6"/>
  <c r="M339" i="6"/>
  <c r="N339" i="6"/>
  <c r="T339" i="6"/>
  <c r="U339" i="6"/>
  <c r="Q340" i="6"/>
  <c r="T340" i="6" s="1"/>
  <c r="R340" i="6"/>
  <c r="U340" i="6" s="1"/>
  <c r="S340" i="6"/>
  <c r="O341" i="6"/>
  <c r="P341" i="6"/>
  <c r="T341" i="6"/>
  <c r="U341" i="6"/>
  <c r="L342" i="6"/>
  <c r="M342" i="6"/>
  <c r="P342" i="6" s="1"/>
  <c r="N342" i="6"/>
  <c r="N340" i="6" s="1"/>
  <c r="T342" i="6"/>
  <c r="U342" i="6"/>
  <c r="I345" i="6"/>
  <c r="I333" i="6" s="1"/>
  <c r="J345" i="6"/>
  <c r="I347" i="6"/>
  <c r="J347" i="6"/>
  <c r="J348" i="6"/>
  <c r="J349" i="6"/>
  <c r="J350" i="6"/>
  <c r="D351" i="6"/>
  <c r="J353" i="6"/>
  <c r="J354" i="6"/>
  <c r="D355" i="6"/>
  <c r="L358" i="6"/>
  <c r="O358" i="6" s="1"/>
  <c r="M358" i="6"/>
  <c r="P358" i="6" s="1"/>
  <c r="N358" i="6"/>
  <c r="Q358" i="6"/>
  <c r="T358" i="6" s="1"/>
  <c r="R358" i="6"/>
  <c r="S358" i="6"/>
  <c r="U358" i="6"/>
  <c r="Q359" i="6"/>
  <c r="T359" i="6" s="1"/>
  <c r="R359" i="6"/>
  <c r="U359" i="6" s="1"/>
  <c r="S359" i="6"/>
  <c r="Q360" i="6"/>
  <c r="T360" i="6" s="1"/>
  <c r="R360" i="6"/>
  <c r="U360" i="6" s="1"/>
  <c r="S360" i="6"/>
  <c r="O361" i="6"/>
  <c r="P361" i="6"/>
  <c r="T361" i="6"/>
  <c r="U361" i="6"/>
  <c r="L362" i="6"/>
  <c r="M362" i="6"/>
  <c r="N362" i="6"/>
  <c r="N360" i="6" s="1"/>
  <c r="T362" i="6"/>
  <c r="U362" i="6"/>
  <c r="Q363" i="6"/>
  <c r="T363" i="6" s="1"/>
  <c r="R363" i="6"/>
  <c r="S363" i="6"/>
  <c r="U363" i="6"/>
  <c r="O364" i="6"/>
  <c r="P364" i="6"/>
  <c r="T364" i="6"/>
  <c r="U364" i="6"/>
  <c r="L365" i="6"/>
  <c r="M365" i="6"/>
  <c r="N365" i="6"/>
  <c r="N363" i="6" s="1"/>
  <c r="T365" i="6"/>
  <c r="U365" i="6"/>
  <c r="J368" i="6"/>
  <c r="K368" i="6"/>
  <c r="I369" i="6"/>
  <c r="J369" i="6"/>
  <c r="I370" i="6"/>
  <c r="J370" i="6"/>
  <c r="J371" i="6"/>
  <c r="K371" i="6"/>
  <c r="I372" i="6"/>
  <c r="I366" i="6" s="1"/>
  <c r="J372" i="6"/>
  <c r="J366" i="6" s="1"/>
  <c r="J373" i="6"/>
  <c r="K373" i="6"/>
  <c r="D374" i="6"/>
  <c r="J375" i="6"/>
  <c r="L377" i="6"/>
  <c r="M377" i="6"/>
  <c r="P377" i="6" s="1"/>
  <c r="N377" i="6"/>
  <c r="Q377" i="6"/>
  <c r="R377" i="6"/>
  <c r="U377" i="6" s="1"/>
  <c r="S377" i="6"/>
  <c r="L378" i="6"/>
  <c r="O378" i="6" s="1"/>
  <c r="M378" i="6"/>
  <c r="P378" i="6" s="1"/>
  <c r="N378" i="6"/>
  <c r="L379" i="6"/>
  <c r="O379" i="6" s="1"/>
  <c r="M379" i="6"/>
  <c r="P379" i="6" s="1"/>
  <c r="N379" i="6"/>
  <c r="O380" i="6"/>
  <c r="P380" i="6"/>
  <c r="T380" i="6"/>
  <c r="U380" i="6"/>
  <c r="O381" i="6"/>
  <c r="P381" i="6"/>
  <c r="Q379" i="6"/>
  <c r="T379" i="6" s="1"/>
  <c r="R381" i="6"/>
  <c r="S381" i="6"/>
  <c r="L382" i="6"/>
  <c r="O382" i="6" s="1"/>
  <c r="M382" i="6"/>
  <c r="P382" i="6" s="1"/>
  <c r="N382" i="6"/>
  <c r="Q382" i="6"/>
  <c r="T382" i="6" s="1"/>
  <c r="R382" i="6"/>
  <c r="U382" i="6" s="1"/>
  <c r="S382" i="6"/>
  <c r="O383" i="6"/>
  <c r="P383" i="6"/>
  <c r="T383" i="6"/>
  <c r="U383" i="6"/>
  <c r="O384" i="6"/>
  <c r="P384" i="6"/>
  <c r="T384" i="6"/>
  <c r="U384" i="6"/>
  <c r="I386" i="6"/>
  <c r="I387" i="6"/>
  <c r="K387" i="6" s="1"/>
  <c r="K388" i="6"/>
  <c r="K389" i="6"/>
  <c r="I392" i="6"/>
  <c r="J392" i="6"/>
  <c r="K392" i="6"/>
  <c r="L394" i="6"/>
  <c r="M394" i="6"/>
  <c r="N394" i="6"/>
  <c r="Q394" i="6"/>
  <c r="T394" i="6" s="1"/>
  <c r="R394" i="6"/>
  <c r="U394" i="6" s="1"/>
  <c r="S394" i="6"/>
  <c r="L395" i="6"/>
  <c r="O395" i="6" s="1"/>
  <c r="M395" i="6"/>
  <c r="P395" i="6" s="1"/>
  <c r="N395" i="6"/>
  <c r="Q395" i="6"/>
  <c r="T395" i="6" s="1"/>
  <c r="R395" i="6"/>
  <c r="U395" i="6" s="1"/>
  <c r="S395" i="6"/>
  <c r="L396" i="6"/>
  <c r="O396" i="6" s="1"/>
  <c r="M396" i="6"/>
  <c r="P396" i="6" s="1"/>
  <c r="N396" i="6"/>
  <c r="Q396" i="6"/>
  <c r="T396" i="6" s="1"/>
  <c r="R396" i="6"/>
  <c r="U396" i="6" s="1"/>
  <c r="S396" i="6"/>
  <c r="O397" i="6"/>
  <c r="P397" i="6"/>
  <c r="T397" i="6"/>
  <c r="U397" i="6"/>
  <c r="O398" i="6"/>
  <c r="P398" i="6"/>
  <c r="T398" i="6"/>
  <c r="U398" i="6"/>
  <c r="L399" i="6"/>
  <c r="O399" i="6" s="1"/>
  <c r="M399" i="6"/>
  <c r="P399" i="6" s="1"/>
  <c r="N399" i="6"/>
  <c r="Q399" i="6"/>
  <c r="T399" i="6" s="1"/>
  <c r="R399" i="6"/>
  <c r="U399" i="6" s="1"/>
  <c r="S399" i="6"/>
  <c r="O400" i="6"/>
  <c r="P400" i="6"/>
  <c r="T400" i="6"/>
  <c r="U400" i="6"/>
  <c r="O401" i="6"/>
  <c r="P401" i="6"/>
  <c r="T401" i="6"/>
  <c r="U401" i="6"/>
  <c r="L415" i="6"/>
  <c r="M415" i="6"/>
  <c r="P415" i="6" s="1"/>
  <c r="N415" i="6"/>
  <c r="N414" i="6" s="1"/>
  <c r="Q415" i="6"/>
  <c r="R415" i="6"/>
  <c r="S415" i="6"/>
  <c r="L416" i="6"/>
  <c r="O416" i="6" s="1"/>
  <c r="M416" i="6"/>
  <c r="P416" i="6" s="1"/>
  <c r="N416" i="6"/>
  <c r="L417" i="6"/>
  <c r="M417" i="6"/>
  <c r="P417" i="6" s="1"/>
  <c r="N417" i="6"/>
  <c r="O417" i="6"/>
  <c r="O418" i="6"/>
  <c r="P418" i="6"/>
  <c r="T418" i="6"/>
  <c r="U418" i="6"/>
  <c r="O419" i="6"/>
  <c r="P419" i="6"/>
  <c r="Q419" i="6"/>
  <c r="Q417" i="6" s="1"/>
  <c r="T417" i="6" s="1"/>
  <c r="R419" i="6"/>
  <c r="R417" i="6" s="1"/>
  <c r="U417" i="6" s="1"/>
  <c r="S419" i="6"/>
  <c r="L420" i="6"/>
  <c r="O420" i="6" s="1"/>
  <c r="M420" i="6"/>
  <c r="P420" i="6" s="1"/>
  <c r="N420" i="6"/>
  <c r="Q420" i="6"/>
  <c r="T420" i="6" s="1"/>
  <c r="R420" i="6"/>
  <c r="U420" i="6" s="1"/>
  <c r="S420" i="6"/>
  <c r="O421" i="6"/>
  <c r="P421" i="6"/>
  <c r="T421" i="6"/>
  <c r="U421" i="6"/>
  <c r="O422" i="6"/>
  <c r="P422" i="6"/>
  <c r="T422" i="6"/>
  <c r="U422" i="6"/>
  <c r="I425" i="6"/>
  <c r="K425" i="6" s="1"/>
  <c r="J425" i="6"/>
  <c r="I426" i="6"/>
  <c r="K426" i="6" s="1"/>
  <c r="J426" i="6"/>
  <c r="I433" i="6"/>
  <c r="K433" i="6" s="1"/>
  <c r="J433" i="6"/>
  <c r="I434" i="6"/>
  <c r="K434" i="6" s="1"/>
  <c r="J434" i="6"/>
  <c r="I441" i="6"/>
  <c r="K441" i="6" s="1"/>
  <c r="I442" i="6"/>
  <c r="K442" i="6" s="1"/>
  <c r="J447" i="6"/>
  <c r="J441" i="6" s="1"/>
  <c r="J424" i="6" s="1"/>
  <c r="J413" i="6" s="1"/>
  <c r="J448" i="6"/>
  <c r="J442" i="6" s="1"/>
  <c r="I458" i="6"/>
  <c r="I459" i="6"/>
  <c r="K459" i="6" s="1"/>
  <c r="J460" i="6"/>
  <c r="J461" i="6"/>
  <c r="J468" i="6"/>
  <c r="J469" i="6"/>
  <c r="J476" i="6"/>
  <c r="K476" i="6"/>
  <c r="J477" i="6"/>
  <c r="K477" i="6"/>
  <c r="J478" i="6"/>
  <c r="K478" i="6"/>
  <c r="J483" i="6"/>
  <c r="J484" i="6"/>
  <c r="I485" i="6"/>
  <c r="K485" i="6" s="1"/>
  <c r="J485" i="6"/>
  <c r="I486" i="6"/>
  <c r="K486" i="6" s="1"/>
  <c r="J486" i="6"/>
  <c r="L495" i="6"/>
  <c r="O495" i="6" s="1"/>
  <c r="M495" i="6"/>
  <c r="P495" i="6" s="1"/>
  <c r="N495" i="6"/>
  <c r="Q495" i="6"/>
  <c r="T495" i="6" s="1"/>
  <c r="R495" i="6"/>
  <c r="U495" i="6" s="1"/>
  <c r="S495" i="6"/>
  <c r="L496" i="6"/>
  <c r="M496" i="6"/>
  <c r="P496" i="6" s="1"/>
  <c r="N496" i="6"/>
  <c r="L497" i="6"/>
  <c r="O497" i="6" s="1"/>
  <c r="M497" i="6"/>
  <c r="P497" i="6" s="1"/>
  <c r="N497" i="6"/>
  <c r="O498" i="6"/>
  <c r="P498" i="6"/>
  <c r="T498" i="6"/>
  <c r="U498" i="6"/>
  <c r="O499" i="6"/>
  <c r="P499" i="6"/>
  <c r="Q499" i="6"/>
  <c r="Q496" i="6" s="1"/>
  <c r="T496" i="6" s="1"/>
  <c r="R499" i="6"/>
  <c r="S499" i="6"/>
  <c r="S496" i="6" s="1"/>
  <c r="L500" i="6"/>
  <c r="M500" i="6"/>
  <c r="P500" i="6" s="1"/>
  <c r="N500" i="6"/>
  <c r="O500" i="6"/>
  <c r="Q500" i="6"/>
  <c r="T500" i="6" s="1"/>
  <c r="R500" i="6"/>
  <c r="S500" i="6"/>
  <c r="U500" i="6"/>
  <c r="O501" i="6"/>
  <c r="P501" i="6"/>
  <c r="T501" i="6"/>
  <c r="U501" i="6"/>
  <c r="O502" i="6"/>
  <c r="P502" i="6"/>
  <c r="T502" i="6"/>
  <c r="U502" i="6"/>
  <c r="I504" i="6"/>
  <c r="I493" i="6" s="1"/>
  <c r="K493" i="6" s="1"/>
  <c r="I505" i="6"/>
  <c r="I506" i="6"/>
  <c r="K506" i="6" s="1"/>
  <c r="I507" i="6"/>
  <c r="K507" i="6" s="1"/>
  <c r="I508" i="6"/>
  <c r="K508" i="6" s="1"/>
  <c r="K509" i="6"/>
  <c r="I510" i="6"/>
  <c r="K510" i="6" s="1"/>
  <c r="I513" i="6"/>
  <c r="K513" i="6" s="1"/>
  <c r="J513" i="6"/>
  <c r="L515" i="6"/>
  <c r="O515" i="6" s="1"/>
  <c r="M515" i="6"/>
  <c r="N515" i="6"/>
  <c r="Q515" i="6"/>
  <c r="T515" i="6" s="1"/>
  <c r="R515" i="6"/>
  <c r="U515" i="6" s="1"/>
  <c r="S515" i="6"/>
  <c r="Q516" i="6"/>
  <c r="R516" i="6"/>
  <c r="U516" i="6" s="1"/>
  <c r="S516" i="6"/>
  <c r="T516" i="6"/>
  <c r="Q517" i="6"/>
  <c r="T517" i="6" s="1"/>
  <c r="R517" i="6"/>
  <c r="S517" i="6"/>
  <c r="U517" i="6"/>
  <c r="O518" i="6"/>
  <c r="P518" i="6"/>
  <c r="T518" i="6"/>
  <c r="U518" i="6"/>
  <c r="L519" i="6"/>
  <c r="M519" i="6"/>
  <c r="N519" i="6"/>
  <c r="T519" i="6"/>
  <c r="U519" i="6"/>
  <c r="Q520" i="6"/>
  <c r="R520" i="6"/>
  <c r="U520" i="6" s="1"/>
  <c r="S520" i="6"/>
  <c r="T520" i="6"/>
  <c r="O521" i="6"/>
  <c r="P521" i="6"/>
  <c r="T521" i="6"/>
  <c r="U521" i="6"/>
  <c r="L522" i="6"/>
  <c r="O522" i="6" s="1"/>
  <c r="M522" i="6"/>
  <c r="N522" i="6"/>
  <c r="N520" i="6" s="1"/>
  <c r="T522" i="6"/>
  <c r="U522" i="6"/>
  <c r="K524" i="6"/>
  <c r="K525" i="6"/>
  <c r="I534" i="6"/>
  <c r="K534" i="6" s="1"/>
  <c r="J534" i="6"/>
  <c r="L536" i="6"/>
  <c r="O536" i="6" s="1"/>
  <c r="M536" i="6"/>
  <c r="P536" i="6" s="1"/>
  <c r="N536" i="6"/>
  <c r="Q536" i="6"/>
  <c r="T536" i="6" s="1"/>
  <c r="R536" i="6"/>
  <c r="S536" i="6"/>
  <c r="S535" i="6" s="1"/>
  <c r="L537" i="6"/>
  <c r="M537" i="6"/>
  <c r="N537" i="6"/>
  <c r="P537" i="6"/>
  <c r="Q537" i="6"/>
  <c r="T537" i="6" s="1"/>
  <c r="R537" i="6"/>
  <c r="U537" i="6" s="1"/>
  <c r="S537" i="6"/>
  <c r="L538" i="6"/>
  <c r="O538" i="6" s="1"/>
  <c r="M538" i="6"/>
  <c r="P538" i="6" s="1"/>
  <c r="N538" i="6"/>
  <c r="Q538" i="6"/>
  <c r="T538" i="6" s="1"/>
  <c r="R538" i="6"/>
  <c r="U538" i="6" s="1"/>
  <c r="S538" i="6"/>
  <c r="O539" i="6"/>
  <c r="P539" i="6"/>
  <c r="T539" i="6"/>
  <c r="U539" i="6"/>
  <c r="O540" i="6"/>
  <c r="P540" i="6"/>
  <c r="T540" i="6"/>
  <c r="U540" i="6"/>
  <c r="L541" i="6"/>
  <c r="O541" i="6" s="1"/>
  <c r="M541" i="6"/>
  <c r="P541" i="6" s="1"/>
  <c r="N541" i="6"/>
  <c r="Q541" i="6"/>
  <c r="T541" i="6" s="1"/>
  <c r="R541" i="6"/>
  <c r="U541" i="6" s="1"/>
  <c r="S541" i="6"/>
  <c r="O542" i="6"/>
  <c r="P542" i="6"/>
  <c r="T542" i="6"/>
  <c r="U542" i="6"/>
  <c r="O543" i="6"/>
  <c r="P543" i="6"/>
  <c r="T543" i="6"/>
  <c r="U543" i="6"/>
  <c r="I555" i="6"/>
  <c r="K555" i="6" s="1"/>
  <c r="J555" i="6"/>
  <c r="L557" i="6"/>
  <c r="O557" i="6" s="1"/>
  <c r="M557" i="6"/>
  <c r="P557" i="6" s="1"/>
  <c r="N557" i="6"/>
  <c r="Q557" i="6"/>
  <c r="R557" i="6"/>
  <c r="U557" i="6" s="1"/>
  <c r="S557" i="6"/>
  <c r="L558" i="6"/>
  <c r="O558" i="6" s="1"/>
  <c r="M558" i="6"/>
  <c r="P558" i="6" s="1"/>
  <c r="N558" i="6"/>
  <c r="Q558" i="6"/>
  <c r="T558" i="6" s="1"/>
  <c r="R558" i="6"/>
  <c r="U558" i="6" s="1"/>
  <c r="S558" i="6"/>
  <c r="L559" i="6"/>
  <c r="O559" i="6" s="1"/>
  <c r="M559" i="6"/>
  <c r="P559" i="6" s="1"/>
  <c r="N559" i="6"/>
  <c r="Q559" i="6"/>
  <c r="T559" i="6" s="1"/>
  <c r="R559" i="6"/>
  <c r="U559" i="6" s="1"/>
  <c r="S559" i="6"/>
  <c r="O560" i="6"/>
  <c r="P560" i="6"/>
  <c r="T560" i="6"/>
  <c r="U560" i="6"/>
  <c r="O561" i="6"/>
  <c r="P561" i="6"/>
  <c r="T561" i="6"/>
  <c r="U561" i="6"/>
  <c r="L562" i="6"/>
  <c r="O562" i="6" s="1"/>
  <c r="M562" i="6"/>
  <c r="N562" i="6"/>
  <c r="P562" i="6"/>
  <c r="Q562" i="6"/>
  <c r="T562" i="6" s="1"/>
  <c r="R562" i="6"/>
  <c r="U562" i="6" s="1"/>
  <c r="S562" i="6"/>
  <c r="O563" i="6"/>
  <c r="P563" i="6"/>
  <c r="T563" i="6"/>
  <c r="U563" i="6"/>
  <c r="O564" i="6"/>
  <c r="P564" i="6"/>
  <c r="T564" i="6"/>
  <c r="U564" i="6"/>
  <c r="I576" i="6"/>
  <c r="K576" i="6" s="1"/>
  <c r="J576" i="6"/>
  <c r="L578" i="6"/>
  <c r="O578" i="6" s="1"/>
  <c r="M578" i="6"/>
  <c r="P578" i="6" s="1"/>
  <c r="N578" i="6"/>
  <c r="Q578" i="6"/>
  <c r="T578" i="6" s="1"/>
  <c r="R578" i="6"/>
  <c r="S578" i="6"/>
  <c r="L579" i="6"/>
  <c r="O579" i="6" s="1"/>
  <c r="M579" i="6"/>
  <c r="P579" i="6" s="1"/>
  <c r="N579" i="6"/>
  <c r="Q579" i="6"/>
  <c r="R579" i="6"/>
  <c r="U579" i="6" s="1"/>
  <c r="S579" i="6"/>
  <c r="L580" i="6"/>
  <c r="O580" i="6" s="1"/>
  <c r="M580" i="6"/>
  <c r="P580" i="6" s="1"/>
  <c r="N580" i="6"/>
  <c r="Q580" i="6"/>
  <c r="T580" i="6" s="1"/>
  <c r="R580" i="6"/>
  <c r="U580" i="6" s="1"/>
  <c r="S580" i="6"/>
  <c r="O581" i="6"/>
  <c r="P581" i="6"/>
  <c r="T581" i="6"/>
  <c r="U581" i="6"/>
  <c r="O582" i="6"/>
  <c r="P582" i="6"/>
  <c r="T582" i="6"/>
  <c r="U582" i="6"/>
  <c r="L583" i="6"/>
  <c r="O583" i="6" s="1"/>
  <c r="M583" i="6"/>
  <c r="P583" i="6" s="1"/>
  <c r="N583" i="6"/>
  <c r="Q583" i="6"/>
  <c r="T583" i="6" s="1"/>
  <c r="R583" i="6"/>
  <c r="U583" i="6" s="1"/>
  <c r="S583" i="6"/>
  <c r="O584" i="6"/>
  <c r="P584" i="6"/>
  <c r="T584" i="6"/>
  <c r="U584" i="6"/>
  <c r="O585" i="6"/>
  <c r="P585" i="6"/>
  <c r="T585" i="6"/>
  <c r="U585" i="6"/>
  <c r="L601" i="6"/>
  <c r="O601" i="6" s="1"/>
  <c r="M601" i="6"/>
  <c r="P601" i="6" s="1"/>
  <c r="N601" i="6"/>
  <c r="Q601" i="6"/>
  <c r="R601" i="6"/>
  <c r="S601" i="6"/>
  <c r="T601" i="6"/>
  <c r="L602" i="6"/>
  <c r="O602" i="6" s="1"/>
  <c r="M602" i="6"/>
  <c r="P602" i="6" s="1"/>
  <c r="N602" i="6"/>
  <c r="Q602" i="6"/>
  <c r="R602" i="6"/>
  <c r="U602" i="6" s="1"/>
  <c r="S602" i="6"/>
  <c r="L603" i="6"/>
  <c r="O603" i="6" s="1"/>
  <c r="M603" i="6"/>
  <c r="P603" i="6" s="1"/>
  <c r="N603" i="6"/>
  <c r="Q603" i="6"/>
  <c r="T603" i="6" s="1"/>
  <c r="R603" i="6"/>
  <c r="U603" i="6" s="1"/>
  <c r="S603" i="6"/>
  <c r="O604" i="6"/>
  <c r="P604" i="6"/>
  <c r="T604" i="6"/>
  <c r="U604" i="6"/>
  <c r="O605" i="6"/>
  <c r="P605" i="6"/>
  <c r="T605" i="6"/>
  <c r="U605" i="6"/>
  <c r="L606" i="6"/>
  <c r="O606" i="6" s="1"/>
  <c r="M606" i="6"/>
  <c r="P606" i="6" s="1"/>
  <c r="N606" i="6"/>
  <c r="Q606" i="6"/>
  <c r="T606" i="6" s="1"/>
  <c r="R606" i="6"/>
  <c r="U606" i="6" s="1"/>
  <c r="S606" i="6"/>
  <c r="O607" i="6"/>
  <c r="P607" i="6"/>
  <c r="T607" i="6"/>
  <c r="U607" i="6"/>
  <c r="O608" i="6"/>
  <c r="P608" i="6"/>
  <c r="T608" i="6"/>
  <c r="U608" i="6"/>
  <c r="M617" i="6"/>
  <c r="P617" i="6" s="1"/>
  <c r="L618" i="6"/>
  <c r="L617" i="6" s="1"/>
  <c r="O617" i="6" s="1"/>
  <c r="M618" i="6"/>
  <c r="P618" i="6" s="1"/>
  <c r="N618" i="6"/>
  <c r="N617" i="6" s="1"/>
  <c r="Q618" i="6"/>
  <c r="R618" i="6"/>
  <c r="S618" i="6"/>
  <c r="U618" i="6"/>
  <c r="L619" i="6"/>
  <c r="M619" i="6"/>
  <c r="P619" i="6" s="1"/>
  <c r="N619" i="6"/>
  <c r="O619" i="6"/>
  <c r="L620" i="6"/>
  <c r="O620" i="6" s="1"/>
  <c r="M620" i="6"/>
  <c r="P620" i="6" s="1"/>
  <c r="N620" i="6"/>
  <c r="O621" i="6"/>
  <c r="P621" i="6"/>
  <c r="T621" i="6"/>
  <c r="U621" i="6"/>
  <c r="O622" i="6"/>
  <c r="P622" i="6"/>
  <c r="Q622" i="6"/>
  <c r="Q620" i="6" s="1"/>
  <c r="R622" i="6"/>
  <c r="R620" i="6" s="1"/>
  <c r="S622" i="6"/>
  <c r="S619" i="6" s="1"/>
  <c r="L623" i="6"/>
  <c r="O623" i="6" s="1"/>
  <c r="M623" i="6"/>
  <c r="N623" i="6"/>
  <c r="P623" i="6"/>
  <c r="Q623" i="6"/>
  <c r="R623" i="6"/>
  <c r="U623" i="6" s="1"/>
  <c r="S623" i="6"/>
  <c r="T623" i="6"/>
  <c r="O624" i="6"/>
  <c r="P624" i="6"/>
  <c r="T624" i="6"/>
  <c r="U624" i="6"/>
  <c r="O625" i="6"/>
  <c r="P625" i="6"/>
  <c r="T625" i="6"/>
  <c r="U625" i="6"/>
  <c r="I627" i="6"/>
  <c r="I616" i="6" s="1"/>
  <c r="I628" i="6"/>
  <c r="K628" i="6" s="1"/>
  <c r="I629" i="6"/>
  <c r="K629" i="6" s="1"/>
  <c r="J633" i="6"/>
  <c r="I636" i="6"/>
  <c r="K636" i="6" s="1"/>
  <c r="J637" i="6"/>
  <c r="J636" i="6" s="1"/>
  <c r="L644" i="6"/>
  <c r="O644" i="6" s="1"/>
  <c r="M644" i="6"/>
  <c r="N644" i="6"/>
  <c r="Q644" i="6"/>
  <c r="T644" i="6" s="1"/>
  <c r="R644" i="6"/>
  <c r="U644" i="6" s="1"/>
  <c r="S644" i="6"/>
  <c r="L645" i="6"/>
  <c r="O645" i="6" s="1"/>
  <c r="M645" i="6"/>
  <c r="N645" i="6"/>
  <c r="P645" i="6"/>
  <c r="L646" i="6"/>
  <c r="O646" i="6" s="1"/>
  <c r="M646" i="6"/>
  <c r="N646" i="6"/>
  <c r="P646" i="6"/>
  <c r="O647" i="6"/>
  <c r="P647" i="6"/>
  <c r="T647" i="6"/>
  <c r="U647" i="6"/>
  <c r="O648" i="6"/>
  <c r="P648" i="6"/>
  <c r="Q648" i="6"/>
  <c r="Q646" i="6" s="1"/>
  <c r="R648" i="6"/>
  <c r="S648" i="6"/>
  <c r="L649" i="6"/>
  <c r="M649" i="6"/>
  <c r="P649" i="6" s="1"/>
  <c r="N649" i="6"/>
  <c r="O649" i="6"/>
  <c r="Q649" i="6"/>
  <c r="R649" i="6"/>
  <c r="U649" i="6" s="1"/>
  <c r="S649" i="6"/>
  <c r="T649" i="6"/>
  <c r="O650" i="6"/>
  <c r="P650" i="6"/>
  <c r="T650" i="6"/>
  <c r="U650" i="6"/>
  <c r="O651" i="6"/>
  <c r="P651" i="6"/>
  <c r="T651" i="6"/>
  <c r="U651" i="6"/>
  <c r="I653" i="6"/>
  <c r="K653" i="6" s="1"/>
  <c r="J653" i="6"/>
  <c r="I654" i="6"/>
  <c r="K654" i="6" s="1"/>
  <c r="J654" i="6"/>
  <c r="I655" i="6"/>
  <c r="J655" i="6"/>
  <c r="I658" i="6"/>
  <c r="I661" i="6"/>
  <c r="I662" i="6"/>
  <c r="K662" i="6" s="1"/>
  <c r="J662" i="6"/>
  <c r="J672" i="6"/>
  <c r="J673" i="6"/>
  <c r="I674" i="6"/>
  <c r="J674" i="6"/>
  <c r="I675" i="6"/>
  <c r="I676" i="6"/>
  <c r="I677" i="6"/>
  <c r="J677" i="6"/>
  <c r="J678" i="6"/>
  <c r="I679" i="6"/>
  <c r="J679" i="6"/>
  <c r="I680" i="6"/>
  <c r="K680" i="6" s="1"/>
  <c r="J680" i="6"/>
  <c r="J681" i="6"/>
  <c r="I682" i="6"/>
  <c r="K682" i="6" s="1"/>
  <c r="J682" i="6"/>
  <c r="I683" i="6"/>
  <c r="K683" i="6" s="1"/>
  <c r="J683" i="6"/>
  <c r="L692" i="6"/>
  <c r="O692" i="6" s="1"/>
  <c r="M692" i="6"/>
  <c r="N692" i="6"/>
  <c r="N691" i="6" s="1"/>
  <c r="Q692" i="6"/>
  <c r="R692" i="6"/>
  <c r="U692" i="6" s="1"/>
  <c r="S692" i="6"/>
  <c r="T692" i="6"/>
  <c r="L693" i="6"/>
  <c r="M693" i="6"/>
  <c r="P693" i="6" s="1"/>
  <c r="N693" i="6"/>
  <c r="O693" i="6"/>
  <c r="L694" i="6"/>
  <c r="O694" i="6" s="1"/>
  <c r="M694" i="6"/>
  <c r="P694" i="6" s="1"/>
  <c r="N694" i="6"/>
  <c r="O695" i="6"/>
  <c r="P695" i="6"/>
  <c r="T695" i="6"/>
  <c r="U695" i="6"/>
  <c r="O696" i="6"/>
  <c r="P696" i="6"/>
  <c r="Q696" i="6"/>
  <c r="R696" i="6"/>
  <c r="R694" i="6" s="1"/>
  <c r="S696" i="6"/>
  <c r="L697" i="6"/>
  <c r="O697" i="6" s="1"/>
  <c r="M697" i="6"/>
  <c r="P697" i="6" s="1"/>
  <c r="N697" i="6"/>
  <c r="Q697" i="6"/>
  <c r="T697" i="6" s="1"/>
  <c r="R697" i="6"/>
  <c r="S697" i="6"/>
  <c r="U697" i="6"/>
  <c r="O698" i="6"/>
  <c r="P698" i="6"/>
  <c r="T698" i="6"/>
  <c r="U698" i="6"/>
  <c r="O699" i="6"/>
  <c r="P699" i="6"/>
  <c r="T699" i="6"/>
  <c r="U699" i="6"/>
  <c r="I701" i="6"/>
  <c r="K701" i="6" s="1"/>
  <c r="K703" i="6"/>
  <c r="I704" i="6"/>
  <c r="J704" i="6"/>
  <c r="J705" i="6"/>
  <c r="K705" i="6"/>
  <c r="I706" i="6"/>
  <c r="J706" i="6"/>
  <c r="J707" i="6"/>
  <c r="K707" i="6"/>
  <c r="I708" i="6"/>
  <c r="I690" i="6" s="1"/>
  <c r="J708" i="6"/>
  <c r="J690" i="6" s="1"/>
  <c r="J709" i="6"/>
  <c r="K709" i="6"/>
  <c r="I710" i="6"/>
  <c r="J710" i="6"/>
  <c r="J711" i="6"/>
  <c r="K711" i="6"/>
  <c r="J713" i="6"/>
  <c r="K713" i="6"/>
  <c r="L716" i="6"/>
  <c r="M716" i="6"/>
  <c r="P716" i="6" s="1"/>
  <c r="N716" i="6"/>
  <c r="Q716" i="6"/>
  <c r="R716" i="6"/>
  <c r="S716" i="6"/>
  <c r="L717" i="6"/>
  <c r="O717" i="6" s="1"/>
  <c r="M717" i="6"/>
  <c r="P717" i="6" s="1"/>
  <c r="N717" i="6"/>
  <c r="N715" i="6" s="1"/>
  <c r="Q717" i="6"/>
  <c r="R717" i="6"/>
  <c r="U717" i="6" s="1"/>
  <c r="S717" i="6"/>
  <c r="T717" i="6"/>
  <c r="L718" i="6"/>
  <c r="M718" i="6"/>
  <c r="P718" i="6" s="1"/>
  <c r="N718" i="6"/>
  <c r="O718" i="6"/>
  <c r="Q718" i="6"/>
  <c r="T718" i="6" s="1"/>
  <c r="R718" i="6"/>
  <c r="S718" i="6"/>
  <c r="U718" i="6"/>
  <c r="O719" i="6"/>
  <c r="P719" i="6"/>
  <c r="T719" i="6"/>
  <c r="U719" i="6"/>
  <c r="O720" i="6"/>
  <c r="P720" i="6"/>
  <c r="T720" i="6"/>
  <c r="U720" i="6"/>
  <c r="L721" i="6"/>
  <c r="M721" i="6"/>
  <c r="P721" i="6" s="1"/>
  <c r="N721" i="6"/>
  <c r="O721" i="6"/>
  <c r="Q721" i="6"/>
  <c r="T721" i="6" s="1"/>
  <c r="R721" i="6"/>
  <c r="S721" i="6"/>
  <c r="U721" i="6"/>
  <c r="O722" i="6"/>
  <c r="P722" i="6"/>
  <c r="T722" i="6"/>
  <c r="U722" i="6"/>
  <c r="O723" i="6"/>
  <c r="P723" i="6"/>
  <c r="T723" i="6"/>
  <c r="U723" i="6"/>
  <c r="I727" i="6"/>
  <c r="J727" i="6"/>
  <c r="I728" i="6"/>
  <c r="J728" i="6"/>
  <c r="L730" i="6"/>
  <c r="M730" i="6"/>
  <c r="N730" i="6"/>
  <c r="P730" i="6"/>
  <c r="Q730" i="6"/>
  <c r="R730" i="6"/>
  <c r="S730" i="6"/>
  <c r="L731" i="6"/>
  <c r="O731" i="6" s="1"/>
  <c r="M731" i="6"/>
  <c r="P731" i="6" s="1"/>
  <c r="N731" i="6"/>
  <c r="L732" i="6"/>
  <c r="O732" i="6" s="1"/>
  <c r="M732" i="6"/>
  <c r="N732" i="6"/>
  <c r="P732" i="6"/>
  <c r="O733" i="6"/>
  <c r="P733" i="6"/>
  <c r="T733" i="6"/>
  <c r="U733" i="6"/>
  <c r="O734" i="6"/>
  <c r="P734" i="6"/>
  <c r="Q734" i="6"/>
  <c r="R734" i="6"/>
  <c r="S734" i="6"/>
  <c r="S732" i="6" s="1"/>
  <c r="L735" i="6"/>
  <c r="O735" i="6" s="1"/>
  <c r="M735" i="6"/>
  <c r="P735" i="6" s="1"/>
  <c r="N735" i="6"/>
  <c r="Q735" i="6"/>
  <c r="T735" i="6" s="1"/>
  <c r="R735" i="6"/>
  <c r="U735" i="6" s="1"/>
  <c r="S735" i="6"/>
  <c r="O736" i="6"/>
  <c r="P736" i="6"/>
  <c r="T736" i="6"/>
  <c r="U736" i="6"/>
  <c r="O737" i="6"/>
  <c r="P737" i="6"/>
  <c r="T737" i="6"/>
  <c r="U737" i="6"/>
  <c r="I741" i="6"/>
  <c r="K741" i="6" s="1"/>
  <c r="I743" i="6"/>
  <c r="K743" i="6" s="1"/>
  <c r="I745" i="6"/>
  <c r="K745" i="6" s="1"/>
  <c r="I747" i="6"/>
  <c r="K747" i="6" s="1"/>
  <c r="I750" i="6"/>
  <c r="K750" i="6" s="1"/>
  <c r="I753" i="6"/>
  <c r="K753" i="6" s="1"/>
  <c r="I756" i="6"/>
  <c r="K756" i="6" s="1"/>
  <c r="J758" i="6"/>
  <c r="J759" i="6"/>
  <c r="L761" i="6"/>
  <c r="M761" i="6"/>
  <c r="N761" i="6"/>
  <c r="Q761" i="6"/>
  <c r="T761" i="6" s="1"/>
  <c r="R761" i="6"/>
  <c r="S761" i="6"/>
  <c r="L762" i="6"/>
  <c r="M762" i="6"/>
  <c r="P762" i="6" s="1"/>
  <c r="N762" i="6"/>
  <c r="O762" i="6"/>
  <c r="L763" i="6"/>
  <c r="O763" i="6" s="1"/>
  <c r="M763" i="6"/>
  <c r="N763" i="6"/>
  <c r="P763" i="6"/>
  <c r="O764" i="6"/>
  <c r="P764" i="6"/>
  <c r="T764" i="6"/>
  <c r="U764" i="6"/>
  <c r="O765" i="6"/>
  <c r="P765" i="6"/>
  <c r="Q765" i="6"/>
  <c r="R765" i="6"/>
  <c r="S765" i="6"/>
  <c r="S763" i="6" s="1"/>
  <c r="L766" i="6"/>
  <c r="O766" i="6" s="1"/>
  <c r="M766" i="6"/>
  <c r="P766" i="6" s="1"/>
  <c r="N766" i="6"/>
  <c r="Q766" i="6"/>
  <c r="R766" i="6"/>
  <c r="U766" i="6" s="1"/>
  <c r="S766" i="6"/>
  <c r="T766" i="6"/>
  <c r="O767" i="6"/>
  <c r="P767" i="6"/>
  <c r="T767" i="6"/>
  <c r="U767" i="6"/>
  <c r="O768" i="6"/>
  <c r="P768" i="6"/>
  <c r="T768" i="6"/>
  <c r="U768" i="6"/>
  <c r="I770" i="6"/>
  <c r="K770" i="6" s="1"/>
  <c r="I772" i="6"/>
  <c r="I774" i="6"/>
  <c r="K774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8" i="5"/>
  <c r="J785" i="5"/>
  <c r="I785" i="5"/>
  <c r="J784" i="5"/>
  <c r="I784" i="5"/>
  <c r="J783" i="5"/>
  <c r="I783" i="5"/>
  <c r="K783" i="5" s="1"/>
  <c r="J782" i="5"/>
  <c r="I782" i="5"/>
  <c r="K782" i="5" s="1"/>
  <c r="J781" i="5"/>
  <c r="I781" i="5"/>
  <c r="J780" i="5"/>
  <c r="I780" i="5"/>
  <c r="J779" i="5"/>
  <c r="I779" i="5"/>
  <c r="J778" i="5"/>
  <c r="I778" i="5"/>
  <c r="H777" i="5"/>
  <c r="I776" i="5"/>
  <c r="I775" i="5"/>
  <c r="I774" i="5"/>
  <c r="I772" i="5"/>
  <c r="K772" i="5" s="1"/>
  <c r="I770" i="5"/>
  <c r="K770" i="5" s="1"/>
  <c r="U768" i="5"/>
  <c r="T768" i="5"/>
  <c r="P768" i="5"/>
  <c r="O768" i="5"/>
  <c r="U767" i="5"/>
  <c r="T767" i="5"/>
  <c r="P767" i="5"/>
  <c r="O767" i="5"/>
  <c r="T766" i="5"/>
  <c r="S766" i="5"/>
  <c r="R766" i="5"/>
  <c r="U766" i="5" s="1"/>
  <c r="Q766" i="5"/>
  <c r="P766" i="5"/>
  <c r="N766" i="5"/>
  <c r="M766" i="5"/>
  <c r="L766" i="5"/>
  <c r="O766" i="5" s="1"/>
  <c r="S765" i="5"/>
  <c r="S763" i="5" s="1"/>
  <c r="R765" i="5"/>
  <c r="R763" i="5" s="1"/>
  <c r="Q765" i="5"/>
  <c r="Q763" i="5" s="1"/>
  <c r="P765" i="5"/>
  <c r="O765" i="5"/>
  <c r="U764" i="5"/>
  <c r="T764" i="5"/>
  <c r="P764" i="5"/>
  <c r="O764" i="5"/>
  <c r="O763" i="5"/>
  <c r="N763" i="5"/>
  <c r="M763" i="5"/>
  <c r="P763" i="5" s="1"/>
  <c r="L763" i="5"/>
  <c r="O762" i="5"/>
  <c r="N762" i="5"/>
  <c r="M762" i="5"/>
  <c r="P762" i="5" s="1"/>
  <c r="L762" i="5"/>
  <c r="U761" i="5"/>
  <c r="S761" i="5"/>
  <c r="R761" i="5"/>
  <c r="Q761" i="5"/>
  <c r="T761" i="5" s="1"/>
  <c r="O761" i="5"/>
  <c r="N761" i="5"/>
  <c r="N760" i="5" s="1"/>
  <c r="M761" i="5"/>
  <c r="P761" i="5" s="1"/>
  <c r="L761" i="5"/>
  <c r="L760" i="5" s="1"/>
  <c r="O760" i="5" s="1"/>
  <c r="M760" i="5"/>
  <c r="P760" i="5" s="1"/>
  <c r="J759" i="5"/>
  <c r="J758" i="5"/>
  <c r="I756" i="5"/>
  <c r="K756" i="5" s="1"/>
  <c r="I753" i="5"/>
  <c r="K753" i="5" s="1"/>
  <c r="I750" i="5"/>
  <c r="K750" i="5" s="1"/>
  <c r="I747" i="5"/>
  <c r="K747" i="5" s="1"/>
  <c r="I745" i="5"/>
  <c r="K745" i="5" s="1"/>
  <c r="I743" i="5"/>
  <c r="K743" i="5" s="1"/>
  <c r="I741" i="5"/>
  <c r="K741" i="5" s="1"/>
  <c r="U737" i="5"/>
  <c r="T737" i="5"/>
  <c r="P737" i="5"/>
  <c r="O737" i="5"/>
  <c r="U736" i="5"/>
  <c r="T736" i="5"/>
  <c r="P736" i="5"/>
  <c r="O736" i="5"/>
  <c r="U735" i="5"/>
  <c r="S735" i="5"/>
  <c r="R735" i="5"/>
  <c r="Q735" i="5"/>
  <c r="T735" i="5" s="1"/>
  <c r="O735" i="5"/>
  <c r="N735" i="5"/>
  <c r="M735" i="5"/>
  <c r="P735" i="5" s="1"/>
  <c r="L735" i="5"/>
  <c r="S734" i="5"/>
  <c r="R734" i="5"/>
  <c r="R731" i="5" s="1"/>
  <c r="R729" i="5" s="1"/>
  <c r="Q734" i="5"/>
  <c r="Q732" i="5" s="1"/>
  <c r="P734" i="5"/>
  <c r="O734" i="5"/>
  <c r="U733" i="5"/>
  <c r="T733" i="5"/>
  <c r="P733" i="5"/>
  <c r="O733" i="5"/>
  <c r="P732" i="5"/>
  <c r="N732" i="5"/>
  <c r="M732" i="5"/>
  <c r="L732" i="5"/>
  <c r="O732" i="5" s="1"/>
  <c r="P731" i="5"/>
  <c r="N731" i="5"/>
  <c r="M731" i="5"/>
  <c r="L731" i="5"/>
  <c r="O731" i="5" s="1"/>
  <c r="T730" i="5"/>
  <c r="S730" i="5"/>
  <c r="R730" i="5"/>
  <c r="U730" i="5" s="1"/>
  <c r="Q730" i="5"/>
  <c r="P730" i="5"/>
  <c r="N730" i="5"/>
  <c r="N729" i="5" s="1"/>
  <c r="M730" i="5"/>
  <c r="M729" i="5" s="1"/>
  <c r="P729" i="5" s="1"/>
  <c r="L730" i="5"/>
  <c r="O730" i="5" s="1"/>
  <c r="L729" i="5"/>
  <c r="O729" i="5" s="1"/>
  <c r="J728" i="5"/>
  <c r="I728" i="5"/>
  <c r="K728" i="5" s="1"/>
  <c r="J727" i="5"/>
  <c r="I727" i="5"/>
  <c r="K727" i="5" s="1"/>
  <c r="U723" i="5"/>
  <c r="T723" i="5"/>
  <c r="P723" i="5"/>
  <c r="O723" i="5"/>
  <c r="U722" i="5"/>
  <c r="T722" i="5"/>
  <c r="P722" i="5"/>
  <c r="O722" i="5"/>
  <c r="T721" i="5"/>
  <c r="S721" i="5"/>
  <c r="R721" i="5"/>
  <c r="U721" i="5" s="1"/>
  <c r="Q721" i="5"/>
  <c r="P721" i="5"/>
  <c r="N721" i="5"/>
  <c r="M721" i="5"/>
  <c r="L721" i="5"/>
  <c r="O721" i="5" s="1"/>
  <c r="U720" i="5"/>
  <c r="T720" i="5"/>
  <c r="P720" i="5"/>
  <c r="O720" i="5"/>
  <c r="U719" i="5"/>
  <c r="T719" i="5"/>
  <c r="P719" i="5"/>
  <c r="O719" i="5"/>
  <c r="T718" i="5"/>
  <c r="S718" i="5"/>
  <c r="R718" i="5"/>
  <c r="U718" i="5" s="1"/>
  <c r="Q718" i="5"/>
  <c r="P718" i="5"/>
  <c r="N718" i="5"/>
  <c r="M718" i="5"/>
  <c r="L718" i="5"/>
  <c r="O718" i="5" s="1"/>
  <c r="T717" i="5"/>
  <c r="S717" i="5"/>
  <c r="R717" i="5"/>
  <c r="U717" i="5" s="1"/>
  <c r="Q717" i="5"/>
  <c r="P717" i="5"/>
  <c r="N717" i="5"/>
  <c r="M717" i="5"/>
  <c r="L717" i="5"/>
  <c r="O717" i="5" s="1"/>
  <c r="T716" i="5"/>
  <c r="S716" i="5"/>
  <c r="S715" i="5" s="1"/>
  <c r="R716" i="5"/>
  <c r="U716" i="5" s="1"/>
  <c r="Q716" i="5"/>
  <c r="Q715" i="5" s="1"/>
  <c r="T715" i="5" s="1"/>
  <c r="P716" i="5"/>
  <c r="N716" i="5"/>
  <c r="N715" i="5" s="1"/>
  <c r="M716" i="5"/>
  <c r="M715" i="5" s="1"/>
  <c r="L716" i="5"/>
  <c r="O716" i="5" s="1"/>
  <c r="R715" i="5"/>
  <c r="U715" i="5" s="1"/>
  <c r="P715" i="5"/>
  <c r="K713" i="5"/>
  <c r="J713" i="5"/>
  <c r="I710" i="5"/>
  <c r="K709" i="5"/>
  <c r="J709" i="5"/>
  <c r="J708" i="5"/>
  <c r="J690" i="5" s="1"/>
  <c r="I708" i="5"/>
  <c r="I690" i="5" s="1"/>
  <c r="K707" i="5"/>
  <c r="J707" i="5"/>
  <c r="J706" i="5"/>
  <c r="I706" i="5"/>
  <c r="K705" i="5"/>
  <c r="J705" i="5"/>
  <c r="J704" i="5"/>
  <c r="I704" i="5"/>
  <c r="K703" i="5"/>
  <c r="J703" i="5"/>
  <c r="J702" i="5"/>
  <c r="I702" i="5"/>
  <c r="I701" i="5"/>
  <c r="K701" i="5" s="1"/>
  <c r="U699" i="5"/>
  <c r="T699" i="5"/>
  <c r="P699" i="5"/>
  <c r="O699" i="5"/>
  <c r="U698" i="5"/>
  <c r="T698" i="5"/>
  <c r="P698" i="5"/>
  <c r="O698" i="5"/>
  <c r="U697" i="5"/>
  <c r="S697" i="5"/>
  <c r="R697" i="5"/>
  <c r="Q697" i="5"/>
  <c r="T697" i="5" s="1"/>
  <c r="O697" i="5"/>
  <c r="N697" i="5"/>
  <c r="M697" i="5"/>
  <c r="P697" i="5" s="1"/>
  <c r="L697" i="5"/>
  <c r="S696" i="5"/>
  <c r="R696" i="5"/>
  <c r="R693" i="5" s="1"/>
  <c r="Q696" i="5"/>
  <c r="P696" i="5"/>
  <c r="O696" i="5"/>
  <c r="U695" i="5"/>
  <c r="T695" i="5"/>
  <c r="P695" i="5"/>
  <c r="O695" i="5"/>
  <c r="P694" i="5"/>
  <c r="N694" i="5"/>
  <c r="M694" i="5"/>
  <c r="L694" i="5"/>
  <c r="O694" i="5" s="1"/>
  <c r="P693" i="5"/>
  <c r="N693" i="5"/>
  <c r="M693" i="5"/>
  <c r="L693" i="5"/>
  <c r="O693" i="5" s="1"/>
  <c r="T692" i="5"/>
  <c r="S692" i="5"/>
  <c r="R692" i="5"/>
  <c r="U692" i="5" s="1"/>
  <c r="Q692" i="5"/>
  <c r="P692" i="5"/>
  <c r="N692" i="5"/>
  <c r="M692" i="5"/>
  <c r="L692" i="5"/>
  <c r="O692" i="5" s="1"/>
  <c r="P691" i="5"/>
  <c r="N691" i="5"/>
  <c r="M691" i="5"/>
  <c r="L691" i="5"/>
  <c r="O691" i="5" s="1"/>
  <c r="J683" i="5"/>
  <c r="I683" i="5"/>
  <c r="K683" i="5" s="1"/>
  <c r="J682" i="5"/>
  <c r="I682" i="5"/>
  <c r="K682" i="5" s="1"/>
  <c r="J681" i="5"/>
  <c r="J680" i="5"/>
  <c r="I680" i="5"/>
  <c r="K680" i="5" s="1"/>
  <c r="J679" i="5"/>
  <c r="I679" i="5"/>
  <c r="K679" i="5" s="1"/>
  <c r="J678" i="5"/>
  <c r="J677" i="5"/>
  <c r="I677" i="5"/>
  <c r="K677" i="5" s="1"/>
  <c r="I676" i="5"/>
  <c r="K676" i="5" s="1"/>
  <c r="I675" i="5"/>
  <c r="K675" i="5" s="1"/>
  <c r="J674" i="5"/>
  <c r="I674" i="5"/>
  <c r="J673" i="5"/>
  <c r="J672" i="5"/>
  <c r="J662" i="5"/>
  <c r="I662" i="5"/>
  <c r="K662" i="5" s="1"/>
  <c r="I661" i="5"/>
  <c r="I658" i="5"/>
  <c r="J655" i="5"/>
  <c r="I655" i="5"/>
  <c r="K655" i="5" s="1"/>
  <c r="J654" i="5"/>
  <c r="I654" i="5"/>
  <c r="K654" i="5" s="1"/>
  <c r="J653" i="5"/>
  <c r="I653" i="5"/>
  <c r="K653" i="5" s="1"/>
  <c r="U651" i="5"/>
  <c r="T651" i="5"/>
  <c r="P651" i="5"/>
  <c r="O651" i="5"/>
  <c r="U650" i="5"/>
  <c r="T650" i="5"/>
  <c r="P650" i="5"/>
  <c r="O650" i="5"/>
  <c r="U649" i="5"/>
  <c r="S649" i="5"/>
  <c r="R649" i="5"/>
  <c r="Q649" i="5"/>
  <c r="T649" i="5" s="1"/>
  <c r="O649" i="5"/>
  <c r="N649" i="5"/>
  <c r="M649" i="5"/>
  <c r="P649" i="5" s="1"/>
  <c r="L649" i="5"/>
  <c r="S648" i="5"/>
  <c r="R648" i="5"/>
  <c r="R646" i="5" s="1"/>
  <c r="U646" i="5" s="1"/>
  <c r="Q648" i="5"/>
  <c r="Q646" i="5" s="1"/>
  <c r="T646" i="5" s="1"/>
  <c r="P648" i="5"/>
  <c r="O648" i="5"/>
  <c r="U647" i="5"/>
  <c r="T647" i="5"/>
  <c r="P647" i="5"/>
  <c r="O647" i="5"/>
  <c r="P646" i="5"/>
  <c r="N646" i="5"/>
  <c r="M646" i="5"/>
  <c r="L646" i="5"/>
  <c r="O646" i="5" s="1"/>
  <c r="P645" i="5"/>
  <c r="N645" i="5"/>
  <c r="M645" i="5"/>
  <c r="L645" i="5"/>
  <c r="O645" i="5" s="1"/>
  <c r="T644" i="5"/>
  <c r="S644" i="5"/>
  <c r="R644" i="5"/>
  <c r="U644" i="5" s="1"/>
  <c r="Q644" i="5"/>
  <c r="P644" i="5"/>
  <c r="N644" i="5"/>
  <c r="N643" i="5" s="1"/>
  <c r="M644" i="5"/>
  <c r="L644" i="5"/>
  <c r="L643" i="5" s="1"/>
  <c r="O643" i="5" s="1"/>
  <c r="P643" i="5"/>
  <c r="M643" i="5"/>
  <c r="J637" i="5"/>
  <c r="J636" i="5"/>
  <c r="I636" i="5"/>
  <c r="K636" i="5" s="1"/>
  <c r="J633" i="5"/>
  <c r="J627" i="5" s="1"/>
  <c r="I629" i="5"/>
  <c r="K629" i="5" s="1"/>
  <c r="I628" i="5"/>
  <c r="K628" i="5" s="1"/>
  <c r="I627" i="5"/>
  <c r="K633" i="5" s="1"/>
  <c r="U625" i="5"/>
  <c r="T625" i="5"/>
  <c r="P625" i="5"/>
  <c r="O625" i="5"/>
  <c r="U624" i="5"/>
  <c r="T624" i="5"/>
  <c r="P624" i="5"/>
  <c r="O624" i="5"/>
  <c r="S623" i="5"/>
  <c r="R623" i="5"/>
  <c r="U623" i="5" s="1"/>
  <c r="Q623" i="5"/>
  <c r="T623" i="5" s="1"/>
  <c r="P623" i="5"/>
  <c r="N623" i="5"/>
  <c r="M623" i="5"/>
  <c r="L623" i="5"/>
  <c r="O623" i="5" s="1"/>
  <c r="S622" i="5"/>
  <c r="S620" i="5" s="1"/>
  <c r="R622" i="5"/>
  <c r="Q622" i="5"/>
  <c r="Q620" i="5" s="1"/>
  <c r="P622" i="5"/>
  <c r="O622" i="5"/>
  <c r="U621" i="5"/>
  <c r="T621" i="5"/>
  <c r="P621" i="5"/>
  <c r="O621" i="5"/>
  <c r="P620" i="5"/>
  <c r="O620" i="5"/>
  <c r="N620" i="5"/>
  <c r="M620" i="5"/>
  <c r="L620" i="5"/>
  <c r="O619" i="5"/>
  <c r="N619" i="5"/>
  <c r="M619" i="5"/>
  <c r="P619" i="5" s="1"/>
  <c r="L619" i="5"/>
  <c r="U618" i="5"/>
  <c r="S618" i="5"/>
  <c r="R618" i="5"/>
  <c r="Q618" i="5"/>
  <c r="T618" i="5" s="1"/>
  <c r="P618" i="5"/>
  <c r="N618" i="5"/>
  <c r="M618" i="5"/>
  <c r="L618" i="5"/>
  <c r="L617" i="5" s="1"/>
  <c r="O617" i="5"/>
  <c r="N617" i="5"/>
  <c r="M617" i="5"/>
  <c r="P617" i="5" s="1"/>
  <c r="J616" i="5"/>
  <c r="U608" i="5"/>
  <c r="T608" i="5"/>
  <c r="P608" i="5"/>
  <c r="O608" i="5"/>
  <c r="U607" i="5"/>
  <c r="T607" i="5"/>
  <c r="P607" i="5"/>
  <c r="O607" i="5"/>
  <c r="S606" i="5"/>
  <c r="R606" i="5"/>
  <c r="U606" i="5" s="1"/>
  <c r="Q606" i="5"/>
  <c r="T606" i="5" s="1"/>
  <c r="N606" i="5"/>
  <c r="M606" i="5"/>
  <c r="P606" i="5" s="1"/>
  <c r="L606" i="5"/>
  <c r="O606" i="5" s="1"/>
  <c r="U605" i="5"/>
  <c r="T605" i="5"/>
  <c r="P605" i="5"/>
  <c r="O605" i="5"/>
  <c r="U604" i="5"/>
  <c r="T604" i="5"/>
  <c r="P604" i="5"/>
  <c r="O604" i="5"/>
  <c r="S603" i="5"/>
  <c r="R603" i="5"/>
  <c r="U603" i="5" s="1"/>
  <c r="Q603" i="5"/>
  <c r="T603" i="5" s="1"/>
  <c r="N603" i="5"/>
  <c r="M603" i="5"/>
  <c r="P603" i="5" s="1"/>
  <c r="L603" i="5"/>
  <c r="O603" i="5" s="1"/>
  <c r="U602" i="5"/>
  <c r="S602" i="5"/>
  <c r="R602" i="5"/>
  <c r="Q602" i="5"/>
  <c r="T602" i="5" s="1"/>
  <c r="O602" i="5"/>
  <c r="N602" i="5"/>
  <c r="N600" i="5" s="1"/>
  <c r="M602" i="5"/>
  <c r="P602" i="5" s="1"/>
  <c r="L602" i="5"/>
  <c r="S601" i="5"/>
  <c r="R601" i="5"/>
  <c r="U601" i="5" s="1"/>
  <c r="Q601" i="5"/>
  <c r="T601" i="5" s="1"/>
  <c r="N601" i="5"/>
  <c r="M601" i="5"/>
  <c r="L601" i="5"/>
  <c r="O601" i="5" s="1"/>
  <c r="U585" i="5"/>
  <c r="T585" i="5"/>
  <c r="P585" i="5"/>
  <c r="O585" i="5"/>
  <c r="U584" i="5"/>
  <c r="T584" i="5"/>
  <c r="P584" i="5"/>
  <c r="O584" i="5"/>
  <c r="S583" i="5"/>
  <c r="R583" i="5"/>
  <c r="U583" i="5" s="1"/>
  <c r="Q583" i="5"/>
  <c r="T583" i="5" s="1"/>
  <c r="N583" i="5"/>
  <c r="M583" i="5"/>
  <c r="P583" i="5" s="1"/>
  <c r="L583" i="5"/>
  <c r="O583" i="5" s="1"/>
  <c r="U582" i="5"/>
  <c r="T582" i="5"/>
  <c r="P582" i="5"/>
  <c r="O582" i="5"/>
  <c r="U581" i="5"/>
  <c r="T581" i="5"/>
  <c r="P581" i="5"/>
  <c r="O581" i="5"/>
  <c r="S580" i="5"/>
  <c r="R580" i="5"/>
  <c r="U580" i="5" s="1"/>
  <c r="Q580" i="5"/>
  <c r="T580" i="5" s="1"/>
  <c r="P580" i="5"/>
  <c r="N580" i="5"/>
  <c r="M580" i="5"/>
  <c r="L580" i="5"/>
  <c r="O580" i="5" s="1"/>
  <c r="U579" i="5"/>
  <c r="S579" i="5"/>
  <c r="R579" i="5"/>
  <c r="Q579" i="5"/>
  <c r="T579" i="5" s="1"/>
  <c r="N579" i="5"/>
  <c r="M579" i="5"/>
  <c r="P579" i="5" s="1"/>
  <c r="L579" i="5"/>
  <c r="O579" i="5" s="1"/>
  <c r="S578" i="5"/>
  <c r="S577" i="5" s="1"/>
  <c r="R578" i="5"/>
  <c r="U578" i="5" s="1"/>
  <c r="Q578" i="5"/>
  <c r="T578" i="5" s="1"/>
  <c r="N578" i="5"/>
  <c r="N577" i="5" s="1"/>
  <c r="M578" i="5"/>
  <c r="L578" i="5"/>
  <c r="L577" i="5" s="1"/>
  <c r="O577" i="5" s="1"/>
  <c r="R577" i="5"/>
  <c r="U577" i="5" s="1"/>
  <c r="J576" i="5"/>
  <c r="I576" i="5"/>
  <c r="K576" i="5" s="1"/>
  <c r="U564" i="5"/>
  <c r="T564" i="5"/>
  <c r="P564" i="5"/>
  <c r="O564" i="5"/>
  <c r="U563" i="5"/>
  <c r="T563" i="5"/>
  <c r="P563" i="5"/>
  <c r="O563" i="5"/>
  <c r="S562" i="5"/>
  <c r="R562" i="5"/>
  <c r="U562" i="5" s="1"/>
  <c r="Q562" i="5"/>
  <c r="T562" i="5" s="1"/>
  <c r="P562" i="5"/>
  <c r="N562" i="5"/>
  <c r="M562" i="5"/>
  <c r="L562" i="5"/>
  <c r="O562" i="5" s="1"/>
  <c r="U561" i="5"/>
  <c r="T561" i="5"/>
  <c r="P561" i="5"/>
  <c r="O561" i="5"/>
  <c r="U560" i="5"/>
  <c r="T560" i="5"/>
  <c r="P560" i="5"/>
  <c r="O560" i="5"/>
  <c r="U559" i="5"/>
  <c r="S559" i="5"/>
  <c r="R559" i="5"/>
  <c r="Q559" i="5"/>
  <c r="T559" i="5" s="1"/>
  <c r="O559" i="5"/>
  <c r="N559" i="5"/>
  <c r="M559" i="5"/>
  <c r="P559" i="5" s="1"/>
  <c r="L559" i="5"/>
  <c r="S558" i="5"/>
  <c r="R558" i="5"/>
  <c r="U558" i="5" s="1"/>
  <c r="Q558" i="5"/>
  <c r="T558" i="5" s="1"/>
  <c r="N558" i="5"/>
  <c r="M558" i="5"/>
  <c r="P558" i="5" s="1"/>
  <c r="L558" i="5"/>
  <c r="O558" i="5" s="1"/>
  <c r="S557" i="5"/>
  <c r="R557" i="5"/>
  <c r="Q557" i="5"/>
  <c r="T557" i="5" s="1"/>
  <c r="N557" i="5"/>
  <c r="N556" i="5" s="1"/>
  <c r="M557" i="5"/>
  <c r="P557" i="5" s="1"/>
  <c r="L557" i="5"/>
  <c r="S556" i="5"/>
  <c r="M556" i="5"/>
  <c r="P556" i="5" s="1"/>
  <c r="J555" i="5"/>
  <c r="I555" i="5"/>
  <c r="K555" i="5" s="1"/>
  <c r="U543" i="5"/>
  <c r="T543" i="5"/>
  <c r="P543" i="5"/>
  <c r="O543" i="5"/>
  <c r="U542" i="5"/>
  <c r="T542" i="5"/>
  <c r="P542" i="5"/>
  <c r="O542" i="5"/>
  <c r="S541" i="5"/>
  <c r="R541" i="5"/>
  <c r="U541" i="5" s="1"/>
  <c r="Q541" i="5"/>
  <c r="T541" i="5" s="1"/>
  <c r="N541" i="5"/>
  <c r="M541" i="5"/>
  <c r="P541" i="5" s="1"/>
  <c r="L541" i="5"/>
  <c r="O541" i="5" s="1"/>
  <c r="U540" i="5"/>
  <c r="T540" i="5"/>
  <c r="P540" i="5"/>
  <c r="O540" i="5"/>
  <c r="U539" i="5"/>
  <c r="T539" i="5"/>
  <c r="P539" i="5"/>
  <c r="O539" i="5"/>
  <c r="S538" i="5"/>
  <c r="R538" i="5"/>
  <c r="U538" i="5" s="1"/>
  <c r="Q538" i="5"/>
  <c r="T538" i="5" s="1"/>
  <c r="N538" i="5"/>
  <c r="M538" i="5"/>
  <c r="P538" i="5" s="1"/>
  <c r="L538" i="5"/>
  <c r="O538" i="5" s="1"/>
  <c r="S537" i="5"/>
  <c r="R537" i="5"/>
  <c r="U537" i="5" s="1"/>
  <c r="Q537" i="5"/>
  <c r="O537" i="5"/>
  <c r="N537" i="5"/>
  <c r="N535" i="5" s="1"/>
  <c r="M537" i="5"/>
  <c r="P537" i="5" s="1"/>
  <c r="L537" i="5"/>
  <c r="S536" i="5"/>
  <c r="R536" i="5"/>
  <c r="U536" i="5" s="1"/>
  <c r="Q536" i="5"/>
  <c r="T536" i="5" s="1"/>
  <c r="N536" i="5"/>
  <c r="M536" i="5"/>
  <c r="P536" i="5" s="1"/>
  <c r="L536" i="5"/>
  <c r="K534" i="5"/>
  <c r="J534" i="5"/>
  <c r="I534" i="5"/>
  <c r="K525" i="5"/>
  <c r="K524" i="5"/>
  <c r="U522" i="5"/>
  <c r="T522" i="5"/>
  <c r="N522" i="5"/>
  <c r="N520" i="5" s="1"/>
  <c r="M522" i="5"/>
  <c r="P522" i="5" s="1"/>
  <c r="L522" i="5"/>
  <c r="L520" i="5" s="1"/>
  <c r="O520" i="5" s="1"/>
  <c r="U521" i="5"/>
  <c r="T521" i="5"/>
  <c r="P521" i="5"/>
  <c r="O521" i="5"/>
  <c r="T520" i="5"/>
  <c r="S520" i="5"/>
  <c r="R520" i="5"/>
  <c r="U520" i="5" s="1"/>
  <c r="Q520" i="5"/>
  <c r="U519" i="5"/>
  <c r="T519" i="5"/>
  <c r="N519" i="5"/>
  <c r="M519" i="5"/>
  <c r="M517" i="5" s="1"/>
  <c r="P517" i="5" s="1"/>
  <c r="L519" i="5"/>
  <c r="U518" i="5"/>
  <c r="T518" i="5"/>
  <c r="P518" i="5"/>
  <c r="O518" i="5"/>
  <c r="S517" i="5"/>
  <c r="R517" i="5"/>
  <c r="U517" i="5" s="1"/>
  <c r="Q517" i="5"/>
  <c r="T517" i="5" s="1"/>
  <c r="U516" i="5"/>
  <c r="S516" i="5"/>
  <c r="S514" i="5" s="1"/>
  <c r="R516" i="5"/>
  <c r="Q516" i="5"/>
  <c r="T516" i="5" s="1"/>
  <c r="S515" i="5"/>
  <c r="R515" i="5"/>
  <c r="U515" i="5" s="1"/>
  <c r="Q515" i="5"/>
  <c r="N515" i="5"/>
  <c r="M515" i="5"/>
  <c r="L515" i="5"/>
  <c r="O515" i="5" s="1"/>
  <c r="J513" i="5"/>
  <c r="I513" i="5"/>
  <c r="K513" i="5" s="1"/>
  <c r="I510" i="5"/>
  <c r="K510" i="5" s="1"/>
  <c r="K509" i="5"/>
  <c r="I508" i="5"/>
  <c r="K508" i="5" s="1"/>
  <c r="I507" i="5"/>
  <c r="K507" i="5" s="1"/>
  <c r="I506" i="5"/>
  <c r="K506" i="5" s="1"/>
  <c r="I505" i="5"/>
  <c r="K505" i="5" s="1"/>
  <c r="I504" i="5"/>
  <c r="U502" i="5"/>
  <c r="T502" i="5"/>
  <c r="P502" i="5"/>
  <c r="O502" i="5"/>
  <c r="U501" i="5"/>
  <c r="T501" i="5"/>
  <c r="P501" i="5"/>
  <c r="O501" i="5"/>
  <c r="T500" i="5"/>
  <c r="S500" i="5"/>
  <c r="R500" i="5"/>
  <c r="U500" i="5" s="1"/>
  <c r="Q500" i="5"/>
  <c r="P500" i="5"/>
  <c r="N500" i="5"/>
  <c r="M500" i="5"/>
  <c r="L500" i="5"/>
  <c r="O500" i="5" s="1"/>
  <c r="S499" i="5"/>
  <c r="S496" i="5" s="1"/>
  <c r="S494" i="5" s="1"/>
  <c r="R499" i="5"/>
  <c r="Q499" i="5"/>
  <c r="Q496" i="5" s="1"/>
  <c r="P499" i="5"/>
  <c r="O499" i="5"/>
  <c r="U498" i="5"/>
  <c r="T498" i="5"/>
  <c r="P498" i="5"/>
  <c r="O498" i="5"/>
  <c r="N497" i="5"/>
  <c r="M497" i="5"/>
  <c r="P497" i="5" s="1"/>
  <c r="L497" i="5"/>
  <c r="O497" i="5" s="1"/>
  <c r="O496" i="5"/>
  <c r="N496" i="5"/>
  <c r="M496" i="5"/>
  <c r="P496" i="5" s="1"/>
  <c r="L496" i="5"/>
  <c r="U495" i="5"/>
  <c r="S495" i="5"/>
  <c r="R495" i="5"/>
  <c r="Q495" i="5"/>
  <c r="T495" i="5" s="1"/>
  <c r="O495" i="5"/>
  <c r="N495" i="5"/>
  <c r="M495" i="5"/>
  <c r="P495" i="5" s="1"/>
  <c r="L495" i="5"/>
  <c r="N494" i="5"/>
  <c r="L494" i="5"/>
  <c r="O494" i="5" s="1"/>
  <c r="K486" i="5"/>
  <c r="J486" i="5"/>
  <c r="I486" i="5"/>
  <c r="K485" i="5"/>
  <c r="J485" i="5"/>
  <c r="I485" i="5"/>
  <c r="J484" i="5"/>
  <c r="J483" i="5"/>
  <c r="K478" i="5"/>
  <c r="J478" i="5"/>
  <c r="K477" i="5"/>
  <c r="J477" i="5"/>
  <c r="K476" i="5"/>
  <c r="J476" i="5"/>
  <c r="J469" i="5"/>
  <c r="J468" i="5"/>
  <c r="J461" i="5"/>
  <c r="J460" i="5"/>
  <c r="J459" i="5"/>
  <c r="I459" i="5"/>
  <c r="K459" i="5" s="1"/>
  <c r="I458" i="5"/>
  <c r="I457" i="5" s="1"/>
  <c r="K457" i="5" s="1"/>
  <c r="J448" i="5"/>
  <c r="J447" i="5"/>
  <c r="J442" i="5"/>
  <c r="I442" i="5"/>
  <c r="K442" i="5" s="1"/>
  <c r="J441" i="5"/>
  <c r="I441" i="5"/>
  <c r="K441" i="5" s="1"/>
  <c r="J434" i="5"/>
  <c r="I434" i="5"/>
  <c r="K434" i="5" s="1"/>
  <c r="J433" i="5"/>
  <c r="I433" i="5"/>
  <c r="K433" i="5" s="1"/>
  <c r="J426" i="5"/>
  <c r="I426" i="5"/>
  <c r="K426" i="5" s="1"/>
  <c r="J425" i="5"/>
  <c r="I425" i="5"/>
  <c r="K425" i="5" s="1"/>
  <c r="J424" i="5"/>
  <c r="J413" i="5" s="1"/>
  <c r="U422" i="5"/>
  <c r="T422" i="5"/>
  <c r="P422" i="5"/>
  <c r="O422" i="5"/>
  <c r="U421" i="5"/>
  <c r="T421" i="5"/>
  <c r="P421" i="5"/>
  <c r="O421" i="5"/>
  <c r="T420" i="5"/>
  <c r="S420" i="5"/>
  <c r="R420" i="5"/>
  <c r="U420" i="5" s="1"/>
  <c r="Q420" i="5"/>
  <c r="P420" i="5"/>
  <c r="N420" i="5"/>
  <c r="M420" i="5"/>
  <c r="L420" i="5"/>
  <c r="O420" i="5" s="1"/>
  <c r="S419" i="5"/>
  <c r="S416" i="5" s="1"/>
  <c r="R419" i="5"/>
  <c r="Q419" i="5"/>
  <c r="Q417" i="5" s="1"/>
  <c r="T417" i="5" s="1"/>
  <c r="P419" i="5"/>
  <c r="O419" i="5"/>
  <c r="U418" i="5"/>
  <c r="T418" i="5"/>
  <c r="P418" i="5"/>
  <c r="O418" i="5"/>
  <c r="O417" i="5"/>
  <c r="N417" i="5"/>
  <c r="M417" i="5"/>
  <c r="P417" i="5" s="1"/>
  <c r="L417" i="5"/>
  <c r="O416" i="5"/>
  <c r="N416" i="5"/>
  <c r="M416" i="5"/>
  <c r="P416" i="5" s="1"/>
  <c r="L416" i="5"/>
  <c r="U415" i="5"/>
  <c r="S415" i="5"/>
  <c r="R415" i="5"/>
  <c r="Q415" i="5"/>
  <c r="T415" i="5" s="1"/>
  <c r="O415" i="5"/>
  <c r="N415" i="5"/>
  <c r="M415" i="5"/>
  <c r="L415" i="5"/>
  <c r="L414" i="5" s="1"/>
  <c r="O414" i="5" s="1"/>
  <c r="N414" i="5"/>
  <c r="U401" i="5"/>
  <c r="T401" i="5"/>
  <c r="P401" i="5"/>
  <c r="O401" i="5"/>
  <c r="U400" i="5"/>
  <c r="T400" i="5"/>
  <c r="P400" i="5"/>
  <c r="O400" i="5"/>
  <c r="T399" i="5"/>
  <c r="S399" i="5"/>
  <c r="R399" i="5"/>
  <c r="U399" i="5" s="1"/>
  <c r="Q399" i="5"/>
  <c r="P399" i="5"/>
  <c r="N399" i="5"/>
  <c r="M399" i="5"/>
  <c r="L399" i="5"/>
  <c r="O399" i="5" s="1"/>
  <c r="U398" i="5"/>
  <c r="T398" i="5"/>
  <c r="P398" i="5"/>
  <c r="O398" i="5"/>
  <c r="U397" i="5"/>
  <c r="T397" i="5"/>
  <c r="P397" i="5"/>
  <c r="O397" i="5"/>
  <c r="T396" i="5"/>
  <c r="S396" i="5"/>
  <c r="R396" i="5"/>
  <c r="U396" i="5" s="1"/>
  <c r="Q396" i="5"/>
  <c r="P396" i="5"/>
  <c r="N396" i="5"/>
  <c r="M396" i="5"/>
  <c r="L396" i="5"/>
  <c r="O396" i="5" s="1"/>
  <c r="T395" i="5"/>
  <c r="S395" i="5"/>
  <c r="R395" i="5"/>
  <c r="U395" i="5" s="1"/>
  <c r="Q395" i="5"/>
  <c r="P395" i="5"/>
  <c r="N395" i="5"/>
  <c r="M395" i="5"/>
  <c r="L395" i="5"/>
  <c r="O395" i="5" s="1"/>
  <c r="T394" i="5"/>
  <c r="S394" i="5"/>
  <c r="S393" i="5" s="1"/>
  <c r="R394" i="5"/>
  <c r="U394" i="5" s="1"/>
  <c r="Q394" i="5"/>
  <c r="P394" i="5"/>
  <c r="N394" i="5"/>
  <c r="M394" i="5"/>
  <c r="M393" i="5" s="1"/>
  <c r="P393" i="5" s="1"/>
  <c r="L394" i="5"/>
  <c r="O394" i="5" s="1"/>
  <c r="T393" i="5"/>
  <c r="Q393" i="5"/>
  <c r="N393" i="5"/>
  <c r="K392" i="5"/>
  <c r="J392" i="5"/>
  <c r="I392" i="5"/>
  <c r="J389" i="5"/>
  <c r="I389" i="5"/>
  <c r="K389" i="5" s="1"/>
  <c r="K388" i="5"/>
  <c r="J388" i="5"/>
  <c r="J387" i="5"/>
  <c r="I387" i="5"/>
  <c r="K386" i="5"/>
  <c r="J386" i="5"/>
  <c r="U384" i="5"/>
  <c r="T384" i="5"/>
  <c r="P384" i="5"/>
  <c r="O384" i="5"/>
  <c r="U383" i="5"/>
  <c r="T383" i="5"/>
  <c r="P383" i="5"/>
  <c r="O383" i="5"/>
  <c r="U382" i="5"/>
  <c r="S382" i="5"/>
  <c r="R382" i="5"/>
  <c r="Q382" i="5"/>
  <c r="T382" i="5" s="1"/>
  <c r="O382" i="5"/>
  <c r="N382" i="5"/>
  <c r="M382" i="5"/>
  <c r="P382" i="5" s="1"/>
  <c r="L382" i="5"/>
  <c r="S381" i="5"/>
  <c r="S379" i="5" s="1"/>
  <c r="R381" i="5"/>
  <c r="Q381" i="5"/>
  <c r="Q379" i="5" s="1"/>
  <c r="P381" i="5"/>
  <c r="O381" i="5"/>
  <c r="U380" i="5"/>
  <c r="T380" i="5"/>
  <c r="P380" i="5"/>
  <c r="O380" i="5"/>
  <c r="P379" i="5"/>
  <c r="O379" i="5"/>
  <c r="N379" i="5"/>
  <c r="M379" i="5"/>
  <c r="L379" i="5"/>
  <c r="N378" i="5"/>
  <c r="M378" i="5"/>
  <c r="P378" i="5" s="1"/>
  <c r="L378" i="5"/>
  <c r="O378" i="5" s="1"/>
  <c r="T377" i="5"/>
  <c r="S377" i="5"/>
  <c r="R377" i="5"/>
  <c r="U377" i="5" s="1"/>
  <c r="Q377" i="5"/>
  <c r="P377" i="5"/>
  <c r="N377" i="5"/>
  <c r="M377" i="5"/>
  <c r="L377" i="5"/>
  <c r="O377" i="5" s="1"/>
  <c r="N376" i="5"/>
  <c r="L376" i="5"/>
  <c r="O376" i="5" s="1"/>
  <c r="D374" i="5"/>
  <c r="K373" i="5"/>
  <c r="J373" i="5"/>
  <c r="J372" i="5"/>
  <c r="J366" i="5" s="1"/>
  <c r="I372" i="5"/>
  <c r="K371" i="5"/>
  <c r="J371" i="5"/>
  <c r="J370" i="5"/>
  <c r="I370" i="5"/>
  <c r="J369" i="5"/>
  <c r="I369" i="5"/>
  <c r="K368" i="5"/>
  <c r="J368" i="5"/>
  <c r="U365" i="5"/>
  <c r="T365" i="5"/>
  <c r="N365" i="5"/>
  <c r="N363" i="5" s="1"/>
  <c r="M365" i="5"/>
  <c r="M363" i="5" s="1"/>
  <c r="P363" i="5" s="1"/>
  <c r="L365" i="5"/>
  <c r="O365" i="5" s="1"/>
  <c r="U364" i="5"/>
  <c r="T364" i="5"/>
  <c r="P364" i="5"/>
  <c r="O364" i="5"/>
  <c r="U363" i="5"/>
  <c r="S363" i="5"/>
  <c r="R363" i="5"/>
  <c r="Q363" i="5"/>
  <c r="T363" i="5" s="1"/>
  <c r="U362" i="5"/>
  <c r="T362" i="5"/>
  <c r="N362" i="5"/>
  <c r="N360" i="5" s="1"/>
  <c r="M362" i="5"/>
  <c r="L362" i="5"/>
  <c r="U361" i="5"/>
  <c r="T361" i="5"/>
  <c r="P361" i="5"/>
  <c r="O361" i="5"/>
  <c r="T360" i="5"/>
  <c r="S360" i="5"/>
  <c r="R360" i="5"/>
  <c r="U360" i="5" s="1"/>
  <c r="Q360" i="5"/>
  <c r="S359" i="5"/>
  <c r="R359" i="5"/>
  <c r="U359" i="5" s="1"/>
  <c r="Q359" i="5"/>
  <c r="T359" i="5" s="1"/>
  <c r="U358" i="5"/>
  <c r="T358" i="5"/>
  <c r="S358" i="5"/>
  <c r="R358" i="5"/>
  <c r="Q358" i="5"/>
  <c r="P358" i="5"/>
  <c r="O358" i="5"/>
  <c r="N358" i="5"/>
  <c r="M358" i="5"/>
  <c r="L358" i="5"/>
  <c r="S357" i="5"/>
  <c r="R357" i="5"/>
  <c r="U357" i="5" s="1"/>
  <c r="D355" i="5"/>
  <c r="J354" i="5"/>
  <c r="J353" i="5"/>
  <c r="D351" i="5"/>
  <c r="J350" i="5"/>
  <c r="J349" i="5"/>
  <c r="J348" i="5"/>
  <c r="J347" i="5"/>
  <c r="I347" i="5"/>
  <c r="J345" i="5"/>
  <c r="I345" i="5"/>
  <c r="I333" i="5" s="1"/>
  <c r="U342" i="5"/>
  <c r="T342" i="5"/>
  <c r="N342" i="5"/>
  <c r="M342" i="5"/>
  <c r="P342" i="5" s="1"/>
  <c r="L342" i="5"/>
  <c r="L340" i="5" s="1"/>
  <c r="O340" i="5" s="1"/>
  <c r="U341" i="5"/>
  <c r="T341" i="5"/>
  <c r="P341" i="5"/>
  <c r="O341" i="5"/>
  <c r="T340" i="5"/>
  <c r="S340" i="5"/>
  <c r="R340" i="5"/>
  <c r="U340" i="5" s="1"/>
  <c r="Q340" i="5"/>
  <c r="U339" i="5"/>
  <c r="T339" i="5"/>
  <c r="N339" i="5"/>
  <c r="N337" i="5" s="1"/>
  <c r="M339" i="5"/>
  <c r="M337" i="5" s="1"/>
  <c r="L339" i="5"/>
  <c r="U338" i="5"/>
  <c r="T338" i="5"/>
  <c r="P338" i="5"/>
  <c r="O338" i="5"/>
  <c r="U337" i="5"/>
  <c r="S337" i="5"/>
  <c r="R337" i="5"/>
  <c r="Q337" i="5"/>
  <c r="T337" i="5" s="1"/>
  <c r="U336" i="5"/>
  <c r="S336" i="5"/>
  <c r="S334" i="5" s="1"/>
  <c r="R336" i="5"/>
  <c r="Q336" i="5"/>
  <c r="T336" i="5" s="1"/>
  <c r="U335" i="5"/>
  <c r="S335" i="5"/>
  <c r="R335" i="5"/>
  <c r="R334" i="5" s="1"/>
  <c r="Q335" i="5"/>
  <c r="T335" i="5" s="1"/>
  <c r="O335" i="5"/>
  <c r="N335" i="5"/>
  <c r="M335" i="5"/>
  <c r="L335" i="5"/>
  <c r="U334" i="5"/>
  <c r="Q334" i="5"/>
  <c r="T334" i="5" s="1"/>
  <c r="I331" i="5"/>
  <c r="K331" i="5" s="1"/>
  <c r="U329" i="5"/>
  <c r="T329" i="5"/>
  <c r="N329" i="5"/>
  <c r="N327" i="5" s="1"/>
  <c r="M329" i="5"/>
  <c r="M327" i="5" s="1"/>
  <c r="P327" i="5" s="1"/>
  <c r="L329" i="5"/>
  <c r="O329" i="5" s="1"/>
  <c r="U328" i="5"/>
  <c r="T328" i="5"/>
  <c r="P328" i="5"/>
  <c r="O328" i="5"/>
  <c r="S327" i="5"/>
  <c r="R327" i="5"/>
  <c r="U327" i="5" s="1"/>
  <c r="Q327" i="5"/>
  <c r="T327" i="5" s="1"/>
  <c r="U326" i="5"/>
  <c r="T326" i="5"/>
  <c r="N326" i="5"/>
  <c r="M326" i="5"/>
  <c r="M324" i="5" s="1"/>
  <c r="L326" i="5"/>
  <c r="U325" i="5"/>
  <c r="T325" i="5"/>
  <c r="P325" i="5"/>
  <c r="O325" i="5"/>
  <c r="T324" i="5"/>
  <c r="S324" i="5"/>
  <c r="R324" i="5"/>
  <c r="U324" i="5" s="1"/>
  <c r="Q324" i="5"/>
  <c r="T323" i="5"/>
  <c r="S323" i="5"/>
  <c r="R323" i="5"/>
  <c r="U323" i="5" s="1"/>
  <c r="Q323" i="5"/>
  <c r="T322" i="5"/>
  <c r="S322" i="5"/>
  <c r="R322" i="5"/>
  <c r="Q322" i="5"/>
  <c r="Q321" i="5" s="1"/>
  <c r="P322" i="5"/>
  <c r="N322" i="5"/>
  <c r="M322" i="5"/>
  <c r="L322" i="5"/>
  <c r="O322" i="5" s="1"/>
  <c r="T321" i="5"/>
  <c r="J320" i="5"/>
  <c r="I315" i="5"/>
  <c r="I303" i="5" s="1"/>
  <c r="K303" i="5" s="1"/>
  <c r="U312" i="5"/>
  <c r="T312" i="5"/>
  <c r="N312" i="5"/>
  <c r="N310" i="5" s="1"/>
  <c r="M312" i="5"/>
  <c r="L312" i="5"/>
  <c r="U311" i="5"/>
  <c r="T311" i="5"/>
  <c r="P311" i="5"/>
  <c r="O311" i="5"/>
  <c r="T310" i="5"/>
  <c r="S310" i="5"/>
  <c r="R310" i="5"/>
  <c r="U310" i="5" s="1"/>
  <c r="Q310" i="5"/>
  <c r="S309" i="5"/>
  <c r="R309" i="5"/>
  <c r="R306" i="5" s="1"/>
  <c r="Q309" i="5"/>
  <c r="Q306" i="5" s="1"/>
  <c r="N309" i="5"/>
  <c r="N307" i="5" s="1"/>
  <c r="M309" i="5"/>
  <c r="P309" i="5" s="1"/>
  <c r="L309" i="5"/>
  <c r="O309" i="5" s="1"/>
  <c r="U308" i="5"/>
  <c r="T308" i="5"/>
  <c r="P308" i="5"/>
  <c r="O308" i="5"/>
  <c r="T305" i="5"/>
  <c r="S305" i="5"/>
  <c r="R305" i="5"/>
  <c r="U305" i="5" s="1"/>
  <c r="Q305" i="5"/>
  <c r="P305" i="5"/>
  <c r="N305" i="5"/>
  <c r="M305" i="5"/>
  <c r="L305" i="5"/>
  <c r="O305" i="5" s="1"/>
  <c r="J303" i="5"/>
  <c r="I297" i="5"/>
  <c r="K297" i="5" s="1"/>
  <c r="I296" i="5"/>
  <c r="K296" i="5" s="1"/>
  <c r="J294" i="5"/>
  <c r="I294" i="5"/>
  <c r="I293" i="5"/>
  <c r="U291" i="5"/>
  <c r="T291" i="5"/>
  <c r="N291" i="5"/>
  <c r="N289" i="5" s="1"/>
  <c r="M291" i="5"/>
  <c r="M289" i="5" s="1"/>
  <c r="P289" i="5" s="1"/>
  <c r="L291" i="5"/>
  <c r="L289" i="5" s="1"/>
  <c r="O289" i="5" s="1"/>
  <c r="U290" i="5"/>
  <c r="T290" i="5"/>
  <c r="P290" i="5"/>
  <c r="O290" i="5"/>
  <c r="S289" i="5"/>
  <c r="R289" i="5"/>
  <c r="U289" i="5" s="1"/>
  <c r="Q289" i="5"/>
  <c r="T289" i="5" s="1"/>
  <c r="U288" i="5"/>
  <c r="T288" i="5"/>
  <c r="N288" i="5"/>
  <c r="N286" i="5" s="1"/>
  <c r="M288" i="5"/>
  <c r="P288" i="5" s="1"/>
  <c r="L288" i="5"/>
  <c r="U287" i="5"/>
  <c r="T287" i="5"/>
  <c r="P287" i="5"/>
  <c r="O287" i="5"/>
  <c r="S286" i="5"/>
  <c r="R286" i="5"/>
  <c r="U286" i="5" s="1"/>
  <c r="Q286" i="5"/>
  <c r="T286" i="5" s="1"/>
  <c r="S285" i="5"/>
  <c r="R285" i="5"/>
  <c r="U285" i="5" s="1"/>
  <c r="Q285" i="5"/>
  <c r="T285" i="5" s="1"/>
  <c r="T284" i="5"/>
  <c r="S284" i="5"/>
  <c r="S283" i="5" s="1"/>
  <c r="R284" i="5"/>
  <c r="U284" i="5" s="1"/>
  <c r="Q284" i="5"/>
  <c r="N284" i="5"/>
  <c r="M284" i="5"/>
  <c r="P284" i="5" s="1"/>
  <c r="L284" i="5"/>
  <c r="O284" i="5" s="1"/>
  <c r="J282" i="5"/>
  <c r="J281" i="5"/>
  <c r="I277" i="5"/>
  <c r="K277" i="5" s="1"/>
  <c r="U275" i="5"/>
  <c r="T275" i="5"/>
  <c r="N275" i="5"/>
  <c r="N273" i="5" s="1"/>
  <c r="M275" i="5"/>
  <c r="P275" i="5" s="1"/>
  <c r="L275" i="5"/>
  <c r="O275" i="5" s="1"/>
  <c r="U274" i="5"/>
  <c r="T274" i="5"/>
  <c r="P274" i="5"/>
  <c r="O274" i="5"/>
  <c r="U273" i="5"/>
  <c r="S273" i="5"/>
  <c r="R273" i="5"/>
  <c r="Q273" i="5"/>
  <c r="T273" i="5" s="1"/>
  <c r="S272" i="5"/>
  <c r="S270" i="5" s="1"/>
  <c r="R272" i="5"/>
  <c r="R270" i="5" s="1"/>
  <c r="Q272" i="5"/>
  <c r="Q270" i="5" s="1"/>
  <c r="N272" i="5"/>
  <c r="N270" i="5" s="1"/>
  <c r="M272" i="5"/>
  <c r="M270" i="5" s="1"/>
  <c r="L272" i="5"/>
  <c r="O272" i="5" s="1"/>
  <c r="U271" i="5"/>
  <c r="T271" i="5"/>
  <c r="P271" i="5"/>
  <c r="O271" i="5"/>
  <c r="S268" i="5"/>
  <c r="R268" i="5"/>
  <c r="Q268" i="5"/>
  <c r="T268" i="5" s="1"/>
  <c r="O268" i="5"/>
  <c r="N268" i="5"/>
  <c r="M268" i="5"/>
  <c r="P268" i="5" s="1"/>
  <c r="L268" i="5"/>
  <c r="J266" i="5"/>
  <c r="K264" i="5"/>
  <c r="K263" i="5"/>
  <c r="I261" i="5"/>
  <c r="L259" i="5"/>
  <c r="L258" i="5"/>
  <c r="L257" i="5"/>
  <c r="L256" i="5"/>
  <c r="P255" i="5"/>
  <c r="N255" i="5"/>
  <c r="J254" i="5"/>
  <c r="I253" i="5"/>
  <c r="I242" i="5" s="1"/>
  <c r="K242" i="5" s="1"/>
  <c r="I252" i="5"/>
  <c r="I241" i="5" s="1"/>
  <c r="K241" i="5" s="1"/>
  <c r="I250" i="5"/>
  <c r="L248" i="5"/>
  <c r="N247" i="5"/>
  <c r="N236" i="5" s="1"/>
  <c r="L247" i="5"/>
  <c r="L246" i="5"/>
  <c r="N245" i="5"/>
  <c r="N244" i="5" s="1"/>
  <c r="N233" i="5" s="1"/>
  <c r="L245" i="5"/>
  <c r="P244" i="5"/>
  <c r="J243" i="5"/>
  <c r="J242" i="5"/>
  <c r="J241" i="5"/>
  <c r="J239" i="5"/>
  <c r="N237" i="5"/>
  <c r="N235" i="5"/>
  <c r="N234" i="5"/>
  <c r="I231" i="5"/>
  <c r="K231" i="5" s="1"/>
  <c r="I230" i="5"/>
  <c r="I222" i="5" s="1"/>
  <c r="K222" i="5" s="1"/>
  <c r="I229" i="5"/>
  <c r="K229" i="5" s="1"/>
  <c r="L226" i="5"/>
  <c r="L225" i="5"/>
  <c r="L224" i="5"/>
  <c r="P223" i="5"/>
  <c r="N223" i="5"/>
  <c r="J222" i="5"/>
  <c r="I221" i="5"/>
  <c r="K221" i="5" s="1"/>
  <c r="I220" i="5"/>
  <c r="K220" i="5" s="1"/>
  <c r="L218" i="5"/>
  <c r="L217" i="5"/>
  <c r="L216" i="5"/>
  <c r="P215" i="5"/>
  <c r="N215" i="5"/>
  <c r="J214" i="5"/>
  <c r="I213" i="5"/>
  <c r="K213" i="5" s="1"/>
  <c r="I212" i="5"/>
  <c r="K212" i="5" s="1"/>
  <c r="I210" i="5"/>
  <c r="K210" i="5" s="1"/>
  <c r="L208" i="5"/>
  <c r="L207" i="5"/>
  <c r="L206" i="5"/>
  <c r="N205" i="5"/>
  <c r="N204" i="5" s="1"/>
  <c r="L205" i="5"/>
  <c r="P204" i="5"/>
  <c r="J203" i="5"/>
  <c r="J200" i="5"/>
  <c r="I199" i="5"/>
  <c r="I196" i="5" s="1"/>
  <c r="K196" i="5" s="1"/>
  <c r="P197" i="5"/>
  <c r="L197" i="5"/>
  <c r="O197" i="5" s="1"/>
  <c r="J196" i="5"/>
  <c r="U195" i="5"/>
  <c r="T195" i="5"/>
  <c r="N195" i="5"/>
  <c r="N193" i="5" s="1"/>
  <c r="M195" i="5"/>
  <c r="M193" i="5" s="1"/>
  <c r="P193" i="5" s="1"/>
  <c r="L195" i="5"/>
  <c r="O195" i="5" s="1"/>
  <c r="U194" i="5"/>
  <c r="T194" i="5"/>
  <c r="P194" i="5"/>
  <c r="O194" i="5"/>
  <c r="U193" i="5"/>
  <c r="S193" i="5"/>
  <c r="R193" i="5"/>
  <c r="Q193" i="5"/>
  <c r="T193" i="5" s="1"/>
  <c r="S192" i="5"/>
  <c r="S190" i="5" s="1"/>
  <c r="R192" i="5"/>
  <c r="Q192" i="5"/>
  <c r="Q190" i="5" s="1"/>
  <c r="N192" i="5"/>
  <c r="M192" i="5"/>
  <c r="M190" i="5" s="1"/>
  <c r="L192" i="5"/>
  <c r="L190" i="5" s="1"/>
  <c r="U191" i="5"/>
  <c r="T191" i="5"/>
  <c r="P191" i="5"/>
  <c r="O191" i="5"/>
  <c r="S188" i="5"/>
  <c r="R188" i="5"/>
  <c r="U188" i="5" s="1"/>
  <c r="Q188" i="5"/>
  <c r="N188" i="5"/>
  <c r="M188" i="5"/>
  <c r="L188" i="5"/>
  <c r="O188" i="5" s="1"/>
  <c r="K185" i="5"/>
  <c r="I184" i="5"/>
  <c r="K184" i="5" s="1"/>
  <c r="U182" i="5"/>
  <c r="T182" i="5"/>
  <c r="N182" i="5"/>
  <c r="N180" i="5" s="1"/>
  <c r="M182" i="5"/>
  <c r="P182" i="5" s="1"/>
  <c r="L182" i="5"/>
  <c r="U181" i="5"/>
  <c r="T181" i="5"/>
  <c r="P181" i="5"/>
  <c r="O181" i="5"/>
  <c r="T180" i="5"/>
  <c r="S180" i="5"/>
  <c r="R180" i="5"/>
  <c r="U180" i="5" s="1"/>
  <c r="Q180" i="5"/>
  <c r="S179" i="5"/>
  <c r="S176" i="5" s="1"/>
  <c r="S174" i="5" s="1"/>
  <c r="R179" i="5"/>
  <c r="U179" i="5" s="1"/>
  <c r="Q179" i="5"/>
  <c r="T179" i="5" s="1"/>
  <c r="N179" i="5"/>
  <c r="N177" i="5" s="1"/>
  <c r="M179" i="5"/>
  <c r="P179" i="5" s="1"/>
  <c r="L179" i="5"/>
  <c r="O179" i="5" s="1"/>
  <c r="U178" i="5"/>
  <c r="T178" i="5"/>
  <c r="P178" i="5"/>
  <c r="O178" i="5"/>
  <c r="U175" i="5"/>
  <c r="T175" i="5"/>
  <c r="S175" i="5"/>
  <c r="R175" i="5"/>
  <c r="Q175" i="5"/>
  <c r="P175" i="5"/>
  <c r="O175" i="5"/>
  <c r="N175" i="5"/>
  <c r="M175" i="5"/>
  <c r="L175" i="5"/>
  <c r="J173" i="5"/>
  <c r="I170" i="5"/>
  <c r="K170" i="5" s="1"/>
  <c r="I169" i="5"/>
  <c r="K169" i="5" s="1"/>
  <c r="I168" i="5"/>
  <c r="K168" i="5" s="1"/>
  <c r="U166" i="5"/>
  <c r="T166" i="5"/>
  <c r="N166" i="5"/>
  <c r="N164" i="5" s="1"/>
  <c r="M166" i="5"/>
  <c r="P166" i="5" s="1"/>
  <c r="L166" i="5"/>
  <c r="U165" i="5"/>
  <c r="T165" i="5"/>
  <c r="P165" i="5"/>
  <c r="O165" i="5"/>
  <c r="T164" i="5"/>
  <c r="S164" i="5"/>
  <c r="R164" i="5"/>
  <c r="U164" i="5" s="1"/>
  <c r="Q164" i="5"/>
  <c r="S163" i="5"/>
  <c r="S160" i="5" s="1"/>
  <c r="R163" i="5"/>
  <c r="U163" i="5" s="1"/>
  <c r="Q160" i="5"/>
  <c r="T160" i="5" s="1"/>
  <c r="N163" i="5"/>
  <c r="N161" i="5" s="1"/>
  <c r="M163" i="5"/>
  <c r="L163" i="5"/>
  <c r="O163" i="5" s="1"/>
  <c r="U162" i="5"/>
  <c r="T162" i="5"/>
  <c r="P162" i="5"/>
  <c r="O162" i="5"/>
  <c r="S159" i="5"/>
  <c r="R159" i="5"/>
  <c r="U159" i="5" s="1"/>
  <c r="Q159" i="5"/>
  <c r="T159" i="5" s="1"/>
  <c r="N159" i="5"/>
  <c r="M159" i="5"/>
  <c r="P159" i="5" s="1"/>
  <c r="L159" i="5"/>
  <c r="O159" i="5" s="1"/>
  <c r="J157" i="5"/>
  <c r="I155" i="5"/>
  <c r="K155" i="5" s="1"/>
  <c r="I154" i="5"/>
  <c r="I139" i="5" s="1"/>
  <c r="K139" i="5" s="1"/>
  <c r="I153" i="5"/>
  <c r="K153" i="5" s="1"/>
  <c r="I152" i="5"/>
  <c r="K152" i="5" s="1"/>
  <c r="I151" i="5"/>
  <c r="K151" i="5" s="1"/>
  <c r="U148" i="5"/>
  <c r="T148" i="5"/>
  <c r="N148" i="5"/>
  <c r="N146" i="5" s="1"/>
  <c r="M148" i="5"/>
  <c r="M146" i="5" s="1"/>
  <c r="P146" i="5" s="1"/>
  <c r="L148" i="5"/>
  <c r="O148" i="5" s="1"/>
  <c r="U147" i="5"/>
  <c r="T147" i="5"/>
  <c r="P147" i="5"/>
  <c r="O147" i="5"/>
  <c r="U146" i="5"/>
  <c r="S146" i="5"/>
  <c r="R146" i="5"/>
  <c r="Q146" i="5"/>
  <c r="T146" i="5" s="1"/>
  <c r="S145" i="5"/>
  <c r="S142" i="5" s="1"/>
  <c r="R145" i="5"/>
  <c r="R142" i="5" s="1"/>
  <c r="Q145" i="5"/>
  <c r="Q142" i="5" s="1"/>
  <c r="N145" i="5"/>
  <c r="M145" i="5"/>
  <c r="M143" i="5" s="1"/>
  <c r="L145" i="5"/>
  <c r="L143" i="5" s="1"/>
  <c r="U144" i="5"/>
  <c r="T144" i="5"/>
  <c r="P144" i="5"/>
  <c r="O144" i="5"/>
  <c r="T141" i="5"/>
  <c r="S141" i="5"/>
  <c r="R141" i="5"/>
  <c r="U141" i="5" s="1"/>
  <c r="Q141" i="5"/>
  <c r="O141" i="5"/>
  <c r="N141" i="5"/>
  <c r="M141" i="5"/>
  <c r="P141" i="5" s="1"/>
  <c r="L141" i="5"/>
  <c r="J139" i="5"/>
  <c r="J138" i="5"/>
  <c r="J137" i="5"/>
  <c r="I131" i="5"/>
  <c r="K131" i="5" s="1"/>
  <c r="I130" i="5"/>
  <c r="K130" i="5" s="1"/>
  <c r="I129" i="5"/>
  <c r="K129" i="5" s="1"/>
  <c r="I128" i="5"/>
  <c r="K128" i="5" s="1"/>
  <c r="U126" i="5"/>
  <c r="T126" i="5"/>
  <c r="N126" i="5"/>
  <c r="N124" i="5" s="1"/>
  <c r="M126" i="5"/>
  <c r="P126" i="5" s="1"/>
  <c r="L126" i="5"/>
  <c r="O126" i="5" s="1"/>
  <c r="U125" i="5"/>
  <c r="T125" i="5"/>
  <c r="P125" i="5"/>
  <c r="O125" i="5"/>
  <c r="T124" i="5"/>
  <c r="S124" i="5"/>
  <c r="R124" i="5"/>
  <c r="U124" i="5" s="1"/>
  <c r="Q124" i="5"/>
  <c r="S123" i="5"/>
  <c r="S120" i="5" s="1"/>
  <c r="R123" i="5"/>
  <c r="Q123" i="5"/>
  <c r="Q121" i="5" s="1"/>
  <c r="N123" i="5"/>
  <c r="N121" i="5" s="1"/>
  <c r="M123" i="5"/>
  <c r="P123" i="5" s="1"/>
  <c r="L123" i="5"/>
  <c r="U122" i="5"/>
  <c r="T122" i="5"/>
  <c r="P122" i="5"/>
  <c r="O122" i="5"/>
  <c r="U119" i="5"/>
  <c r="T119" i="5"/>
  <c r="S119" i="5"/>
  <c r="R119" i="5"/>
  <c r="Q119" i="5"/>
  <c r="P119" i="5"/>
  <c r="O119" i="5"/>
  <c r="N119" i="5"/>
  <c r="M119" i="5"/>
  <c r="L119" i="5"/>
  <c r="J117" i="5"/>
  <c r="I115" i="5"/>
  <c r="K115" i="5" s="1"/>
  <c r="I110" i="5"/>
  <c r="I109" i="5"/>
  <c r="K109" i="5" s="1"/>
  <c r="U103" i="5"/>
  <c r="T103" i="5"/>
  <c r="N103" i="5"/>
  <c r="N101" i="5" s="1"/>
  <c r="M103" i="5"/>
  <c r="P103" i="5" s="1"/>
  <c r="L103" i="5"/>
  <c r="L101" i="5" s="1"/>
  <c r="O101" i="5" s="1"/>
  <c r="U102" i="5"/>
  <c r="T102" i="5"/>
  <c r="P102" i="5"/>
  <c r="O102" i="5"/>
  <c r="S101" i="5"/>
  <c r="R101" i="5"/>
  <c r="U101" i="5" s="1"/>
  <c r="Q101" i="5"/>
  <c r="T101" i="5" s="1"/>
  <c r="S100" i="5"/>
  <c r="S97" i="5" s="1"/>
  <c r="R100" i="5"/>
  <c r="R98" i="5" s="1"/>
  <c r="U98" i="5" s="1"/>
  <c r="Q98" i="5"/>
  <c r="T98" i="5" s="1"/>
  <c r="N100" i="5"/>
  <c r="N98" i="5" s="1"/>
  <c r="M100" i="5"/>
  <c r="P100" i="5" s="1"/>
  <c r="L100" i="5"/>
  <c r="L98" i="5" s="1"/>
  <c r="O98" i="5" s="1"/>
  <c r="U99" i="5"/>
  <c r="T99" i="5"/>
  <c r="P99" i="5"/>
  <c r="O99" i="5"/>
  <c r="S96" i="5"/>
  <c r="R96" i="5"/>
  <c r="U96" i="5" s="1"/>
  <c r="Q96" i="5"/>
  <c r="T96" i="5" s="1"/>
  <c r="N96" i="5"/>
  <c r="M96" i="5"/>
  <c r="L96" i="5"/>
  <c r="O96" i="5" s="1"/>
  <c r="J94" i="5"/>
  <c r="J93" i="5"/>
  <c r="I91" i="5"/>
  <c r="K91" i="5" s="1"/>
  <c r="I90" i="5"/>
  <c r="K90" i="5" s="1"/>
  <c r="I89" i="5"/>
  <c r="K89" i="5" s="1"/>
  <c r="I88" i="5"/>
  <c r="K88" i="5" s="1"/>
  <c r="I87" i="5"/>
  <c r="I86" i="5"/>
  <c r="K86" i="5" s="1"/>
  <c r="I85" i="5"/>
  <c r="K85" i="5" s="1"/>
  <c r="J84" i="5"/>
  <c r="J83" i="5"/>
  <c r="J71" i="5" s="1"/>
  <c r="U81" i="5"/>
  <c r="T81" i="5"/>
  <c r="N81" i="5"/>
  <c r="N79" i="5" s="1"/>
  <c r="M81" i="5"/>
  <c r="P81" i="5" s="1"/>
  <c r="L81" i="5"/>
  <c r="L79" i="5" s="1"/>
  <c r="O79" i="5" s="1"/>
  <c r="U80" i="5"/>
  <c r="T80" i="5"/>
  <c r="P80" i="5"/>
  <c r="O80" i="5"/>
  <c r="S79" i="5"/>
  <c r="R79" i="5"/>
  <c r="U79" i="5" s="1"/>
  <c r="Q79" i="5"/>
  <c r="T79" i="5" s="1"/>
  <c r="S78" i="5"/>
  <c r="R78" i="5"/>
  <c r="R75" i="5" s="1"/>
  <c r="U75" i="5" s="1"/>
  <c r="Q75" i="5"/>
  <c r="T75" i="5" s="1"/>
  <c r="N78" i="5"/>
  <c r="N76" i="5" s="1"/>
  <c r="M78" i="5"/>
  <c r="L78" i="5"/>
  <c r="O78" i="5" s="1"/>
  <c r="U77" i="5"/>
  <c r="T77" i="5"/>
  <c r="P77" i="5"/>
  <c r="O77" i="5"/>
  <c r="S74" i="5"/>
  <c r="R74" i="5"/>
  <c r="Q74" i="5"/>
  <c r="T74" i="5" s="1"/>
  <c r="N74" i="5"/>
  <c r="M74" i="5"/>
  <c r="P74" i="5" s="1"/>
  <c r="L74" i="5"/>
  <c r="J72" i="5"/>
  <c r="U68" i="5"/>
  <c r="T68" i="5"/>
  <c r="N68" i="5"/>
  <c r="N66" i="5" s="1"/>
  <c r="M68" i="5"/>
  <c r="P68" i="5" s="1"/>
  <c r="L68" i="5"/>
  <c r="U67" i="5"/>
  <c r="T67" i="5"/>
  <c r="P67" i="5"/>
  <c r="O67" i="5"/>
  <c r="U66" i="5"/>
  <c r="S66" i="5"/>
  <c r="R66" i="5"/>
  <c r="Q66" i="5"/>
  <c r="T66" i="5" s="1"/>
  <c r="U65" i="5"/>
  <c r="T65" i="5"/>
  <c r="N65" i="5"/>
  <c r="M65" i="5"/>
  <c r="M63" i="5" s="1"/>
  <c r="L65" i="5"/>
  <c r="L63" i="5" s="1"/>
  <c r="U64" i="5"/>
  <c r="T64" i="5"/>
  <c r="P64" i="5"/>
  <c r="O64" i="5"/>
  <c r="T63" i="5"/>
  <c r="S63" i="5"/>
  <c r="R63" i="5"/>
  <c r="U63" i="5" s="1"/>
  <c r="Q63" i="5"/>
  <c r="T62" i="5"/>
  <c r="S62" i="5"/>
  <c r="R62" i="5"/>
  <c r="U62" i="5" s="1"/>
  <c r="Q62" i="5"/>
  <c r="T61" i="5"/>
  <c r="S61" i="5"/>
  <c r="R61" i="5"/>
  <c r="Q61" i="5"/>
  <c r="Q60" i="5" s="1"/>
  <c r="T60" i="5" s="1"/>
  <c r="P61" i="5"/>
  <c r="N61" i="5"/>
  <c r="M61" i="5"/>
  <c r="L61" i="5"/>
  <c r="S60" i="5"/>
  <c r="U53" i="5"/>
  <c r="T53" i="5"/>
  <c r="N53" i="5"/>
  <c r="N51" i="5" s="1"/>
  <c r="M53" i="5"/>
  <c r="P53" i="5" s="1"/>
  <c r="L53" i="5"/>
  <c r="O53" i="5" s="1"/>
  <c r="U52" i="5"/>
  <c r="T52" i="5"/>
  <c r="P52" i="5"/>
  <c r="O52" i="5"/>
  <c r="U51" i="5"/>
  <c r="S51" i="5"/>
  <c r="R51" i="5"/>
  <c r="Q51" i="5"/>
  <c r="T51" i="5" s="1"/>
  <c r="U50" i="5"/>
  <c r="T50" i="5"/>
  <c r="N50" i="5"/>
  <c r="M50" i="5"/>
  <c r="M48" i="5" s="1"/>
  <c r="L50" i="5"/>
  <c r="U49" i="5"/>
  <c r="T49" i="5"/>
  <c r="P49" i="5"/>
  <c r="O49" i="5"/>
  <c r="T48" i="5"/>
  <c r="S48" i="5"/>
  <c r="R48" i="5"/>
  <c r="U48" i="5" s="1"/>
  <c r="Q48" i="5"/>
  <c r="T47" i="5"/>
  <c r="S47" i="5"/>
  <c r="R47" i="5"/>
  <c r="U47" i="5" s="1"/>
  <c r="Q47" i="5"/>
  <c r="T46" i="5"/>
  <c r="S46" i="5"/>
  <c r="R46" i="5"/>
  <c r="Q46" i="5"/>
  <c r="Q45" i="5" s="1"/>
  <c r="T45" i="5" s="1"/>
  <c r="P46" i="5"/>
  <c r="N46" i="5"/>
  <c r="M46" i="5"/>
  <c r="L46" i="5"/>
  <c r="S45" i="5"/>
  <c r="S27" i="5"/>
  <c r="R27" i="5"/>
  <c r="U27" i="5" s="1"/>
  <c r="Q27" i="5"/>
  <c r="T27" i="5" s="1"/>
  <c r="S26" i="5"/>
  <c r="R26" i="5"/>
  <c r="Q26" i="5"/>
  <c r="N26" i="5"/>
  <c r="M26" i="5"/>
  <c r="P26" i="5" s="1"/>
  <c r="L26" i="5"/>
  <c r="O26" i="5" s="1"/>
  <c r="S23" i="5"/>
  <c r="S20" i="5" s="1"/>
  <c r="R23" i="5"/>
  <c r="R20" i="5" s="1"/>
  <c r="U20" i="5" s="1"/>
  <c r="Q23" i="5"/>
  <c r="Q20" i="5" s="1"/>
  <c r="N23" i="5"/>
  <c r="N20" i="5" s="1"/>
  <c r="M23" i="5"/>
  <c r="P23" i="5" s="1"/>
  <c r="L23" i="5"/>
  <c r="A788" i="4"/>
  <c r="J785" i="4"/>
  <c r="I785" i="4"/>
  <c r="J784" i="4"/>
  <c r="I784" i="4"/>
  <c r="J783" i="4"/>
  <c r="I783" i="4"/>
  <c r="J782" i="4"/>
  <c r="I782" i="4"/>
  <c r="J781" i="4"/>
  <c r="I781" i="4"/>
  <c r="J780" i="4"/>
  <c r="I780" i="4"/>
  <c r="J779" i="4"/>
  <c r="I779" i="4"/>
  <c r="J778" i="4"/>
  <c r="I778" i="4"/>
  <c r="H777" i="4"/>
  <c r="I776" i="4"/>
  <c r="I775" i="4"/>
  <c r="I774" i="4"/>
  <c r="I772" i="4"/>
  <c r="K772" i="4" s="1"/>
  <c r="I770" i="4"/>
  <c r="K770" i="4" s="1"/>
  <c r="U768" i="4"/>
  <c r="T768" i="4"/>
  <c r="P768" i="4"/>
  <c r="O768" i="4"/>
  <c r="U767" i="4"/>
  <c r="T767" i="4"/>
  <c r="P767" i="4"/>
  <c r="O767" i="4"/>
  <c r="T766" i="4"/>
  <c r="S766" i="4"/>
  <c r="R766" i="4"/>
  <c r="U766" i="4" s="1"/>
  <c r="Q766" i="4"/>
  <c r="P766" i="4"/>
  <c r="N766" i="4"/>
  <c r="M766" i="4"/>
  <c r="L766" i="4"/>
  <c r="O766" i="4" s="1"/>
  <c r="S765" i="4"/>
  <c r="S763" i="4" s="1"/>
  <c r="R765" i="4"/>
  <c r="R763" i="4" s="1"/>
  <c r="Q765" i="4"/>
  <c r="P765" i="4"/>
  <c r="O765" i="4"/>
  <c r="U764" i="4"/>
  <c r="T764" i="4"/>
  <c r="P764" i="4"/>
  <c r="O764" i="4"/>
  <c r="O763" i="4"/>
  <c r="N763" i="4"/>
  <c r="M763" i="4"/>
  <c r="P763" i="4" s="1"/>
  <c r="L763" i="4"/>
  <c r="O762" i="4"/>
  <c r="N762" i="4"/>
  <c r="M762" i="4"/>
  <c r="P762" i="4" s="1"/>
  <c r="L762" i="4"/>
  <c r="U761" i="4"/>
  <c r="S761" i="4"/>
  <c r="R761" i="4"/>
  <c r="Q761" i="4"/>
  <c r="T761" i="4" s="1"/>
  <c r="O761" i="4"/>
  <c r="N761" i="4"/>
  <c r="N760" i="4" s="1"/>
  <c r="M761" i="4"/>
  <c r="P761" i="4" s="1"/>
  <c r="L761" i="4"/>
  <c r="L760" i="4" s="1"/>
  <c r="O760" i="4" s="1"/>
  <c r="M760" i="4"/>
  <c r="P760" i="4" s="1"/>
  <c r="J759" i="4"/>
  <c r="J758" i="4"/>
  <c r="I756" i="4"/>
  <c r="K756" i="4" s="1"/>
  <c r="I753" i="4"/>
  <c r="K753" i="4" s="1"/>
  <c r="I750" i="4"/>
  <c r="K750" i="4" s="1"/>
  <c r="I747" i="4"/>
  <c r="K747" i="4" s="1"/>
  <c r="I745" i="4"/>
  <c r="K745" i="4" s="1"/>
  <c r="I743" i="4"/>
  <c r="K743" i="4" s="1"/>
  <c r="I741" i="4"/>
  <c r="K741" i="4" s="1"/>
  <c r="U737" i="4"/>
  <c r="T737" i="4"/>
  <c r="P737" i="4"/>
  <c r="O737" i="4"/>
  <c r="U736" i="4"/>
  <c r="T736" i="4"/>
  <c r="P736" i="4"/>
  <c r="O736" i="4"/>
  <c r="U735" i="4"/>
  <c r="S735" i="4"/>
  <c r="R735" i="4"/>
  <c r="Q735" i="4"/>
  <c r="T735" i="4" s="1"/>
  <c r="O735" i="4"/>
  <c r="N735" i="4"/>
  <c r="M735" i="4"/>
  <c r="P735" i="4" s="1"/>
  <c r="L735" i="4"/>
  <c r="S734" i="4"/>
  <c r="R734" i="4"/>
  <c r="R731" i="4" s="1"/>
  <c r="R729" i="4" s="1"/>
  <c r="Q734" i="4"/>
  <c r="Q732" i="4" s="1"/>
  <c r="P734" i="4"/>
  <c r="O734" i="4"/>
  <c r="U733" i="4"/>
  <c r="T733" i="4"/>
  <c r="P733" i="4"/>
  <c r="O733" i="4"/>
  <c r="P732" i="4"/>
  <c r="N732" i="4"/>
  <c r="M732" i="4"/>
  <c r="L732" i="4"/>
  <c r="O732" i="4" s="1"/>
  <c r="P731" i="4"/>
  <c r="N731" i="4"/>
  <c r="M731" i="4"/>
  <c r="L731" i="4"/>
  <c r="O731" i="4" s="1"/>
  <c r="T730" i="4"/>
  <c r="S730" i="4"/>
  <c r="R730" i="4"/>
  <c r="U730" i="4" s="1"/>
  <c r="Q730" i="4"/>
  <c r="P730" i="4"/>
  <c r="N730" i="4"/>
  <c r="N729" i="4" s="1"/>
  <c r="M730" i="4"/>
  <c r="M729" i="4" s="1"/>
  <c r="P729" i="4" s="1"/>
  <c r="L730" i="4"/>
  <c r="O730" i="4" s="1"/>
  <c r="L729" i="4"/>
  <c r="O729" i="4" s="1"/>
  <c r="J728" i="4"/>
  <c r="I728" i="4"/>
  <c r="K728" i="4" s="1"/>
  <c r="J727" i="4"/>
  <c r="I727" i="4"/>
  <c r="K727" i="4" s="1"/>
  <c r="U723" i="4"/>
  <c r="T723" i="4"/>
  <c r="P723" i="4"/>
  <c r="O723" i="4"/>
  <c r="U722" i="4"/>
  <c r="T722" i="4"/>
  <c r="P722" i="4"/>
  <c r="O722" i="4"/>
  <c r="T721" i="4"/>
  <c r="S721" i="4"/>
  <c r="R721" i="4"/>
  <c r="U721" i="4" s="1"/>
  <c r="Q721" i="4"/>
  <c r="P721" i="4"/>
  <c r="N721" i="4"/>
  <c r="M721" i="4"/>
  <c r="L721" i="4"/>
  <c r="O721" i="4" s="1"/>
  <c r="U720" i="4"/>
  <c r="T720" i="4"/>
  <c r="P720" i="4"/>
  <c r="O720" i="4"/>
  <c r="U719" i="4"/>
  <c r="T719" i="4"/>
  <c r="P719" i="4"/>
  <c r="O719" i="4"/>
  <c r="T718" i="4"/>
  <c r="S718" i="4"/>
  <c r="R718" i="4"/>
  <c r="U718" i="4" s="1"/>
  <c r="Q718" i="4"/>
  <c r="P718" i="4"/>
  <c r="N718" i="4"/>
  <c r="M718" i="4"/>
  <c r="L718" i="4"/>
  <c r="O718" i="4" s="1"/>
  <c r="T717" i="4"/>
  <c r="S717" i="4"/>
  <c r="R717" i="4"/>
  <c r="U717" i="4" s="1"/>
  <c r="Q717" i="4"/>
  <c r="P717" i="4"/>
  <c r="N717" i="4"/>
  <c r="M717" i="4"/>
  <c r="L717" i="4"/>
  <c r="O717" i="4" s="1"/>
  <c r="T716" i="4"/>
  <c r="S716" i="4"/>
  <c r="S715" i="4" s="1"/>
  <c r="R716" i="4"/>
  <c r="U716" i="4" s="1"/>
  <c r="Q716" i="4"/>
  <c r="Q715" i="4" s="1"/>
  <c r="T715" i="4" s="1"/>
  <c r="P716" i="4"/>
  <c r="N716" i="4"/>
  <c r="N715" i="4" s="1"/>
  <c r="M716" i="4"/>
  <c r="M715" i="4" s="1"/>
  <c r="P715" i="4" s="1"/>
  <c r="L716" i="4"/>
  <c r="O716" i="4" s="1"/>
  <c r="R715" i="4"/>
  <c r="U715" i="4" s="1"/>
  <c r="L715" i="4"/>
  <c r="O715" i="4" s="1"/>
  <c r="K713" i="4"/>
  <c r="J713" i="4"/>
  <c r="I710" i="4"/>
  <c r="K709" i="4"/>
  <c r="J709" i="4"/>
  <c r="J708" i="4"/>
  <c r="J690" i="4" s="1"/>
  <c r="I708" i="4"/>
  <c r="I690" i="4" s="1"/>
  <c r="K707" i="4"/>
  <c r="J707" i="4"/>
  <c r="J706" i="4"/>
  <c r="I706" i="4"/>
  <c r="K705" i="4"/>
  <c r="J705" i="4"/>
  <c r="J704" i="4"/>
  <c r="I704" i="4"/>
  <c r="K703" i="4"/>
  <c r="J703" i="4"/>
  <c r="J702" i="4"/>
  <c r="I702" i="4"/>
  <c r="I701" i="4"/>
  <c r="K701" i="4" s="1"/>
  <c r="U699" i="4"/>
  <c r="T699" i="4"/>
  <c r="P699" i="4"/>
  <c r="O699" i="4"/>
  <c r="U698" i="4"/>
  <c r="T698" i="4"/>
  <c r="P698" i="4"/>
  <c r="O698" i="4"/>
  <c r="U697" i="4"/>
  <c r="S697" i="4"/>
  <c r="R697" i="4"/>
  <c r="Q697" i="4"/>
  <c r="T697" i="4" s="1"/>
  <c r="O697" i="4"/>
  <c r="N697" i="4"/>
  <c r="M697" i="4"/>
  <c r="P697" i="4" s="1"/>
  <c r="L697" i="4"/>
  <c r="S696" i="4"/>
  <c r="S693" i="4" s="1"/>
  <c r="S691" i="4" s="1"/>
  <c r="R696" i="4"/>
  <c r="R693" i="4" s="1"/>
  <c r="Q696" i="4"/>
  <c r="P696" i="4"/>
  <c r="O696" i="4"/>
  <c r="U695" i="4"/>
  <c r="T695" i="4"/>
  <c r="P695" i="4"/>
  <c r="O695" i="4"/>
  <c r="P694" i="4"/>
  <c r="N694" i="4"/>
  <c r="M694" i="4"/>
  <c r="L694" i="4"/>
  <c r="O694" i="4" s="1"/>
  <c r="P693" i="4"/>
  <c r="N693" i="4"/>
  <c r="N691" i="4" s="1"/>
  <c r="M693" i="4"/>
  <c r="L693" i="4"/>
  <c r="O693" i="4" s="1"/>
  <c r="T692" i="4"/>
  <c r="S692" i="4"/>
  <c r="R692" i="4"/>
  <c r="Q692" i="4"/>
  <c r="P692" i="4"/>
  <c r="N692" i="4"/>
  <c r="M692" i="4"/>
  <c r="L692" i="4"/>
  <c r="P691" i="4"/>
  <c r="M691" i="4"/>
  <c r="J683" i="4"/>
  <c r="I683" i="4"/>
  <c r="J682" i="4"/>
  <c r="I682" i="4"/>
  <c r="J681" i="4"/>
  <c r="J680" i="4"/>
  <c r="I680" i="4"/>
  <c r="J679" i="4"/>
  <c r="I679" i="4"/>
  <c r="J678" i="4"/>
  <c r="J677" i="4"/>
  <c r="I677" i="4"/>
  <c r="I676" i="4"/>
  <c r="I675" i="4"/>
  <c r="J674" i="4"/>
  <c r="I674" i="4"/>
  <c r="J673" i="4"/>
  <c r="J672" i="4"/>
  <c r="J668" i="4"/>
  <c r="J662" i="4" s="1"/>
  <c r="J667" i="4"/>
  <c r="J666" i="4"/>
  <c r="I662" i="4"/>
  <c r="I661" i="4"/>
  <c r="I658" i="4"/>
  <c r="J655" i="4"/>
  <c r="I655" i="4"/>
  <c r="J654" i="4"/>
  <c r="I654" i="4"/>
  <c r="J653" i="4"/>
  <c r="I653" i="4"/>
  <c r="K653" i="4" s="1"/>
  <c r="U651" i="4"/>
  <c r="T651" i="4"/>
  <c r="P651" i="4"/>
  <c r="O651" i="4"/>
  <c r="U650" i="4"/>
  <c r="T650" i="4"/>
  <c r="P650" i="4"/>
  <c r="O650" i="4"/>
  <c r="T649" i="4"/>
  <c r="S649" i="4"/>
  <c r="R649" i="4"/>
  <c r="U649" i="4" s="1"/>
  <c r="Q649" i="4"/>
  <c r="P649" i="4"/>
  <c r="N649" i="4"/>
  <c r="M649" i="4"/>
  <c r="L649" i="4"/>
  <c r="O649" i="4" s="1"/>
  <c r="S648" i="4"/>
  <c r="S645" i="4" s="1"/>
  <c r="S643" i="4" s="1"/>
  <c r="R648" i="4"/>
  <c r="Q648" i="4"/>
  <c r="Q646" i="4" s="1"/>
  <c r="P648" i="4"/>
  <c r="O648" i="4"/>
  <c r="U647" i="4"/>
  <c r="T647" i="4"/>
  <c r="P647" i="4"/>
  <c r="O647" i="4"/>
  <c r="O646" i="4"/>
  <c r="N646" i="4"/>
  <c r="M646" i="4"/>
  <c r="P646" i="4" s="1"/>
  <c r="L646" i="4"/>
  <c r="O645" i="4"/>
  <c r="N645" i="4"/>
  <c r="M645" i="4"/>
  <c r="P645" i="4" s="1"/>
  <c r="L645" i="4"/>
  <c r="U644" i="4"/>
  <c r="S644" i="4"/>
  <c r="R644" i="4"/>
  <c r="Q644" i="4"/>
  <c r="O644" i="4"/>
  <c r="N644" i="4"/>
  <c r="N643" i="4" s="1"/>
  <c r="M644" i="4"/>
  <c r="L644" i="4"/>
  <c r="L643" i="4" s="1"/>
  <c r="O643" i="4" s="1"/>
  <c r="J637" i="4"/>
  <c r="J636" i="4"/>
  <c r="I636" i="4"/>
  <c r="K636" i="4" s="1"/>
  <c r="J633" i="4"/>
  <c r="I629" i="4"/>
  <c r="K629" i="4" s="1"/>
  <c r="I628" i="4"/>
  <c r="K628" i="4" s="1"/>
  <c r="J627" i="4"/>
  <c r="I627" i="4"/>
  <c r="K632" i="4" s="1"/>
  <c r="U625" i="4"/>
  <c r="T625" i="4"/>
  <c r="P625" i="4"/>
  <c r="O625" i="4"/>
  <c r="U624" i="4"/>
  <c r="T624" i="4"/>
  <c r="P624" i="4"/>
  <c r="O624" i="4"/>
  <c r="U623" i="4"/>
  <c r="S623" i="4"/>
  <c r="R623" i="4"/>
  <c r="Q623" i="4"/>
  <c r="T623" i="4" s="1"/>
  <c r="O623" i="4"/>
  <c r="N623" i="4"/>
  <c r="M623" i="4"/>
  <c r="P623" i="4" s="1"/>
  <c r="L623" i="4"/>
  <c r="S622" i="4"/>
  <c r="R622" i="4"/>
  <c r="R619" i="4" s="1"/>
  <c r="R617" i="4" s="1"/>
  <c r="Q622" i="4"/>
  <c r="Q620" i="4" s="1"/>
  <c r="P622" i="4"/>
  <c r="O622" i="4"/>
  <c r="U621" i="4"/>
  <c r="T621" i="4"/>
  <c r="P621" i="4"/>
  <c r="O621" i="4"/>
  <c r="P620" i="4"/>
  <c r="N620" i="4"/>
  <c r="M620" i="4"/>
  <c r="L620" i="4"/>
  <c r="O620" i="4" s="1"/>
  <c r="P619" i="4"/>
  <c r="O619" i="4"/>
  <c r="N619" i="4"/>
  <c r="M619" i="4"/>
  <c r="L619" i="4"/>
  <c r="L617" i="4" s="1"/>
  <c r="O617" i="4" s="1"/>
  <c r="T618" i="4"/>
  <c r="S618" i="4"/>
  <c r="R618" i="4"/>
  <c r="U618" i="4" s="1"/>
  <c r="Q618" i="4"/>
  <c r="N618" i="4"/>
  <c r="M618" i="4"/>
  <c r="L618" i="4"/>
  <c r="O618" i="4" s="1"/>
  <c r="N617" i="4"/>
  <c r="J616" i="4"/>
  <c r="U608" i="4"/>
  <c r="T608" i="4"/>
  <c r="P608" i="4"/>
  <c r="O608" i="4"/>
  <c r="U607" i="4"/>
  <c r="T607" i="4"/>
  <c r="P607" i="4"/>
  <c r="O607" i="4"/>
  <c r="U606" i="4"/>
  <c r="T606" i="4"/>
  <c r="S606" i="4"/>
  <c r="R606" i="4"/>
  <c r="Q606" i="4"/>
  <c r="O606" i="4"/>
  <c r="N606" i="4"/>
  <c r="M606" i="4"/>
  <c r="P606" i="4" s="1"/>
  <c r="L606" i="4"/>
  <c r="U605" i="4"/>
  <c r="T605" i="4"/>
  <c r="P605" i="4"/>
  <c r="O605" i="4"/>
  <c r="U604" i="4"/>
  <c r="T604" i="4"/>
  <c r="P604" i="4"/>
  <c r="O604" i="4"/>
  <c r="U603" i="4"/>
  <c r="S603" i="4"/>
  <c r="R603" i="4"/>
  <c r="Q603" i="4"/>
  <c r="T603" i="4" s="1"/>
  <c r="O603" i="4"/>
  <c r="N603" i="4"/>
  <c r="M603" i="4"/>
  <c r="P603" i="4" s="1"/>
  <c r="L603" i="4"/>
  <c r="U602" i="4"/>
  <c r="S602" i="4"/>
  <c r="R602" i="4"/>
  <c r="Q602" i="4"/>
  <c r="T602" i="4" s="1"/>
  <c r="N602" i="4"/>
  <c r="M602" i="4"/>
  <c r="P602" i="4" s="1"/>
  <c r="L602" i="4"/>
  <c r="O602" i="4" s="1"/>
  <c r="U601" i="4"/>
  <c r="S601" i="4"/>
  <c r="S600" i="4" s="1"/>
  <c r="R601" i="4"/>
  <c r="Q601" i="4"/>
  <c r="T601" i="4" s="1"/>
  <c r="P601" i="4"/>
  <c r="O601" i="4"/>
  <c r="N601" i="4"/>
  <c r="M601" i="4"/>
  <c r="L601" i="4"/>
  <c r="N600" i="4"/>
  <c r="U585" i="4"/>
  <c r="T585" i="4"/>
  <c r="P585" i="4"/>
  <c r="O585" i="4"/>
  <c r="U584" i="4"/>
  <c r="T584" i="4"/>
  <c r="P584" i="4"/>
  <c r="O584" i="4"/>
  <c r="U583" i="4"/>
  <c r="S583" i="4"/>
  <c r="R583" i="4"/>
  <c r="Q583" i="4"/>
  <c r="T583" i="4" s="1"/>
  <c r="O583" i="4"/>
  <c r="N583" i="4"/>
  <c r="M583" i="4"/>
  <c r="P583" i="4" s="1"/>
  <c r="L583" i="4"/>
  <c r="U582" i="4"/>
  <c r="T582" i="4"/>
  <c r="P582" i="4"/>
  <c r="O582" i="4"/>
  <c r="U581" i="4"/>
  <c r="T581" i="4"/>
  <c r="P581" i="4"/>
  <c r="O581" i="4"/>
  <c r="U580" i="4"/>
  <c r="S580" i="4"/>
  <c r="R580" i="4"/>
  <c r="Q580" i="4"/>
  <c r="T580" i="4" s="1"/>
  <c r="O580" i="4"/>
  <c r="N580" i="4"/>
  <c r="M580" i="4"/>
  <c r="P580" i="4" s="1"/>
  <c r="L580" i="4"/>
  <c r="S579" i="4"/>
  <c r="R579" i="4"/>
  <c r="U579" i="4" s="1"/>
  <c r="Q579" i="4"/>
  <c r="T579" i="4" s="1"/>
  <c r="N579" i="4"/>
  <c r="M579" i="4"/>
  <c r="P579" i="4" s="1"/>
  <c r="L579" i="4"/>
  <c r="O579" i="4" s="1"/>
  <c r="U578" i="4"/>
  <c r="S578" i="4"/>
  <c r="S577" i="4" s="1"/>
  <c r="R578" i="4"/>
  <c r="Q578" i="4"/>
  <c r="T578" i="4" s="1"/>
  <c r="O578" i="4"/>
  <c r="N578" i="4"/>
  <c r="M578" i="4"/>
  <c r="P578" i="4" s="1"/>
  <c r="L578" i="4"/>
  <c r="Q577" i="4"/>
  <c r="T577" i="4" s="1"/>
  <c r="N577" i="4"/>
  <c r="M577" i="4"/>
  <c r="P577" i="4" s="1"/>
  <c r="J576" i="4"/>
  <c r="I576" i="4"/>
  <c r="K576" i="4" s="1"/>
  <c r="U564" i="4"/>
  <c r="T564" i="4"/>
  <c r="P564" i="4"/>
  <c r="O564" i="4"/>
  <c r="U563" i="4"/>
  <c r="T563" i="4"/>
  <c r="P563" i="4"/>
  <c r="O563" i="4"/>
  <c r="S562" i="4"/>
  <c r="R562" i="4"/>
  <c r="U562" i="4" s="1"/>
  <c r="Q562" i="4"/>
  <c r="T562" i="4" s="1"/>
  <c r="P562" i="4"/>
  <c r="N562" i="4"/>
  <c r="M562" i="4"/>
  <c r="L562" i="4"/>
  <c r="O562" i="4" s="1"/>
  <c r="U561" i="4"/>
  <c r="T561" i="4"/>
  <c r="P561" i="4"/>
  <c r="O561" i="4"/>
  <c r="U560" i="4"/>
  <c r="T560" i="4"/>
  <c r="P560" i="4"/>
  <c r="O560" i="4"/>
  <c r="T559" i="4"/>
  <c r="S559" i="4"/>
  <c r="R559" i="4"/>
  <c r="U559" i="4" s="1"/>
  <c r="Q559" i="4"/>
  <c r="P559" i="4"/>
  <c r="N559" i="4"/>
  <c r="M559" i="4"/>
  <c r="L559" i="4"/>
  <c r="O559" i="4" s="1"/>
  <c r="T558" i="4"/>
  <c r="S558" i="4"/>
  <c r="R558" i="4"/>
  <c r="U558" i="4" s="1"/>
  <c r="Q558" i="4"/>
  <c r="P558" i="4"/>
  <c r="N558" i="4"/>
  <c r="M558" i="4"/>
  <c r="L558" i="4"/>
  <c r="T557" i="4"/>
  <c r="S557" i="4"/>
  <c r="S556" i="4" s="1"/>
  <c r="R557" i="4"/>
  <c r="Q557" i="4"/>
  <c r="N557" i="4"/>
  <c r="N556" i="4" s="1"/>
  <c r="M557" i="4"/>
  <c r="M556" i="4" s="1"/>
  <c r="L557" i="4"/>
  <c r="O557" i="4" s="1"/>
  <c r="T556" i="4"/>
  <c r="Q556" i="4"/>
  <c r="P556" i="4"/>
  <c r="K555" i="4"/>
  <c r="J555" i="4"/>
  <c r="I555" i="4"/>
  <c r="U543" i="4"/>
  <c r="T543" i="4"/>
  <c r="P543" i="4"/>
  <c r="O543" i="4"/>
  <c r="U542" i="4"/>
  <c r="T542" i="4"/>
  <c r="P542" i="4"/>
  <c r="O542" i="4"/>
  <c r="U541" i="4"/>
  <c r="S541" i="4"/>
  <c r="R541" i="4"/>
  <c r="Q541" i="4"/>
  <c r="T541" i="4" s="1"/>
  <c r="O541" i="4"/>
  <c r="N541" i="4"/>
  <c r="M541" i="4"/>
  <c r="P541" i="4" s="1"/>
  <c r="L541" i="4"/>
  <c r="U540" i="4"/>
  <c r="T540" i="4"/>
  <c r="P540" i="4"/>
  <c r="O540" i="4"/>
  <c r="U539" i="4"/>
  <c r="T539" i="4"/>
  <c r="P539" i="4"/>
  <c r="O539" i="4"/>
  <c r="U538" i="4"/>
  <c r="S538" i="4"/>
  <c r="R538" i="4"/>
  <c r="Q538" i="4"/>
  <c r="T538" i="4" s="1"/>
  <c r="O538" i="4"/>
  <c r="N538" i="4"/>
  <c r="M538" i="4"/>
  <c r="P538" i="4" s="1"/>
  <c r="L538" i="4"/>
  <c r="S537" i="4"/>
  <c r="R537" i="4"/>
  <c r="U537" i="4" s="1"/>
  <c r="Q537" i="4"/>
  <c r="T537" i="4" s="1"/>
  <c r="N537" i="4"/>
  <c r="M537" i="4"/>
  <c r="P537" i="4" s="1"/>
  <c r="L537" i="4"/>
  <c r="O537" i="4" s="1"/>
  <c r="U536" i="4"/>
  <c r="S536" i="4"/>
  <c r="S535" i="4" s="1"/>
  <c r="R536" i="4"/>
  <c r="Q536" i="4"/>
  <c r="T536" i="4" s="1"/>
  <c r="O536" i="4"/>
  <c r="N536" i="4"/>
  <c r="M536" i="4"/>
  <c r="P536" i="4" s="1"/>
  <c r="L536" i="4"/>
  <c r="Q535" i="4"/>
  <c r="T535" i="4" s="1"/>
  <c r="N535" i="4"/>
  <c r="M535" i="4"/>
  <c r="P535" i="4" s="1"/>
  <c r="J534" i="4"/>
  <c r="I534" i="4"/>
  <c r="K534" i="4" s="1"/>
  <c r="K525" i="4"/>
  <c r="K524" i="4"/>
  <c r="U522" i="4"/>
  <c r="T522" i="4"/>
  <c r="N522" i="4"/>
  <c r="N520" i="4" s="1"/>
  <c r="M522" i="4"/>
  <c r="M520" i="4" s="1"/>
  <c r="P520" i="4" s="1"/>
  <c r="L522" i="4"/>
  <c r="O522" i="4" s="1"/>
  <c r="U521" i="4"/>
  <c r="T521" i="4"/>
  <c r="P521" i="4"/>
  <c r="O521" i="4"/>
  <c r="U520" i="4"/>
  <c r="S520" i="4"/>
  <c r="R520" i="4"/>
  <c r="Q520" i="4"/>
  <c r="T520" i="4" s="1"/>
  <c r="U519" i="4"/>
  <c r="T519" i="4"/>
  <c r="N519" i="4"/>
  <c r="N517" i="4" s="1"/>
  <c r="M519" i="4"/>
  <c r="M517" i="4" s="1"/>
  <c r="P517" i="4" s="1"/>
  <c r="L519" i="4"/>
  <c r="U518" i="4"/>
  <c r="T518" i="4"/>
  <c r="P518" i="4"/>
  <c r="O518" i="4"/>
  <c r="T517" i="4"/>
  <c r="S517" i="4"/>
  <c r="R517" i="4"/>
  <c r="U517" i="4" s="1"/>
  <c r="Q517" i="4"/>
  <c r="T516" i="4"/>
  <c r="S516" i="4"/>
  <c r="S514" i="4" s="1"/>
  <c r="R516" i="4"/>
  <c r="U516" i="4" s="1"/>
  <c r="Q516" i="4"/>
  <c r="S515" i="4"/>
  <c r="R515" i="4"/>
  <c r="U515" i="4" s="1"/>
  <c r="Q515" i="4"/>
  <c r="P515" i="4"/>
  <c r="N515" i="4"/>
  <c r="M515" i="4"/>
  <c r="L515" i="4"/>
  <c r="O515" i="4" s="1"/>
  <c r="R514" i="4"/>
  <c r="U514" i="4" s="1"/>
  <c r="J513" i="4"/>
  <c r="I513" i="4"/>
  <c r="K513" i="4" s="1"/>
  <c r="I510" i="4"/>
  <c r="K510" i="4" s="1"/>
  <c r="K509" i="4"/>
  <c r="I508" i="4"/>
  <c r="K508" i="4" s="1"/>
  <c r="I507" i="4"/>
  <c r="K507" i="4" s="1"/>
  <c r="I506" i="4"/>
  <c r="K506" i="4" s="1"/>
  <c r="I505" i="4"/>
  <c r="K505" i="4" s="1"/>
  <c r="I504" i="4"/>
  <c r="K504" i="4" s="1"/>
  <c r="U502" i="4"/>
  <c r="T502" i="4"/>
  <c r="P502" i="4"/>
  <c r="O502" i="4"/>
  <c r="U501" i="4"/>
  <c r="T501" i="4"/>
  <c r="P501" i="4"/>
  <c r="O501" i="4"/>
  <c r="U500" i="4"/>
  <c r="S500" i="4"/>
  <c r="R500" i="4"/>
  <c r="Q500" i="4"/>
  <c r="T500" i="4" s="1"/>
  <c r="N500" i="4"/>
  <c r="M500" i="4"/>
  <c r="P500" i="4" s="1"/>
  <c r="L500" i="4"/>
  <c r="O500" i="4" s="1"/>
  <c r="S499" i="4"/>
  <c r="R499" i="4"/>
  <c r="Q499" i="4"/>
  <c r="P499" i="4"/>
  <c r="O499" i="4"/>
  <c r="U498" i="4"/>
  <c r="T498" i="4"/>
  <c r="P498" i="4"/>
  <c r="O498" i="4"/>
  <c r="P497" i="4"/>
  <c r="O497" i="4"/>
  <c r="N497" i="4"/>
  <c r="M497" i="4"/>
  <c r="L497" i="4"/>
  <c r="P496" i="4"/>
  <c r="N496" i="4"/>
  <c r="M496" i="4"/>
  <c r="L496" i="4"/>
  <c r="O496" i="4" s="1"/>
  <c r="S495" i="4"/>
  <c r="R495" i="4"/>
  <c r="U495" i="4" s="1"/>
  <c r="Q495" i="4"/>
  <c r="T495" i="4" s="1"/>
  <c r="P495" i="4"/>
  <c r="N495" i="4"/>
  <c r="N494" i="4" s="1"/>
  <c r="M495" i="4"/>
  <c r="L495" i="4"/>
  <c r="K486" i="4"/>
  <c r="J486" i="4"/>
  <c r="I486" i="4"/>
  <c r="K485" i="4"/>
  <c r="J485" i="4"/>
  <c r="I485" i="4"/>
  <c r="J484" i="4"/>
  <c r="J483" i="4"/>
  <c r="K478" i="4"/>
  <c r="J478" i="4"/>
  <c r="K477" i="4"/>
  <c r="J477" i="4"/>
  <c r="K476" i="4"/>
  <c r="J476" i="4"/>
  <c r="J469" i="4"/>
  <c r="J468" i="4"/>
  <c r="J461" i="4"/>
  <c r="J459" i="4" s="1"/>
  <c r="J460" i="4"/>
  <c r="I459" i="4"/>
  <c r="K459" i="4" s="1"/>
  <c r="J458" i="4"/>
  <c r="J457" i="4" s="1"/>
  <c r="I458" i="4"/>
  <c r="J448" i="4"/>
  <c r="J447" i="4"/>
  <c r="J441" i="4" s="1"/>
  <c r="J424" i="4" s="1"/>
  <c r="J413" i="4" s="1"/>
  <c r="J442" i="4"/>
  <c r="I442" i="4"/>
  <c r="K442" i="4" s="1"/>
  <c r="I441" i="4"/>
  <c r="I424" i="4" s="1"/>
  <c r="K424" i="4" s="1"/>
  <c r="J434" i="4"/>
  <c r="I434" i="4"/>
  <c r="K434" i="4" s="1"/>
  <c r="J433" i="4"/>
  <c r="I433" i="4"/>
  <c r="K433" i="4" s="1"/>
  <c r="J426" i="4"/>
  <c r="I426" i="4"/>
  <c r="K426" i="4" s="1"/>
  <c r="J425" i="4"/>
  <c r="I425" i="4"/>
  <c r="K425" i="4" s="1"/>
  <c r="U422" i="4"/>
  <c r="T422" i="4"/>
  <c r="P422" i="4"/>
  <c r="O422" i="4"/>
  <c r="U421" i="4"/>
  <c r="T421" i="4"/>
  <c r="P421" i="4"/>
  <c r="O421" i="4"/>
  <c r="U420" i="4"/>
  <c r="T420" i="4"/>
  <c r="S420" i="4"/>
  <c r="R420" i="4"/>
  <c r="Q420" i="4"/>
  <c r="P420" i="4"/>
  <c r="O420" i="4"/>
  <c r="N420" i="4"/>
  <c r="M420" i="4"/>
  <c r="L420" i="4"/>
  <c r="S419" i="4"/>
  <c r="S417" i="4" s="1"/>
  <c r="R419" i="4"/>
  <c r="Q419" i="4"/>
  <c r="P419" i="4"/>
  <c r="O419" i="4"/>
  <c r="U418" i="4"/>
  <c r="T418" i="4"/>
  <c r="P418" i="4"/>
  <c r="O418" i="4"/>
  <c r="P417" i="4"/>
  <c r="O417" i="4"/>
  <c r="N417" i="4"/>
  <c r="M417" i="4"/>
  <c r="L417" i="4"/>
  <c r="P416" i="4"/>
  <c r="N416" i="4"/>
  <c r="M416" i="4"/>
  <c r="M414" i="4" s="1"/>
  <c r="P414" i="4" s="1"/>
  <c r="L416" i="4"/>
  <c r="O416" i="4" s="1"/>
  <c r="S415" i="4"/>
  <c r="R415" i="4"/>
  <c r="U415" i="4" s="1"/>
  <c r="Q415" i="4"/>
  <c r="P415" i="4"/>
  <c r="N415" i="4"/>
  <c r="N414" i="4" s="1"/>
  <c r="M415" i="4"/>
  <c r="L415" i="4"/>
  <c r="O415" i="4" s="1"/>
  <c r="O414" i="4"/>
  <c r="L414" i="4"/>
  <c r="U401" i="4"/>
  <c r="T401" i="4"/>
  <c r="P401" i="4"/>
  <c r="O401" i="4"/>
  <c r="U400" i="4"/>
  <c r="T400" i="4"/>
  <c r="P400" i="4"/>
  <c r="O400" i="4"/>
  <c r="U399" i="4"/>
  <c r="S399" i="4"/>
  <c r="R399" i="4"/>
  <c r="Q399" i="4"/>
  <c r="T399" i="4" s="1"/>
  <c r="N399" i="4"/>
  <c r="M399" i="4"/>
  <c r="P399" i="4" s="1"/>
  <c r="L399" i="4"/>
  <c r="O399" i="4" s="1"/>
  <c r="U398" i="4"/>
  <c r="T398" i="4"/>
  <c r="P398" i="4"/>
  <c r="O398" i="4"/>
  <c r="U397" i="4"/>
  <c r="T397" i="4"/>
  <c r="P397" i="4"/>
  <c r="O397" i="4"/>
  <c r="S396" i="4"/>
  <c r="R396" i="4"/>
  <c r="U396" i="4" s="1"/>
  <c r="Q396" i="4"/>
  <c r="T396" i="4" s="1"/>
  <c r="N396" i="4"/>
  <c r="M396" i="4"/>
  <c r="P396" i="4" s="1"/>
  <c r="L396" i="4"/>
  <c r="O396" i="4" s="1"/>
  <c r="U395" i="4"/>
  <c r="S395" i="4"/>
  <c r="R395" i="4"/>
  <c r="Q395" i="4"/>
  <c r="T395" i="4" s="1"/>
  <c r="O395" i="4"/>
  <c r="N395" i="4"/>
  <c r="M395" i="4"/>
  <c r="P395" i="4" s="1"/>
  <c r="L395" i="4"/>
  <c r="U394" i="4"/>
  <c r="S394" i="4"/>
  <c r="R394" i="4"/>
  <c r="Q394" i="4"/>
  <c r="O394" i="4"/>
  <c r="N394" i="4"/>
  <c r="N393" i="4" s="1"/>
  <c r="M394" i="4"/>
  <c r="L394" i="4"/>
  <c r="U393" i="4"/>
  <c r="R393" i="4"/>
  <c r="O393" i="4"/>
  <c r="L393" i="4"/>
  <c r="J392" i="4"/>
  <c r="I392" i="4"/>
  <c r="K392" i="4" s="1"/>
  <c r="J389" i="4"/>
  <c r="I389" i="4"/>
  <c r="K389" i="4" s="1"/>
  <c r="K388" i="4"/>
  <c r="J388" i="4"/>
  <c r="J387" i="4"/>
  <c r="I387" i="4"/>
  <c r="K386" i="4"/>
  <c r="J386" i="4"/>
  <c r="U384" i="4"/>
  <c r="T384" i="4"/>
  <c r="P384" i="4"/>
  <c r="O384" i="4"/>
  <c r="U383" i="4"/>
  <c r="T383" i="4"/>
  <c r="P383" i="4"/>
  <c r="O383" i="4"/>
  <c r="T382" i="4"/>
  <c r="S382" i="4"/>
  <c r="R382" i="4"/>
  <c r="U382" i="4" s="1"/>
  <c r="Q382" i="4"/>
  <c r="N382" i="4"/>
  <c r="M382" i="4"/>
  <c r="P382" i="4" s="1"/>
  <c r="L382" i="4"/>
  <c r="O382" i="4" s="1"/>
  <c r="S381" i="4"/>
  <c r="S379" i="4" s="1"/>
  <c r="R381" i="4"/>
  <c r="R379" i="4" s="1"/>
  <c r="U379" i="4" s="1"/>
  <c r="Q381" i="4"/>
  <c r="P381" i="4"/>
  <c r="O381" i="4"/>
  <c r="U380" i="4"/>
  <c r="T380" i="4"/>
  <c r="P380" i="4"/>
  <c r="O380" i="4"/>
  <c r="O379" i="4"/>
  <c r="N379" i="4"/>
  <c r="M379" i="4"/>
  <c r="P379" i="4" s="1"/>
  <c r="L379" i="4"/>
  <c r="O378" i="4"/>
  <c r="N378" i="4"/>
  <c r="M378" i="4"/>
  <c r="P378" i="4" s="1"/>
  <c r="L378" i="4"/>
  <c r="U377" i="4"/>
  <c r="S377" i="4"/>
  <c r="R377" i="4"/>
  <c r="Q377" i="4"/>
  <c r="O377" i="4"/>
  <c r="N377" i="4"/>
  <c r="M377" i="4"/>
  <c r="P377" i="4" s="1"/>
  <c r="L377" i="4"/>
  <c r="L376" i="4" s="1"/>
  <c r="O376" i="4"/>
  <c r="M376" i="4"/>
  <c r="P376" i="4" s="1"/>
  <c r="D374" i="4"/>
  <c r="K373" i="4"/>
  <c r="J373" i="4"/>
  <c r="J372" i="4"/>
  <c r="J366" i="4" s="1"/>
  <c r="I372" i="4"/>
  <c r="K371" i="4"/>
  <c r="J371" i="4"/>
  <c r="J370" i="4"/>
  <c r="I370" i="4"/>
  <c r="J369" i="4"/>
  <c r="I369" i="4"/>
  <c r="K368" i="4"/>
  <c r="J368" i="4"/>
  <c r="U365" i="4"/>
  <c r="T365" i="4"/>
  <c r="N365" i="4"/>
  <c r="N363" i="4" s="1"/>
  <c r="M365" i="4"/>
  <c r="P365" i="4" s="1"/>
  <c r="L365" i="4"/>
  <c r="L363" i="4" s="1"/>
  <c r="O363" i="4" s="1"/>
  <c r="U364" i="4"/>
  <c r="T364" i="4"/>
  <c r="P364" i="4"/>
  <c r="O364" i="4"/>
  <c r="T363" i="4"/>
  <c r="S363" i="4"/>
  <c r="R363" i="4"/>
  <c r="U363" i="4" s="1"/>
  <c r="Q363" i="4"/>
  <c r="U362" i="4"/>
  <c r="T362" i="4"/>
  <c r="N362" i="4"/>
  <c r="N360" i="4" s="1"/>
  <c r="M362" i="4"/>
  <c r="M360" i="4" s="1"/>
  <c r="L362" i="4"/>
  <c r="L360" i="4" s="1"/>
  <c r="U361" i="4"/>
  <c r="T361" i="4"/>
  <c r="P361" i="4"/>
  <c r="O361" i="4"/>
  <c r="U360" i="4"/>
  <c r="T360" i="4"/>
  <c r="S360" i="4"/>
  <c r="R360" i="4"/>
  <c r="Q360" i="4"/>
  <c r="U359" i="4"/>
  <c r="S359" i="4"/>
  <c r="R359" i="4"/>
  <c r="Q359" i="4"/>
  <c r="T359" i="4" s="1"/>
  <c r="U358" i="4"/>
  <c r="S358" i="4"/>
  <c r="S357" i="4" s="1"/>
  <c r="R358" i="4"/>
  <c r="R357" i="4" s="1"/>
  <c r="U357" i="4" s="1"/>
  <c r="Q358" i="4"/>
  <c r="T358" i="4" s="1"/>
  <c r="O358" i="4"/>
  <c r="N358" i="4"/>
  <c r="M358" i="4"/>
  <c r="L358" i="4"/>
  <c r="Q357" i="4"/>
  <c r="T357" i="4" s="1"/>
  <c r="D355" i="4"/>
  <c r="J354" i="4"/>
  <c r="J353" i="4"/>
  <c r="D351" i="4"/>
  <c r="J350" i="4"/>
  <c r="J349" i="4"/>
  <c r="J348" i="4"/>
  <c r="J347" i="4"/>
  <c r="I347" i="4"/>
  <c r="J345" i="4"/>
  <c r="I345" i="4"/>
  <c r="U342" i="4"/>
  <c r="T342" i="4"/>
  <c r="N342" i="4"/>
  <c r="N340" i="4" s="1"/>
  <c r="M342" i="4"/>
  <c r="P342" i="4" s="1"/>
  <c r="L342" i="4"/>
  <c r="U341" i="4"/>
  <c r="T341" i="4"/>
  <c r="P341" i="4"/>
  <c r="O341" i="4"/>
  <c r="U340" i="4"/>
  <c r="T340" i="4"/>
  <c r="S340" i="4"/>
  <c r="R340" i="4"/>
  <c r="Q340" i="4"/>
  <c r="U339" i="4"/>
  <c r="T339" i="4"/>
  <c r="N339" i="4"/>
  <c r="M339" i="4"/>
  <c r="M337" i="4" s="1"/>
  <c r="L339" i="4"/>
  <c r="L337" i="4" s="1"/>
  <c r="U338" i="4"/>
  <c r="T338" i="4"/>
  <c r="P338" i="4"/>
  <c r="O338" i="4"/>
  <c r="S337" i="4"/>
  <c r="R337" i="4"/>
  <c r="U337" i="4" s="1"/>
  <c r="Q337" i="4"/>
  <c r="T337" i="4" s="1"/>
  <c r="T336" i="4"/>
  <c r="S336" i="4"/>
  <c r="R336" i="4"/>
  <c r="U336" i="4" s="1"/>
  <c r="Q336" i="4"/>
  <c r="T335" i="4"/>
  <c r="S335" i="4"/>
  <c r="S334" i="4" s="1"/>
  <c r="R335" i="4"/>
  <c r="Q335" i="4"/>
  <c r="N335" i="4"/>
  <c r="M335" i="4"/>
  <c r="L335" i="4"/>
  <c r="Q334" i="4"/>
  <c r="T334" i="4" s="1"/>
  <c r="I331" i="4"/>
  <c r="I320" i="4" s="1"/>
  <c r="K320" i="4" s="1"/>
  <c r="U329" i="4"/>
  <c r="T329" i="4"/>
  <c r="N329" i="4"/>
  <c r="N327" i="4" s="1"/>
  <c r="M329" i="4"/>
  <c r="P329" i="4" s="1"/>
  <c r="L329" i="4"/>
  <c r="O329" i="4" s="1"/>
  <c r="U328" i="4"/>
  <c r="T328" i="4"/>
  <c r="P328" i="4"/>
  <c r="O328" i="4"/>
  <c r="T327" i="4"/>
  <c r="S327" i="4"/>
  <c r="R327" i="4"/>
  <c r="U327" i="4" s="1"/>
  <c r="Q327" i="4"/>
  <c r="U326" i="4"/>
  <c r="T326" i="4"/>
  <c r="N326" i="4"/>
  <c r="M326" i="4"/>
  <c r="P326" i="4" s="1"/>
  <c r="L326" i="4"/>
  <c r="O326" i="4" s="1"/>
  <c r="U325" i="4"/>
  <c r="T325" i="4"/>
  <c r="P325" i="4"/>
  <c r="O325" i="4"/>
  <c r="U324" i="4"/>
  <c r="S324" i="4"/>
  <c r="R324" i="4"/>
  <c r="Q324" i="4"/>
  <c r="T324" i="4" s="1"/>
  <c r="U323" i="4"/>
  <c r="S323" i="4"/>
  <c r="S321" i="4" s="1"/>
  <c r="R323" i="4"/>
  <c r="Q323" i="4"/>
  <c r="T323" i="4" s="1"/>
  <c r="S322" i="4"/>
  <c r="R322" i="4"/>
  <c r="Q322" i="4"/>
  <c r="N322" i="4"/>
  <c r="M322" i="4"/>
  <c r="P322" i="4" s="1"/>
  <c r="L322" i="4"/>
  <c r="J320" i="4"/>
  <c r="I315" i="4"/>
  <c r="U312" i="4"/>
  <c r="T312" i="4"/>
  <c r="N312" i="4"/>
  <c r="N310" i="4" s="1"/>
  <c r="M312" i="4"/>
  <c r="L312" i="4"/>
  <c r="L310" i="4" s="1"/>
  <c r="O310" i="4" s="1"/>
  <c r="U311" i="4"/>
  <c r="T311" i="4"/>
  <c r="P311" i="4"/>
  <c r="O311" i="4"/>
  <c r="U310" i="4"/>
  <c r="S310" i="4"/>
  <c r="R310" i="4"/>
  <c r="Q310" i="4"/>
  <c r="T310" i="4" s="1"/>
  <c r="S309" i="4"/>
  <c r="R309" i="4"/>
  <c r="R307" i="4" s="1"/>
  <c r="Q309" i="4"/>
  <c r="Q307" i="4" s="1"/>
  <c r="N309" i="4"/>
  <c r="M309" i="4"/>
  <c r="L309" i="4"/>
  <c r="L307" i="4" s="1"/>
  <c r="U308" i="4"/>
  <c r="T308" i="4"/>
  <c r="P308" i="4"/>
  <c r="O308" i="4"/>
  <c r="U305" i="4"/>
  <c r="T305" i="4"/>
  <c r="S305" i="4"/>
  <c r="R305" i="4"/>
  <c r="Q305" i="4"/>
  <c r="O305" i="4"/>
  <c r="N305" i="4"/>
  <c r="M305" i="4"/>
  <c r="L305" i="4"/>
  <c r="J303" i="4"/>
  <c r="I297" i="4"/>
  <c r="K297" i="4" s="1"/>
  <c r="I296" i="4"/>
  <c r="K296" i="4" s="1"/>
  <c r="J294" i="4"/>
  <c r="I294" i="4"/>
  <c r="K294" i="4" s="1"/>
  <c r="I293" i="4"/>
  <c r="K293" i="4" s="1"/>
  <c r="U291" i="4"/>
  <c r="T291" i="4"/>
  <c r="N291" i="4"/>
  <c r="M291" i="4"/>
  <c r="L291" i="4"/>
  <c r="L289" i="4" s="1"/>
  <c r="O289" i="4" s="1"/>
  <c r="U290" i="4"/>
  <c r="T290" i="4"/>
  <c r="P290" i="4"/>
  <c r="O290" i="4"/>
  <c r="T289" i="4"/>
  <c r="S289" i="4"/>
  <c r="R289" i="4"/>
  <c r="U289" i="4" s="1"/>
  <c r="Q289" i="4"/>
  <c r="U288" i="4"/>
  <c r="T288" i="4"/>
  <c r="N288" i="4"/>
  <c r="N286" i="4" s="1"/>
  <c r="M288" i="4"/>
  <c r="L288" i="4"/>
  <c r="L286" i="4" s="1"/>
  <c r="O286" i="4" s="1"/>
  <c r="U287" i="4"/>
  <c r="T287" i="4"/>
  <c r="P287" i="4"/>
  <c r="O287" i="4"/>
  <c r="S286" i="4"/>
  <c r="R286" i="4"/>
  <c r="U286" i="4" s="1"/>
  <c r="Q286" i="4"/>
  <c r="T286" i="4" s="1"/>
  <c r="U285" i="4"/>
  <c r="S285" i="4"/>
  <c r="R285" i="4"/>
  <c r="Q285" i="4"/>
  <c r="T285" i="4" s="1"/>
  <c r="U284" i="4"/>
  <c r="T284" i="4"/>
  <c r="S284" i="4"/>
  <c r="R284" i="4"/>
  <c r="Q284" i="4"/>
  <c r="O284" i="4"/>
  <c r="N284" i="4"/>
  <c r="M284" i="4"/>
  <c r="P284" i="4" s="1"/>
  <c r="L284" i="4"/>
  <c r="U283" i="4"/>
  <c r="R283" i="4"/>
  <c r="Q283" i="4"/>
  <c r="T283" i="4" s="1"/>
  <c r="J282" i="4"/>
  <c r="J281" i="4"/>
  <c r="I277" i="4"/>
  <c r="K277" i="4" s="1"/>
  <c r="U275" i="4"/>
  <c r="T275" i="4"/>
  <c r="N275" i="4"/>
  <c r="N273" i="4" s="1"/>
  <c r="M275" i="4"/>
  <c r="P275" i="4" s="1"/>
  <c r="L275" i="4"/>
  <c r="L273" i="4" s="1"/>
  <c r="O273" i="4" s="1"/>
  <c r="U274" i="4"/>
  <c r="T274" i="4"/>
  <c r="P274" i="4"/>
  <c r="O274" i="4"/>
  <c r="T273" i="4"/>
  <c r="S273" i="4"/>
  <c r="R273" i="4"/>
  <c r="U273" i="4" s="1"/>
  <c r="Q273" i="4"/>
  <c r="S272" i="4"/>
  <c r="S270" i="4" s="1"/>
  <c r="R272" i="4"/>
  <c r="Q272" i="4"/>
  <c r="Q270" i="4" s="1"/>
  <c r="N272" i="4"/>
  <c r="N270" i="4" s="1"/>
  <c r="M272" i="4"/>
  <c r="M270" i="4" s="1"/>
  <c r="L272" i="4"/>
  <c r="U271" i="4"/>
  <c r="T271" i="4"/>
  <c r="P271" i="4"/>
  <c r="O271" i="4"/>
  <c r="T268" i="4"/>
  <c r="S268" i="4"/>
  <c r="R268" i="4"/>
  <c r="Q268" i="4"/>
  <c r="N268" i="4"/>
  <c r="M268" i="4"/>
  <c r="L268" i="4"/>
  <c r="O268" i="4" s="1"/>
  <c r="J266" i="4"/>
  <c r="I264" i="4"/>
  <c r="K264" i="4" s="1"/>
  <c r="I263" i="4"/>
  <c r="K263" i="4" s="1"/>
  <c r="I261" i="4"/>
  <c r="I254" i="4" s="1"/>
  <c r="L259" i="4"/>
  <c r="L258" i="4"/>
  <c r="L257" i="4"/>
  <c r="L256" i="4"/>
  <c r="P255" i="4"/>
  <c r="N255" i="4"/>
  <c r="J254" i="4"/>
  <c r="I253" i="4"/>
  <c r="K253" i="4" s="1"/>
  <c r="I252" i="4"/>
  <c r="K252" i="4" s="1"/>
  <c r="I250" i="4"/>
  <c r="I243" i="4" s="1"/>
  <c r="L248" i="4"/>
  <c r="L247" i="4"/>
  <c r="L246" i="4"/>
  <c r="L245" i="4"/>
  <c r="P244" i="4"/>
  <c r="N244" i="4"/>
  <c r="J243" i="4"/>
  <c r="J232" i="4" s="1"/>
  <c r="J186" i="4" s="1"/>
  <c r="J242" i="4"/>
  <c r="J241" i="4"/>
  <c r="J239" i="4"/>
  <c r="N237" i="4"/>
  <c r="N236" i="4"/>
  <c r="N235" i="4"/>
  <c r="N234" i="4"/>
  <c r="N233" i="4"/>
  <c r="I231" i="4"/>
  <c r="I230" i="4"/>
  <c r="I222" i="4" s="1"/>
  <c r="K222" i="4" s="1"/>
  <c r="I229" i="4"/>
  <c r="K229" i="4" s="1"/>
  <c r="L226" i="4"/>
  <c r="L225" i="4"/>
  <c r="L224" i="4"/>
  <c r="P223" i="4"/>
  <c r="N223" i="4"/>
  <c r="J222" i="4"/>
  <c r="I221" i="4"/>
  <c r="I220" i="4"/>
  <c r="K220" i="4" s="1"/>
  <c r="L218" i="4"/>
  <c r="L217" i="4"/>
  <c r="L216" i="4"/>
  <c r="P215" i="4"/>
  <c r="N215" i="4"/>
  <c r="J214" i="4"/>
  <c r="I213" i="4"/>
  <c r="K213" i="4" s="1"/>
  <c r="I212" i="4"/>
  <c r="K212" i="4" s="1"/>
  <c r="I210" i="4"/>
  <c r="K210" i="4" s="1"/>
  <c r="L208" i="4"/>
  <c r="L207" i="4"/>
  <c r="L206" i="4"/>
  <c r="L205" i="4"/>
  <c r="P204" i="4"/>
  <c r="N204" i="4"/>
  <c r="J203" i="4"/>
  <c r="J200" i="4"/>
  <c r="I199" i="4"/>
  <c r="P197" i="4"/>
  <c r="L197" i="4"/>
  <c r="O197" i="4" s="1"/>
  <c r="J196" i="4"/>
  <c r="U195" i="4"/>
  <c r="T195" i="4"/>
  <c r="N195" i="4"/>
  <c r="N193" i="4" s="1"/>
  <c r="M195" i="4"/>
  <c r="L195" i="4"/>
  <c r="O195" i="4" s="1"/>
  <c r="U194" i="4"/>
  <c r="T194" i="4"/>
  <c r="P194" i="4"/>
  <c r="O194" i="4"/>
  <c r="U193" i="4"/>
  <c r="S193" i="4"/>
  <c r="R193" i="4"/>
  <c r="Q193" i="4"/>
  <c r="T193" i="4" s="1"/>
  <c r="S192" i="4"/>
  <c r="S190" i="4" s="1"/>
  <c r="R192" i="4"/>
  <c r="Q192" i="4"/>
  <c r="N192" i="4"/>
  <c r="M192" i="4"/>
  <c r="M190" i="4" s="1"/>
  <c r="L192" i="4"/>
  <c r="L190" i="4" s="1"/>
  <c r="U191" i="4"/>
  <c r="T191" i="4"/>
  <c r="P191" i="4"/>
  <c r="O191" i="4"/>
  <c r="U188" i="4"/>
  <c r="T188" i="4"/>
  <c r="S188" i="4"/>
  <c r="R188" i="4"/>
  <c r="Q188" i="4"/>
  <c r="P188" i="4"/>
  <c r="O188" i="4"/>
  <c r="N188" i="4"/>
  <c r="M188" i="4"/>
  <c r="L188" i="4"/>
  <c r="K185" i="4"/>
  <c r="I184" i="4"/>
  <c r="I173" i="4" s="1"/>
  <c r="U182" i="4"/>
  <c r="T182" i="4"/>
  <c r="N182" i="4"/>
  <c r="N180" i="4" s="1"/>
  <c r="M182" i="4"/>
  <c r="L182" i="4"/>
  <c r="L180" i="4" s="1"/>
  <c r="O180" i="4" s="1"/>
  <c r="U181" i="4"/>
  <c r="T181" i="4"/>
  <c r="P181" i="4"/>
  <c r="O181" i="4"/>
  <c r="U180" i="4"/>
  <c r="T180" i="4"/>
  <c r="S180" i="4"/>
  <c r="R180" i="4"/>
  <c r="Q180" i="4"/>
  <c r="S179" i="4"/>
  <c r="S177" i="4" s="1"/>
  <c r="R179" i="4"/>
  <c r="R177" i="4" s="1"/>
  <c r="U177" i="4" s="1"/>
  <c r="Q179" i="4"/>
  <c r="T179" i="4" s="1"/>
  <c r="N179" i="4"/>
  <c r="M179" i="4"/>
  <c r="M177" i="4" s="1"/>
  <c r="L179" i="4"/>
  <c r="L177" i="4" s="1"/>
  <c r="U178" i="4"/>
  <c r="T178" i="4"/>
  <c r="P178" i="4"/>
  <c r="O178" i="4"/>
  <c r="U175" i="4"/>
  <c r="S175" i="4"/>
  <c r="R175" i="4"/>
  <c r="Q175" i="4"/>
  <c r="T175" i="4" s="1"/>
  <c r="P175" i="4"/>
  <c r="O175" i="4"/>
  <c r="N175" i="4"/>
  <c r="M175" i="4"/>
  <c r="L175" i="4"/>
  <c r="J173" i="4"/>
  <c r="I168" i="4"/>
  <c r="I157" i="4" s="1"/>
  <c r="K157" i="4" s="1"/>
  <c r="U166" i="4"/>
  <c r="T166" i="4"/>
  <c r="N166" i="4"/>
  <c r="N164" i="4" s="1"/>
  <c r="M166" i="4"/>
  <c r="P166" i="4" s="1"/>
  <c r="L166" i="4"/>
  <c r="L164" i="4" s="1"/>
  <c r="O164" i="4" s="1"/>
  <c r="U165" i="4"/>
  <c r="T165" i="4"/>
  <c r="P165" i="4"/>
  <c r="O165" i="4"/>
  <c r="S164" i="4"/>
  <c r="R164" i="4"/>
  <c r="U164" i="4" s="1"/>
  <c r="Q164" i="4"/>
  <c r="T164" i="4" s="1"/>
  <c r="S163" i="4"/>
  <c r="S160" i="4" s="1"/>
  <c r="R163" i="4"/>
  <c r="R161" i="4" s="1"/>
  <c r="U161" i="4" s="1"/>
  <c r="N163" i="4"/>
  <c r="N161" i="4" s="1"/>
  <c r="M163" i="4"/>
  <c r="L163" i="4"/>
  <c r="L161" i="4" s="1"/>
  <c r="U162" i="4"/>
  <c r="T162" i="4"/>
  <c r="P162" i="4"/>
  <c r="O162" i="4"/>
  <c r="S159" i="4"/>
  <c r="R159" i="4"/>
  <c r="U159" i="4" s="1"/>
  <c r="Q159" i="4"/>
  <c r="T159" i="4" s="1"/>
  <c r="N159" i="4"/>
  <c r="M159" i="4"/>
  <c r="P159" i="4" s="1"/>
  <c r="L159" i="4"/>
  <c r="J157" i="4"/>
  <c r="I155" i="4"/>
  <c r="K155" i="4" s="1"/>
  <c r="I154" i="4"/>
  <c r="K154" i="4" s="1"/>
  <c r="I153" i="4"/>
  <c r="K153" i="4" s="1"/>
  <c r="I152" i="4"/>
  <c r="K152" i="4" s="1"/>
  <c r="I151" i="4"/>
  <c r="K151" i="4" s="1"/>
  <c r="U148" i="4"/>
  <c r="T148" i="4"/>
  <c r="N148" i="4"/>
  <c r="N146" i="4" s="1"/>
  <c r="M148" i="4"/>
  <c r="P148" i="4" s="1"/>
  <c r="L148" i="4"/>
  <c r="O148" i="4" s="1"/>
  <c r="U147" i="4"/>
  <c r="T147" i="4"/>
  <c r="P147" i="4"/>
  <c r="O147" i="4"/>
  <c r="U146" i="4"/>
  <c r="S146" i="4"/>
  <c r="R146" i="4"/>
  <c r="Q146" i="4"/>
  <c r="T146" i="4" s="1"/>
  <c r="S145" i="4"/>
  <c r="R145" i="4"/>
  <c r="R142" i="4" s="1"/>
  <c r="Q145" i="4"/>
  <c r="T145" i="4" s="1"/>
  <c r="N145" i="4"/>
  <c r="M145" i="4"/>
  <c r="L145" i="4"/>
  <c r="L143" i="4" s="1"/>
  <c r="U144" i="4"/>
  <c r="T144" i="4"/>
  <c r="P144" i="4"/>
  <c r="O144" i="4"/>
  <c r="U141" i="4"/>
  <c r="T141" i="4"/>
  <c r="S141" i="4"/>
  <c r="R141" i="4"/>
  <c r="Q141" i="4"/>
  <c r="O141" i="4"/>
  <c r="N141" i="4"/>
  <c r="M141" i="4"/>
  <c r="P141" i="4" s="1"/>
  <c r="L141" i="4"/>
  <c r="J139" i="4"/>
  <c r="J138" i="4"/>
  <c r="J137" i="4"/>
  <c r="I131" i="4"/>
  <c r="K131" i="4" s="1"/>
  <c r="I130" i="4"/>
  <c r="K130" i="4" s="1"/>
  <c r="I129" i="4"/>
  <c r="K129" i="4" s="1"/>
  <c r="I128" i="4"/>
  <c r="K128" i="4" s="1"/>
  <c r="U126" i="4"/>
  <c r="T126" i="4"/>
  <c r="N126" i="4"/>
  <c r="N124" i="4" s="1"/>
  <c r="M126" i="4"/>
  <c r="L126" i="4"/>
  <c r="L124" i="4" s="1"/>
  <c r="O124" i="4" s="1"/>
  <c r="U125" i="4"/>
  <c r="T125" i="4"/>
  <c r="P125" i="4"/>
  <c r="O125" i="4"/>
  <c r="U124" i="4"/>
  <c r="S124" i="4"/>
  <c r="R124" i="4"/>
  <c r="Q124" i="4"/>
  <c r="T124" i="4" s="1"/>
  <c r="S123" i="4"/>
  <c r="S120" i="4" s="1"/>
  <c r="S118" i="4" s="1"/>
  <c r="R123" i="4"/>
  <c r="R121" i="4" s="1"/>
  <c r="Q123" i="4"/>
  <c r="Q120" i="4" s="1"/>
  <c r="N123" i="4"/>
  <c r="N121" i="4" s="1"/>
  <c r="M123" i="4"/>
  <c r="P123" i="4" s="1"/>
  <c r="L123" i="4"/>
  <c r="L121" i="4" s="1"/>
  <c r="O121" i="4" s="1"/>
  <c r="U122" i="4"/>
  <c r="T122" i="4"/>
  <c r="P122" i="4"/>
  <c r="O122" i="4"/>
  <c r="T119" i="4"/>
  <c r="S119" i="4"/>
  <c r="R119" i="4"/>
  <c r="Q119" i="4"/>
  <c r="O119" i="4"/>
  <c r="N119" i="4"/>
  <c r="M119" i="4"/>
  <c r="P119" i="4" s="1"/>
  <c r="L119" i="4"/>
  <c r="J117" i="4"/>
  <c r="I115" i="4"/>
  <c r="K115" i="4" s="1"/>
  <c r="I110" i="4"/>
  <c r="I94" i="4" s="1"/>
  <c r="K94" i="4" s="1"/>
  <c r="I109" i="4"/>
  <c r="K109" i="4" s="1"/>
  <c r="U103" i="4"/>
  <c r="T103" i="4"/>
  <c r="N103" i="4"/>
  <c r="N101" i="4" s="1"/>
  <c r="M103" i="4"/>
  <c r="P103" i="4" s="1"/>
  <c r="L103" i="4"/>
  <c r="L101" i="4" s="1"/>
  <c r="O101" i="4" s="1"/>
  <c r="U102" i="4"/>
  <c r="T102" i="4"/>
  <c r="P102" i="4"/>
  <c r="O102" i="4"/>
  <c r="S101" i="4"/>
  <c r="R101" i="4"/>
  <c r="U101" i="4" s="1"/>
  <c r="Q101" i="4"/>
  <c r="T101" i="4" s="1"/>
  <c r="S100" i="4"/>
  <c r="S97" i="4" s="1"/>
  <c r="R100" i="4"/>
  <c r="R98" i="4" s="1"/>
  <c r="U98" i="4" s="1"/>
  <c r="N100" i="4"/>
  <c r="N98" i="4" s="1"/>
  <c r="M100" i="4"/>
  <c r="M98" i="4" s="1"/>
  <c r="P98" i="4" s="1"/>
  <c r="L100" i="4"/>
  <c r="L98" i="4" s="1"/>
  <c r="O98" i="4" s="1"/>
  <c r="U99" i="4"/>
  <c r="T99" i="4"/>
  <c r="P99" i="4"/>
  <c r="O99" i="4"/>
  <c r="S96" i="4"/>
  <c r="R96" i="4"/>
  <c r="Q96" i="4"/>
  <c r="T96" i="4" s="1"/>
  <c r="N96" i="4"/>
  <c r="M96" i="4"/>
  <c r="P96" i="4" s="1"/>
  <c r="L96" i="4"/>
  <c r="J94" i="4"/>
  <c r="J93" i="4"/>
  <c r="I91" i="4"/>
  <c r="K91" i="4" s="1"/>
  <c r="I90" i="4"/>
  <c r="K90" i="4" s="1"/>
  <c r="I89" i="4"/>
  <c r="K89" i="4" s="1"/>
  <c r="I88" i="4"/>
  <c r="K88" i="4" s="1"/>
  <c r="I87" i="4"/>
  <c r="K87" i="4" s="1"/>
  <c r="I86" i="4"/>
  <c r="K86" i="4" s="1"/>
  <c r="I85" i="4"/>
  <c r="K85" i="4" s="1"/>
  <c r="J84" i="4"/>
  <c r="J83" i="4"/>
  <c r="J71" i="4" s="1"/>
  <c r="U81" i="4"/>
  <c r="T81" i="4"/>
  <c r="N81" i="4"/>
  <c r="N79" i="4" s="1"/>
  <c r="M81" i="4"/>
  <c r="M79" i="4" s="1"/>
  <c r="P79" i="4" s="1"/>
  <c r="L81" i="4"/>
  <c r="L79" i="4" s="1"/>
  <c r="O79" i="4" s="1"/>
  <c r="U80" i="4"/>
  <c r="T80" i="4"/>
  <c r="P80" i="4"/>
  <c r="O80" i="4"/>
  <c r="S79" i="4"/>
  <c r="R79" i="4"/>
  <c r="U79" i="4" s="1"/>
  <c r="Q79" i="4"/>
  <c r="T79" i="4" s="1"/>
  <c r="S78" i="4"/>
  <c r="S75" i="4" s="1"/>
  <c r="R78" i="4"/>
  <c r="R75" i="4" s="1"/>
  <c r="U75" i="4" s="1"/>
  <c r="N78" i="4"/>
  <c r="N76" i="4" s="1"/>
  <c r="M78" i="4"/>
  <c r="M76" i="4" s="1"/>
  <c r="P76" i="4" s="1"/>
  <c r="L78" i="4"/>
  <c r="L76" i="4" s="1"/>
  <c r="O76" i="4" s="1"/>
  <c r="U77" i="4"/>
  <c r="T77" i="4"/>
  <c r="P77" i="4"/>
  <c r="O77" i="4"/>
  <c r="T74" i="4"/>
  <c r="S74" i="4"/>
  <c r="R74" i="4"/>
  <c r="U74" i="4" s="1"/>
  <c r="Q74" i="4"/>
  <c r="N74" i="4"/>
  <c r="M74" i="4"/>
  <c r="P74" i="4" s="1"/>
  <c r="L74" i="4"/>
  <c r="O74" i="4" s="1"/>
  <c r="J72" i="4"/>
  <c r="U68" i="4"/>
  <c r="T68" i="4"/>
  <c r="N68" i="4"/>
  <c r="N66" i="4" s="1"/>
  <c r="M68" i="4"/>
  <c r="M66" i="4" s="1"/>
  <c r="P66" i="4" s="1"/>
  <c r="L68" i="4"/>
  <c r="O68" i="4" s="1"/>
  <c r="U67" i="4"/>
  <c r="T67" i="4"/>
  <c r="P67" i="4"/>
  <c r="O67" i="4"/>
  <c r="U66" i="4"/>
  <c r="T66" i="4"/>
  <c r="S66" i="4"/>
  <c r="R66" i="4"/>
  <c r="Q66" i="4"/>
  <c r="U65" i="4"/>
  <c r="T65" i="4"/>
  <c r="N65" i="4"/>
  <c r="N63" i="4" s="1"/>
  <c r="M65" i="4"/>
  <c r="M63" i="4" s="1"/>
  <c r="L65" i="4"/>
  <c r="L63" i="4" s="1"/>
  <c r="U64" i="4"/>
  <c r="T64" i="4"/>
  <c r="P64" i="4"/>
  <c r="O64" i="4"/>
  <c r="S63" i="4"/>
  <c r="R63" i="4"/>
  <c r="U63" i="4" s="1"/>
  <c r="Q63" i="4"/>
  <c r="T63" i="4" s="1"/>
  <c r="U62" i="4"/>
  <c r="T62" i="4"/>
  <c r="S62" i="4"/>
  <c r="S60" i="4" s="1"/>
  <c r="R62" i="4"/>
  <c r="Q62" i="4"/>
  <c r="T61" i="4"/>
  <c r="S61" i="4"/>
  <c r="R61" i="4"/>
  <c r="U61" i="4" s="1"/>
  <c r="Q61" i="4"/>
  <c r="Q60" i="4" s="1"/>
  <c r="T60" i="4" s="1"/>
  <c r="N61" i="4"/>
  <c r="M61" i="4"/>
  <c r="P61" i="4" s="1"/>
  <c r="L61" i="4"/>
  <c r="O61" i="4" s="1"/>
  <c r="U60" i="4"/>
  <c r="R60" i="4"/>
  <c r="U53" i="4"/>
  <c r="T53" i="4"/>
  <c r="N53" i="4"/>
  <c r="N51" i="4" s="1"/>
  <c r="M53" i="4"/>
  <c r="M51" i="4" s="1"/>
  <c r="P51" i="4" s="1"/>
  <c r="L53" i="4"/>
  <c r="O53" i="4" s="1"/>
  <c r="U52" i="4"/>
  <c r="T52" i="4"/>
  <c r="P52" i="4"/>
  <c r="O52" i="4"/>
  <c r="T51" i="4"/>
  <c r="S51" i="4"/>
  <c r="R51" i="4"/>
  <c r="U51" i="4" s="1"/>
  <c r="Q51" i="4"/>
  <c r="U50" i="4"/>
  <c r="T50" i="4"/>
  <c r="N50" i="4"/>
  <c r="N48" i="4" s="1"/>
  <c r="M50" i="4"/>
  <c r="M48" i="4" s="1"/>
  <c r="L50" i="4"/>
  <c r="L48" i="4" s="1"/>
  <c r="U49" i="4"/>
  <c r="T49" i="4"/>
  <c r="P49" i="4"/>
  <c r="O49" i="4"/>
  <c r="S48" i="4"/>
  <c r="R48" i="4"/>
  <c r="U48" i="4" s="1"/>
  <c r="Q48" i="4"/>
  <c r="T48" i="4" s="1"/>
  <c r="U47" i="4"/>
  <c r="T47" i="4"/>
  <c r="S47" i="4"/>
  <c r="S45" i="4" s="1"/>
  <c r="R47" i="4"/>
  <c r="Q47" i="4"/>
  <c r="T46" i="4"/>
  <c r="S46" i="4"/>
  <c r="R46" i="4"/>
  <c r="U46" i="4" s="1"/>
  <c r="Q46" i="4"/>
  <c r="Q45" i="4" s="1"/>
  <c r="T45" i="4" s="1"/>
  <c r="N46" i="4"/>
  <c r="M46" i="4"/>
  <c r="P46" i="4" s="1"/>
  <c r="L46" i="4"/>
  <c r="O46" i="4" s="1"/>
  <c r="R45" i="4"/>
  <c r="U45" i="4" s="1"/>
  <c r="S27" i="4"/>
  <c r="R27" i="4"/>
  <c r="Q27" i="4"/>
  <c r="T27" i="4" s="1"/>
  <c r="S26" i="4"/>
  <c r="R26" i="4"/>
  <c r="U26" i="4" s="1"/>
  <c r="Q26" i="4"/>
  <c r="T26" i="4" s="1"/>
  <c r="N26" i="4"/>
  <c r="M26" i="4"/>
  <c r="P26" i="4" s="1"/>
  <c r="L26" i="4"/>
  <c r="O26" i="4" s="1"/>
  <c r="S23" i="4"/>
  <c r="R23" i="4"/>
  <c r="U23" i="4" s="1"/>
  <c r="Q23" i="4"/>
  <c r="T23" i="4" s="1"/>
  <c r="N23" i="4"/>
  <c r="M23" i="4"/>
  <c r="P23" i="4" s="1"/>
  <c r="L23" i="4"/>
  <c r="O23" i="4" s="1"/>
  <c r="A788" i="3"/>
  <c r="J785" i="3"/>
  <c r="I785" i="3"/>
  <c r="J784" i="3"/>
  <c r="I784" i="3"/>
  <c r="J783" i="3"/>
  <c r="I783" i="3"/>
  <c r="J782" i="3"/>
  <c r="I782" i="3"/>
  <c r="J781" i="3"/>
  <c r="I781" i="3"/>
  <c r="J780" i="3"/>
  <c r="I780" i="3"/>
  <c r="J779" i="3"/>
  <c r="I779" i="3"/>
  <c r="J778" i="3"/>
  <c r="I778" i="3"/>
  <c r="H777" i="3"/>
  <c r="I776" i="3"/>
  <c r="I775" i="3"/>
  <c r="I774" i="3"/>
  <c r="I772" i="3"/>
  <c r="K772" i="3" s="1"/>
  <c r="I770" i="3"/>
  <c r="K770" i="3" s="1"/>
  <c r="U768" i="3"/>
  <c r="T768" i="3"/>
  <c r="P768" i="3"/>
  <c r="O768" i="3"/>
  <c r="U767" i="3"/>
  <c r="T767" i="3"/>
  <c r="P767" i="3"/>
  <c r="O767" i="3"/>
  <c r="U766" i="3"/>
  <c r="S766" i="3"/>
  <c r="R766" i="3"/>
  <c r="Q766" i="3"/>
  <c r="T766" i="3" s="1"/>
  <c r="P766" i="3"/>
  <c r="O766" i="3"/>
  <c r="N766" i="3"/>
  <c r="M766" i="3"/>
  <c r="L766" i="3"/>
  <c r="S765" i="3"/>
  <c r="S762" i="3" s="1"/>
  <c r="S760" i="3" s="1"/>
  <c r="R765" i="3"/>
  <c r="Q765" i="3"/>
  <c r="T765" i="3" s="1"/>
  <c r="P765" i="3"/>
  <c r="O765" i="3"/>
  <c r="U764" i="3"/>
  <c r="T764" i="3"/>
  <c r="P764" i="3"/>
  <c r="O764" i="3"/>
  <c r="N763" i="3"/>
  <c r="M763" i="3"/>
  <c r="P763" i="3" s="1"/>
  <c r="L763" i="3"/>
  <c r="O763" i="3" s="1"/>
  <c r="P762" i="3"/>
  <c r="N762" i="3"/>
  <c r="M762" i="3"/>
  <c r="L762" i="3"/>
  <c r="U761" i="3"/>
  <c r="T761" i="3"/>
  <c r="S761" i="3"/>
  <c r="R761" i="3"/>
  <c r="Q761" i="3"/>
  <c r="P761" i="3"/>
  <c r="O761" i="3"/>
  <c r="N761" i="3"/>
  <c r="M761" i="3"/>
  <c r="L761" i="3"/>
  <c r="N760" i="3"/>
  <c r="M760" i="3"/>
  <c r="P760" i="3" s="1"/>
  <c r="J759" i="3"/>
  <c r="J758" i="3"/>
  <c r="I756" i="3"/>
  <c r="K756" i="3" s="1"/>
  <c r="I753" i="3"/>
  <c r="K753" i="3" s="1"/>
  <c r="I750" i="3"/>
  <c r="K750" i="3" s="1"/>
  <c r="I747" i="3"/>
  <c r="K747" i="3" s="1"/>
  <c r="I745" i="3"/>
  <c r="K745" i="3" s="1"/>
  <c r="I743" i="3"/>
  <c r="K743" i="3" s="1"/>
  <c r="I741" i="3"/>
  <c r="K741" i="3" s="1"/>
  <c r="U737" i="3"/>
  <c r="T737" i="3"/>
  <c r="P737" i="3"/>
  <c r="O737" i="3"/>
  <c r="U736" i="3"/>
  <c r="T736" i="3"/>
  <c r="P736" i="3"/>
  <c r="O736" i="3"/>
  <c r="U735" i="3"/>
  <c r="T735" i="3"/>
  <c r="S735" i="3"/>
  <c r="R735" i="3"/>
  <c r="Q735" i="3"/>
  <c r="P735" i="3"/>
  <c r="O735" i="3"/>
  <c r="N735" i="3"/>
  <c r="M735" i="3"/>
  <c r="L735" i="3"/>
  <c r="S734" i="3"/>
  <c r="R734" i="3"/>
  <c r="R732" i="3" s="1"/>
  <c r="Q734" i="3"/>
  <c r="Q732" i="3" s="1"/>
  <c r="P734" i="3"/>
  <c r="O734" i="3"/>
  <c r="U733" i="3"/>
  <c r="T733" i="3"/>
  <c r="P733" i="3"/>
  <c r="O733" i="3"/>
  <c r="N732" i="3"/>
  <c r="M732" i="3"/>
  <c r="P732" i="3" s="1"/>
  <c r="L732" i="3"/>
  <c r="O732" i="3" s="1"/>
  <c r="P731" i="3"/>
  <c r="O731" i="3"/>
  <c r="N731" i="3"/>
  <c r="M731" i="3"/>
  <c r="L731" i="3"/>
  <c r="U730" i="3"/>
  <c r="T730" i="3"/>
  <c r="S730" i="3"/>
  <c r="R730" i="3"/>
  <c r="Q730" i="3"/>
  <c r="O730" i="3"/>
  <c r="N730" i="3"/>
  <c r="N729" i="3" s="1"/>
  <c r="M730" i="3"/>
  <c r="P730" i="3" s="1"/>
  <c r="L730" i="3"/>
  <c r="M729" i="3"/>
  <c r="P729" i="3" s="1"/>
  <c r="L729" i="3"/>
  <c r="O729" i="3" s="1"/>
  <c r="J728" i="3"/>
  <c r="I728" i="3"/>
  <c r="J727" i="3"/>
  <c r="I727" i="3"/>
  <c r="K727" i="3" s="1"/>
  <c r="U723" i="3"/>
  <c r="T723" i="3"/>
  <c r="P723" i="3"/>
  <c r="O723" i="3"/>
  <c r="U722" i="3"/>
  <c r="T722" i="3"/>
  <c r="P722" i="3"/>
  <c r="O722" i="3"/>
  <c r="S721" i="3"/>
  <c r="R721" i="3"/>
  <c r="U721" i="3" s="1"/>
  <c r="Q721" i="3"/>
  <c r="T721" i="3" s="1"/>
  <c r="N721" i="3"/>
  <c r="M721" i="3"/>
  <c r="P721" i="3" s="1"/>
  <c r="L721" i="3"/>
  <c r="O721" i="3" s="1"/>
  <c r="U720" i="3"/>
  <c r="T720" i="3"/>
  <c r="P720" i="3"/>
  <c r="O720" i="3"/>
  <c r="U719" i="3"/>
  <c r="T719" i="3"/>
  <c r="P719" i="3"/>
  <c r="O719" i="3"/>
  <c r="S718" i="3"/>
  <c r="R718" i="3"/>
  <c r="U718" i="3" s="1"/>
  <c r="Q718" i="3"/>
  <c r="T718" i="3" s="1"/>
  <c r="N718" i="3"/>
  <c r="M718" i="3"/>
  <c r="P718" i="3" s="1"/>
  <c r="L718" i="3"/>
  <c r="O718" i="3" s="1"/>
  <c r="U717" i="3"/>
  <c r="S717" i="3"/>
  <c r="R717" i="3"/>
  <c r="Q717" i="3"/>
  <c r="P717" i="3"/>
  <c r="O717" i="3"/>
  <c r="N717" i="3"/>
  <c r="M717" i="3"/>
  <c r="L717" i="3"/>
  <c r="U716" i="3"/>
  <c r="T716" i="3"/>
  <c r="S716" i="3"/>
  <c r="R716" i="3"/>
  <c r="Q716" i="3"/>
  <c r="O716" i="3"/>
  <c r="N716" i="3"/>
  <c r="N715" i="3" s="1"/>
  <c r="M716" i="3"/>
  <c r="P716" i="3" s="1"/>
  <c r="L716" i="3"/>
  <c r="S715" i="3"/>
  <c r="R715" i="3"/>
  <c r="U715" i="3" s="1"/>
  <c r="M715" i="3"/>
  <c r="P715" i="3" s="1"/>
  <c r="L715" i="3"/>
  <c r="O715" i="3" s="1"/>
  <c r="K713" i="3"/>
  <c r="J713" i="3"/>
  <c r="K711" i="3"/>
  <c r="J711" i="3"/>
  <c r="J710" i="3"/>
  <c r="I710" i="3"/>
  <c r="K709" i="3"/>
  <c r="J709" i="3"/>
  <c r="J708" i="3"/>
  <c r="J690" i="3" s="1"/>
  <c r="I708" i="3"/>
  <c r="I690" i="3" s="1"/>
  <c r="K707" i="3"/>
  <c r="J707" i="3"/>
  <c r="J706" i="3"/>
  <c r="I706" i="3"/>
  <c r="K705" i="3"/>
  <c r="J705" i="3"/>
  <c r="J704" i="3"/>
  <c r="I704" i="3"/>
  <c r="K703" i="3"/>
  <c r="I701" i="3"/>
  <c r="K701" i="3" s="1"/>
  <c r="U699" i="3"/>
  <c r="T699" i="3"/>
  <c r="P699" i="3"/>
  <c r="O699" i="3"/>
  <c r="U698" i="3"/>
  <c r="T698" i="3"/>
  <c r="P698" i="3"/>
  <c r="O698" i="3"/>
  <c r="S697" i="3"/>
  <c r="R697" i="3"/>
  <c r="U697" i="3" s="1"/>
  <c r="Q697" i="3"/>
  <c r="T697" i="3" s="1"/>
  <c r="P697" i="3"/>
  <c r="N697" i="3"/>
  <c r="M697" i="3"/>
  <c r="L697" i="3"/>
  <c r="O697" i="3" s="1"/>
  <c r="S696" i="3"/>
  <c r="S694" i="3" s="1"/>
  <c r="R696" i="3"/>
  <c r="R693" i="3" s="1"/>
  <c r="Q696" i="3"/>
  <c r="Q694" i="3" s="1"/>
  <c r="P696" i="3"/>
  <c r="O696" i="3"/>
  <c r="U695" i="3"/>
  <c r="T695" i="3"/>
  <c r="P695" i="3"/>
  <c r="O695" i="3"/>
  <c r="O694" i="3"/>
  <c r="N694" i="3"/>
  <c r="M694" i="3"/>
  <c r="P694" i="3" s="1"/>
  <c r="L694" i="3"/>
  <c r="N693" i="3"/>
  <c r="M693" i="3"/>
  <c r="L693" i="3"/>
  <c r="U692" i="3"/>
  <c r="S692" i="3"/>
  <c r="R692" i="3"/>
  <c r="Q692" i="3"/>
  <c r="P692" i="3"/>
  <c r="O692" i="3"/>
  <c r="N692" i="3"/>
  <c r="M692" i="3"/>
  <c r="L692" i="3"/>
  <c r="N691" i="3"/>
  <c r="J683" i="3"/>
  <c r="I683" i="3"/>
  <c r="K683" i="3" s="1"/>
  <c r="J682" i="3"/>
  <c r="I682" i="3"/>
  <c r="K682" i="3" s="1"/>
  <c r="J681" i="3"/>
  <c r="J680" i="3"/>
  <c r="I680" i="3"/>
  <c r="K680" i="3" s="1"/>
  <c r="J679" i="3"/>
  <c r="I679" i="3"/>
  <c r="J678" i="3"/>
  <c r="J677" i="3"/>
  <c r="I677" i="3"/>
  <c r="I676" i="3"/>
  <c r="I675" i="3"/>
  <c r="J674" i="3"/>
  <c r="I674" i="3"/>
  <c r="J673" i="3"/>
  <c r="J672" i="3"/>
  <c r="J662" i="3"/>
  <c r="I662" i="3"/>
  <c r="I661" i="3"/>
  <c r="I658" i="3"/>
  <c r="J655" i="3"/>
  <c r="I655" i="3"/>
  <c r="K655" i="3" s="1"/>
  <c r="J654" i="3"/>
  <c r="I654" i="3"/>
  <c r="J653" i="3"/>
  <c r="I653" i="3"/>
  <c r="U651" i="3"/>
  <c r="T651" i="3"/>
  <c r="P651" i="3"/>
  <c r="O651" i="3"/>
  <c r="U650" i="3"/>
  <c r="T650" i="3"/>
  <c r="P650" i="3"/>
  <c r="O650" i="3"/>
  <c r="S649" i="3"/>
  <c r="R649" i="3"/>
  <c r="U649" i="3" s="1"/>
  <c r="Q649" i="3"/>
  <c r="T649" i="3" s="1"/>
  <c r="P649" i="3"/>
  <c r="N649" i="3"/>
  <c r="M649" i="3"/>
  <c r="L649" i="3"/>
  <c r="O649" i="3" s="1"/>
  <c r="S648" i="3"/>
  <c r="S645" i="3" s="1"/>
  <c r="S643" i="3" s="1"/>
  <c r="R648" i="3"/>
  <c r="Q648" i="3"/>
  <c r="Q645" i="3" s="1"/>
  <c r="P648" i="3"/>
  <c r="O648" i="3"/>
  <c r="U647" i="3"/>
  <c r="T647" i="3"/>
  <c r="P647" i="3"/>
  <c r="O647" i="3"/>
  <c r="O646" i="3"/>
  <c r="N646" i="3"/>
  <c r="M646" i="3"/>
  <c r="P646" i="3" s="1"/>
  <c r="L646" i="3"/>
  <c r="N645" i="3"/>
  <c r="M645" i="3"/>
  <c r="L645" i="3"/>
  <c r="U644" i="3"/>
  <c r="S644" i="3"/>
  <c r="R644" i="3"/>
  <c r="Q644" i="3"/>
  <c r="P644" i="3"/>
  <c r="O644" i="3"/>
  <c r="N644" i="3"/>
  <c r="M644" i="3"/>
  <c r="L644" i="3"/>
  <c r="N643" i="3"/>
  <c r="J637" i="3"/>
  <c r="J636" i="3"/>
  <c r="I636" i="3"/>
  <c r="K636" i="3" s="1"/>
  <c r="J633" i="3"/>
  <c r="I629" i="3"/>
  <c r="K629" i="3" s="1"/>
  <c r="I628" i="3"/>
  <c r="K628" i="3" s="1"/>
  <c r="J627" i="3"/>
  <c r="J616" i="3" s="1"/>
  <c r="I627" i="3"/>
  <c r="I616" i="3" s="1"/>
  <c r="K616" i="3" s="1"/>
  <c r="U625" i="3"/>
  <c r="T625" i="3"/>
  <c r="P625" i="3"/>
  <c r="O625" i="3"/>
  <c r="U624" i="3"/>
  <c r="T624" i="3"/>
  <c r="P624" i="3"/>
  <c r="O624" i="3"/>
  <c r="S623" i="3"/>
  <c r="R623" i="3"/>
  <c r="U623" i="3" s="1"/>
  <c r="Q623" i="3"/>
  <c r="T623" i="3" s="1"/>
  <c r="N623" i="3"/>
  <c r="M623" i="3"/>
  <c r="P623" i="3" s="1"/>
  <c r="L623" i="3"/>
  <c r="O623" i="3" s="1"/>
  <c r="S622" i="3"/>
  <c r="R622" i="3"/>
  <c r="R619" i="3" s="1"/>
  <c r="Q622" i="3"/>
  <c r="P622" i="3"/>
  <c r="O622" i="3"/>
  <c r="U621" i="3"/>
  <c r="T621" i="3"/>
  <c r="P621" i="3"/>
  <c r="O621" i="3"/>
  <c r="P620" i="3"/>
  <c r="O620" i="3"/>
  <c r="N620" i="3"/>
  <c r="M620" i="3"/>
  <c r="L620" i="3"/>
  <c r="N619" i="3"/>
  <c r="N617" i="3" s="1"/>
  <c r="M619" i="3"/>
  <c r="L619" i="3"/>
  <c r="O619" i="3" s="1"/>
  <c r="S618" i="3"/>
  <c r="R618" i="3"/>
  <c r="Q618" i="3"/>
  <c r="P618" i="3"/>
  <c r="N618" i="3"/>
  <c r="M618" i="3"/>
  <c r="L618" i="3"/>
  <c r="U608" i="3"/>
  <c r="T608" i="3"/>
  <c r="P608" i="3"/>
  <c r="O608" i="3"/>
  <c r="U607" i="3"/>
  <c r="T607" i="3"/>
  <c r="P607" i="3"/>
  <c r="O607" i="3"/>
  <c r="S606" i="3"/>
  <c r="R606" i="3"/>
  <c r="U606" i="3" s="1"/>
  <c r="Q606" i="3"/>
  <c r="T606" i="3" s="1"/>
  <c r="N606" i="3"/>
  <c r="M606" i="3"/>
  <c r="P606" i="3" s="1"/>
  <c r="L606" i="3"/>
  <c r="O606" i="3" s="1"/>
  <c r="U605" i="3"/>
  <c r="T605" i="3"/>
  <c r="P605" i="3"/>
  <c r="O605" i="3"/>
  <c r="U604" i="3"/>
  <c r="T604" i="3"/>
  <c r="P604" i="3"/>
  <c r="O604" i="3"/>
  <c r="S603" i="3"/>
  <c r="R603" i="3"/>
  <c r="U603" i="3" s="1"/>
  <c r="Q603" i="3"/>
  <c r="T603" i="3" s="1"/>
  <c r="N603" i="3"/>
  <c r="M603" i="3"/>
  <c r="P603" i="3" s="1"/>
  <c r="L603" i="3"/>
  <c r="O603" i="3" s="1"/>
  <c r="U602" i="3"/>
  <c r="S602" i="3"/>
  <c r="R602" i="3"/>
  <c r="Q602" i="3"/>
  <c r="P602" i="3"/>
  <c r="O602" i="3"/>
  <c r="N602" i="3"/>
  <c r="M602" i="3"/>
  <c r="L602" i="3"/>
  <c r="U601" i="3"/>
  <c r="T601" i="3"/>
  <c r="S601" i="3"/>
  <c r="R601" i="3"/>
  <c r="Q601" i="3"/>
  <c r="O601" i="3"/>
  <c r="N601" i="3"/>
  <c r="N600" i="3" s="1"/>
  <c r="M601" i="3"/>
  <c r="P601" i="3" s="1"/>
  <c r="L601" i="3"/>
  <c r="S600" i="3"/>
  <c r="R600" i="3"/>
  <c r="U600" i="3" s="1"/>
  <c r="M600" i="3"/>
  <c r="P600" i="3" s="1"/>
  <c r="L600" i="3"/>
  <c r="O600" i="3" s="1"/>
  <c r="U585" i="3"/>
  <c r="T585" i="3"/>
  <c r="P585" i="3"/>
  <c r="O585" i="3"/>
  <c r="U584" i="3"/>
  <c r="T584" i="3"/>
  <c r="P584" i="3"/>
  <c r="O584" i="3"/>
  <c r="S583" i="3"/>
  <c r="R583" i="3"/>
  <c r="U583" i="3" s="1"/>
  <c r="Q583" i="3"/>
  <c r="T583" i="3" s="1"/>
  <c r="N583" i="3"/>
  <c r="M583" i="3"/>
  <c r="P583" i="3" s="1"/>
  <c r="L583" i="3"/>
  <c r="O583" i="3" s="1"/>
  <c r="U582" i="3"/>
  <c r="T582" i="3"/>
  <c r="P582" i="3"/>
  <c r="O582" i="3"/>
  <c r="U581" i="3"/>
  <c r="T581" i="3"/>
  <c r="P581" i="3"/>
  <c r="O581" i="3"/>
  <c r="S580" i="3"/>
  <c r="R580" i="3"/>
  <c r="U580" i="3" s="1"/>
  <c r="Q580" i="3"/>
  <c r="T580" i="3" s="1"/>
  <c r="N580" i="3"/>
  <c r="M580" i="3"/>
  <c r="P580" i="3" s="1"/>
  <c r="L580" i="3"/>
  <c r="O580" i="3" s="1"/>
  <c r="U579" i="3"/>
  <c r="S579" i="3"/>
  <c r="R579" i="3"/>
  <c r="Q579" i="3"/>
  <c r="P579" i="3"/>
  <c r="O579" i="3"/>
  <c r="N579" i="3"/>
  <c r="M579" i="3"/>
  <c r="L579" i="3"/>
  <c r="U578" i="3"/>
  <c r="T578" i="3"/>
  <c r="S578" i="3"/>
  <c r="R578" i="3"/>
  <c r="Q578" i="3"/>
  <c r="O578" i="3"/>
  <c r="N578" i="3"/>
  <c r="N577" i="3" s="1"/>
  <c r="M578" i="3"/>
  <c r="P578" i="3" s="1"/>
  <c r="L578" i="3"/>
  <c r="S577" i="3"/>
  <c r="R577" i="3"/>
  <c r="U577" i="3" s="1"/>
  <c r="M577" i="3"/>
  <c r="P577" i="3" s="1"/>
  <c r="L577" i="3"/>
  <c r="O577" i="3" s="1"/>
  <c r="K576" i="3"/>
  <c r="J576" i="3"/>
  <c r="I576" i="3"/>
  <c r="U564" i="3"/>
  <c r="T564" i="3"/>
  <c r="P564" i="3"/>
  <c r="O564" i="3"/>
  <c r="U563" i="3"/>
  <c r="T563" i="3"/>
  <c r="P563" i="3"/>
  <c r="O563" i="3"/>
  <c r="U562" i="3"/>
  <c r="T562" i="3"/>
  <c r="S562" i="3"/>
  <c r="R562" i="3"/>
  <c r="Q562" i="3"/>
  <c r="P562" i="3"/>
  <c r="O562" i="3"/>
  <c r="N562" i="3"/>
  <c r="M562" i="3"/>
  <c r="L562" i="3"/>
  <c r="U561" i="3"/>
  <c r="T561" i="3"/>
  <c r="P561" i="3"/>
  <c r="O561" i="3"/>
  <c r="U560" i="3"/>
  <c r="T560" i="3"/>
  <c r="P560" i="3"/>
  <c r="O560" i="3"/>
  <c r="U559" i="3"/>
  <c r="T559" i="3"/>
  <c r="S559" i="3"/>
  <c r="R559" i="3"/>
  <c r="Q559" i="3"/>
  <c r="P559" i="3"/>
  <c r="O559" i="3"/>
  <c r="N559" i="3"/>
  <c r="M559" i="3"/>
  <c r="L559" i="3"/>
  <c r="T558" i="3"/>
  <c r="S558" i="3"/>
  <c r="S556" i="3" s="1"/>
  <c r="R558" i="3"/>
  <c r="U558" i="3" s="1"/>
  <c r="Q558" i="3"/>
  <c r="N558" i="3"/>
  <c r="N556" i="3" s="1"/>
  <c r="M558" i="3"/>
  <c r="L558" i="3"/>
  <c r="O558" i="3" s="1"/>
  <c r="S557" i="3"/>
  <c r="R557" i="3"/>
  <c r="Q557" i="3"/>
  <c r="P557" i="3"/>
  <c r="N557" i="3"/>
  <c r="M557" i="3"/>
  <c r="L557" i="3"/>
  <c r="J555" i="3"/>
  <c r="I555" i="3"/>
  <c r="K555" i="3" s="1"/>
  <c r="U543" i="3"/>
  <c r="T543" i="3"/>
  <c r="P543" i="3"/>
  <c r="O543" i="3"/>
  <c r="U542" i="3"/>
  <c r="T542" i="3"/>
  <c r="P542" i="3"/>
  <c r="O542" i="3"/>
  <c r="S541" i="3"/>
  <c r="R541" i="3"/>
  <c r="U541" i="3" s="1"/>
  <c r="Q541" i="3"/>
  <c r="T541" i="3" s="1"/>
  <c r="N541" i="3"/>
  <c r="M541" i="3"/>
  <c r="P541" i="3" s="1"/>
  <c r="L541" i="3"/>
  <c r="O541" i="3" s="1"/>
  <c r="U540" i="3"/>
  <c r="T540" i="3"/>
  <c r="P540" i="3"/>
  <c r="O540" i="3"/>
  <c r="U539" i="3"/>
  <c r="T539" i="3"/>
  <c r="P539" i="3"/>
  <c r="O539" i="3"/>
  <c r="S538" i="3"/>
  <c r="R538" i="3"/>
  <c r="U538" i="3" s="1"/>
  <c r="Q538" i="3"/>
  <c r="T538" i="3" s="1"/>
  <c r="N538" i="3"/>
  <c r="M538" i="3"/>
  <c r="P538" i="3" s="1"/>
  <c r="L538" i="3"/>
  <c r="O538" i="3" s="1"/>
  <c r="U537" i="3"/>
  <c r="S537" i="3"/>
  <c r="R537" i="3"/>
  <c r="Q537" i="3"/>
  <c r="P537" i="3"/>
  <c r="O537" i="3"/>
  <c r="N537" i="3"/>
  <c r="M537" i="3"/>
  <c r="L537" i="3"/>
  <c r="U536" i="3"/>
  <c r="T536" i="3"/>
  <c r="S536" i="3"/>
  <c r="R536" i="3"/>
  <c r="Q536" i="3"/>
  <c r="O536" i="3"/>
  <c r="N536" i="3"/>
  <c r="N535" i="3" s="1"/>
  <c r="M536" i="3"/>
  <c r="P536" i="3" s="1"/>
  <c r="L536" i="3"/>
  <c r="S535" i="3"/>
  <c r="R535" i="3"/>
  <c r="U535" i="3" s="1"/>
  <c r="M535" i="3"/>
  <c r="P535" i="3" s="1"/>
  <c r="L535" i="3"/>
  <c r="O535" i="3" s="1"/>
  <c r="K534" i="3"/>
  <c r="J534" i="3"/>
  <c r="I534" i="3"/>
  <c r="K525" i="3"/>
  <c r="K524" i="3"/>
  <c r="U522" i="3"/>
  <c r="T522" i="3"/>
  <c r="N522" i="3"/>
  <c r="N520" i="3" s="1"/>
  <c r="M522" i="3"/>
  <c r="L522" i="3"/>
  <c r="U521" i="3"/>
  <c r="T521" i="3"/>
  <c r="P521" i="3"/>
  <c r="O521" i="3"/>
  <c r="U520" i="3"/>
  <c r="T520" i="3"/>
  <c r="S520" i="3"/>
  <c r="R520" i="3"/>
  <c r="Q520" i="3"/>
  <c r="U519" i="3"/>
  <c r="T519" i="3"/>
  <c r="N519" i="3"/>
  <c r="M519" i="3"/>
  <c r="M517" i="3" s="1"/>
  <c r="P517" i="3" s="1"/>
  <c r="L519" i="3"/>
  <c r="U518" i="3"/>
  <c r="T518" i="3"/>
  <c r="P518" i="3"/>
  <c r="O518" i="3"/>
  <c r="S517" i="3"/>
  <c r="R517" i="3"/>
  <c r="U517" i="3" s="1"/>
  <c r="Q517" i="3"/>
  <c r="T517" i="3" s="1"/>
  <c r="U516" i="3"/>
  <c r="T516" i="3"/>
  <c r="S516" i="3"/>
  <c r="R516" i="3"/>
  <c r="Q516" i="3"/>
  <c r="T515" i="3"/>
  <c r="S515" i="3"/>
  <c r="S514" i="3" s="1"/>
  <c r="R515" i="3"/>
  <c r="U515" i="3" s="1"/>
  <c r="Q515" i="3"/>
  <c r="N515" i="3"/>
  <c r="M515" i="3"/>
  <c r="L515" i="3"/>
  <c r="O515" i="3" s="1"/>
  <c r="R514" i="3"/>
  <c r="U514" i="3" s="1"/>
  <c r="Q514" i="3"/>
  <c r="T514" i="3" s="1"/>
  <c r="K513" i="3"/>
  <c r="J513" i="3"/>
  <c r="I513" i="3"/>
  <c r="I510" i="3"/>
  <c r="K510" i="3" s="1"/>
  <c r="K509" i="3"/>
  <c r="I508" i="3"/>
  <c r="K508" i="3" s="1"/>
  <c r="I507" i="3"/>
  <c r="K507" i="3" s="1"/>
  <c r="I506" i="3"/>
  <c r="K506" i="3" s="1"/>
  <c r="I505" i="3"/>
  <c r="K505" i="3" s="1"/>
  <c r="I504" i="3"/>
  <c r="K504" i="3" s="1"/>
  <c r="U502" i="3"/>
  <c r="T502" i="3"/>
  <c r="P502" i="3"/>
  <c r="O502" i="3"/>
  <c r="U501" i="3"/>
  <c r="T501" i="3"/>
  <c r="P501" i="3"/>
  <c r="O501" i="3"/>
  <c r="U500" i="3"/>
  <c r="S500" i="3"/>
  <c r="R500" i="3"/>
  <c r="Q500" i="3"/>
  <c r="T500" i="3" s="1"/>
  <c r="P500" i="3"/>
  <c r="O500" i="3"/>
  <c r="N500" i="3"/>
  <c r="M500" i="3"/>
  <c r="L500" i="3"/>
  <c r="S499" i="3"/>
  <c r="R499" i="3"/>
  <c r="R497" i="3" s="1"/>
  <c r="U497" i="3" s="1"/>
  <c r="Q499" i="3"/>
  <c r="P499" i="3"/>
  <c r="O499" i="3"/>
  <c r="U498" i="3"/>
  <c r="T498" i="3"/>
  <c r="P498" i="3"/>
  <c r="O498" i="3"/>
  <c r="N497" i="3"/>
  <c r="M497" i="3"/>
  <c r="P497" i="3" s="1"/>
  <c r="L497" i="3"/>
  <c r="O497" i="3" s="1"/>
  <c r="P496" i="3"/>
  <c r="N496" i="3"/>
  <c r="M496" i="3"/>
  <c r="L496" i="3"/>
  <c r="U495" i="3"/>
  <c r="T495" i="3"/>
  <c r="S495" i="3"/>
  <c r="R495" i="3"/>
  <c r="Q495" i="3"/>
  <c r="P495" i="3"/>
  <c r="O495" i="3"/>
  <c r="N495" i="3"/>
  <c r="M495" i="3"/>
  <c r="L495" i="3"/>
  <c r="N494" i="3"/>
  <c r="M494" i="3"/>
  <c r="P494" i="3" s="1"/>
  <c r="K486" i="3"/>
  <c r="J486" i="3"/>
  <c r="I486" i="3"/>
  <c r="K485" i="3"/>
  <c r="J485" i="3"/>
  <c r="I485" i="3"/>
  <c r="J484" i="3"/>
  <c r="J483" i="3"/>
  <c r="K478" i="3"/>
  <c r="J478" i="3"/>
  <c r="K477" i="3"/>
  <c r="J477" i="3"/>
  <c r="K476" i="3"/>
  <c r="J476" i="3"/>
  <c r="J469" i="3"/>
  <c r="J468" i="3"/>
  <c r="J458" i="3" s="1"/>
  <c r="J461" i="3"/>
  <c r="J460" i="3"/>
  <c r="J459" i="3"/>
  <c r="I459" i="3"/>
  <c r="K459" i="3" s="1"/>
  <c r="I458" i="3"/>
  <c r="I457" i="3" s="1"/>
  <c r="K457" i="3" s="1"/>
  <c r="J457" i="3"/>
  <c r="J448" i="3"/>
  <c r="J447" i="3"/>
  <c r="J442" i="3"/>
  <c r="I442" i="3"/>
  <c r="K442" i="3" s="1"/>
  <c r="J441" i="3"/>
  <c r="I441" i="3"/>
  <c r="K441" i="3" s="1"/>
  <c r="J434" i="3"/>
  <c r="I434" i="3"/>
  <c r="K434" i="3" s="1"/>
  <c r="J433" i="3"/>
  <c r="I433" i="3"/>
  <c r="K433" i="3" s="1"/>
  <c r="J426" i="3"/>
  <c r="I426" i="3"/>
  <c r="K426" i="3" s="1"/>
  <c r="J425" i="3"/>
  <c r="I425" i="3"/>
  <c r="K425" i="3" s="1"/>
  <c r="J424" i="3"/>
  <c r="U422" i="3"/>
  <c r="T422" i="3"/>
  <c r="P422" i="3"/>
  <c r="O422" i="3"/>
  <c r="U421" i="3"/>
  <c r="T421" i="3"/>
  <c r="P421" i="3"/>
  <c r="O421" i="3"/>
  <c r="S420" i="3"/>
  <c r="R420" i="3"/>
  <c r="U420" i="3" s="1"/>
  <c r="Q420" i="3"/>
  <c r="T420" i="3" s="1"/>
  <c r="N420" i="3"/>
  <c r="M420" i="3"/>
  <c r="P420" i="3" s="1"/>
  <c r="L420" i="3"/>
  <c r="O420" i="3" s="1"/>
  <c r="S419" i="3"/>
  <c r="S417" i="3" s="1"/>
  <c r="R419" i="3"/>
  <c r="Q419" i="3"/>
  <c r="P419" i="3"/>
  <c r="O419" i="3"/>
  <c r="U418" i="3"/>
  <c r="T418" i="3"/>
  <c r="P418" i="3"/>
  <c r="O418" i="3"/>
  <c r="P417" i="3"/>
  <c r="O417" i="3"/>
  <c r="N417" i="3"/>
  <c r="M417" i="3"/>
  <c r="L417" i="3"/>
  <c r="N416" i="3"/>
  <c r="N414" i="3" s="1"/>
  <c r="M416" i="3"/>
  <c r="L416" i="3"/>
  <c r="O416" i="3" s="1"/>
  <c r="S415" i="3"/>
  <c r="R415" i="3"/>
  <c r="Q415" i="3"/>
  <c r="N415" i="3"/>
  <c r="M415" i="3"/>
  <c r="P415" i="3" s="1"/>
  <c r="L415" i="3"/>
  <c r="J413" i="3"/>
  <c r="U401" i="3"/>
  <c r="T401" i="3"/>
  <c r="P401" i="3"/>
  <c r="O401" i="3"/>
  <c r="U400" i="3"/>
  <c r="T400" i="3"/>
  <c r="P400" i="3"/>
  <c r="O400" i="3"/>
  <c r="S399" i="3"/>
  <c r="R399" i="3"/>
  <c r="U399" i="3" s="1"/>
  <c r="Q399" i="3"/>
  <c r="T399" i="3" s="1"/>
  <c r="N399" i="3"/>
  <c r="M399" i="3"/>
  <c r="P399" i="3" s="1"/>
  <c r="L399" i="3"/>
  <c r="O399" i="3" s="1"/>
  <c r="U398" i="3"/>
  <c r="T398" i="3"/>
  <c r="P398" i="3"/>
  <c r="O398" i="3"/>
  <c r="U397" i="3"/>
  <c r="T397" i="3"/>
  <c r="P397" i="3"/>
  <c r="O397" i="3"/>
  <c r="S396" i="3"/>
  <c r="R396" i="3"/>
  <c r="U396" i="3" s="1"/>
  <c r="Q396" i="3"/>
  <c r="T396" i="3" s="1"/>
  <c r="N396" i="3"/>
  <c r="M396" i="3"/>
  <c r="P396" i="3" s="1"/>
  <c r="L396" i="3"/>
  <c r="O396" i="3" s="1"/>
  <c r="S395" i="3"/>
  <c r="R395" i="3"/>
  <c r="U395" i="3" s="1"/>
  <c r="Q395" i="3"/>
  <c r="P395" i="3"/>
  <c r="N395" i="3"/>
  <c r="M395" i="3"/>
  <c r="L395" i="3"/>
  <c r="O395" i="3" s="1"/>
  <c r="U394" i="3"/>
  <c r="T394" i="3"/>
  <c r="S394" i="3"/>
  <c r="R394" i="3"/>
  <c r="Q394" i="3"/>
  <c r="O394" i="3"/>
  <c r="N394" i="3"/>
  <c r="N393" i="3" s="1"/>
  <c r="M394" i="3"/>
  <c r="P394" i="3" s="1"/>
  <c r="L394" i="3"/>
  <c r="S393" i="3"/>
  <c r="R393" i="3"/>
  <c r="U393" i="3" s="1"/>
  <c r="M393" i="3"/>
  <c r="P393" i="3" s="1"/>
  <c r="L393" i="3"/>
  <c r="O393" i="3" s="1"/>
  <c r="K392" i="3"/>
  <c r="J392" i="3"/>
  <c r="I392" i="3"/>
  <c r="J389" i="3"/>
  <c r="I389" i="3"/>
  <c r="K389" i="3" s="1"/>
  <c r="K388" i="3"/>
  <c r="J388" i="3"/>
  <c r="J387" i="3"/>
  <c r="I387" i="3"/>
  <c r="K386" i="3"/>
  <c r="J386" i="3"/>
  <c r="U384" i="3"/>
  <c r="T384" i="3"/>
  <c r="P384" i="3"/>
  <c r="O384" i="3"/>
  <c r="U383" i="3"/>
  <c r="T383" i="3"/>
  <c r="P383" i="3"/>
  <c r="O383" i="3"/>
  <c r="T382" i="3"/>
  <c r="S382" i="3"/>
  <c r="R382" i="3"/>
  <c r="U382" i="3" s="1"/>
  <c r="Q382" i="3"/>
  <c r="N382" i="3"/>
  <c r="M382" i="3"/>
  <c r="P382" i="3" s="1"/>
  <c r="L382" i="3"/>
  <c r="O382" i="3" s="1"/>
  <c r="S381" i="3"/>
  <c r="S379" i="3" s="1"/>
  <c r="R381" i="3"/>
  <c r="Q381" i="3"/>
  <c r="Q379" i="3" s="1"/>
  <c r="P381" i="3"/>
  <c r="O381" i="3"/>
  <c r="U380" i="3"/>
  <c r="T380" i="3"/>
  <c r="P380" i="3"/>
  <c r="O380" i="3"/>
  <c r="P379" i="3"/>
  <c r="O379" i="3"/>
  <c r="N379" i="3"/>
  <c r="M379" i="3"/>
  <c r="L379" i="3"/>
  <c r="O378" i="3"/>
  <c r="N378" i="3"/>
  <c r="N376" i="3" s="1"/>
  <c r="M378" i="3"/>
  <c r="P378" i="3" s="1"/>
  <c r="L378" i="3"/>
  <c r="S377" i="3"/>
  <c r="R377" i="3"/>
  <c r="Q377" i="3"/>
  <c r="T377" i="3" s="1"/>
  <c r="N377" i="3"/>
  <c r="M377" i="3"/>
  <c r="L377" i="3"/>
  <c r="D374" i="3"/>
  <c r="K373" i="3"/>
  <c r="J373" i="3"/>
  <c r="J372" i="3"/>
  <c r="J366" i="3" s="1"/>
  <c r="I372" i="3"/>
  <c r="I366" i="3" s="1"/>
  <c r="K371" i="3"/>
  <c r="J371" i="3"/>
  <c r="J370" i="3"/>
  <c r="I370" i="3"/>
  <c r="J369" i="3"/>
  <c r="I369" i="3"/>
  <c r="K368" i="3"/>
  <c r="J368" i="3"/>
  <c r="U365" i="3"/>
  <c r="T365" i="3"/>
  <c r="N365" i="3"/>
  <c r="M365" i="3"/>
  <c r="M363" i="3" s="1"/>
  <c r="P363" i="3" s="1"/>
  <c r="L365" i="3"/>
  <c r="L363" i="3" s="1"/>
  <c r="O363" i="3" s="1"/>
  <c r="U364" i="3"/>
  <c r="T364" i="3"/>
  <c r="P364" i="3"/>
  <c r="O364" i="3"/>
  <c r="S363" i="3"/>
  <c r="R363" i="3"/>
  <c r="U363" i="3" s="1"/>
  <c r="Q363" i="3"/>
  <c r="T363" i="3" s="1"/>
  <c r="U362" i="3"/>
  <c r="T362" i="3"/>
  <c r="N362" i="3"/>
  <c r="N360" i="3" s="1"/>
  <c r="M362" i="3"/>
  <c r="M360" i="3" s="1"/>
  <c r="L362" i="3"/>
  <c r="U361" i="3"/>
  <c r="T361" i="3"/>
  <c r="P361" i="3"/>
  <c r="O361" i="3"/>
  <c r="U360" i="3"/>
  <c r="T360" i="3"/>
  <c r="S360" i="3"/>
  <c r="R360" i="3"/>
  <c r="Q360" i="3"/>
  <c r="S359" i="3"/>
  <c r="S357" i="3" s="1"/>
  <c r="R359" i="3"/>
  <c r="Q359" i="3"/>
  <c r="T359" i="3" s="1"/>
  <c r="U358" i="3"/>
  <c r="S358" i="3"/>
  <c r="R358" i="3"/>
  <c r="Q358" i="3"/>
  <c r="P358" i="3"/>
  <c r="O358" i="3"/>
  <c r="N358" i="3"/>
  <c r="M358" i="3"/>
  <c r="L358" i="3"/>
  <c r="D355" i="3"/>
  <c r="J354" i="3"/>
  <c r="J353" i="3"/>
  <c r="D351" i="3"/>
  <c r="J350" i="3"/>
  <c r="J349" i="3"/>
  <c r="J348" i="3"/>
  <c r="J347" i="3"/>
  <c r="I347" i="3"/>
  <c r="J345" i="3"/>
  <c r="I345" i="3"/>
  <c r="I333" i="3" s="1"/>
  <c r="U342" i="3"/>
  <c r="T342" i="3"/>
  <c r="N342" i="3"/>
  <c r="N340" i="3" s="1"/>
  <c r="M342" i="3"/>
  <c r="L342" i="3"/>
  <c r="U341" i="3"/>
  <c r="T341" i="3"/>
  <c r="P341" i="3"/>
  <c r="O341" i="3"/>
  <c r="U340" i="3"/>
  <c r="T340" i="3"/>
  <c r="S340" i="3"/>
  <c r="R340" i="3"/>
  <c r="Q340" i="3"/>
  <c r="U339" i="3"/>
  <c r="T339" i="3"/>
  <c r="N339" i="3"/>
  <c r="M339" i="3"/>
  <c r="M337" i="3" s="1"/>
  <c r="L339" i="3"/>
  <c r="L337" i="3" s="1"/>
  <c r="U338" i="3"/>
  <c r="T338" i="3"/>
  <c r="P338" i="3"/>
  <c r="O338" i="3"/>
  <c r="S337" i="3"/>
  <c r="R337" i="3"/>
  <c r="U337" i="3" s="1"/>
  <c r="Q337" i="3"/>
  <c r="T337" i="3" s="1"/>
  <c r="U336" i="3"/>
  <c r="T336" i="3"/>
  <c r="S336" i="3"/>
  <c r="R336" i="3"/>
  <c r="Q336" i="3"/>
  <c r="T335" i="3"/>
  <c r="S335" i="3"/>
  <c r="S334" i="3" s="1"/>
  <c r="R335" i="3"/>
  <c r="U335" i="3" s="1"/>
  <c r="Q335" i="3"/>
  <c r="N335" i="3"/>
  <c r="M335" i="3"/>
  <c r="L335" i="3"/>
  <c r="O335" i="3" s="1"/>
  <c r="Q334" i="3"/>
  <c r="T334" i="3" s="1"/>
  <c r="I331" i="3"/>
  <c r="K331" i="3" s="1"/>
  <c r="U329" i="3"/>
  <c r="T329" i="3"/>
  <c r="N329" i="3"/>
  <c r="N327" i="3" s="1"/>
  <c r="M329" i="3"/>
  <c r="P329" i="3" s="1"/>
  <c r="L329" i="3"/>
  <c r="U328" i="3"/>
  <c r="T328" i="3"/>
  <c r="P328" i="3"/>
  <c r="O328" i="3"/>
  <c r="T327" i="3"/>
  <c r="S327" i="3"/>
  <c r="R327" i="3"/>
  <c r="U327" i="3" s="1"/>
  <c r="Q327" i="3"/>
  <c r="U326" i="3"/>
  <c r="T326" i="3"/>
  <c r="N326" i="3"/>
  <c r="N324" i="3" s="1"/>
  <c r="M326" i="3"/>
  <c r="L326" i="3"/>
  <c r="L324" i="3" s="1"/>
  <c r="O324" i="3" s="1"/>
  <c r="U325" i="3"/>
  <c r="T325" i="3"/>
  <c r="P325" i="3"/>
  <c r="O325" i="3"/>
  <c r="U324" i="3"/>
  <c r="S324" i="3"/>
  <c r="R324" i="3"/>
  <c r="Q324" i="3"/>
  <c r="T324" i="3" s="1"/>
  <c r="U323" i="3"/>
  <c r="T323" i="3"/>
  <c r="S323" i="3"/>
  <c r="R323" i="3"/>
  <c r="Q323" i="3"/>
  <c r="S322" i="3"/>
  <c r="S321" i="3" s="1"/>
  <c r="R322" i="3"/>
  <c r="Q322" i="3"/>
  <c r="T322" i="3" s="1"/>
  <c r="N322" i="3"/>
  <c r="M322" i="3"/>
  <c r="L322" i="3"/>
  <c r="Q321" i="3"/>
  <c r="T321" i="3" s="1"/>
  <c r="J320" i="3"/>
  <c r="I315" i="3"/>
  <c r="K315" i="3" s="1"/>
  <c r="U312" i="3"/>
  <c r="T312" i="3"/>
  <c r="N312" i="3"/>
  <c r="N310" i="3" s="1"/>
  <c r="M312" i="3"/>
  <c r="P312" i="3" s="1"/>
  <c r="L312" i="3"/>
  <c r="O312" i="3" s="1"/>
  <c r="U311" i="3"/>
  <c r="T311" i="3"/>
  <c r="P311" i="3"/>
  <c r="O311" i="3"/>
  <c r="S310" i="3"/>
  <c r="R310" i="3"/>
  <c r="U310" i="3" s="1"/>
  <c r="Q310" i="3"/>
  <c r="T310" i="3" s="1"/>
  <c r="S309" i="3"/>
  <c r="S307" i="3" s="1"/>
  <c r="R309" i="3"/>
  <c r="R307" i="3" s="1"/>
  <c r="Q309" i="3"/>
  <c r="Q307" i="3" s="1"/>
  <c r="N309" i="3"/>
  <c r="N307" i="3" s="1"/>
  <c r="M309" i="3"/>
  <c r="P309" i="3" s="1"/>
  <c r="L309" i="3"/>
  <c r="O309" i="3" s="1"/>
  <c r="U308" i="3"/>
  <c r="T308" i="3"/>
  <c r="P308" i="3"/>
  <c r="O308" i="3"/>
  <c r="U305" i="3"/>
  <c r="T305" i="3"/>
  <c r="S305" i="3"/>
  <c r="R305" i="3"/>
  <c r="Q305" i="3"/>
  <c r="O305" i="3"/>
  <c r="N305" i="3"/>
  <c r="M305" i="3"/>
  <c r="P305" i="3" s="1"/>
  <c r="L305" i="3"/>
  <c r="J303" i="3"/>
  <c r="I297" i="3"/>
  <c r="K297" i="3" s="1"/>
  <c r="I296" i="3"/>
  <c r="K296" i="3" s="1"/>
  <c r="J294" i="3"/>
  <c r="I294" i="3"/>
  <c r="I281" i="3" s="1"/>
  <c r="K281" i="3" s="1"/>
  <c r="I293" i="3"/>
  <c r="I282" i="3" s="1"/>
  <c r="K282" i="3" s="1"/>
  <c r="U291" i="3"/>
  <c r="T291" i="3"/>
  <c r="N291" i="3"/>
  <c r="M291" i="3"/>
  <c r="L291" i="3"/>
  <c r="U290" i="3"/>
  <c r="T290" i="3"/>
  <c r="P290" i="3"/>
  <c r="O290" i="3"/>
  <c r="U289" i="3"/>
  <c r="T289" i="3"/>
  <c r="S289" i="3"/>
  <c r="R289" i="3"/>
  <c r="Q289" i="3"/>
  <c r="U288" i="3"/>
  <c r="T288" i="3"/>
  <c r="N288" i="3"/>
  <c r="N286" i="3" s="1"/>
  <c r="M288" i="3"/>
  <c r="M286" i="3" s="1"/>
  <c r="P286" i="3" s="1"/>
  <c r="L288" i="3"/>
  <c r="O288" i="3" s="1"/>
  <c r="U287" i="3"/>
  <c r="T287" i="3"/>
  <c r="P287" i="3"/>
  <c r="O287" i="3"/>
  <c r="S286" i="3"/>
  <c r="R286" i="3"/>
  <c r="U286" i="3" s="1"/>
  <c r="Q286" i="3"/>
  <c r="T286" i="3" s="1"/>
  <c r="U285" i="3"/>
  <c r="S285" i="3"/>
  <c r="R285" i="3"/>
  <c r="Q285" i="3"/>
  <c r="T285" i="3" s="1"/>
  <c r="U284" i="3"/>
  <c r="T284" i="3"/>
  <c r="S284" i="3"/>
  <c r="R284" i="3"/>
  <c r="Q284" i="3"/>
  <c r="O284" i="3"/>
  <c r="N284" i="3"/>
  <c r="M284" i="3"/>
  <c r="P284" i="3" s="1"/>
  <c r="L284" i="3"/>
  <c r="S283" i="3"/>
  <c r="R283" i="3"/>
  <c r="U283" i="3" s="1"/>
  <c r="Q283" i="3"/>
  <c r="T283" i="3" s="1"/>
  <c r="J282" i="3"/>
  <c r="J281" i="3"/>
  <c r="I277" i="3"/>
  <c r="I266" i="3" s="1"/>
  <c r="U275" i="3"/>
  <c r="T275" i="3"/>
  <c r="N275" i="3"/>
  <c r="N273" i="3" s="1"/>
  <c r="M275" i="3"/>
  <c r="M273" i="3" s="1"/>
  <c r="P273" i="3" s="1"/>
  <c r="L275" i="3"/>
  <c r="O275" i="3" s="1"/>
  <c r="U274" i="3"/>
  <c r="T274" i="3"/>
  <c r="P274" i="3"/>
  <c r="O274" i="3"/>
  <c r="S273" i="3"/>
  <c r="R273" i="3"/>
  <c r="U273" i="3" s="1"/>
  <c r="Q273" i="3"/>
  <c r="T273" i="3" s="1"/>
  <c r="S272" i="3"/>
  <c r="S269" i="3" s="1"/>
  <c r="R272" i="3"/>
  <c r="R269" i="3" s="1"/>
  <c r="Q272" i="3"/>
  <c r="Q269" i="3" s="1"/>
  <c r="N272" i="3"/>
  <c r="N270" i="3" s="1"/>
  <c r="M272" i="3"/>
  <c r="M270" i="3" s="1"/>
  <c r="L272" i="3"/>
  <c r="U271" i="3"/>
  <c r="T271" i="3"/>
  <c r="P271" i="3"/>
  <c r="O271" i="3"/>
  <c r="T268" i="3"/>
  <c r="S268" i="3"/>
  <c r="R268" i="3"/>
  <c r="U268" i="3" s="1"/>
  <c r="Q268" i="3"/>
  <c r="N268" i="3"/>
  <c r="M268" i="3"/>
  <c r="L268" i="3"/>
  <c r="J266" i="3"/>
  <c r="K264" i="3"/>
  <c r="K263" i="3"/>
  <c r="I261" i="3"/>
  <c r="I254" i="3" s="1"/>
  <c r="K254" i="3" s="1"/>
  <c r="L259" i="3"/>
  <c r="L258" i="3"/>
  <c r="L257" i="3"/>
  <c r="L256" i="3"/>
  <c r="P255" i="3"/>
  <c r="N255" i="3"/>
  <c r="J254" i="3"/>
  <c r="I253" i="3"/>
  <c r="K253" i="3" s="1"/>
  <c r="I252" i="3"/>
  <c r="K252" i="3" s="1"/>
  <c r="I250" i="3"/>
  <c r="L248" i="3"/>
  <c r="L247" i="3"/>
  <c r="L246" i="3"/>
  <c r="L245" i="3"/>
  <c r="P244" i="3"/>
  <c r="N244" i="3"/>
  <c r="J243" i="3"/>
  <c r="J242" i="3"/>
  <c r="J241" i="3"/>
  <c r="J239" i="3"/>
  <c r="N237" i="3"/>
  <c r="N236" i="3"/>
  <c r="N235" i="3"/>
  <c r="N234" i="3"/>
  <c r="J232" i="3"/>
  <c r="J186" i="3" s="1"/>
  <c r="I231" i="3"/>
  <c r="K231" i="3" s="1"/>
  <c r="I230" i="3"/>
  <c r="I222" i="3" s="1"/>
  <c r="K222" i="3" s="1"/>
  <c r="I229" i="3"/>
  <c r="K229" i="3" s="1"/>
  <c r="L226" i="3"/>
  <c r="L225" i="3"/>
  <c r="L224" i="3"/>
  <c r="P223" i="3"/>
  <c r="N223" i="3"/>
  <c r="J222" i="3"/>
  <c r="I221" i="3"/>
  <c r="I214" i="3" s="1"/>
  <c r="I220" i="3"/>
  <c r="K220" i="3" s="1"/>
  <c r="L218" i="3"/>
  <c r="L217" i="3"/>
  <c r="L216" i="3"/>
  <c r="P215" i="3"/>
  <c r="N215" i="3"/>
  <c r="J214" i="3"/>
  <c r="I213" i="3"/>
  <c r="K213" i="3" s="1"/>
  <c r="I212" i="3"/>
  <c r="K212" i="3" s="1"/>
  <c r="I210" i="3"/>
  <c r="K210" i="3" s="1"/>
  <c r="L208" i="3"/>
  <c r="L207" i="3"/>
  <c r="L206" i="3"/>
  <c r="L205" i="3"/>
  <c r="P204" i="3"/>
  <c r="N204" i="3"/>
  <c r="J203" i="3"/>
  <c r="J200" i="3"/>
  <c r="I199" i="3"/>
  <c r="I196" i="3" s="1"/>
  <c r="P197" i="3"/>
  <c r="L197" i="3"/>
  <c r="O197" i="3" s="1"/>
  <c r="J196" i="3"/>
  <c r="U195" i="3"/>
  <c r="T195" i="3"/>
  <c r="N195" i="3"/>
  <c r="N193" i="3" s="1"/>
  <c r="M195" i="3"/>
  <c r="P195" i="3" s="1"/>
  <c r="L195" i="3"/>
  <c r="O195" i="3" s="1"/>
  <c r="U194" i="3"/>
  <c r="T194" i="3"/>
  <c r="P194" i="3"/>
  <c r="O194" i="3"/>
  <c r="T193" i="3"/>
  <c r="S193" i="3"/>
  <c r="R193" i="3"/>
  <c r="U193" i="3" s="1"/>
  <c r="Q193" i="3"/>
  <c r="S192" i="3"/>
  <c r="S190" i="3" s="1"/>
  <c r="R192" i="3"/>
  <c r="R190" i="3" s="1"/>
  <c r="Q192" i="3"/>
  <c r="N192" i="3"/>
  <c r="M192" i="3"/>
  <c r="L192" i="3"/>
  <c r="L190" i="3" s="1"/>
  <c r="U191" i="3"/>
  <c r="T191" i="3"/>
  <c r="P191" i="3"/>
  <c r="O191" i="3"/>
  <c r="U188" i="3"/>
  <c r="T188" i="3"/>
  <c r="S188" i="3"/>
  <c r="R188" i="3"/>
  <c r="Q188" i="3"/>
  <c r="P188" i="3"/>
  <c r="O188" i="3"/>
  <c r="N188" i="3"/>
  <c r="M188" i="3"/>
  <c r="L188" i="3"/>
  <c r="K185" i="3"/>
  <c r="I184" i="3"/>
  <c r="K184" i="3" s="1"/>
  <c r="U182" i="3"/>
  <c r="T182" i="3"/>
  <c r="N182" i="3"/>
  <c r="N180" i="3" s="1"/>
  <c r="M182" i="3"/>
  <c r="L182" i="3"/>
  <c r="O182" i="3" s="1"/>
  <c r="U181" i="3"/>
  <c r="T181" i="3"/>
  <c r="P181" i="3"/>
  <c r="O181" i="3"/>
  <c r="U180" i="3"/>
  <c r="S180" i="3"/>
  <c r="R180" i="3"/>
  <c r="Q180" i="3"/>
  <c r="T180" i="3" s="1"/>
  <c r="S179" i="3"/>
  <c r="S177" i="3" s="1"/>
  <c r="R179" i="3"/>
  <c r="U179" i="3" s="1"/>
  <c r="Q179" i="3"/>
  <c r="T179" i="3" s="1"/>
  <c r="N179" i="3"/>
  <c r="N177" i="3" s="1"/>
  <c r="M179" i="3"/>
  <c r="L179" i="3"/>
  <c r="L177" i="3" s="1"/>
  <c r="U178" i="3"/>
  <c r="T178" i="3"/>
  <c r="P178" i="3"/>
  <c r="O178" i="3"/>
  <c r="S175" i="3"/>
  <c r="R175" i="3"/>
  <c r="Q175" i="3"/>
  <c r="T175" i="3" s="1"/>
  <c r="N175" i="3"/>
  <c r="M175" i="3"/>
  <c r="L175" i="3"/>
  <c r="J173" i="3"/>
  <c r="I170" i="3"/>
  <c r="K170" i="3" s="1"/>
  <c r="I169" i="3"/>
  <c r="K169" i="3" s="1"/>
  <c r="I168" i="3"/>
  <c r="K168" i="3" s="1"/>
  <c r="U166" i="3"/>
  <c r="T166" i="3"/>
  <c r="N166" i="3"/>
  <c r="N164" i="3" s="1"/>
  <c r="M166" i="3"/>
  <c r="P166" i="3" s="1"/>
  <c r="L166" i="3"/>
  <c r="O166" i="3" s="1"/>
  <c r="U165" i="3"/>
  <c r="T165" i="3"/>
  <c r="P165" i="3"/>
  <c r="O165" i="3"/>
  <c r="S164" i="3"/>
  <c r="R164" i="3"/>
  <c r="U164" i="3" s="1"/>
  <c r="Q164" i="3"/>
  <c r="T164" i="3" s="1"/>
  <c r="S163" i="3"/>
  <c r="S160" i="3" s="1"/>
  <c r="R163" i="3"/>
  <c r="U163" i="3" s="1"/>
  <c r="N163" i="3"/>
  <c r="N161" i="3" s="1"/>
  <c r="M163" i="3"/>
  <c r="P163" i="3" s="1"/>
  <c r="L163" i="3"/>
  <c r="U162" i="3"/>
  <c r="T162" i="3"/>
  <c r="P162" i="3"/>
  <c r="O162" i="3"/>
  <c r="S159" i="3"/>
  <c r="R159" i="3"/>
  <c r="U159" i="3" s="1"/>
  <c r="Q159" i="3"/>
  <c r="T159" i="3" s="1"/>
  <c r="N159" i="3"/>
  <c r="M159" i="3"/>
  <c r="L159" i="3"/>
  <c r="O159" i="3" s="1"/>
  <c r="J157" i="3"/>
  <c r="I155" i="3"/>
  <c r="K155" i="3" s="1"/>
  <c r="I154" i="3"/>
  <c r="K154" i="3" s="1"/>
  <c r="I153" i="3"/>
  <c r="K153" i="3" s="1"/>
  <c r="I152" i="3"/>
  <c r="K152" i="3" s="1"/>
  <c r="I151" i="3"/>
  <c r="K151" i="3" s="1"/>
  <c r="U148" i="3"/>
  <c r="T148" i="3"/>
  <c r="N148" i="3"/>
  <c r="N146" i="3" s="1"/>
  <c r="M148" i="3"/>
  <c r="L148" i="3"/>
  <c r="L146" i="3" s="1"/>
  <c r="O146" i="3" s="1"/>
  <c r="U147" i="3"/>
  <c r="T147" i="3"/>
  <c r="P147" i="3"/>
  <c r="O147" i="3"/>
  <c r="U146" i="3"/>
  <c r="T146" i="3"/>
  <c r="S146" i="3"/>
  <c r="R146" i="3"/>
  <c r="Q146" i="3"/>
  <c r="S145" i="3"/>
  <c r="R145" i="3"/>
  <c r="R143" i="3" s="1"/>
  <c r="U143" i="3" s="1"/>
  <c r="Q145" i="3"/>
  <c r="Q142" i="3" s="1"/>
  <c r="T142" i="3" s="1"/>
  <c r="N145" i="3"/>
  <c r="N143" i="3" s="1"/>
  <c r="M145" i="3"/>
  <c r="L145" i="3"/>
  <c r="L143" i="3" s="1"/>
  <c r="O143" i="3" s="1"/>
  <c r="U144" i="3"/>
  <c r="T144" i="3"/>
  <c r="P144" i="3"/>
  <c r="O144" i="3"/>
  <c r="S141" i="3"/>
  <c r="R141" i="3"/>
  <c r="Q141" i="3"/>
  <c r="N141" i="3"/>
  <c r="M141" i="3"/>
  <c r="P141" i="3" s="1"/>
  <c r="L141" i="3"/>
  <c r="J139" i="3"/>
  <c r="J138" i="3"/>
  <c r="J137" i="3"/>
  <c r="I131" i="3"/>
  <c r="K131" i="3" s="1"/>
  <c r="I130" i="3"/>
  <c r="K130" i="3" s="1"/>
  <c r="I129" i="3"/>
  <c r="K129" i="3" s="1"/>
  <c r="I128" i="3"/>
  <c r="K128" i="3" s="1"/>
  <c r="U126" i="3"/>
  <c r="T126" i="3"/>
  <c r="N126" i="3"/>
  <c r="N124" i="3" s="1"/>
  <c r="M126" i="3"/>
  <c r="M124" i="3" s="1"/>
  <c r="P124" i="3" s="1"/>
  <c r="L126" i="3"/>
  <c r="O126" i="3" s="1"/>
  <c r="U125" i="3"/>
  <c r="T125" i="3"/>
  <c r="P125" i="3"/>
  <c r="O125" i="3"/>
  <c r="S124" i="3"/>
  <c r="R124" i="3"/>
  <c r="U124" i="3" s="1"/>
  <c r="Q124" i="3"/>
  <c r="T124" i="3" s="1"/>
  <c r="S123" i="3"/>
  <c r="S121" i="3" s="1"/>
  <c r="R123" i="3"/>
  <c r="R120" i="3" s="1"/>
  <c r="Q123" i="3"/>
  <c r="Q121" i="3" s="1"/>
  <c r="N123" i="3"/>
  <c r="N121" i="3" s="1"/>
  <c r="M123" i="3"/>
  <c r="M121" i="3" s="1"/>
  <c r="P121" i="3" s="1"/>
  <c r="L123" i="3"/>
  <c r="U122" i="3"/>
  <c r="T122" i="3"/>
  <c r="P122" i="3"/>
  <c r="O122" i="3"/>
  <c r="T119" i="3"/>
  <c r="S119" i="3"/>
  <c r="R119" i="3"/>
  <c r="U119" i="3" s="1"/>
  <c r="Q119" i="3"/>
  <c r="N119" i="3"/>
  <c r="M119" i="3"/>
  <c r="L119" i="3"/>
  <c r="O119" i="3" s="1"/>
  <c r="J117" i="3"/>
  <c r="I115" i="3"/>
  <c r="K115" i="3" s="1"/>
  <c r="I114" i="3"/>
  <c r="K114" i="3" s="1"/>
  <c r="I110" i="3"/>
  <c r="K110" i="3" s="1"/>
  <c r="I109" i="3"/>
  <c r="K109" i="3" s="1"/>
  <c r="U103" i="3"/>
  <c r="T103" i="3"/>
  <c r="N103" i="3"/>
  <c r="N101" i="3" s="1"/>
  <c r="M103" i="3"/>
  <c r="P103" i="3" s="1"/>
  <c r="L103" i="3"/>
  <c r="O103" i="3" s="1"/>
  <c r="U102" i="3"/>
  <c r="T102" i="3"/>
  <c r="P102" i="3"/>
  <c r="O102" i="3"/>
  <c r="T101" i="3"/>
  <c r="S101" i="3"/>
  <c r="R101" i="3"/>
  <c r="U101" i="3" s="1"/>
  <c r="Q101" i="3"/>
  <c r="S100" i="3"/>
  <c r="S97" i="3" s="1"/>
  <c r="S95" i="3" s="1"/>
  <c r="R100" i="3"/>
  <c r="Q100" i="3"/>
  <c r="N100" i="3"/>
  <c r="N98" i="3" s="1"/>
  <c r="M100" i="3"/>
  <c r="M98" i="3" s="1"/>
  <c r="P98" i="3" s="1"/>
  <c r="L100" i="3"/>
  <c r="O100" i="3" s="1"/>
  <c r="U99" i="3"/>
  <c r="T99" i="3"/>
  <c r="P99" i="3"/>
  <c r="O99" i="3"/>
  <c r="U96" i="3"/>
  <c r="T96" i="3"/>
  <c r="S96" i="3"/>
  <c r="R96" i="3"/>
  <c r="Q96" i="3"/>
  <c r="P96" i="3"/>
  <c r="O96" i="3"/>
  <c r="N96" i="3"/>
  <c r="M96" i="3"/>
  <c r="L96" i="3"/>
  <c r="J94" i="3"/>
  <c r="J93" i="3"/>
  <c r="I91" i="3"/>
  <c r="K91" i="3" s="1"/>
  <c r="I90" i="3"/>
  <c r="K90" i="3" s="1"/>
  <c r="I89" i="3"/>
  <c r="K89" i="3" s="1"/>
  <c r="I88" i="3"/>
  <c r="K88" i="3" s="1"/>
  <c r="I87" i="3"/>
  <c r="I86" i="3"/>
  <c r="I85" i="3"/>
  <c r="K85" i="3" s="1"/>
  <c r="J84" i="3"/>
  <c r="J72" i="3" s="1"/>
  <c r="J83" i="3"/>
  <c r="U81" i="3"/>
  <c r="T81" i="3"/>
  <c r="N81" i="3"/>
  <c r="N79" i="3" s="1"/>
  <c r="M81" i="3"/>
  <c r="P81" i="3" s="1"/>
  <c r="L81" i="3"/>
  <c r="O81" i="3" s="1"/>
  <c r="U80" i="3"/>
  <c r="T80" i="3"/>
  <c r="P80" i="3"/>
  <c r="O80" i="3"/>
  <c r="S79" i="3"/>
  <c r="R79" i="3"/>
  <c r="U79" i="3" s="1"/>
  <c r="Q79" i="3"/>
  <c r="T79" i="3" s="1"/>
  <c r="S78" i="3"/>
  <c r="S76" i="3" s="1"/>
  <c r="R78" i="3"/>
  <c r="R75" i="3" s="1"/>
  <c r="N78" i="3"/>
  <c r="N76" i="3" s="1"/>
  <c r="M78" i="3"/>
  <c r="P78" i="3" s="1"/>
  <c r="L78" i="3"/>
  <c r="U77" i="3"/>
  <c r="T77" i="3"/>
  <c r="P77" i="3"/>
  <c r="O77" i="3"/>
  <c r="U74" i="3"/>
  <c r="S74" i="3"/>
  <c r="R74" i="3"/>
  <c r="Q74" i="3"/>
  <c r="T74" i="3" s="1"/>
  <c r="N74" i="3"/>
  <c r="M74" i="3"/>
  <c r="P74" i="3" s="1"/>
  <c r="L74" i="3"/>
  <c r="O74" i="3" s="1"/>
  <c r="J71" i="3"/>
  <c r="U68" i="3"/>
  <c r="T68" i="3"/>
  <c r="N68" i="3"/>
  <c r="N66" i="3" s="1"/>
  <c r="M68" i="3"/>
  <c r="L68" i="3"/>
  <c r="U67" i="3"/>
  <c r="T67" i="3"/>
  <c r="P67" i="3"/>
  <c r="O67" i="3"/>
  <c r="S66" i="3"/>
  <c r="R66" i="3"/>
  <c r="U66" i="3" s="1"/>
  <c r="Q66" i="3"/>
  <c r="T66" i="3" s="1"/>
  <c r="U65" i="3"/>
  <c r="T65" i="3"/>
  <c r="N65" i="3"/>
  <c r="N63" i="3" s="1"/>
  <c r="M65" i="3"/>
  <c r="L65" i="3"/>
  <c r="L63" i="3" s="1"/>
  <c r="U64" i="3"/>
  <c r="T64" i="3"/>
  <c r="P64" i="3"/>
  <c r="O64" i="3"/>
  <c r="S63" i="3"/>
  <c r="R63" i="3"/>
  <c r="U63" i="3" s="1"/>
  <c r="Q63" i="3"/>
  <c r="T63" i="3" s="1"/>
  <c r="U62" i="3"/>
  <c r="S62" i="3"/>
  <c r="R62" i="3"/>
  <c r="Q62" i="3"/>
  <c r="T62" i="3" s="1"/>
  <c r="S61" i="3"/>
  <c r="S60" i="3" s="1"/>
  <c r="R61" i="3"/>
  <c r="U61" i="3" s="1"/>
  <c r="Q61" i="3"/>
  <c r="T61" i="3" s="1"/>
  <c r="N61" i="3"/>
  <c r="M61" i="3"/>
  <c r="P61" i="3" s="1"/>
  <c r="L61" i="3"/>
  <c r="O61" i="3" s="1"/>
  <c r="R60" i="3"/>
  <c r="U60" i="3" s="1"/>
  <c r="U53" i="3"/>
  <c r="T53" i="3"/>
  <c r="N53" i="3"/>
  <c r="M53" i="3"/>
  <c r="L53" i="3"/>
  <c r="U52" i="3"/>
  <c r="T52" i="3"/>
  <c r="P52" i="3"/>
  <c r="O52" i="3"/>
  <c r="U51" i="3"/>
  <c r="T51" i="3"/>
  <c r="S51" i="3"/>
  <c r="R51" i="3"/>
  <c r="Q51" i="3"/>
  <c r="U50" i="3"/>
  <c r="T50" i="3"/>
  <c r="N50" i="3"/>
  <c r="N48" i="3" s="1"/>
  <c r="M50" i="3"/>
  <c r="L50" i="3"/>
  <c r="L48" i="3" s="1"/>
  <c r="U49" i="3"/>
  <c r="T49" i="3"/>
  <c r="P49" i="3"/>
  <c r="O49" i="3"/>
  <c r="S48" i="3"/>
  <c r="R48" i="3"/>
  <c r="U48" i="3" s="1"/>
  <c r="Q48" i="3"/>
  <c r="T48" i="3" s="1"/>
  <c r="U47" i="3"/>
  <c r="S47" i="3"/>
  <c r="R47" i="3"/>
  <c r="Q47" i="3"/>
  <c r="T47" i="3" s="1"/>
  <c r="U46" i="3"/>
  <c r="T46" i="3"/>
  <c r="S46" i="3"/>
  <c r="R46" i="3"/>
  <c r="Q46" i="3"/>
  <c r="O46" i="3"/>
  <c r="N46" i="3"/>
  <c r="M46" i="3"/>
  <c r="P46" i="3" s="1"/>
  <c r="L46" i="3"/>
  <c r="S45" i="3"/>
  <c r="R45" i="3"/>
  <c r="U45" i="3" s="1"/>
  <c r="Q45" i="3"/>
  <c r="T45" i="3" s="1"/>
  <c r="S27" i="3"/>
  <c r="R27" i="3"/>
  <c r="U27" i="3" s="1"/>
  <c r="Q27" i="3"/>
  <c r="T27" i="3" s="1"/>
  <c r="S26" i="3"/>
  <c r="R26" i="3"/>
  <c r="U26" i="3" s="1"/>
  <c r="Q26" i="3"/>
  <c r="T26" i="3" s="1"/>
  <c r="N26" i="3"/>
  <c r="M26" i="3"/>
  <c r="L26" i="3"/>
  <c r="S23" i="3"/>
  <c r="R23" i="3"/>
  <c r="R20" i="3" s="1"/>
  <c r="U20" i="3" s="1"/>
  <c r="Q23" i="3"/>
  <c r="Q20" i="3" s="1"/>
  <c r="T20" i="3" s="1"/>
  <c r="N23" i="3"/>
  <c r="M23" i="3"/>
  <c r="P23" i="3" s="1"/>
  <c r="L23" i="3"/>
  <c r="O23" i="3" s="1"/>
  <c r="A788" i="2"/>
  <c r="J785" i="2"/>
  <c r="I785" i="2"/>
  <c r="J784" i="2"/>
  <c r="I784" i="2"/>
  <c r="J783" i="2"/>
  <c r="I783" i="2"/>
  <c r="J782" i="2"/>
  <c r="I782" i="2"/>
  <c r="J781" i="2"/>
  <c r="I781" i="2"/>
  <c r="J780" i="2"/>
  <c r="I780" i="2"/>
  <c r="J779" i="2"/>
  <c r="I779" i="2"/>
  <c r="J778" i="2"/>
  <c r="I778" i="2"/>
  <c r="H777" i="2"/>
  <c r="I776" i="2"/>
  <c r="I775" i="2"/>
  <c r="I774" i="2"/>
  <c r="I772" i="2"/>
  <c r="K772" i="2" s="1"/>
  <c r="I770" i="2"/>
  <c r="K770" i="2" s="1"/>
  <c r="U768" i="2"/>
  <c r="T768" i="2"/>
  <c r="P768" i="2"/>
  <c r="O768" i="2"/>
  <c r="U767" i="2"/>
  <c r="T767" i="2"/>
  <c r="P767" i="2"/>
  <c r="O767" i="2"/>
  <c r="U766" i="2"/>
  <c r="T766" i="2"/>
  <c r="S766" i="2"/>
  <c r="R766" i="2"/>
  <c r="Q766" i="2"/>
  <c r="P766" i="2"/>
  <c r="O766" i="2"/>
  <c r="N766" i="2"/>
  <c r="M766" i="2"/>
  <c r="L766" i="2"/>
  <c r="S765" i="2"/>
  <c r="R765" i="2"/>
  <c r="R763" i="2" s="1"/>
  <c r="Q765" i="2"/>
  <c r="P765" i="2"/>
  <c r="O765" i="2"/>
  <c r="U764" i="2"/>
  <c r="T764" i="2"/>
  <c r="P764" i="2"/>
  <c r="O764" i="2"/>
  <c r="N763" i="2"/>
  <c r="M763" i="2"/>
  <c r="P763" i="2" s="1"/>
  <c r="L763" i="2"/>
  <c r="O763" i="2" s="1"/>
  <c r="P762" i="2"/>
  <c r="O762" i="2"/>
  <c r="N762" i="2"/>
  <c r="M762" i="2"/>
  <c r="L762" i="2"/>
  <c r="U761" i="2"/>
  <c r="T761" i="2"/>
  <c r="S761" i="2"/>
  <c r="R761" i="2"/>
  <c r="Q761" i="2"/>
  <c r="O761" i="2"/>
  <c r="N761" i="2"/>
  <c r="N760" i="2" s="1"/>
  <c r="M761" i="2"/>
  <c r="P761" i="2" s="1"/>
  <c r="L761" i="2"/>
  <c r="M760" i="2"/>
  <c r="P760" i="2" s="1"/>
  <c r="L760" i="2"/>
  <c r="O760" i="2" s="1"/>
  <c r="J759" i="2"/>
  <c r="J758" i="2"/>
  <c r="I756" i="2"/>
  <c r="K756" i="2" s="1"/>
  <c r="I753" i="2"/>
  <c r="K753" i="2" s="1"/>
  <c r="I750" i="2"/>
  <c r="K750" i="2" s="1"/>
  <c r="I747" i="2"/>
  <c r="K747" i="2" s="1"/>
  <c r="I745" i="2"/>
  <c r="K745" i="2" s="1"/>
  <c r="I743" i="2"/>
  <c r="K743" i="2" s="1"/>
  <c r="I741" i="2"/>
  <c r="K741" i="2" s="1"/>
  <c r="U737" i="2"/>
  <c r="T737" i="2"/>
  <c r="P737" i="2"/>
  <c r="O737" i="2"/>
  <c r="U736" i="2"/>
  <c r="T736" i="2"/>
  <c r="P736" i="2"/>
  <c r="O736" i="2"/>
  <c r="U735" i="2"/>
  <c r="T735" i="2"/>
  <c r="S735" i="2"/>
  <c r="R735" i="2"/>
  <c r="Q735" i="2"/>
  <c r="O735" i="2"/>
  <c r="N735" i="2"/>
  <c r="M735" i="2"/>
  <c r="P735" i="2" s="1"/>
  <c r="L735" i="2"/>
  <c r="S734" i="2"/>
  <c r="R734" i="2"/>
  <c r="R732" i="2" s="1"/>
  <c r="Q734" i="2"/>
  <c r="P734" i="2"/>
  <c r="O734" i="2"/>
  <c r="U733" i="2"/>
  <c r="T733" i="2"/>
  <c r="P733" i="2"/>
  <c r="O733" i="2"/>
  <c r="P732" i="2"/>
  <c r="N732" i="2"/>
  <c r="M732" i="2"/>
  <c r="L732" i="2"/>
  <c r="O732" i="2" s="1"/>
  <c r="P731" i="2"/>
  <c r="O731" i="2"/>
  <c r="N731" i="2"/>
  <c r="M731" i="2"/>
  <c r="L731" i="2"/>
  <c r="T730" i="2"/>
  <c r="S730" i="2"/>
  <c r="R730" i="2"/>
  <c r="U730" i="2" s="1"/>
  <c r="Q730" i="2"/>
  <c r="N730" i="2"/>
  <c r="N729" i="2" s="1"/>
  <c r="M730" i="2"/>
  <c r="P730" i="2" s="1"/>
  <c r="L730" i="2"/>
  <c r="O730" i="2" s="1"/>
  <c r="L729" i="2"/>
  <c r="O729" i="2" s="1"/>
  <c r="J728" i="2"/>
  <c r="I728" i="2"/>
  <c r="K728" i="2" s="1"/>
  <c r="J727" i="2"/>
  <c r="I727" i="2"/>
  <c r="K727" i="2" s="1"/>
  <c r="U723" i="2"/>
  <c r="T723" i="2"/>
  <c r="P723" i="2"/>
  <c r="O723" i="2"/>
  <c r="U722" i="2"/>
  <c r="T722" i="2"/>
  <c r="P722" i="2"/>
  <c r="O722" i="2"/>
  <c r="S721" i="2"/>
  <c r="R721" i="2"/>
  <c r="U721" i="2" s="1"/>
  <c r="Q721" i="2"/>
  <c r="T721" i="2" s="1"/>
  <c r="P721" i="2"/>
  <c r="N721" i="2"/>
  <c r="M721" i="2"/>
  <c r="L721" i="2"/>
  <c r="O721" i="2" s="1"/>
  <c r="U720" i="2"/>
  <c r="T720" i="2"/>
  <c r="P720" i="2"/>
  <c r="O720" i="2"/>
  <c r="U719" i="2"/>
  <c r="T719" i="2"/>
  <c r="P719" i="2"/>
  <c r="O719" i="2"/>
  <c r="S718" i="2"/>
  <c r="R718" i="2"/>
  <c r="U718" i="2" s="1"/>
  <c r="Q718" i="2"/>
  <c r="T718" i="2" s="1"/>
  <c r="P718" i="2"/>
  <c r="N718" i="2"/>
  <c r="M718" i="2"/>
  <c r="L718" i="2"/>
  <c r="O718" i="2" s="1"/>
  <c r="U717" i="2"/>
  <c r="T717" i="2"/>
  <c r="S717" i="2"/>
  <c r="R717" i="2"/>
  <c r="Q717" i="2"/>
  <c r="P717" i="2"/>
  <c r="O717" i="2"/>
  <c r="N717" i="2"/>
  <c r="M717" i="2"/>
  <c r="L717" i="2"/>
  <c r="T716" i="2"/>
  <c r="S716" i="2"/>
  <c r="S715" i="2" s="1"/>
  <c r="R716" i="2"/>
  <c r="U716" i="2" s="1"/>
  <c r="Q716" i="2"/>
  <c r="N716" i="2"/>
  <c r="N715" i="2" s="1"/>
  <c r="M716" i="2"/>
  <c r="P716" i="2" s="1"/>
  <c r="L716" i="2"/>
  <c r="O716" i="2" s="1"/>
  <c r="R715" i="2"/>
  <c r="U715" i="2" s="1"/>
  <c r="Q715" i="2"/>
  <c r="T715" i="2" s="1"/>
  <c r="L715" i="2"/>
  <c r="O715" i="2" s="1"/>
  <c r="K713" i="2"/>
  <c r="J713" i="2"/>
  <c r="K711" i="2"/>
  <c r="J711" i="2"/>
  <c r="J710" i="2"/>
  <c r="I710" i="2"/>
  <c r="K709" i="2"/>
  <c r="J709" i="2"/>
  <c r="J708" i="2"/>
  <c r="J690" i="2" s="1"/>
  <c r="I708" i="2"/>
  <c r="K707" i="2"/>
  <c r="J707" i="2"/>
  <c r="J706" i="2"/>
  <c r="I706" i="2"/>
  <c r="K705" i="2"/>
  <c r="J705" i="2"/>
  <c r="J704" i="2"/>
  <c r="I704" i="2"/>
  <c r="K703" i="2"/>
  <c r="I701" i="2"/>
  <c r="K701" i="2" s="1"/>
  <c r="U699" i="2"/>
  <c r="T699" i="2"/>
  <c r="P699" i="2"/>
  <c r="O699" i="2"/>
  <c r="U698" i="2"/>
  <c r="T698" i="2"/>
  <c r="P698" i="2"/>
  <c r="O698" i="2"/>
  <c r="U697" i="2"/>
  <c r="S697" i="2"/>
  <c r="R697" i="2"/>
  <c r="Q697" i="2"/>
  <c r="T697" i="2" s="1"/>
  <c r="P697" i="2"/>
  <c r="O697" i="2"/>
  <c r="N697" i="2"/>
  <c r="M697" i="2"/>
  <c r="L697" i="2"/>
  <c r="S696" i="2"/>
  <c r="S693" i="2" s="1"/>
  <c r="S691" i="2" s="1"/>
  <c r="R696" i="2"/>
  <c r="R694" i="2" s="1"/>
  <c r="Q696" i="2"/>
  <c r="P696" i="2"/>
  <c r="O696" i="2"/>
  <c r="U695" i="2"/>
  <c r="T695" i="2"/>
  <c r="P695" i="2"/>
  <c r="O695" i="2"/>
  <c r="N694" i="2"/>
  <c r="M694" i="2"/>
  <c r="P694" i="2" s="1"/>
  <c r="L694" i="2"/>
  <c r="O694" i="2" s="1"/>
  <c r="P693" i="2"/>
  <c r="N693" i="2"/>
  <c r="M693" i="2"/>
  <c r="L693" i="2"/>
  <c r="U692" i="2"/>
  <c r="T692" i="2"/>
  <c r="S692" i="2"/>
  <c r="R692" i="2"/>
  <c r="Q692" i="2"/>
  <c r="P692" i="2"/>
  <c r="O692" i="2"/>
  <c r="N692" i="2"/>
  <c r="M692" i="2"/>
  <c r="L692" i="2"/>
  <c r="N691" i="2"/>
  <c r="M691" i="2"/>
  <c r="P691" i="2" s="1"/>
  <c r="J683" i="2"/>
  <c r="I683" i="2"/>
  <c r="J682" i="2"/>
  <c r="I682" i="2"/>
  <c r="J681" i="2"/>
  <c r="J680" i="2"/>
  <c r="I680" i="2"/>
  <c r="J679" i="2"/>
  <c r="I679" i="2"/>
  <c r="J678" i="2"/>
  <c r="J677" i="2"/>
  <c r="I677" i="2"/>
  <c r="I676" i="2"/>
  <c r="I675" i="2"/>
  <c r="J674" i="2"/>
  <c r="I674" i="2"/>
  <c r="K674" i="2" s="1"/>
  <c r="J673" i="2"/>
  <c r="J672" i="2"/>
  <c r="J662" i="2"/>
  <c r="I662" i="2"/>
  <c r="K662" i="2" s="1"/>
  <c r="I661" i="2"/>
  <c r="I658" i="2"/>
  <c r="J655" i="2"/>
  <c r="I655" i="2"/>
  <c r="K655" i="2" s="1"/>
  <c r="J654" i="2"/>
  <c r="I654" i="2"/>
  <c r="K654" i="2" s="1"/>
  <c r="J653" i="2"/>
  <c r="I653" i="2"/>
  <c r="K653" i="2" s="1"/>
  <c r="U651" i="2"/>
  <c r="T651" i="2"/>
  <c r="P651" i="2"/>
  <c r="O651" i="2"/>
  <c r="U650" i="2"/>
  <c r="T650" i="2"/>
  <c r="P650" i="2"/>
  <c r="O650" i="2"/>
  <c r="U649" i="2"/>
  <c r="S649" i="2"/>
  <c r="R649" i="2"/>
  <c r="Q649" i="2"/>
  <c r="T649" i="2" s="1"/>
  <c r="P649" i="2"/>
  <c r="O649" i="2"/>
  <c r="N649" i="2"/>
  <c r="M649" i="2"/>
  <c r="L649" i="2"/>
  <c r="S648" i="2"/>
  <c r="R648" i="2"/>
  <c r="R645" i="2" s="1"/>
  <c r="R643" i="2" s="1"/>
  <c r="Q648" i="2"/>
  <c r="Q645" i="2" s="1"/>
  <c r="Q643" i="2" s="1"/>
  <c r="P648" i="2"/>
  <c r="O648" i="2"/>
  <c r="U647" i="2"/>
  <c r="T647" i="2"/>
  <c r="P647" i="2"/>
  <c r="O647" i="2"/>
  <c r="N646" i="2"/>
  <c r="M646" i="2"/>
  <c r="P646" i="2" s="1"/>
  <c r="L646" i="2"/>
  <c r="O646" i="2" s="1"/>
  <c r="P645" i="2"/>
  <c r="N645" i="2"/>
  <c r="M645" i="2"/>
  <c r="L645" i="2"/>
  <c r="U644" i="2"/>
  <c r="T644" i="2"/>
  <c r="S644" i="2"/>
  <c r="R644" i="2"/>
  <c r="Q644" i="2"/>
  <c r="P644" i="2"/>
  <c r="O644" i="2"/>
  <c r="N644" i="2"/>
  <c r="N643" i="2" s="1"/>
  <c r="M644" i="2"/>
  <c r="L644" i="2"/>
  <c r="M643" i="2"/>
  <c r="P643" i="2" s="1"/>
  <c r="J637" i="2"/>
  <c r="J636" i="2" s="1"/>
  <c r="I636" i="2"/>
  <c r="K636" i="2" s="1"/>
  <c r="J633" i="2"/>
  <c r="J627" i="2" s="1"/>
  <c r="J616" i="2" s="1"/>
  <c r="I629" i="2"/>
  <c r="K629" i="2" s="1"/>
  <c r="I628" i="2"/>
  <c r="K628" i="2" s="1"/>
  <c r="I627" i="2"/>
  <c r="I616" i="2" s="1"/>
  <c r="U625" i="2"/>
  <c r="T625" i="2"/>
  <c r="P625" i="2"/>
  <c r="O625" i="2"/>
  <c r="U624" i="2"/>
  <c r="T624" i="2"/>
  <c r="P624" i="2"/>
  <c r="O624" i="2"/>
  <c r="S623" i="2"/>
  <c r="R623" i="2"/>
  <c r="U623" i="2" s="1"/>
  <c r="Q623" i="2"/>
  <c r="T623" i="2" s="1"/>
  <c r="P623" i="2"/>
  <c r="N623" i="2"/>
  <c r="M623" i="2"/>
  <c r="L623" i="2"/>
  <c r="O623" i="2" s="1"/>
  <c r="S622" i="2"/>
  <c r="S619" i="2" s="1"/>
  <c r="S617" i="2" s="1"/>
  <c r="R622" i="2"/>
  <c r="Q622" i="2"/>
  <c r="P622" i="2"/>
  <c r="O622" i="2"/>
  <c r="U621" i="2"/>
  <c r="T621" i="2"/>
  <c r="P621" i="2"/>
  <c r="O621" i="2"/>
  <c r="O620" i="2"/>
  <c r="N620" i="2"/>
  <c r="M620" i="2"/>
  <c r="P620" i="2" s="1"/>
  <c r="L620" i="2"/>
  <c r="N619" i="2"/>
  <c r="M619" i="2"/>
  <c r="P619" i="2" s="1"/>
  <c r="L619" i="2"/>
  <c r="L617" i="2" s="1"/>
  <c r="U618" i="2"/>
  <c r="S618" i="2"/>
  <c r="R618" i="2"/>
  <c r="Q618" i="2"/>
  <c r="P618" i="2"/>
  <c r="O618" i="2"/>
  <c r="N618" i="2"/>
  <c r="M618" i="2"/>
  <c r="L618" i="2"/>
  <c r="O617" i="2"/>
  <c r="N617" i="2"/>
  <c r="M617" i="2"/>
  <c r="P617" i="2" s="1"/>
  <c r="U608" i="2"/>
  <c r="T608" i="2"/>
  <c r="P608" i="2"/>
  <c r="O608" i="2"/>
  <c r="U607" i="2"/>
  <c r="T607" i="2"/>
  <c r="P607" i="2"/>
  <c r="O607" i="2"/>
  <c r="S606" i="2"/>
  <c r="R606" i="2"/>
  <c r="U606" i="2" s="1"/>
  <c r="Q606" i="2"/>
  <c r="T606" i="2" s="1"/>
  <c r="P606" i="2"/>
  <c r="N606" i="2"/>
  <c r="M606" i="2"/>
  <c r="L606" i="2"/>
  <c r="O606" i="2" s="1"/>
  <c r="U605" i="2"/>
  <c r="T605" i="2"/>
  <c r="P605" i="2"/>
  <c r="O605" i="2"/>
  <c r="U604" i="2"/>
  <c r="T604" i="2"/>
  <c r="P604" i="2"/>
  <c r="O604" i="2"/>
  <c r="S603" i="2"/>
  <c r="R603" i="2"/>
  <c r="U603" i="2" s="1"/>
  <c r="Q603" i="2"/>
  <c r="T603" i="2" s="1"/>
  <c r="P603" i="2"/>
  <c r="N603" i="2"/>
  <c r="M603" i="2"/>
  <c r="L603" i="2"/>
  <c r="O603" i="2" s="1"/>
  <c r="U602" i="2"/>
  <c r="T602" i="2"/>
  <c r="S602" i="2"/>
  <c r="R602" i="2"/>
  <c r="Q602" i="2"/>
  <c r="P602" i="2"/>
  <c r="O602" i="2"/>
  <c r="N602" i="2"/>
  <c r="M602" i="2"/>
  <c r="L602" i="2"/>
  <c r="T601" i="2"/>
  <c r="S601" i="2"/>
  <c r="S600" i="2" s="1"/>
  <c r="R601" i="2"/>
  <c r="U601" i="2" s="1"/>
  <c r="Q601" i="2"/>
  <c r="N601" i="2"/>
  <c r="M601" i="2"/>
  <c r="P601" i="2" s="1"/>
  <c r="L601" i="2"/>
  <c r="R600" i="2"/>
  <c r="U600" i="2" s="1"/>
  <c r="Q600" i="2"/>
  <c r="T600" i="2" s="1"/>
  <c r="U585" i="2"/>
  <c r="T585" i="2"/>
  <c r="P585" i="2"/>
  <c r="O585" i="2"/>
  <c r="U584" i="2"/>
  <c r="T584" i="2"/>
  <c r="P584" i="2"/>
  <c r="O584" i="2"/>
  <c r="S583" i="2"/>
  <c r="R583" i="2"/>
  <c r="U583" i="2" s="1"/>
  <c r="Q583" i="2"/>
  <c r="T583" i="2" s="1"/>
  <c r="P583" i="2"/>
  <c r="N583" i="2"/>
  <c r="M583" i="2"/>
  <c r="L583" i="2"/>
  <c r="O583" i="2" s="1"/>
  <c r="U582" i="2"/>
  <c r="T582" i="2"/>
  <c r="P582" i="2"/>
  <c r="O582" i="2"/>
  <c r="U581" i="2"/>
  <c r="T581" i="2"/>
  <c r="P581" i="2"/>
  <c r="O581" i="2"/>
  <c r="S580" i="2"/>
  <c r="R580" i="2"/>
  <c r="U580" i="2" s="1"/>
  <c r="Q580" i="2"/>
  <c r="T580" i="2" s="1"/>
  <c r="P580" i="2"/>
  <c r="N580" i="2"/>
  <c r="M580" i="2"/>
  <c r="L580" i="2"/>
  <c r="O580" i="2" s="1"/>
  <c r="U579" i="2"/>
  <c r="T579" i="2"/>
  <c r="S579" i="2"/>
  <c r="R579" i="2"/>
  <c r="Q579" i="2"/>
  <c r="P579" i="2"/>
  <c r="O579" i="2"/>
  <c r="N579" i="2"/>
  <c r="M579" i="2"/>
  <c r="L579" i="2"/>
  <c r="T578" i="2"/>
  <c r="S578" i="2"/>
  <c r="S577" i="2" s="1"/>
  <c r="R578" i="2"/>
  <c r="U578" i="2" s="1"/>
  <c r="Q578" i="2"/>
  <c r="N578" i="2"/>
  <c r="N577" i="2" s="1"/>
  <c r="M578" i="2"/>
  <c r="P578" i="2" s="1"/>
  <c r="L578" i="2"/>
  <c r="O578" i="2" s="1"/>
  <c r="R577" i="2"/>
  <c r="U577" i="2" s="1"/>
  <c r="Q577" i="2"/>
  <c r="T577" i="2" s="1"/>
  <c r="L577" i="2"/>
  <c r="O577" i="2" s="1"/>
  <c r="K576" i="2"/>
  <c r="J576" i="2"/>
  <c r="I576" i="2"/>
  <c r="U564" i="2"/>
  <c r="T564" i="2"/>
  <c r="P564" i="2"/>
  <c r="O564" i="2"/>
  <c r="U563" i="2"/>
  <c r="T563" i="2"/>
  <c r="P563" i="2"/>
  <c r="O563" i="2"/>
  <c r="U562" i="2"/>
  <c r="T562" i="2"/>
  <c r="S562" i="2"/>
  <c r="R562" i="2"/>
  <c r="Q562" i="2"/>
  <c r="O562" i="2"/>
  <c r="N562" i="2"/>
  <c r="M562" i="2"/>
  <c r="P562" i="2" s="1"/>
  <c r="L562" i="2"/>
  <c r="U561" i="2"/>
  <c r="T561" i="2"/>
  <c r="P561" i="2"/>
  <c r="O561" i="2"/>
  <c r="U560" i="2"/>
  <c r="T560" i="2"/>
  <c r="P560" i="2"/>
  <c r="O560" i="2"/>
  <c r="U559" i="2"/>
  <c r="T559" i="2"/>
  <c r="S559" i="2"/>
  <c r="R559" i="2"/>
  <c r="Q559" i="2"/>
  <c r="O559" i="2"/>
  <c r="N559" i="2"/>
  <c r="M559" i="2"/>
  <c r="P559" i="2" s="1"/>
  <c r="L559" i="2"/>
  <c r="S558" i="2"/>
  <c r="R558" i="2"/>
  <c r="R556" i="2" s="1"/>
  <c r="Q558" i="2"/>
  <c r="T558" i="2" s="1"/>
  <c r="N558" i="2"/>
  <c r="M558" i="2"/>
  <c r="L558" i="2"/>
  <c r="L556" i="2" s="1"/>
  <c r="U557" i="2"/>
  <c r="S557" i="2"/>
  <c r="R557" i="2"/>
  <c r="Q557" i="2"/>
  <c r="P557" i="2"/>
  <c r="O557" i="2"/>
  <c r="N557" i="2"/>
  <c r="M557" i="2"/>
  <c r="L557" i="2"/>
  <c r="U556" i="2"/>
  <c r="S556" i="2"/>
  <c r="O556" i="2"/>
  <c r="N556" i="2"/>
  <c r="J555" i="2"/>
  <c r="I555" i="2"/>
  <c r="K555" i="2" s="1"/>
  <c r="U543" i="2"/>
  <c r="T543" i="2"/>
  <c r="P543" i="2"/>
  <c r="O543" i="2"/>
  <c r="U542" i="2"/>
  <c r="T542" i="2"/>
  <c r="P542" i="2"/>
  <c r="O542" i="2"/>
  <c r="S541" i="2"/>
  <c r="R541" i="2"/>
  <c r="U541" i="2" s="1"/>
  <c r="Q541" i="2"/>
  <c r="T541" i="2" s="1"/>
  <c r="P541" i="2"/>
  <c r="N541" i="2"/>
  <c r="M541" i="2"/>
  <c r="L541" i="2"/>
  <c r="O541" i="2" s="1"/>
  <c r="U540" i="2"/>
  <c r="T540" i="2"/>
  <c r="P540" i="2"/>
  <c r="O540" i="2"/>
  <c r="U539" i="2"/>
  <c r="T539" i="2"/>
  <c r="P539" i="2"/>
  <c r="O539" i="2"/>
  <c r="S538" i="2"/>
  <c r="R538" i="2"/>
  <c r="U538" i="2" s="1"/>
  <c r="Q538" i="2"/>
  <c r="T538" i="2" s="1"/>
  <c r="P538" i="2"/>
  <c r="N538" i="2"/>
  <c r="M538" i="2"/>
  <c r="L538" i="2"/>
  <c r="O538" i="2" s="1"/>
  <c r="U537" i="2"/>
  <c r="T537" i="2"/>
  <c r="S537" i="2"/>
  <c r="R537" i="2"/>
  <c r="Q537" i="2"/>
  <c r="P537" i="2"/>
  <c r="O537" i="2"/>
  <c r="N537" i="2"/>
  <c r="M537" i="2"/>
  <c r="L537" i="2"/>
  <c r="T536" i="2"/>
  <c r="S536" i="2"/>
  <c r="S535" i="2" s="1"/>
  <c r="R536" i="2"/>
  <c r="U536" i="2" s="1"/>
  <c r="Q536" i="2"/>
  <c r="N536" i="2"/>
  <c r="N535" i="2" s="1"/>
  <c r="M536" i="2"/>
  <c r="P536" i="2" s="1"/>
  <c r="L536" i="2"/>
  <c r="O536" i="2" s="1"/>
  <c r="R535" i="2"/>
  <c r="U535" i="2" s="1"/>
  <c r="Q535" i="2"/>
  <c r="T535" i="2" s="1"/>
  <c r="L535" i="2"/>
  <c r="O535" i="2" s="1"/>
  <c r="K534" i="2"/>
  <c r="J534" i="2"/>
  <c r="I534" i="2"/>
  <c r="K525" i="2"/>
  <c r="K524" i="2"/>
  <c r="U522" i="2"/>
  <c r="T522" i="2"/>
  <c r="N522" i="2"/>
  <c r="N520" i="2" s="1"/>
  <c r="M522" i="2"/>
  <c r="P522" i="2" s="1"/>
  <c r="L522" i="2"/>
  <c r="L520" i="2" s="1"/>
  <c r="O520" i="2" s="1"/>
  <c r="U521" i="2"/>
  <c r="T521" i="2"/>
  <c r="P521" i="2"/>
  <c r="O521" i="2"/>
  <c r="T520" i="2"/>
  <c r="S520" i="2"/>
  <c r="R520" i="2"/>
  <c r="U520" i="2" s="1"/>
  <c r="Q520" i="2"/>
  <c r="U519" i="2"/>
  <c r="T519" i="2"/>
  <c r="N519" i="2"/>
  <c r="M519" i="2"/>
  <c r="L519" i="2"/>
  <c r="L517" i="2" s="1"/>
  <c r="O517" i="2" s="1"/>
  <c r="U518" i="2"/>
  <c r="T518" i="2"/>
  <c r="P518" i="2"/>
  <c r="O518" i="2"/>
  <c r="U517" i="2"/>
  <c r="S517" i="2"/>
  <c r="R517" i="2"/>
  <c r="Q517" i="2"/>
  <c r="T517" i="2" s="1"/>
  <c r="U516" i="2"/>
  <c r="T516" i="2"/>
  <c r="S516" i="2"/>
  <c r="R516" i="2"/>
  <c r="Q516" i="2"/>
  <c r="S515" i="2"/>
  <c r="S514" i="2" s="1"/>
  <c r="R515" i="2"/>
  <c r="Q515" i="2"/>
  <c r="T515" i="2" s="1"/>
  <c r="N515" i="2"/>
  <c r="M515" i="2"/>
  <c r="P515" i="2" s="1"/>
  <c r="L515" i="2"/>
  <c r="Q514" i="2"/>
  <c r="T514" i="2" s="1"/>
  <c r="K513" i="2"/>
  <c r="J513" i="2"/>
  <c r="I513" i="2"/>
  <c r="I510" i="2"/>
  <c r="K510" i="2" s="1"/>
  <c r="K509" i="2"/>
  <c r="I508" i="2"/>
  <c r="K508" i="2" s="1"/>
  <c r="I507" i="2"/>
  <c r="K507" i="2" s="1"/>
  <c r="I506" i="2"/>
  <c r="K506" i="2" s="1"/>
  <c r="I505" i="2"/>
  <c r="K505" i="2" s="1"/>
  <c r="I504" i="2"/>
  <c r="J504" i="2" s="1"/>
  <c r="J493" i="2" s="1"/>
  <c r="U502" i="2"/>
  <c r="T502" i="2"/>
  <c r="P502" i="2"/>
  <c r="O502" i="2"/>
  <c r="U501" i="2"/>
  <c r="T501" i="2"/>
  <c r="P501" i="2"/>
  <c r="O501" i="2"/>
  <c r="U500" i="2"/>
  <c r="T500" i="2"/>
  <c r="S500" i="2"/>
  <c r="R500" i="2"/>
  <c r="Q500" i="2"/>
  <c r="P500" i="2"/>
  <c r="O500" i="2"/>
  <c r="N500" i="2"/>
  <c r="M500" i="2"/>
  <c r="L500" i="2"/>
  <c r="S499" i="2"/>
  <c r="S497" i="2" s="1"/>
  <c r="R499" i="2"/>
  <c r="Q499" i="2"/>
  <c r="Q497" i="2" s="1"/>
  <c r="P499" i="2"/>
  <c r="O499" i="2"/>
  <c r="U498" i="2"/>
  <c r="T498" i="2"/>
  <c r="P498" i="2"/>
  <c r="O498" i="2"/>
  <c r="O497" i="2"/>
  <c r="N497" i="2"/>
  <c r="M497" i="2"/>
  <c r="P497" i="2" s="1"/>
  <c r="L497" i="2"/>
  <c r="P496" i="2"/>
  <c r="O496" i="2"/>
  <c r="N496" i="2"/>
  <c r="M496" i="2"/>
  <c r="L496" i="2"/>
  <c r="U495" i="2"/>
  <c r="T495" i="2"/>
  <c r="S495" i="2"/>
  <c r="R495" i="2"/>
  <c r="Q495" i="2"/>
  <c r="O495" i="2"/>
  <c r="N495" i="2"/>
  <c r="N494" i="2" s="1"/>
  <c r="M495" i="2"/>
  <c r="L495" i="2"/>
  <c r="O494" i="2"/>
  <c r="L494" i="2"/>
  <c r="J486" i="2"/>
  <c r="I486" i="2"/>
  <c r="K486" i="2" s="1"/>
  <c r="J485" i="2"/>
  <c r="I485" i="2"/>
  <c r="K485" i="2" s="1"/>
  <c r="J484" i="2"/>
  <c r="J483" i="2"/>
  <c r="K478" i="2"/>
  <c r="J478" i="2"/>
  <c r="K477" i="2"/>
  <c r="J477" i="2"/>
  <c r="K476" i="2"/>
  <c r="J476" i="2"/>
  <c r="J469" i="2"/>
  <c r="J468" i="2"/>
  <c r="J461" i="2"/>
  <c r="J460" i="2"/>
  <c r="I459" i="2"/>
  <c r="K459" i="2" s="1"/>
  <c r="I458" i="2"/>
  <c r="I457" i="2" s="1"/>
  <c r="K457" i="2" s="1"/>
  <c r="J448" i="2"/>
  <c r="J442" i="2" s="1"/>
  <c r="J447" i="2"/>
  <c r="J441" i="2" s="1"/>
  <c r="J424" i="2" s="1"/>
  <c r="J413" i="2" s="1"/>
  <c r="I442" i="2"/>
  <c r="K442" i="2" s="1"/>
  <c r="I441" i="2"/>
  <c r="J434" i="2"/>
  <c r="I434" i="2"/>
  <c r="K434" i="2" s="1"/>
  <c r="J433" i="2"/>
  <c r="I433" i="2"/>
  <c r="K433" i="2" s="1"/>
  <c r="J426" i="2"/>
  <c r="I426" i="2"/>
  <c r="K426" i="2" s="1"/>
  <c r="J425" i="2"/>
  <c r="I425" i="2"/>
  <c r="K425" i="2" s="1"/>
  <c r="U422" i="2"/>
  <c r="T422" i="2"/>
  <c r="P422" i="2"/>
  <c r="O422" i="2"/>
  <c r="U421" i="2"/>
  <c r="T421" i="2"/>
  <c r="P421" i="2"/>
  <c r="O421" i="2"/>
  <c r="T420" i="2"/>
  <c r="S420" i="2"/>
  <c r="R420" i="2"/>
  <c r="U420" i="2" s="1"/>
  <c r="Q420" i="2"/>
  <c r="P420" i="2"/>
  <c r="N420" i="2"/>
  <c r="M420" i="2"/>
  <c r="L420" i="2"/>
  <c r="O420" i="2" s="1"/>
  <c r="S419" i="2"/>
  <c r="S417" i="2" s="1"/>
  <c r="R419" i="2"/>
  <c r="R416" i="2" s="1"/>
  <c r="U416" i="2" s="1"/>
  <c r="Q419" i="2"/>
  <c r="T419" i="2" s="1"/>
  <c r="P419" i="2"/>
  <c r="O419" i="2"/>
  <c r="U418" i="2"/>
  <c r="T418" i="2"/>
  <c r="P418" i="2"/>
  <c r="O418" i="2"/>
  <c r="O417" i="2"/>
  <c r="N417" i="2"/>
  <c r="M417" i="2"/>
  <c r="P417" i="2" s="1"/>
  <c r="L417" i="2"/>
  <c r="N416" i="2"/>
  <c r="M416" i="2"/>
  <c r="P416" i="2" s="1"/>
  <c r="L416" i="2"/>
  <c r="S415" i="2"/>
  <c r="R415" i="2"/>
  <c r="U415" i="2" s="1"/>
  <c r="Q415" i="2"/>
  <c r="T415" i="2" s="1"/>
  <c r="O415" i="2"/>
  <c r="N415" i="2"/>
  <c r="M415" i="2"/>
  <c r="P415" i="2" s="1"/>
  <c r="L415" i="2"/>
  <c r="U401" i="2"/>
  <c r="T401" i="2"/>
  <c r="P401" i="2"/>
  <c r="O401" i="2"/>
  <c r="U400" i="2"/>
  <c r="T400" i="2"/>
  <c r="P400" i="2"/>
  <c r="O400" i="2"/>
  <c r="S399" i="2"/>
  <c r="R399" i="2"/>
  <c r="U399" i="2" s="1"/>
  <c r="Q399" i="2"/>
  <c r="T399" i="2" s="1"/>
  <c r="P399" i="2"/>
  <c r="N399" i="2"/>
  <c r="M399" i="2"/>
  <c r="L399" i="2"/>
  <c r="O399" i="2" s="1"/>
  <c r="U398" i="2"/>
  <c r="T398" i="2"/>
  <c r="P398" i="2"/>
  <c r="O398" i="2"/>
  <c r="U397" i="2"/>
  <c r="T397" i="2"/>
  <c r="P397" i="2"/>
  <c r="O397" i="2"/>
  <c r="S396" i="2"/>
  <c r="R396" i="2"/>
  <c r="U396" i="2" s="1"/>
  <c r="Q396" i="2"/>
  <c r="T396" i="2" s="1"/>
  <c r="P396" i="2"/>
  <c r="N396" i="2"/>
  <c r="M396" i="2"/>
  <c r="L396" i="2"/>
  <c r="O396" i="2" s="1"/>
  <c r="S395" i="2"/>
  <c r="R395" i="2"/>
  <c r="U395" i="2" s="1"/>
  <c r="Q395" i="2"/>
  <c r="T395" i="2" s="1"/>
  <c r="N395" i="2"/>
  <c r="M395" i="2"/>
  <c r="P395" i="2" s="1"/>
  <c r="L395" i="2"/>
  <c r="O395" i="2" s="1"/>
  <c r="S394" i="2"/>
  <c r="S393" i="2" s="1"/>
  <c r="R394" i="2"/>
  <c r="U394" i="2" s="1"/>
  <c r="Q394" i="2"/>
  <c r="N394" i="2"/>
  <c r="N393" i="2" s="1"/>
  <c r="M394" i="2"/>
  <c r="M393" i="2" s="1"/>
  <c r="P393" i="2" s="1"/>
  <c r="L394" i="2"/>
  <c r="O394" i="2" s="1"/>
  <c r="R393" i="2"/>
  <c r="U393" i="2" s="1"/>
  <c r="J392" i="2"/>
  <c r="I392" i="2"/>
  <c r="K392" i="2" s="1"/>
  <c r="U384" i="2"/>
  <c r="T384" i="2"/>
  <c r="P384" i="2"/>
  <c r="O384" i="2"/>
  <c r="U383" i="2"/>
  <c r="T383" i="2"/>
  <c r="P383" i="2"/>
  <c r="O383" i="2"/>
  <c r="S382" i="2"/>
  <c r="R382" i="2"/>
  <c r="U382" i="2" s="1"/>
  <c r="Q382" i="2"/>
  <c r="T382" i="2" s="1"/>
  <c r="P382" i="2"/>
  <c r="N382" i="2"/>
  <c r="M382" i="2"/>
  <c r="L382" i="2"/>
  <c r="O382" i="2" s="1"/>
  <c r="S381" i="2"/>
  <c r="R381" i="2"/>
  <c r="R378" i="2" s="1"/>
  <c r="P381" i="2"/>
  <c r="O381" i="2"/>
  <c r="U380" i="2"/>
  <c r="T380" i="2"/>
  <c r="P380" i="2"/>
  <c r="O380" i="2"/>
  <c r="N379" i="2"/>
  <c r="M379" i="2"/>
  <c r="P379" i="2" s="1"/>
  <c r="L379" i="2"/>
  <c r="O379" i="2" s="1"/>
  <c r="O378" i="2"/>
  <c r="N378" i="2"/>
  <c r="M378" i="2"/>
  <c r="P378" i="2" s="1"/>
  <c r="L378" i="2"/>
  <c r="S377" i="2"/>
  <c r="R377" i="2"/>
  <c r="U377" i="2" s="1"/>
  <c r="Q377" i="2"/>
  <c r="T377" i="2" s="1"/>
  <c r="N377" i="2"/>
  <c r="N376" i="2" s="1"/>
  <c r="M377" i="2"/>
  <c r="L377" i="2"/>
  <c r="O377" i="2" s="1"/>
  <c r="J375" i="2"/>
  <c r="I375" i="2"/>
  <c r="K375" i="2" s="1"/>
  <c r="D374" i="2"/>
  <c r="K373" i="2"/>
  <c r="J373" i="2"/>
  <c r="J372" i="2"/>
  <c r="J366" i="2" s="1"/>
  <c r="I372" i="2"/>
  <c r="I366" i="2" s="1"/>
  <c r="K371" i="2"/>
  <c r="J371" i="2"/>
  <c r="J370" i="2"/>
  <c r="I370" i="2"/>
  <c r="J369" i="2"/>
  <c r="I369" i="2"/>
  <c r="K368" i="2"/>
  <c r="J368" i="2"/>
  <c r="U365" i="2"/>
  <c r="T365" i="2"/>
  <c r="N365" i="2"/>
  <c r="N363" i="2" s="1"/>
  <c r="M365" i="2"/>
  <c r="P365" i="2" s="1"/>
  <c r="L365" i="2"/>
  <c r="O365" i="2" s="1"/>
  <c r="U364" i="2"/>
  <c r="T364" i="2"/>
  <c r="P364" i="2"/>
  <c r="O364" i="2"/>
  <c r="T363" i="2"/>
  <c r="S363" i="2"/>
  <c r="R363" i="2"/>
  <c r="U363" i="2" s="1"/>
  <c r="Q363" i="2"/>
  <c r="U362" i="2"/>
  <c r="T362" i="2"/>
  <c r="N362" i="2"/>
  <c r="M362" i="2"/>
  <c r="M360" i="2" s="1"/>
  <c r="L362" i="2"/>
  <c r="L360" i="2" s="1"/>
  <c r="U361" i="2"/>
  <c r="T361" i="2"/>
  <c r="P361" i="2"/>
  <c r="O361" i="2"/>
  <c r="S360" i="2"/>
  <c r="R360" i="2"/>
  <c r="U360" i="2" s="1"/>
  <c r="Q360" i="2"/>
  <c r="T360" i="2" s="1"/>
  <c r="U359" i="2"/>
  <c r="S359" i="2"/>
  <c r="R359" i="2"/>
  <c r="Q359" i="2"/>
  <c r="T359" i="2" s="1"/>
  <c r="S358" i="2"/>
  <c r="R358" i="2"/>
  <c r="Q358" i="2"/>
  <c r="N358" i="2"/>
  <c r="M358" i="2"/>
  <c r="P358" i="2" s="1"/>
  <c r="L358" i="2"/>
  <c r="S357" i="2"/>
  <c r="D355" i="2"/>
  <c r="J354" i="2"/>
  <c r="J353" i="2"/>
  <c r="D351" i="2"/>
  <c r="J350" i="2"/>
  <c r="J349" i="2"/>
  <c r="J348" i="2"/>
  <c r="J347" i="2"/>
  <c r="I347" i="2"/>
  <c r="J345" i="2"/>
  <c r="I345" i="2"/>
  <c r="I333" i="2" s="1"/>
  <c r="U342" i="2"/>
  <c r="T342" i="2"/>
  <c r="N342" i="2"/>
  <c r="N340" i="2" s="1"/>
  <c r="M342" i="2"/>
  <c r="M340" i="2" s="1"/>
  <c r="P340" i="2" s="1"/>
  <c r="L342" i="2"/>
  <c r="L340" i="2" s="1"/>
  <c r="O340" i="2" s="1"/>
  <c r="U341" i="2"/>
  <c r="T341" i="2"/>
  <c r="P341" i="2"/>
  <c r="O341" i="2"/>
  <c r="S340" i="2"/>
  <c r="R340" i="2"/>
  <c r="U340" i="2" s="1"/>
  <c r="Q340" i="2"/>
  <c r="T340" i="2" s="1"/>
  <c r="U339" i="2"/>
  <c r="T339" i="2"/>
  <c r="N339" i="2"/>
  <c r="N337" i="2" s="1"/>
  <c r="M339" i="2"/>
  <c r="M337" i="2" s="1"/>
  <c r="L339" i="2"/>
  <c r="L337" i="2" s="1"/>
  <c r="U338" i="2"/>
  <c r="T338" i="2"/>
  <c r="P338" i="2"/>
  <c r="O338" i="2"/>
  <c r="T337" i="2"/>
  <c r="S337" i="2"/>
  <c r="R337" i="2"/>
  <c r="U337" i="2" s="1"/>
  <c r="Q337" i="2"/>
  <c r="T336" i="2"/>
  <c r="S336" i="2"/>
  <c r="S334" i="2" s="1"/>
  <c r="R336" i="2"/>
  <c r="U336" i="2" s="1"/>
  <c r="Q336" i="2"/>
  <c r="S335" i="2"/>
  <c r="R335" i="2"/>
  <c r="Q335" i="2"/>
  <c r="P335" i="2"/>
  <c r="N335" i="2"/>
  <c r="M335" i="2"/>
  <c r="L335" i="2"/>
  <c r="I331" i="2"/>
  <c r="U329" i="2"/>
  <c r="T329" i="2"/>
  <c r="N329" i="2"/>
  <c r="M329" i="2"/>
  <c r="L329" i="2"/>
  <c r="U328" i="2"/>
  <c r="T328" i="2"/>
  <c r="P328" i="2"/>
  <c r="O328" i="2"/>
  <c r="U327" i="2"/>
  <c r="T327" i="2"/>
  <c r="S327" i="2"/>
  <c r="R327" i="2"/>
  <c r="Q327" i="2"/>
  <c r="U326" i="2"/>
  <c r="T326" i="2"/>
  <c r="N326" i="2"/>
  <c r="N324" i="2" s="1"/>
  <c r="M326" i="2"/>
  <c r="L326" i="2"/>
  <c r="L324" i="2" s="1"/>
  <c r="U325" i="2"/>
  <c r="T325" i="2"/>
  <c r="P325" i="2"/>
  <c r="O325" i="2"/>
  <c r="S324" i="2"/>
  <c r="R324" i="2"/>
  <c r="U324" i="2" s="1"/>
  <c r="Q324" i="2"/>
  <c r="T324" i="2" s="1"/>
  <c r="U323" i="2"/>
  <c r="S323" i="2"/>
  <c r="S321" i="2" s="1"/>
  <c r="R323" i="2"/>
  <c r="R321" i="2" s="1"/>
  <c r="Q323" i="2"/>
  <c r="T323" i="2" s="1"/>
  <c r="U322" i="2"/>
  <c r="S322" i="2"/>
  <c r="R322" i="2"/>
  <c r="Q322" i="2"/>
  <c r="P322" i="2"/>
  <c r="O322" i="2"/>
  <c r="N322" i="2"/>
  <c r="M322" i="2"/>
  <c r="L322" i="2"/>
  <c r="U321" i="2"/>
  <c r="J320" i="2"/>
  <c r="I315" i="2"/>
  <c r="I303" i="2" s="1"/>
  <c r="K303" i="2" s="1"/>
  <c r="U312" i="2"/>
  <c r="T312" i="2"/>
  <c r="N312" i="2"/>
  <c r="N310" i="2" s="1"/>
  <c r="M312" i="2"/>
  <c r="P312" i="2" s="1"/>
  <c r="L312" i="2"/>
  <c r="U311" i="2"/>
  <c r="T311" i="2"/>
  <c r="P311" i="2"/>
  <c r="O311" i="2"/>
  <c r="U310" i="2"/>
  <c r="T310" i="2"/>
  <c r="S310" i="2"/>
  <c r="R310" i="2"/>
  <c r="Q310" i="2"/>
  <c r="S309" i="2"/>
  <c r="S307" i="2" s="1"/>
  <c r="R309" i="2"/>
  <c r="Q309" i="2"/>
  <c r="Q307" i="2" s="1"/>
  <c r="N309" i="2"/>
  <c r="M309" i="2"/>
  <c r="P309" i="2" s="1"/>
  <c r="L309" i="2"/>
  <c r="L307" i="2" s="1"/>
  <c r="O307" i="2" s="1"/>
  <c r="U308" i="2"/>
  <c r="T308" i="2"/>
  <c r="P308" i="2"/>
  <c r="O308" i="2"/>
  <c r="S305" i="2"/>
  <c r="R305" i="2"/>
  <c r="Q305" i="2"/>
  <c r="P305" i="2"/>
  <c r="O305" i="2"/>
  <c r="N305" i="2"/>
  <c r="M305" i="2"/>
  <c r="L305" i="2"/>
  <c r="J303" i="2"/>
  <c r="I297" i="2"/>
  <c r="K297" i="2" s="1"/>
  <c r="I296" i="2"/>
  <c r="K296" i="2" s="1"/>
  <c r="J294" i="2"/>
  <c r="I294" i="2"/>
  <c r="I281" i="2" s="1"/>
  <c r="K281" i="2" s="1"/>
  <c r="I293" i="2"/>
  <c r="I282" i="2" s="1"/>
  <c r="K282" i="2" s="1"/>
  <c r="U291" i="2"/>
  <c r="T291" i="2"/>
  <c r="N291" i="2"/>
  <c r="N289" i="2" s="1"/>
  <c r="M291" i="2"/>
  <c r="P291" i="2" s="1"/>
  <c r="L291" i="2"/>
  <c r="U290" i="2"/>
  <c r="T290" i="2"/>
  <c r="P290" i="2"/>
  <c r="O290" i="2"/>
  <c r="S289" i="2"/>
  <c r="R289" i="2"/>
  <c r="U289" i="2" s="1"/>
  <c r="Q289" i="2"/>
  <c r="T289" i="2" s="1"/>
  <c r="U288" i="2"/>
  <c r="T288" i="2"/>
  <c r="N288" i="2"/>
  <c r="M288" i="2"/>
  <c r="M286" i="2" s="1"/>
  <c r="P286" i="2" s="1"/>
  <c r="L288" i="2"/>
  <c r="U287" i="2"/>
  <c r="T287" i="2"/>
  <c r="P287" i="2"/>
  <c r="O287" i="2"/>
  <c r="S286" i="2"/>
  <c r="R286" i="2"/>
  <c r="U286" i="2" s="1"/>
  <c r="Q286" i="2"/>
  <c r="T286" i="2" s="1"/>
  <c r="S285" i="2"/>
  <c r="R285" i="2"/>
  <c r="U285" i="2" s="1"/>
  <c r="Q285" i="2"/>
  <c r="T285" i="2" s="1"/>
  <c r="S284" i="2"/>
  <c r="S283" i="2" s="1"/>
  <c r="R284" i="2"/>
  <c r="U284" i="2" s="1"/>
  <c r="Q284" i="2"/>
  <c r="T284" i="2" s="1"/>
  <c r="N284" i="2"/>
  <c r="M284" i="2"/>
  <c r="L284" i="2"/>
  <c r="J282" i="2"/>
  <c r="J281" i="2"/>
  <c r="I277" i="2"/>
  <c r="I266" i="2" s="1"/>
  <c r="U275" i="2"/>
  <c r="T275" i="2"/>
  <c r="N275" i="2"/>
  <c r="N273" i="2" s="1"/>
  <c r="M275" i="2"/>
  <c r="P275" i="2" s="1"/>
  <c r="L275" i="2"/>
  <c r="U274" i="2"/>
  <c r="T274" i="2"/>
  <c r="P274" i="2"/>
  <c r="O274" i="2"/>
  <c r="T273" i="2"/>
  <c r="S273" i="2"/>
  <c r="R273" i="2"/>
  <c r="U273" i="2" s="1"/>
  <c r="Q273" i="2"/>
  <c r="S272" i="2"/>
  <c r="R272" i="2"/>
  <c r="R270" i="2" s="1"/>
  <c r="Q272" i="2"/>
  <c r="Q270" i="2" s="1"/>
  <c r="N272" i="2"/>
  <c r="M272" i="2"/>
  <c r="L272" i="2"/>
  <c r="O272" i="2" s="1"/>
  <c r="U271" i="2"/>
  <c r="T271" i="2"/>
  <c r="P271" i="2"/>
  <c r="O271" i="2"/>
  <c r="U268" i="2"/>
  <c r="T268" i="2"/>
  <c r="S268" i="2"/>
  <c r="R268" i="2"/>
  <c r="Q268" i="2"/>
  <c r="P268" i="2"/>
  <c r="O268" i="2"/>
  <c r="N268" i="2"/>
  <c r="M268" i="2"/>
  <c r="L268" i="2"/>
  <c r="J266" i="2"/>
  <c r="K264" i="2"/>
  <c r="K263" i="2"/>
  <c r="I261" i="2"/>
  <c r="K261" i="2" s="1"/>
  <c r="L259" i="2"/>
  <c r="L258" i="2"/>
  <c r="L257" i="2"/>
  <c r="L256" i="2"/>
  <c r="P255" i="2"/>
  <c r="N255" i="2"/>
  <c r="N233" i="2" s="1"/>
  <c r="J254" i="2"/>
  <c r="I253" i="2"/>
  <c r="K253" i="2" s="1"/>
  <c r="I252" i="2"/>
  <c r="I241" i="2" s="1"/>
  <c r="K241" i="2" s="1"/>
  <c r="I250" i="2"/>
  <c r="K250" i="2" s="1"/>
  <c r="L248" i="2"/>
  <c r="L247" i="2"/>
  <c r="L246" i="2"/>
  <c r="L245" i="2"/>
  <c r="P244" i="2"/>
  <c r="N244" i="2"/>
  <c r="J243" i="2"/>
  <c r="J232" i="2" s="1"/>
  <c r="J186" i="2" s="1"/>
  <c r="J242" i="2"/>
  <c r="J241" i="2"/>
  <c r="J239" i="2"/>
  <c r="N237" i="2"/>
  <c r="N236" i="2"/>
  <c r="N235" i="2"/>
  <c r="N234" i="2"/>
  <c r="I231" i="2"/>
  <c r="K231" i="2" s="1"/>
  <c r="I230" i="2"/>
  <c r="I222" i="2" s="1"/>
  <c r="K222" i="2" s="1"/>
  <c r="I229" i="2"/>
  <c r="K229" i="2" s="1"/>
  <c r="L226" i="2"/>
  <c r="L225" i="2"/>
  <c r="L224" i="2"/>
  <c r="P223" i="2"/>
  <c r="N223" i="2"/>
  <c r="J222" i="2"/>
  <c r="I221" i="2"/>
  <c r="I220" i="2"/>
  <c r="K220" i="2" s="1"/>
  <c r="L218" i="2"/>
  <c r="L217" i="2"/>
  <c r="L216" i="2"/>
  <c r="P215" i="2"/>
  <c r="N215" i="2"/>
  <c r="J214" i="2"/>
  <c r="I213" i="2"/>
  <c r="K213" i="2" s="1"/>
  <c r="I212" i="2"/>
  <c r="K212" i="2" s="1"/>
  <c r="I210" i="2"/>
  <c r="L208" i="2"/>
  <c r="L207" i="2"/>
  <c r="L206" i="2"/>
  <c r="L205" i="2"/>
  <c r="P204" i="2"/>
  <c r="N204" i="2"/>
  <c r="J203" i="2"/>
  <c r="J200" i="2"/>
  <c r="I199" i="2"/>
  <c r="I196" i="2" s="1"/>
  <c r="K196" i="2" s="1"/>
  <c r="P197" i="2"/>
  <c r="L197" i="2"/>
  <c r="O197" i="2" s="1"/>
  <c r="J196" i="2"/>
  <c r="U195" i="2"/>
  <c r="T195" i="2"/>
  <c r="N195" i="2"/>
  <c r="N193" i="2" s="1"/>
  <c r="M195" i="2"/>
  <c r="L195" i="2"/>
  <c r="O195" i="2" s="1"/>
  <c r="U194" i="2"/>
  <c r="T194" i="2"/>
  <c r="P194" i="2"/>
  <c r="O194" i="2"/>
  <c r="U193" i="2"/>
  <c r="T193" i="2"/>
  <c r="S193" i="2"/>
  <c r="R193" i="2"/>
  <c r="Q193" i="2"/>
  <c r="S192" i="2"/>
  <c r="R192" i="2"/>
  <c r="R190" i="2" s="1"/>
  <c r="Q192" i="2"/>
  <c r="Q190" i="2" s="1"/>
  <c r="N192" i="2"/>
  <c r="M192" i="2"/>
  <c r="L192" i="2"/>
  <c r="U191" i="2"/>
  <c r="T191" i="2"/>
  <c r="P191" i="2"/>
  <c r="O191" i="2"/>
  <c r="T188" i="2"/>
  <c r="S188" i="2"/>
  <c r="R188" i="2"/>
  <c r="Q188" i="2"/>
  <c r="N188" i="2"/>
  <c r="M188" i="2"/>
  <c r="L188" i="2"/>
  <c r="O188" i="2" s="1"/>
  <c r="K185" i="2"/>
  <c r="I184" i="2"/>
  <c r="K184" i="2" s="1"/>
  <c r="U182" i="2"/>
  <c r="T182" i="2"/>
  <c r="N182" i="2"/>
  <c r="N180" i="2" s="1"/>
  <c r="M182" i="2"/>
  <c r="P182" i="2" s="1"/>
  <c r="L182" i="2"/>
  <c r="L180" i="2" s="1"/>
  <c r="O180" i="2" s="1"/>
  <c r="U181" i="2"/>
  <c r="T181" i="2"/>
  <c r="P181" i="2"/>
  <c r="O181" i="2"/>
  <c r="U180" i="2"/>
  <c r="S180" i="2"/>
  <c r="R180" i="2"/>
  <c r="Q180" i="2"/>
  <c r="T180" i="2" s="1"/>
  <c r="S179" i="2"/>
  <c r="S177" i="2" s="1"/>
  <c r="R179" i="2"/>
  <c r="R176" i="2" s="1"/>
  <c r="U176" i="2" s="1"/>
  <c r="Q179" i="2"/>
  <c r="Q177" i="2" s="1"/>
  <c r="T177" i="2" s="1"/>
  <c r="N179" i="2"/>
  <c r="M179" i="2"/>
  <c r="M177" i="2" s="1"/>
  <c r="L179" i="2"/>
  <c r="U178" i="2"/>
  <c r="T178" i="2"/>
  <c r="P178" i="2"/>
  <c r="O178" i="2"/>
  <c r="S175" i="2"/>
  <c r="R175" i="2"/>
  <c r="Q175" i="2"/>
  <c r="T175" i="2" s="1"/>
  <c r="P175" i="2"/>
  <c r="N175" i="2"/>
  <c r="M175" i="2"/>
  <c r="L175" i="2"/>
  <c r="J173" i="2"/>
  <c r="I168" i="2"/>
  <c r="I170" i="2" s="1"/>
  <c r="K170" i="2" s="1"/>
  <c r="U166" i="2"/>
  <c r="T166" i="2"/>
  <c r="N166" i="2"/>
  <c r="N164" i="2" s="1"/>
  <c r="M166" i="2"/>
  <c r="P166" i="2" s="1"/>
  <c r="L166" i="2"/>
  <c r="L164" i="2" s="1"/>
  <c r="O164" i="2" s="1"/>
  <c r="U165" i="2"/>
  <c r="T165" i="2"/>
  <c r="P165" i="2"/>
  <c r="O165" i="2"/>
  <c r="S164" i="2"/>
  <c r="R164" i="2"/>
  <c r="U164" i="2" s="1"/>
  <c r="Q164" i="2"/>
  <c r="T164" i="2" s="1"/>
  <c r="S163" i="2"/>
  <c r="S160" i="2" s="1"/>
  <c r="R163" i="2"/>
  <c r="R161" i="2" s="1"/>
  <c r="U161" i="2" s="1"/>
  <c r="N163" i="2"/>
  <c r="M163" i="2"/>
  <c r="L163" i="2"/>
  <c r="L161" i="2" s="1"/>
  <c r="U162" i="2"/>
  <c r="T162" i="2"/>
  <c r="P162" i="2"/>
  <c r="O162" i="2"/>
  <c r="S159" i="2"/>
  <c r="R159" i="2"/>
  <c r="U159" i="2" s="1"/>
  <c r="Q159" i="2"/>
  <c r="T159" i="2" s="1"/>
  <c r="N159" i="2"/>
  <c r="M159" i="2"/>
  <c r="P159" i="2" s="1"/>
  <c r="L159" i="2"/>
  <c r="O159" i="2" s="1"/>
  <c r="J157" i="2"/>
  <c r="I155" i="2"/>
  <c r="K155" i="2" s="1"/>
  <c r="I154" i="2"/>
  <c r="K154" i="2" s="1"/>
  <c r="I153" i="2"/>
  <c r="I152" i="2"/>
  <c r="K152" i="2" s="1"/>
  <c r="I151" i="2"/>
  <c r="K151" i="2" s="1"/>
  <c r="U148" i="2"/>
  <c r="T148" i="2"/>
  <c r="N148" i="2"/>
  <c r="N146" i="2" s="1"/>
  <c r="M148" i="2"/>
  <c r="P148" i="2" s="1"/>
  <c r="L148" i="2"/>
  <c r="O148" i="2" s="1"/>
  <c r="U147" i="2"/>
  <c r="T147" i="2"/>
  <c r="P147" i="2"/>
  <c r="O147" i="2"/>
  <c r="T146" i="2"/>
  <c r="S146" i="2"/>
  <c r="R146" i="2"/>
  <c r="U146" i="2" s="1"/>
  <c r="Q146" i="2"/>
  <c r="S145" i="2"/>
  <c r="S142" i="2" s="1"/>
  <c r="R145" i="2"/>
  <c r="U145" i="2" s="1"/>
  <c r="Q145" i="2"/>
  <c r="T145" i="2" s="1"/>
  <c r="N145" i="2"/>
  <c r="N143" i="2" s="1"/>
  <c r="M145" i="2"/>
  <c r="M143" i="2" s="1"/>
  <c r="L145" i="2"/>
  <c r="L143" i="2" s="1"/>
  <c r="U144" i="2"/>
  <c r="T144" i="2"/>
  <c r="P144" i="2"/>
  <c r="O144" i="2"/>
  <c r="U141" i="2"/>
  <c r="T141" i="2"/>
  <c r="S141" i="2"/>
  <c r="R141" i="2"/>
  <c r="Q141" i="2"/>
  <c r="P141" i="2"/>
  <c r="O141" i="2"/>
  <c r="N141" i="2"/>
  <c r="M141" i="2"/>
  <c r="L141" i="2"/>
  <c r="J139" i="2"/>
  <c r="J138" i="2"/>
  <c r="J137" i="2"/>
  <c r="I131" i="2"/>
  <c r="K131" i="2" s="1"/>
  <c r="I130" i="2"/>
  <c r="K130" i="2" s="1"/>
  <c r="I129" i="2"/>
  <c r="K129" i="2" s="1"/>
  <c r="I128" i="2"/>
  <c r="I117" i="2" s="1"/>
  <c r="K117" i="2" s="1"/>
  <c r="U126" i="2"/>
  <c r="T126" i="2"/>
  <c r="N126" i="2"/>
  <c r="N124" i="2" s="1"/>
  <c r="M126" i="2"/>
  <c r="P126" i="2" s="1"/>
  <c r="L126" i="2"/>
  <c r="O126" i="2" s="1"/>
  <c r="U125" i="2"/>
  <c r="T125" i="2"/>
  <c r="P125" i="2"/>
  <c r="O125" i="2"/>
  <c r="U124" i="2"/>
  <c r="S124" i="2"/>
  <c r="R124" i="2"/>
  <c r="Q124" i="2"/>
  <c r="T124" i="2" s="1"/>
  <c r="S123" i="2"/>
  <c r="S120" i="2" s="1"/>
  <c r="R123" i="2"/>
  <c r="R121" i="2" s="1"/>
  <c r="Q123" i="2"/>
  <c r="Q120" i="2" s="1"/>
  <c r="N123" i="2"/>
  <c r="N121" i="2" s="1"/>
  <c r="M123" i="2"/>
  <c r="P123" i="2" s="1"/>
  <c r="L123" i="2"/>
  <c r="O123" i="2" s="1"/>
  <c r="U122" i="2"/>
  <c r="T122" i="2"/>
  <c r="P122" i="2"/>
  <c r="O122" i="2"/>
  <c r="U119" i="2"/>
  <c r="S119" i="2"/>
  <c r="R119" i="2"/>
  <c r="Q119" i="2"/>
  <c r="T119" i="2" s="1"/>
  <c r="O119" i="2"/>
  <c r="N119" i="2"/>
  <c r="M119" i="2"/>
  <c r="P119" i="2" s="1"/>
  <c r="L119" i="2"/>
  <c r="J117" i="2"/>
  <c r="I115" i="2"/>
  <c r="K115" i="2" s="1"/>
  <c r="I114" i="2"/>
  <c r="K114" i="2" s="1"/>
  <c r="I110" i="2"/>
  <c r="K110" i="2" s="1"/>
  <c r="I109" i="2"/>
  <c r="U103" i="2"/>
  <c r="T103" i="2"/>
  <c r="N103" i="2"/>
  <c r="M103" i="2"/>
  <c r="L103" i="2"/>
  <c r="O103" i="2" s="1"/>
  <c r="U102" i="2"/>
  <c r="T102" i="2"/>
  <c r="P102" i="2"/>
  <c r="O102" i="2"/>
  <c r="U101" i="2"/>
  <c r="S101" i="2"/>
  <c r="R101" i="2"/>
  <c r="Q101" i="2"/>
  <c r="T101" i="2" s="1"/>
  <c r="S100" i="2"/>
  <c r="S98" i="2" s="1"/>
  <c r="R100" i="2"/>
  <c r="R98" i="2" s="1"/>
  <c r="Q100" i="2"/>
  <c r="Q98" i="2" s="1"/>
  <c r="N100" i="2"/>
  <c r="N98" i="2" s="1"/>
  <c r="M100" i="2"/>
  <c r="L100" i="2"/>
  <c r="L98" i="2" s="1"/>
  <c r="O98" i="2" s="1"/>
  <c r="U99" i="2"/>
  <c r="T99" i="2"/>
  <c r="P99" i="2"/>
  <c r="O99" i="2"/>
  <c r="U96" i="2"/>
  <c r="S96" i="2"/>
  <c r="R96" i="2"/>
  <c r="Q96" i="2"/>
  <c r="T96" i="2" s="1"/>
  <c r="O96" i="2"/>
  <c r="N96" i="2"/>
  <c r="M96" i="2"/>
  <c r="L96" i="2"/>
  <c r="J94" i="2"/>
  <c r="J93" i="2"/>
  <c r="I91" i="2"/>
  <c r="K91" i="2" s="1"/>
  <c r="I90" i="2"/>
  <c r="K90" i="2" s="1"/>
  <c r="I89" i="2"/>
  <c r="K89" i="2" s="1"/>
  <c r="I88" i="2"/>
  <c r="K88" i="2" s="1"/>
  <c r="I87" i="2"/>
  <c r="I86" i="2"/>
  <c r="K86" i="2" s="1"/>
  <c r="I85" i="2"/>
  <c r="K85" i="2" s="1"/>
  <c r="J84" i="2"/>
  <c r="J83" i="2"/>
  <c r="J71" i="2" s="1"/>
  <c r="U81" i="2"/>
  <c r="T81" i="2"/>
  <c r="N81" i="2"/>
  <c r="N79" i="2" s="1"/>
  <c r="M81" i="2"/>
  <c r="P81" i="2" s="1"/>
  <c r="L81" i="2"/>
  <c r="U80" i="2"/>
  <c r="T80" i="2"/>
  <c r="P80" i="2"/>
  <c r="O80" i="2"/>
  <c r="T79" i="2"/>
  <c r="S79" i="2"/>
  <c r="R79" i="2"/>
  <c r="U79" i="2" s="1"/>
  <c r="Q79" i="2"/>
  <c r="S78" i="2"/>
  <c r="R78" i="2"/>
  <c r="R75" i="2" s="1"/>
  <c r="U75" i="2" s="1"/>
  <c r="N78" i="2"/>
  <c r="N76" i="2" s="1"/>
  <c r="M78" i="2"/>
  <c r="P78" i="2" s="1"/>
  <c r="L78" i="2"/>
  <c r="U77" i="2"/>
  <c r="T77" i="2"/>
  <c r="P77" i="2"/>
  <c r="O77" i="2"/>
  <c r="T74" i="2"/>
  <c r="S74" i="2"/>
  <c r="R74" i="2"/>
  <c r="Q74" i="2"/>
  <c r="N74" i="2"/>
  <c r="M74" i="2"/>
  <c r="P74" i="2" s="1"/>
  <c r="L74" i="2"/>
  <c r="J72" i="2"/>
  <c r="U68" i="2"/>
  <c r="T68" i="2"/>
  <c r="N68" i="2"/>
  <c r="N66" i="2" s="1"/>
  <c r="M68" i="2"/>
  <c r="P68" i="2" s="1"/>
  <c r="L68" i="2"/>
  <c r="L66" i="2" s="1"/>
  <c r="O66" i="2" s="1"/>
  <c r="U67" i="2"/>
  <c r="T67" i="2"/>
  <c r="P67" i="2"/>
  <c r="O67" i="2"/>
  <c r="U66" i="2"/>
  <c r="S66" i="2"/>
  <c r="R66" i="2"/>
  <c r="Q66" i="2"/>
  <c r="T66" i="2" s="1"/>
  <c r="U65" i="2"/>
  <c r="T65" i="2"/>
  <c r="N65" i="2"/>
  <c r="M65" i="2"/>
  <c r="M63" i="2" s="1"/>
  <c r="L65" i="2"/>
  <c r="L63" i="2" s="1"/>
  <c r="U64" i="2"/>
  <c r="T64" i="2"/>
  <c r="P64" i="2"/>
  <c r="O64" i="2"/>
  <c r="T63" i="2"/>
  <c r="S63" i="2"/>
  <c r="R63" i="2"/>
  <c r="U63" i="2" s="1"/>
  <c r="Q63" i="2"/>
  <c r="U62" i="2"/>
  <c r="T62" i="2"/>
  <c r="S62" i="2"/>
  <c r="R62" i="2"/>
  <c r="Q62" i="2"/>
  <c r="T61" i="2"/>
  <c r="S61" i="2"/>
  <c r="S60" i="2" s="1"/>
  <c r="R61" i="2"/>
  <c r="Q61" i="2"/>
  <c r="N61" i="2"/>
  <c r="M61" i="2"/>
  <c r="L61" i="2"/>
  <c r="T60" i="2"/>
  <c r="Q60" i="2"/>
  <c r="U53" i="2"/>
  <c r="T53" i="2"/>
  <c r="N53" i="2"/>
  <c r="N51" i="2" s="1"/>
  <c r="M53" i="2"/>
  <c r="P53" i="2" s="1"/>
  <c r="L53" i="2"/>
  <c r="O53" i="2" s="1"/>
  <c r="U52" i="2"/>
  <c r="T52" i="2"/>
  <c r="P52" i="2"/>
  <c r="O52" i="2"/>
  <c r="U51" i="2"/>
  <c r="S51" i="2"/>
  <c r="R51" i="2"/>
  <c r="Q51" i="2"/>
  <c r="T51" i="2" s="1"/>
  <c r="U50" i="2"/>
  <c r="T50" i="2"/>
  <c r="N50" i="2"/>
  <c r="N48" i="2" s="1"/>
  <c r="M50" i="2"/>
  <c r="L50" i="2"/>
  <c r="U49" i="2"/>
  <c r="T49" i="2"/>
  <c r="P49" i="2"/>
  <c r="O49" i="2"/>
  <c r="T48" i="2"/>
  <c r="S48" i="2"/>
  <c r="R48" i="2"/>
  <c r="U48" i="2" s="1"/>
  <c r="Q48" i="2"/>
  <c r="U47" i="2"/>
  <c r="T47" i="2"/>
  <c r="S47" i="2"/>
  <c r="R47" i="2"/>
  <c r="Q47" i="2"/>
  <c r="T46" i="2"/>
  <c r="S46" i="2"/>
  <c r="S45" i="2" s="1"/>
  <c r="R46" i="2"/>
  <c r="Q46" i="2"/>
  <c r="N46" i="2"/>
  <c r="M46" i="2"/>
  <c r="L46" i="2"/>
  <c r="T45" i="2"/>
  <c r="Q45" i="2"/>
  <c r="S27" i="2"/>
  <c r="R27" i="2"/>
  <c r="U27" i="2" s="1"/>
  <c r="Q27" i="2"/>
  <c r="T27" i="2" s="1"/>
  <c r="S26" i="2"/>
  <c r="R26" i="2"/>
  <c r="Q26" i="2"/>
  <c r="N26" i="2"/>
  <c r="M26" i="2"/>
  <c r="P26" i="2" s="1"/>
  <c r="L26" i="2"/>
  <c r="O26" i="2" s="1"/>
  <c r="S23" i="2"/>
  <c r="S20" i="2" s="1"/>
  <c r="R23" i="2"/>
  <c r="U23" i="2" s="1"/>
  <c r="Q23" i="2"/>
  <c r="N23" i="2"/>
  <c r="M23" i="2"/>
  <c r="P23" i="2" s="1"/>
  <c r="L23" i="2"/>
  <c r="O23" i="2" s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J772" i="1"/>
  <c r="J758" i="1" s="1"/>
  <c r="I772" i="1"/>
  <c r="I758" i="1" s="1"/>
  <c r="J770" i="1"/>
  <c r="I770" i="1"/>
  <c r="K770" i="1" s="1"/>
  <c r="S768" i="1"/>
  <c r="R768" i="1"/>
  <c r="U768" i="1" s="1"/>
  <c r="Q768" i="1"/>
  <c r="T768" i="1" s="1"/>
  <c r="N768" i="1"/>
  <c r="M768" i="1"/>
  <c r="L768" i="1"/>
  <c r="O768" i="1" s="1"/>
  <c r="S767" i="1"/>
  <c r="R767" i="1"/>
  <c r="Q767" i="1"/>
  <c r="T767" i="1" s="1"/>
  <c r="N767" i="1"/>
  <c r="M767" i="1"/>
  <c r="L767" i="1"/>
  <c r="S765" i="1"/>
  <c r="R765" i="1"/>
  <c r="Q765" i="1"/>
  <c r="N765" i="1"/>
  <c r="M765" i="1"/>
  <c r="P765" i="1" s="1"/>
  <c r="L765" i="1"/>
  <c r="O765" i="1" s="1"/>
  <c r="S764" i="1"/>
  <c r="R764" i="1"/>
  <c r="Q764" i="1"/>
  <c r="N764" i="1"/>
  <c r="M764" i="1"/>
  <c r="P764" i="1" s="1"/>
  <c r="L764" i="1"/>
  <c r="J757" i="1"/>
  <c r="J756" i="1"/>
  <c r="I756" i="1"/>
  <c r="J754" i="1"/>
  <c r="J753" i="1"/>
  <c r="I753" i="1"/>
  <c r="J750" i="1"/>
  <c r="I750" i="1"/>
  <c r="J749" i="1"/>
  <c r="J747" i="1"/>
  <c r="I747" i="1"/>
  <c r="J746" i="1"/>
  <c r="J745" i="1"/>
  <c r="I745" i="1"/>
  <c r="J743" i="1"/>
  <c r="I743" i="1"/>
  <c r="J742" i="1"/>
  <c r="J741" i="1"/>
  <c r="I741" i="1"/>
  <c r="S737" i="1"/>
  <c r="R737" i="1"/>
  <c r="U737" i="1" s="1"/>
  <c r="Q737" i="1"/>
  <c r="T737" i="1" s="1"/>
  <c r="N737" i="1"/>
  <c r="M737" i="1"/>
  <c r="P737" i="1" s="1"/>
  <c r="L737" i="1"/>
  <c r="S736" i="1"/>
  <c r="R736" i="1"/>
  <c r="U736" i="1" s="1"/>
  <c r="Q736" i="1"/>
  <c r="T736" i="1" s="1"/>
  <c r="N736" i="1"/>
  <c r="M736" i="1"/>
  <c r="P736" i="1" s="1"/>
  <c r="L736" i="1"/>
  <c r="S734" i="1"/>
  <c r="R734" i="1"/>
  <c r="R731" i="1" s="1"/>
  <c r="Q734" i="1"/>
  <c r="N734" i="1"/>
  <c r="M734" i="1"/>
  <c r="P734" i="1" s="1"/>
  <c r="L734" i="1"/>
  <c r="O734" i="1" s="1"/>
  <c r="S733" i="1"/>
  <c r="R733" i="1"/>
  <c r="Q733" i="1"/>
  <c r="T733" i="1" s="1"/>
  <c r="N733" i="1"/>
  <c r="M733" i="1"/>
  <c r="P733" i="1" s="1"/>
  <c r="L733" i="1"/>
  <c r="O733" i="1" s="1"/>
  <c r="I728" i="1"/>
  <c r="I727" i="1"/>
  <c r="S723" i="1"/>
  <c r="R723" i="1"/>
  <c r="U723" i="1" s="1"/>
  <c r="Q723" i="1"/>
  <c r="T723" i="1" s="1"/>
  <c r="N723" i="1"/>
  <c r="M723" i="1"/>
  <c r="P723" i="1" s="1"/>
  <c r="L723" i="1"/>
  <c r="O723" i="1" s="1"/>
  <c r="S722" i="1"/>
  <c r="R722" i="1"/>
  <c r="Q722" i="1"/>
  <c r="N722" i="1"/>
  <c r="M722" i="1"/>
  <c r="P722" i="1" s="1"/>
  <c r="L722" i="1"/>
  <c r="O722" i="1" s="1"/>
  <c r="S720" i="1"/>
  <c r="S717" i="1" s="1"/>
  <c r="R720" i="1"/>
  <c r="Q720" i="1"/>
  <c r="N720" i="1"/>
  <c r="M720" i="1"/>
  <c r="P720" i="1" s="1"/>
  <c r="L720" i="1"/>
  <c r="O720" i="1" s="1"/>
  <c r="S719" i="1"/>
  <c r="R719" i="1"/>
  <c r="U719" i="1" s="1"/>
  <c r="Q719" i="1"/>
  <c r="T719" i="1" s="1"/>
  <c r="N719" i="1"/>
  <c r="M719" i="1"/>
  <c r="P719" i="1" s="1"/>
  <c r="L719" i="1"/>
  <c r="K713" i="1"/>
  <c r="J713" i="1"/>
  <c r="K711" i="1"/>
  <c r="J711" i="1"/>
  <c r="J710" i="1"/>
  <c r="I710" i="1"/>
  <c r="K709" i="1"/>
  <c r="J709" i="1"/>
  <c r="J708" i="1"/>
  <c r="J690" i="1" s="1"/>
  <c r="I708" i="1"/>
  <c r="K707" i="1"/>
  <c r="J707" i="1"/>
  <c r="J706" i="1"/>
  <c r="I706" i="1"/>
  <c r="K705" i="1"/>
  <c r="J705" i="1"/>
  <c r="J704" i="1"/>
  <c r="I704" i="1"/>
  <c r="K703" i="1"/>
  <c r="J701" i="1"/>
  <c r="I701" i="1"/>
  <c r="S699" i="1"/>
  <c r="R699" i="1"/>
  <c r="U699" i="1" s="1"/>
  <c r="Q699" i="1"/>
  <c r="T699" i="1" s="1"/>
  <c r="N699" i="1"/>
  <c r="M699" i="1"/>
  <c r="P699" i="1" s="1"/>
  <c r="L699" i="1"/>
  <c r="O699" i="1" s="1"/>
  <c r="S698" i="1"/>
  <c r="R698" i="1"/>
  <c r="U698" i="1" s="1"/>
  <c r="Q698" i="1"/>
  <c r="N698" i="1"/>
  <c r="M698" i="1"/>
  <c r="P698" i="1" s="1"/>
  <c r="L698" i="1"/>
  <c r="O698" i="1" s="1"/>
  <c r="S696" i="1"/>
  <c r="R696" i="1"/>
  <c r="Q696" i="1"/>
  <c r="N696" i="1"/>
  <c r="M696" i="1"/>
  <c r="L696" i="1"/>
  <c r="O696" i="1" s="1"/>
  <c r="S695" i="1"/>
  <c r="R695" i="1"/>
  <c r="U695" i="1" s="1"/>
  <c r="Q695" i="1"/>
  <c r="N695" i="1"/>
  <c r="M695" i="1"/>
  <c r="P695" i="1" s="1"/>
  <c r="L695" i="1"/>
  <c r="O695" i="1" s="1"/>
  <c r="J689" i="1"/>
  <c r="J688" i="1"/>
  <c r="J687" i="1"/>
  <c r="J686" i="1"/>
  <c r="J685" i="1"/>
  <c r="J684" i="1"/>
  <c r="I683" i="1"/>
  <c r="J682" i="1"/>
  <c r="I682" i="1"/>
  <c r="J681" i="1"/>
  <c r="J680" i="1"/>
  <c r="I680" i="1"/>
  <c r="J679" i="1"/>
  <c r="I679" i="1"/>
  <c r="J678" i="1"/>
  <c r="J677" i="1"/>
  <c r="I677" i="1"/>
  <c r="I676" i="1"/>
  <c r="I675" i="1"/>
  <c r="J674" i="1"/>
  <c r="I674" i="1"/>
  <c r="J673" i="1"/>
  <c r="J672" i="1"/>
  <c r="J671" i="1"/>
  <c r="J670" i="1"/>
  <c r="J669" i="1"/>
  <c r="J668" i="1"/>
  <c r="J667" i="1"/>
  <c r="J666" i="1"/>
  <c r="J664" i="1"/>
  <c r="J663" i="1"/>
  <c r="I662" i="1"/>
  <c r="J661" i="1"/>
  <c r="I661" i="1"/>
  <c r="J660" i="1"/>
  <c r="J659" i="1"/>
  <c r="J658" i="1"/>
  <c r="I658" i="1"/>
  <c r="J657" i="1"/>
  <c r="J656" i="1"/>
  <c r="I655" i="1"/>
  <c r="J654" i="1"/>
  <c r="I654" i="1"/>
  <c r="J653" i="1"/>
  <c r="I653" i="1"/>
  <c r="S651" i="1"/>
  <c r="R651" i="1"/>
  <c r="U651" i="1" s="1"/>
  <c r="Q651" i="1"/>
  <c r="T651" i="1" s="1"/>
  <c r="N651" i="1"/>
  <c r="M651" i="1"/>
  <c r="P651" i="1" s="1"/>
  <c r="L651" i="1"/>
  <c r="O651" i="1" s="1"/>
  <c r="S650" i="1"/>
  <c r="R650" i="1"/>
  <c r="Q650" i="1"/>
  <c r="T650" i="1" s="1"/>
  <c r="N650" i="1"/>
  <c r="M650" i="1"/>
  <c r="L650" i="1"/>
  <c r="O650" i="1" s="1"/>
  <c r="S648" i="1"/>
  <c r="R648" i="1"/>
  <c r="Q648" i="1"/>
  <c r="N648" i="1"/>
  <c r="M648" i="1"/>
  <c r="P648" i="1" s="1"/>
  <c r="L648" i="1"/>
  <c r="S647" i="1"/>
  <c r="R647" i="1"/>
  <c r="U647" i="1" s="1"/>
  <c r="Q647" i="1"/>
  <c r="T647" i="1" s="1"/>
  <c r="N647" i="1"/>
  <c r="M647" i="1"/>
  <c r="L647" i="1"/>
  <c r="J641" i="1"/>
  <c r="J640" i="1"/>
  <c r="J639" i="1"/>
  <c r="J638" i="1"/>
  <c r="I636" i="1"/>
  <c r="K636" i="1" s="1"/>
  <c r="J635" i="1"/>
  <c r="J634" i="1"/>
  <c r="J632" i="1"/>
  <c r="J631" i="1"/>
  <c r="J630" i="1"/>
  <c r="J629" i="1"/>
  <c r="I629" i="1"/>
  <c r="J628" i="1"/>
  <c r="I628" i="1"/>
  <c r="I627" i="1"/>
  <c r="S625" i="1"/>
  <c r="R625" i="1"/>
  <c r="U625" i="1" s="1"/>
  <c r="Q625" i="1"/>
  <c r="T625" i="1" s="1"/>
  <c r="N625" i="1"/>
  <c r="M625" i="1"/>
  <c r="P625" i="1" s="1"/>
  <c r="L625" i="1"/>
  <c r="S624" i="1"/>
  <c r="R624" i="1"/>
  <c r="Q624" i="1"/>
  <c r="T624" i="1" s="1"/>
  <c r="N624" i="1"/>
  <c r="M624" i="1"/>
  <c r="L624" i="1"/>
  <c r="S622" i="1"/>
  <c r="R622" i="1"/>
  <c r="Q622" i="1"/>
  <c r="N622" i="1"/>
  <c r="M622" i="1"/>
  <c r="P622" i="1" s="1"/>
  <c r="L622" i="1"/>
  <c r="O622" i="1" s="1"/>
  <c r="S621" i="1"/>
  <c r="R621" i="1"/>
  <c r="Q621" i="1"/>
  <c r="T621" i="1" s="1"/>
  <c r="N621" i="1"/>
  <c r="M621" i="1"/>
  <c r="P621" i="1" s="1"/>
  <c r="L621" i="1"/>
  <c r="S608" i="1"/>
  <c r="R608" i="1"/>
  <c r="Q608" i="1"/>
  <c r="T608" i="1" s="1"/>
  <c r="N608" i="1"/>
  <c r="M608" i="1"/>
  <c r="L608" i="1"/>
  <c r="O608" i="1" s="1"/>
  <c r="S607" i="1"/>
  <c r="R607" i="1"/>
  <c r="U607" i="1" s="1"/>
  <c r="Q607" i="1"/>
  <c r="N607" i="1"/>
  <c r="M607" i="1"/>
  <c r="P607" i="1" s="1"/>
  <c r="L607" i="1"/>
  <c r="O607" i="1" s="1"/>
  <c r="S605" i="1"/>
  <c r="R605" i="1"/>
  <c r="U605" i="1" s="1"/>
  <c r="Q605" i="1"/>
  <c r="N605" i="1"/>
  <c r="M605" i="1"/>
  <c r="P605" i="1" s="1"/>
  <c r="L605" i="1"/>
  <c r="O605" i="1" s="1"/>
  <c r="S604" i="1"/>
  <c r="R604" i="1"/>
  <c r="Q604" i="1"/>
  <c r="T604" i="1" s="1"/>
  <c r="N604" i="1"/>
  <c r="M604" i="1"/>
  <c r="L604" i="1"/>
  <c r="S585" i="1"/>
  <c r="R585" i="1"/>
  <c r="U585" i="1" s="1"/>
  <c r="Q585" i="1"/>
  <c r="T585" i="1" s="1"/>
  <c r="N585" i="1"/>
  <c r="M585" i="1"/>
  <c r="L585" i="1"/>
  <c r="O585" i="1" s="1"/>
  <c r="S584" i="1"/>
  <c r="R584" i="1"/>
  <c r="Q584" i="1"/>
  <c r="T584" i="1" s="1"/>
  <c r="N584" i="1"/>
  <c r="M584" i="1"/>
  <c r="P584" i="1" s="1"/>
  <c r="L584" i="1"/>
  <c r="O584" i="1" s="1"/>
  <c r="S582" i="1"/>
  <c r="S579" i="1" s="1"/>
  <c r="R582" i="1"/>
  <c r="Q582" i="1"/>
  <c r="T582" i="1" s="1"/>
  <c r="N582" i="1"/>
  <c r="M582" i="1"/>
  <c r="P582" i="1" s="1"/>
  <c r="L582" i="1"/>
  <c r="O582" i="1" s="1"/>
  <c r="S581" i="1"/>
  <c r="R581" i="1"/>
  <c r="Q581" i="1"/>
  <c r="N581" i="1"/>
  <c r="M581" i="1"/>
  <c r="L581" i="1"/>
  <c r="K576" i="1"/>
  <c r="J576" i="1"/>
  <c r="I576" i="1"/>
  <c r="S564" i="1"/>
  <c r="R564" i="1"/>
  <c r="U564" i="1" s="1"/>
  <c r="Q564" i="1"/>
  <c r="T564" i="1" s="1"/>
  <c r="N564" i="1"/>
  <c r="M564" i="1"/>
  <c r="P564" i="1" s="1"/>
  <c r="L564" i="1"/>
  <c r="O564" i="1" s="1"/>
  <c r="S563" i="1"/>
  <c r="R563" i="1"/>
  <c r="U563" i="1" s="1"/>
  <c r="Q563" i="1"/>
  <c r="T563" i="1" s="1"/>
  <c r="N563" i="1"/>
  <c r="M563" i="1"/>
  <c r="L563" i="1"/>
  <c r="O563" i="1" s="1"/>
  <c r="S561" i="1"/>
  <c r="R561" i="1"/>
  <c r="Q561" i="1"/>
  <c r="T561" i="1" s="1"/>
  <c r="N561" i="1"/>
  <c r="M561" i="1"/>
  <c r="P561" i="1" s="1"/>
  <c r="L561" i="1"/>
  <c r="O561" i="1" s="1"/>
  <c r="S560" i="1"/>
  <c r="R560" i="1"/>
  <c r="Q560" i="1"/>
  <c r="T560" i="1" s="1"/>
  <c r="N560" i="1"/>
  <c r="M560" i="1"/>
  <c r="P560" i="1" s="1"/>
  <c r="L560" i="1"/>
  <c r="O560" i="1" s="1"/>
  <c r="J555" i="1"/>
  <c r="I555" i="1"/>
  <c r="K555" i="1" s="1"/>
  <c r="S543" i="1"/>
  <c r="R543" i="1"/>
  <c r="Q543" i="1"/>
  <c r="T543" i="1" s="1"/>
  <c r="N543" i="1"/>
  <c r="M543" i="1"/>
  <c r="P543" i="1" s="1"/>
  <c r="L543" i="1"/>
  <c r="O543" i="1" s="1"/>
  <c r="S542" i="1"/>
  <c r="R542" i="1"/>
  <c r="Q542" i="1"/>
  <c r="N542" i="1"/>
  <c r="M542" i="1"/>
  <c r="P542" i="1" s="1"/>
  <c r="L542" i="1"/>
  <c r="S540" i="1"/>
  <c r="R540" i="1"/>
  <c r="U540" i="1" s="1"/>
  <c r="Q540" i="1"/>
  <c r="N540" i="1"/>
  <c r="M540" i="1"/>
  <c r="P540" i="1" s="1"/>
  <c r="L540" i="1"/>
  <c r="O540" i="1" s="1"/>
  <c r="S539" i="1"/>
  <c r="R539" i="1"/>
  <c r="Q539" i="1"/>
  <c r="T539" i="1" s="1"/>
  <c r="N539" i="1"/>
  <c r="M539" i="1"/>
  <c r="P539" i="1" s="1"/>
  <c r="L539" i="1"/>
  <c r="J534" i="1"/>
  <c r="I534" i="1"/>
  <c r="K534" i="1" s="1"/>
  <c r="K525" i="1"/>
  <c r="K524" i="1"/>
  <c r="S522" i="1"/>
  <c r="R522" i="1"/>
  <c r="U522" i="1" s="1"/>
  <c r="Q522" i="1"/>
  <c r="T522" i="1" s="1"/>
  <c r="N522" i="1"/>
  <c r="M522" i="1"/>
  <c r="P522" i="1" s="1"/>
  <c r="L522" i="1"/>
  <c r="O522" i="1" s="1"/>
  <c r="S521" i="1"/>
  <c r="R521" i="1"/>
  <c r="U521" i="1" s="1"/>
  <c r="Q521" i="1"/>
  <c r="N521" i="1"/>
  <c r="M521" i="1"/>
  <c r="P521" i="1" s="1"/>
  <c r="L521" i="1"/>
  <c r="O521" i="1" s="1"/>
  <c r="S519" i="1"/>
  <c r="R519" i="1"/>
  <c r="U519" i="1" s="1"/>
  <c r="Q519" i="1"/>
  <c r="N519" i="1"/>
  <c r="M519" i="1"/>
  <c r="P519" i="1" s="1"/>
  <c r="L519" i="1"/>
  <c r="O519" i="1" s="1"/>
  <c r="S518" i="1"/>
  <c r="R518" i="1"/>
  <c r="U518" i="1" s="1"/>
  <c r="Q518" i="1"/>
  <c r="N518" i="1"/>
  <c r="M518" i="1"/>
  <c r="L518" i="1"/>
  <c r="J513" i="1"/>
  <c r="I513" i="1"/>
  <c r="K513" i="1" s="1"/>
  <c r="J510" i="1"/>
  <c r="I510" i="1"/>
  <c r="K510" i="1" s="1"/>
  <c r="K509" i="1"/>
  <c r="J508" i="1"/>
  <c r="I508" i="1"/>
  <c r="K508" i="1" s="1"/>
  <c r="J507" i="1"/>
  <c r="I507" i="1"/>
  <c r="K507" i="1" s="1"/>
  <c r="J506" i="1"/>
  <c r="I506" i="1"/>
  <c r="K506" i="1" s="1"/>
  <c r="J505" i="1"/>
  <c r="I505" i="1"/>
  <c r="K505" i="1" s="1"/>
  <c r="J504" i="1"/>
  <c r="J493" i="1" s="1"/>
  <c r="I504" i="1"/>
  <c r="S502" i="1"/>
  <c r="R502" i="1"/>
  <c r="U502" i="1" s="1"/>
  <c r="Q502" i="1"/>
  <c r="T502" i="1" s="1"/>
  <c r="N502" i="1"/>
  <c r="M502" i="1"/>
  <c r="P502" i="1" s="1"/>
  <c r="L502" i="1"/>
  <c r="O502" i="1" s="1"/>
  <c r="S501" i="1"/>
  <c r="R501" i="1"/>
  <c r="Q501" i="1"/>
  <c r="T501" i="1" s="1"/>
  <c r="N501" i="1"/>
  <c r="M501" i="1"/>
  <c r="L501" i="1"/>
  <c r="S499" i="1"/>
  <c r="S496" i="1" s="1"/>
  <c r="R499" i="1"/>
  <c r="Q499" i="1"/>
  <c r="N499" i="1"/>
  <c r="M499" i="1"/>
  <c r="L499" i="1"/>
  <c r="O499" i="1" s="1"/>
  <c r="S498" i="1"/>
  <c r="R498" i="1"/>
  <c r="Q498" i="1"/>
  <c r="T498" i="1" s="1"/>
  <c r="N498" i="1"/>
  <c r="M498" i="1"/>
  <c r="P498" i="1" s="1"/>
  <c r="L498" i="1"/>
  <c r="J492" i="1"/>
  <c r="J491" i="1"/>
  <c r="J490" i="1"/>
  <c r="J489" i="1"/>
  <c r="J488" i="1"/>
  <c r="J487" i="1"/>
  <c r="J484" i="1"/>
  <c r="J483" i="1"/>
  <c r="J482" i="1"/>
  <c r="I486" i="1" s="1"/>
  <c r="K486" i="1" s="1"/>
  <c r="J481" i="1"/>
  <c r="I485" i="1" s="1"/>
  <c r="K485" i="1" s="1"/>
  <c r="J480" i="1"/>
  <c r="J479" i="1"/>
  <c r="K478" i="1"/>
  <c r="K477" i="1"/>
  <c r="K476" i="1"/>
  <c r="J475" i="1"/>
  <c r="J474" i="1"/>
  <c r="J473" i="1"/>
  <c r="J472" i="1"/>
  <c r="J471" i="1"/>
  <c r="J470" i="1"/>
  <c r="J467" i="1"/>
  <c r="J466" i="1"/>
  <c r="J465" i="1"/>
  <c r="J464" i="1"/>
  <c r="J463" i="1"/>
  <c r="J462" i="1"/>
  <c r="I459" i="1"/>
  <c r="K459" i="1" s="1"/>
  <c r="I458" i="1"/>
  <c r="K458" i="1" s="1"/>
  <c r="J456" i="1"/>
  <c r="J455" i="1"/>
  <c r="J454" i="1"/>
  <c r="J453" i="1"/>
  <c r="J452" i="1"/>
  <c r="J451" i="1"/>
  <c r="J450" i="1"/>
  <c r="J449" i="1"/>
  <c r="J446" i="1"/>
  <c r="J445" i="1"/>
  <c r="J444" i="1"/>
  <c r="J443" i="1"/>
  <c r="I442" i="1"/>
  <c r="K442" i="1" s="1"/>
  <c r="I441" i="1"/>
  <c r="K441" i="1" s="1"/>
  <c r="J440" i="1"/>
  <c r="J439" i="1"/>
  <c r="J438" i="1"/>
  <c r="J437" i="1"/>
  <c r="J436" i="1"/>
  <c r="J435" i="1"/>
  <c r="I434" i="1"/>
  <c r="K434" i="1" s="1"/>
  <c r="I433" i="1"/>
  <c r="K433" i="1" s="1"/>
  <c r="J432" i="1"/>
  <c r="J431" i="1"/>
  <c r="J430" i="1"/>
  <c r="J429" i="1"/>
  <c r="J428" i="1"/>
  <c r="J427" i="1"/>
  <c r="I426" i="1"/>
  <c r="K426" i="1" s="1"/>
  <c r="I425" i="1"/>
  <c r="K425" i="1" s="1"/>
  <c r="S422" i="1"/>
  <c r="R422" i="1"/>
  <c r="Q422" i="1"/>
  <c r="T422" i="1" s="1"/>
  <c r="N422" i="1"/>
  <c r="M422" i="1"/>
  <c r="L422" i="1"/>
  <c r="O422" i="1" s="1"/>
  <c r="S421" i="1"/>
  <c r="R421" i="1"/>
  <c r="Q421" i="1"/>
  <c r="N421" i="1"/>
  <c r="M421" i="1"/>
  <c r="L421" i="1"/>
  <c r="O421" i="1" s="1"/>
  <c r="S419" i="1"/>
  <c r="R419" i="1"/>
  <c r="U419" i="1" s="1"/>
  <c r="Q419" i="1"/>
  <c r="N419" i="1"/>
  <c r="M419" i="1"/>
  <c r="P419" i="1" s="1"/>
  <c r="L419" i="1"/>
  <c r="S418" i="1"/>
  <c r="R418" i="1"/>
  <c r="U418" i="1" s="1"/>
  <c r="Q418" i="1"/>
  <c r="T418" i="1" s="1"/>
  <c r="N418" i="1"/>
  <c r="M418" i="1"/>
  <c r="P418" i="1" s="1"/>
  <c r="L418" i="1"/>
  <c r="O418" i="1" s="1"/>
  <c r="S401" i="1"/>
  <c r="R401" i="1"/>
  <c r="U401" i="1" s="1"/>
  <c r="Q401" i="1"/>
  <c r="T401" i="1" s="1"/>
  <c r="N401" i="1"/>
  <c r="M401" i="1"/>
  <c r="P401" i="1" s="1"/>
  <c r="L401" i="1"/>
  <c r="O401" i="1" s="1"/>
  <c r="S400" i="1"/>
  <c r="R400" i="1"/>
  <c r="Q400" i="1"/>
  <c r="T400" i="1" s="1"/>
  <c r="N400" i="1"/>
  <c r="M400" i="1"/>
  <c r="P400" i="1" s="1"/>
  <c r="L400" i="1"/>
  <c r="S398" i="1"/>
  <c r="R398" i="1"/>
  <c r="U398" i="1" s="1"/>
  <c r="Q398" i="1"/>
  <c r="N398" i="1"/>
  <c r="M398" i="1"/>
  <c r="P398" i="1" s="1"/>
  <c r="L398" i="1"/>
  <c r="O398" i="1" s="1"/>
  <c r="S397" i="1"/>
  <c r="R397" i="1"/>
  <c r="Q397" i="1"/>
  <c r="N397" i="1"/>
  <c r="M397" i="1"/>
  <c r="P397" i="1" s="1"/>
  <c r="L397" i="1"/>
  <c r="J392" i="1"/>
  <c r="I392" i="1"/>
  <c r="K392" i="1" s="1"/>
  <c r="J389" i="1"/>
  <c r="I389" i="1"/>
  <c r="K389" i="1" s="1"/>
  <c r="J388" i="1"/>
  <c r="I388" i="1"/>
  <c r="K388" i="1" s="1"/>
  <c r="J387" i="1"/>
  <c r="I387" i="1"/>
  <c r="J386" i="1"/>
  <c r="I386" i="1"/>
  <c r="I375" i="1" s="1"/>
  <c r="S384" i="1"/>
  <c r="R384" i="1"/>
  <c r="U384" i="1" s="1"/>
  <c r="Q384" i="1"/>
  <c r="T384" i="1" s="1"/>
  <c r="N384" i="1"/>
  <c r="M384" i="1"/>
  <c r="P384" i="1" s="1"/>
  <c r="L384" i="1"/>
  <c r="S383" i="1"/>
  <c r="R383" i="1"/>
  <c r="U383" i="1" s="1"/>
  <c r="Q383" i="1"/>
  <c r="T383" i="1" s="1"/>
  <c r="N383" i="1"/>
  <c r="M383" i="1"/>
  <c r="P383" i="1" s="1"/>
  <c r="L383" i="1"/>
  <c r="O383" i="1" s="1"/>
  <c r="S381" i="1"/>
  <c r="R381" i="1"/>
  <c r="Q381" i="1"/>
  <c r="N381" i="1"/>
  <c r="N378" i="1" s="1"/>
  <c r="M381" i="1"/>
  <c r="P381" i="1" s="1"/>
  <c r="L381" i="1"/>
  <c r="S380" i="1"/>
  <c r="R380" i="1"/>
  <c r="U380" i="1" s="1"/>
  <c r="Q380" i="1"/>
  <c r="T380" i="1" s="1"/>
  <c r="N380" i="1"/>
  <c r="M380" i="1"/>
  <c r="P380" i="1" s="1"/>
  <c r="L380" i="1"/>
  <c r="O380" i="1" s="1"/>
  <c r="D374" i="1"/>
  <c r="K373" i="1"/>
  <c r="J373" i="1"/>
  <c r="J372" i="1"/>
  <c r="J366" i="1" s="1"/>
  <c r="I372" i="1"/>
  <c r="I366" i="1" s="1"/>
  <c r="K371" i="1"/>
  <c r="J371" i="1"/>
  <c r="J370" i="1"/>
  <c r="I370" i="1"/>
  <c r="J369" i="1"/>
  <c r="I369" i="1"/>
  <c r="K368" i="1"/>
  <c r="J368" i="1"/>
  <c r="S365" i="1"/>
  <c r="R365" i="1"/>
  <c r="U365" i="1" s="1"/>
  <c r="Q365" i="1"/>
  <c r="T365" i="1" s="1"/>
  <c r="N365" i="1"/>
  <c r="M365" i="1"/>
  <c r="P365" i="1" s="1"/>
  <c r="L365" i="1"/>
  <c r="O365" i="1" s="1"/>
  <c r="S364" i="1"/>
  <c r="R364" i="1"/>
  <c r="U364" i="1" s="1"/>
  <c r="Q364" i="1"/>
  <c r="T364" i="1" s="1"/>
  <c r="N364" i="1"/>
  <c r="M364" i="1"/>
  <c r="L364" i="1"/>
  <c r="O364" i="1" s="1"/>
  <c r="S362" i="1"/>
  <c r="R362" i="1"/>
  <c r="U362" i="1" s="1"/>
  <c r="Q362" i="1"/>
  <c r="Q359" i="1" s="1"/>
  <c r="T359" i="1" s="1"/>
  <c r="N362" i="1"/>
  <c r="M362" i="1"/>
  <c r="L362" i="1"/>
  <c r="S361" i="1"/>
  <c r="R361" i="1"/>
  <c r="U361" i="1" s="1"/>
  <c r="Q361" i="1"/>
  <c r="T361" i="1" s="1"/>
  <c r="N361" i="1"/>
  <c r="M361" i="1"/>
  <c r="L361" i="1"/>
  <c r="O361" i="1" s="1"/>
  <c r="D355" i="1"/>
  <c r="J354" i="1"/>
  <c r="J353" i="1"/>
  <c r="D351" i="1"/>
  <c r="J350" i="1"/>
  <c r="J349" i="1"/>
  <c r="J348" i="1"/>
  <c r="J347" i="1"/>
  <c r="I347" i="1"/>
  <c r="J345" i="1"/>
  <c r="I345" i="1"/>
  <c r="I333" i="1" s="1"/>
  <c r="S342" i="1"/>
  <c r="R342" i="1"/>
  <c r="U342" i="1" s="1"/>
  <c r="Q342" i="1"/>
  <c r="T342" i="1" s="1"/>
  <c r="N342" i="1"/>
  <c r="M342" i="1"/>
  <c r="P342" i="1" s="1"/>
  <c r="L342" i="1"/>
  <c r="O342" i="1" s="1"/>
  <c r="S341" i="1"/>
  <c r="R341" i="1"/>
  <c r="U341" i="1" s="1"/>
  <c r="Q341" i="1"/>
  <c r="N341" i="1"/>
  <c r="M341" i="1"/>
  <c r="L341" i="1"/>
  <c r="S339" i="1"/>
  <c r="R339" i="1"/>
  <c r="Q339" i="1"/>
  <c r="T339" i="1" s="1"/>
  <c r="N339" i="1"/>
  <c r="M339" i="1"/>
  <c r="L339" i="1"/>
  <c r="S338" i="1"/>
  <c r="R338" i="1"/>
  <c r="Q338" i="1"/>
  <c r="T338" i="1" s="1"/>
  <c r="N338" i="1"/>
  <c r="M338" i="1"/>
  <c r="L338" i="1"/>
  <c r="O338" i="1" s="1"/>
  <c r="J331" i="1"/>
  <c r="J320" i="1" s="1"/>
  <c r="I331" i="1"/>
  <c r="S329" i="1"/>
  <c r="R329" i="1"/>
  <c r="U329" i="1" s="1"/>
  <c r="Q329" i="1"/>
  <c r="T329" i="1" s="1"/>
  <c r="N329" i="1"/>
  <c r="M329" i="1"/>
  <c r="P329" i="1" s="1"/>
  <c r="L329" i="1"/>
  <c r="O329" i="1" s="1"/>
  <c r="S328" i="1"/>
  <c r="S327" i="1" s="1"/>
  <c r="R328" i="1"/>
  <c r="U328" i="1" s="1"/>
  <c r="Q328" i="1"/>
  <c r="T328" i="1" s="1"/>
  <c r="N328" i="1"/>
  <c r="M328" i="1"/>
  <c r="P328" i="1" s="1"/>
  <c r="L328" i="1"/>
  <c r="O328" i="1" s="1"/>
  <c r="S326" i="1"/>
  <c r="R326" i="1"/>
  <c r="U326" i="1" s="1"/>
  <c r="Q326" i="1"/>
  <c r="T326" i="1" s="1"/>
  <c r="N326" i="1"/>
  <c r="M326" i="1"/>
  <c r="L326" i="1"/>
  <c r="S325" i="1"/>
  <c r="R325" i="1"/>
  <c r="U325" i="1" s="1"/>
  <c r="Q325" i="1"/>
  <c r="T325" i="1" s="1"/>
  <c r="N325" i="1"/>
  <c r="M325" i="1"/>
  <c r="L325" i="1"/>
  <c r="O325" i="1" s="1"/>
  <c r="J318" i="1"/>
  <c r="I318" i="1"/>
  <c r="K318" i="1" s="1"/>
  <c r="J317" i="1"/>
  <c r="I317" i="1"/>
  <c r="K317" i="1" s="1"/>
  <c r="J316" i="1"/>
  <c r="I316" i="1"/>
  <c r="K316" i="1" s="1"/>
  <c r="J315" i="1"/>
  <c r="J303" i="1" s="1"/>
  <c r="I315" i="1"/>
  <c r="J314" i="1"/>
  <c r="S312" i="1"/>
  <c r="R312" i="1"/>
  <c r="Q312" i="1"/>
  <c r="N312" i="1"/>
  <c r="M312" i="1"/>
  <c r="P312" i="1" s="1"/>
  <c r="L312" i="1"/>
  <c r="O312" i="1" s="1"/>
  <c r="S311" i="1"/>
  <c r="R311" i="1"/>
  <c r="U311" i="1" s="1"/>
  <c r="Q311" i="1"/>
  <c r="T311" i="1" s="1"/>
  <c r="N311" i="1"/>
  <c r="M311" i="1"/>
  <c r="L311" i="1"/>
  <c r="O311" i="1" s="1"/>
  <c r="S309" i="1"/>
  <c r="R309" i="1"/>
  <c r="Q309" i="1"/>
  <c r="N309" i="1"/>
  <c r="M309" i="1"/>
  <c r="L309" i="1"/>
  <c r="S308" i="1"/>
  <c r="R308" i="1"/>
  <c r="U308" i="1" s="1"/>
  <c r="Q308" i="1"/>
  <c r="N308" i="1"/>
  <c r="M308" i="1"/>
  <c r="P308" i="1" s="1"/>
  <c r="L308" i="1"/>
  <c r="O308" i="1" s="1"/>
  <c r="J297" i="1"/>
  <c r="I297" i="1"/>
  <c r="J296" i="1"/>
  <c r="I296" i="1"/>
  <c r="J294" i="1"/>
  <c r="J281" i="1" s="1"/>
  <c r="I294" i="1"/>
  <c r="J293" i="1"/>
  <c r="J282" i="1" s="1"/>
  <c r="I293" i="1"/>
  <c r="I282" i="1" s="1"/>
  <c r="S291" i="1"/>
  <c r="R291" i="1"/>
  <c r="Q291" i="1"/>
  <c r="T291" i="1" s="1"/>
  <c r="N291" i="1"/>
  <c r="M291" i="1"/>
  <c r="P291" i="1" s="1"/>
  <c r="L291" i="1"/>
  <c r="O291" i="1" s="1"/>
  <c r="S290" i="1"/>
  <c r="R290" i="1"/>
  <c r="Q290" i="1"/>
  <c r="T290" i="1" s="1"/>
  <c r="N290" i="1"/>
  <c r="M290" i="1"/>
  <c r="P290" i="1" s="1"/>
  <c r="L290" i="1"/>
  <c r="O290" i="1" s="1"/>
  <c r="S288" i="1"/>
  <c r="R288" i="1"/>
  <c r="U288" i="1" s="1"/>
  <c r="Q288" i="1"/>
  <c r="T288" i="1" s="1"/>
  <c r="N288" i="1"/>
  <c r="M288" i="1"/>
  <c r="L288" i="1"/>
  <c r="S287" i="1"/>
  <c r="R287" i="1"/>
  <c r="U287" i="1" s="1"/>
  <c r="Q287" i="1"/>
  <c r="N287" i="1"/>
  <c r="M287" i="1"/>
  <c r="L287" i="1"/>
  <c r="O287" i="1" s="1"/>
  <c r="J277" i="1"/>
  <c r="I277" i="1"/>
  <c r="S275" i="1"/>
  <c r="R275" i="1"/>
  <c r="Q275" i="1"/>
  <c r="T275" i="1" s="1"/>
  <c r="N275" i="1"/>
  <c r="M275" i="1"/>
  <c r="P275" i="1" s="1"/>
  <c r="L275" i="1"/>
  <c r="S274" i="1"/>
  <c r="R274" i="1"/>
  <c r="U274" i="1" s="1"/>
  <c r="Q274" i="1"/>
  <c r="N274" i="1"/>
  <c r="M274" i="1"/>
  <c r="L274" i="1"/>
  <c r="O274" i="1" s="1"/>
  <c r="S272" i="1"/>
  <c r="R272" i="1"/>
  <c r="Q272" i="1"/>
  <c r="N272" i="1"/>
  <c r="M272" i="1"/>
  <c r="M269" i="1" s="1"/>
  <c r="L272" i="1"/>
  <c r="O272" i="1" s="1"/>
  <c r="S271" i="1"/>
  <c r="R271" i="1"/>
  <c r="Q271" i="1"/>
  <c r="N271" i="1"/>
  <c r="M271" i="1"/>
  <c r="P271" i="1" s="1"/>
  <c r="L271" i="1"/>
  <c r="O271" i="1" s="1"/>
  <c r="J266" i="1"/>
  <c r="I266" i="1"/>
  <c r="K242" i="1"/>
  <c r="J242" i="1"/>
  <c r="K241" i="1"/>
  <c r="J241" i="1"/>
  <c r="J239" i="1"/>
  <c r="I239" i="1"/>
  <c r="N237" i="1"/>
  <c r="L237" i="1"/>
  <c r="N236" i="1"/>
  <c r="L236" i="1"/>
  <c r="N235" i="1"/>
  <c r="L235" i="1"/>
  <c r="N234" i="1"/>
  <c r="L234" i="1"/>
  <c r="J232" i="1"/>
  <c r="I232" i="1"/>
  <c r="K232" i="1" s="1"/>
  <c r="J231" i="1"/>
  <c r="I231" i="1"/>
  <c r="K231" i="1" s="1"/>
  <c r="J230" i="1"/>
  <c r="J222" i="1" s="1"/>
  <c r="I230" i="1"/>
  <c r="I222" i="1" s="1"/>
  <c r="J229" i="1"/>
  <c r="I229" i="1"/>
  <c r="N225" i="1"/>
  <c r="L225" i="1"/>
  <c r="N224" i="1"/>
  <c r="L224" i="1"/>
  <c r="J221" i="1"/>
  <c r="J214" i="1" s="1"/>
  <c r="I221" i="1"/>
  <c r="J220" i="1"/>
  <c r="I220" i="1"/>
  <c r="N218" i="1"/>
  <c r="L218" i="1"/>
  <c r="N217" i="1"/>
  <c r="L217" i="1"/>
  <c r="N216" i="1"/>
  <c r="L216" i="1"/>
  <c r="K213" i="1"/>
  <c r="J213" i="1"/>
  <c r="K212" i="1"/>
  <c r="J212" i="1"/>
  <c r="J210" i="1"/>
  <c r="J203" i="1" s="1"/>
  <c r="I210" i="1"/>
  <c r="N208" i="1"/>
  <c r="L208" i="1"/>
  <c r="N207" i="1"/>
  <c r="L207" i="1"/>
  <c r="N205" i="1"/>
  <c r="L205" i="1"/>
  <c r="J202" i="1"/>
  <c r="J201" i="1"/>
  <c r="J199" i="1"/>
  <c r="J196" i="1" s="1"/>
  <c r="I199" i="1"/>
  <c r="I196" i="1" s="1"/>
  <c r="N197" i="1"/>
  <c r="L197" i="1"/>
  <c r="S195" i="1"/>
  <c r="R195" i="1"/>
  <c r="U195" i="1" s="1"/>
  <c r="Q195" i="1"/>
  <c r="T195" i="1" s="1"/>
  <c r="N195" i="1"/>
  <c r="M195" i="1"/>
  <c r="P195" i="1" s="1"/>
  <c r="L195" i="1"/>
  <c r="O195" i="1" s="1"/>
  <c r="S194" i="1"/>
  <c r="R194" i="1"/>
  <c r="Q194" i="1"/>
  <c r="N194" i="1"/>
  <c r="M194" i="1"/>
  <c r="P194" i="1" s="1"/>
  <c r="L194" i="1"/>
  <c r="S192" i="1"/>
  <c r="R192" i="1"/>
  <c r="Q192" i="1"/>
  <c r="N192" i="1"/>
  <c r="M192" i="1"/>
  <c r="L192" i="1"/>
  <c r="S191" i="1"/>
  <c r="R191" i="1"/>
  <c r="Q191" i="1"/>
  <c r="N191" i="1"/>
  <c r="M191" i="1"/>
  <c r="P191" i="1" s="1"/>
  <c r="L191" i="1"/>
  <c r="K185" i="1"/>
  <c r="J184" i="1"/>
  <c r="J173" i="1" s="1"/>
  <c r="I184" i="1"/>
  <c r="I173" i="1" s="1"/>
  <c r="S182" i="1"/>
  <c r="R182" i="1"/>
  <c r="U182" i="1" s="1"/>
  <c r="Q182" i="1"/>
  <c r="T182" i="1" s="1"/>
  <c r="N182" i="1"/>
  <c r="M182" i="1"/>
  <c r="P182" i="1" s="1"/>
  <c r="L182" i="1"/>
  <c r="O182" i="1" s="1"/>
  <c r="S181" i="1"/>
  <c r="R181" i="1"/>
  <c r="U181" i="1" s="1"/>
  <c r="Q181" i="1"/>
  <c r="T181" i="1" s="1"/>
  <c r="N181" i="1"/>
  <c r="M181" i="1"/>
  <c r="L181" i="1"/>
  <c r="S179" i="1"/>
  <c r="R179" i="1"/>
  <c r="Q179" i="1"/>
  <c r="N179" i="1"/>
  <c r="M179" i="1"/>
  <c r="L179" i="1"/>
  <c r="S178" i="1"/>
  <c r="R178" i="1"/>
  <c r="U178" i="1" s="1"/>
  <c r="Q178" i="1"/>
  <c r="N178" i="1"/>
  <c r="M178" i="1"/>
  <c r="L178" i="1"/>
  <c r="J168" i="1"/>
  <c r="I168" i="1"/>
  <c r="I157" i="1" s="1"/>
  <c r="K157" i="1" s="1"/>
  <c r="S166" i="1"/>
  <c r="R166" i="1"/>
  <c r="U166" i="1" s="1"/>
  <c r="Q166" i="1"/>
  <c r="T166" i="1" s="1"/>
  <c r="N166" i="1"/>
  <c r="M166" i="1"/>
  <c r="P166" i="1" s="1"/>
  <c r="L166" i="1"/>
  <c r="S165" i="1"/>
  <c r="R165" i="1"/>
  <c r="U165" i="1" s="1"/>
  <c r="Q165" i="1"/>
  <c r="N165" i="1"/>
  <c r="M165" i="1"/>
  <c r="L165" i="1"/>
  <c r="S163" i="1"/>
  <c r="R163" i="1"/>
  <c r="U163" i="1" s="1"/>
  <c r="Q163" i="1"/>
  <c r="T163" i="1" s="1"/>
  <c r="N163" i="1"/>
  <c r="M163" i="1"/>
  <c r="L163" i="1"/>
  <c r="S162" i="1"/>
  <c r="R162" i="1"/>
  <c r="U162" i="1" s="1"/>
  <c r="Q162" i="1"/>
  <c r="N162" i="1"/>
  <c r="M162" i="1"/>
  <c r="P162" i="1" s="1"/>
  <c r="L162" i="1"/>
  <c r="O162" i="1" s="1"/>
  <c r="J157" i="1"/>
  <c r="J155" i="1"/>
  <c r="J137" i="1" s="1"/>
  <c r="I155" i="1"/>
  <c r="J154" i="1"/>
  <c r="J139" i="1" s="1"/>
  <c r="I154" i="1"/>
  <c r="J153" i="1"/>
  <c r="J138" i="1" s="1"/>
  <c r="I153" i="1"/>
  <c r="I138" i="1" s="1"/>
  <c r="J152" i="1"/>
  <c r="I152" i="1"/>
  <c r="J151" i="1"/>
  <c r="I151" i="1"/>
  <c r="J150" i="1"/>
  <c r="S148" i="1"/>
  <c r="R148" i="1"/>
  <c r="U148" i="1" s="1"/>
  <c r="Q148" i="1"/>
  <c r="T148" i="1" s="1"/>
  <c r="N148" i="1"/>
  <c r="M148" i="1"/>
  <c r="P148" i="1" s="1"/>
  <c r="L148" i="1"/>
  <c r="O148" i="1" s="1"/>
  <c r="S147" i="1"/>
  <c r="R147" i="1"/>
  <c r="Q147" i="1"/>
  <c r="T147" i="1" s="1"/>
  <c r="N147" i="1"/>
  <c r="M147" i="1"/>
  <c r="P147" i="1" s="1"/>
  <c r="L147" i="1"/>
  <c r="S145" i="1"/>
  <c r="R145" i="1"/>
  <c r="Q145" i="1"/>
  <c r="T145" i="1" s="1"/>
  <c r="N145" i="1"/>
  <c r="M145" i="1"/>
  <c r="L145" i="1"/>
  <c r="S144" i="1"/>
  <c r="R144" i="1"/>
  <c r="Q144" i="1"/>
  <c r="N144" i="1"/>
  <c r="M144" i="1"/>
  <c r="L144" i="1"/>
  <c r="J131" i="1"/>
  <c r="I131" i="1"/>
  <c r="K131" i="1" s="1"/>
  <c r="J130" i="1"/>
  <c r="I130" i="1"/>
  <c r="J129" i="1"/>
  <c r="I129" i="1"/>
  <c r="K129" i="1" s="1"/>
  <c r="J128" i="1"/>
  <c r="I128" i="1"/>
  <c r="I117" i="1" s="1"/>
  <c r="S126" i="1"/>
  <c r="R126" i="1"/>
  <c r="U126" i="1" s="1"/>
  <c r="Q126" i="1"/>
  <c r="T126" i="1" s="1"/>
  <c r="N126" i="1"/>
  <c r="M126" i="1"/>
  <c r="P126" i="1" s="1"/>
  <c r="L126" i="1"/>
  <c r="O126" i="1" s="1"/>
  <c r="S125" i="1"/>
  <c r="R125" i="1"/>
  <c r="U125" i="1" s="1"/>
  <c r="Q125" i="1"/>
  <c r="T125" i="1" s="1"/>
  <c r="N125" i="1"/>
  <c r="M125" i="1"/>
  <c r="P125" i="1" s="1"/>
  <c r="L125" i="1"/>
  <c r="S123" i="1"/>
  <c r="R123" i="1"/>
  <c r="Q123" i="1"/>
  <c r="N123" i="1"/>
  <c r="M123" i="1"/>
  <c r="P123" i="1" s="1"/>
  <c r="L123" i="1"/>
  <c r="O123" i="1" s="1"/>
  <c r="S122" i="1"/>
  <c r="R122" i="1"/>
  <c r="U122" i="1" s="1"/>
  <c r="Q122" i="1"/>
  <c r="T122" i="1" s="1"/>
  <c r="N122" i="1"/>
  <c r="M122" i="1"/>
  <c r="L122" i="1"/>
  <c r="O122" i="1" s="1"/>
  <c r="J115" i="1"/>
  <c r="I115" i="1"/>
  <c r="J114" i="1"/>
  <c r="I114" i="1"/>
  <c r="K114" i="1" s="1"/>
  <c r="J110" i="1"/>
  <c r="J94" i="1" s="1"/>
  <c r="I110" i="1"/>
  <c r="I94" i="1" s="1"/>
  <c r="J109" i="1"/>
  <c r="J93" i="1" s="1"/>
  <c r="I109" i="1"/>
  <c r="I93" i="1" s="1"/>
  <c r="S103" i="1"/>
  <c r="R103" i="1"/>
  <c r="U103" i="1" s="1"/>
  <c r="Q103" i="1"/>
  <c r="T103" i="1" s="1"/>
  <c r="N103" i="1"/>
  <c r="M103" i="1"/>
  <c r="P103" i="1" s="1"/>
  <c r="L103" i="1"/>
  <c r="O103" i="1" s="1"/>
  <c r="S102" i="1"/>
  <c r="R102" i="1"/>
  <c r="U102" i="1" s="1"/>
  <c r="Q102" i="1"/>
  <c r="T102" i="1" s="1"/>
  <c r="N102" i="1"/>
  <c r="M102" i="1"/>
  <c r="L102" i="1"/>
  <c r="S100" i="1"/>
  <c r="R100" i="1"/>
  <c r="Q100" i="1"/>
  <c r="N100" i="1"/>
  <c r="M100" i="1"/>
  <c r="L100" i="1"/>
  <c r="S99" i="1"/>
  <c r="R99" i="1"/>
  <c r="Q99" i="1"/>
  <c r="N99" i="1"/>
  <c r="M99" i="1"/>
  <c r="L99" i="1"/>
  <c r="O99" i="1" s="1"/>
  <c r="J91" i="1"/>
  <c r="I91" i="1"/>
  <c r="J90" i="1"/>
  <c r="I90" i="1"/>
  <c r="J89" i="1"/>
  <c r="I89" i="1"/>
  <c r="J88" i="1"/>
  <c r="I88" i="1"/>
  <c r="J87" i="1"/>
  <c r="I87" i="1"/>
  <c r="J86" i="1"/>
  <c r="I86" i="1"/>
  <c r="J85" i="1"/>
  <c r="I85" i="1"/>
  <c r="S81" i="1"/>
  <c r="R81" i="1"/>
  <c r="U81" i="1" s="1"/>
  <c r="Q81" i="1"/>
  <c r="T81" i="1" s="1"/>
  <c r="N81" i="1"/>
  <c r="M81" i="1"/>
  <c r="L81" i="1"/>
  <c r="O81" i="1" s="1"/>
  <c r="S80" i="1"/>
  <c r="R80" i="1"/>
  <c r="U80" i="1" s="1"/>
  <c r="Q80" i="1"/>
  <c r="T80" i="1" s="1"/>
  <c r="N80" i="1"/>
  <c r="M80" i="1"/>
  <c r="L80" i="1"/>
  <c r="O80" i="1" s="1"/>
  <c r="S78" i="1"/>
  <c r="R78" i="1"/>
  <c r="Q78" i="1"/>
  <c r="N78" i="1"/>
  <c r="M78" i="1"/>
  <c r="L78" i="1"/>
  <c r="S77" i="1"/>
  <c r="R77" i="1"/>
  <c r="Q77" i="1"/>
  <c r="T77" i="1" s="1"/>
  <c r="N77" i="1"/>
  <c r="M77" i="1"/>
  <c r="P77" i="1" s="1"/>
  <c r="L77" i="1"/>
  <c r="O77" i="1" s="1"/>
  <c r="S68" i="1"/>
  <c r="R68" i="1"/>
  <c r="Q68" i="1"/>
  <c r="T68" i="1" s="1"/>
  <c r="N68" i="1"/>
  <c r="M68" i="1"/>
  <c r="P68" i="1" s="1"/>
  <c r="L68" i="1"/>
  <c r="O68" i="1" s="1"/>
  <c r="S67" i="1"/>
  <c r="R67" i="1"/>
  <c r="Q67" i="1"/>
  <c r="N67" i="1"/>
  <c r="M67" i="1"/>
  <c r="L67" i="1"/>
  <c r="O67" i="1" s="1"/>
  <c r="S65" i="1"/>
  <c r="R65" i="1"/>
  <c r="U65" i="1" s="1"/>
  <c r="Q65" i="1"/>
  <c r="T65" i="1" s="1"/>
  <c r="N65" i="1"/>
  <c r="M65" i="1"/>
  <c r="L65" i="1"/>
  <c r="S64" i="1"/>
  <c r="R64" i="1"/>
  <c r="U64" i="1" s="1"/>
  <c r="Q64" i="1"/>
  <c r="T64" i="1" s="1"/>
  <c r="N64" i="1"/>
  <c r="M64" i="1"/>
  <c r="P64" i="1" s="1"/>
  <c r="L64" i="1"/>
  <c r="S53" i="1"/>
  <c r="S51" i="1" s="1"/>
  <c r="R53" i="1"/>
  <c r="R51" i="1" s="1"/>
  <c r="U51" i="1" s="1"/>
  <c r="Q53" i="1"/>
  <c r="Q51" i="1" s="1"/>
  <c r="T51" i="1" s="1"/>
  <c r="N53" i="1"/>
  <c r="N51" i="1" s="1"/>
  <c r="M53" i="1"/>
  <c r="M51" i="1" s="1"/>
  <c r="P51" i="1" s="1"/>
  <c r="L53" i="1"/>
  <c r="U52" i="1"/>
  <c r="T52" i="1"/>
  <c r="P52" i="1"/>
  <c r="O52" i="1"/>
  <c r="S50" i="1"/>
  <c r="S48" i="1" s="1"/>
  <c r="R50" i="1"/>
  <c r="R48" i="1" s="1"/>
  <c r="U48" i="1" s="1"/>
  <c r="Q50" i="1"/>
  <c r="T50" i="1" s="1"/>
  <c r="N50" i="1"/>
  <c r="M50" i="1"/>
  <c r="L50" i="1"/>
  <c r="L48" i="1" s="1"/>
  <c r="U49" i="1"/>
  <c r="T49" i="1"/>
  <c r="P49" i="1"/>
  <c r="O49" i="1"/>
  <c r="S46" i="1"/>
  <c r="R46" i="1"/>
  <c r="U46" i="1" s="1"/>
  <c r="Q46" i="1"/>
  <c r="T46" i="1" s="1"/>
  <c r="N46" i="1"/>
  <c r="M46" i="1"/>
  <c r="P46" i="1" s="1"/>
  <c r="L46" i="1"/>
  <c r="O46" i="1" s="1"/>
  <c r="M644" i="1" l="1"/>
  <c r="S602" i="1"/>
  <c r="N556" i="22"/>
  <c r="R600" i="22"/>
  <c r="U600" i="22" s="1"/>
  <c r="S600" i="22"/>
  <c r="J458" i="22"/>
  <c r="J457" i="22" s="1"/>
  <c r="J459" i="22"/>
  <c r="Q20" i="22"/>
  <c r="T20" i="22" s="1"/>
  <c r="Q577" i="22"/>
  <c r="T577" i="22" s="1"/>
  <c r="L556" i="22"/>
  <c r="O556" i="22" s="1"/>
  <c r="R556" i="22"/>
  <c r="U556" i="22" s="1"/>
  <c r="R577" i="22"/>
  <c r="U577" i="22" s="1"/>
  <c r="L376" i="22"/>
  <c r="O376" i="22" s="1"/>
  <c r="Q535" i="22"/>
  <c r="T535" i="22" s="1"/>
  <c r="M20" i="22"/>
  <c r="U558" i="22"/>
  <c r="M577" i="22"/>
  <c r="P577" i="22" s="1"/>
  <c r="Q600" i="22"/>
  <c r="T600" i="22" s="1"/>
  <c r="S20" i="22"/>
  <c r="N20" i="22"/>
  <c r="I94" i="22"/>
  <c r="K94" i="22" s="1"/>
  <c r="P26" i="22"/>
  <c r="Q25" i="22"/>
  <c r="T25" i="22" s="1"/>
  <c r="S95" i="22"/>
  <c r="S25" i="22"/>
  <c r="Q60" i="22"/>
  <c r="T60" i="22" s="1"/>
  <c r="L20" i="21"/>
  <c r="O20" i="21" s="1"/>
  <c r="S20" i="21"/>
  <c r="N20" i="21"/>
  <c r="S95" i="21"/>
  <c r="R20" i="21"/>
  <c r="R25" i="21"/>
  <c r="U25" i="21" s="1"/>
  <c r="Q535" i="20"/>
  <c r="T535" i="20" s="1"/>
  <c r="N600" i="20"/>
  <c r="L600" i="20"/>
  <c r="O600" i="20" s="1"/>
  <c r="S600" i="20"/>
  <c r="M376" i="20"/>
  <c r="P376" i="20" s="1"/>
  <c r="Q393" i="20"/>
  <c r="T393" i="20" s="1"/>
  <c r="Q556" i="20"/>
  <c r="T556" i="20" s="1"/>
  <c r="R514" i="20"/>
  <c r="U514" i="20" s="1"/>
  <c r="S535" i="20"/>
  <c r="R556" i="20"/>
  <c r="U556" i="20" s="1"/>
  <c r="S577" i="20"/>
  <c r="S393" i="20"/>
  <c r="U515" i="20"/>
  <c r="M535" i="20"/>
  <c r="P535" i="20" s="1"/>
  <c r="L556" i="20"/>
  <c r="O556" i="20" s="1"/>
  <c r="M577" i="20"/>
  <c r="P577" i="20" s="1"/>
  <c r="P601" i="20"/>
  <c r="S140" i="20"/>
  <c r="S20" i="20"/>
  <c r="S25" i="20"/>
  <c r="S377" i="1"/>
  <c r="M20" i="20"/>
  <c r="P20" i="20" s="1"/>
  <c r="N762" i="1"/>
  <c r="R20" i="20"/>
  <c r="U20" i="20" s="1"/>
  <c r="L20" i="20"/>
  <c r="O20" i="20" s="1"/>
  <c r="Q25" i="20"/>
  <c r="T25" i="20" s="1"/>
  <c r="L47" i="16"/>
  <c r="L45" i="16" s="1"/>
  <c r="N516" i="1"/>
  <c r="Q20" i="19"/>
  <c r="Q25" i="19"/>
  <c r="T25" i="19" s="1"/>
  <c r="S25" i="19"/>
  <c r="P23" i="19"/>
  <c r="T26" i="19"/>
  <c r="R20" i="19"/>
  <c r="U20" i="19" s="1"/>
  <c r="R25" i="19"/>
  <c r="U25" i="19" s="1"/>
  <c r="M414" i="18"/>
  <c r="P414" i="18" s="1"/>
  <c r="N120" i="1"/>
  <c r="T394" i="18"/>
  <c r="N393" i="18"/>
  <c r="L393" i="18"/>
  <c r="O393" i="18" s="1"/>
  <c r="P416" i="18"/>
  <c r="L376" i="18"/>
  <c r="O376" i="18" s="1"/>
  <c r="J458" i="18"/>
  <c r="J457" i="18" s="1"/>
  <c r="S393" i="18"/>
  <c r="M376" i="18"/>
  <c r="P376" i="18" s="1"/>
  <c r="L97" i="1"/>
  <c r="Q20" i="18"/>
  <c r="T20" i="18" s="1"/>
  <c r="R25" i="18"/>
  <c r="U25" i="18" s="1"/>
  <c r="S95" i="18"/>
  <c r="N20" i="18"/>
  <c r="U26" i="18"/>
  <c r="R20" i="18"/>
  <c r="U20" i="18" s="1"/>
  <c r="L620" i="1"/>
  <c r="O620" i="1" s="1"/>
  <c r="Q25" i="18"/>
  <c r="T25" i="18" s="1"/>
  <c r="S25" i="18"/>
  <c r="T23" i="17"/>
  <c r="K157" i="17"/>
  <c r="Q20" i="16"/>
  <c r="T20" i="16" s="1"/>
  <c r="R25" i="16"/>
  <c r="U25" i="16" s="1"/>
  <c r="R20" i="16"/>
  <c r="U20" i="16" s="1"/>
  <c r="T26" i="16"/>
  <c r="L20" i="16"/>
  <c r="O20" i="16" s="1"/>
  <c r="M20" i="16"/>
  <c r="P20" i="16" s="1"/>
  <c r="M393" i="15"/>
  <c r="P393" i="15" s="1"/>
  <c r="N414" i="15"/>
  <c r="S494" i="15"/>
  <c r="R600" i="15"/>
  <c r="U600" i="15" s="1"/>
  <c r="S414" i="15"/>
  <c r="N494" i="15"/>
  <c r="Q535" i="15"/>
  <c r="T535" i="15" s="1"/>
  <c r="S97" i="1"/>
  <c r="O495" i="15"/>
  <c r="P415" i="15"/>
  <c r="U602" i="15"/>
  <c r="M20" i="15"/>
  <c r="P20" i="15" s="1"/>
  <c r="R556" i="15"/>
  <c r="U556" i="15" s="1"/>
  <c r="U23" i="15"/>
  <c r="S20" i="15"/>
  <c r="L20" i="15"/>
  <c r="O20" i="15" s="1"/>
  <c r="S25" i="15"/>
  <c r="R514" i="14"/>
  <c r="U514" i="14" s="1"/>
  <c r="M577" i="14"/>
  <c r="P577" i="14" s="1"/>
  <c r="T578" i="14"/>
  <c r="O601" i="14"/>
  <c r="M393" i="14"/>
  <c r="P393" i="14" s="1"/>
  <c r="Q600" i="14"/>
  <c r="T600" i="14" s="1"/>
  <c r="S25" i="14"/>
  <c r="P536" i="14"/>
  <c r="U601" i="14"/>
  <c r="J458" i="14"/>
  <c r="J457" i="14" s="1"/>
  <c r="N376" i="14"/>
  <c r="U557" i="14"/>
  <c r="M600" i="14"/>
  <c r="P600" i="14" s="1"/>
  <c r="N600" i="14"/>
  <c r="T601" i="14"/>
  <c r="R393" i="14"/>
  <c r="U393" i="14" s="1"/>
  <c r="M494" i="14"/>
  <c r="P494" i="14" s="1"/>
  <c r="N414" i="14"/>
  <c r="S414" i="14"/>
  <c r="Q514" i="14"/>
  <c r="T514" i="14" s="1"/>
  <c r="T536" i="14"/>
  <c r="O557" i="14"/>
  <c r="Q283" i="14"/>
  <c r="T283" i="14" s="1"/>
  <c r="R283" i="14"/>
  <c r="U283" i="14" s="1"/>
  <c r="S158" i="14"/>
  <c r="N580" i="1"/>
  <c r="O23" i="14"/>
  <c r="Q20" i="14"/>
  <c r="T20" i="14" s="1"/>
  <c r="R20" i="14"/>
  <c r="U20" i="14" s="1"/>
  <c r="N579" i="1"/>
  <c r="M20" i="14"/>
  <c r="P20" i="14" s="1"/>
  <c r="T23" i="14"/>
  <c r="S415" i="1"/>
  <c r="S600" i="13"/>
  <c r="O377" i="13"/>
  <c r="N535" i="13"/>
  <c r="R393" i="13"/>
  <c r="U393" i="13" s="1"/>
  <c r="J458" i="13"/>
  <c r="J457" i="13" s="1"/>
  <c r="Q535" i="13"/>
  <c r="T535" i="13" s="1"/>
  <c r="N577" i="13"/>
  <c r="N600" i="13"/>
  <c r="M494" i="13"/>
  <c r="P494" i="13" s="1"/>
  <c r="L600" i="13"/>
  <c r="O600" i="13" s="1"/>
  <c r="N376" i="13"/>
  <c r="Q556" i="13"/>
  <c r="T556" i="13" s="1"/>
  <c r="Q577" i="13"/>
  <c r="T577" i="13" s="1"/>
  <c r="R600" i="13"/>
  <c r="U600" i="13" s="1"/>
  <c r="S393" i="13"/>
  <c r="R577" i="13"/>
  <c r="U577" i="13" s="1"/>
  <c r="L393" i="13"/>
  <c r="O393" i="13" s="1"/>
  <c r="L414" i="13"/>
  <c r="O414" i="13" s="1"/>
  <c r="S514" i="13"/>
  <c r="R535" i="13"/>
  <c r="U535" i="13" s="1"/>
  <c r="L556" i="13"/>
  <c r="O556" i="13" s="1"/>
  <c r="Q514" i="13"/>
  <c r="T514" i="13" s="1"/>
  <c r="T536" i="13"/>
  <c r="Q600" i="13"/>
  <c r="T600" i="13" s="1"/>
  <c r="N323" i="5"/>
  <c r="N321" i="5" s="1"/>
  <c r="T23" i="13"/>
  <c r="N395" i="1"/>
  <c r="S336" i="1"/>
  <c r="N20" i="13"/>
  <c r="S158" i="13"/>
  <c r="R20" i="13"/>
  <c r="U20" i="13" s="1"/>
  <c r="Q25" i="13"/>
  <c r="T25" i="13" s="1"/>
  <c r="R25" i="13"/>
  <c r="U25" i="13" s="1"/>
  <c r="N20" i="12"/>
  <c r="M20" i="12"/>
  <c r="Q60" i="12"/>
  <c r="T60" i="12" s="1"/>
  <c r="L20" i="12"/>
  <c r="O20" i="12" s="1"/>
  <c r="R20" i="12"/>
  <c r="U20" i="12" s="1"/>
  <c r="R60" i="12"/>
  <c r="U60" i="12" s="1"/>
  <c r="R25" i="12"/>
  <c r="U25" i="12" s="1"/>
  <c r="S269" i="1"/>
  <c r="R25" i="11"/>
  <c r="U25" i="11" s="1"/>
  <c r="S25" i="11"/>
  <c r="S20" i="11"/>
  <c r="T23" i="11"/>
  <c r="T27" i="11"/>
  <c r="L20" i="11"/>
  <c r="O20" i="11" s="1"/>
  <c r="O394" i="10"/>
  <c r="Q600" i="10"/>
  <c r="T600" i="10" s="1"/>
  <c r="M393" i="10"/>
  <c r="P393" i="10" s="1"/>
  <c r="R393" i="10"/>
  <c r="U393" i="10" s="1"/>
  <c r="N535" i="10"/>
  <c r="L600" i="10"/>
  <c r="O600" i="10" s="1"/>
  <c r="M535" i="10"/>
  <c r="P535" i="10" s="1"/>
  <c r="N577" i="10"/>
  <c r="M359" i="8"/>
  <c r="M357" i="8" s="1"/>
  <c r="N376" i="10"/>
  <c r="S393" i="10"/>
  <c r="L494" i="10"/>
  <c r="O494" i="10" s="1"/>
  <c r="R514" i="10"/>
  <c r="U514" i="10" s="1"/>
  <c r="L556" i="10"/>
  <c r="O556" i="10" s="1"/>
  <c r="N556" i="10"/>
  <c r="S556" i="10"/>
  <c r="L577" i="10"/>
  <c r="O577" i="10" s="1"/>
  <c r="Q577" i="10"/>
  <c r="T577" i="10" s="1"/>
  <c r="N600" i="10"/>
  <c r="S600" i="10"/>
  <c r="Q393" i="10"/>
  <c r="T393" i="10" s="1"/>
  <c r="S535" i="10"/>
  <c r="U558" i="10"/>
  <c r="P579" i="10"/>
  <c r="M600" i="10"/>
  <c r="P600" i="10" s="1"/>
  <c r="P377" i="10"/>
  <c r="Q514" i="10"/>
  <c r="T514" i="10" s="1"/>
  <c r="P395" i="10"/>
  <c r="S514" i="10"/>
  <c r="L535" i="10"/>
  <c r="O535" i="10" s="1"/>
  <c r="Q535" i="10"/>
  <c r="T535" i="10" s="1"/>
  <c r="T578" i="10"/>
  <c r="R600" i="10"/>
  <c r="U600" i="10" s="1"/>
  <c r="P602" i="10"/>
  <c r="N393" i="10"/>
  <c r="N494" i="10"/>
  <c r="P537" i="10"/>
  <c r="S577" i="10"/>
  <c r="R535" i="5"/>
  <c r="U535" i="5" s="1"/>
  <c r="O578" i="5"/>
  <c r="R600" i="5"/>
  <c r="U600" i="5" s="1"/>
  <c r="L535" i="5"/>
  <c r="O535" i="5" s="1"/>
  <c r="Q556" i="5"/>
  <c r="T556" i="5" s="1"/>
  <c r="R514" i="5"/>
  <c r="U514" i="5" s="1"/>
  <c r="Q514" i="5"/>
  <c r="T514" i="5" s="1"/>
  <c r="S535" i="5"/>
  <c r="L600" i="5"/>
  <c r="O600" i="5" s="1"/>
  <c r="T515" i="5"/>
  <c r="M535" i="5"/>
  <c r="P535" i="5" s="1"/>
  <c r="O536" i="5"/>
  <c r="S600" i="5"/>
  <c r="M273" i="1"/>
  <c r="P273" i="1" s="1"/>
  <c r="N20" i="10"/>
  <c r="M20" i="10"/>
  <c r="P20" i="10" s="1"/>
  <c r="S25" i="10"/>
  <c r="Q25" i="10"/>
  <c r="T25" i="10" s="1"/>
  <c r="Q20" i="10"/>
  <c r="T20" i="10" s="1"/>
  <c r="P26" i="10"/>
  <c r="T27" i="10"/>
  <c r="S541" i="1"/>
  <c r="R556" i="9"/>
  <c r="U556" i="9" s="1"/>
  <c r="L494" i="9"/>
  <c r="O494" i="9" s="1"/>
  <c r="M535" i="9"/>
  <c r="P535" i="9" s="1"/>
  <c r="S556" i="9"/>
  <c r="Q577" i="9"/>
  <c r="T577" i="9" s="1"/>
  <c r="N556" i="9"/>
  <c r="L556" i="9"/>
  <c r="O556" i="9" s="1"/>
  <c r="L376" i="9"/>
  <c r="O376" i="9" s="1"/>
  <c r="S577" i="9"/>
  <c r="M143" i="15"/>
  <c r="P143" i="15" s="1"/>
  <c r="Q600" i="9"/>
  <c r="T600" i="9" s="1"/>
  <c r="N600" i="9"/>
  <c r="N535" i="9"/>
  <c r="O558" i="9"/>
  <c r="N376" i="9"/>
  <c r="L393" i="9"/>
  <c r="O393" i="9" s="1"/>
  <c r="N494" i="9"/>
  <c r="R514" i="9"/>
  <c r="U514" i="9" s="1"/>
  <c r="L535" i="9"/>
  <c r="O535" i="9" s="1"/>
  <c r="R577" i="9"/>
  <c r="U577" i="9" s="1"/>
  <c r="R393" i="9"/>
  <c r="U393" i="9" s="1"/>
  <c r="Q393" i="9"/>
  <c r="T393" i="9" s="1"/>
  <c r="O495" i="9"/>
  <c r="S514" i="9"/>
  <c r="M556" i="9"/>
  <c r="P556" i="9" s="1"/>
  <c r="M600" i="9"/>
  <c r="P600" i="9" s="1"/>
  <c r="S25" i="9"/>
  <c r="S158" i="9"/>
  <c r="L47" i="12"/>
  <c r="L45" i="12" s="1"/>
  <c r="Q25" i="9"/>
  <c r="T25" i="9" s="1"/>
  <c r="Q20" i="9"/>
  <c r="T20" i="9" s="1"/>
  <c r="N20" i="9"/>
  <c r="T23" i="9"/>
  <c r="R20" i="9"/>
  <c r="S20" i="9"/>
  <c r="S95" i="9"/>
  <c r="M20" i="9"/>
  <c r="S577" i="8"/>
  <c r="R600" i="8"/>
  <c r="U600" i="8" s="1"/>
  <c r="J459" i="8"/>
  <c r="S556" i="8"/>
  <c r="L577" i="8"/>
  <c r="O577" i="8" s="1"/>
  <c r="S176" i="1"/>
  <c r="J458" i="8"/>
  <c r="J457" i="8" s="1"/>
  <c r="R514" i="8"/>
  <c r="U514" i="8" s="1"/>
  <c r="O601" i="8"/>
  <c r="N414" i="8"/>
  <c r="M577" i="8"/>
  <c r="P577" i="8" s="1"/>
  <c r="R577" i="8"/>
  <c r="U577" i="8" s="1"/>
  <c r="Q120" i="1"/>
  <c r="L535" i="8"/>
  <c r="O535" i="8" s="1"/>
  <c r="U579" i="8"/>
  <c r="M600" i="8"/>
  <c r="P600" i="8" s="1"/>
  <c r="P395" i="8"/>
  <c r="M535" i="8"/>
  <c r="P535" i="8" s="1"/>
  <c r="N556" i="8"/>
  <c r="O579" i="8"/>
  <c r="M494" i="8"/>
  <c r="P494" i="8" s="1"/>
  <c r="Q514" i="8"/>
  <c r="T514" i="8" s="1"/>
  <c r="N577" i="8"/>
  <c r="M189" i="1"/>
  <c r="R283" i="8"/>
  <c r="U283" i="8" s="1"/>
  <c r="U284" i="8"/>
  <c r="S158" i="8"/>
  <c r="M340" i="4"/>
  <c r="P340" i="4" s="1"/>
  <c r="S25" i="8"/>
  <c r="R25" i="8"/>
  <c r="U25" i="8" s="1"/>
  <c r="S95" i="8"/>
  <c r="Q25" i="8"/>
  <c r="T25" i="8" s="1"/>
  <c r="U26" i="8"/>
  <c r="Q20" i="8"/>
  <c r="T20" i="8" s="1"/>
  <c r="N697" i="1"/>
  <c r="Q20" i="7"/>
  <c r="N399" i="1"/>
  <c r="R20" i="7"/>
  <c r="S25" i="7"/>
  <c r="T26" i="7"/>
  <c r="L189" i="1"/>
  <c r="N577" i="6"/>
  <c r="S556" i="6"/>
  <c r="S577" i="6"/>
  <c r="S514" i="6"/>
  <c r="J459" i="6"/>
  <c r="R393" i="6"/>
  <c r="U393" i="6" s="1"/>
  <c r="Q25" i="6"/>
  <c r="T25" i="6" s="1"/>
  <c r="M121" i="7"/>
  <c r="P121" i="7" s="1"/>
  <c r="T26" i="6"/>
  <c r="S25" i="6"/>
  <c r="M20" i="6"/>
  <c r="Q20" i="6"/>
  <c r="T20" i="6" s="1"/>
  <c r="S158" i="5"/>
  <c r="S159" i="1"/>
  <c r="L20" i="5"/>
  <c r="O20" i="5" s="1"/>
  <c r="Q283" i="5"/>
  <c r="T283" i="5" s="1"/>
  <c r="R25" i="5"/>
  <c r="U25" i="5" s="1"/>
  <c r="R645" i="5"/>
  <c r="U645" i="5" s="1"/>
  <c r="U26" i="5"/>
  <c r="Q619" i="5"/>
  <c r="Q617" i="5" s="1"/>
  <c r="S416" i="13"/>
  <c r="S414" i="13" s="1"/>
  <c r="L101" i="1"/>
  <c r="O101" i="1" s="1"/>
  <c r="N538" i="1"/>
  <c r="U23" i="5"/>
  <c r="M20" i="5"/>
  <c r="P20" i="5" s="1"/>
  <c r="O23" i="5"/>
  <c r="S25" i="5"/>
  <c r="M143" i="22"/>
  <c r="P143" i="22" s="1"/>
  <c r="Q20" i="4"/>
  <c r="N20" i="4"/>
  <c r="R25" i="4"/>
  <c r="U25" i="4" s="1"/>
  <c r="R20" i="4"/>
  <c r="U20" i="4" s="1"/>
  <c r="S25" i="4"/>
  <c r="I139" i="3"/>
  <c r="K139" i="3" s="1"/>
  <c r="S20" i="4"/>
  <c r="S95" i="4"/>
  <c r="N323" i="1"/>
  <c r="L20" i="4"/>
  <c r="O20" i="4" s="1"/>
  <c r="M20" i="4"/>
  <c r="P20" i="4" s="1"/>
  <c r="Q25" i="4"/>
  <c r="T25" i="4" s="1"/>
  <c r="U27" i="4"/>
  <c r="S73" i="4"/>
  <c r="L500" i="1"/>
  <c r="O500" i="1" s="1"/>
  <c r="S25" i="3"/>
  <c r="N363" i="1"/>
  <c r="T23" i="3"/>
  <c r="L20" i="3"/>
  <c r="O20" i="3" s="1"/>
  <c r="U23" i="3"/>
  <c r="S606" i="1"/>
  <c r="Q25" i="3"/>
  <c r="T25" i="3" s="1"/>
  <c r="M414" i="2"/>
  <c r="P414" i="2" s="1"/>
  <c r="J458" i="2"/>
  <c r="J457" i="2" s="1"/>
  <c r="L393" i="2"/>
  <c r="O393" i="2" s="1"/>
  <c r="N414" i="2"/>
  <c r="J459" i="2"/>
  <c r="L376" i="2"/>
  <c r="O376" i="2" s="1"/>
  <c r="P394" i="2"/>
  <c r="M76" i="19"/>
  <c r="P76" i="19" s="1"/>
  <c r="S270" i="1"/>
  <c r="Q283" i="2"/>
  <c r="T283" i="2" s="1"/>
  <c r="I282" i="15"/>
  <c r="K282" i="15" s="1"/>
  <c r="R25" i="2"/>
  <c r="U25" i="2" s="1"/>
  <c r="N20" i="2"/>
  <c r="L142" i="22"/>
  <c r="O142" i="22" s="1"/>
  <c r="S646" i="22"/>
  <c r="T646" i="22" s="1"/>
  <c r="M146" i="20"/>
  <c r="P146" i="20" s="1"/>
  <c r="T381" i="22"/>
  <c r="Q20" i="2"/>
  <c r="T20" i="2" s="1"/>
  <c r="L645" i="1"/>
  <c r="O645" i="1" s="1"/>
  <c r="M289" i="15"/>
  <c r="P289" i="15" s="1"/>
  <c r="N541" i="1"/>
  <c r="L20" i="2"/>
  <c r="O20" i="2" s="1"/>
  <c r="S25" i="2"/>
  <c r="M20" i="2"/>
  <c r="P20" i="2" s="1"/>
  <c r="M98" i="16"/>
  <c r="P98" i="16" s="1"/>
  <c r="L76" i="8"/>
  <c r="O76" i="8" s="1"/>
  <c r="L307" i="19"/>
  <c r="O307" i="19" s="1"/>
  <c r="M79" i="10"/>
  <c r="P79" i="10" s="1"/>
  <c r="Q143" i="1"/>
  <c r="T143" i="1" s="1"/>
  <c r="M164" i="14"/>
  <c r="P164" i="14" s="1"/>
  <c r="L323" i="7"/>
  <c r="O323" i="7" s="1"/>
  <c r="N337" i="19"/>
  <c r="P337" i="19" s="1"/>
  <c r="M121" i="21"/>
  <c r="P121" i="21" s="1"/>
  <c r="N766" i="1"/>
  <c r="M76" i="8"/>
  <c r="P76" i="8" s="1"/>
  <c r="S160" i="17"/>
  <c r="S158" i="17" s="1"/>
  <c r="M161" i="18"/>
  <c r="P161" i="18" s="1"/>
  <c r="M269" i="22"/>
  <c r="M267" i="22" s="1"/>
  <c r="I157" i="19"/>
  <c r="K157" i="19" s="1"/>
  <c r="I243" i="22"/>
  <c r="K243" i="22" s="1"/>
  <c r="L323" i="21"/>
  <c r="L321" i="21" s="1"/>
  <c r="O321" i="21" s="1"/>
  <c r="M121" i="9"/>
  <c r="P121" i="9" s="1"/>
  <c r="M180" i="22"/>
  <c r="P180" i="22" s="1"/>
  <c r="S120" i="22"/>
  <c r="S118" i="22" s="1"/>
  <c r="Q416" i="22"/>
  <c r="T416" i="22" s="1"/>
  <c r="L340" i="1"/>
  <c r="O340" i="1" s="1"/>
  <c r="Q619" i="20"/>
  <c r="Q617" i="20" s="1"/>
  <c r="L237" i="22"/>
  <c r="M520" i="20"/>
  <c r="P520" i="20" s="1"/>
  <c r="S142" i="21"/>
  <c r="S140" i="21" s="1"/>
  <c r="N176" i="22"/>
  <c r="N174" i="22" s="1"/>
  <c r="Q306" i="20"/>
  <c r="Q304" i="20" s="1"/>
  <c r="T304" i="20" s="1"/>
  <c r="Q142" i="22"/>
  <c r="T142" i="22" s="1"/>
  <c r="S161" i="21"/>
  <c r="M160" i="21"/>
  <c r="M158" i="21" s="1"/>
  <c r="Q762" i="22"/>
  <c r="Q760" i="22" s="1"/>
  <c r="I93" i="20"/>
  <c r="K93" i="20" s="1"/>
  <c r="N269" i="22"/>
  <c r="N267" i="22" s="1"/>
  <c r="N164" i="1"/>
  <c r="L76" i="22"/>
  <c r="O76" i="22" s="1"/>
  <c r="R121" i="22"/>
  <c r="U121" i="22" s="1"/>
  <c r="K315" i="22"/>
  <c r="R161" i="21"/>
  <c r="U161" i="21" s="1"/>
  <c r="L160" i="21"/>
  <c r="L158" i="21" s="1"/>
  <c r="L164" i="21"/>
  <c r="O164" i="21" s="1"/>
  <c r="S643" i="22"/>
  <c r="U648" i="22"/>
  <c r="I758" i="22"/>
  <c r="K758" i="22" s="1"/>
  <c r="M164" i="21"/>
  <c r="P164" i="21" s="1"/>
  <c r="M142" i="22"/>
  <c r="P142" i="22" s="1"/>
  <c r="L176" i="22"/>
  <c r="L174" i="22" s="1"/>
  <c r="M273" i="22"/>
  <c r="P273" i="22" s="1"/>
  <c r="O362" i="22"/>
  <c r="U381" i="22"/>
  <c r="M520" i="22"/>
  <c r="P520" i="22" s="1"/>
  <c r="S517" i="1"/>
  <c r="K199" i="21"/>
  <c r="N189" i="22"/>
  <c r="N187" i="22" s="1"/>
  <c r="Q496" i="22"/>
  <c r="T496" i="22" s="1"/>
  <c r="U696" i="22"/>
  <c r="Q732" i="22"/>
  <c r="T732" i="22" s="1"/>
  <c r="R120" i="22"/>
  <c r="U620" i="21"/>
  <c r="K704" i="21"/>
  <c r="P65" i="22"/>
  <c r="Q76" i="22"/>
  <c r="T76" i="22" s="1"/>
  <c r="Q97" i="22"/>
  <c r="T97" i="22" s="1"/>
  <c r="M121" i="22"/>
  <c r="P121" i="22" s="1"/>
  <c r="I138" i="22"/>
  <c r="K138" i="22" s="1"/>
  <c r="S160" i="22"/>
  <c r="S158" i="22" s="1"/>
  <c r="T163" i="22"/>
  <c r="M176" i="22"/>
  <c r="M174" i="22" s="1"/>
  <c r="L193" i="22"/>
  <c r="O193" i="22" s="1"/>
  <c r="I214" i="22"/>
  <c r="K214" i="22" s="1"/>
  <c r="L269" i="22"/>
  <c r="O269" i="22" s="1"/>
  <c r="S378" i="22"/>
  <c r="S376" i="22" s="1"/>
  <c r="U307" i="19"/>
  <c r="I282" i="20"/>
  <c r="K282" i="20" s="1"/>
  <c r="P288" i="21"/>
  <c r="I375" i="21"/>
  <c r="M98" i="22"/>
  <c r="P98" i="22" s="1"/>
  <c r="M164" i="22"/>
  <c r="P164" i="22" s="1"/>
  <c r="S189" i="22"/>
  <c r="S187" i="22" s="1"/>
  <c r="P192" i="22"/>
  <c r="I93" i="21"/>
  <c r="K93" i="21" s="1"/>
  <c r="I117" i="21"/>
  <c r="K117" i="21" s="1"/>
  <c r="O288" i="22"/>
  <c r="T309" i="22"/>
  <c r="T499" i="22"/>
  <c r="S306" i="19"/>
  <c r="T306" i="19" s="1"/>
  <c r="S160" i="20"/>
  <c r="S158" i="20" s="1"/>
  <c r="I222" i="21"/>
  <c r="K222" i="21" s="1"/>
  <c r="N62" i="22"/>
  <c r="N60" i="22" s="1"/>
  <c r="L235" i="22"/>
  <c r="I254" i="22"/>
  <c r="K254" i="22" s="1"/>
  <c r="Q306" i="22"/>
  <c r="T306" i="22" s="1"/>
  <c r="O78" i="21"/>
  <c r="N66" i="22"/>
  <c r="I93" i="22"/>
  <c r="K93" i="22" s="1"/>
  <c r="I239" i="22"/>
  <c r="K239" i="22" s="1"/>
  <c r="L236" i="22"/>
  <c r="P291" i="22"/>
  <c r="Q417" i="22"/>
  <c r="T417" i="22" s="1"/>
  <c r="L177" i="1"/>
  <c r="K168" i="21"/>
  <c r="K293" i="21"/>
  <c r="Q496" i="21"/>
  <c r="I83" i="22"/>
  <c r="K83" i="22" s="1"/>
  <c r="L97" i="22"/>
  <c r="O97" i="22" s="1"/>
  <c r="S98" i="22"/>
  <c r="L101" i="22"/>
  <c r="O101" i="22" s="1"/>
  <c r="L121" i="22"/>
  <c r="O121" i="22" s="1"/>
  <c r="N142" i="22"/>
  <c r="N140" i="22" s="1"/>
  <c r="Q143" i="22"/>
  <c r="T143" i="22" s="1"/>
  <c r="L215" i="22"/>
  <c r="O215" i="22" s="1"/>
  <c r="I266" i="22"/>
  <c r="K266" i="22" s="1"/>
  <c r="S270" i="22"/>
  <c r="L273" i="22"/>
  <c r="O273" i="22" s="1"/>
  <c r="I281" i="22"/>
  <c r="K281" i="22" s="1"/>
  <c r="S307" i="22"/>
  <c r="L336" i="22"/>
  <c r="L334" i="22" s="1"/>
  <c r="S416" i="22"/>
  <c r="S414" i="22" s="1"/>
  <c r="K654" i="22"/>
  <c r="K679" i="22"/>
  <c r="J676" i="22"/>
  <c r="K676" i="22" s="1"/>
  <c r="J703" i="22"/>
  <c r="R731" i="22"/>
  <c r="U731" i="22" s="1"/>
  <c r="R732" i="22"/>
  <c r="U732" i="22" s="1"/>
  <c r="Q160" i="21"/>
  <c r="T160" i="21" s="1"/>
  <c r="L235" i="21"/>
  <c r="P312" i="21"/>
  <c r="L359" i="21"/>
  <c r="L357" i="21" s="1"/>
  <c r="J375" i="21"/>
  <c r="P126" i="22"/>
  <c r="S143" i="22"/>
  <c r="L516" i="22"/>
  <c r="O516" i="22" s="1"/>
  <c r="L520" i="22"/>
  <c r="O520" i="22" s="1"/>
  <c r="O48" i="22"/>
  <c r="I157" i="21"/>
  <c r="K157" i="21" s="1"/>
  <c r="L363" i="21"/>
  <c r="O363" i="21" s="1"/>
  <c r="O50" i="22"/>
  <c r="O272" i="22"/>
  <c r="L289" i="22"/>
  <c r="O289" i="22" s="1"/>
  <c r="K282" i="21"/>
  <c r="K370" i="21"/>
  <c r="J703" i="21"/>
  <c r="L47" i="22"/>
  <c r="L45" i="22" s="1"/>
  <c r="R24" i="22"/>
  <c r="R22" i="22" s="1"/>
  <c r="I84" i="22"/>
  <c r="K84" i="22" s="1"/>
  <c r="L98" i="22"/>
  <c r="O98" i="22" s="1"/>
  <c r="K184" i="22"/>
  <c r="L223" i="22"/>
  <c r="O223" i="22" s="1"/>
  <c r="L306" i="22"/>
  <c r="O306" i="22" s="1"/>
  <c r="K331" i="22"/>
  <c r="S378" i="21"/>
  <c r="S376" i="21" s="1"/>
  <c r="Q762" i="21"/>
  <c r="Q760" i="21" s="1"/>
  <c r="O63" i="22"/>
  <c r="L180" i="22"/>
  <c r="O180" i="22" s="1"/>
  <c r="N306" i="22"/>
  <c r="N304" i="22" s="1"/>
  <c r="O342" i="22"/>
  <c r="Q378" i="22"/>
  <c r="T378" i="22" s="1"/>
  <c r="J675" i="22"/>
  <c r="K675" i="22" s="1"/>
  <c r="U763" i="22"/>
  <c r="R693" i="12"/>
  <c r="R691" i="12" s="1"/>
  <c r="M146" i="22"/>
  <c r="P146" i="22" s="1"/>
  <c r="R160" i="17"/>
  <c r="U160" i="17" s="1"/>
  <c r="S120" i="19"/>
  <c r="S118" i="19" s="1"/>
  <c r="U118" i="19" s="1"/>
  <c r="J703" i="19"/>
  <c r="J676" i="20"/>
  <c r="K676" i="20" s="1"/>
  <c r="U120" i="21"/>
  <c r="L270" i="21"/>
  <c r="O270" i="21" s="1"/>
  <c r="R646" i="21"/>
  <c r="U646" i="21" s="1"/>
  <c r="K677" i="21"/>
  <c r="J702" i="21"/>
  <c r="K784" i="21"/>
  <c r="M63" i="22"/>
  <c r="P63" i="22" s="1"/>
  <c r="R75" i="22"/>
  <c r="R76" i="22"/>
  <c r="U76" i="22" s="1"/>
  <c r="R97" i="22"/>
  <c r="R98" i="22"/>
  <c r="U98" i="22" s="1"/>
  <c r="I117" i="22"/>
  <c r="K117" i="22" s="1"/>
  <c r="Q120" i="22"/>
  <c r="T120" i="22" s="1"/>
  <c r="L160" i="22"/>
  <c r="O160" i="22" s="1"/>
  <c r="L164" i="22"/>
  <c r="O164" i="22" s="1"/>
  <c r="Q176" i="22"/>
  <c r="T176" i="22" s="1"/>
  <c r="R177" i="22"/>
  <c r="U177" i="22" s="1"/>
  <c r="O179" i="22"/>
  <c r="T179" i="22"/>
  <c r="O192" i="22"/>
  <c r="M193" i="22"/>
  <c r="P193" i="22" s="1"/>
  <c r="R267" i="22"/>
  <c r="U267" i="22" s="1"/>
  <c r="R270" i="22"/>
  <c r="U272" i="22"/>
  <c r="M310" i="22"/>
  <c r="P310" i="22" s="1"/>
  <c r="M323" i="22"/>
  <c r="P323" i="22" s="1"/>
  <c r="P326" i="22"/>
  <c r="L360" i="22"/>
  <c r="O360" i="22" s="1"/>
  <c r="I366" i="22"/>
  <c r="K366" i="22" s="1"/>
  <c r="I424" i="22"/>
  <c r="I413" i="22" s="1"/>
  <c r="K413" i="22" s="1"/>
  <c r="K504" i="22"/>
  <c r="T765" i="22"/>
  <c r="K781" i="22"/>
  <c r="S97" i="20"/>
  <c r="S95" i="20" s="1"/>
  <c r="R176" i="21"/>
  <c r="U176" i="21" s="1"/>
  <c r="M180" i="21"/>
  <c r="P180" i="21" s="1"/>
  <c r="M193" i="21"/>
  <c r="P193" i="21" s="1"/>
  <c r="M286" i="21"/>
  <c r="T499" i="21"/>
  <c r="Q24" i="22"/>
  <c r="L27" i="22"/>
  <c r="O27" i="22" s="1"/>
  <c r="N47" i="22"/>
  <c r="U78" i="22"/>
  <c r="T100" i="22"/>
  <c r="I139" i="22"/>
  <c r="K139" i="22" s="1"/>
  <c r="S140" i="22"/>
  <c r="P148" i="22"/>
  <c r="M160" i="22"/>
  <c r="L161" i="22"/>
  <c r="O161" i="22" s="1"/>
  <c r="P163" i="22"/>
  <c r="R176" i="22"/>
  <c r="U176" i="22" s="1"/>
  <c r="S177" i="22"/>
  <c r="L189" i="22"/>
  <c r="P272" i="22"/>
  <c r="M307" i="22"/>
  <c r="P307" i="22" s="1"/>
  <c r="O309" i="22"/>
  <c r="O312" i="22"/>
  <c r="M340" i="22"/>
  <c r="P340" i="22" s="1"/>
  <c r="K347" i="22"/>
  <c r="K458" i="22"/>
  <c r="S694" i="22"/>
  <c r="J703" i="20"/>
  <c r="T76" i="21"/>
  <c r="M120" i="21"/>
  <c r="P120" i="21" s="1"/>
  <c r="S176" i="21"/>
  <c r="S174" i="21" s="1"/>
  <c r="R190" i="21"/>
  <c r="L51" i="22"/>
  <c r="O51" i="22" s="1"/>
  <c r="Q73" i="22"/>
  <c r="T73" i="22" s="1"/>
  <c r="L75" i="22"/>
  <c r="L79" i="22"/>
  <c r="O79" i="22" s="1"/>
  <c r="T123" i="22"/>
  <c r="M189" i="22"/>
  <c r="M190" i="22"/>
  <c r="L204" i="22"/>
  <c r="O204" i="22" s="1"/>
  <c r="L244" i="22"/>
  <c r="O244" i="22" s="1"/>
  <c r="U269" i="22"/>
  <c r="S691" i="22"/>
  <c r="R693" i="22"/>
  <c r="U693" i="22" s="1"/>
  <c r="S762" i="22"/>
  <c r="S760" i="22" s="1"/>
  <c r="K779" i="22"/>
  <c r="K782" i="22"/>
  <c r="K785" i="22"/>
  <c r="M327" i="20"/>
  <c r="P327" i="20" s="1"/>
  <c r="I203" i="21"/>
  <c r="K203" i="21" s="1"/>
  <c r="O339" i="21"/>
  <c r="K785" i="21"/>
  <c r="M24" i="22"/>
  <c r="M22" i="22" s="1"/>
  <c r="N75" i="22"/>
  <c r="N73" i="22" s="1"/>
  <c r="M97" i="22"/>
  <c r="M101" i="22"/>
  <c r="P101" i="22" s="1"/>
  <c r="L120" i="22"/>
  <c r="L124" i="22"/>
  <c r="O124" i="22" s="1"/>
  <c r="Q160" i="22"/>
  <c r="T160" i="22" s="1"/>
  <c r="R190" i="22"/>
  <c r="U190" i="22" s="1"/>
  <c r="K293" i="22"/>
  <c r="N323" i="22"/>
  <c r="N321" i="22" s="1"/>
  <c r="N359" i="22"/>
  <c r="N357" i="22" s="1"/>
  <c r="R378" i="22"/>
  <c r="M516" i="22"/>
  <c r="M517" i="22"/>
  <c r="P517" i="22" s="1"/>
  <c r="Q619" i="22"/>
  <c r="Q617" i="22" s="1"/>
  <c r="J702" i="22"/>
  <c r="K369" i="19"/>
  <c r="K372" i="19"/>
  <c r="P337" i="21"/>
  <c r="K783" i="21"/>
  <c r="M120" i="22"/>
  <c r="R160" i="22"/>
  <c r="U160" i="22" s="1"/>
  <c r="R161" i="22"/>
  <c r="U161" i="22" s="1"/>
  <c r="R189" i="22"/>
  <c r="U189" i="22" s="1"/>
  <c r="I196" i="22"/>
  <c r="K196" i="22" s="1"/>
  <c r="T269" i="22"/>
  <c r="L285" i="22"/>
  <c r="O285" i="22" s="1"/>
  <c r="M286" i="22"/>
  <c r="P286" i="22" s="1"/>
  <c r="N285" i="22"/>
  <c r="N283" i="22" s="1"/>
  <c r="L324" i="22"/>
  <c r="O324" i="22" s="1"/>
  <c r="P329" i="22"/>
  <c r="Q379" i="22"/>
  <c r="T379" i="22" s="1"/>
  <c r="O519" i="22"/>
  <c r="K677" i="22"/>
  <c r="U765" i="22"/>
  <c r="K783" i="22"/>
  <c r="P20" i="22"/>
  <c r="U20" i="22"/>
  <c r="S76" i="22"/>
  <c r="S24" i="22"/>
  <c r="N516" i="22"/>
  <c r="N514" i="22" s="1"/>
  <c r="N517" i="22"/>
  <c r="K221" i="20"/>
  <c r="Q142" i="21"/>
  <c r="Q140" i="21" s="1"/>
  <c r="T140" i="21" s="1"/>
  <c r="K662" i="21"/>
  <c r="N27" i="22"/>
  <c r="N25" i="22" s="1"/>
  <c r="N51" i="22"/>
  <c r="R60" i="22"/>
  <c r="U60" i="22" s="1"/>
  <c r="L66" i="22"/>
  <c r="O66" i="22" s="1"/>
  <c r="K89" i="22"/>
  <c r="N97" i="22"/>
  <c r="N95" i="22" s="1"/>
  <c r="R143" i="22"/>
  <c r="U143" i="22" s="1"/>
  <c r="U145" i="22"/>
  <c r="N160" i="22"/>
  <c r="N158" i="22" s="1"/>
  <c r="U395" i="22"/>
  <c r="R393" i="22"/>
  <c r="U393" i="22" s="1"/>
  <c r="U416" i="22"/>
  <c r="R414" i="22"/>
  <c r="U414" i="22" s="1"/>
  <c r="Q75" i="21"/>
  <c r="Q73" i="21" s="1"/>
  <c r="S98" i="21"/>
  <c r="M124" i="21"/>
  <c r="P124" i="21" s="1"/>
  <c r="P272" i="21"/>
  <c r="U309" i="21"/>
  <c r="M327" i="21"/>
  <c r="P327" i="21" s="1"/>
  <c r="P362" i="21"/>
  <c r="K779" i="21"/>
  <c r="M51" i="22"/>
  <c r="P51" i="22" s="1"/>
  <c r="M27" i="22"/>
  <c r="P27" i="22" s="1"/>
  <c r="L143" i="22"/>
  <c r="O143" i="22" s="1"/>
  <c r="O145" i="22"/>
  <c r="U159" i="22"/>
  <c r="U175" i="22"/>
  <c r="L234" i="22"/>
  <c r="L255" i="22"/>
  <c r="O255" i="22" s="1"/>
  <c r="P339" i="22"/>
  <c r="U692" i="22"/>
  <c r="M414" i="22"/>
  <c r="P414" i="22" s="1"/>
  <c r="P415" i="22"/>
  <c r="K708" i="22"/>
  <c r="I690" i="22"/>
  <c r="K690" i="22" s="1"/>
  <c r="I93" i="19"/>
  <c r="K93" i="19" s="1"/>
  <c r="N269" i="19"/>
  <c r="N267" i="19" s="1"/>
  <c r="Q416" i="20"/>
  <c r="T416" i="20" s="1"/>
  <c r="Q143" i="21"/>
  <c r="T143" i="21" s="1"/>
  <c r="T179" i="21"/>
  <c r="J344" i="21"/>
  <c r="P360" i="21"/>
  <c r="J504" i="21"/>
  <c r="J493" i="21" s="1"/>
  <c r="N516" i="21"/>
  <c r="N514" i="21" s="1"/>
  <c r="O23" i="22"/>
  <c r="U23" i="22"/>
  <c r="M47" i="22"/>
  <c r="P50" i="22"/>
  <c r="L62" i="22"/>
  <c r="O65" i="22"/>
  <c r="P78" i="22"/>
  <c r="K86" i="22"/>
  <c r="N120" i="22"/>
  <c r="N118" i="22" s="1"/>
  <c r="L146" i="22"/>
  <c r="O146" i="22" s="1"/>
  <c r="O148" i="22"/>
  <c r="O159" i="22"/>
  <c r="O175" i="22"/>
  <c r="N337" i="22"/>
  <c r="P337" i="22" s="1"/>
  <c r="N336" i="22"/>
  <c r="N334" i="22" s="1"/>
  <c r="J344" i="22"/>
  <c r="J333" i="22"/>
  <c r="M393" i="22"/>
  <c r="P393" i="22" s="1"/>
  <c r="P394" i="22"/>
  <c r="J504" i="22"/>
  <c r="J493" i="22" s="1"/>
  <c r="K508" i="22"/>
  <c r="O644" i="22"/>
  <c r="L643" i="22"/>
  <c r="O643" i="22" s="1"/>
  <c r="Q269" i="20"/>
  <c r="Q267" i="20" s="1"/>
  <c r="Q177" i="21"/>
  <c r="T177" i="21" s="1"/>
  <c r="L193" i="21"/>
  <c r="O193" i="21" s="1"/>
  <c r="T272" i="21"/>
  <c r="I303" i="21"/>
  <c r="K303" i="21" s="1"/>
  <c r="L306" i="21"/>
  <c r="L304" i="21" s="1"/>
  <c r="L310" i="21"/>
  <c r="O310" i="21" s="1"/>
  <c r="N359" i="21"/>
  <c r="N357" i="21" s="1"/>
  <c r="P522" i="21"/>
  <c r="L20" i="22"/>
  <c r="L24" i="22"/>
  <c r="M62" i="22"/>
  <c r="T78" i="22"/>
  <c r="R283" i="22"/>
  <c r="U283" i="22" s="1"/>
  <c r="U284" i="22"/>
  <c r="L327" i="22"/>
  <c r="O327" i="22" s="1"/>
  <c r="O329" i="22"/>
  <c r="Q357" i="22"/>
  <c r="T357" i="22" s="1"/>
  <c r="T358" i="22"/>
  <c r="K654" i="20"/>
  <c r="N62" i="21"/>
  <c r="N60" i="21" s="1"/>
  <c r="L236" i="21"/>
  <c r="Q269" i="21"/>
  <c r="Q267" i="21" s="1"/>
  <c r="I424" i="21"/>
  <c r="I493" i="21"/>
  <c r="K493" i="21" s="1"/>
  <c r="R693" i="21"/>
  <c r="R691" i="21" s="1"/>
  <c r="N24" i="22"/>
  <c r="R25" i="22"/>
  <c r="U25" i="22" s="1"/>
  <c r="M48" i="22"/>
  <c r="P48" i="22" s="1"/>
  <c r="P53" i="22"/>
  <c r="P68" i="22"/>
  <c r="M75" i="22"/>
  <c r="P75" i="22" s="1"/>
  <c r="S75" i="22"/>
  <c r="S73" i="22" s="1"/>
  <c r="P81" i="22"/>
  <c r="N177" i="22"/>
  <c r="P177" i="22" s="1"/>
  <c r="P179" i="22"/>
  <c r="Q190" i="22"/>
  <c r="T190" i="22" s="1"/>
  <c r="T192" i="22"/>
  <c r="I222" i="22"/>
  <c r="K222" i="22" s="1"/>
  <c r="P270" i="22"/>
  <c r="Q270" i="22"/>
  <c r="T272" i="22"/>
  <c r="O284" i="22"/>
  <c r="R321" i="22"/>
  <c r="U321" i="22" s="1"/>
  <c r="U323" i="22"/>
  <c r="I333" i="22"/>
  <c r="K345" i="22"/>
  <c r="M359" i="22"/>
  <c r="P362" i="22"/>
  <c r="M360" i="22"/>
  <c r="P360" i="22" s="1"/>
  <c r="M376" i="22"/>
  <c r="P376" i="22" s="1"/>
  <c r="P377" i="22"/>
  <c r="K633" i="22"/>
  <c r="K630" i="22"/>
  <c r="K627" i="22"/>
  <c r="K632" i="22"/>
  <c r="K631" i="22"/>
  <c r="I137" i="22"/>
  <c r="K137" i="22" s="1"/>
  <c r="N190" i="22"/>
  <c r="O190" i="22" s="1"/>
  <c r="N286" i="22"/>
  <c r="M306" i="22"/>
  <c r="P306" i="22" s="1"/>
  <c r="L323" i="22"/>
  <c r="Q334" i="22"/>
  <c r="T334" i="22" s="1"/>
  <c r="M336" i="22"/>
  <c r="N363" i="22"/>
  <c r="O365" i="22"/>
  <c r="L359" i="22"/>
  <c r="I375" i="22"/>
  <c r="K375" i="22" s="1"/>
  <c r="Q393" i="22"/>
  <c r="T393" i="22" s="1"/>
  <c r="O395" i="22"/>
  <c r="L393" i="22"/>
  <c r="O393" i="22" s="1"/>
  <c r="U499" i="22"/>
  <c r="R496" i="22"/>
  <c r="U496" i="22" s="1"/>
  <c r="R514" i="22"/>
  <c r="U514" i="22" s="1"/>
  <c r="R535" i="22"/>
  <c r="U535" i="22" s="1"/>
  <c r="P578" i="22"/>
  <c r="S617" i="22"/>
  <c r="S497" i="22"/>
  <c r="S496" i="22"/>
  <c r="S494" i="22" s="1"/>
  <c r="O601" i="22"/>
  <c r="L600" i="22"/>
  <c r="O600" i="22" s="1"/>
  <c r="O536" i="22"/>
  <c r="L535" i="22"/>
  <c r="O535" i="22" s="1"/>
  <c r="S535" i="22"/>
  <c r="M600" i="22"/>
  <c r="P600" i="22" s="1"/>
  <c r="R646" i="22"/>
  <c r="R645" i="22"/>
  <c r="U645" i="22" s="1"/>
  <c r="T696" i="22"/>
  <c r="Q693" i="22"/>
  <c r="Q694" i="22"/>
  <c r="T694" i="22" s="1"/>
  <c r="R140" i="22"/>
  <c r="U140" i="22" s="1"/>
  <c r="K170" i="22"/>
  <c r="Q187" i="22"/>
  <c r="T187" i="22" s="1"/>
  <c r="Q267" i="22"/>
  <c r="T267" i="22" s="1"/>
  <c r="M285" i="22"/>
  <c r="Q321" i="22"/>
  <c r="T321" i="22" s="1"/>
  <c r="R334" i="22"/>
  <c r="U334" i="22" s="1"/>
  <c r="O339" i="22"/>
  <c r="J352" i="22"/>
  <c r="P365" i="22"/>
  <c r="L414" i="22"/>
  <c r="O414" i="22" s="1"/>
  <c r="M494" i="22"/>
  <c r="P494" i="22" s="1"/>
  <c r="M535" i="22"/>
  <c r="P535" i="22" s="1"/>
  <c r="P557" i="22"/>
  <c r="M556" i="22"/>
  <c r="P556" i="22" s="1"/>
  <c r="I203" i="22"/>
  <c r="K203" i="22" s="1"/>
  <c r="U305" i="22"/>
  <c r="R306" i="22"/>
  <c r="U306" i="22" s="1"/>
  <c r="U309" i="22"/>
  <c r="O378" i="22"/>
  <c r="R417" i="22"/>
  <c r="U417" i="22" s="1"/>
  <c r="U419" i="22"/>
  <c r="N494" i="22"/>
  <c r="T622" i="22"/>
  <c r="S620" i="22"/>
  <c r="U620" i="22" s="1"/>
  <c r="S577" i="22"/>
  <c r="U622" i="22"/>
  <c r="R619" i="22"/>
  <c r="O692" i="22"/>
  <c r="L691" i="22"/>
  <c r="O691" i="22" s="1"/>
  <c r="K778" i="22"/>
  <c r="K784" i="22"/>
  <c r="I759" i="22"/>
  <c r="K759" i="22" s="1"/>
  <c r="K774" i="22"/>
  <c r="S731" i="22"/>
  <c r="S729" i="22" s="1"/>
  <c r="S732" i="22"/>
  <c r="T763" i="22"/>
  <c r="L577" i="22"/>
  <c r="O577" i="22" s="1"/>
  <c r="U644" i="22"/>
  <c r="T648" i="22"/>
  <c r="Q645" i="22"/>
  <c r="K780" i="22"/>
  <c r="Q731" i="22"/>
  <c r="T731" i="22" s="1"/>
  <c r="R762" i="22"/>
  <c r="I702" i="22"/>
  <c r="K702" i="22" s="1"/>
  <c r="T176" i="21"/>
  <c r="Q174" i="21"/>
  <c r="T174" i="21" s="1"/>
  <c r="N160" i="21"/>
  <c r="T620" i="21"/>
  <c r="O329" i="20"/>
  <c r="P81" i="21"/>
  <c r="L120" i="21"/>
  <c r="S121" i="21"/>
  <c r="L124" i="21"/>
  <c r="O124" i="21" s="1"/>
  <c r="I169" i="21"/>
  <c r="K169" i="21" s="1"/>
  <c r="S190" i="21"/>
  <c r="T190" i="21" s="1"/>
  <c r="I214" i="21"/>
  <c r="K214" i="21" s="1"/>
  <c r="O291" i="21"/>
  <c r="I320" i="21"/>
  <c r="K320" i="21" s="1"/>
  <c r="U696" i="21"/>
  <c r="T765" i="21"/>
  <c r="K781" i="21"/>
  <c r="N47" i="20"/>
  <c r="N45" i="20" s="1"/>
  <c r="R269" i="20"/>
  <c r="R267" i="20" s="1"/>
  <c r="M289" i="20"/>
  <c r="P289" i="20" s="1"/>
  <c r="Q307" i="20"/>
  <c r="T307" i="20" s="1"/>
  <c r="K679" i="20"/>
  <c r="L62" i="21"/>
  <c r="L60" i="21" s="1"/>
  <c r="P78" i="21"/>
  <c r="P145" i="21"/>
  <c r="R270" i="21"/>
  <c r="U270" i="21" s="1"/>
  <c r="L285" i="21"/>
  <c r="L283" i="21" s="1"/>
  <c r="O288" i="21"/>
  <c r="M306" i="21"/>
  <c r="M304" i="21" s="1"/>
  <c r="S24" i="21"/>
  <c r="S22" i="21" s="1"/>
  <c r="O68" i="21"/>
  <c r="M75" i="21"/>
  <c r="M73" i="21" s="1"/>
  <c r="T78" i="21"/>
  <c r="Q98" i="21"/>
  <c r="T98" i="21" s="1"/>
  <c r="T100" i="21"/>
  <c r="L189" i="21"/>
  <c r="L187" i="21" s="1"/>
  <c r="O192" i="21"/>
  <c r="N285" i="21"/>
  <c r="N283" i="21" s="1"/>
  <c r="M336" i="21"/>
  <c r="M334" i="21" s="1"/>
  <c r="U648" i="21"/>
  <c r="K674" i="21"/>
  <c r="S762" i="21"/>
  <c r="S760" i="21" s="1"/>
  <c r="L215" i="20"/>
  <c r="O215" i="20" s="1"/>
  <c r="I222" i="20"/>
  <c r="K222" i="20" s="1"/>
  <c r="T120" i="21"/>
  <c r="L337" i="21"/>
  <c r="O337" i="21" s="1"/>
  <c r="S496" i="21"/>
  <c r="S494" i="21" s="1"/>
  <c r="K679" i="21"/>
  <c r="J676" i="21"/>
  <c r="K676" i="21" s="1"/>
  <c r="R121" i="20"/>
  <c r="U121" i="20" s="1"/>
  <c r="U270" i="20"/>
  <c r="P76" i="21"/>
  <c r="Q95" i="21"/>
  <c r="T95" i="21" s="1"/>
  <c r="L121" i="21"/>
  <c r="O121" i="21" s="1"/>
  <c r="I281" i="21"/>
  <c r="K281" i="21" s="1"/>
  <c r="S619" i="21"/>
  <c r="S617" i="21" s="1"/>
  <c r="P177" i="21"/>
  <c r="U731" i="21"/>
  <c r="R729" i="21"/>
  <c r="U729" i="21" s="1"/>
  <c r="O48" i="20"/>
  <c r="T307" i="21"/>
  <c r="I137" i="19"/>
  <c r="K137" i="19" s="1"/>
  <c r="M164" i="19"/>
  <c r="P164" i="19" s="1"/>
  <c r="N306" i="19"/>
  <c r="N304" i="19" s="1"/>
  <c r="O522" i="19"/>
  <c r="Q693" i="19"/>
  <c r="Q691" i="19" s="1"/>
  <c r="K155" i="20"/>
  <c r="P309" i="20"/>
  <c r="I320" i="20"/>
  <c r="K320" i="20" s="1"/>
  <c r="L101" i="21"/>
  <c r="O101" i="21" s="1"/>
  <c r="P103" i="21"/>
  <c r="K110" i="21"/>
  <c r="Q118" i="21"/>
  <c r="T118" i="21" s="1"/>
  <c r="O148" i="21"/>
  <c r="K153" i="21"/>
  <c r="U163" i="21"/>
  <c r="L176" i="21"/>
  <c r="L174" i="21" s="1"/>
  <c r="U192" i="21"/>
  <c r="K250" i="21"/>
  <c r="L269" i="21"/>
  <c r="O269" i="21" s="1"/>
  <c r="M270" i="21"/>
  <c r="P270" i="21" s="1"/>
  <c r="L273" i="21"/>
  <c r="O273" i="21" s="1"/>
  <c r="R306" i="21"/>
  <c r="R307" i="21"/>
  <c r="U307" i="21" s="1"/>
  <c r="P339" i="21"/>
  <c r="O362" i="21"/>
  <c r="M517" i="21"/>
  <c r="P517" i="21" s="1"/>
  <c r="U622" i="21"/>
  <c r="T648" i="21"/>
  <c r="T696" i="21"/>
  <c r="O48" i="19"/>
  <c r="M142" i="19"/>
  <c r="M140" i="19" s="1"/>
  <c r="M160" i="19"/>
  <c r="M158" i="19" s="1"/>
  <c r="O195" i="19"/>
  <c r="O177" i="20"/>
  <c r="L236" i="20"/>
  <c r="S75" i="21"/>
  <c r="S73" i="21" s="1"/>
  <c r="N27" i="21"/>
  <c r="N25" i="21" s="1"/>
  <c r="L98" i="21"/>
  <c r="O98" i="21" s="1"/>
  <c r="P100" i="21"/>
  <c r="Q121" i="21"/>
  <c r="S158" i="21"/>
  <c r="L161" i="21"/>
  <c r="O161" i="21" s="1"/>
  <c r="O163" i="21"/>
  <c r="M176" i="21"/>
  <c r="M174" i="21" s="1"/>
  <c r="Q189" i="21"/>
  <c r="T189" i="21" s="1"/>
  <c r="M24" i="21"/>
  <c r="M22" i="21" s="1"/>
  <c r="T192" i="21"/>
  <c r="N269" i="21"/>
  <c r="N267" i="21" s="1"/>
  <c r="S306" i="21"/>
  <c r="S304" i="21" s="1"/>
  <c r="U381" i="21"/>
  <c r="M516" i="21"/>
  <c r="P516" i="21" s="1"/>
  <c r="O519" i="21"/>
  <c r="U763" i="21"/>
  <c r="K782" i="21"/>
  <c r="P48" i="19"/>
  <c r="L516" i="19"/>
  <c r="O516" i="19" s="1"/>
  <c r="L101" i="20"/>
  <c r="O101" i="20" s="1"/>
  <c r="Q160" i="20"/>
  <c r="T160" i="20" s="1"/>
  <c r="P337" i="20"/>
  <c r="M97" i="21"/>
  <c r="P97" i="21" s="1"/>
  <c r="T123" i="21"/>
  <c r="M161" i="21"/>
  <c r="P161" i="21" s="1"/>
  <c r="P163" i="21"/>
  <c r="L223" i="21"/>
  <c r="O223" i="21" s="1"/>
  <c r="T270" i="21"/>
  <c r="N336" i="21"/>
  <c r="N334" i="21" s="1"/>
  <c r="K347" i="21"/>
  <c r="K387" i="21"/>
  <c r="S416" i="21"/>
  <c r="S414" i="21" s="1"/>
  <c r="Q619" i="21"/>
  <c r="Q617" i="21" s="1"/>
  <c r="T622" i="21"/>
  <c r="T646" i="21"/>
  <c r="T694" i="21"/>
  <c r="R732" i="21"/>
  <c r="K780" i="21"/>
  <c r="K779" i="19"/>
  <c r="K782" i="19"/>
  <c r="K785" i="19"/>
  <c r="M143" i="20"/>
  <c r="P143" i="20" s="1"/>
  <c r="P48" i="21"/>
  <c r="N97" i="21"/>
  <c r="N95" i="21" s="1"/>
  <c r="O179" i="21"/>
  <c r="U189" i="21"/>
  <c r="I254" i="21"/>
  <c r="K254" i="21" s="1"/>
  <c r="T309" i="21"/>
  <c r="R378" i="21"/>
  <c r="J675" i="21"/>
  <c r="K675" i="21" s="1"/>
  <c r="K708" i="21"/>
  <c r="K778" i="21"/>
  <c r="N142" i="20"/>
  <c r="N140" i="20" s="1"/>
  <c r="K781" i="20"/>
  <c r="Q24" i="21"/>
  <c r="Q22" i="21" s="1"/>
  <c r="P50" i="21"/>
  <c r="N63" i="21"/>
  <c r="P63" i="21" s="1"/>
  <c r="O65" i="21"/>
  <c r="L180" i="21"/>
  <c r="O180" i="21" s="1"/>
  <c r="K196" i="21"/>
  <c r="L237" i="21"/>
  <c r="N286" i="21"/>
  <c r="O286" i="21" s="1"/>
  <c r="L327" i="21"/>
  <c r="O327" i="21" s="1"/>
  <c r="K369" i="21"/>
  <c r="N520" i="21"/>
  <c r="T763" i="21"/>
  <c r="R143" i="19"/>
  <c r="U143" i="19" s="1"/>
  <c r="M269" i="19"/>
  <c r="M267" i="19" s="1"/>
  <c r="L359" i="19"/>
  <c r="L357" i="19" s="1"/>
  <c r="T100" i="20"/>
  <c r="Q120" i="20"/>
  <c r="Q118" i="20" s="1"/>
  <c r="Q177" i="20"/>
  <c r="T177" i="20" s="1"/>
  <c r="M189" i="20"/>
  <c r="M187" i="20" s="1"/>
  <c r="L235" i="20"/>
  <c r="L306" i="20"/>
  <c r="O306" i="20" s="1"/>
  <c r="O365" i="20"/>
  <c r="T419" i="20"/>
  <c r="M517" i="20"/>
  <c r="P517" i="20" s="1"/>
  <c r="S25" i="21"/>
  <c r="N47" i="21"/>
  <c r="N45" i="21" s="1"/>
  <c r="R60" i="21"/>
  <c r="U60" i="21" s="1"/>
  <c r="R121" i="21"/>
  <c r="U123" i="21"/>
  <c r="L244" i="21"/>
  <c r="L255" i="21"/>
  <c r="O255" i="21" s="1"/>
  <c r="L234" i="21"/>
  <c r="N323" i="21"/>
  <c r="N321" i="21" s="1"/>
  <c r="N324" i="21"/>
  <c r="P143" i="16"/>
  <c r="I138" i="19"/>
  <c r="K138" i="19" s="1"/>
  <c r="L176" i="19"/>
  <c r="L174" i="19" s="1"/>
  <c r="L120" i="20"/>
  <c r="O120" i="20" s="1"/>
  <c r="T123" i="20"/>
  <c r="I157" i="20"/>
  <c r="K157" i="20" s="1"/>
  <c r="N189" i="20"/>
  <c r="N187" i="20" s="1"/>
  <c r="R45" i="21"/>
  <c r="U45" i="21" s="1"/>
  <c r="L24" i="21"/>
  <c r="L63" i="21"/>
  <c r="P68" i="21"/>
  <c r="M62" i="21"/>
  <c r="R73" i="21"/>
  <c r="N75" i="21"/>
  <c r="L76" i="21"/>
  <c r="O76" i="21" s="1"/>
  <c r="L79" i="21"/>
  <c r="O79" i="21" s="1"/>
  <c r="I84" i="21"/>
  <c r="L97" i="21"/>
  <c r="O97" i="21" s="1"/>
  <c r="R143" i="21"/>
  <c r="U143" i="21" s="1"/>
  <c r="U145" i="21"/>
  <c r="K154" i="21"/>
  <c r="I139" i="21"/>
  <c r="K139" i="21" s="1"/>
  <c r="R158" i="21"/>
  <c r="U158" i="21" s="1"/>
  <c r="P179" i="21"/>
  <c r="N176" i="21"/>
  <c r="M273" i="21"/>
  <c r="P273" i="21" s="1"/>
  <c r="R321" i="21"/>
  <c r="U321" i="21" s="1"/>
  <c r="U323" i="21"/>
  <c r="U335" i="21"/>
  <c r="R334" i="21"/>
  <c r="U334" i="21" s="1"/>
  <c r="L97" i="20"/>
  <c r="L95" i="20" s="1"/>
  <c r="O95" i="20" s="1"/>
  <c r="S306" i="20"/>
  <c r="S304" i="20" s="1"/>
  <c r="K680" i="20"/>
  <c r="Q20" i="21"/>
  <c r="N24" i="21"/>
  <c r="O48" i="21"/>
  <c r="L51" i="21"/>
  <c r="O51" i="21" s="1"/>
  <c r="L27" i="21"/>
  <c r="O27" i="21" s="1"/>
  <c r="K372" i="21"/>
  <c r="I366" i="21"/>
  <c r="K366" i="21" s="1"/>
  <c r="P53" i="21"/>
  <c r="M47" i="21"/>
  <c r="L270" i="18"/>
  <c r="O270" i="18" s="1"/>
  <c r="K706" i="19"/>
  <c r="R160" i="20"/>
  <c r="U160" i="20" s="1"/>
  <c r="Q176" i="20"/>
  <c r="T176" i="20" s="1"/>
  <c r="S269" i="20"/>
  <c r="S267" i="20" s="1"/>
  <c r="U272" i="20"/>
  <c r="Q762" i="20"/>
  <c r="T762" i="20" s="1"/>
  <c r="M20" i="21"/>
  <c r="M27" i="21"/>
  <c r="P27" i="21" s="1"/>
  <c r="O50" i="21"/>
  <c r="P65" i="21"/>
  <c r="U78" i="21"/>
  <c r="R24" i="21"/>
  <c r="K89" i="21"/>
  <c r="I83" i="21"/>
  <c r="U96" i="21"/>
  <c r="R95" i="21"/>
  <c r="U95" i="21" s="1"/>
  <c r="N120" i="21"/>
  <c r="N118" i="21" s="1"/>
  <c r="O141" i="21"/>
  <c r="N142" i="21"/>
  <c r="N140" i="21" s="1"/>
  <c r="N143" i="21"/>
  <c r="M146" i="21"/>
  <c r="P146" i="21" s="1"/>
  <c r="P148" i="21"/>
  <c r="M142" i="21"/>
  <c r="P142" i="21" s="1"/>
  <c r="K277" i="21"/>
  <c r="I266" i="21"/>
  <c r="K266" i="21" s="1"/>
  <c r="P309" i="21"/>
  <c r="N306" i="21"/>
  <c r="O309" i="21"/>
  <c r="O342" i="21"/>
  <c r="L336" i="21"/>
  <c r="L340" i="21"/>
  <c r="O340" i="21" s="1"/>
  <c r="K345" i="21"/>
  <c r="I333" i="21"/>
  <c r="M62" i="20"/>
  <c r="M60" i="20" s="1"/>
  <c r="I94" i="20"/>
  <c r="K94" i="20" s="1"/>
  <c r="R176" i="20"/>
  <c r="U176" i="20" s="1"/>
  <c r="M273" i="20"/>
  <c r="P273" i="20" s="1"/>
  <c r="O275" i="20"/>
  <c r="L310" i="20"/>
  <c r="O310" i="20" s="1"/>
  <c r="U20" i="21"/>
  <c r="Q25" i="21"/>
  <c r="T25" i="21" s="1"/>
  <c r="O26" i="21"/>
  <c r="L47" i="21"/>
  <c r="O53" i="21"/>
  <c r="P61" i="21"/>
  <c r="L75" i="21"/>
  <c r="R76" i="21"/>
  <c r="U76" i="21" s="1"/>
  <c r="R98" i="21"/>
  <c r="U98" i="21" s="1"/>
  <c r="U100" i="21"/>
  <c r="U119" i="21"/>
  <c r="R118" i="21"/>
  <c r="U118" i="21" s="1"/>
  <c r="L142" i="21"/>
  <c r="O142" i="21" s="1"/>
  <c r="L143" i="21"/>
  <c r="O143" i="21" s="1"/>
  <c r="P192" i="21"/>
  <c r="M189" i="21"/>
  <c r="M187" i="21" s="1"/>
  <c r="M190" i="21"/>
  <c r="P307" i="21"/>
  <c r="I137" i="21"/>
  <c r="K137" i="21" s="1"/>
  <c r="T163" i="21"/>
  <c r="U179" i="21"/>
  <c r="N190" i="21"/>
  <c r="O190" i="21" s="1"/>
  <c r="N189" i="21"/>
  <c r="L215" i="21"/>
  <c r="O215" i="21" s="1"/>
  <c r="O268" i="21"/>
  <c r="P305" i="21"/>
  <c r="P326" i="21"/>
  <c r="P342" i="21"/>
  <c r="M340" i="21"/>
  <c r="P340" i="21" s="1"/>
  <c r="O360" i="21"/>
  <c r="K184" i="21"/>
  <c r="I173" i="21"/>
  <c r="K173" i="21" s="1"/>
  <c r="P188" i="21"/>
  <c r="P365" i="21"/>
  <c r="M359" i="21"/>
  <c r="P415" i="21"/>
  <c r="M414" i="21"/>
  <c r="P414" i="21" s="1"/>
  <c r="T419" i="21"/>
  <c r="Q416" i="21"/>
  <c r="T416" i="21" s="1"/>
  <c r="R140" i="21"/>
  <c r="U140" i="21" s="1"/>
  <c r="I239" i="21"/>
  <c r="K239" i="21" s="1"/>
  <c r="M269" i="21"/>
  <c r="U272" i="21"/>
  <c r="S269" i="21"/>
  <c r="U269" i="21" s="1"/>
  <c r="Q283" i="21"/>
  <c r="T283" i="21" s="1"/>
  <c r="M323" i="21"/>
  <c r="P323" i="21" s="1"/>
  <c r="J352" i="21"/>
  <c r="R357" i="21"/>
  <c r="U357" i="21" s="1"/>
  <c r="T377" i="21"/>
  <c r="O177" i="21"/>
  <c r="P291" i="21"/>
  <c r="M285" i="21"/>
  <c r="O326" i="21"/>
  <c r="L324" i="21"/>
  <c r="O324" i="21" s="1"/>
  <c r="U394" i="21"/>
  <c r="R393" i="21"/>
  <c r="U393" i="21" s="1"/>
  <c r="U187" i="21"/>
  <c r="L204" i="21"/>
  <c r="O204" i="21" s="1"/>
  <c r="Q306" i="21"/>
  <c r="Q334" i="21"/>
  <c r="T334" i="21" s="1"/>
  <c r="J333" i="21"/>
  <c r="O358" i="21"/>
  <c r="O377" i="21"/>
  <c r="L376" i="21"/>
  <c r="O376" i="21" s="1"/>
  <c r="O394" i="21"/>
  <c r="L393" i="21"/>
  <c r="O393" i="21" s="1"/>
  <c r="O307" i="21"/>
  <c r="S321" i="21"/>
  <c r="Q357" i="21"/>
  <c r="T357" i="21" s="1"/>
  <c r="M376" i="21"/>
  <c r="P376" i="21" s="1"/>
  <c r="Q379" i="21"/>
  <c r="T379" i="21" s="1"/>
  <c r="T381" i="21"/>
  <c r="Q378" i="21"/>
  <c r="K458" i="21"/>
  <c r="N414" i="21"/>
  <c r="M494" i="21"/>
  <c r="P494" i="21" s="1"/>
  <c r="P515" i="21"/>
  <c r="U694" i="21"/>
  <c r="R497" i="21"/>
  <c r="U497" i="21" s="1"/>
  <c r="U499" i="21"/>
  <c r="R496" i="21"/>
  <c r="U496" i="21" s="1"/>
  <c r="U419" i="21"/>
  <c r="R416" i="21"/>
  <c r="U416" i="21" s="1"/>
  <c r="L520" i="21"/>
  <c r="O520" i="21" s="1"/>
  <c r="O522" i="21"/>
  <c r="L516" i="21"/>
  <c r="Q393" i="21"/>
  <c r="T393" i="21" s="1"/>
  <c r="R417" i="21"/>
  <c r="U417" i="21" s="1"/>
  <c r="K630" i="21"/>
  <c r="S645" i="21"/>
  <c r="S643" i="21" s="1"/>
  <c r="U643" i="21" s="1"/>
  <c r="I690" i="21"/>
  <c r="K690" i="21" s="1"/>
  <c r="S693" i="21"/>
  <c r="S691" i="21" s="1"/>
  <c r="Q731" i="21"/>
  <c r="T731" i="21" s="1"/>
  <c r="S732" i="21"/>
  <c r="T732" i="21" s="1"/>
  <c r="T734" i="21"/>
  <c r="R762" i="21"/>
  <c r="U765" i="21"/>
  <c r="K774" i="21"/>
  <c r="Q556" i="21"/>
  <c r="T556" i="21" s="1"/>
  <c r="K627" i="21"/>
  <c r="K631" i="21"/>
  <c r="U734" i="21"/>
  <c r="P558" i="21"/>
  <c r="P619" i="21"/>
  <c r="K632" i="21"/>
  <c r="O645" i="21"/>
  <c r="O693" i="21"/>
  <c r="I702" i="21"/>
  <c r="R619" i="21"/>
  <c r="Q645" i="21"/>
  <c r="Q693" i="21"/>
  <c r="I758" i="21"/>
  <c r="K758" i="21" s="1"/>
  <c r="U731" i="20"/>
  <c r="R729" i="20"/>
  <c r="U729" i="20" s="1"/>
  <c r="K168" i="17"/>
  <c r="P522" i="18"/>
  <c r="M101" i="19"/>
  <c r="P101" i="19" s="1"/>
  <c r="N189" i="19"/>
  <c r="N187" i="19" s="1"/>
  <c r="L204" i="19"/>
  <c r="O204" i="19" s="1"/>
  <c r="K679" i="19"/>
  <c r="U123" i="20"/>
  <c r="K250" i="20"/>
  <c r="L269" i="20"/>
  <c r="O269" i="20" s="1"/>
  <c r="O272" i="20"/>
  <c r="I303" i="20"/>
  <c r="K303" i="20" s="1"/>
  <c r="R307" i="20"/>
  <c r="U307" i="20" s="1"/>
  <c r="L323" i="20"/>
  <c r="O323" i="20" s="1"/>
  <c r="Q494" i="20"/>
  <c r="T494" i="20" s="1"/>
  <c r="K677" i="20"/>
  <c r="J675" i="20"/>
  <c r="K675" i="20" s="1"/>
  <c r="K783" i="20"/>
  <c r="I239" i="19"/>
  <c r="K239" i="19" s="1"/>
  <c r="Q619" i="19"/>
  <c r="Q617" i="19" s="1"/>
  <c r="L24" i="20"/>
  <c r="L22" i="20" s="1"/>
  <c r="N75" i="20"/>
  <c r="N73" i="20" s="1"/>
  <c r="O123" i="20"/>
  <c r="U179" i="20"/>
  <c r="O182" i="20"/>
  <c r="S189" i="20"/>
  <c r="S187" i="20" s="1"/>
  <c r="I196" i="20"/>
  <c r="K196" i="20" s="1"/>
  <c r="L255" i="20"/>
  <c r="O255" i="20" s="1"/>
  <c r="I266" i="20"/>
  <c r="K266" i="20" s="1"/>
  <c r="R306" i="20"/>
  <c r="R304" i="20" s="1"/>
  <c r="U304" i="20" s="1"/>
  <c r="N306" i="20"/>
  <c r="N304" i="20" s="1"/>
  <c r="O337" i="20"/>
  <c r="L359" i="20"/>
  <c r="L357" i="20" s="1"/>
  <c r="O362" i="20"/>
  <c r="K458" i="20"/>
  <c r="Q497" i="20"/>
  <c r="T497" i="20" s="1"/>
  <c r="U734" i="20"/>
  <c r="U123" i="19"/>
  <c r="N62" i="20"/>
  <c r="N60" i="20" s="1"/>
  <c r="Q75" i="20"/>
  <c r="T75" i="20" s="1"/>
  <c r="S120" i="20"/>
  <c r="U120" i="20" s="1"/>
  <c r="T121" i="20"/>
  <c r="T163" i="20"/>
  <c r="I239" i="20"/>
  <c r="K239" i="20" s="1"/>
  <c r="O309" i="20"/>
  <c r="T499" i="20"/>
  <c r="S646" i="20"/>
  <c r="S694" i="20"/>
  <c r="M189" i="19"/>
  <c r="L121" i="20"/>
  <c r="O121" i="20" s="1"/>
  <c r="U163" i="20"/>
  <c r="O166" i="20"/>
  <c r="N190" i="20"/>
  <c r="P190" i="20" s="1"/>
  <c r="M193" i="20"/>
  <c r="P193" i="20" s="1"/>
  <c r="I281" i="20"/>
  <c r="K281" i="20" s="1"/>
  <c r="J344" i="20"/>
  <c r="S497" i="20"/>
  <c r="K504" i="20"/>
  <c r="K682" i="20"/>
  <c r="R732" i="20"/>
  <c r="U732" i="20" s="1"/>
  <c r="S160" i="15"/>
  <c r="S158" i="15" s="1"/>
  <c r="I117" i="17"/>
  <c r="K117" i="17" s="1"/>
  <c r="R121" i="19"/>
  <c r="U121" i="19" s="1"/>
  <c r="M520" i="19"/>
  <c r="P520" i="19" s="1"/>
  <c r="L289" i="20"/>
  <c r="O289" i="20" s="1"/>
  <c r="J352" i="20"/>
  <c r="R378" i="20"/>
  <c r="U378" i="20" s="1"/>
  <c r="U648" i="20"/>
  <c r="L27" i="20"/>
  <c r="L25" i="20" s="1"/>
  <c r="O25" i="20" s="1"/>
  <c r="U192" i="20"/>
  <c r="R190" i="20"/>
  <c r="U190" i="20" s="1"/>
  <c r="M310" i="20"/>
  <c r="P310" i="20" s="1"/>
  <c r="P312" i="20"/>
  <c r="K372" i="20"/>
  <c r="I366" i="20"/>
  <c r="K366" i="20" s="1"/>
  <c r="S620" i="20"/>
  <c r="T620" i="20" s="1"/>
  <c r="S619" i="20"/>
  <c r="S617" i="20" s="1"/>
  <c r="R176" i="19"/>
  <c r="U176" i="19" s="1"/>
  <c r="R619" i="19"/>
  <c r="R617" i="19" s="1"/>
  <c r="N24" i="20"/>
  <c r="N27" i="20"/>
  <c r="N25" i="20" s="1"/>
  <c r="L47" i="20"/>
  <c r="L51" i="20"/>
  <c r="O51" i="20" s="1"/>
  <c r="K128" i="20"/>
  <c r="K386" i="20"/>
  <c r="T622" i="20"/>
  <c r="K627" i="20"/>
  <c r="U765" i="20"/>
  <c r="R763" i="20"/>
  <c r="U763" i="20" s="1"/>
  <c r="S120" i="17"/>
  <c r="T120" i="17" s="1"/>
  <c r="M189" i="17"/>
  <c r="M187" i="17" s="1"/>
  <c r="Q416" i="18"/>
  <c r="Q414" i="18" s="1"/>
  <c r="T414" i="18" s="1"/>
  <c r="M97" i="19"/>
  <c r="P97" i="19" s="1"/>
  <c r="L101" i="19"/>
  <c r="O101" i="19" s="1"/>
  <c r="Q142" i="19"/>
  <c r="T142" i="19" s="1"/>
  <c r="L180" i="19"/>
  <c r="O180" i="19" s="1"/>
  <c r="I413" i="19"/>
  <c r="K413" i="19" s="1"/>
  <c r="K441" i="19"/>
  <c r="I616" i="19"/>
  <c r="R24" i="20"/>
  <c r="R21" i="20" s="1"/>
  <c r="M51" i="20"/>
  <c r="P51" i="20" s="1"/>
  <c r="L62" i="20"/>
  <c r="O63" i="20"/>
  <c r="L66" i="20"/>
  <c r="O66" i="20" s="1"/>
  <c r="R75" i="20"/>
  <c r="U75" i="20" s="1"/>
  <c r="U78" i="20"/>
  <c r="L124" i="20"/>
  <c r="O124" i="20" s="1"/>
  <c r="S143" i="20"/>
  <c r="O163" i="20"/>
  <c r="S379" i="20"/>
  <c r="S378" i="20"/>
  <c r="S376" i="20" s="1"/>
  <c r="L517" i="20"/>
  <c r="O517" i="20" s="1"/>
  <c r="O519" i="20"/>
  <c r="S763" i="20"/>
  <c r="S762" i="20"/>
  <c r="S760" i="20" s="1"/>
  <c r="R142" i="19"/>
  <c r="U142" i="19" s="1"/>
  <c r="R177" i="19"/>
  <c r="U177" i="19" s="1"/>
  <c r="Q189" i="19"/>
  <c r="T189" i="19" s="1"/>
  <c r="M66" i="20"/>
  <c r="P66" i="20" s="1"/>
  <c r="Q97" i="20"/>
  <c r="Q98" i="20"/>
  <c r="T98" i="20" s="1"/>
  <c r="L160" i="20"/>
  <c r="O160" i="20" s="1"/>
  <c r="S176" i="20"/>
  <c r="S174" i="20" s="1"/>
  <c r="O179" i="20"/>
  <c r="L237" i="20"/>
  <c r="M306" i="20"/>
  <c r="P306" i="20" s="1"/>
  <c r="N307" i="20"/>
  <c r="M340" i="20"/>
  <c r="P340" i="20" s="1"/>
  <c r="K345" i="20"/>
  <c r="P362" i="20"/>
  <c r="M360" i="20"/>
  <c r="P360" i="20" s="1"/>
  <c r="U381" i="20"/>
  <c r="R414" i="20"/>
  <c r="U414" i="20" s="1"/>
  <c r="U416" i="20"/>
  <c r="U696" i="20"/>
  <c r="R694" i="20"/>
  <c r="U694" i="20" s="1"/>
  <c r="Q732" i="20"/>
  <c r="T732" i="20" s="1"/>
  <c r="T765" i="20"/>
  <c r="Q143" i="19"/>
  <c r="T143" i="19" s="1"/>
  <c r="L142" i="19"/>
  <c r="M273" i="19"/>
  <c r="P273" i="19" s="1"/>
  <c r="O50" i="20"/>
  <c r="L75" i="20"/>
  <c r="O75" i="20" s="1"/>
  <c r="O78" i="20"/>
  <c r="O81" i="20"/>
  <c r="R97" i="20"/>
  <c r="U97" i="20" s="1"/>
  <c r="U100" i="20"/>
  <c r="N160" i="20"/>
  <c r="N158" i="20" s="1"/>
  <c r="L176" i="20"/>
  <c r="R189" i="20"/>
  <c r="P192" i="20"/>
  <c r="K210" i="20"/>
  <c r="T272" i="20"/>
  <c r="N323" i="20"/>
  <c r="N321" i="20" s="1"/>
  <c r="J333" i="20"/>
  <c r="K333" i="20" s="1"/>
  <c r="P339" i="20"/>
  <c r="K347" i="20"/>
  <c r="U419" i="20"/>
  <c r="R417" i="20"/>
  <c r="U417" i="20" s="1"/>
  <c r="N517" i="20"/>
  <c r="N516" i="20"/>
  <c r="N514" i="20" s="1"/>
  <c r="R646" i="20"/>
  <c r="L75" i="17"/>
  <c r="L73" i="17" s="1"/>
  <c r="P163" i="19"/>
  <c r="K780" i="19"/>
  <c r="K783" i="19"/>
  <c r="O65" i="20"/>
  <c r="O100" i="20"/>
  <c r="N176" i="20"/>
  <c r="N174" i="20" s="1"/>
  <c r="N269" i="20"/>
  <c r="N267" i="20" s="1"/>
  <c r="P326" i="20"/>
  <c r="R645" i="20"/>
  <c r="U645" i="20" s="1"/>
  <c r="O192" i="20"/>
  <c r="L223" i="20"/>
  <c r="O223" i="20" s="1"/>
  <c r="J702" i="20"/>
  <c r="T270" i="20"/>
  <c r="N285" i="20"/>
  <c r="N283" i="20" s="1"/>
  <c r="S494" i="20"/>
  <c r="K779" i="20"/>
  <c r="K785" i="20"/>
  <c r="S379" i="19"/>
  <c r="T379" i="19" s="1"/>
  <c r="S378" i="19"/>
  <c r="S376" i="19" s="1"/>
  <c r="T381" i="19"/>
  <c r="K772" i="19"/>
  <c r="I758" i="19"/>
  <c r="K758" i="19" s="1"/>
  <c r="P50" i="20"/>
  <c r="M24" i="20"/>
  <c r="M48" i="20"/>
  <c r="P48" i="20" s="1"/>
  <c r="P78" i="20"/>
  <c r="M76" i="20"/>
  <c r="P76" i="20" s="1"/>
  <c r="P81" i="20"/>
  <c r="M27" i="20"/>
  <c r="M79" i="20"/>
  <c r="P79" i="20" s="1"/>
  <c r="U175" i="20"/>
  <c r="L76" i="19"/>
  <c r="O76" i="19" s="1"/>
  <c r="N97" i="19"/>
  <c r="N95" i="19" s="1"/>
  <c r="N146" i="19"/>
  <c r="N142" i="19"/>
  <c r="N140" i="19" s="1"/>
  <c r="T46" i="20"/>
  <c r="Q45" i="20"/>
  <c r="T45" i="20" s="1"/>
  <c r="M75" i="20"/>
  <c r="P75" i="20" s="1"/>
  <c r="P96" i="20"/>
  <c r="T192" i="20"/>
  <c r="Q190" i="20"/>
  <c r="T190" i="20" s="1"/>
  <c r="Q189" i="20"/>
  <c r="Q24" i="20"/>
  <c r="Q22" i="20" s="1"/>
  <c r="L359" i="18"/>
  <c r="L357" i="18" s="1"/>
  <c r="K779" i="18"/>
  <c r="K782" i="18"/>
  <c r="K785" i="18"/>
  <c r="M51" i="19"/>
  <c r="P51" i="19" s="1"/>
  <c r="M79" i="19"/>
  <c r="P79" i="19" s="1"/>
  <c r="I173" i="19"/>
  <c r="K173" i="19" s="1"/>
  <c r="K184" i="19"/>
  <c r="S417" i="19"/>
  <c r="S416" i="19"/>
  <c r="S414" i="19" s="1"/>
  <c r="P65" i="20"/>
  <c r="M63" i="20"/>
  <c r="P63" i="20" s="1"/>
  <c r="T74" i="20"/>
  <c r="U119" i="20"/>
  <c r="R118" i="20"/>
  <c r="M124" i="20"/>
  <c r="P124" i="20" s="1"/>
  <c r="P126" i="20"/>
  <c r="O148" i="20"/>
  <c r="L146" i="20"/>
  <c r="O146" i="20" s="1"/>
  <c r="L24" i="19"/>
  <c r="M98" i="19"/>
  <c r="P98" i="19" s="1"/>
  <c r="N120" i="19"/>
  <c r="N118" i="19" s="1"/>
  <c r="T121" i="19"/>
  <c r="T61" i="20"/>
  <c r="Q60" i="20"/>
  <c r="T60" i="20" s="1"/>
  <c r="O145" i="20"/>
  <c r="L143" i="20"/>
  <c r="O143" i="20" s="1"/>
  <c r="L142" i="20"/>
  <c r="O142" i="20" s="1"/>
  <c r="U159" i="20"/>
  <c r="Q176" i="18"/>
  <c r="T176" i="18" s="1"/>
  <c r="Q763" i="18"/>
  <c r="T763" i="18" s="1"/>
  <c r="M360" i="19"/>
  <c r="P360" i="19" s="1"/>
  <c r="P362" i="19"/>
  <c r="M47" i="20"/>
  <c r="S73" i="20"/>
  <c r="T78" i="20"/>
  <c r="S24" i="20"/>
  <c r="S76" i="20"/>
  <c r="I83" i="20"/>
  <c r="P309" i="19"/>
  <c r="S760" i="19"/>
  <c r="T20" i="20"/>
  <c r="T23" i="20"/>
  <c r="R25" i="20"/>
  <c r="U25" i="20" s="1"/>
  <c r="T26" i="20"/>
  <c r="O46" i="20"/>
  <c r="U46" i="20"/>
  <c r="O61" i="20"/>
  <c r="U61" i="20"/>
  <c r="O74" i="20"/>
  <c r="U74" i="20"/>
  <c r="N97" i="20"/>
  <c r="N95" i="20" s="1"/>
  <c r="M101" i="20"/>
  <c r="P101" i="20" s="1"/>
  <c r="P103" i="20"/>
  <c r="N120" i="20"/>
  <c r="N118" i="20" s="1"/>
  <c r="M121" i="20"/>
  <c r="P121" i="20" s="1"/>
  <c r="P123" i="20"/>
  <c r="Q140" i="20"/>
  <c r="T140" i="20" s="1"/>
  <c r="T141" i="20"/>
  <c r="U145" i="20"/>
  <c r="R143" i="20"/>
  <c r="U143" i="20" s="1"/>
  <c r="L190" i="20"/>
  <c r="P179" i="19"/>
  <c r="K778" i="19"/>
  <c r="K781" i="19"/>
  <c r="K784" i="19"/>
  <c r="R140" i="20"/>
  <c r="U140" i="20" s="1"/>
  <c r="P272" i="20"/>
  <c r="M269" i="20"/>
  <c r="M270" i="20"/>
  <c r="O288" i="20"/>
  <c r="L286" i="20"/>
  <c r="O286" i="20" s="1"/>
  <c r="R189" i="19"/>
  <c r="U189" i="19" s="1"/>
  <c r="U419" i="19"/>
  <c r="U96" i="20"/>
  <c r="I173" i="20"/>
  <c r="K173" i="20" s="1"/>
  <c r="N270" i="20"/>
  <c r="P284" i="20"/>
  <c r="L285" i="20"/>
  <c r="O285" i="20" s="1"/>
  <c r="M176" i="19"/>
  <c r="M174" i="19" s="1"/>
  <c r="R378" i="19"/>
  <c r="U378" i="19" s="1"/>
  <c r="R379" i="19"/>
  <c r="U379" i="19" s="1"/>
  <c r="M98" i="20"/>
  <c r="P98" i="20" s="1"/>
  <c r="P100" i="20"/>
  <c r="O119" i="20"/>
  <c r="O159" i="20"/>
  <c r="M161" i="20"/>
  <c r="P161" i="20" s="1"/>
  <c r="P163" i="20"/>
  <c r="O175" i="20"/>
  <c r="M177" i="20"/>
  <c r="P177" i="20" s="1"/>
  <c r="P179" i="20"/>
  <c r="P268" i="20"/>
  <c r="L164" i="19"/>
  <c r="O164" i="19" s="1"/>
  <c r="I702" i="19"/>
  <c r="I759" i="19"/>
  <c r="K759" i="19" s="1"/>
  <c r="I84" i="20"/>
  <c r="M97" i="20"/>
  <c r="P97" i="20" s="1"/>
  <c r="P119" i="20"/>
  <c r="M120" i="20"/>
  <c r="P120" i="20" s="1"/>
  <c r="I139" i="20"/>
  <c r="K139" i="20" s="1"/>
  <c r="M142" i="20"/>
  <c r="Q143" i="20"/>
  <c r="T143" i="20" s="1"/>
  <c r="T145" i="20"/>
  <c r="K153" i="20"/>
  <c r="P159" i="20"/>
  <c r="M160" i="20"/>
  <c r="P160" i="20" s="1"/>
  <c r="M164" i="20"/>
  <c r="P164" i="20" s="1"/>
  <c r="P166" i="20"/>
  <c r="P175" i="20"/>
  <c r="M176" i="20"/>
  <c r="M180" i="20"/>
  <c r="P180" i="20" s="1"/>
  <c r="P182" i="20"/>
  <c r="L189" i="20"/>
  <c r="L193" i="20"/>
  <c r="O193" i="20" s="1"/>
  <c r="L204" i="20"/>
  <c r="O204" i="20" s="1"/>
  <c r="K243" i="20"/>
  <c r="P288" i="20"/>
  <c r="N324" i="20"/>
  <c r="M336" i="20"/>
  <c r="O377" i="20"/>
  <c r="L376" i="20"/>
  <c r="O376" i="20" s="1"/>
  <c r="S417" i="20"/>
  <c r="S416" i="20"/>
  <c r="S414" i="20" s="1"/>
  <c r="Q334" i="20"/>
  <c r="T334" i="20" s="1"/>
  <c r="N336" i="20"/>
  <c r="N334" i="20" s="1"/>
  <c r="O342" i="20"/>
  <c r="L336" i="20"/>
  <c r="L334" i="20" s="1"/>
  <c r="U394" i="20"/>
  <c r="R393" i="20"/>
  <c r="U393" i="20" s="1"/>
  <c r="Q357" i="20"/>
  <c r="T357" i="20" s="1"/>
  <c r="T359" i="20"/>
  <c r="O394" i="20"/>
  <c r="L393" i="20"/>
  <c r="O393" i="20" s="1"/>
  <c r="P365" i="20"/>
  <c r="M359" i="20"/>
  <c r="M363" i="20"/>
  <c r="P363" i="20" s="1"/>
  <c r="Q379" i="20"/>
  <c r="T379" i="20" s="1"/>
  <c r="T381" i="20"/>
  <c r="Q378" i="20"/>
  <c r="T378" i="20" s="1"/>
  <c r="L244" i="20"/>
  <c r="K261" i="20"/>
  <c r="I254" i="20"/>
  <c r="K254" i="20" s="1"/>
  <c r="R283" i="20"/>
  <c r="U283" i="20" s="1"/>
  <c r="M285" i="20"/>
  <c r="P285" i="20" s="1"/>
  <c r="R321" i="20"/>
  <c r="U321" i="20" s="1"/>
  <c r="M323" i="20"/>
  <c r="O339" i="20"/>
  <c r="N363" i="20"/>
  <c r="N359" i="20"/>
  <c r="N357" i="20" s="1"/>
  <c r="P395" i="20"/>
  <c r="M393" i="20"/>
  <c r="P393" i="20" s="1"/>
  <c r="L234" i="20"/>
  <c r="L324" i="20"/>
  <c r="O324" i="20" s="1"/>
  <c r="U335" i="20"/>
  <c r="R357" i="20"/>
  <c r="U357" i="20" s="1"/>
  <c r="L360" i="20"/>
  <c r="O360" i="20" s="1"/>
  <c r="U377" i="20"/>
  <c r="T377" i="20"/>
  <c r="P378" i="20"/>
  <c r="T394" i="20"/>
  <c r="T415" i="20"/>
  <c r="O495" i="20"/>
  <c r="U499" i="20"/>
  <c r="R496" i="20"/>
  <c r="U496" i="20" s="1"/>
  <c r="O644" i="20"/>
  <c r="L643" i="20"/>
  <c r="O643" i="20" s="1"/>
  <c r="K708" i="20"/>
  <c r="L414" i="20"/>
  <c r="O414" i="20" s="1"/>
  <c r="I424" i="20"/>
  <c r="R600" i="20"/>
  <c r="U600" i="20" s="1"/>
  <c r="T696" i="20"/>
  <c r="Q693" i="20"/>
  <c r="Q694" i="20"/>
  <c r="T694" i="20" s="1"/>
  <c r="K704" i="20"/>
  <c r="I702" i="20"/>
  <c r="K702" i="20" s="1"/>
  <c r="K778" i="20"/>
  <c r="K784" i="20"/>
  <c r="M494" i="20"/>
  <c r="P494" i="20" s="1"/>
  <c r="M516" i="20"/>
  <c r="S556" i="20"/>
  <c r="U622" i="20"/>
  <c r="R619" i="20"/>
  <c r="R620" i="20"/>
  <c r="Q514" i="20"/>
  <c r="T514" i="20" s="1"/>
  <c r="O515" i="20"/>
  <c r="O522" i="20"/>
  <c r="L516" i="20"/>
  <c r="O516" i="20" s="1"/>
  <c r="P557" i="20"/>
  <c r="M556" i="20"/>
  <c r="P556" i="20" s="1"/>
  <c r="K633" i="20"/>
  <c r="K632" i="20"/>
  <c r="K630" i="20"/>
  <c r="K631" i="20"/>
  <c r="T648" i="20"/>
  <c r="Q645" i="20"/>
  <c r="Q646" i="20"/>
  <c r="K674" i="20"/>
  <c r="U692" i="20"/>
  <c r="R691" i="20"/>
  <c r="U691" i="20" s="1"/>
  <c r="L715" i="20"/>
  <c r="O715" i="20" s="1"/>
  <c r="I759" i="20"/>
  <c r="K759" i="20" s="1"/>
  <c r="K774" i="20"/>
  <c r="K782" i="20"/>
  <c r="P618" i="20"/>
  <c r="M617" i="20"/>
  <c r="P617" i="20" s="1"/>
  <c r="O692" i="20"/>
  <c r="L691" i="20"/>
  <c r="O691" i="20" s="1"/>
  <c r="S731" i="20"/>
  <c r="S729" i="20" s="1"/>
  <c r="S732" i="20"/>
  <c r="N494" i="20"/>
  <c r="J504" i="20"/>
  <c r="J493" i="20" s="1"/>
  <c r="R535" i="20"/>
  <c r="U535" i="20" s="1"/>
  <c r="L577" i="20"/>
  <c r="O577" i="20" s="1"/>
  <c r="U644" i="20"/>
  <c r="K780" i="20"/>
  <c r="Q731" i="20"/>
  <c r="R762" i="20"/>
  <c r="I173" i="16"/>
  <c r="K173" i="16" s="1"/>
  <c r="P161" i="19"/>
  <c r="S177" i="19"/>
  <c r="N193" i="19"/>
  <c r="L215" i="19"/>
  <c r="O215" i="19" s="1"/>
  <c r="S306" i="17"/>
  <c r="T306" i="17" s="1"/>
  <c r="O76" i="18"/>
  <c r="M189" i="18"/>
  <c r="M187" i="18" s="1"/>
  <c r="L360" i="18"/>
  <c r="O360" i="18" s="1"/>
  <c r="K369" i="18"/>
  <c r="K366" i="18"/>
  <c r="L63" i="19"/>
  <c r="O63" i="19" s="1"/>
  <c r="L79" i="19"/>
  <c r="O79" i="19" s="1"/>
  <c r="L160" i="19"/>
  <c r="L158" i="19" s="1"/>
  <c r="N176" i="19"/>
  <c r="M180" i="19"/>
  <c r="P180" i="19" s="1"/>
  <c r="K230" i="19"/>
  <c r="L235" i="19"/>
  <c r="N359" i="19"/>
  <c r="N357" i="19" s="1"/>
  <c r="L237" i="18"/>
  <c r="M62" i="19"/>
  <c r="M60" i="19" s="1"/>
  <c r="M121" i="19"/>
  <c r="P121" i="19" s="1"/>
  <c r="I139" i="19"/>
  <c r="K139" i="19" s="1"/>
  <c r="K168" i="19"/>
  <c r="M177" i="19"/>
  <c r="P177" i="19" s="1"/>
  <c r="L189" i="19"/>
  <c r="O312" i="19"/>
  <c r="K345" i="19"/>
  <c r="K631" i="19"/>
  <c r="S691" i="19"/>
  <c r="S762" i="18"/>
  <c r="S760" i="18" s="1"/>
  <c r="L75" i="19"/>
  <c r="L73" i="19" s="1"/>
  <c r="O73" i="19" s="1"/>
  <c r="L120" i="19"/>
  <c r="O123" i="19"/>
  <c r="L124" i="19"/>
  <c r="O124" i="19" s="1"/>
  <c r="L143" i="19"/>
  <c r="O143" i="19" s="1"/>
  <c r="S160" i="19"/>
  <c r="S158" i="19" s="1"/>
  <c r="I169" i="19"/>
  <c r="K169" i="19" s="1"/>
  <c r="S174" i="19"/>
  <c r="T192" i="19"/>
  <c r="N323" i="19"/>
  <c r="N321" i="19" s="1"/>
  <c r="K632" i="19"/>
  <c r="S694" i="19"/>
  <c r="T694" i="19" s="1"/>
  <c r="N75" i="18"/>
  <c r="N73" i="18" s="1"/>
  <c r="P182" i="18"/>
  <c r="L235" i="18"/>
  <c r="K347" i="18"/>
  <c r="J352" i="18"/>
  <c r="M66" i="19"/>
  <c r="P66" i="19" s="1"/>
  <c r="M75" i="19"/>
  <c r="P75" i="19" s="1"/>
  <c r="M120" i="19"/>
  <c r="P120" i="19" s="1"/>
  <c r="M124" i="19"/>
  <c r="P124" i="19" s="1"/>
  <c r="T270" i="19"/>
  <c r="P288" i="19"/>
  <c r="J352" i="19"/>
  <c r="S496" i="19"/>
  <c r="S494" i="19" s="1"/>
  <c r="K633" i="19"/>
  <c r="T696" i="19"/>
  <c r="R158" i="19"/>
  <c r="U158" i="19" s="1"/>
  <c r="U160" i="19"/>
  <c r="U100" i="19"/>
  <c r="R97" i="19"/>
  <c r="U97" i="19" s="1"/>
  <c r="S75" i="19"/>
  <c r="S73" i="19" s="1"/>
  <c r="S24" i="19"/>
  <c r="S21" i="19" s="1"/>
  <c r="M120" i="18"/>
  <c r="L120" i="18"/>
  <c r="O120" i="18" s="1"/>
  <c r="M124" i="18"/>
  <c r="P124" i="18" s="1"/>
  <c r="J333" i="18"/>
  <c r="K333" i="18" s="1"/>
  <c r="T419" i="18"/>
  <c r="S496" i="18"/>
  <c r="S494" i="18" s="1"/>
  <c r="R98" i="19"/>
  <c r="U98" i="19" s="1"/>
  <c r="O100" i="19"/>
  <c r="L97" i="19"/>
  <c r="T123" i="19"/>
  <c r="Q120" i="19"/>
  <c r="N160" i="19"/>
  <c r="N158" i="19" s="1"/>
  <c r="K387" i="19"/>
  <c r="J375" i="19"/>
  <c r="N97" i="7"/>
  <c r="N95" i="7" s="1"/>
  <c r="S75" i="17"/>
  <c r="S73" i="17" s="1"/>
  <c r="O522" i="17"/>
  <c r="M306" i="18"/>
  <c r="M304" i="18" s="1"/>
  <c r="P304" i="18" s="1"/>
  <c r="P65" i="19"/>
  <c r="S76" i="19"/>
  <c r="S95" i="19"/>
  <c r="S98" i="19"/>
  <c r="K128" i="19"/>
  <c r="S143" i="19"/>
  <c r="S142" i="19"/>
  <c r="S140" i="19" s="1"/>
  <c r="Q176" i="19"/>
  <c r="T179" i="19"/>
  <c r="L236" i="19"/>
  <c r="O362" i="19"/>
  <c r="L360" i="19"/>
  <c r="O360" i="19" s="1"/>
  <c r="R270" i="19"/>
  <c r="U270" i="19" s="1"/>
  <c r="R269" i="19"/>
  <c r="R267" i="19" s="1"/>
  <c r="L176" i="16"/>
  <c r="L174" i="16" s="1"/>
  <c r="L180" i="16"/>
  <c r="O180" i="16" s="1"/>
  <c r="L359" i="16"/>
  <c r="L357" i="16" s="1"/>
  <c r="L286" i="17"/>
  <c r="O286" i="17" s="1"/>
  <c r="P78" i="18"/>
  <c r="M98" i="18"/>
  <c r="P98" i="18" s="1"/>
  <c r="M101" i="18"/>
  <c r="P101" i="18" s="1"/>
  <c r="P63" i="19"/>
  <c r="Q160" i="19"/>
  <c r="T163" i="19"/>
  <c r="K294" i="19"/>
  <c r="I281" i="19"/>
  <c r="K281" i="19" s="1"/>
  <c r="O342" i="19"/>
  <c r="L27" i="19"/>
  <c r="O27" i="19" s="1"/>
  <c r="L340" i="19"/>
  <c r="O340" i="19" s="1"/>
  <c r="R75" i="19"/>
  <c r="U75" i="19" s="1"/>
  <c r="R24" i="19"/>
  <c r="R21" i="19" s="1"/>
  <c r="U78" i="19"/>
  <c r="R379" i="15"/>
  <c r="U379" i="15" s="1"/>
  <c r="I93" i="18"/>
  <c r="K93" i="18" s="1"/>
  <c r="T100" i="19"/>
  <c r="U163" i="19"/>
  <c r="R161" i="19"/>
  <c r="U161" i="19" s="1"/>
  <c r="M27" i="19"/>
  <c r="P27" i="19" s="1"/>
  <c r="M285" i="19"/>
  <c r="P285" i="19" s="1"/>
  <c r="P291" i="19"/>
  <c r="M289" i="19"/>
  <c r="P289" i="19" s="1"/>
  <c r="P182" i="19"/>
  <c r="O192" i="19"/>
  <c r="L237" i="19"/>
  <c r="J333" i="19"/>
  <c r="K333" i="19" s="1"/>
  <c r="R417" i="19"/>
  <c r="U417" i="19" s="1"/>
  <c r="J676" i="19"/>
  <c r="K676" i="19" s="1"/>
  <c r="I690" i="19"/>
  <c r="K690" i="19" s="1"/>
  <c r="K708" i="19"/>
  <c r="N75" i="19"/>
  <c r="N73" i="19" s="1"/>
  <c r="I83" i="19"/>
  <c r="Q97" i="19"/>
  <c r="O163" i="19"/>
  <c r="O179" i="19"/>
  <c r="I214" i="19"/>
  <c r="K214" i="19" s="1"/>
  <c r="Q307" i="19"/>
  <c r="T307" i="19" s="1"/>
  <c r="T309" i="19"/>
  <c r="L327" i="19"/>
  <c r="O327" i="19" s="1"/>
  <c r="M340" i="19"/>
  <c r="P340" i="19" s="1"/>
  <c r="O365" i="19"/>
  <c r="R414" i="19"/>
  <c r="U414" i="19" s="1"/>
  <c r="L146" i="19"/>
  <c r="O146" i="19" s="1"/>
  <c r="L177" i="19"/>
  <c r="O177" i="19" s="1"/>
  <c r="K250" i="19"/>
  <c r="I282" i="19"/>
  <c r="K282" i="19" s="1"/>
  <c r="M336" i="19"/>
  <c r="M334" i="19" s="1"/>
  <c r="P334" i="19" s="1"/>
  <c r="K347" i="19"/>
  <c r="Q378" i="19"/>
  <c r="T419" i="19"/>
  <c r="Q417" i="19"/>
  <c r="T417" i="19" s="1"/>
  <c r="Q416" i="19"/>
  <c r="T416" i="19" s="1"/>
  <c r="Q645" i="19"/>
  <c r="Q643" i="19" s="1"/>
  <c r="T648" i="19"/>
  <c r="S646" i="19"/>
  <c r="T646" i="19" s="1"/>
  <c r="S732" i="19"/>
  <c r="T732" i="19" s="1"/>
  <c r="S731" i="19"/>
  <c r="U731" i="19" s="1"/>
  <c r="O161" i="19"/>
  <c r="O190" i="19"/>
  <c r="L255" i="19"/>
  <c r="O255" i="19" s="1"/>
  <c r="K370" i="19"/>
  <c r="I457" i="19"/>
  <c r="K457" i="19" s="1"/>
  <c r="K458" i="19"/>
  <c r="P50" i="19"/>
  <c r="Q24" i="19"/>
  <c r="K710" i="19"/>
  <c r="J504" i="19"/>
  <c r="J493" i="19" s="1"/>
  <c r="K677" i="19"/>
  <c r="K704" i="19"/>
  <c r="U734" i="19"/>
  <c r="L269" i="14"/>
  <c r="O269" i="14" s="1"/>
  <c r="L273" i="14"/>
  <c r="O273" i="14" s="1"/>
  <c r="Q619" i="15"/>
  <c r="Q617" i="15" s="1"/>
  <c r="P362" i="16"/>
  <c r="M520" i="16"/>
  <c r="P520" i="16" s="1"/>
  <c r="L76" i="17"/>
  <c r="L520" i="18"/>
  <c r="O520" i="18" s="1"/>
  <c r="O522" i="18"/>
  <c r="O192" i="17"/>
  <c r="N189" i="17"/>
  <c r="N187" i="17" s="1"/>
  <c r="M164" i="18"/>
  <c r="P164" i="18" s="1"/>
  <c r="M160" i="18"/>
  <c r="K170" i="18"/>
  <c r="I157" i="18"/>
  <c r="K157" i="18" s="1"/>
  <c r="K662" i="13"/>
  <c r="Q307" i="18"/>
  <c r="T307" i="18" s="1"/>
  <c r="Q306" i="18"/>
  <c r="T306" i="18" s="1"/>
  <c r="P20" i="19"/>
  <c r="L176" i="17"/>
  <c r="L174" i="17" s="1"/>
  <c r="U78" i="18"/>
  <c r="R76" i="18"/>
  <c r="U76" i="18" s="1"/>
  <c r="R75" i="18"/>
  <c r="R73" i="18" s="1"/>
  <c r="R417" i="18"/>
  <c r="U417" i="18" s="1"/>
  <c r="U419" i="18"/>
  <c r="O275" i="18"/>
  <c r="L273" i="18"/>
  <c r="O273" i="18" s="1"/>
  <c r="M164" i="13"/>
  <c r="P164" i="13" s="1"/>
  <c r="O275" i="17"/>
  <c r="L273" i="17"/>
  <c r="O273" i="17" s="1"/>
  <c r="K154" i="18"/>
  <c r="I139" i="18"/>
  <c r="K139" i="18" s="1"/>
  <c r="M177" i="18"/>
  <c r="M176" i="18"/>
  <c r="M174" i="18" s="1"/>
  <c r="M306" i="17"/>
  <c r="M304" i="17" s="1"/>
  <c r="M47" i="18"/>
  <c r="M45" i="18" s="1"/>
  <c r="Q143" i="18"/>
  <c r="T143" i="18" s="1"/>
  <c r="L236" i="18"/>
  <c r="N306" i="18"/>
  <c r="N304" i="18" s="1"/>
  <c r="K370" i="18"/>
  <c r="K708" i="18"/>
  <c r="T20" i="19"/>
  <c r="U27" i="19"/>
  <c r="U74" i="19"/>
  <c r="P119" i="19"/>
  <c r="O145" i="19"/>
  <c r="L223" i="19"/>
  <c r="O223" i="19" s="1"/>
  <c r="K277" i="19"/>
  <c r="I266" i="19"/>
  <c r="K266" i="19" s="1"/>
  <c r="Q304" i="19"/>
  <c r="T305" i="19"/>
  <c r="M327" i="19"/>
  <c r="P327" i="19" s="1"/>
  <c r="L223" i="18"/>
  <c r="O223" i="18" s="1"/>
  <c r="P339" i="18"/>
  <c r="K780" i="18"/>
  <c r="K783" i="18"/>
  <c r="N20" i="19"/>
  <c r="K86" i="19"/>
  <c r="I84" i="19"/>
  <c r="P145" i="19"/>
  <c r="M143" i="19"/>
  <c r="P143" i="19" s="1"/>
  <c r="K243" i="19"/>
  <c r="L273" i="19"/>
  <c r="O273" i="19" s="1"/>
  <c r="O275" i="19"/>
  <c r="P326" i="19"/>
  <c r="M323" i="19"/>
  <c r="M324" i="19"/>
  <c r="P324" i="19" s="1"/>
  <c r="K780" i="17"/>
  <c r="K783" i="17"/>
  <c r="N269" i="18"/>
  <c r="N267" i="18" s="1"/>
  <c r="L516" i="18"/>
  <c r="O516" i="18" s="1"/>
  <c r="P148" i="19"/>
  <c r="M146" i="19"/>
  <c r="P146" i="19" s="1"/>
  <c r="T188" i="19"/>
  <c r="I196" i="19"/>
  <c r="K196" i="19" s="1"/>
  <c r="N285" i="19"/>
  <c r="N283" i="19" s="1"/>
  <c r="N286" i="19"/>
  <c r="U358" i="19"/>
  <c r="R357" i="19"/>
  <c r="U357" i="19" s="1"/>
  <c r="M24" i="19"/>
  <c r="M22" i="19" s="1"/>
  <c r="Q45" i="19"/>
  <c r="T45" i="19" s="1"/>
  <c r="O65" i="19"/>
  <c r="O68" i="19"/>
  <c r="L62" i="19"/>
  <c r="T141" i="19"/>
  <c r="U192" i="19"/>
  <c r="S190" i="19"/>
  <c r="U190" i="19" s="1"/>
  <c r="M193" i="19"/>
  <c r="P193" i="19" s="1"/>
  <c r="P195" i="19"/>
  <c r="K261" i="19"/>
  <c r="I254" i="19"/>
  <c r="K254" i="19" s="1"/>
  <c r="K331" i="19"/>
  <c r="I320" i="19"/>
  <c r="K320" i="19" s="1"/>
  <c r="O358" i="19"/>
  <c r="S620" i="17"/>
  <c r="U620" i="17" s="1"/>
  <c r="S98" i="18"/>
  <c r="M142" i="18"/>
  <c r="P142" i="18" s="1"/>
  <c r="I173" i="18"/>
  <c r="K173" i="18" s="1"/>
  <c r="L244" i="18"/>
  <c r="O244" i="18" s="1"/>
  <c r="M363" i="18"/>
  <c r="P363" i="18" s="1"/>
  <c r="J703" i="18"/>
  <c r="N24" i="19"/>
  <c r="N22" i="19" s="1"/>
  <c r="P26" i="19"/>
  <c r="O46" i="19"/>
  <c r="M47" i="19"/>
  <c r="O50" i="19"/>
  <c r="O53" i="19"/>
  <c r="L47" i="19"/>
  <c r="L45" i="19" s="1"/>
  <c r="N62" i="19"/>
  <c r="N60" i="19" s="1"/>
  <c r="K110" i="19"/>
  <c r="U141" i="19"/>
  <c r="S187" i="19"/>
  <c r="M190" i="19"/>
  <c r="P190" i="19" s="1"/>
  <c r="P192" i="19"/>
  <c r="T272" i="19"/>
  <c r="Q269" i="19"/>
  <c r="L289" i="19"/>
  <c r="O289" i="19" s="1"/>
  <c r="L285" i="19"/>
  <c r="O291" i="19"/>
  <c r="U323" i="19"/>
  <c r="R321" i="19"/>
  <c r="U321" i="19" s="1"/>
  <c r="M79" i="18"/>
  <c r="P79" i="18" s="1"/>
  <c r="N120" i="18"/>
  <c r="N118" i="18" s="1"/>
  <c r="M146" i="18"/>
  <c r="P146" i="18" s="1"/>
  <c r="N160" i="18"/>
  <c r="N158" i="18" s="1"/>
  <c r="M336" i="18"/>
  <c r="M334" i="18" s="1"/>
  <c r="L20" i="19"/>
  <c r="S20" i="19"/>
  <c r="N27" i="19"/>
  <c r="N25" i="19" s="1"/>
  <c r="N47" i="19"/>
  <c r="N45" i="19" s="1"/>
  <c r="Q75" i="19"/>
  <c r="T75" i="19" s="1"/>
  <c r="T78" i="19"/>
  <c r="P96" i="19"/>
  <c r="O141" i="19"/>
  <c r="P159" i="19"/>
  <c r="L244" i="19"/>
  <c r="L234" i="19"/>
  <c r="T335" i="19"/>
  <c r="Q334" i="19"/>
  <c r="T334" i="19" s="1"/>
  <c r="I203" i="19"/>
  <c r="K203" i="19" s="1"/>
  <c r="N270" i="19"/>
  <c r="P270" i="19" s="1"/>
  <c r="P272" i="19"/>
  <c r="S283" i="19"/>
  <c r="L286" i="19"/>
  <c r="O286" i="19" s="1"/>
  <c r="I303" i="19"/>
  <c r="K303" i="19" s="1"/>
  <c r="L324" i="19"/>
  <c r="O324" i="19" s="1"/>
  <c r="U335" i="19"/>
  <c r="P339" i="19"/>
  <c r="I366" i="19"/>
  <c r="K366" i="19" s="1"/>
  <c r="I375" i="19"/>
  <c r="R393" i="19"/>
  <c r="U393" i="19" s="1"/>
  <c r="P394" i="19"/>
  <c r="K504" i="19"/>
  <c r="I493" i="19"/>
  <c r="K493" i="19" s="1"/>
  <c r="K507" i="19"/>
  <c r="U515" i="19"/>
  <c r="M517" i="19"/>
  <c r="P517" i="19" s="1"/>
  <c r="U268" i="19"/>
  <c r="U272" i="19"/>
  <c r="L306" i="19"/>
  <c r="R306" i="19"/>
  <c r="L336" i="19"/>
  <c r="O336" i="19" s="1"/>
  <c r="J344" i="19"/>
  <c r="P365" i="19"/>
  <c r="M359" i="19"/>
  <c r="P495" i="19"/>
  <c r="M494" i="19"/>
  <c r="P494" i="19" s="1"/>
  <c r="L269" i="19"/>
  <c r="O269" i="19" s="1"/>
  <c r="S269" i="19"/>
  <c r="S267" i="19" s="1"/>
  <c r="O272" i="19"/>
  <c r="M306" i="19"/>
  <c r="P306" i="19" s="1"/>
  <c r="U309" i="19"/>
  <c r="P312" i="19"/>
  <c r="T322" i="19"/>
  <c r="O339" i="19"/>
  <c r="L376" i="19"/>
  <c r="O376" i="19" s="1"/>
  <c r="P415" i="19"/>
  <c r="M516" i="19"/>
  <c r="N517" i="19"/>
  <c r="N516" i="19"/>
  <c r="N514" i="19" s="1"/>
  <c r="L323" i="19"/>
  <c r="T499" i="19"/>
  <c r="Q496" i="19"/>
  <c r="U499" i="19"/>
  <c r="R496" i="19"/>
  <c r="R497" i="19"/>
  <c r="U497" i="19" s="1"/>
  <c r="O515" i="19"/>
  <c r="T515" i="19"/>
  <c r="Q514" i="19"/>
  <c r="T514" i="19" s="1"/>
  <c r="L517" i="19"/>
  <c r="O517" i="19" s="1"/>
  <c r="O519" i="19"/>
  <c r="Q535" i="19"/>
  <c r="T535" i="19" s="1"/>
  <c r="Q556" i="19"/>
  <c r="T556" i="19" s="1"/>
  <c r="U622" i="19"/>
  <c r="T622" i="19"/>
  <c r="S620" i="19"/>
  <c r="T620" i="19" s="1"/>
  <c r="S619" i="19"/>
  <c r="M643" i="19"/>
  <c r="P643" i="19" s="1"/>
  <c r="P644" i="19"/>
  <c r="U536" i="19"/>
  <c r="R535" i="19"/>
  <c r="U535" i="19" s="1"/>
  <c r="M691" i="19"/>
  <c r="P691" i="19" s="1"/>
  <c r="P692" i="19"/>
  <c r="O536" i="19"/>
  <c r="L535" i="19"/>
  <c r="O535" i="19" s="1"/>
  <c r="R646" i="19"/>
  <c r="U648" i="19"/>
  <c r="R645" i="19"/>
  <c r="M535" i="19"/>
  <c r="P535" i="19" s="1"/>
  <c r="Q577" i="19"/>
  <c r="T577" i="19" s="1"/>
  <c r="T578" i="19"/>
  <c r="Q600" i="19"/>
  <c r="T600" i="19" s="1"/>
  <c r="T601" i="19"/>
  <c r="J675" i="19"/>
  <c r="K675" i="19" s="1"/>
  <c r="L577" i="19"/>
  <c r="O577" i="19" s="1"/>
  <c r="R577" i="19"/>
  <c r="U577" i="19" s="1"/>
  <c r="L600" i="19"/>
  <c r="O600" i="19" s="1"/>
  <c r="R600" i="19"/>
  <c r="U600" i="19" s="1"/>
  <c r="R693" i="19"/>
  <c r="U696" i="19"/>
  <c r="L715" i="19"/>
  <c r="O715" i="19" s="1"/>
  <c r="R715" i="19"/>
  <c r="U715" i="19" s="1"/>
  <c r="T716" i="19"/>
  <c r="L729" i="19"/>
  <c r="O729" i="19" s="1"/>
  <c r="R729" i="19"/>
  <c r="T730" i="19"/>
  <c r="R732" i="19"/>
  <c r="M760" i="19"/>
  <c r="P760" i="19" s="1"/>
  <c r="O761" i="19"/>
  <c r="U761" i="19"/>
  <c r="Q762" i="19"/>
  <c r="S763" i="19"/>
  <c r="U763" i="19" s="1"/>
  <c r="T765" i="19"/>
  <c r="J627" i="19"/>
  <c r="S645" i="19"/>
  <c r="M715" i="19"/>
  <c r="P715" i="19" s="1"/>
  <c r="M729" i="19"/>
  <c r="P729" i="19" s="1"/>
  <c r="Q731" i="19"/>
  <c r="T734" i="19"/>
  <c r="R762" i="19"/>
  <c r="U762" i="19" s="1"/>
  <c r="U765" i="19"/>
  <c r="M617" i="19"/>
  <c r="P617" i="19" s="1"/>
  <c r="J702" i="19"/>
  <c r="S160" i="18"/>
  <c r="S158" i="18" s="1"/>
  <c r="S161" i="18"/>
  <c r="N142" i="17"/>
  <c r="N140" i="17" s="1"/>
  <c r="R267" i="17"/>
  <c r="K424" i="17"/>
  <c r="O65" i="18"/>
  <c r="M97" i="18"/>
  <c r="P97" i="18" s="1"/>
  <c r="I94" i="18"/>
  <c r="K94" i="18" s="1"/>
  <c r="K110" i="18"/>
  <c r="P195" i="18"/>
  <c r="M193" i="18"/>
  <c r="P193" i="18" s="1"/>
  <c r="O291" i="18"/>
  <c r="L289" i="18"/>
  <c r="O289" i="18" s="1"/>
  <c r="N324" i="18"/>
  <c r="P324" i="18" s="1"/>
  <c r="P326" i="18"/>
  <c r="I758" i="16"/>
  <c r="K758" i="16" s="1"/>
  <c r="S378" i="17"/>
  <c r="S376" i="17" s="1"/>
  <c r="N62" i="18"/>
  <c r="U192" i="18"/>
  <c r="R190" i="18"/>
  <c r="I138" i="16"/>
  <c r="K138" i="16" s="1"/>
  <c r="K153" i="18"/>
  <c r="I138" i="18"/>
  <c r="K138" i="18" s="1"/>
  <c r="Q619" i="18"/>
  <c r="Q617" i="18" s="1"/>
  <c r="R75" i="17"/>
  <c r="O81" i="17"/>
  <c r="T78" i="18"/>
  <c r="R98" i="18"/>
  <c r="U98" i="18" s="1"/>
  <c r="I303" i="18"/>
  <c r="K303" i="18" s="1"/>
  <c r="K315" i="18"/>
  <c r="M340" i="18"/>
  <c r="P340" i="18" s="1"/>
  <c r="P342" i="18"/>
  <c r="M79" i="17"/>
  <c r="P79" i="17" s="1"/>
  <c r="I94" i="17"/>
  <c r="K94" i="17" s="1"/>
  <c r="S269" i="17"/>
  <c r="S267" i="17" s="1"/>
  <c r="L306" i="17"/>
  <c r="L304" i="17" s="1"/>
  <c r="I375" i="17"/>
  <c r="K375" i="17" s="1"/>
  <c r="K441" i="17"/>
  <c r="K679" i="17"/>
  <c r="R24" i="18"/>
  <c r="R21" i="18" s="1"/>
  <c r="P50" i="18"/>
  <c r="S142" i="18"/>
  <c r="S140" i="18" s="1"/>
  <c r="S143" i="18"/>
  <c r="N97" i="18"/>
  <c r="N95" i="18" s="1"/>
  <c r="N189" i="18"/>
  <c r="N187" i="18" s="1"/>
  <c r="O195" i="18"/>
  <c r="L204" i="18"/>
  <c r="O204" i="18" s="1"/>
  <c r="M289" i="18"/>
  <c r="P289" i="18" s="1"/>
  <c r="T309" i="18"/>
  <c r="O337" i="18"/>
  <c r="L363" i="18"/>
  <c r="O363" i="18" s="1"/>
  <c r="I375" i="18"/>
  <c r="K375" i="18" s="1"/>
  <c r="K778" i="18"/>
  <c r="K781" i="18"/>
  <c r="K784" i="18"/>
  <c r="Q142" i="18"/>
  <c r="T142" i="18" s="1"/>
  <c r="P145" i="18"/>
  <c r="P192" i="18"/>
  <c r="Q269" i="18"/>
  <c r="Q267" i="18" s="1"/>
  <c r="L285" i="18"/>
  <c r="O285" i="18" s="1"/>
  <c r="P288" i="18"/>
  <c r="M337" i="18"/>
  <c r="P337" i="18" s="1"/>
  <c r="S176" i="18"/>
  <c r="S174" i="18" s="1"/>
  <c r="I196" i="18"/>
  <c r="K196" i="18" s="1"/>
  <c r="I222" i="18"/>
  <c r="K222" i="18" s="1"/>
  <c r="L269" i="18"/>
  <c r="M285" i="18"/>
  <c r="P285" i="18" s="1"/>
  <c r="Q143" i="16"/>
  <c r="T143" i="16" s="1"/>
  <c r="K706" i="16"/>
  <c r="L215" i="17"/>
  <c r="O215" i="17" s="1"/>
  <c r="Q269" i="17"/>
  <c r="R379" i="17"/>
  <c r="U379" i="17" s="1"/>
  <c r="N47" i="18"/>
  <c r="N45" i="18" s="1"/>
  <c r="O63" i="18"/>
  <c r="N66" i="18"/>
  <c r="O68" i="18"/>
  <c r="N79" i="18"/>
  <c r="O81" i="18"/>
  <c r="I84" i="18"/>
  <c r="I72" i="18" s="1"/>
  <c r="K72" i="18" s="1"/>
  <c r="I117" i="18"/>
  <c r="K117" i="18" s="1"/>
  <c r="P123" i="18"/>
  <c r="N142" i="18"/>
  <c r="N140" i="18" s="1"/>
  <c r="R176" i="18"/>
  <c r="U176" i="18" s="1"/>
  <c r="R189" i="18"/>
  <c r="S190" i="18"/>
  <c r="I214" i="18"/>
  <c r="K214" i="18" s="1"/>
  <c r="I243" i="18"/>
  <c r="K243" i="18" s="1"/>
  <c r="P309" i="18"/>
  <c r="N323" i="18"/>
  <c r="N321" i="18" s="1"/>
  <c r="N359" i="18"/>
  <c r="N357" i="18" s="1"/>
  <c r="P362" i="18"/>
  <c r="K441" i="18"/>
  <c r="Q142" i="17"/>
  <c r="T142" i="17" s="1"/>
  <c r="L27" i="18"/>
  <c r="O50" i="18"/>
  <c r="L51" i="18"/>
  <c r="O51" i="18" s="1"/>
  <c r="P65" i="18"/>
  <c r="K86" i="18"/>
  <c r="Q97" i="18"/>
  <c r="T97" i="18" s="1"/>
  <c r="T100" i="18"/>
  <c r="S120" i="18"/>
  <c r="S118" i="18" s="1"/>
  <c r="T121" i="18"/>
  <c r="Q160" i="18"/>
  <c r="T160" i="18" s="1"/>
  <c r="T163" i="18"/>
  <c r="T179" i="18"/>
  <c r="O190" i="18"/>
  <c r="S306" i="18"/>
  <c r="S304" i="18" s="1"/>
  <c r="J344" i="18"/>
  <c r="S731" i="18"/>
  <c r="S729" i="18" s="1"/>
  <c r="T732" i="18"/>
  <c r="K774" i="18"/>
  <c r="I759" i="18"/>
  <c r="K759" i="18" s="1"/>
  <c r="P65" i="17"/>
  <c r="N120" i="17"/>
  <c r="N118" i="17" s="1"/>
  <c r="O126" i="17"/>
  <c r="R142" i="17"/>
  <c r="U142" i="17" s="1"/>
  <c r="T145" i="17"/>
  <c r="R177" i="17"/>
  <c r="U177" i="17" s="1"/>
  <c r="S189" i="17"/>
  <c r="U189" i="17" s="1"/>
  <c r="L285" i="17"/>
  <c r="O285" i="17" s="1"/>
  <c r="M24" i="18"/>
  <c r="M22" i="18" s="1"/>
  <c r="P63" i="18"/>
  <c r="L75" i="18"/>
  <c r="L73" i="18" s="1"/>
  <c r="O78" i="18"/>
  <c r="S24" i="18"/>
  <c r="S21" i="18" s="1"/>
  <c r="O145" i="18"/>
  <c r="U145" i="18"/>
  <c r="R160" i="18"/>
  <c r="U160" i="18" s="1"/>
  <c r="P166" i="18"/>
  <c r="L189" i="18"/>
  <c r="O192" i="18"/>
  <c r="I241" i="18"/>
  <c r="K241" i="18" s="1"/>
  <c r="L307" i="18"/>
  <c r="O307" i="18" s="1"/>
  <c r="J675" i="18"/>
  <c r="L120" i="17"/>
  <c r="O120" i="17" s="1"/>
  <c r="R187" i="17"/>
  <c r="I222" i="17"/>
  <c r="K222" i="17" s="1"/>
  <c r="M323" i="17"/>
  <c r="P323" i="17" s="1"/>
  <c r="L327" i="17"/>
  <c r="O327" i="17" s="1"/>
  <c r="P76" i="18"/>
  <c r="N121" i="18"/>
  <c r="L160" i="18"/>
  <c r="O160" i="18" s="1"/>
  <c r="L176" i="18"/>
  <c r="L174" i="18" s="1"/>
  <c r="N336" i="18"/>
  <c r="N334" i="18" s="1"/>
  <c r="K630" i="18"/>
  <c r="K631" i="18"/>
  <c r="K632" i="18"/>
  <c r="J675" i="16"/>
  <c r="Q121" i="17"/>
  <c r="T121" i="17" s="1"/>
  <c r="K345" i="17"/>
  <c r="K372" i="17"/>
  <c r="N24" i="18"/>
  <c r="N22" i="18" s="1"/>
  <c r="N48" i="18"/>
  <c r="L62" i="18"/>
  <c r="L60" i="18" s="1"/>
  <c r="I83" i="18"/>
  <c r="K83" i="18" s="1"/>
  <c r="L142" i="18"/>
  <c r="R142" i="18"/>
  <c r="L255" i="18"/>
  <c r="O255" i="18" s="1"/>
  <c r="L306" i="18"/>
  <c r="O306" i="18" s="1"/>
  <c r="K345" i="18"/>
  <c r="P360" i="18"/>
  <c r="K690" i="18"/>
  <c r="J676" i="18"/>
  <c r="K710" i="18"/>
  <c r="R731" i="18"/>
  <c r="R729" i="18" s="1"/>
  <c r="U732" i="18"/>
  <c r="U734" i="18"/>
  <c r="T732" i="17"/>
  <c r="L270" i="15"/>
  <c r="O270" i="15" s="1"/>
  <c r="M124" i="16"/>
  <c r="P124" i="16" s="1"/>
  <c r="N97" i="17"/>
  <c r="N95" i="17" s="1"/>
  <c r="S142" i="17"/>
  <c r="S140" i="17" s="1"/>
  <c r="O166" i="17"/>
  <c r="L310" i="17"/>
  <c r="O310" i="17" s="1"/>
  <c r="O337" i="17"/>
  <c r="K370" i="17"/>
  <c r="S496" i="17"/>
  <c r="S494" i="17" s="1"/>
  <c r="K655" i="17"/>
  <c r="K690" i="17"/>
  <c r="L20" i="18"/>
  <c r="L24" i="18"/>
  <c r="L48" i="18"/>
  <c r="M62" i="18"/>
  <c r="U62" i="18"/>
  <c r="M75" i="18"/>
  <c r="S75" i="18"/>
  <c r="S73" i="18" s="1"/>
  <c r="Q76" i="18"/>
  <c r="T76" i="18" s="1"/>
  <c r="K89" i="18"/>
  <c r="R97" i="18"/>
  <c r="U97" i="18" s="1"/>
  <c r="Q120" i="18"/>
  <c r="R121" i="18"/>
  <c r="U121" i="18" s="1"/>
  <c r="U123" i="18"/>
  <c r="O148" i="18"/>
  <c r="N176" i="18"/>
  <c r="N177" i="18"/>
  <c r="O177" i="18" s="1"/>
  <c r="P179" i="18"/>
  <c r="O305" i="18"/>
  <c r="U309" i="18"/>
  <c r="R307" i="18"/>
  <c r="U307" i="18" s="1"/>
  <c r="R306" i="18"/>
  <c r="U306" i="18" s="1"/>
  <c r="M393" i="18"/>
  <c r="P393" i="18" s="1"/>
  <c r="P394" i="18"/>
  <c r="K706" i="18"/>
  <c r="J702" i="18"/>
  <c r="L237" i="15"/>
  <c r="O161" i="17"/>
  <c r="O163" i="17"/>
  <c r="M176" i="17"/>
  <c r="M174" i="17" s="1"/>
  <c r="M20" i="18"/>
  <c r="S20" i="18"/>
  <c r="Q45" i="18"/>
  <c r="T45" i="18" s="1"/>
  <c r="M48" i="18"/>
  <c r="L97" i="18"/>
  <c r="L121" i="18"/>
  <c r="O121" i="18" s="1"/>
  <c r="O123" i="18"/>
  <c r="U175" i="18"/>
  <c r="Q190" i="18"/>
  <c r="T192" i="18"/>
  <c r="R334" i="18"/>
  <c r="U334" i="18" s="1"/>
  <c r="U336" i="18"/>
  <c r="R177" i="16"/>
  <c r="U177" i="16" s="1"/>
  <c r="L24" i="17"/>
  <c r="L22" i="17" s="1"/>
  <c r="M180" i="17"/>
  <c r="P180" i="17" s="1"/>
  <c r="P309" i="17"/>
  <c r="L363" i="17"/>
  <c r="O363" i="17" s="1"/>
  <c r="K772" i="17"/>
  <c r="P26" i="18"/>
  <c r="P68" i="18"/>
  <c r="T123" i="18"/>
  <c r="L124" i="18"/>
  <c r="O124" i="18" s="1"/>
  <c r="O126" i="18"/>
  <c r="O159" i="18"/>
  <c r="U159" i="18"/>
  <c r="O175" i="18"/>
  <c r="P190" i="18"/>
  <c r="Q283" i="18"/>
  <c r="T283" i="18" s="1"/>
  <c r="T284" i="18"/>
  <c r="U305" i="18"/>
  <c r="N97" i="16"/>
  <c r="N95" i="16" s="1"/>
  <c r="Q189" i="17"/>
  <c r="T309" i="17"/>
  <c r="L359" i="17"/>
  <c r="L357" i="17" s="1"/>
  <c r="K662" i="17"/>
  <c r="J676" i="17"/>
  <c r="K676" i="17" s="1"/>
  <c r="K683" i="17"/>
  <c r="S731" i="17"/>
  <c r="S729" i="17" s="1"/>
  <c r="N27" i="18"/>
  <c r="N51" i="18"/>
  <c r="L98" i="18"/>
  <c r="O98" i="18" s="1"/>
  <c r="L101" i="18"/>
  <c r="O101" i="18" s="1"/>
  <c r="O103" i="18"/>
  <c r="Q189" i="18"/>
  <c r="L215" i="18"/>
  <c r="O215" i="18" s="1"/>
  <c r="S270" i="18"/>
  <c r="U270" i="18" s="1"/>
  <c r="S269" i="18"/>
  <c r="S267" i="18" s="1"/>
  <c r="M310" i="18"/>
  <c r="P310" i="18" s="1"/>
  <c r="P312" i="18"/>
  <c r="R379" i="18"/>
  <c r="U379" i="18" s="1"/>
  <c r="U381" i="18"/>
  <c r="R378" i="18"/>
  <c r="N763" i="1"/>
  <c r="K155" i="18"/>
  <c r="I137" i="18"/>
  <c r="K137" i="18" s="1"/>
  <c r="U309" i="17"/>
  <c r="Q24" i="18"/>
  <c r="L47" i="18"/>
  <c r="M51" i="18"/>
  <c r="P51" i="18" s="1"/>
  <c r="M27" i="18"/>
  <c r="P27" i="18" s="1"/>
  <c r="Q75" i="18"/>
  <c r="R118" i="18"/>
  <c r="M270" i="18"/>
  <c r="P270" i="18" s="1"/>
  <c r="P272" i="18"/>
  <c r="M269" i="18"/>
  <c r="I281" i="18"/>
  <c r="K281" i="18" s="1"/>
  <c r="K294" i="18"/>
  <c r="P322" i="18"/>
  <c r="O326" i="18"/>
  <c r="L323" i="18"/>
  <c r="O342" i="18"/>
  <c r="L340" i="18"/>
  <c r="O340" i="18" s="1"/>
  <c r="O495" i="18"/>
  <c r="L494" i="18"/>
  <c r="O494" i="18" s="1"/>
  <c r="O163" i="18"/>
  <c r="U163" i="18"/>
  <c r="O166" i="18"/>
  <c r="O179" i="18"/>
  <c r="U179" i="18"/>
  <c r="O182" i="18"/>
  <c r="R269" i="18"/>
  <c r="U272" i="18"/>
  <c r="P275" i="18"/>
  <c r="N285" i="18"/>
  <c r="N283" i="18" s="1"/>
  <c r="L286" i="18"/>
  <c r="O286" i="18" s="1"/>
  <c r="M307" i="18"/>
  <c r="P307" i="18" s="1"/>
  <c r="L336" i="18"/>
  <c r="O339" i="18"/>
  <c r="R357" i="18"/>
  <c r="U357" i="18" s="1"/>
  <c r="M359" i="18"/>
  <c r="M357" i="18" s="1"/>
  <c r="S379" i="18"/>
  <c r="S378" i="18"/>
  <c r="S376" i="18" s="1"/>
  <c r="K424" i="18"/>
  <c r="I413" i="18"/>
  <c r="K413" i="18" s="1"/>
  <c r="K458" i="18"/>
  <c r="I457" i="18"/>
  <c r="K457" i="18" s="1"/>
  <c r="R514" i="18"/>
  <c r="U514" i="18" s="1"/>
  <c r="U515" i="18"/>
  <c r="P519" i="18"/>
  <c r="M517" i="18"/>
  <c r="P517" i="18" s="1"/>
  <c r="M516" i="18"/>
  <c r="T536" i="18"/>
  <c r="Q535" i="18"/>
  <c r="T535" i="18" s="1"/>
  <c r="M643" i="18"/>
  <c r="P643" i="18" s="1"/>
  <c r="P644" i="18"/>
  <c r="I702" i="18"/>
  <c r="K704" i="18"/>
  <c r="I282" i="18"/>
  <c r="K282" i="18" s="1"/>
  <c r="O515" i="18"/>
  <c r="S619" i="18"/>
  <c r="S617" i="18" s="1"/>
  <c r="S620" i="18"/>
  <c r="U620" i="18" s="1"/>
  <c r="T622" i="18"/>
  <c r="T696" i="18"/>
  <c r="Q693" i="18"/>
  <c r="Q694" i="18"/>
  <c r="L234" i="18"/>
  <c r="I266" i="18"/>
  <c r="K266" i="18" s="1"/>
  <c r="R283" i="18"/>
  <c r="U283" i="18" s="1"/>
  <c r="L310" i="18"/>
  <c r="O310" i="18" s="1"/>
  <c r="P329" i="18"/>
  <c r="M323" i="18"/>
  <c r="K331" i="18"/>
  <c r="O362" i="18"/>
  <c r="R393" i="18"/>
  <c r="U393" i="18" s="1"/>
  <c r="K261" i="18"/>
  <c r="I254" i="18"/>
  <c r="T272" i="18"/>
  <c r="S357" i="18"/>
  <c r="I203" i="18"/>
  <c r="K203" i="18" s="1"/>
  <c r="I239" i="18"/>
  <c r="K239" i="18" s="1"/>
  <c r="I242" i="18"/>
  <c r="K242" i="18" s="1"/>
  <c r="O329" i="18"/>
  <c r="T358" i="18"/>
  <c r="K372" i="18"/>
  <c r="T381" i="18"/>
  <c r="Q378" i="18"/>
  <c r="S416" i="18"/>
  <c r="S414" i="18" s="1"/>
  <c r="S417" i="18"/>
  <c r="T578" i="18"/>
  <c r="Q577" i="18"/>
  <c r="T577" i="18" s="1"/>
  <c r="L414" i="18"/>
  <c r="O414" i="18" s="1"/>
  <c r="R414" i="18"/>
  <c r="U414" i="18" s="1"/>
  <c r="J459" i="18"/>
  <c r="T499" i="18"/>
  <c r="Q496" i="18"/>
  <c r="U536" i="18"/>
  <c r="R535" i="18"/>
  <c r="U535" i="18" s="1"/>
  <c r="R556" i="18"/>
  <c r="U556" i="18" s="1"/>
  <c r="U578" i="18"/>
  <c r="R577" i="18"/>
  <c r="U577" i="18" s="1"/>
  <c r="Q600" i="18"/>
  <c r="T600" i="18" s="1"/>
  <c r="T601" i="18"/>
  <c r="L643" i="18"/>
  <c r="O643" i="18" s="1"/>
  <c r="N643" i="18"/>
  <c r="T648" i="18"/>
  <c r="Q645" i="18"/>
  <c r="U696" i="18"/>
  <c r="R693" i="18"/>
  <c r="U499" i="18"/>
  <c r="R496" i="18"/>
  <c r="O536" i="18"/>
  <c r="L535" i="18"/>
  <c r="O535" i="18" s="1"/>
  <c r="O578" i="18"/>
  <c r="L577" i="18"/>
  <c r="O577" i="18" s="1"/>
  <c r="U601" i="18"/>
  <c r="R600" i="18"/>
  <c r="U600" i="18" s="1"/>
  <c r="U648" i="18"/>
  <c r="R645" i="18"/>
  <c r="U645" i="18" s="1"/>
  <c r="S694" i="18"/>
  <c r="U694" i="18" s="1"/>
  <c r="S693" i="18"/>
  <c r="S691" i="18" s="1"/>
  <c r="P495" i="18"/>
  <c r="M494" i="18"/>
  <c r="P494" i="18" s="1"/>
  <c r="L556" i="18"/>
  <c r="O556" i="18" s="1"/>
  <c r="O601" i="18"/>
  <c r="L600" i="18"/>
  <c r="O600" i="18" s="1"/>
  <c r="K633" i="18"/>
  <c r="J627" i="18"/>
  <c r="S646" i="18"/>
  <c r="S645" i="18"/>
  <c r="S643" i="18" s="1"/>
  <c r="T497" i="18"/>
  <c r="J504" i="18"/>
  <c r="J493" i="18" s="1"/>
  <c r="I493" i="18"/>
  <c r="R497" i="18"/>
  <c r="U497" i="18" s="1"/>
  <c r="T515" i="18"/>
  <c r="Q514" i="18"/>
  <c r="T514" i="18" s="1"/>
  <c r="N516" i="18"/>
  <c r="N514" i="18" s="1"/>
  <c r="L517" i="18"/>
  <c r="O517" i="18" s="1"/>
  <c r="O519" i="18"/>
  <c r="P536" i="18"/>
  <c r="P578" i="18"/>
  <c r="U622" i="18"/>
  <c r="R619" i="18"/>
  <c r="M691" i="18"/>
  <c r="P691" i="18" s="1"/>
  <c r="P692" i="18"/>
  <c r="L715" i="18"/>
  <c r="O715" i="18" s="1"/>
  <c r="R715" i="18"/>
  <c r="U715" i="18" s="1"/>
  <c r="T716" i="18"/>
  <c r="L729" i="18"/>
  <c r="O729" i="18" s="1"/>
  <c r="T730" i="18"/>
  <c r="M760" i="18"/>
  <c r="P760" i="18" s="1"/>
  <c r="O761" i="18"/>
  <c r="U761" i="18"/>
  <c r="Q762" i="18"/>
  <c r="Q731" i="18"/>
  <c r="T734" i="18"/>
  <c r="R762" i="18"/>
  <c r="U762" i="18" s="1"/>
  <c r="U765" i="18"/>
  <c r="I758" i="18"/>
  <c r="K758" i="18" s="1"/>
  <c r="O163" i="16"/>
  <c r="I424" i="16"/>
  <c r="I413" i="16" s="1"/>
  <c r="K413" i="16" s="1"/>
  <c r="U100" i="17"/>
  <c r="S176" i="17"/>
  <c r="S174" i="17" s="1"/>
  <c r="P179" i="17"/>
  <c r="L236" i="17"/>
  <c r="K277" i="17"/>
  <c r="N285" i="17"/>
  <c r="N283" i="17" s="1"/>
  <c r="M286" i="17"/>
  <c r="P286" i="17" s="1"/>
  <c r="M340" i="17"/>
  <c r="P340" i="17" s="1"/>
  <c r="J352" i="17"/>
  <c r="M520" i="17"/>
  <c r="P520" i="17" s="1"/>
  <c r="S646" i="17"/>
  <c r="T646" i="17" s="1"/>
  <c r="K708" i="17"/>
  <c r="R731" i="17"/>
  <c r="T123" i="16"/>
  <c r="I243" i="16"/>
  <c r="K243" i="16" s="1"/>
  <c r="R497" i="16"/>
  <c r="U497" i="16" s="1"/>
  <c r="I138" i="17"/>
  <c r="K138" i="17" s="1"/>
  <c r="M160" i="17"/>
  <c r="M158" i="17" s="1"/>
  <c r="L189" i="17"/>
  <c r="L187" i="17" s="1"/>
  <c r="L237" i="17"/>
  <c r="P360" i="17"/>
  <c r="U734" i="17"/>
  <c r="U765" i="17"/>
  <c r="K372" i="15"/>
  <c r="I169" i="16"/>
  <c r="K169" i="16" s="1"/>
  <c r="O309" i="16"/>
  <c r="N27" i="17"/>
  <c r="N25" i="17" s="1"/>
  <c r="N62" i="17"/>
  <c r="N60" i="17" s="1"/>
  <c r="M98" i="17"/>
  <c r="P98" i="17" s="1"/>
  <c r="R121" i="17"/>
  <c r="U121" i="17" s="1"/>
  <c r="I169" i="17"/>
  <c r="K169" i="17" s="1"/>
  <c r="Q177" i="17"/>
  <c r="T177" i="17" s="1"/>
  <c r="K184" i="17"/>
  <c r="L234" i="17"/>
  <c r="N307" i="17"/>
  <c r="P307" i="17" s="1"/>
  <c r="M310" i="17"/>
  <c r="P310" i="17" s="1"/>
  <c r="R378" i="17"/>
  <c r="U378" i="17" s="1"/>
  <c r="U648" i="17"/>
  <c r="L270" i="14"/>
  <c r="O270" i="14" s="1"/>
  <c r="M101" i="16"/>
  <c r="P101" i="16" s="1"/>
  <c r="S120" i="16"/>
  <c r="S118" i="16" s="1"/>
  <c r="Q142" i="16"/>
  <c r="T142" i="16" s="1"/>
  <c r="O143" i="16"/>
  <c r="M24" i="17"/>
  <c r="M22" i="17" s="1"/>
  <c r="O65" i="17"/>
  <c r="P78" i="17"/>
  <c r="M120" i="17"/>
  <c r="P120" i="17" s="1"/>
  <c r="M124" i="17"/>
  <c r="P124" i="17" s="1"/>
  <c r="L160" i="17"/>
  <c r="L158" i="17" s="1"/>
  <c r="M164" i="17"/>
  <c r="P164" i="17" s="1"/>
  <c r="L180" i="17"/>
  <c r="O180" i="17" s="1"/>
  <c r="Q304" i="17"/>
  <c r="N323" i="17"/>
  <c r="N321" i="17" s="1"/>
  <c r="T734" i="17"/>
  <c r="O50" i="17"/>
  <c r="M75" i="17"/>
  <c r="M73" i="17" s="1"/>
  <c r="T78" i="17"/>
  <c r="P123" i="17"/>
  <c r="Q160" i="17"/>
  <c r="S762" i="17"/>
  <c r="S760" i="17" s="1"/>
  <c r="T176" i="17"/>
  <c r="Q174" i="17"/>
  <c r="T174" i="17" s="1"/>
  <c r="R174" i="17"/>
  <c r="U174" i="17" s="1"/>
  <c r="U176" i="17"/>
  <c r="Q118" i="17"/>
  <c r="M47" i="16"/>
  <c r="M45" i="16" s="1"/>
  <c r="O53" i="16"/>
  <c r="S75" i="16"/>
  <c r="S73" i="16" s="1"/>
  <c r="K294" i="16"/>
  <c r="O519" i="16"/>
  <c r="M47" i="17"/>
  <c r="M45" i="17" s="1"/>
  <c r="P50" i="17"/>
  <c r="N66" i="17"/>
  <c r="O68" i="17"/>
  <c r="N75" i="17"/>
  <c r="N73" i="17" s="1"/>
  <c r="R97" i="17"/>
  <c r="S98" i="17"/>
  <c r="L101" i="17"/>
  <c r="O101" i="17" s="1"/>
  <c r="R161" i="17"/>
  <c r="U161" i="17" s="1"/>
  <c r="P166" i="17"/>
  <c r="I170" i="17"/>
  <c r="K170" i="17" s="1"/>
  <c r="L204" i="17"/>
  <c r="O204" i="17" s="1"/>
  <c r="L255" i="17"/>
  <c r="O255" i="17" s="1"/>
  <c r="M269" i="17"/>
  <c r="M267" i="17" s="1"/>
  <c r="Q307" i="17"/>
  <c r="T307" i="17" s="1"/>
  <c r="Q619" i="17"/>
  <c r="Q617" i="17" s="1"/>
  <c r="T622" i="17"/>
  <c r="Q620" i="17"/>
  <c r="R646" i="17"/>
  <c r="R76" i="16"/>
  <c r="U76" i="16" s="1"/>
  <c r="L234" i="16"/>
  <c r="N269" i="16"/>
  <c r="N267" i="16" s="1"/>
  <c r="S306" i="16"/>
  <c r="U306" i="16" s="1"/>
  <c r="N336" i="16"/>
  <c r="N334" i="16" s="1"/>
  <c r="Q416" i="16"/>
  <c r="T416" i="16" s="1"/>
  <c r="Q24" i="17"/>
  <c r="Q21" i="17" s="1"/>
  <c r="N76" i="17"/>
  <c r="U76" i="17"/>
  <c r="I93" i="17"/>
  <c r="K93" i="17" s="1"/>
  <c r="L97" i="17"/>
  <c r="M101" i="17"/>
  <c r="P101" i="17" s="1"/>
  <c r="L121" i="17"/>
  <c r="O121" i="17" s="1"/>
  <c r="T123" i="17"/>
  <c r="I139" i="17"/>
  <c r="K139" i="17" s="1"/>
  <c r="L142" i="17"/>
  <c r="O142" i="17" s="1"/>
  <c r="T163" i="17"/>
  <c r="L177" i="17"/>
  <c r="O177" i="17" s="1"/>
  <c r="T179" i="17"/>
  <c r="T192" i="17"/>
  <c r="I196" i="17"/>
  <c r="K196" i="17" s="1"/>
  <c r="I214" i="17"/>
  <c r="K214" i="17" s="1"/>
  <c r="L244" i="17"/>
  <c r="O244" i="17" s="1"/>
  <c r="T272" i="17"/>
  <c r="R307" i="17"/>
  <c r="U307" i="17" s="1"/>
  <c r="O326" i="17"/>
  <c r="L324" i="17"/>
  <c r="O324" i="17" s="1"/>
  <c r="M327" i="17"/>
  <c r="P327" i="17" s="1"/>
  <c r="J344" i="17"/>
  <c r="U419" i="17"/>
  <c r="R416" i="17"/>
  <c r="U416" i="17" s="1"/>
  <c r="M97" i="16"/>
  <c r="P97" i="16" s="1"/>
  <c r="K168" i="16"/>
  <c r="M516" i="16"/>
  <c r="P516" i="16" s="1"/>
  <c r="K778" i="16"/>
  <c r="K781" i="16"/>
  <c r="K784" i="16"/>
  <c r="R24" i="17"/>
  <c r="L63" i="17"/>
  <c r="O63" i="17" s="1"/>
  <c r="Q75" i="17"/>
  <c r="Q76" i="17"/>
  <c r="T76" i="17" s="1"/>
  <c r="O78" i="17"/>
  <c r="S24" i="17"/>
  <c r="S21" i="17" s="1"/>
  <c r="Q95" i="17"/>
  <c r="T95" i="17" s="1"/>
  <c r="M97" i="17"/>
  <c r="L98" i="17"/>
  <c r="O98" i="17" s="1"/>
  <c r="O123" i="17"/>
  <c r="U123" i="17"/>
  <c r="I137" i="17"/>
  <c r="K137" i="17" s="1"/>
  <c r="M142" i="17"/>
  <c r="P142" i="17" s="1"/>
  <c r="N143" i="17"/>
  <c r="N160" i="17"/>
  <c r="P161" i="17"/>
  <c r="O179" i="17"/>
  <c r="U179" i="17"/>
  <c r="U192" i="17"/>
  <c r="L235" i="17"/>
  <c r="U272" i="17"/>
  <c r="I303" i="17"/>
  <c r="K303" i="17" s="1"/>
  <c r="S693" i="17"/>
  <c r="S691" i="17" s="1"/>
  <c r="S694" i="17"/>
  <c r="U694" i="17" s="1"/>
  <c r="T765" i="17"/>
  <c r="Q763" i="17"/>
  <c r="T763" i="17" s="1"/>
  <c r="L62" i="16"/>
  <c r="L60" i="16" s="1"/>
  <c r="N47" i="17"/>
  <c r="N45" i="17" s="1"/>
  <c r="I84" i="17"/>
  <c r="K84" i="17" s="1"/>
  <c r="P177" i="17"/>
  <c r="T190" i="17"/>
  <c r="L223" i="17"/>
  <c r="O223" i="17" s="1"/>
  <c r="T270" i="17"/>
  <c r="O519" i="17"/>
  <c r="L516" i="17"/>
  <c r="O516" i="17" s="1"/>
  <c r="I616" i="17"/>
  <c r="K616" i="17" s="1"/>
  <c r="K631" i="17"/>
  <c r="K630" i="17"/>
  <c r="K633" i="17"/>
  <c r="J675" i="17"/>
  <c r="K675" i="17" s="1"/>
  <c r="L48" i="16"/>
  <c r="O48" i="16" s="1"/>
  <c r="P519" i="17"/>
  <c r="M516" i="17"/>
  <c r="M514" i="17" s="1"/>
  <c r="P514" i="17" s="1"/>
  <c r="M517" i="17"/>
  <c r="P517" i="17" s="1"/>
  <c r="R270" i="14"/>
  <c r="U270" i="14" s="1"/>
  <c r="P68" i="15"/>
  <c r="Q306" i="16"/>
  <c r="Q304" i="16" s="1"/>
  <c r="N24" i="17"/>
  <c r="N22" i="17" s="1"/>
  <c r="N48" i="17"/>
  <c r="O48" i="17" s="1"/>
  <c r="T97" i="17"/>
  <c r="R98" i="17"/>
  <c r="N176" i="17"/>
  <c r="P190" i="17"/>
  <c r="L269" i="17"/>
  <c r="O269" i="17" s="1"/>
  <c r="P270" i="17"/>
  <c r="M273" i="17"/>
  <c r="P273" i="17" s="1"/>
  <c r="K331" i="17"/>
  <c r="I320" i="17"/>
  <c r="K320" i="17" s="1"/>
  <c r="K774" i="17"/>
  <c r="I759" i="17"/>
  <c r="K759" i="17" s="1"/>
  <c r="P337" i="17"/>
  <c r="K347" i="17"/>
  <c r="K369" i="17"/>
  <c r="T381" i="17"/>
  <c r="J702" i="17"/>
  <c r="U732" i="17"/>
  <c r="K366" i="17"/>
  <c r="K677" i="17"/>
  <c r="U763" i="17"/>
  <c r="K778" i="17"/>
  <c r="K781" i="17"/>
  <c r="K784" i="17"/>
  <c r="K674" i="17"/>
  <c r="U696" i="17"/>
  <c r="J703" i="17"/>
  <c r="K779" i="17"/>
  <c r="K782" i="17"/>
  <c r="K785" i="17"/>
  <c r="L517" i="14"/>
  <c r="O517" i="14" s="1"/>
  <c r="L120" i="15"/>
  <c r="O120" i="15" s="1"/>
  <c r="S306" i="15"/>
  <c r="S304" i="15" s="1"/>
  <c r="U381" i="15"/>
  <c r="I375" i="15"/>
  <c r="L66" i="16"/>
  <c r="O66" i="16" s="1"/>
  <c r="R75" i="16"/>
  <c r="U75" i="16" s="1"/>
  <c r="I117" i="16"/>
  <c r="K117" i="16" s="1"/>
  <c r="I139" i="16"/>
  <c r="K139" i="16" s="1"/>
  <c r="R161" i="16"/>
  <c r="U161" i="16" s="1"/>
  <c r="T272" i="16"/>
  <c r="M20" i="17"/>
  <c r="S20" i="17"/>
  <c r="R25" i="17"/>
  <c r="U25" i="17" s="1"/>
  <c r="Q45" i="17"/>
  <c r="T45" i="17" s="1"/>
  <c r="M48" i="17"/>
  <c r="P63" i="17"/>
  <c r="P68" i="17"/>
  <c r="M62" i="17"/>
  <c r="M66" i="17"/>
  <c r="P66" i="17" s="1"/>
  <c r="U78" i="17"/>
  <c r="L235" i="14"/>
  <c r="I203" i="15"/>
  <c r="K203" i="15" s="1"/>
  <c r="L79" i="16"/>
  <c r="O79" i="16" s="1"/>
  <c r="M120" i="16"/>
  <c r="P120" i="16" s="1"/>
  <c r="K345" i="16"/>
  <c r="U381" i="16"/>
  <c r="J375" i="16"/>
  <c r="M517" i="16"/>
  <c r="P517" i="16" s="1"/>
  <c r="N20" i="17"/>
  <c r="L27" i="17"/>
  <c r="R45" i="17"/>
  <c r="U45" i="17" s="1"/>
  <c r="L51" i="17"/>
  <c r="O51" i="17" s="1"/>
  <c r="I83" i="17"/>
  <c r="K87" i="17"/>
  <c r="J675" i="15"/>
  <c r="M336" i="16"/>
  <c r="K369" i="16"/>
  <c r="K366" i="16"/>
  <c r="J676" i="16"/>
  <c r="J703" i="16"/>
  <c r="L47" i="17"/>
  <c r="M51" i="17"/>
  <c r="P51" i="17" s="1"/>
  <c r="M27" i="17"/>
  <c r="T100" i="17"/>
  <c r="Q98" i="17"/>
  <c r="P119" i="17"/>
  <c r="M146" i="15"/>
  <c r="P146" i="15" s="1"/>
  <c r="K153" i="15"/>
  <c r="L193" i="15"/>
  <c r="O193" i="15" s="1"/>
  <c r="S270" i="15"/>
  <c r="U270" i="15" s="1"/>
  <c r="L160" i="16"/>
  <c r="L158" i="16" s="1"/>
  <c r="S177" i="16"/>
  <c r="J702" i="16"/>
  <c r="L62" i="17"/>
  <c r="T141" i="17"/>
  <c r="I266" i="15"/>
  <c r="K266" i="15" s="1"/>
  <c r="M62" i="16"/>
  <c r="M60" i="16" s="1"/>
  <c r="O68" i="16"/>
  <c r="R143" i="16"/>
  <c r="U143" i="16" s="1"/>
  <c r="R160" i="16"/>
  <c r="R158" i="16" s="1"/>
  <c r="U158" i="16" s="1"/>
  <c r="O141" i="17"/>
  <c r="U141" i="17"/>
  <c r="M143" i="17"/>
  <c r="P143" i="17" s="1"/>
  <c r="M146" i="17"/>
  <c r="P146" i="17" s="1"/>
  <c r="T188" i="17"/>
  <c r="L190" i="17"/>
  <c r="O190" i="17" s="1"/>
  <c r="R190" i="17"/>
  <c r="U190" i="17" s="1"/>
  <c r="P192" i="17"/>
  <c r="L193" i="17"/>
  <c r="O193" i="17" s="1"/>
  <c r="P195" i="17"/>
  <c r="I203" i="17"/>
  <c r="K203" i="17" s="1"/>
  <c r="I239" i="17"/>
  <c r="K239" i="17" s="1"/>
  <c r="I254" i="17"/>
  <c r="K254" i="17" s="1"/>
  <c r="T268" i="17"/>
  <c r="L270" i="17"/>
  <c r="O270" i="17" s="1"/>
  <c r="R270" i="17"/>
  <c r="U270" i="17" s="1"/>
  <c r="P272" i="17"/>
  <c r="L323" i="17"/>
  <c r="P326" i="17"/>
  <c r="J333" i="17"/>
  <c r="K333" i="17" s="1"/>
  <c r="O342" i="17"/>
  <c r="L336" i="17"/>
  <c r="L334" i="17" s="1"/>
  <c r="P362" i="17"/>
  <c r="M393" i="17"/>
  <c r="P393" i="17" s="1"/>
  <c r="T394" i="17"/>
  <c r="T419" i="17"/>
  <c r="R496" i="17"/>
  <c r="U499" i="17"/>
  <c r="R497" i="17"/>
  <c r="U497" i="17" s="1"/>
  <c r="I282" i="17"/>
  <c r="K282" i="17" s="1"/>
  <c r="K293" i="17"/>
  <c r="R321" i="17"/>
  <c r="U321" i="17" s="1"/>
  <c r="P339" i="17"/>
  <c r="N414" i="17"/>
  <c r="Q416" i="17"/>
  <c r="P291" i="17"/>
  <c r="M285" i="17"/>
  <c r="P285" i="17" s="1"/>
  <c r="U358" i="17"/>
  <c r="P536" i="17"/>
  <c r="M535" i="17"/>
  <c r="P535" i="17" s="1"/>
  <c r="R118" i="17"/>
  <c r="P163" i="17"/>
  <c r="I243" i="17"/>
  <c r="I281" i="17"/>
  <c r="K281" i="17" s="1"/>
  <c r="O309" i="17"/>
  <c r="O339" i="17"/>
  <c r="O362" i="17"/>
  <c r="O145" i="17"/>
  <c r="U145" i="17"/>
  <c r="O148" i="17"/>
  <c r="N269" i="17"/>
  <c r="N267" i="17" s="1"/>
  <c r="O291" i="17"/>
  <c r="R304" i="17"/>
  <c r="N306" i="17"/>
  <c r="M336" i="17"/>
  <c r="N359" i="17"/>
  <c r="N357" i="17" s="1"/>
  <c r="O360" i="17"/>
  <c r="P365" i="17"/>
  <c r="M359" i="17"/>
  <c r="I457" i="17"/>
  <c r="K457" i="17" s="1"/>
  <c r="K458" i="17"/>
  <c r="T322" i="17"/>
  <c r="O335" i="17"/>
  <c r="N336" i="17"/>
  <c r="N334" i="17" s="1"/>
  <c r="T377" i="17"/>
  <c r="Q514" i="17"/>
  <c r="T514" i="17" s="1"/>
  <c r="T515" i="17"/>
  <c r="T537" i="17"/>
  <c r="Q535" i="17"/>
  <c r="T535" i="17" s="1"/>
  <c r="T578" i="17"/>
  <c r="Q577" i="17"/>
  <c r="T577" i="17" s="1"/>
  <c r="U601" i="17"/>
  <c r="R600" i="17"/>
  <c r="U600" i="17" s="1"/>
  <c r="L494" i="17"/>
  <c r="O494" i="17" s="1"/>
  <c r="N516" i="17"/>
  <c r="N514" i="17" s="1"/>
  <c r="L517" i="17"/>
  <c r="O517" i="17" s="1"/>
  <c r="U536" i="17"/>
  <c r="R577" i="17"/>
  <c r="U577" i="17" s="1"/>
  <c r="O601" i="17"/>
  <c r="L600" i="17"/>
  <c r="O600" i="17" s="1"/>
  <c r="T761" i="17"/>
  <c r="Q379" i="17"/>
  <c r="T379" i="17" s="1"/>
  <c r="O536" i="17"/>
  <c r="P557" i="17"/>
  <c r="P618" i="17"/>
  <c r="R619" i="17"/>
  <c r="U622" i="17"/>
  <c r="T648" i="17"/>
  <c r="U692" i="17"/>
  <c r="J504" i="17"/>
  <c r="J493" i="17" s="1"/>
  <c r="N643" i="17"/>
  <c r="U644" i="17"/>
  <c r="Q645" i="17"/>
  <c r="Q378" i="17"/>
  <c r="S417" i="17"/>
  <c r="I493" i="17"/>
  <c r="K493" i="17" s="1"/>
  <c r="M494" i="17"/>
  <c r="P494" i="17" s="1"/>
  <c r="O578" i="17"/>
  <c r="Q600" i="17"/>
  <c r="T600" i="17" s="1"/>
  <c r="P601" i="17"/>
  <c r="K627" i="17"/>
  <c r="O644" i="17"/>
  <c r="O692" i="17"/>
  <c r="L691" i="17"/>
  <c r="O691" i="17" s="1"/>
  <c r="K704" i="17"/>
  <c r="I702" i="17"/>
  <c r="T499" i="17"/>
  <c r="Q496" i="17"/>
  <c r="S617" i="17"/>
  <c r="T696" i="17"/>
  <c r="Q693" i="17"/>
  <c r="Q694" i="17"/>
  <c r="R645" i="17"/>
  <c r="U645" i="17" s="1"/>
  <c r="R693" i="17"/>
  <c r="L715" i="17"/>
  <c r="O715" i="17" s="1"/>
  <c r="R715" i="17"/>
  <c r="U715" i="17" s="1"/>
  <c r="L729" i="17"/>
  <c r="O729" i="17" s="1"/>
  <c r="M760" i="17"/>
  <c r="P760" i="17" s="1"/>
  <c r="Q762" i="17"/>
  <c r="Q731" i="17"/>
  <c r="R762" i="17"/>
  <c r="L310" i="16"/>
  <c r="O310" i="16" s="1"/>
  <c r="O312" i="16"/>
  <c r="N62" i="15"/>
  <c r="N60" i="15" s="1"/>
  <c r="K110" i="16"/>
  <c r="N120" i="16"/>
  <c r="N118" i="16" s="1"/>
  <c r="S161" i="16"/>
  <c r="U272" i="16"/>
  <c r="R269" i="16"/>
  <c r="R267" i="16" s="1"/>
  <c r="P53" i="15"/>
  <c r="M75" i="15"/>
  <c r="P75" i="15" s="1"/>
  <c r="P53" i="16"/>
  <c r="L75" i="16"/>
  <c r="N75" i="16"/>
  <c r="N73" i="16" s="1"/>
  <c r="R120" i="16"/>
  <c r="R118" i="16" s="1"/>
  <c r="P123" i="16"/>
  <c r="Q160" i="16"/>
  <c r="P163" i="16"/>
  <c r="T192" i="16"/>
  <c r="L215" i="16"/>
  <c r="O215" i="16" s="1"/>
  <c r="Q269" i="16"/>
  <c r="Q267" i="16" s="1"/>
  <c r="T309" i="16"/>
  <c r="S693" i="16"/>
  <c r="S691" i="16" s="1"/>
  <c r="S694" i="16"/>
  <c r="U190" i="15"/>
  <c r="L236" i="15"/>
  <c r="P275" i="15"/>
  <c r="M323" i="15"/>
  <c r="P323" i="15" s="1"/>
  <c r="O329" i="15"/>
  <c r="L142" i="16"/>
  <c r="L140" i="16" s="1"/>
  <c r="K199" i="16"/>
  <c r="I196" i="16"/>
  <c r="K196" i="16" s="1"/>
  <c r="U309" i="16"/>
  <c r="R307" i="16"/>
  <c r="U307" i="16" s="1"/>
  <c r="Q417" i="16"/>
  <c r="T417" i="16" s="1"/>
  <c r="S496" i="16"/>
  <c r="S494" i="16" s="1"/>
  <c r="M176" i="1"/>
  <c r="S497" i="14"/>
  <c r="O63" i="16"/>
  <c r="U121" i="16"/>
  <c r="S190" i="16"/>
  <c r="S189" i="16"/>
  <c r="S187" i="16" s="1"/>
  <c r="R270" i="16"/>
  <c r="Q307" i="14"/>
  <c r="T307" i="14" s="1"/>
  <c r="I137" i="15"/>
  <c r="K137" i="15" s="1"/>
  <c r="M142" i="15"/>
  <c r="P142" i="15" s="1"/>
  <c r="I320" i="15"/>
  <c r="K320" i="15" s="1"/>
  <c r="L76" i="16"/>
  <c r="O76" i="16" s="1"/>
  <c r="L97" i="16"/>
  <c r="O97" i="16" s="1"/>
  <c r="L120" i="16"/>
  <c r="L118" i="16" s="1"/>
  <c r="O118" i="16" s="1"/>
  <c r="R142" i="16"/>
  <c r="R140" i="16" s="1"/>
  <c r="U140" i="16" s="1"/>
  <c r="R176" i="16"/>
  <c r="U176" i="16" s="1"/>
  <c r="L255" i="16"/>
  <c r="O255" i="16" s="1"/>
  <c r="I266" i="16"/>
  <c r="K266" i="16" s="1"/>
  <c r="L273" i="16"/>
  <c r="O273" i="16" s="1"/>
  <c r="O275" i="16"/>
  <c r="N360" i="16"/>
  <c r="O360" i="16" s="1"/>
  <c r="M176" i="16"/>
  <c r="M174" i="16" s="1"/>
  <c r="L204" i="16"/>
  <c r="O204" i="16" s="1"/>
  <c r="L237" i="16"/>
  <c r="M306" i="16"/>
  <c r="P306" i="16" s="1"/>
  <c r="K370" i="16"/>
  <c r="N176" i="16"/>
  <c r="N174" i="16" s="1"/>
  <c r="L223" i="16"/>
  <c r="O223" i="16" s="1"/>
  <c r="R378" i="16"/>
  <c r="U378" i="16" s="1"/>
  <c r="T696" i="16"/>
  <c r="S645" i="16"/>
  <c r="S643" i="16" s="1"/>
  <c r="S646" i="16"/>
  <c r="U646" i="16" s="1"/>
  <c r="M101" i="7"/>
  <c r="P101" i="7" s="1"/>
  <c r="R95" i="15"/>
  <c r="U95" i="15" s="1"/>
  <c r="N189" i="15"/>
  <c r="N187" i="15" s="1"/>
  <c r="J344" i="15"/>
  <c r="M142" i="16"/>
  <c r="M140" i="16" s="1"/>
  <c r="S142" i="16"/>
  <c r="S140" i="16" s="1"/>
  <c r="K155" i="16"/>
  <c r="M160" i="16"/>
  <c r="M158" i="16" s="1"/>
  <c r="L161" i="16"/>
  <c r="O161" i="16" s="1"/>
  <c r="M164" i="16"/>
  <c r="P164" i="16" s="1"/>
  <c r="M180" i="16"/>
  <c r="P180" i="16" s="1"/>
  <c r="R190" i="16"/>
  <c r="R189" i="16"/>
  <c r="R187" i="16" s="1"/>
  <c r="U192" i="16"/>
  <c r="L236" i="16"/>
  <c r="R304" i="16"/>
  <c r="L323" i="16"/>
  <c r="O323" i="16" s="1"/>
  <c r="P329" i="16"/>
  <c r="M327" i="16"/>
  <c r="P327" i="16" s="1"/>
  <c r="K331" i="16"/>
  <c r="U648" i="16"/>
  <c r="K653" i="16"/>
  <c r="S763" i="16"/>
  <c r="S762" i="16"/>
  <c r="S760" i="16" s="1"/>
  <c r="S306" i="1"/>
  <c r="R694" i="16"/>
  <c r="U696" i="16"/>
  <c r="I303" i="12"/>
  <c r="K303" i="12" s="1"/>
  <c r="Q731" i="14"/>
  <c r="Q729" i="14" s="1"/>
  <c r="L51" i="15"/>
  <c r="O51" i="15" s="1"/>
  <c r="I241" i="15"/>
  <c r="K241" i="15" s="1"/>
  <c r="O309" i="15"/>
  <c r="L24" i="16"/>
  <c r="L22" i="16" s="1"/>
  <c r="O50" i="16"/>
  <c r="P68" i="16"/>
  <c r="M75" i="16"/>
  <c r="M73" i="16" s="1"/>
  <c r="P73" i="16" s="1"/>
  <c r="N76" i="16"/>
  <c r="T100" i="16"/>
  <c r="K109" i="16"/>
  <c r="Q121" i="16"/>
  <c r="T121" i="16" s="1"/>
  <c r="N142" i="16"/>
  <c r="O145" i="16"/>
  <c r="O148" i="16"/>
  <c r="I157" i="16"/>
  <c r="K157" i="16" s="1"/>
  <c r="N160" i="16"/>
  <c r="N158" i="16" s="1"/>
  <c r="M161" i="16"/>
  <c r="P161" i="16" s="1"/>
  <c r="P179" i="16"/>
  <c r="L286" i="16"/>
  <c r="O286" i="16" s="1"/>
  <c r="O288" i="16"/>
  <c r="M323" i="16"/>
  <c r="M321" i="16" s="1"/>
  <c r="P321" i="16" s="1"/>
  <c r="S617" i="16"/>
  <c r="Q619" i="16"/>
  <c r="T619" i="16" s="1"/>
  <c r="K704" i="16"/>
  <c r="L193" i="16"/>
  <c r="O193" i="16" s="1"/>
  <c r="O195" i="16"/>
  <c r="K294" i="14"/>
  <c r="R176" i="15"/>
  <c r="U176" i="15" s="1"/>
  <c r="L176" i="15"/>
  <c r="L174" i="15" s="1"/>
  <c r="U179" i="15"/>
  <c r="P182" i="15"/>
  <c r="L235" i="15"/>
  <c r="J703" i="15"/>
  <c r="Q24" i="16"/>
  <c r="P48" i="16"/>
  <c r="O65" i="16"/>
  <c r="I83" i="16"/>
  <c r="I71" i="16" s="1"/>
  <c r="K71" i="16" s="1"/>
  <c r="Q97" i="16"/>
  <c r="T97" i="16" s="1"/>
  <c r="S98" i="16"/>
  <c r="U98" i="16" s="1"/>
  <c r="Q120" i="16"/>
  <c r="P145" i="16"/>
  <c r="P148" i="16"/>
  <c r="S158" i="16"/>
  <c r="M177" i="16"/>
  <c r="L189" i="16"/>
  <c r="L187" i="16" s="1"/>
  <c r="Q190" i="16"/>
  <c r="L190" i="16"/>
  <c r="O190" i="16" s="1"/>
  <c r="O192" i="16"/>
  <c r="S270" i="16"/>
  <c r="S269" i="16"/>
  <c r="M286" i="16"/>
  <c r="P286" i="16" s="1"/>
  <c r="P288" i="16"/>
  <c r="L306" i="16"/>
  <c r="M310" i="16"/>
  <c r="P310" i="16" s="1"/>
  <c r="P312" i="16"/>
  <c r="K315" i="16"/>
  <c r="N323" i="16"/>
  <c r="N321" i="16" s="1"/>
  <c r="O329" i="16"/>
  <c r="J344" i="16"/>
  <c r="J333" i="16"/>
  <c r="K333" i="16" s="1"/>
  <c r="U765" i="16"/>
  <c r="R763" i="16"/>
  <c r="U763" i="16" s="1"/>
  <c r="I702" i="13"/>
  <c r="Q76" i="14"/>
  <c r="T76" i="14" s="1"/>
  <c r="M75" i="14"/>
  <c r="P75" i="14" s="1"/>
  <c r="S417" i="15"/>
  <c r="R24" i="16"/>
  <c r="R21" i="16" s="1"/>
  <c r="R19" i="16" s="1"/>
  <c r="P63" i="16"/>
  <c r="Q75" i="16"/>
  <c r="T75" i="16" s="1"/>
  <c r="R97" i="16"/>
  <c r="U97" i="16" s="1"/>
  <c r="T163" i="16"/>
  <c r="N177" i="16"/>
  <c r="N189" i="16"/>
  <c r="N187" i="16" s="1"/>
  <c r="K230" i="16"/>
  <c r="I222" i="16"/>
  <c r="K222" i="16" s="1"/>
  <c r="Q270" i="16"/>
  <c r="O272" i="16"/>
  <c r="L269" i="16"/>
  <c r="O269" i="16" s="1"/>
  <c r="N286" i="16"/>
  <c r="N285" i="16"/>
  <c r="N283" i="16" s="1"/>
  <c r="O339" i="16"/>
  <c r="P342" i="16"/>
  <c r="M340" i="16"/>
  <c r="P340" i="16" s="1"/>
  <c r="J352" i="16"/>
  <c r="O365" i="16"/>
  <c r="L363" i="16"/>
  <c r="O363" i="16" s="1"/>
  <c r="K783" i="16"/>
  <c r="U272" i="14"/>
  <c r="L27" i="16"/>
  <c r="L25" i="16" s="1"/>
  <c r="O25" i="16" s="1"/>
  <c r="I84" i="16"/>
  <c r="I72" i="16" s="1"/>
  <c r="K72" i="16" s="1"/>
  <c r="O179" i="16"/>
  <c r="M270" i="16"/>
  <c r="P270" i="16" s="1"/>
  <c r="M269" i="16"/>
  <c r="N306" i="16"/>
  <c r="N304" i="16" s="1"/>
  <c r="M307" i="16"/>
  <c r="P307" i="16" s="1"/>
  <c r="P309" i="16"/>
  <c r="S379" i="16"/>
  <c r="S378" i="16"/>
  <c r="S376" i="16" s="1"/>
  <c r="K387" i="16"/>
  <c r="R693" i="16"/>
  <c r="U622" i="16"/>
  <c r="R731" i="16"/>
  <c r="R729" i="16" s="1"/>
  <c r="Q762" i="16"/>
  <c r="T762" i="16" s="1"/>
  <c r="T765" i="16"/>
  <c r="L235" i="16"/>
  <c r="P337" i="16"/>
  <c r="K347" i="16"/>
  <c r="K372" i="16"/>
  <c r="T381" i="16"/>
  <c r="I375" i="16"/>
  <c r="T622" i="16"/>
  <c r="R645" i="16"/>
  <c r="T648" i="16"/>
  <c r="K779" i="16"/>
  <c r="K785" i="16"/>
  <c r="N516" i="16"/>
  <c r="N514" i="16" s="1"/>
  <c r="U620" i="10"/>
  <c r="S97" i="15"/>
  <c r="S95" i="15" s="1"/>
  <c r="P123" i="15"/>
  <c r="N269" i="15"/>
  <c r="M306" i="15"/>
  <c r="M304" i="15" s="1"/>
  <c r="K347" i="15"/>
  <c r="I424" i="15"/>
  <c r="K424" i="15" s="1"/>
  <c r="J676" i="15"/>
  <c r="K710" i="15"/>
  <c r="Q142" i="14"/>
  <c r="T142" i="14" s="1"/>
  <c r="P362" i="14"/>
  <c r="N97" i="15"/>
  <c r="N95" i="15" s="1"/>
  <c r="T121" i="15"/>
  <c r="N306" i="15"/>
  <c r="K370" i="15"/>
  <c r="J702" i="15"/>
  <c r="K779" i="15"/>
  <c r="K785" i="15"/>
  <c r="K683" i="13"/>
  <c r="O163" i="15"/>
  <c r="I243" i="15"/>
  <c r="K243" i="15" s="1"/>
  <c r="N323" i="15"/>
  <c r="N321" i="15" s="1"/>
  <c r="L340" i="15"/>
  <c r="O340" i="15" s="1"/>
  <c r="I493" i="15"/>
  <c r="K493" i="15" s="1"/>
  <c r="R694" i="15"/>
  <c r="L101" i="7"/>
  <c r="O101" i="7" s="1"/>
  <c r="L121" i="13"/>
  <c r="O121" i="13" s="1"/>
  <c r="L142" i="15"/>
  <c r="O142" i="15" s="1"/>
  <c r="I239" i="15"/>
  <c r="K239" i="15" s="1"/>
  <c r="I303" i="15"/>
  <c r="K303" i="15" s="1"/>
  <c r="Q417" i="15"/>
  <c r="T417" i="15" s="1"/>
  <c r="M24" i="16"/>
  <c r="M22" i="16" s="1"/>
  <c r="S24" i="16"/>
  <c r="S21" i="16" s="1"/>
  <c r="S19" i="16" s="1"/>
  <c r="M27" i="16"/>
  <c r="P27" i="16" s="1"/>
  <c r="N47" i="16"/>
  <c r="N62" i="16"/>
  <c r="T78" i="16"/>
  <c r="K88" i="16"/>
  <c r="O100" i="16"/>
  <c r="U100" i="16"/>
  <c r="O103" i="16"/>
  <c r="L164" i="16"/>
  <c r="O164" i="16" s="1"/>
  <c r="L177" i="16"/>
  <c r="Q187" i="16"/>
  <c r="U188" i="16"/>
  <c r="I214" i="16"/>
  <c r="K214" i="16" s="1"/>
  <c r="K261" i="16"/>
  <c r="I254" i="16"/>
  <c r="K254" i="16" s="1"/>
  <c r="I239" i="16"/>
  <c r="K239" i="16" s="1"/>
  <c r="N24" i="16"/>
  <c r="N27" i="16"/>
  <c r="N25" i="16" s="1"/>
  <c r="Q45" i="16"/>
  <c r="T45" i="16" s="1"/>
  <c r="Q60" i="16"/>
  <c r="T60" i="16" s="1"/>
  <c r="L244" i="16"/>
  <c r="O337" i="16"/>
  <c r="U27" i="16"/>
  <c r="P50" i="16"/>
  <c r="P65" i="16"/>
  <c r="P78" i="16"/>
  <c r="P81" i="16"/>
  <c r="O123" i="16"/>
  <c r="U123" i="16"/>
  <c r="O126" i="16"/>
  <c r="Q177" i="16"/>
  <c r="T177" i="16" s="1"/>
  <c r="T179" i="16"/>
  <c r="O188" i="16"/>
  <c r="M190" i="16"/>
  <c r="P190" i="16" s="1"/>
  <c r="P192" i="16"/>
  <c r="K210" i="16"/>
  <c r="I203" i="16"/>
  <c r="K203" i="16" s="1"/>
  <c r="P268" i="16"/>
  <c r="Q176" i="16"/>
  <c r="P188" i="16"/>
  <c r="M189" i="16"/>
  <c r="M193" i="16"/>
  <c r="P193" i="16" s="1"/>
  <c r="P195" i="16"/>
  <c r="T307" i="16"/>
  <c r="K504" i="16"/>
  <c r="J504" i="16"/>
  <c r="J493" i="16" s="1"/>
  <c r="T557" i="16"/>
  <c r="Q556" i="16"/>
  <c r="T556" i="16" s="1"/>
  <c r="P272" i="16"/>
  <c r="P275" i="16"/>
  <c r="K293" i="16"/>
  <c r="Q321" i="16"/>
  <c r="T321" i="16" s="1"/>
  <c r="O326" i="16"/>
  <c r="R334" i="16"/>
  <c r="U334" i="16" s="1"/>
  <c r="P339" i="16"/>
  <c r="M359" i="16"/>
  <c r="P365" i="16"/>
  <c r="Q379" i="16"/>
  <c r="M393" i="16"/>
  <c r="P393" i="16" s="1"/>
  <c r="S416" i="16"/>
  <c r="S414" i="16" s="1"/>
  <c r="T499" i="16"/>
  <c r="K708" i="16"/>
  <c r="I690" i="16"/>
  <c r="K690" i="16" s="1"/>
  <c r="L285" i="16"/>
  <c r="O291" i="16"/>
  <c r="R321" i="16"/>
  <c r="U321" i="16" s="1"/>
  <c r="P326" i="16"/>
  <c r="N359" i="16"/>
  <c r="N357" i="16" s="1"/>
  <c r="L376" i="16"/>
  <c r="O376" i="16" s="1"/>
  <c r="K389" i="16"/>
  <c r="I457" i="16"/>
  <c r="K457" i="16" s="1"/>
  <c r="K458" i="16"/>
  <c r="O495" i="16"/>
  <c r="L520" i="16"/>
  <c r="O520" i="16" s="1"/>
  <c r="O522" i="16"/>
  <c r="L516" i="16"/>
  <c r="O516" i="16" s="1"/>
  <c r="S556" i="16"/>
  <c r="K616" i="16"/>
  <c r="T734" i="16"/>
  <c r="M285" i="16"/>
  <c r="P285" i="16" s="1"/>
  <c r="P291" i="16"/>
  <c r="L336" i="16"/>
  <c r="O342" i="16"/>
  <c r="U359" i="16"/>
  <c r="O362" i="16"/>
  <c r="Q378" i="16"/>
  <c r="T495" i="16"/>
  <c r="K633" i="16"/>
  <c r="K632" i="16"/>
  <c r="K631" i="16"/>
  <c r="K627" i="16"/>
  <c r="K630" i="16"/>
  <c r="I759" i="16"/>
  <c r="K759" i="16" s="1"/>
  <c r="K774" i="16"/>
  <c r="K782" i="16"/>
  <c r="I493" i="16"/>
  <c r="K493" i="16" s="1"/>
  <c r="T618" i="16"/>
  <c r="S731" i="16"/>
  <c r="U734" i="16"/>
  <c r="S732" i="16"/>
  <c r="T732" i="16" s="1"/>
  <c r="P415" i="16"/>
  <c r="M414" i="16"/>
  <c r="P414" i="16" s="1"/>
  <c r="U419" i="16"/>
  <c r="R416" i="16"/>
  <c r="Q496" i="16"/>
  <c r="T496" i="16" s="1"/>
  <c r="K674" i="16"/>
  <c r="K710" i="16"/>
  <c r="K780" i="16"/>
  <c r="R496" i="16"/>
  <c r="U496" i="16" s="1"/>
  <c r="Q731" i="16"/>
  <c r="R762" i="16"/>
  <c r="U762" i="16" s="1"/>
  <c r="R620" i="16"/>
  <c r="Q646" i="16"/>
  <c r="Q694" i="16"/>
  <c r="I702" i="16"/>
  <c r="M556" i="16"/>
  <c r="P556" i="16" s="1"/>
  <c r="M617" i="16"/>
  <c r="P617" i="16" s="1"/>
  <c r="S620" i="16"/>
  <c r="T620" i="16" s="1"/>
  <c r="L643" i="16"/>
  <c r="O643" i="16" s="1"/>
  <c r="L691" i="16"/>
  <c r="O691" i="16" s="1"/>
  <c r="R619" i="16"/>
  <c r="Q645" i="16"/>
  <c r="Q693" i="16"/>
  <c r="R731" i="14"/>
  <c r="R729" i="14" s="1"/>
  <c r="K779" i="14"/>
  <c r="K782" i="14"/>
  <c r="Q120" i="15"/>
  <c r="Q118" i="15" s="1"/>
  <c r="N336" i="15"/>
  <c r="N334" i="15" s="1"/>
  <c r="M360" i="15"/>
  <c r="Q143" i="14"/>
  <c r="T143" i="14" s="1"/>
  <c r="R75" i="15"/>
  <c r="U75" i="15" s="1"/>
  <c r="U78" i="15"/>
  <c r="K110" i="15"/>
  <c r="K128" i="15"/>
  <c r="S142" i="15"/>
  <c r="S140" i="15" s="1"/>
  <c r="R189" i="15"/>
  <c r="R187" i="15" s="1"/>
  <c r="K221" i="15"/>
  <c r="Q307" i="15"/>
  <c r="T307" i="15" s="1"/>
  <c r="N327" i="15"/>
  <c r="K369" i="15"/>
  <c r="M520" i="15"/>
  <c r="P520" i="15" s="1"/>
  <c r="K627" i="15"/>
  <c r="L285" i="1"/>
  <c r="L142" i="14"/>
  <c r="L140" i="14" s="1"/>
  <c r="O192" i="14"/>
  <c r="J703" i="14"/>
  <c r="L97" i="15"/>
  <c r="O97" i="15" s="1"/>
  <c r="U100" i="15"/>
  <c r="P103" i="15"/>
  <c r="L124" i="15"/>
  <c r="O124" i="15" s="1"/>
  <c r="L160" i="15"/>
  <c r="L158" i="15" s="1"/>
  <c r="O158" i="15" s="1"/>
  <c r="I222" i="15"/>
  <c r="K222" i="15" s="1"/>
  <c r="M269" i="15"/>
  <c r="M267" i="15" s="1"/>
  <c r="T309" i="15"/>
  <c r="S378" i="15"/>
  <c r="S376" i="15" s="1"/>
  <c r="I616" i="15"/>
  <c r="K616" i="15" s="1"/>
  <c r="Q190" i="14"/>
  <c r="T190" i="14" s="1"/>
  <c r="L215" i="14"/>
  <c r="O215" i="14" s="1"/>
  <c r="O63" i="15"/>
  <c r="L204" i="15"/>
  <c r="O204" i="15" s="1"/>
  <c r="N285" i="15"/>
  <c r="N283" i="15" s="1"/>
  <c r="M310" i="15"/>
  <c r="P310" i="15" s="1"/>
  <c r="L363" i="15"/>
  <c r="O363" i="15" s="1"/>
  <c r="K221" i="13"/>
  <c r="I94" i="14"/>
  <c r="K94" i="14" s="1"/>
  <c r="T78" i="15"/>
  <c r="O179" i="15"/>
  <c r="K781" i="15"/>
  <c r="T416" i="15"/>
  <c r="Q414" i="15"/>
  <c r="T414" i="15" s="1"/>
  <c r="J352" i="14"/>
  <c r="L177" i="15"/>
  <c r="O177" i="15" s="1"/>
  <c r="N190" i="15"/>
  <c r="O190" i="15" s="1"/>
  <c r="P195" i="15"/>
  <c r="M193" i="15"/>
  <c r="P193" i="15" s="1"/>
  <c r="O275" i="15"/>
  <c r="L273" i="15"/>
  <c r="O273" i="15" s="1"/>
  <c r="U419" i="15"/>
  <c r="R417" i="15"/>
  <c r="U417" i="15" s="1"/>
  <c r="R416" i="15"/>
  <c r="R414" i="15" s="1"/>
  <c r="U414" i="15" s="1"/>
  <c r="N120" i="15"/>
  <c r="N118" i="15" s="1"/>
  <c r="Q143" i="15"/>
  <c r="T143" i="15" s="1"/>
  <c r="Q142" i="15"/>
  <c r="T142" i="15" s="1"/>
  <c r="L285" i="15"/>
  <c r="N516" i="15"/>
  <c r="N514" i="15" s="1"/>
  <c r="N520" i="15"/>
  <c r="R731" i="15"/>
  <c r="R729" i="15" s="1"/>
  <c r="R732" i="15"/>
  <c r="S73" i="13"/>
  <c r="U73" i="13" s="1"/>
  <c r="M79" i="13"/>
  <c r="P79" i="13" s="1"/>
  <c r="I303" i="13"/>
  <c r="K303" i="13" s="1"/>
  <c r="R98" i="14"/>
  <c r="U98" i="14" s="1"/>
  <c r="R143" i="14"/>
  <c r="U143" i="14" s="1"/>
  <c r="U145" i="14"/>
  <c r="R190" i="14"/>
  <c r="U190" i="14" s="1"/>
  <c r="K679" i="14"/>
  <c r="J676" i="14"/>
  <c r="K676" i="14" s="1"/>
  <c r="L24" i="15"/>
  <c r="M47" i="15"/>
  <c r="M45" i="15" s="1"/>
  <c r="M76" i="15"/>
  <c r="P76" i="15" s="1"/>
  <c r="L98" i="15"/>
  <c r="O98" i="15" s="1"/>
  <c r="O100" i="15"/>
  <c r="Q160" i="15"/>
  <c r="T163" i="15"/>
  <c r="O166" i="15"/>
  <c r="L164" i="15"/>
  <c r="O164" i="15" s="1"/>
  <c r="N176" i="15"/>
  <c r="N174" i="15" s="1"/>
  <c r="L269" i="15"/>
  <c r="O269" i="15" s="1"/>
  <c r="I366" i="15"/>
  <c r="K366" i="15" s="1"/>
  <c r="T419" i="15"/>
  <c r="I457" i="15"/>
  <c r="K457" i="15" s="1"/>
  <c r="K458" i="15"/>
  <c r="T499" i="15"/>
  <c r="Q497" i="15"/>
  <c r="T497" i="15" s="1"/>
  <c r="S143" i="14"/>
  <c r="M142" i="14"/>
  <c r="M140" i="14" s="1"/>
  <c r="L66" i="15"/>
  <c r="O66" i="15" s="1"/>
  <c r="N98" i="15"/>
  <c r="L180" i="15"/>
  <c r="O180" i="15" s="1"/>
  <c r="U272" i="15"/>
  <c r="K294" i="15"/>
  <c r="R307" i="15"/>
  <c r="U307" i="15" s="1"/>
  <c r="U309" i="15"/>
  <c r="L517" i="15"/>
  <c r="O517" i="15" s="1"/>
  <c r="L516" i="15"/>
  <c r="O516" i="15" s="1"/>
  <c r="P192" i="14"/>
  <c r="L237" i="14"/>
  <c r="J333" i="14"/>
  <c r="K333" i="14" s="1"/>
  <c r="U696" i="14"/>
  <c r="R762" i="14"/>
  <c r="U762" i="14" s="1"/>
  <c r="K781" i="14"/>
  <c r="L47" i="15"/>
  <c r="L45" i="15" s="1"/>
  <c r="Q76" i="15"/>
  <c r="T76" i="15" s="1"/>
  <c r="M97" i="15"/>
  <c r="P97" i="15" s="1"/>
  <c r="O123" i="15"/>
  <c r="L121" i="15"/>
  <c r="O121" i="15" s="1"/>
  <c r="R161" i="15"/>
  <c r="U161" i="15" s="1"/>
  <c r="K170" i="15"/>
  <c r="P326" i="15"/>
  <c r="M327" i="15"/>
  <c r="P327" i="15" s="1"/>
  <c r="P329" i="15"/>
  <c r="K345" i="15"/>
  <c r="I333" i="15"/>
  <c r="L359" i="15"/>
  <c r="L357" i="15" s="1"/>
  <c r="T381" i="15"/>
  <c r="Q379" i="15"/>
  <c r="T379" i="15" s="1"/>
  <c r="U648" i="15"/>
  <c r="R646" i="15"/>
  <c r="U646" i="15" s="1"/>
  <c r="R645" i="15"/>
  <c r="K682" i="13"/>
  <c r="K677" i="14"/>
  <c r="S762" i="14"/>
  <c r="S760" i="14" s="1"/>
  <c r="L27" i="15"/>
  <c r="O27" i="15" s="1"/>
  <c r="N27" i="15"/>
  <c r="N25" i="15" s="1"/>
  <c r="P65" i="15"/>
  <c r="S76" i="15"/>
  <c r="Q97" i="15"/>
  <c r="R160" i="15"/>
  <c r="M161" i="15"/>
  <c r="P161" i="15" s="1"/>
  <c r="P163" i="15"/>
  <c r="M160" i="15"/>
  <c r="P160" i="15" s="1"/>
  <c r="T179" i="15"/>
  <c r="Q177" i="15"/>
  <c r="T177" i="15" s="1"/>
  <c r="Q176" i="15"/>
  <c r="O192" i="15"/>
  <c r="L244" i="15"/>
  <c r="O244" i="15" s="1"/>
  <c r="R269" i="15"/>
  <c r="U269" i="15" s="1"/>
  <c r="P307" i="15"/>
  <c r="P342" i="15"/>
  <c r="M340" i="15"/>
  <c r="P340" i="15" s="1"/>
  <c r="O522" i="15"/>
  <c r="L520" i="15"/>
  <c r="O520" i="15" s="1"/>
  <c r="T765" i="15"/>
  <c r="Q763" i="15"/>
  <c r="P309" i="15"/>
  <c r="J333" i="15"/>
  <c r="I702" i="15"/>
  <c r="K706" i="15"/>
  <c r="S763" i="15"/>
  <c r="U763" i="15" s="1"/>
  <c r="S762" i="15"/>
  <c r="S760" i="15" s="1"/>
  <c r="U123" i="15"/>
  <c r="P192" i="15"/>
  <c r="P272" i="15"/>
  <c r="M286" i="15"/>
  <c r="P286" i="15" s="1"/>
  <c r="M363" i="15"/>
  <c r="P363" i="15" s="1"/>
  <c r="J375" i="15"/>
  <c r="K704" i="15"/>
  <c r="J504" i="15"/>
  <c r="J493" i="15" s="1"/>
  <c r="L234" i="13"/>
  <c r="M286" i="13"/>
  <c r="P286" i="13" s="1"/>
  <c r="L47" i="14"/>
  <c r="L45" i="14" s="1"/>
  <c r="O365" i="14"/>
  <c r="S619" i="14"/>
  <c r="S617" i="14" s="1"/>
  <c r="I690" i="14"/>
  <c r="K690" i="14" s="1"/>
  <c r="N146" i="15"/>
  <c r="N142" i="15"/>
  <c r="N140" i="15" s="1"/>
  <c r="S177" i="15"/>
  <c r="S176" i="15"/>
  <c r="S174" i="15" s="1"/>
  <c r="S24" i="15"/>
  <c r="S76" i="13"/>
  <c r="T76" i="13" s="1"/>
  <c r="R142" i="13"/>
  <c r="U142" i="13" s="1"/>
  <c r="L223" i="13"/>
  <c r="O223" i="13" s="1"/>
  <c r="P522" i="13"/>
  <c r="L51" i="14"/>
  <c r="O51" i="14" s="1"/>
  <c r="M62" i="14"/>
  <c r="M60" i="14" s="1"/>
  <c r="M143" i="14"/>
  <c r="P143" i="14" s="1"/>
  <c r="O145" i="14"/>
  <c r="M146" i="14"/>
  <c r="P146" i="14" s="1"/>
  <c r="P190" i="14"/>
  <c r="L323" i="14"/>
  <c r="O323" i="14" s="1"/>
  <c r="S73" i="15"/>
  <c r="M177" i="15"/>
  <c r="P177" i="15" s="1"/>
  <c r="M176" i="15"/>
  <c r="M24" i="15"/>
  <c r="P179" i="15"/>
  <c r="K173" i="15"/>
  <c r="K677" i="12"/>
  <c r="O309" i="13"/>
  <c r="K708" i="13"/>
  <c r="K781" i="13"/>
  <c r="O81" i="14"/>
  <c r="N142" i="14"/>
  <c r="P145" i="14"/>
  <c r="L244" i="14"/>
  <c r="O244" i="14" s="1"/>
  <c r="Q269" i="14"/>
  <c r="O272" i="14"/>
  <c r="Q306" i="14"/>
  <c r="T306" i="14" s="1"/>
  <c r="S306" i="14"/>
  <c r="S304" i="14" s="1"/>
  <c r="S307" i="14"/>
  <c r="N51" i="15"/>
  <c r="T119" i="15"/>
  <c r="O268" i="15"/>
  <c r="N24" i="15"/>
  <c r="N48" i="15"/>
  <c r="P48" i="15" s="1"/>
  <c r="N47" i="15"/>
  <c r="N45" i="15" s="1"/>
  <c r="N76" i="15"/>
  <c r="N75" i="15"/>
  <c r="N73" i="15" s="1"/>
  <c r="R143" i="15"/>
  <c r="U143" i="15" s="1"/>
  <c r="U145" i="15"/>
  <c r="R24" i="15"/>
  <c r="R22" i="15" s="1"/>
  <c r="L255" i="15"/>
  <c r="O255" i="15" s="1"/>
  <c r="L234" i="15"/>
  <c r="N62" i="14"/>
  <c r="N60" i="14" s="1"/>
  <c r="N120" i="14"/>
  <c r="N118" i="14" s="1"/>
  <c r="L223" i="14"/>
  <c r="O223" i="14" s="1"/>
  <c r="I243" i="14"/>
  <c r="K243" i="14" s="1"/>
  <c r="S269" i="14"/>
  <c r="U269" i="14" s="1"/>
  <c r="R307" i="14"/>
  <c r="U307" i="14" s="1"/>
  <c r="S494" i="14"/>
  <c r="T61" i="15"/>
  <c r="Q60" i="15"/>
  <c r="T60" i="15" s="1"/>
  <c r="M66" i="14"/>
  <c r="P66" i="14" s="1"/>
  <c r="I196" i="14"/>
  <c r="K196" i="14" s="1"/>
  <c r="O339" i="14"/>
  <c r="K504" i="14"/>
  <c r="I493" i="14"/>
  <c r="K493" i="14" s="1"/>
  <c r="K655" i="14"/>
  <c r="K785" i="14"/>
  <c r="R142" i="15"/>
  <c r="U142" i="15" s="1"/>
  <c r="Q190" i="15"/>
  <c r="T190" i="15" s="1"/>
  <c r="T192" i="15"/>
  <c r="Q189" i="15"/>
  <c r="Q267" i="15"/>
  <c r="T267" i="15" s="1"/>
  <c r="T269" i="15"/>
  <c r="T285" i="15"/>
  <c r="Q283" i="15"/>
  <c r="T283" i="15" s="1"/>
  <c r="M306" i="14"/>
  <c r="P306" i="14" s="1"/>
  <c r="U622" i="14"/>
  <c r="Q20" i="15"/>
  <c r="Q24" i="15"/>
  <c r="Q22" i="15" s="1"/>
  <c r="Q25" i="15"/>
  <c r="T25" i="15" s="1"/>
  <c r="M27" i="15"/>
  <c r="O50" i="15"/>
  <c r="R60" i="15"/>
  <c r="U60" i="15" s="1"/>
  <c r="M63" i="15"/>
  <c r="P63" i="15" s="1"/>
  <c r="L75" i="15"/>
  <c r="O75" i="15" s="1"/>
  <c r="O78" i="15"/>
  <c r="M79" i="15"/>
  <c r="P79" i="15" s="1"/>
  <c r="I93" i="15"/>
  <c r="K93" i="15" s="1"/>
  <c r="P100" i="15"/>
  <c r="L101" i="15"/>
  <c r="O101" i="15" s="1"/>
  <c r="R121" i="15"/>
  <c r="U121" i="15" s="1"/>
  <c r="N160" i="15"/>
  <c r="N158" i="15" s="1"/>
  <c r="L189" i="15"/>
  <c r="S189" i="15"/>
  <c r="S187" i="15" s="1"/>
  <c r="U192" i="15"/>
  <c r="M336" i="15"/>
  <c r="P339" i="15"/>
  <c r="T515" i="15"/>
  <c r="Q514" i="15"/>
  <c r="T514" i="15" s="1"/>
  <c r="M577" i="15"/>
  <c r="P577" i="15" s="1"/>
  <c r="P578" i="15"/>
  <c r="L577" i="15"/>
  <c r="O577" i="15" s="1"/>
  <c r="O579" i="15"/>
  <c r="I83" i="15"/>
  <c r="R98" i="15"/>
  <c r="U98" i="15" s="1"/>
  <c r="I139" i="15"/>
  <c r="K139" i="15" s="1"/>
  <c r="L143" i="15"/>
  <c r="O143" i="15" s="1"/>
  <c r="O145" i="15"/>
  <c r="T145" i="15"/>
  <c r="P166" i="15"/>
  <c r="M189" i="15"/>
  <c r="M643" i="15"/>
  <c r="P643" i="15" s="1"/>
  <c r="P644" i="15"/>
  <c r="K86" i="15"/>
  <c r="I84" i="15"/>
  <c r="P175" i="15"/>
  <c r="O335" i="15"/>
  <c r="O416" i="15"/>
  <c r="L414" i="15"/>
  <c r="O414" i="15" s="1"/>
  <c r="U536" i="15"/>
  <c r="R535" i="15"/>
  <c r="U535" i="15" s="1"/>
  <c r="R25" i="15"/>
  <c r="U25" i="15" s="1"/>
  <c r="L62" i="15"/>
  <c r="T123" i="15"/>
  <c r="T141" i="15"/>
  <c r="L146" i="15"/>
  <c r="O146" i="15" s="1"/>
  <c r="O148" i="15"/>
  <c r="K184" i="15"/>
  <c r="I196" i="15"/>
  <c r="K196" i="15" s="1"/>
  <c r="Q304" i="15"/>
  <c r="M357" i="15"/>
  <c r="T377" i="15"/>
  <c r="U394" i="15"/>
  <c r="R393" i="15"/>
  <c r="U393" i="15" s="1"/>
  <c r="P496" i="15"/>
  <c r="M494" i="15"/>
  <c r="P494" i="15" s="1"/>
  <c r="Q45" i="15"/>
  <c r="T45" i="15" s="1"/>
  <c r="U46" i="15"/>
  <c r="P50" i="15"/>
  <c r="M62" i="15"/>
  <c r="O65" i="15"/>
  <c r="Q75" i="15"/>
  <c r="O81" i="15"/>
  <c r="T100" i="15"/>
  <c r="P119" i="15"/>
  <c r="M120" i="15"/>
  <c r="P120" i="15" s="1"/>
  <c r="S120" i="15"/>
  <c r="P126" i="15"/>
  <c r="P159" i="15"/>
  <c r="L215" i="15"/>
  <c r="O215" i="15" s="1"/>
  <c r="L223" i="15"/>
  <c r="O223" i="15" s="1"/>
  <c r="I242" i="15"/>
  <c r="K242" i="15" s="1"/>
  <c r="Q270" i="15"/>
  <c r="T272" i="15"/>
  <c r="P284" i="15"/>
  <c r="N286" i="15"/>
  <c r="O326" i="15"/>
  <c r="L323" i="15"/>
  <c r="N360" i="15"/>
  <c r="N359" i="15"/>
  <c r="P359" i="15" s="1"/>
  <c r="L393" i="15"/>
  <c r="O393" i="15" s="1"/>
  <c r="O394" i="15"/>
  <c r="Q494" i="15"/>
  <c r="T494" i="15" s="1"/>
  <c r="T495" i="15"/>
  <c r="P519" i="15"/>
  <c r="M516" i="15"/>
  <c r="P516" i="15" s="1"/>
  <c r="M517" i="15"/>
  <c r="P517" i="15" s="1"/>
  <c r="U622" i="15"/>
  <c r="R619" i="15"/>
  <c r="R620" i="15"/>
  <c r="N270" i="15"/>
  <c r="P270" i="15" s="1"/>
  <c r="O288" i="15"/>
  <c r="R306" i="15"/>
  <c r="T322" i="15"/>
  <c r="N337" i="15"/>
  <c r="O337" i="15" s="1"/>
  <c r="O339" i="15"/>
  <c r="P362" i="15"/>
  <c r="L376" i="15"/>
  <c r="O376" i="15" s="1"/>
  <c r="S497" i="15"/>
  <c r="R514" i="15"/>
  <c r="U514" i="15" s="1"/>
  <c r="O536" i="15"/>
  <c r="L535" i="15"/>
  <c r="O535" i="15" s="1"/>
  <c r="S535" i="15"/>
  <c r="S617" i="15"/>
  <c r="S620" i="15"/>
  <c r="T620" i="15" s="1"/>
  <c r="T622" i="15"/>
  <c r="S694" i="15"/>
  <c r="S693" i="15"/>
  <c r="S691" i="15" s="1"/>
  <c r="U691" i="15" s="1"/>
  <c r="U696" i="15"/>
  <c r="R283" i="15"/>
  <c r="U283" i="15" s="1"/>
  <c r="O291" i="15"/>
  <c r="L306" i="15"/>
  <c r="O312" i="15"/>
  <c r="Q357" i="15"/>
  <c r="T357" i="15" s="1"/>
  <c r="K387" i="15"/>
  <c r="O307" i="15"/>
  <c r="U578" i="15"/>
  <c r="R577" i="15"/>
  <c r="U577" i="15" s="1"/>
  <c r="Q334" i="15"/>
  <c r="T334" i="15" s="1"/>
  <c r="O362" i="15"/>
  <c r="U499" i="15"/>
  <c r="R496" i="15"/>
  <c r="U496" i="15" s="1"/>
  <c r="R497" i="15"/>
  <c r="U497" i="15" s="1"/>
  <c r="P558" i="15"/>
  <c r="M556" i="15"/>
  <c r="P556" i="15" s="1"/>
  <c r="S646" i="15"/>
  <c r="S645" i="15"/>
  <c r="S643" i="15" s="1"/>
  <c r="I254" i="15"/>
  <c r="K254" i="15" s="1"/>
  <c r="J352" i="15"/>
  <c r="R376" i="15"/>
  <c r="U376" i="15" s="1"/>
  <c r="P377" i="15"/>
  <c r="T557" i="15"/>
  <c r="Q556" i="15"/>
  <c r="T556" i="15" s="1"/>
  <c r="O601" i="15"/>
  <c r="L600" i="15"/>
  <c r="O600" i="15" s="1"/>
  <c r="K778" i="15"/>
  <c r="K784" i="15"/>
  <c r="K708" i="15"/>
  <c r="I690" i="15"/>
  <c r="K690" i="15" s="1"/>
  <c r="Q760" i="15"/>
  <c r="I759" i="15"/>
  <c r="K759" i="15" s="1"/>
  <c r="K774" i="15"/>
  <c r="M285" i="15"/>
  <c r="P285" i="15" s="1"/>
  <c r="L336" i="15"/>
  <c r="Q378" i="15"/>
  <c r="O519" i="15"/>
  <c r="M535" i="15"/>
  <c r="P535" i="15" s="1"/>
  <c r="M600" i="15"/>
  <c r="P600" i="15" s="1"/>
  <c r="T648" i="15"/>
  <c r="Q645" i="15"/>
  <c r="T696" i="15"/>
  <c r="S731" i="15"/>
  <c r="S729" i="15" s="1"/>
  <c r="U734" i="15"/>
  <c r="S732" i="15"/>
  <c r="K633" i="15"/>
  <c r="K630" i="15"/>
  <c r="K631" i="15"/>
  <c r="K780" i="15"/>
  <c r="Q731" i="15"/>
  <c r="Q729" i="15" s="1"/>
  <c r="T734" i="15"/>
  <c r="R762" i="15"/>
  <c r="U765" i="15"/>
  <c r="Q694" i="15"/>
  <c r="Q693" i="15"/>
  <c r="I758" i="15"/>
  <c r="K758" i="15" s="1"/>
  <c r="Q24" i="14"/>
  <c r="Q22" i="14" s="1"/>
  <c r="K154" i="14"/>
  <c r="L234" i="14"/>
  <c r="J344" i="14"/>
  <c r="U648" i="14"/>
  <c r="K783" i="14"/>
  <c r="Q762" i="10"/>
  <c r="Q760" i="10" s="1"/>
  <c r="K779" i="12"/>
  <c r="O63" i="13"/>
  <c r="L124" i="13"/>
  <c r="O124" i="13" s="1"/>
  <c r="L235" i="13"/>
  <c r="S120" i="14"/>
  <c r="S118" i="14" s="1"/>
  <c r="S161" i="14"/>
  <c r="N176" i="14"/>
  <c r="N174" i="14" s="1"/>
  <c r="M189" i="14"/>
  <c r="M187" i="14" s="1"/>
  <c r="U192" i="14"/>
  <c r="L286" i="14"/>
  <c r="O286" i="14" s="1"/>
  <c r="R306" i="14"/>
  <c r="U306" i="14" s="1"/>
  <c r="N323" i="14"/>
  <c r="N321" i="14" s="1"/>
  <c r="O329" i="14"/>
  <c r="U381" i="14"/>
  <c r="L236" i="13"/>
  <c r="M363" i="13"/>
  <c r="P363" i="13" s="1"/>
  <c r="N160" i="14"/>
  <c r="N158" i="14" s="1"/>
  <c r="Q176" i="14"/>
  <c r="T176" i="14" s="1"/>
  <c r="M193" i="14"/>
  <c r="P193" i="14" s="1"/>
  <c r="M286" i="14"/>
  <c r="P286" i="14" s="1"/>
  <c r="L307" i="14"/>
  <c r="O307" i="14" s="1"/>
  <c r="L327" i="14"/>
  <c r="O327" i="14" s="1"/>
  <c r="P342" i="14"/>
  <c r="R378" i="14"/>
  <c r="U378" i="14" s="1"/>
  <c r="S417" i="14"/>
  <c r="K710" i="14"/>
  <c r="K778" i="14"/>
  <c r="K783" i="12"/>
  <c r="L215" i="13"/>
  <c r="O215" i="13" s="1"/>
  <c r="N336" i="13"/>
  <c r="N334" i="13" s="1"/>
  <c r="S24" i="14"/>
  <c r="S21" i="14" s="1"/>
  <c r="S19" i="14" s="1"/>
  <c r="I83" i="14"/>
  <c r="I71" i="14" s="1"/>
  <c r="K71" i="14" s="1"/>
  <c r="Q98" i="14"/>
  <c r="T98" i="14" s="1"/>
  <c r="S177" i="14"/>
  <c r="P177" i="14"/>
  <c r="L190" i="14"/>
  <c r="O190" i="14" s="1"/>
  <c r="I214" i="14"/>
  <c r="K214" i="14" s="1"/>
  <c r="L255" i="14"/>
  <c r="O255" i="14" s="1"/>
  <c r="M307" i="14"/>
  <c r="P307" i="14" s="1"/>
  <c r="P309" i="14"/>
  <c r="L310" i="14"/>
  <c r="O310" i="14" s="1"/>
  <c r="M336" i="14"/>
  <c r="M334" i="14" s="1"/>
  <c r="S378" i="14"/>
  <c r="S376" i="14" s="1"/>
  <c r="S645" i="14"/>
  <c r="S643" i="14" s="1"/>
  <c r="U765" i="14"/>
  <c r="N160" i="13"/>
  <c r="N158" i="13" s="1"/>
  <c r="L120" i="14"/>
  <c r="O120" i="14" s="1"/>
  <c r="M160" i="14"/>
  <c r="M158" i="14" s="1"/>
  <c r="K369" i="14"/>
  <c r="R693" i="14"/>
  <c r="R691" i="14" s="1"/>
  <c r="R694" i="14"/>
  <c r="T75" i="14"/>
  <c r="Q73" i="14"/>
  <c r="T73" i="14" s="1"/>
  <c r="T765" i="14"/>
  <c r="Q763" i="14"/>
  <c r="T763" i="14" s="1"/>
  <c r="Q762" i="14"/>
  <c r="T762" i="14" s="1"/>
  <c r="K458" i="12"/>
  <c r="Q645" i="12"/>
  <c r="Q643" i="12" s="1"/>
  <c r="S269" i="13"/>
  <c r="S267" i="13" s="1"/>
  <c r="M47" i="14"/>
  <c r="M51" i="14"/>
  <c r="P51" i="14" s="1"/>
  <c r="N66" i="14"/>
  <c r="L97" i="14"/>
  <c r="T100" i="14"/>
  <c r="N189" i="14"/>
  <c r="N187" i="14" s="1"/>
  <c r="K315" i="14"/>
  <c r="M360" i="14"/>
  <c r="P360" i="14" s="1"/>
  <c r="K458" i="14"/>
  <c r="Q496" i="14"/>
  <c r="T496" i="14" s="1"/>
  <c r="N516" i="14"/>
  <c r="N514" i="14" s="1"/>
  <c r="S694" i="14"/>
  <c r="S693" i="14"/>
  <c r="S691" i="14" s="1"/>
  <c r="I424" i="12"/>
  <c r="S121" i="13"/>
  <c r="M285" i="13"/>
  <c r="P285" i="13" s="1"/>
  <c r="L327" i="13"/>
  <c r="O327" i="13" s="1"/>
  <c r="K654" i="13"/>
  <c r="M27" i="14"/>
  <c r="N47" i="14"/>
  <c r="N45" i="14" s="1"/>
  <c r="K85" i="14"/>
  <c r="L101" i="14"/>
  <c r="O101" i="14" s="1"/>
  <c r="K109" i="14"/>
  <c r="K153" i="14"/>
  <c r="K230" i="14"/>
  <c r="L236" i="14"/>
  <c r="L306" i="14"/>
  <c r="O306" i="14" s="1"/>
  <c r="M310" i="14"/>
  <c r="P310" i="14" s="1"/>
  <c r="I320" i="14"/>
  <c r="K320" i="14" s="1"/>
  <c r="M327" i="14"/>
  <c r="P327" i="14" s="1"/>
  <c r="R496" i="14"/>
  <c r="U496" i="14" s="1"/>
  <c r="Q497" i="14"/>
  <c r="T497" i="14" s="1"/>
  <c r="P522" i="14"/>
  <c r="R646" i="14"/>
  <c r="U646" i="14" s="1"/>
  <c r="J702" i="14"/>
  <c r="M146" i="12"/>
  <c r="P146" i="12" s="1"/>
  <c r="I173" i="12"/>
  <c r="K173" i="12" s="1"/>
  <c r="R76" i="13"/>
  <c r="U78" i="13"/>
  <c r="L101" i="13"/>
  <c r="O101" i="13" s="1"/>
  <c r="K710" i="13"/>
  <c r="O50" i="14"/>
  <c r="R75" i="14"/>
  <c r="U75" i="14" s="1"/>
  <c r="Q97" i="14"/>
  <c r="Q95" i="14" s="1"/>
  <c r="O100" i="14"/>
  <c r="L160" i="14"/>
  <c r="K184" i="14"/>
  <c r="S189" i="14"/>
  <c r="T189" i="14" s="1"/>
  <c r="T270" i="14"/>
  <c r="K370" i="14"/>
  <c r="P519" i="14"/>
  <c r="R620" i="14"/>
  <c r="U620" i="14" s="1"/>
  <c r="R98" i="13"/>
  <c r="U98" i="13" s="1"/>
  <c r="I282" i="13"/>
  <c r="K282" i="13" s="1"/>
  <c r="O339" i="13"/>
  <c r="R763" i="13"/>
  <c r="U763" i="13" s="1"/>
  <c r="P103" i="14"/>
  <c r="N161" i="14"/>
  <c r="P161" i="14" s="1"/>
  <c r="U499" i="14"/>
  <c r="K153" i="13"/>
  <c r="J344" i="13"/>
  <c r="J675" i="13"/>
  <c r="K675" i="13" s="1"/>
  <c r="P163" i="14"/>
  <c r="L204" i="14"/>
  <c r="O204" i="14" s="1"/>
  <c r="M269" i="14"/>
  <c r="M267" i="14" s="1"/>
  <c r="T272" i="14"/>
  <c r="K345" i="14"/>
  <c r="T648" i="14"/>
  <c r="K784" i="14"/>
  <c r="T696" i="14"/>
  <c r="J675" i="14"/>
  <c r="K675" i="14" s="1"/>
  <c r="K780" i="14"/>
  <c r="Q694" i="14"/>
  <c r="K706" i="14"/>
  <c r="O161" i="13"/>
  <c r="T61" i="14"/>
  <c r="Q60" i="14"/>
  <c r="T60" i="14" s="1"/>
  <c r="O74" i="14"/>
  <c r="L76" i="14"/>
  <c r="O76" i="14" s="1"/>
  <c r="L75" i="14"/>
  <c r="O75" i="14" s="1"/>
  <c r="O78" i="14"/>
  <c r="O362" i="14"/>
  <c r="L359" i="14"/>
  <c r="L360" i="14"/>
  <c r="O360" i="14" s="1"/>
  <c r="N363" i="14"/>
  <c r="N359" i="14"/>
  <c r="N357" i="14" s="1"/>
  <c r="I282" i="11"/>
  <c r="K282" i="11" s="1"/>
  <c r="R416" i="11"/>
  <c r="U416" i="11" s="1"/>
  <c r="J675" i="11"/>
  <c r="U270" i="12"/>
  <c r="Q143" i="13"/>
  <c r="T143" i="13" s="1"/>
  <c r="M160" i="13"/>
  <c r="M158" i="13" s="1"/>
  <c r="R269" i="13"/>
  <c r="R267" i="13" s="1"/>
  <c r="O312" i="13"/>
  <c r="M517" i="13"/>
  <c r="P517" i="13" s="1"/>
  <c r="N516" i="13"/>
  <c r="N514" i="13" s="1"/>
  <c r="L27" i="14"/>
  <c r="O27" i="14" s="1"/>
  <c r="R118" i="14"/>
  <c r="U119" i="14"/>
  <c r="N27" i="14"/>
  <c r="N25" i="14" s="1"/>
  <c r="T416" i="14"/>
  <c r="Q414" i="14"/>
  <c r="T414" i="14" s="1"/>
  <c r="N270" i="1"/>
  <c r="N516" i="12"/>
  <c r="N514" i="12" s="1"/>
  <c r="N47" i="13"/>
  <c r="N45" i="13" s="1"/>
  <c r="N120" i="13"/>
  <c r="N118" i="13" s="1"/>
  <c r="T123" i="13"/>
  <c r="N176" i="13"/>
  <c r="N174" i="13" s="1"/>
  <c r="I266" i="13"/>
  <c r="K266" i="13" s="1"/>
  <c r="M273" i="13"/>
  <c r="P273" i="13" s="1"/>
  <c r="P291" i="13"/>
  <c r="L306" i="13"/>
  <c r="L304" i="13" s="1"/>
  <c r="M516" i="13"/>
  <c r="P516" i="13" s="1"/>
  <c r="S694" i="13"/>
  <c r="N20" i="14"/>
  <c r="Q25" i="14"/>
  <c r="T25" i="14" s="1"/>
  <c r="T26" i="14"/>
  <c r="N24" i="14"/>
  <c r="O119" i="14"/>
  <c r="M121" i="14"/>
  <c r="P121" i="14" s="1"/>
  <c r="Q121" i="14"/>
  <c r="T121" i="14" s="1"/>
  <c r="T123" i="14"/>
  <c r="R140" i="14"/>
  <c r="U140" i="14" s="1"/>
  <c r="U142" i="14"/>
  <c r="R158" i="14"/>
  <c r="U158" i="14" s="1"/>
  <c r="U159" i="14"/>
  <c r="T322" i="14"/>
  <c r="Q321" i="14"/>
  <c r="T321" i="14" s="1"/>
  <c r="M47" i="13"/>
  <c r="M45" i="13" s="1"/>
  <c r="U123" i="13"/>
  <c r="I173" i="13"/>
  <c r="K173" i="13" s="1"/>
  <c r="L63" i="14"/>
  <c r="O63" i="14" s="1"/>
  <c r="O65" i="14"/>
  <c r="L62" i="14"/>
  <c r="K86" i="14"/>
  <c r="I84" i="14"/>
  <c r="N97" i="14"/>
  <c r="N95" i="14" s="1"/>
  <c r="M120" i="14"/>
  <c r="L146" i="14"/>
  <c r="O146" i="14" s="1"/>
  <c r="O148" i="14"/>
  <c r="O159" i="14"/>
  <c r="Q161" i="14"/>
  <c r="T161" i="14" s="1"/>
  <c r="T163" i="14"/>
  <c r="T175" i="14"/>
  <c r="M286" i="8"/>
  <c r="P286" i="8" s="1"/>
  <c r="N160" i="12"/>
  <c r="N158" i="12" s="1"/>
  <c r="L520" i="13"/>
  <c r="O520" i="13" s="1"/>
  <c r="L24" i="14"/>
  <c r="R45" i="14"/>
  <c r="U45" i="14" s="1"/>
  <c r="U46" i="14"/>
  <c r="M79" i="14"/>
  <c r="P79" i="14" s="1"/>
  <c r="P81" i="14"/>
  <c r="K128" i="14"/>
  <c r="I117" i="14"/>
  <c r="K117" i="14" s="1"/>
  <c r="R177" i="14"/>
  <c r="U177" i="14" s="1"/>
  <c r="U179" i="14"/>
  <c r="R24" i="14"/>
  <c r="K277" i="14"/>
  <c r="I266" i="14"/>
  <c r="K266" i="14" s="1"/>
  <c r="I281" i="7"/>
  <c r="K281" i="7" s="1"/>
  <c r="S118" i="13"/>
  <c r="S174" i="13"/>
  <c r="M340" i="13"/>
  <c r="P340" i="13" s="1"/>
  <c r="P362" i="13"/>
  <c r="O46" i="14"/>
  <c r="S76" i="14"/>
  <c r="S75" i="14"/>
  <c r="S73" i="14" s="1"/>
  <c r="T78" i="14"/>
  <c r="M124" i="14"/>
  <c r="P124" i="14" s="1"/>
  <c r="I169" i="14"/>
  <c r="K169" i="14" s="1"/>
  <c r="K168" i="14"/>
  <c r="I157" i="14"/>
  <c r="K157" i="14" s="1"/>
  <c r="L180" i="14"/>
  <c r="O180" i="14" s="1"/>
  <c r="O182" i="14"/>
  <c r="L176" i="14"/>
  <c r="N270" i="14"/>
  <c r="N269" i="14"/>
  <c r="N267" i="14" s="1"/>
  <c r="M24" i="14"/>
  <c r="R25" i="14"/>
  <c r="U25" i="14" s="1"/>
  <c r="N48" i="14"/>
  <c r="O48" i="14" s="1"/>
  <c r="U61" i="14"/>
  <c r="R60" i="14"/>
  <c r="U60" i="14" s="1"/>
  <c r="M63" i="14"/>
  <c r="P63" i="14" s="1"/>
  <c r="P65" i="14"/>
  <c r="N75" i="14"/>
  <c r="N73" i="14" s="1"/>
  <c r="M76" i="14"/>
  <c r="P76" i="14" s="1"/>
  <c r="P78" i="14"/>
  <c r="U100" i="14"/>
  <c r="R121" i="14"/>
  <c r="U121" i="14" s="1"/>
  <c r="U123" i="14"/>
  <c r="R161" i="14"/>
  <c r="U161" i="14" s="1"/>
  <c r="U163" i="14"/>
  <c r="K210" i="14"/>
  <c r="I203" i="14"/>
  <c r="K203" i="14" s="1"/>
  <c r="O268" i="14"/>
  <c r="T335" i="14"/>
  <c r="Q334" i="14"/>
  <c r="T334" i="14" s="1"/>
  <c r="P515" i="14"/>
  <c r="Q45" i="14"/>
  <c r="T45" i="14" s="1"/>
  <c r="P50" i="14"/>
  <c r="O61" i="14"/>
  <c r="S60" i="14"/>
  <c r="O68" i="14"/>
  <c r="U78" i="14"/>
  <c r="P96" i="14"/>
  <c r="P100" i="14"/>
  <c r="K155" i="14"/>
  <c r="L177" i="14"/>
  <c r="O177" i="14" s="1"/>
  <c r="O179" i="14"/>
  <c r="T179" i="14"/>
  <c r="T192" i="14"/>
  <c r="P558" i="14"/>
  <c r="M556" i="14"/>
  <c r="P556" i="14" s="1"/>
  <c r="U74" i="14"/>
  <c r="M97" i="14"/>
  <c r="P97" i="14" s="1"/>
  <c r="S97" i="14"/>
  <c r="L121" i="14"/>
  <c r="O121" i="14" s="1"/>
  <c r="O123" i="14"/>
  <c r="O143" i="14"/>
  <c r="L161" i="14"/>
  <c r="O163" i="14"/>
  <c r="M176" i="14"/>
  <c r="P179" i="14"/>
  <c r="M180" i="14"/>
  <c r="P180" i="14" s="1"/>
  <c r="L193" i="14"/>
  <c r="O193" i="14" s="1"/>
  <c r="L189" i="14"/>
  <c r="O305" i="14"/>
  <c r="M324" i="14"/>
  <c r="P324" i="14" s="1"/>
  <c r="P326" i="14"/>
  <c r="M323" i="14"/>
  <c r="T377" i="14"/>
  <c r="T268" i="14"/>
  <c r="P305" i="14"/>
  <c r="U377" i="14"/>
  <c r="T119" i="14"/>
  <c r="Q118" i="14"/>
  <c r="L124" i="14"/>
  <c r="O124" i="14" s="1"/>
  <c r="O126" i="14"/>
  <c r="T159" i="14"/>
  <c r="Q158" i="14"/>
  <c r="T158" i="14" s="1"/>
  <c r="L164" i="14"/>
  <c r="O164" i="14" s="1"/>
  <c r="O166" i="14"/>
  <c r="R174" i="14"/>
  <c r="U174" i="14" s="1"/>
  <c r="N337" i="14"/>
  <c r="O337" i="14" s="1"/>
  <c r="N336" i="14"/>
  <c r="N334" i="14" s="1"/>
  <c r="K347" i="14"/>
  <c r="M363" i="14"/>
  <c r="P363" i="14" s="1"/>
  <c r="P365" i="14"/>
  <c r="M359" i="14"/>
  <c r="P268" i="14"/>
  <c r="U322" i="14"/>
  <c r="R321" i="14"/>
  <c r="U321" i="14" s="1"/>
  <c r="U335" i="14"/>
  <c r="R334" i="14"/>
  <c r="U334" i="14" s="1"/>
  <c r="O377" i="14"/>
  <c r="L376" i="14"/>
  <c r="O376" i="14" s="1"/>
  <c r="K261" i="14"/>
  <c r="I254" i="14"/>
  <c r="K254" i="14" s="1"/>
  <c r="I239" i="14"/>
  <c r="K239" i="14" s="1"/>
  <c r="M270" i="14"/>
  <c r="P272" i="14"/>
  <c r="P284" i="14"/>
  <c r="N285" i="14"/>
  <c r="N283" i="14" s="1"/>
  <c r="I282" i="14"/>
  <c r="K282" i="14" s="1"/>
  <c r="K293" i="14"/>
  <c r="N306" i="14"/>
  <c r="N304" i="14" s="1"/>
  <c r="O322" i="14"/>
  <c r="O342" i="14"/>
  <c r="L336" i="14"/>
  <c r="Q357" i="14"/>
  <c r="T357" i="14" s="1"/>
  <c r="I375" i="14"/>
  <c r="K375" i="14" s="1"/>
  <c r="M376" i="14"/>
  <c r="P376" i="14" s="1"/>
  <c r="T419" i="14"/>
  <c r="Q417" i="14"/>
  <c r="T417" i="14" s="1"/>
  <c r="K441" i="14"/>
  <c r="I424" i="14"/>
  <c r="L289" i="14"/>
  <c r="O289" i="14" s="1"/>
  <c r="O291" i="14"/>
  <c r="L285" i="14"/>
  <c r="O335" i="14"/>
  <c r="I366" i="14"/>
  <c r="K366" i="14" s="1"/>
  <c r="K372" i="14"/>
  <c r="T381" i="14"/>
  <c r="Q378" i="14"/>
  <c r="T378" i="14" s="1"/>
  <c r="Q379" i="14"/>
  <c r="T379" i="14" s="1"/>
  <c r="R535" i="14"/>
  <c r="U535" i="14" s="1"/>
  <c r="U536" i="14"/>
  <c r="U618" i="14"/>
  <c r="U268" i="14"/>
  <c r="R267" i="14"/>
  <c r="M273" i="14"/>
  <c r="P273" i="14" s="1"/>
  <c r="P275" i="14"/>
  <c r="P291" i="14"/>
  <c r="M285" i="14"/>
  <c r="P285" i="14" s="1"/>
  <c r="L324" i="14"/>
  <c r="O324" i="14" s="1"/>
  <c r="O326" i="14"/>
  <c r="P335" i="14"/>
  <c r="M337" i="14"/>
  <c r="P339" i="14"/>
  <c r="O536" i="14"/>
  <c r="L535" i="14"/>
  <c r="O535" i="14" s="1"/>
  <c r="I759" i="14"/>
  <c r="K759" i="14" s="1"/>
  <c r="K774" i="14"/>
  <c r="T557" i="14"/>
  <c r="Q556" i="14"/>
  <c r="T556" i="14" s="1"/>
  <c r="L691" i="14"/>
  <c r="O691" i="14" s="1"/>
  <c r="O693" i="14"/>
  <c r="I702" i="14"/>
  <c r="S731" i="14"/>
  <c r="S729" i="14" s="1"/>
  <c r="U734" i="14"/>
  <c r="L393" i="14"/>
  <c r="O393" i="14" s="1"/>
  <c r="U419" i="14"/>
  <c r="R416" i="14"/>
  <c r="J504" i="14"/>
  <c r="J493" i="14" s="1"/>
  <c r="K506" i="14"/>
  <c r="M516" i="14"/>
  <c r="P516" i="14" s="1"/>
  <c r="N535" i="14"/>
  <c r="L577" i="14"/>
  <c r="O577" i="14" s="1"/>
  <c r="O618" i="14"/>
  <c r="L617" i="14"/>
  <c r="O617" i="14" s="1"/>
  <c r="M643" i="14"/>
  <c r="P643" i="14" s="1"/>
  <c r="L643" i="14"/>
  <c r="O643" i="14" s="1"/>
  <c r="O645" i="14"/>
  <c r="T734" i="14"/>
  <c r="M414" i="14"/>
  <c r="P414" i="14" s="1"/>
  <c r="O522" i="14"/>
  <c r="L516" i="14"/>
  <c r="N577" i="14"/>
  <c r="K616" i="14"/>
  <c r="M617" i="14"/>
  <c r="P617" i="14" s="1"/>
  <c r="P619" i="14"/>
  <c r="L760" i="14"/>
  <c r="O760" i="14" s="1"/>
  <c r="Q393" i="14"/>
  <c r="T393" i="14" s="1"/>
  <c r="R417" i="14"/>
  <c r="U417" i="14" s="1"/>
  <c r="P495" i="14"/>
  <c r="U578" i="14"/>
  <c r="T622" i="14"/>
  <c r="Q619" i="14"/>
  <c r="Q620" i="14"/>
  <c r="T620" i="14" s="1"/>
  <c r="K633" i="14"/>
  <c r="K632" i="14"/>
  <c r="K631" i="14"/>
  <c r="K627" i="14"/>
  <c r="K630" i="14"/>
  <c r="T692" i="14"/>
  <c r="S732" i="14"/>
  <c r="U732" i="14" s="1"/>
  <c r="S514" i="14"/>
  <c r="N556" i="14"/>
  <c r="T618" i="14"/>
  <c r="T644" i="14"/>
  <c r="R643" i="14"/>
  <c r="Q646" i="14"/>
  <c r="T646" i="14" s="1"/>
  <c r="R619" i="14"/>
  <c r="Q645" i="14"/>
  <c r="Q693" i="14"/>
  <c r="I758" i="14"/>
  <c r="K758" i="14" s="1"/>
  <c r="U97" i="13"/>
  <c r="R95" i="13"/>
  <c r="U95" i="13" s="1"/>
  <c r="P190" i="12"/>
  <c r="U100" i="13"/>
  <c r="L120" i="13"/>
  <c r="O120" i="13" s="1"/>
  <c r="K210" i="13"/>
  <c r="K230" i="13"/>
  <c r="K261" i="13"/>
  <c r="M269" i="13"/>
  <c r="M267" i="13" s="1"/>
  <c r="N307" i="13"/>
  <c r="O307" i="13" s="1"/>
  <c r="K331" i="13"/>
  <c r="K504" i="13"/>
  <c r="K680" i="13"/>
  <c r="S75" i="12"/>
  <c r="S73" i="12" s="1"/>
  <c r="N269" i="13"/>
  <c r="N267" i="13" s="1"/>
  <c r="S307" i="13"/>
  <c r="P309" i="13"/>
  <c r="J333" i="13"/>
  <c r="K677" i="13"/>
  <c r="L66" i="12"/>
  <c r="O66" i="12" s="1"/>
  <c r="Q98" i="12"/>
  <c r="O163" i="12"/>
  <c r="Q269" i="12"/>
  <c r="Q267" i="12" s="1"/>
  <c r="T272" i="12"/>
  <c r="O65" i="13"/>
  <c r="P100" i="13"/>
  <c r="M142" i="13"/>
  <c r="P142" i="13" s="1"/>
  <c r="N189" i="13"/>
  <c r="N187" i="13" s="1"/>
  <c r="L269" i="13"/>
  <c r="O269" i="13" s="1"/>
  <c r="T691" i="13"/>
  <c r="S763" i="13"/>
  <c r="M160" i="12"/>
  <c r="P160" i="12" s="1"/>
  <c r="P53" i="13"/>
  <c r="N62" i="13"/>
  <c r="N60" i="13" s="1"/>
  <c r="S97" i="13"/>
  <c r="S95" i="13" s="1"/>
  <c r="T145" i="13"/>
  <c r="O288" i="13"/>
  <c r="N306" i="13"/>
  <c r="T622" i="13"/>
  <c r="K632" i="13"/>
  <c r="N75" i="10"/>
  <c r="N73" i="10" s="1"/>
  <c r="I758" i="12"/>
  <c r="K758" i="12" s="1"/>
  <c r="T78" i="13"/>
  <c r="L98" i="13"/>
  <c r="O98" i="13" s="1"/>
  <c r="L237" i="13"/>
  <c r="K347" i="13"/>
  <c r="J352" i="13"/>
  <c r="K679" i="13"/>
  <c r="J676" i="13"/>
  <c r="K676" i="13" s="1"/>
  <c r="K783" i="13"/>
  <c r="S142" i="12"/>
  <c r="S140" i="12" s="1"/>
  <c r="M273" i="12"/>
  <c r="P273" i="12" s="1"/>
  <c r="N48" i="13"/>
  <c r="P48" i="13" s="1"/>
  <c r="P50" i="13"/>
  <c r="M101" i="13"/>
  <c r="P101" i="13" s="1"/>
  <c r="K109" i="13"/>
  <c r="Q121" i="13"/>
  <c r="N142" i="13"/>
  <c r="N140" i="13" s="1"/>
  <c r="N143" i="13"/>
  <c r="L164" i="13"/>
  <c r="O164" i="13" s="1"/>
  <c r="O166" i="13"/>
  <c r="L244" i="13"/>
  <c r="J504" i="13"/>
  <c r="J493" i="13" s="1"/>
  <c r="K506" i="13"/>
  <c r="I139" i="13"/>
  <c r="K139" i="13" s="1"/>
  <c r="K154" i="13"/>
  <c r="K199" i="13"/>
  <c r="I196" i="13"/>
  <c r="K196" i="13" s="1"/>
  <c r="S645" i="13"/>
  <c r="S643" i="13" s="1"/>
  <c r="S646" i="13"/>
  <c r="T646" i="13" s="1"/>
  <c r="L237" i="10"/>
  <c r="R160" i="11"/>
  <c r="U160" i="11" s="1"/>
  <c r="O65" i="12"/>
  <c r="M142" i="12"/>
  <c r="M140" i="12" s="1"/>
  <c r="S189" i="12"/>
  <c r="S187" i="12" s="1"/>
  <c r="I196" i="12"/>
  <c r="K196" i="12" s="1"/>
  <c r="M286" i="12"/>
  <c r="P286" i="12" s="1"/>
  <c r="O50" i="13"/>
  <c r="L75" i="13"/>
  <c r="L73" i="13" s="1"/>
  <c r="I84" i="13"/>
  <c r="K84" i="13" s="1"/>
  <c r="T100" i="13"/>
  <c r="Q97" i="13"/>
  <c r="Q95" i="13" s="1"/>
  <c r="T95" i="13" s="1"/>
  <c r="Q120" i="13"/>
  <c r="Q118" i="13" s="1"/>
  <c r="R121" i="13"/>
  <c r="M120" i="13"/>
  <c r="P120" i="13" s="1"/>
  <c r="M124" i="13"/>
  <c r="P124" i="13" s="1"/>
  <c r="K128" i="13"/>
  <c r="P192" i="13"/>
  <c r="M327" i="13"/>
  <c r="P327" i="13" s="1"/>
  <c r="M323" i="13"/>
  <c r="P323" i="13" s="1"/>
  <c r="P329" i="13"/>
  <c r="R620" i="13"/>
  <c r="U622" i="13"/>
  <c r="R161" i="11"/>
  <c r="U161" i="11" s="1"/>
  <c r="P63" i="12"/>
  <c r="P98" i="12"/>
  <c r="L27" i="13"/>
  <c r="O27" i="13" s="1"/>
  <c r="O81" i="13"/>
  <c r="N97" i="13"/>
  <c r="N95" i="13" s="1"/>
  <c r="R120" i="13"/>
  <c r="L146" i="13"/>
  <c r="O146" i="13" s="1"/>
  <c r="O148" i="13"/>
  <c r="N323" i="13"/>
  <c r="N321" i="13" s="1"/>
  <c r="N327" i="13"/>
  <c r="U381" i="13"/>
  <c r="R379" i="13"/>
  <c r="U379" i="13" s="1"/>
  <c r="S497" i="13"/>
  <c r="S496" i="13"/>
  <c r="S494" i="13" s="1"/>
  <c r="S619" i="13"/>
  <c r="S617" i="13" s="1"/>
  <c r="T617" i="13" s="1"/>
  <c r="S620" i="13"/>
  <c r="Q416" i="13"/>
  <c r="T416" i="13" s="1"/>
  <c r="Q417" i="13"/>
  <c r="T417" i="13" s="1"/>
  <c r="T419" i="13"/>
  <c r="R76" i="11"/>
  <c r="U76" i="11" s="1"/>
  <c r="Q120" i="11"/>
  <c r="Q118" i="11" s="1"/>
  <c r="N160" i="11"/>
  <c r="N158" i="11" s="1"/>
  <c r="R120" i="12"/>
  <c r="R118" i="12" s="1"/>
  <c r="S176" i="12"/>
  <c r="S174" i="12" s="1"/>
  <c r="S306" i="12"/>
  <c r="S304" i="12" s="1"/>
  <c r="K674" i="12"/>
  <c r="U75" i="13"/>
  <c r="T309" i="13"/>
  <c r="Q307" i="13"/>
  <c r="Q306" i="13"/>
  <c r="O342" i="13"/>
  <c r="L340" i="13"/>
  <c r="O340" i="13" s="1"/>
  <c r="O365" i="13"/>
  <c r="L363" i="13"/>
  <c r="O363" i="13" s="1"/>
  <c r="T381" i="13"/>
  <c r="S378" i="13"/>
  <c r="S376" i="13" s="1"/>
  <c r="K772" i="13"/>
  <c r="L160" i="12"/>
  <c r="O160" i="12" s="1"/>
  <c r="L235" i="12"/>
  <c r="K370" i="12"/>
  <c r="M27" i="13"/>
  <c r="P27" i="13" s="1"/>
  <c r="M97" i="13"/>
  <c r="P97" i="13" s="1"/>
  <c r="Q270" i="13"/>
  <c r="T270" i="13" s="1"/>
  <c r="T272" i="13"/>
  <c r="Q269" i="13"/>
  <c r="R307" i="13"/>
  <c r="U309" i="13"/>
  <c r="R306" i="13"/>
  <c r="U306" i="13" s="1"/>
  <c r="O326" i="13"/>
  <c r="L324" i="13"/>
  <c r="O324" i="13" s="1"/>
  <c r="L517" i="13"/>
  <c r="O517" i="13" s="1"/>
  <c r="O519" i="13"/>
  <c r="R646" i="13"/>
  <c r="R645" i="13"/>
  <c r="R643" i="13" s="1"/>
  <c r="U648" i="13"/>
  <c r="K706" i="13"/>
  <c r="T765" i="13"/>
  <c r="Q763" i="13"/>
  <c r="T763" i="13" s="1"/>
  <c r="M75" i="13"/>
  <c r="M73" i="13" s="1"/>
  <c r="L97" i="13"/>
  <c r="O97" i="13" s="1"/>
  <c r="M121" i="13"/>
  <c r="P121" i="13" s="1"/>
  <c r="U145" i="13"/>
  <c r="Q189" i="13"/>
  <c r="Q187" i="13" s="1"/>
  <c r="L270" i="13"/>
  <c r="O270" i="13" s="1"/>
  <c r="U272" i="13"/>
  <c r="S304" i="13"/>
  <c r="K345" i="13"/>
  <c r="Q378" i="13"/>
  <c r="T378" i="13" s="1"/>
  <c r="T499" i="13"/>
  <c r="Q620" i="13"/>
  <c r="Q645" i="13"/>
  <c r="T696" i="13"/>
  <c r="K779" i="13"/>
  <c r="K785" i="13"/>
  <c r="M176" i="13"/>
  <c r="M180" i="13"/>
  <c r="P180" i="13" s="1"/>
  <c r="O190" i="13"/>
  <c r="J702" i="13"/>
  <c r="L255" i="13"/>
  <c r="O255" i="13" s="1"/>
  <c r="U270" i="13"/>
  <c r="M310" i="13"/>
  <c r="P310" i="13" s="1"/>
  <c r="O360" i="13"/>
  <c r="I616" i="13"/>
  <c r="K616" i="13" s="1"/>
  <c r="J703" i="13"/>
  <c r="P179" i="13"/>
  <c r="K222" i="13"/>
  <c r="L273" i="13"/>
  <c r="O273" i="13" s="1"/>
  <c r="N285" i="13"/>
  <c r="N283" i="13" s="1"/>
  <c r="M306" i="13"/>
  <c r="M304" i="13" s="1"/>
  <c r="L336" i="13"/>
  <c r="L337" i="13"/>
  <c r="M359" i="13"/>
  <c r="M357" i="13" s="1"/>
  <c r="M360" i="13"/>
  <c r="P360" i="13" s="1"/>
  <c r="O362" i="13"/>
  <c r="P312" i="12"/>
  <c r="M310" i="12"/>
  <c r="P310" i="12" s="1"/>
  <c r="O46" i="13"/>
  <c r="S497" i="12"/>
  <c r="S496" i="12"/>
  <c r="S494" i="12" s="1"/>
  <c r="Q60" i="13"/>
  <c r="T60" i="13" s="1"/>
  <c r="N76" i="13"/>
  <c r="N24" i="13"/>
  <c r="P78" i="13"/>
  <c r="N75" i="13"/>
  <c r="O78" i="13"/>
  <c r="K87" i="13"/>
  <c r="I83" i="13"/>
  <c r="S143" i="13"/>
  <c r="S142" i="13"/>
  <c r="S140" i="13" s="1"/>
  <c r="S24" i="13"/>
  <c r="K253" i="12"/>
  <c r="I242" i="12"/>
  <c r="K242" i="12" s="1"/>
  <c r="R306" i="12"/>
  <c r="R304" i="12" s="1"/>
  <c r="O26" i="13"/>
  <c r="L20" i="13"/>
  <c r="S25" i="13"/>
  <c r="S20" i="13"/>
  <c r="L143" i="13"/>
  <c r="O143" i="13" s="1"/>
  <c r="L142" i="13"/>
  <c r="O142" i="13" s="1"/>
  <c r="O145" i="13"/>
  <c r="L24" i="13"/>
  <c r="T163" i="13"/>
  <c r="Q161" i="13"/>
  <c r="T161" i="13" s="1"/>
  <c r="Q160" i="13"/>
  <c r="L189" i="11"/>
  <c r="L187" i="11" s="1"/>
  <c r="L193" i="11"/>
  <c r="O193" i="11" s="1"/>
  <c r="U419" i="11"/>
  <c r="U145" i="12"/>
  <c r="R142" i="12"/>
  <c r="O335" i="13"/>
  <c r="N363" i="13"/>
  <c r="N359" i="13"/>
  <c r="N357" i="13" s="1"/>
  <c r="N27" i="13"/>
  <c r="N25" i="13" s="1"/>
  <c r="O148" i="10"/>
  <c r="P61" i="13"/>
  <c r="P65" i="13"/>
  <c r="M62" i="13"/>
  <c r="M24" i="13"/>
  <c r="U188" i="13"/>
  <c r="U192" i="13"/>
  <c r="R189" i="13"/>
  <c r="K706" i="11"/>
  <c r="R143" i="12"/>
  <c r="U143" i="12" s="1"/>
  <c r="P182" i="12"/>
  <c r="M180" i="12"/>
  <c r="P180" i="12" s="1"/>
  <c r="R24" i="13"/>
  <c r="M63" i="13"/>
  <c r="P63" i="13" s="1"/>
  <c r="I94" i="13"/>
  <c r="K94" i="13" s="1"/>
  <c r="K110" i="13"/>
  <c r="N97" i="12"/>
  <c r="N95" i="12" s="1"/>
  <c r="R619" i="12"/>
  <c r="R617" i="12" s="1"/>
  <c r="K662" i="12"/>
  <c r="K679" i="12"/>
  <c r="Q763" i="12"/>
  <c r="K784" i="12"/>
  <c r="T26" i="13"/>
  <c r="T46" i="13"/>
  <c r="L51" i="13"/>
  <c r="O51" i="13" s="1"/>
  <c r="U61" i="13"/>
  <c r="M66" i="13"/>
  <c r="P66" i="13" s="1"/>
  <c r="P96" i="13"/>
  <c r="P119" i="13"/>
  <c r="I137" i="13"/>
  <c r="K137" i="13" s="1"/>
  <c r="Q140" i="13"/>
  <c r="T140" i="13" s="1"/>
  <c r="M143" i="13"/>
  <c r="P143" i="13" s="1"/>
  <c r="P145" i="13"/>
  <c r="S161" i="13"/>
  <c r="U163" i="13"/>
  <c r="R160" i="13"/>
  <c r="T179" i="13"/>
  <c r="Q177" i="13"/>
  <c r="T177" i="13" s="1"/>
  <c r="O182" i="13"/>
  <c r="O192" i="13"/>
  <c r="L189" i="13"/>
  <c r="S190" i="13"/>
  <c r="T190" i="13" s="1"/>
  <c r="S189" i="13"/>
  <c r="S187" i="13" s="1"/>
  <c r="T192" i="13"/>
  <c r="N270" i="13"/>
  <c r="P270" i="13" s="1"/>
  <c r="P272" i="13"/>
  <c r="P284" i="13"/>
  <c r="O717" i="13"/>
  <c r="L715" i="13"/>
  <c r="O715" i="13" s="1"/>
  <c r="O98" i="12"/>
  <c r="L236" i="12"/>
  <c r="P307" i="12"/>
  <c r="J375" i="12"/>
  <c r="K785" i="12"/>
  <c r="O68" i="13"/>
  <c r="L62" i="13"/>
  <c r="O163" i="13"/>
  <c r="L160" i="13"/>
  <c r="S177" i="13"/>
  <c r="U179" i="13"/>
  <c r="R176" i="13"/>
  <c r="M190" i="13"/>
  <c r="P190" i="13" s="1"/>
  <c r="M189" i="13"/>
  <c r="O195" i="13"/>
  <c r="L193" i="13"/>
  <c r="O193" i="13" s="1"/>
  <c r="L204" i="13"/>
  <c r="O204" i="13" s="1"/>
  <c r="I242" i="13"/>
  <c r="K242" i="13" s="1"/>
  <c r="K250" i="13"/>
  <c r="I243" i="13"/>
  <c r="T322" i="13"/>
  <c r="Q321" i="13"/>
  <c r="T321" i="13" s="1"/>
  <c r="M535" i="13"/>
  <c r="P535" i="13" s="1"/>
  <c r="P536" i="13"/>
  <c r="M176" i="12"/>
  <c r="M174" i="12" s="1"/>
  <c r="O53" i="13"/>
  <c r="L47" i="13"/>
  <c r="Q24" i="13"/>
  <c r="U141" i="13"/>
  <c r="K168" i="13"/>
  <c r="I157" i="13"/>
  <c r="K157" i="13" s="1"/>
  <c r="I170" i="13"/>
  <c r="K170" i="13" s="1"/>
  <c r="P175" i="13"/>
  <c r="O179" i="13"/>
  <c r="L176" i="13"/>
  <c r="P188" i="13"/>
  <c r="M376" i="13"/>
  <c r="P376" i="13" s="1"/>
  <c r="P378" i="13"/>
  <c r="N62" i="12"/>
  <c r="N60" i="12" s="1"/>
  <c r="O145" i="12"/>
  <c r="P192" i="12"/>
  <c r="O309" i="12"/>
  <c r="K780" i="12"/>
  <c r="O141" i="13"/>
  <c r="M146" i="13"/>
  <c r="P146" i="13" s="1"/>
  <c r="P148" i="13"/>
  <c r="M161" i="13"/>
  <c r="P161" i="13" s="1"/>
  <c r="I169" i="13"/>
  <c r="K169" i="13" s="1"/>
  <c r="L177" i="13"/>
  <c r="O177" i="13" s="1"/>
  <c r="T163" i="12"/>
  <c r="Q731" i="12"/>
  <c r="Q729" i="12" s="1"/>
  <c r="K778" i="12"/>
  <c r="K781" i="12"/>
  <c r="M20" i="13"/>
  <c r="Q75" i="13"/>
  <c r="T75" i="13" s="1"/>
  <c r="P163" i="13"/>
  <c r="Q174" i="13"/>
  <c r="T174" i="13" s="1"/>
  <c r="M177" i="13"/>
  <c r="P177" i="13" s="1"/>
  <c r="P195" i="13"/>
  <c r="I239" i="13"/>
  <c r="K239" i="13" s="1"/>
  <c r="U335" i="13"/>
  <c r="R334" i="13"/>
  <c r="U334" i="13" s="1"/>
  <c r="N393" i="13"/>
  <c r="R416" i="13"/>
  <c r="U419" i="13"/>
  <c r="R417" i="13"/>
  <c r="U417" i="13" s="1"/>
  <c r="L494" i="13"/>
  <c r="O494" i="13" s="1"/>
  <c r="O495" i="13"/>
  <c r="R691" i="13"/>
  <c r="U691" i="13" s="1"/>
  <c r="U693" i="13"/>
  <c r="P730" i="13"/>
  <c r="M729" i="13"/>
  <c r="P729" i="13" s="1"/>
  <c r="S321" i="13"/>
  <c r="N337" i="13"/>
  <c r="P337" i="13" s="1"/>
  <c r="P339" i="13"/>
  <c r="I375" i="13"/>
  <c r="K375" i="13" s="1"/>
  <c r="T394" i="13"/>
  <c r="Q393" i="13"/>
  <c r="T393" i="13" s="1"/>
  <c r="U696" i="13"/>
  <c r="R694" i="13"/>
  <c r="L289" i="13"/>
  <c r="O289" i="13" s="1"/>
  <c r="O291" i="13"/>
  <c r="L285" i="13"/>
  <c r="O285" i="13" s="1"/>
  <c r="P305" i="13"/>
  <c r="M324" i="13"/>
  <c r="P324" i="13" s="1"/>
  <c r="P326" i="13"/>
  <c r="I366" i="13"/>
  <c r="K366" i="13" s="1"/>
  <c r="K372" i="13"/>
  <c r="T415" i="13"/>
  <c r="P557" i="13"/>
  <c r="M556" i="13"/>
  <c r="P556" i="13" s="1"/>
  <c r="I424" i="13"/>
  <c r="K441" i="13"/>
  <c r="M600" i="13"/>
  <c r="P600" i="13" s="1"/>
  <c r="P601" i="13"/>
  <c r="T377" i="13"/>
  <c r="I281" i="13"/>
  <c r="K281" i="13" s="1"/>
  <c r="L359" i="13"/>
  <c r="I457" i="13"/>
  <c r="K457" i="13" s="1"/>
  <c r="R556" i="13"/>
  <c r="U556" i="13" s="1"/>
  <c r="L577" i="13"/>
  <c r="O577" i="13" s="1"/>
  <c r="K631" i="13"/>
  <c r="T693" i="13"/>
  <c r="Q694" i="13"/>
  <c r="R715" i="13"/>
  <c r="U715" i="13" s="1"/>
  <c r="P716" i="13"/>
  <c r="T734" i="13"/>
  <c r="Q731" i="13"/>
  <c r="Q760" i="13"/>
  <c r="T760" i="13" s="1"/>
  <c r="T762" i="13"/>
  <c r="K778" i="13"/>
  <c r="K784" i="13"/>
  <c r="Q496" i="13"/>
  <c r="M617" i="13"/>
  <c r="P617" i="13" s="1"/>
  <c r="R619" i="13"/>
  <c r="K627" i="13"/>
  <c r="P644" i="13"/>
  <c r="U734" i="13"/>
  <c r="R731" i="13"/>
  <c r="I241" i="13"/>
  <c r="K241" i="13" s="1"/>
  <c r="S577" i="13"/>
  <c r="S731" i="13"/>
  <c r="S729" i="13" s="1"/>
  <c r="S732" i="13"/>
  <c r="I759" i="13"/>
  <c r="K759" i="13" s="1"/>
  <c r="K774" i="13"/>
  <c r="K782" i="13"/>
  <c r="Q357" i="13"/>
  <c r="T357" i="13" s="1"/>
  <c r="S379" i="13"/>
  <c r="M393" i="13"/>
  <c r="P393" i="13" s="1"/>
  <c r="U499" i="13"/>
  <c r="R496" i="13"/>
  <c r="U515" i="13"/>
  <c r="M577" i="13"/>
  <c r="P577" i="13" s="1"/>
  <c r="K633" i="13"/>
  <c r="T648" i="13"/>
  <c r="K674" i="13"/>
  <c r="L729" i="13"/>
  <c r="O729" i="13" s="1"/>
  <c r="L323" i="13"/>
  <c r="I333" i="13"/>
  <c r="M336" i="13"/>
  <c r="R378" i="13"/>
  <c r="M414" i="13"/>
  <c r="P414" i="13" s="1"/>
  <c r="L516" i="13"/>
  <c r="O516" i="13" s="1"/>
  <c r="K780" i="13"/>
  <c r="R762" i="13"/>
  <c r="M337" i="10"/>
  <c r="P337" i="10" s="1"/>
  <c r="L121" i="12"/>
  <c r="O121" i="12" s="1"/>
  <c r="O123" i="12"/>
  <c r="O81" i="12"/>
  <c r="L79" i="12"/>
  <c r="O79" i="12" s="1"/>
  <c r="L121" i="8"/>
  <c r="O121" i="8" s="1"/>
  <c r="I138" i="10"/>
  <c r="K138" i="10" s="1"/>
  <c r="P192" i="11"/>
  <c r="L235" i="11"/>
  <c r="O362" i="11"/>
  <c r="K155" i="12"/>
  <c r="N189" i="12"/>
  <c r="N187" i="12" s="1"/>
  <c r="Q307" i="12"/>
  <c r="T307" i="12" s="1"/>
  <c r="T309" i="12"/>
  <c r="L336" i="12"/>
  <c r="L334" i="12" s="1"/>
  <c r="L337" i="12"/>
  <c r="K504" i="12"/>
  <c r="S762" i="12"/>
  <c r="S760" i="12" s="1"/>
  <c r="S763" i="12"/>
  <c r="T765" i="12"/>
  <c r="P291" i="12"/>
  <c r="M289" i="12"/>
  <c r="P289" i="12" s="1"/>
  <c r="Q693" i="10"/>
  <c r="Q691" i="10" s="1"/>
  <c r="N336" i="11"/>
  <c r="N334" i="11" s="1"/>
  <c r="P360" i="11"/>
  <c r="S763" i="11"/>
  <c r="O53" i="12"/>
  <c r="L51" i="12"/>
  <c r="O51" i="12" s="1"/>
  <c r="L75" i="12"/>
  <c r="O75" i="12" s="1"/>
  <c r="O78" i="12"/>
  <c r="L76" i="12"/>
  <c r="O76" i="12" s="1"/>
  <c r="K261" i="12"/>
  <c r="I254" i="12"/>
  <c r="K254" i="12" s="1"/>
  <c r="I282" i="12"/>
  <c r="K282" i="12" s="1"/>
  <c r="K331" i="12"/>
  <c r="I320" i="12"/>
  <c r="K320" i="12" s="1"/>
  <c r="K706" i="12"/>
  <c r="T192" i="12"/>
  <c r="Q189" i="12"/>
  <c r="Q187" i="12" s="1"/>
  <c r="I616" i="9"/>
  <c r="K616" i="9" s="1"/>
  <c r="I94" i="11"/>
  <c r="K94" i="11" s="1"/>
  <c r="Q142" i="11"/>
  <c r="T142" i="11" s="1"/>
  <c r="L164" i="12"/>
  <c r="O164" i="12" s="1"/>
  <c r="O166" i="12"/>
  <c r="R646" i="12"/>
  <c r="R645" i="12"/>
  <c r="R643" i="12" s="1"/>
  <c r="U648" i="12"/>
  <c r="P365" i="12"/>
  <c r="M363" i="12"/>
  <c r="P363" i="12" s="1"/>
  <c r="Q306" i="1"/>
  <c r="R645" i="11"/>
  <c r="R643" i="11" s="1"/>
  <c r="U643" i="11" s="1"/>
  <c r="Q762" i="11"/>
  <c r="Q760" i="11" s="1"/>
  <c r="T760" i="11" s="1"/>
  <c r="R161" i="12"/>
  <c r="U161" i="12" s="1"/>
  <c r="R160" i="12"/>
  <c r="R158" i="12" s="1"/>
  <c r="U158" i="12" s="1"/>
  <c r="K250" i="12"/>
  <c r="I243" i="12"/>
  <c r="O291" i="12"/>
  <c r="L289" i="12"/>
  <c r="O289" i="12" s="1"/>
  <c r="S378" i="12"/>
  <c r="S376" i="12" s="1"/>
  <c r="S379" i="12"/>
  <c r="O519" i="12"/>
  <c r="L517" i="12"/>
  <c r="O517" i="12" s="1"/>
  <c r="U620" i="12"/>
  <c r="T648" i="12"/>
  <c r="S645" i="12"/>
  <c r="S643" i="12" s="1"/>
  <c r="I83" i="12"/>
  <c r="K83" i="12" s="1"/>
  <c r="I84" i="12"/>
  <c r="K84" i="12" s="1"/>
  <c r="I117" i="12"/>
  <c r="K117" i="12" s="1"/>
  <c r="N120" i="12"/>
  <c r="N118" i="12" s="1"/>
  <c r="O126" i="12"/>
  <c r="P179" i="12"/>
  <c r="L215" i="12"/>
  <c r="O215" i="12" s="1"/>
  <c r="L223" i="12"/>
  <c r="O223" i="12" s="1"/>
  <c r="L255" i="12"/>
  <c r="O255" i="12" s="1"/>
  <c r="J676" i="12"/>
  <c r="K676" i="12" s="1"/>
  <c r="J703" i="12"/>
  <c r="K85" i="12"/>
  <c r="K88" i="12"/>
  <c r="K109" i="12"/>
  <c r="K372" i="12"/>
  <c r="K704" i="12"/>
  <c r="P78" i="12"/>
  <c r="P145" i="12"/>
  <c r="T622" i="12"/>
  <c r="U121" i="12"/>
  <c r="O143" i="12"/>
  <c r="T270" i="12"/>
  <c r="L285" i="12"/>
  <c r="O285" i="12" s="1"/>
  <c r="O307" i="12"/>
  <c r="U309" i="12"/>
  <c r="P342" i="12"/>
  <c r="K347" i="12"/>
  <c r="T381" i="12"/>
  <c r="T97" i="12"/>
  <c r="Q645" i="8"/>
  <c r="Q643" i="8" s="1"/>
  <c r="K210" i="9"/>
  <c r="O48" i="10"/>
  <c r="S176" i="10"/>
  <c r="S174" i="10" s="1"/>
  <c r="I239" i="11"/>
  <c r="K239" i="11" s="1"/>
  <c r="I243" i="11"/>
  <c r="K243" i="11" s="1"/>
  <c r="M285" i="11"/>
  <c r="P285" i="11" s="1"/>
  <c r="L360" i="11"/>
  <c r="O360" i="11" s="1"/>
  <c r="M51" i="12"/>
  <c r="P51" i="12" s="1"/>
  <c r="L62" i="12"/>
  <c r="L60" i="12" s="1"/>
  <c r="L63" i="12"/>
  <c r="O63" i="12" s="1"/>
  <c r="N75" i="12"/>
  <c r="N73" i="12" s="1"/>
  <c r="R76" i="12"/>
  <c r="U76" i="12" s="1"/>
  <c r="S98" i="12"/>
  <c r="U98" i="12" s="1"/>
  <c r="P100" i="12"/>
  <c r="U100" i="12"/>
  <c r="L120" i="12"/>
  <c r="N142" i="12"/>
  <c r="O148" i="12"/>
  <c r="N176" i="12"/>
  <c r="N174" i="12" s="1"/>
  <c r="Q177" i="12"/>
  <c r="T177" i="12" s="1"/>
  <c r="I203" i="12"/>
  <c r="K203" i="12" s="1"/>
  <c r="L204" i="12"/>
  <c r="O204" i="12" s="1"/>
  <c r="I222" i="12"/>
  <c r="K222" i="12" s="1"/>
  <c r="I239" i="12"/>
  <c r="K239" i="12" s="1"/>
  <c r="K277" i="12"/>
  <c r="O288" i="12"/>
  <c r="K294" i="12"/>
  <c r="Q304" i="12"/>
  <c r="O312" i="12"/>
  <c r="L340" i="12"/>
  <c r="O340" i="12" s="1"/>
  <c r="M359" i="12"/>
  <c r="M357" i="12" s="1"/>
  <c r="I375" i="12"/>
  <c r="R496" i="12"/>
  <c r="U496" i="12" s="1"/>
  <c r="Q497" i="12"/>
  <c r="T497" i="12" s="1"/>
  <c r="T499" i="12"/>
  <c r="M176" i="10"/>
  <c r="M174" i="10" s="1"/>
  <c r="M124" i="11"/>
  <c r="P124" i="11" s="1"/>
  <c r="L310" i="11"/>
  <c r="O310" i="11" s="1"/>
  <c r="K366" i="11"/>
  <c r="R24" i="12"/>
  <c r="L48" i="12"/>
  <c r="N47" i="12"/>
  <c r="N45" i="12" s="1"/>
  <c r="M62" i="12"/>
  <c r="M60" i="12" s="1"/>
  <c r="Q75" i="12"/>
  <c r="T75" i="12" s="1"/>
  <c r="T78" i="12"/>
  <c r="R97" i="12"/>
  <c r="U97" i="12" s="1"/>
  <c r="M101" i="12"/>
  <c r="P101" i="12" s="1"/>
  <c r="O103" i="12"/>
  <c r="Q121" i="12"/>
  <c r="T121" i="12" s="1"/>
  <c r="N161" i="12"/>
  <c r="Q190" i="12"/>
  <c r="T190" i="12" s="1"/>
  <c r="N269" i="12"/>
  <c r="N267" i="12" s="1"/>
  <c r="U307" i="12"/>
  <c r="N323" i="12"/>
  <c r="N321" i="12" s="1"/>
  <c r="K369" i="12"/>
  <c r="Q378" i="12"/>
  <c r="Q376" i="12" s="1"/>
  <c r="K387" i="12"/>
  <c r="R417" i="12"/>
  <c r="U417" i="12" s="1"/>
  <c r="U499" i="12"/>
  <c r="T696" i="12"/>
  <c r="S693" i="12"/>
  <c r="S691" i="12" s="1"/>
  <c r="J702" i="12"/>
  <c r="U734" i="12"/>
  <c r="R732" i="12"/>
  <c r="L286" i="7"/>
  <c r="O286" i="7" s="1"/>
  <c r="M120" i="11"/>
  <c r="P120" i="11" s="1"/>
  <c r="R306" i="11"/>
  <c r="R304" i="11" s="1"/>
  <c r="K347" i="11"/>
  <c r="S24" i="12"/>
  <c r="S21" i="12" s="1"/>
  <c r="P50" i="12"/>
  <c r="R75" i="12"/>
  <c r="S95" i="12"/>
  <c r="O100" i="12"/>
  <c r="U123" i="12"/>
  <c r="Q161" i="12"/>
  <c r="T161" i="12" s="1"/>
  <c r="U163" i="12"/>
  <c r="Q176" i="12"/>
  <c r="T176" i="12" s="1"/>
  <c r="L193" i="12"/>
  <c r="O193" i="12" s="1"/>
  <c r="L237" i="12"/>
  <c r="P329" i="12"/>
  <c r="R378" i="12"/>
  <c r="Q379" i="12"/>
  <c r="S416" i="12"/>
  <c r="S414" i="12" s="1"/>
  <c r="M517" i="12"/>
  <c r="P517" i="12" s="1"/>
  <c r="P519" i="12"/>
  <c r="U622" i="12"/>
  <c r="S619" i="12"/>
  <c r="S617" i="12" s="1"/>
  <c r="U696" i="12"/>
  <c r="R762" i="12"/>
  <c r="R760" i="12" s="1"/>
  <c r="U765" i="12"/>
  <c r="R763" i="12"/>
  <c r="Q307" i="9"/>
  <c r="T307" i="9" s="1"/>
  <c r="O48" i="11"/>
  <c r="L97" i="12"/>
  <c r="L95" i="12" s="1"/>
  <c r="L244" i="12"/>
  <c r="O244" i="12" s="1"/>
  <c r="N359" i="12"/>
  <c r="N357" i="12" s="1"/>
  <c r="L75" i="11"/>
  <c r="L73" i="11" s="1"/>
  <c r="O73" i="11" s="1"/>
  <c r="L79" i="11"/>
  <c r="O79" i="11" s="1"/>
  <c r="N161" i="11"/>
  <c r="P161" i="11" s="1"/>
  <c r="U192" i="11"/>
  <c r="L234" i="11"/>
  <c r="M97" i="12"/>
  <c r="M95" i="12" s="1"/>
  <c r="L142" i="12"/>
  <c r="I157" i="12"/>
  <c r="K157" i="12" s="1"/>
  <c r="Q160" i="12"/>
  <c r="P177" i="12"/>
  <c r="N285" i="12"/>
  <c r="N283" i="12" s="1"/>
  <c r="L306" i="12"/>
  <c r="L304" i="12" s="1"/>
  <c r="L363" i="12"/>
  <c r="O363" i="12" s="1"/>
  <c r="K682" i="12"/>
  <c r="Q693" i="12"/>
  <c r="Q691" i="12" s="1"/>
  <c r="K680" i="12"/>
  <c r="K710" i="12"/>
  <c r="K782" i="12"/>
  <c r="K728" i="12"/>
  <c r="P20" i="12"/>
  <c r="I94" i="12"/>
  <c r="K94" i="12" s="1"/>
  <c r="K110" i="12"/>
  <c r="P119" i="12"/>
  <c r="M121" i="12"/>
  <c r="P121" i="12" s="1"/>
  <c r="P123" i="12"/>
  <c r="M124" i="12"/>
  <c r="P124" i="12" s="1"/>
  <c r="P126" i="12"/>
  <c r="O179" i="12"/>
  <c r="L176" i="12"/>
  <c r="L177" i="12"/>
  <c r="O177" i="12" s="1"/>
  <c r="L180" i="12"/>
  <c r="O180" i="12" s="1"/>
  <c r="O182" i="12"/>
  <c r="O192" i="12"/>
  <c r="L189" i="12"/>
  <c r="K231" i="12"/>
  <c r="I241" i="12"/>
  <c r="K241" i="12" s="1"/>
  <c r="K252" i="12"/>
  <c r="S289" i="1"/>
  <c r="I93" i="10"/>
  <c r="K93" i="10" s="1"/>
  <c r="O179" i="11"/>
  <c r="N269" i="11"/>
  <c r="N267" i="11" s="1"/>
  <c r="M286" i="11"/>
  <c r="P286" i="11" s="1"/>
  <c r="S378" i="11"/>
  <c r="S376" i="11" s="1"/>
  <c r="K458" i="11"/>
  <c r="R693" i="11"/>
  <c r="R691" i="11" s="1"/>
  <c r="Q20" i="12"/>
  <c r="L24" i="12"/>
  <c r="S25" i="12"/>
  <c r="M66" i="12"/>
  <c r="P66" i="12" s="1"/>
  <c r="U96" i="12"/>
  <c r="S120" i="12"/>
  <c r="I139" i="12"/>
  <c r="K139" i="12" s="1"/>
  <c r="T141" i="12"/>
  <c r="Q140" i="12"/>
  <c r="T140" i="12" s="1"/>
  <c r="M193" i="12"/>
  <c r="P193" i="12" s="1"/>
  <c r="P195" i="12"/>
  <c r="M189" i="12"/>
  <c r="R283" i="12"/>
  <c r="U283" i="12" s="1"/>
  <c r="U284" i="12"/>
  <c r="L327" i="12"/>
  <c r="O327" i="12" s="1"/>
  <c r="O329" i="12"/>
  <c r="T618" i="12"/>
  <c r="I493" i="11"/>
  <c r="K493" i="11" s="1"/>
  <c r="P23" i="12"/>
  <c r="M24" i="12"/>
  <c r="M22" i="12" s="1"/>
  <c r="M47" i="12"/>
  <c r="P81" i="12"/>
  <c r="M120" i="12"/>
  <c r="P120" i="12" s="1"/>
  <c r="M143" i="12"/>
  <c r="P143" i="12" s="1"/>
  <c r="L234" i="12"/>
  <c r="O284" i="12"/>
  <c r="N337" i="12"/>
  <c r="N336" i="12"/>
  <c r="N334" i="12" s="1"/>
  <c r="I94" i="10"/>
  <c r="K94" i="10" s="1"/>
  <c r="K662" i="10"/>
  <c r="K683" i="10"/>
  <c r="N47" i="11"/>
  <c r="N45" i="11" s="1"/>
  <c r="Q143" i="11"/>
  <c r="T143" i="11" s="1"/>
  <c r="K154" i="11"/>
  <c r="L289" i="11"/>
  <c r="O289" i="11" s="1"/>
  <c r="L336" i="11"/>
  <c r="L334" i="11" s="1"/>
  <c r="T419" i="11"/>
  <c r="K783" i="11"/>
  <c r="S20" i="12"/>
  <c r="Q25" i="12"/>
  <c r="T25" i="12" s="1"/>
  <c r="L27" i="12"/>
  <c r="U27" i="12"/>
  <c r="R45" i="12"/>
  <c r="U45" i="12" s="1"/>
  <c r="O50" i="12"/>
  <c r="T61" i="12"/>
  <c r="P65" i="12"/>
  <c r="P68" i="12"/>
  <c r="T74" i="12"/>
  <c r="O96" i="12"/>
  <c r="T100" i="12"/>
  <c r="Q24" i="12"/>
  <c r="T123" i="12"/>
  <c r="Q143" i="12"/>
  <c r="T143" i="12" s="1"/>
  <c r="T145" i="12"/>
  <c r="I138" i="12"/>
  <c r="K138" i="12" s="1"/>
  <c r="K153" i="12"/>
  <c r="P159" i="12"/>
  <c r="M161" i="12"/>
  <c r="P161" i="12" s="1"/>
  <c r="P163" i="12"/>
  <c r="M164" i="12"/>
  <c r="P164" i="12" s="1"/>
  <c r="P166" i="12"/>
  <c r="T188" i="12"/>
  <c r="R321" i="12"/>
  <c r="U321" i="12" s="1"/>
  <c r="U323" i="12"/>
  <c r="Q417" i="12"/>
  <c r="T417" i="12" s="1"/>
  <c r="T419" i="12"/>
  <c r="Q416" i="12"/>
  <c r="T416" i="12" s="1"/>
  <c r="M51" i="10"/>
  <c r="P51" i="10" s="1"/>
  <c r="O65" i="10"/>
  <c r="M520" i="10"/>
  <c r="P520" i="10" s="1"/>
  <c r="P123" i="11"/>
  <c r="S143" i="11"/>
  <c r="P166" i="11"/>
  <c r="M323" i="11"/>
  <c r="P323" i="11" s="1"/>
  <c r="K369" i="11"/>
  <c r="K372" i="11"/>
  <c r="M27" i="12"/>
  <c r="P27" i="12" s="1"/>
  <c r="Q95" i="12"/>
  <c r="K93" i="12"/>
  <c r="S160" i="12"/>
  <c r="S158" i="12" s="1"/>
  <c r="J344" i="12"/>
  <c r="J333" i="12"/>
  <c r="Q357" i="12"/>
  <c r="T357" i="12" s="1"/>
  <c r="T358" i="12"/>
  <c r="T377" i="12"/>
  <c r="P272" i="9"/>
  <c r="P360" i="10"/>
  <c r="L190" i="11"/>
  <c r="U272" i="11"/>
  <c r="U309" i="11"/>
  <c r="M324" i="11"/>
  <c r="P324" i="11" s="1"/>
  <c r="J676" i="11"/>
  <c r="N48" i="12"/>
  <c r="N24" i="12"/>
  <c r="M75" i="12"/>
  <c r="U179" i="12"/>
  <c r="R176" i="12"/>
  <c r="L190" i="12"/>
  <c r="O190" i="12" s="1"/>
  <c r="U192" i="12"/>
  <c r="R189" i="12"/>
  <c r="R190" i="12"/>
  <c r="U190" i="12" s="1"/>
  <c r="M270" i="12"/>
  <c r="P270" i="12" s="1"/>
  <c r="M269" i="12"/>
  <c r="P272" i="12"/>
  <c r="I333" i="12"/>
  <c r="K345" i="12"/>
  <c r="N27" i="12"/>
  <c r="N25" i="12" s="1"/>
  <c r="R269" i="12"/>
  <c r="L273" i="12"/>
  <c r="O273" i="12" s="1"/>
  <c r="M306" i="12"/>
  <c r="M304" i="12" s="1"/>
  <c r="L323" i="12"/>
  <c r="O326" i="12"/>
  <c r="Q334" i="12"/>
  <c r="T334" i="12" s="1"/>
  <c r="M336" i="12"/>
  <c r="P339" i="12"/>
  <c r="K366" i="12"/>
  <c r="L269" i="12"/>
  <c r="O269" i="12" s="1"/>
  <c r="S269" i="12"/>
  <c r="S267" i="12" s="1"/>
  <c r="Q283" i="12"/>
  <c r="T283" i="12" s="1"/>
  <c r="N306" i="12"/>
  <c r="N304" i="12" s="1"/>
  <c r="M323" i="12"/>
  <c r="P323" i="12" s="1"/>
  <c r="P326" i="12"/>
  <c r="M556" i="12"/>
  <c r="P556" i="12" s="1"/>
  <c r="P558" i="12"/>
  <c r="I214" i="12"/>
  <c r="K214" i="12" s="1"/>
  <c r="N273" i="12"/>
  <c r="O362" i="12"/>
  <c r="N360" i="12"/>
  <c r="O360" i="12" s="1"/>
  <c r="L270" i="12"/>
  <c r="O270" i="12" s="1"/>
  <c r="U272" i="12"/>
  <c r="M285" i="12"/>
  <c r="P309" i="12"/>
  <c r="O339" i="12"/>
  <c r="J352" i="12"/>
  <c r="P362" i="12"/>
  <c r="U415" i="12"/>
  <c r="K266" i="12"/>
  <c r="L359" i="12"/>
  <c r="R379" i="12"/>
  <c r="U379" i="12" s="1"/>
  <c r="L494" i="12"/>
  <c r="O494" i="12" s="1"/>
  <c r="Q494" i="12"/>
  <c r="T494" i="12" s="1"/>
  <c r="T496" i="12"/>
  <c r="U618" i="12"/>
  <c r="L643" i="12"/>
  <c r="O643" i="12" s="1"/>
  <c r="O645" i="12"/>
  <c r="K708" i="12"/>
  <c r="I690" i="12"/>
  <c r="K690" i="12" s="1"/>
  <c r="P515" i="12"/>
  <c r="L520" i="12"/>
  <c r="O520" i="12" s="1"/>
  <c r="O522" i="12"/>
  <c r="L516" i="12"/>
  <c r="Q535" i="12"/>
  <c r="T535" i="12" s="1"/>
  <c r="T557" i="12"/>
  <c r="Q556" i="12"/>
  <c r="T556" i="12" s="1"/>
  <c r="Q577" i="12"/>
  <c r="T577" i="12" s="1"/>
  <c r="O618" i="12"/>
  <c r="L617" i="12"/>
  <c r="O617" i="12" s="1"/>
  <c r="Q760" i="12"/>
  <c r="Q393" i="12"/>
  <c r="T393" i="12" s="1"/>
  <c r="N414" i="12"/>
  <c r="M520" i="12"/>
  <c r="P520" i="12" s="1"/>
  <c r="P522" i="12"/>
  <c r="M516" i="12"/>
  <c r="P516" i="12" s="1"/>
  <c r="U557" i="12"/>
  <c r="R556" i="12"/>
  <c r="U556" i="12" s="1"/>
  <c r="K616" i="12"/>
  <c r="N617" i="12"/>
  <c r="M617" i="12"/>
  <c r="P617" i="12" s="1"/>
  <c r="P619" i="12"/>
  <c r="K633" i="12"/>
  <c r="K632" i="12"/>
  <c r="K631" i="12"/>
  <c r="K627" i="12"/>
  <c r="K630" i="12"/>
  <c r="L691" i="12"/>
  <c r="O691" i="12" s="1"/>
  <c r="O693" i="12"/>
  <c r="T415" i="12"/>
  <c r="J504" i="12"/>
  <c r="J493" i="12" s="1"/>
  <c r="K506" i="12"/>
  <c r="O557" i="12"/>
  <c r="L556" i="12"/>
  <c r="O556" i="12" s="1"/>
  <c r="S731" i="12"/>
  <c r="S729" i="12" s="1"/>
  <c r="T734" i="12"/>
  <c r="S732" i="12"/>
  <c r="T732" i="12" s="1"/>
  <c r="I759" i="12"/>
  <c r="K759" i="12" s="1"/>
  <c r="K774" i="12"/>
  <c r="Q620" i="12"/>
  <c r="T620" i="12" s="1"/>
  <c r="R731" i="12"/>
  <c r="J675" i="12"/>
  <c r="K675" i="12" s="1"/>
  <c r="I702" i="12"/>
  <c r="Q619" i="12"/>
  <c r="P693" i="12"/>
  <c r="T717" i="12"/>
  <c r="O762" i="12"/>
  <c r="R416" i="12"/>
  <c r="U416" i="12" s="1"/>
  <c r="S646" i="12"/>
  <c r="S694" i="12"/>
  <c r="P148" i="11"/>
  <c r="M146" i="11"/>
  <c r="P146" i="11" s="1"/>
  <c r="P519" i="10"/>
  <c r="M517" i="10"/>
  <c r="P517" i="10" s="1"/>
  <c r="P81" i="11"/>
  <c r="M79" i="11"/>
  <c r="P79" i="11" s="1"/>
  <c r="O145" i="11"/>
  <c r="L142" i="11"/>
  <c r="O142" i="11" s="1"/>
  <c r="L143" i="11"/>
  <c r="O143" i="11" s="1"/>
  <c r="K261" i="11"/>
  <c r="I254" i="11"/>
  <c r="K254" i="11" s="1"/>
  <c r="P522" i="11"/>
  <c r="M520" i="11"/>
  <c r="P520" i="11" s="1"/>
  <c r="Q619" i="10"/>
  <c r="Q617" i="10" s="1"/>
  <c r="T622" i="10"/>
  <c r="O126" i="11"/>
  <c r="L124" i="11"/>
  <c r="O124" i="11" s="1"/>
  <c r="P145" i="11"/>
  <c r="M143" i="11"/>
  <c r="P143" i="11" s="1"/>
  <c r="L146" i="11"/>
  <c r="O146" i="11" s="1"/>
  <c r="L237" i="11"/>
  <c r="P291" i="11"/>
  <c r="M289" i="11"/>
  <c r="P289" i="11" s="1"/>
  <c r="J504" i="11"/>
  <c r="J493" i="11" s="1"/>
  <c r="O522" i="11"/>
  <c r="L520" i="11"/>
  <c r="O520" i="11" s="1"/>
  <c r="P519" i="9"/>
  <c r="M517" i="9"/>
  <c r="P517" i="9" s="1"/>
  <c r="K372" i="10"/>
  <c r="I366" i="10"/>
  <c r="K366" i="10" s="1"/>
  <c r="S24" i="11"/>
  <c r="S21" i="11" s="1"/>
  <c r="S75" i="11"/>
  <c r="S73" i="11" s="1"/>
  <c r="I222" i="11"/>
  <c r="K222" i="11" s="1"/>
  <c r="K230" i="11"/>
  <c r="O275" i="11"/>
  <c r="L273" i="11"/>
  <c r="O273" i="11" s="1"/>
  <c r="I281" i="11"/>
  <c r="K281" i="11" s="1"/>
  <c r="K345" i="11"/>
  <c r="I333" i="11"/>
  <c r="Q645" i="11"/>
  <c r="T645" i="11" s="1"/>
  <c r="T648" i="11"/>
  <c r="Q646" i="11"/>
  <c r="T646" i="11" s="1"/>
  <c r="Q693" i="11"/>
  <c r="Q691" i="11" s="1"/>
  <c r="T696" i="11"/>
  <c r="Q694" i="11"/>
  <c r="K128" i="9"/>
  <c r="I117" i="9"/>
  <c r="K117" i="9" s="1"/>
  <c r="L24" i="11"/>
  <c r="L22" i="11" s="1"/>
  <c r="U100" i="11"/>
  <c r="R97" i="11"/>
  <c r="U97" i="11" s="1"/>
  <c r="L161" i="11"/>
  <c r="L160" i="11"/>
  <c r="L158" i="11" s="1"/>
  <c r="M193" i="11"/>
  <c r="P193" i="11" s="1"/>
  <c r="P195" i="11"/>
  <c r="Q270" i="11"/>
  <c r="Q269" i="11"/>
  <c r="Q267" i="11" s="1"/>
  <c r="J344" i="11"/>
  <c r="Q497" i="11"/>
  <c r="T497" i="11" s="1"/>
  <c r="T499" i="11"/>
  <c r="M76" i="11"/>
  <c r="P76" i="11" s="1"/>
  <c r="P78" i="11"/>
  <c r="M75" i="11"/>
  <c r="N177" i="11"/>
  <c r="O177" i="11" s="1"/>
  <c r="N176" i="11"/>
  <c r="N174" i="11" s="1"/>
  <c r="P312" i="11"/>
  <c r="M310" i="11"/>
  <c r="P310" i="11" s="1"/>
  <c r="Q416" i="11"/>
  <c r="T416" i="11" s="1"/>
  <c r="I702" i="11"/>
  <c r="N120" i="11"/>
  <c r="N118" i="11" s="1"/>
  <c r="Q176" i="11"/>
  <c r="T176" i="11" s="1"/>
  <c r="K331" i="11"/>
  <c r="M180" i="9"/>
  <c r="P180" i="9" s="1"/>
  <c r="O63" i="11"/>
  <c r="T78" i="11"/>
  <c r="K221" i="11"/>
  <c r="L244" i="11"/>
  <c r="O244" i="11" s="1"/>
  <c r="N359" i="11"/>
  <c r="N357" i="11" s="1"/>
  <c r="S643" i="11"/>
  <c r="S691" i="11"/>
  <c r="J703" i="11"/>
  <c r="M176" i="9"/>
  <c r="M174" i="9" s="1"/>
  <c r="N359" i="10"/>
  <c r="N357" i="10" s="1"/>
  <c r="K680" i="10"/>
  <c r="K785" i="10"/>
  <c r="Q76" i="11"/>
  <c r="T76" i="11" s="1"/>
  <c r="R143" i="11"/>
  <c r="U143" i="11" s="1"/>
  <c r="Q177" i="11"/>
  <c r="T177" i="11" s="1"/>
  <c r="L215" i="11"/>
  <c r="O215" i="11" s="1"/>
  <c r="L255" i="11"/>
  <c r="O255" i="11" s="1"/>
  <c r="O326" i="11"/>
  <c r="N323" i="11"/>
  <c r="N321" i="11" s="1"/>
  <c r="N363" i="11"/>
  <c r="U381" i="11"/>
  <c r="M516" i="11"/>
  <c r="P516" i="11" s="1"/>
  <c r="S646" i="11"/>
  <c r="U648" i="11"/>
  <c r="S694" i="11"/>
  <c r="U694" i="11" s="1"/>
  <c r="U696" i="11"/>
  <c r="J676" i="8"/>
  <c r="K676" i="8" s="1"/>
  <c r="S189" i="9"/>
  <c r="S187" i="9" s="1"/>
  <c r="I375" i="9"/>
  <c r="K375" i="9" s="1"/>
  <c r="P63" i="10"/>
  <c r="L98" i="10"/>
  <c r="O98" i="10" s="1"/>
  <c r="S416" i="10"/>
  <c r="S414" i="10" s="1"/>
  <c r="P63" i="11"/>
  <c r="Q73" i="11"/>
  <c r="T73" i="11" s="1"/>
  <c r="I84" i="11"/>
  <c r="I72" i="11" s="1"/>
  <c r="K72" i="11" s="1"/>
  <c r="Q98" i="11"/>
  <c r="T100" i="11"/>
  <c r="K109" i="11"/>
  <c r="R140" i="11"/>
  <c r="U140" i="11" s="1"/>
  <c r="U145" i="11"/>
  <c r="M160" i="11"/>
  <c r="S160" i="11"/>
  <c r="S158" i="11" s="1"/>
  <c r="R176" i="11"/>
  <c r="R177" i="11"/>
  <c r="U177" i="11" s="1"/>
  <c r="M189" i="11"/>
  <c r="N190" i="11"/>
  <c r="R270" i="11"/>
  <c r="O288" i="11"/>
  <c r="S306" i="11"/>
  <c r="S307" i="11"/>
  <c r="U307" i="11" s="1"/>
  <c r="M327" i="11"/>
  <c r="P327" i="11" s="1"/>
  <c r="L359" i="11"/>
  <c r="O365" i="11"/>
  <c r="T379" i="11"/>
  <c r="U622" i="11"/>
  <c r="K779" i="11"/>
  <c r="K785" i="11"/>
  <c r="Q731" i="8"/>
  <c r="Q729" i="8" s="1"/>
  <c r="T729" i="8" s="1"/>
  <c r="L289" i="10"/>
  <c r="O289" i="10" s="1"/>
  <c r="R73" i="11"/>
  <c r="U73" i="11" s="1"/>
  <c r="L76" i="11"/>
  <c r="O76" i="11" s="1"/>
  <c r="K90" i="11"/>
  <c r="S98" i="11"/>
  <c r="M121" i="11"/>
  <c r="P121" i="11" s="1"/>
  <c r="O163" i="11"/>
  <c r="L164" i="11"/>
  <c r="O164" i="11" s="1"/>
  <c r="N189" i="11"/>
  <c r="N187" i="11" s="1"/>
  <c r="Q190" i="11"/>
  <c r="O192" i="11"/>
  <c r="I203" i="11"/>
  <c r="K203" i="11" s="1"/>
  <c r="L204" i="11"/>
  <c r="O204" i="11" s="1"/>
  <c r="R269" i="11"/>
  <c r="R267" i="11" s="1"/>
  <c r="L306" i="11"/>
  <c r="O306" i="11" s="1"/>
  <c r="L307" i="11"/>
  <c r="O307" i="11" s="1"/>
  <c r="K315" i="11"/>
  <c r="N327" i="11"/>
  <c r="P329" i="11"/>
  <c r="L340" i="11"/>
  <c r="O340" i="11" s="1"/>
  <c r="P362" i="11"/>
  <c r="K441" i="11"/>
  <c r="O519" i="11"/>
  <c r="Q619" i="11"/>
  <c r="T619" i="11" s="1"/>
  <c r="I758" i="11"/>
  <c r="K758" i="11" s="1"/>
  <c r="Q763" i="11"/>
  <c r="T763" i="11" s="1"/>
  <c r="M161" i="9"/>
  <c r="P161" i="9" s="1"/>
  <c r="Q142" i="9"/>
  <c r="K783" i="9"/>
  <c r="M289" i="10"/>
  <c r="P289" i="10" s="1"/>
  <c r="P48" i="11"/>
  <c r="O78" i="11"/>
  <c r="U78" i="11"/>
  <c r="O103" i="11"/>
  <c r="P163" i="11"/>
  <c r="L176" i="11"/>
  <c r="L180" i="11"/>
  <c r="O180" i="11" s="1"/>
  <c r="Q187" i="11"/>
  <c r="R190" i="11"/>
  <c r="M306" i="11"/>
  <c r="M307" i="11"/>
  <c r="P307" i="11" s="1"/>
  <c r="O339" i="11"/>
  <c r="O342" i="11"/>
  <c r="J333" i="11"/>
  <c r="T381" i="11"/>
  <c r="L516" i="11"/>
  <c r="O516" i="11" s="1"/>
  <c r="R619" i="11"/>
  <c r="R763" i="11"/>
  <c r="U763" i="11" s="1"/>
  <c r="M120" i="10"/>
  <c r="P120" i="10" s="1"/>
  <c r="L269" i="10"/>
  <c r="O269" i="10" s="1"/>
  <c r="I282" i="10"/>
  <c r="K282" i="10" s="1"/>
  <c r="M27" i="11"/>
  <c r="P27" i="11" s="1"/>
  <c r="K93" i="11"/>
  <c r="L270" i="11"/>
  <c r="O270" i="11" s="1"/>
  <c r="P337" i="11"/>
  <c r="J375" i="11"/>
  <c r="P63" i="9"/>
  <c r="P65" i="9"/>
  <c r="P145" i="9"/>
  <c r="N27" i="11"/>
  <c r="N25" i="11" s="1"/>
  <c r="Q24" i="11"/>
  <c r="I117" i="11"/>
  <c r="K117" i="11" s="1"/>
  <c r="M142" i="11"/>
  <c r="P142" i="11" s="1"/>
  <c r="Q160" i="11"/>
  <c r="T160" i="11" s="1"/>
  <c r="L269" i="11"/>
  <c r="Q306" i="11"/>
  <c r="O337" i="11"/>
  <c r="J352" i="11"/>
  <c r="R378" i="11"/>
  <c r="U378" i="11" s="1"/>
  <c r="K704" i="11"/>
  <c r="K781" i="11"/>
  <c r="T20" i="11"/>
  <c r="N62" i="10"/>
  <c r="N60" i="10" s="1"/>
  <c r="L63" i="10"/>
  <c r="O63" i="10" s="1"/>
  <c r="Q97" i="10"/>
  <c r="Q95" i="10" s="1"/>
  <c r="R189" i="10"/>
  <c r="R187" i="10" s="1"/>
  <c r="I242" i="10"/>
  <c r="K242" i="10" s="1"/>
  <c r="J676" i="10"/>
  <c r="K676" i="10" s="1"/>
  <c r="P20" i="11"/>
  <c r="P26" i="11"/>
  <c r="O50" i="11"/>
  <c r="P53" i="11"/>
  <c r="M47" i="11"/>
  <c r="U61" i="11"/>
  <c r="P96" i="11"/>
  <c r="N97" i="11"/>
  <c r="N95" i="11" s="1"/>
  <c r="L327" i="11"/>
  <c r="O327" i="11" s="1"/>
  <c r="O329" i="11"/>
  <c r="L323" i="11"/>
  <c r="O323" i="11" s="1"/>
  <c r="T734" i="8"/>
  <c r="Q97" i="9"/>
  <c r="T97" i="9" s="1"/>
  <c r="Q75" i="10"/>
  <c r="T75" i="10" s="1"/>
  <c r="M189" i="10"/>
  <c r="M187" i="10" s="1"/>
  <c r="I196" i="10"/>
  <c r="K196" i="10" s="1"/>
  <c r="Q306" i="10"/>
  <c r="Q304" i="10" s="1"/>
  <c r="U381" i="10"/>
  <c r="R645" i="10"/>
  <c r="R643" i="10" s="1"/>
  <c r="P50" i="11"/>
  <c r="N62" i="11"/>
  <c r="N60" i="11" s="1"/>
  <c r="T97" i="11"/>
  <c r="P103" i="11"/>
  <c r="M101" i="11"/>
  <c r="P101" i="11" s="1"/>
  <c r="I375" i="11"/>
  <c r="K387" i="11"/>
  <c r="L75" i="8"/>
  <c r="O75" i="8" s="1"/>
  <c r="K710" i="8"/>
  <c r="R379" i="9"/>
  <c r="U379" i="9" s="1"/>
  <c r="N160" i="10"/>
  <c r="N158" i="10" s="1"/>
  <c r="L215" i="10"/>
  <c r="O215" i="10" s="1"/>
  <c r="K677" i="10"/>
  <c r="K783" i="10"/>
  <c r="R20" i="11"/>
  <c r="P100" i="11"/>
  <c r="M98" i="11"/>
  <c r="P98" i="11" s="1"/>
  <c r="M97" i="11"/>
  <c r="P97" i="11" s="1"/>
  <c r="S140" i="11"/>
  <c r="K155" i="11"/>
  <c r="I137" i="11"/>
  <c r="K137" i="11" s="1"/>
  <c r="M270" i="11"/>
  <c r="P270" i="11" s="1"/>
  <c r="P272" i="11"/>
  <c r="M269" i="11"/>
  <c r="M340" i="11"/>
  <c r="P340" i="11" s="1"/>
  <c r="P342" i="11"/>
  <c r="T496" i="11"/>
  <c r="Q494" i="11"/>
  <c r="T494" i="11" s="1"/>
  <c r="R379" i="10"/>
  <c r="U379" i="10" s="1"/>
  <c r="R417" i="10"/>
  <c r="U417" i="10" s="1"/>
  <c r="P23" i="11"/>
  <c r="L66" i="11"/>
  <c r="O66" i="11" s="1"/>
  <c r="O68" i="11"/>
  <c r="L62" i="11"/>
  <c r="Q334" i="11"/>
  <c r="T334" i="11" s="1"/>
  <c r="T335" i="11"/>
  <c r="K184" i="8"/>
  <c r="R189" i="9"/>
  <c r="U189" i="9" s="1"/>
  <c r="M146" i="10"/>
  <c r="P146" i="10" s="1"/>
  <c r="Q496" i="10"/>
  <c r="T496" i="10" s="1"/>
  <c r="R619" i="10"/>
  <c r="R617" i="10" s="1"/>
  <c r="K778" i="10"/>
  <c r="K781" i="10"/>
  <c r="N20" i="11"/>
  <c r="M24" i="11"/>
  <c r="M22" i="11" s="1"/>
  <c r="O65" i="11"/>
  <c r="P68" i="11"/>
  <c r="M62" i="11"/>
  <c r="S95" i="11"/>
  <c r="T95" i="11" s="1"/>
  <c r="U123" i="11"/>
  <c r="R120" i="11"/>
  <c r="S177" i="11"/>
  <c r="S176" i="11"/>
  <c r="S174" i="11" s="1"/>
  <c r="K184" i="11"/>
  <c r="I173" i="11"/>
  <c r="K173" i="11" s="1"/>
  <c r="K277" i="11"/>
  <c r="I266" i="11"/>
  <c r="K266" i="11" s="1"/>
  <c r="K683" i="8"/>
  <c r="S143" i="10"/>
  <c r="N24" i="11"/>
  <c r="N22" i="11" s="1"/>
  <c r="L51" i="11"/>
  <c r="O51" i="11" s="1"/>
  <c r="L27" i="11"/>
  <c r="O53" i="11"/>
  <c r="L47" i="11"/>
  <c r="P65" i="11"/>
  <c r="N75" i="11"/>
  <c r="N73" i="11" s="1"/>
  <c r="R98" i="11"/>
  <c r="R24" i="11"/>
  <c r="L121" i="11"/>
  <c r="O121" i="11" s="1"/>
  <c r="O123" i="11"/>
  <c r="L120" i="11"/>
  <c r="S121" i="11"/>
  <c r="U121" i="11" s="1"/>
  <c r="S120" i="11"/>
  <c r="S118" i="11" s="1"/>
  <c r="O141" i="11"/>
  <c r="M177" i="11"/>
  <c r="M176" i="11"/>
  <c r="P179" i="11"/>
  <c r="M180" i="11"/>
  <c r="P180" i="11" s="1"/>
  <c r="P182" i="11"/>
  <c r="M376" i="11"/>
  <c r="P376" i="11" s="1"/>
  <c r="P377" i="11"/>
  <c r="O305" i="11"/>
  <c r="T309" i="11"/>
  <c r="P365" i="11"/>
  <c r="S497" i="11"/>
  <c r="L97" i="11"/>
  <c r="O97" i="11" s="1"/>
  <c r="O100" i="11"/>
  <c r="N142" i="11"/>
  <c r="N140" i="11" s="1"/>
  <c r="T188" i="11"/>
  <c r="T192" i="11"/>
  <c r="S190" i="11"/>
  <c r="N306" i="11"/>
  <c r="N304" i="11" s="1"/>
  <c r="P322" i="11"/>
  <c r="S334" i="11"/>
  <c r="T358" i="11"/>
  <c r="K633" i="11"/>
  <c r="K632" i="11"/>
  <c r="K631" i="11"/>
  <c r="K627" i="11"/>
  <c r="K630" i="11"/>
  <c r="I83" i="11"/>
  <c r="I138" i="11"/>
  <c r="K138" i="11" s="1"/>
  <c r="K153" i="11"/>
  <c r="I170" i="11"/>
  <c r="K170" i="11" s="1"/>
  <c r="I169" i="11"/>
  <c r="K169" i="11" s="1"/>
  <c r="K168" i="11"/>
  <c r="S189" i="11"/>
  <c r="T189" i="11" s="1"/>
  <c r="I196" i="11"/>
  <c r="K196" i="11" s="1"/>
  <c r="L223" i="11"/>
  <c r="O223" i="11" s="1"/>
  <c r="L236" i="11"/>
  <c r="P275" i="11"/>
  <c r="U284" i="11"/>
  <c r="P339" i="11"/>
  <c r="K370" i="11"/>
  <c r="S416" i="11"/>
  <c r="S414" i="11" s="1"/>
  <c r="M617" i="11"/>
  <c r="P617" i="11" s="1"/>
  <c r="P619" i="11"/>
  <c r="S731" i="11"/>
  <c r="S729" i="11" s="1"/>
  <c r="S732" i="11"/>
  <c r="U732" i="11" s="1"/>
  <c r="S267" i="11"/>
  <c r="U394" i="11"/>
  <c r="R393" i="11"/>
  <c r="U393" i="11" s="1"/>
  <c r="U515" i="11"/>
  <c r="R514" i="11"/>
  <c r="U514" i="11" s="1"/>
  <c r="M517" i="11"/>
  <c r="P517" i="11" s="1"/>
  <c r="P519" i="11"/>
  <c r="L691" i="11"/>
  <c r="O691" i="11" s="1"/>
  <c r="O693" i="11"/>
  <c r="K708" i="11"/>
  <c r="I690" i="11"/>
  <c r="K690" i="11" s="1"/>
  <c r="T123" i="11"/>
  <c r="T272" i="11"/>
  <c r="S270" i="11"/>
  <c r="N285" i="11"/>
  <c r="N283" i="11" s="1"/>
  <c r="K303" i="11"/>
  <c r="M336" i="11"/>
  <c r="M359" i="11"/>
  <c r="L393" i="11"/>
  <c r="O393" i="11" s="1"/>
  <c r="T163" i="11"/>
  <c r="L285" i="11"/>
  <c r="O285" i="11" s="1"/>
  <c r="L376" i="11"/>
  <c r="O376" i="11" s="1"/>
  <c r="T415" i="11"/>
  <c r="Q514" i="11"/>
  <c r="T514" i="11" s="1"/>
  <c r="N516" i="11"/>
  <c r="N514" i="11" s="1"/>
  <c r="Q556" i="11"/>
  <c r="T556" i="11" s="1"/>
  <c r="T618" i="11"/>
  <c r="K710" i="11"/>
  <c r="K778" i="11"/>
  <c r="K784" i="11"/>
  <c r="Q378" i="11"/>
  <c r="I413" i="11"/>
  <c r="K413" i="11" s="1"/>
  <c r="U499" i="11"/>
  <c r="R496" i="11"/>
  <c r="U496" i="11" s="1"/>
  <c r="P536" i="11"/>
  <c r="M535" i="11"/>
  <c r="P535" i="11" s="1"/>
  <c r="L643" i="11"/>
  <c r="O643" i="11" s="1"/>
  <c r="O645" i="11"/>
  <c r="U734" i="11"/>
  <c r="I759" i="11"/>
  <c r="K759" i="11" s="1"/>
  <c r="K774" i="11"/>
  <c r="K782" i="11"/>
  <c r="Q283" i="11"/>
  <c r="T283" i="11" s="1"/>
  <c r="O515" i="11"/>
  <c r="S514" i="11"/>
  <c r="K780" i="11"/>
  <c r="M577" i="11"/>
  <c r="P577" i="11" s="1"/>
  <c r="M600" i="11"/>
  <c r="P600" i="11" s="1"/>
  <c r="M715" i="11"/>
  <c r="P715" i="11" s="1"/>
  <c r="M729" i="11"/>
  <c r="P729" i="11" s="1"/>
  <c r="Q731" i="11"/>
  <c r="T734" i="11"/>
  <c r="R762" i="11"/>
  <c r="R731" i="11"/>
  <c r="S620" i="11"/>
  <c r="T622" i="11"/>
  <c r="J702" i="11"/>
  <c r="N160" i="9"/>
  <c r="N158" i="9" s="1"/>
  <c r="K221" i="9"/>
  <c r="S414" i="9"/>
  <c r="I83" i="10"/>
  <c r="K83" i="10" s="1"/>
  <c r="T98" i="10"/>
  <c r="S120" i="10"/>
  <c r="S118" i="10" s="1"/>
  <c r="M164" i="10"/>
  <c r="P164" i="10" s="1"/>
  <c r="T620" i="10"/>
  <c r="L237" i="8"/>
  <c r="S306" i="8"/>
  <c r="S304" i="8" s="1"/>
  <c r="R75" i="10"/>
  <c r="R73" i="10" s="1"/>
  <c r="U73" i="10" s="1"/>
  <c r="U78" i="10"/>
  <c r="M142" i="10"/>
  <c r="P142" i="10" s="1"/>
  <c r="M180" i="10"/>
  <c r="P180" i="10" s="1"/>
  <c r="L189" i="10"/>
  <c r="L187" i="10" s="1"/>
  <c r="I243" i="10"/>
  <c r="M285" i="10"/>
  <c r="P285" i="10" s="1"/>
  <c r="S619" i="10"/>
  <c r="S617" i="10" s="1"/>
  <c r="T694" i="10"/>
  <c r="I375" i="8"/>
  <c r="K375" i="8" s="1"/>
  <c r="M142" i="9"/>
  <c r="P142" i="9" s="1"/>
  <c r="N27" i="10"/>
  <c r="N25" i="10" s="1"/>
  <c r="N142" i="10"/>
  <c r="N140" i="10" s="1"/>
  <c r="P163" i="10"/>
  <c r="I173" i="10"/>
  <c r="K173" i="10" s="1"/>
  <c r="Q189" i="10"/>
  <c r="Q187" i="10" s="1"/>
  <c r="I241" i="10"/>
  <c r="K241" i="10" s="1"/>
  <c r="K345" i="10"/>
  <c r="J703" i="10"/>
  <c r="K779" i="10"/>
  <c r="K784" i="10"/>
  <c r="L289" i="8"/>
  <c r="O289" i="8" s="1"/>
  <c r="M160" i="10"/>
  <c r="N269" i="10"/>
  <c r="N267" i="10" s="1"/>
  <c r="L327" i="10"/>
  <c r="O327" i="10" s="1"/>
  <c r="T499" i="10"/>
  <c r="O519" i="10"/>
  <c r="K782" i="10"/>
  <c r="N160" i="8"/>
  <c r="N158" i="8" s="1"/>
  <c r="M176" i="8"/>
  <c r="M174" i="8" s="1"/>
  <c r="J344" i="9"/>
  <c r="N97" i="10"/>
  <c r="N95" i="10" s="1"/>
  <c r="U123" i="10"/>
  <c r="M143" i="10"/>
  <c r="P143" i="10" s="1"/>
  <c r="N306" i="10"/>
  <c r="N304" i="10" s="1"/>
  <c r="P339" i="10"/>
  <c r="K347" i="10"/>
  <c r="O360" i="10"/>
  <c r="P362" i="10"/>
  <c r="M516" i="10"/>
  <c r="P516" i="10" s="1"/>
  <c r="K231" i="10"/>
  <c r="J703" i="8"/>
  <c r="P68" i="9"/>
  <c r="Q143" i="9"/>
  <c r="T143" i="9" s="1"/>
  <c r="Q160" i="9"/>
  <c r="T160" i="9" s="1"/>
  <c r="U734" i="9"/>
  <c r="N24" i="10"/>
  <c r="N22" i="10" s="1"/>
  <c r="P48" i="10"/>
  <c r="O126" i="10"/>
  <c r="L120" i="10"/>
  <c r="K128" i="10"/>
  <c r="Q143" i="10"/>
  <c r="T143" i="10" s="1"/>
  <c r="R140" i="10"/>
  <c r="U140" i="10" s="1"/>
  <c r="U142" i="10"/>
  <c r="O163" i="10"/>
  <c r="L160" i="10"/>
  <c r="S160" i="10"/>
  <c r="S158" i="10" s="1"/>
  <c r="S161" i="10"/>
  <c r="O195" i="10"/>
  <c r="I254" i="10"/>
  <c r="K254" i="10" s="1"/>
  <c r="I266" i="10"/>
  <c r="K266" i="10" s="1"/>
  <c r="S307" i="10"/>
  <c r="T307" i="10" s="1"/>
  <c r="T309" i="10"/>
  <c r="K655" i="10"/>
  <c r="N75" i="9"/>
  <c r="N73" i="9" s="1"/>
  <c r="U78" i="9"/>
  <c r="S143" i="9"/>
  <c r="M146" i="9"/>
  <c r="P146" i="9" s="1"/>
  <c r="T179" i="9"/>
  <c r="I303" i="9"/>
  <c r="K303" i="9" s="1"/>
  <c r="K347" i="9"/>
  <c r="L363" i="9"/>
  <c r="O363" i="9" s="1"/>
  <c r="R24" i="10"/>
  <c r="R21" i="10" s="1"/>
  <c r="M47" i="10"/>
  <c r="M45" i="10" s="1"/>
  <c r="L27" i="10"/>
  <c r="O27" i="10" s="1"/>
  <c r="N76" i="10"/>
  <c r="L124" i="10"/>
  <c r="O124" i="10" s="1"/>
  <c r="R143" i="10"/>
  <c r="U143" i="10" s="1"/>
  <c r="L142" i="10"/>
  <c r="O142" i="10" s="1"/>
  <c r="L143" i="10"/>
  <c r="O143" i="10" s="1"/>
  <c r="K155" i="10"/>
  <c r="R161" i="10"/>
  <c r="U161" i="10" s="1"/>
  <c r="S269" i="10"/>
  <c r="S267" i="10" s="1"/>
  <c r="S306" i="10"/>
  <c r="P326" i="10"/>
  <c r="M324" i="10"/>
  <c r="P324" i="10" s="1"/>
  <c r="O342" i="10"/>
  <c r="L340" i="10"/>
  <c r="O340" i="10" s="1"/>
  <c r="N516" i="10"/>
  <c r="N514" i="10" s="1"/>
  <c r="U648" i="10"/>
  <c r="I702" i="10"/>
  <c r="K704" i="10"/>
  <c r="U378" i="10"/>
  <c r="R376" i="10"/>
  <c r="U376" i="10" s="1"/>
  <c r="R694" i="10"/>
  <c r="U694" i="10" s="1"/>
  <c r="R693" i="10"/>
  <c r="R691" i="10" s="1"/>
  <c r="U696" i="10"/>
  <c r="L143" i="8"/>
  <c r="O143" i="8" s="1"/>
  <c r="L189" i="9"/>
  <c r="L187" i="9" s="1"/>
  <c r="L340" i="9"/>
  <c r="O340" i="9" s="1"/>
  <c r="J676" i="9"/>
  <c r="K676" i="9" s="1"/>
  <c r="J703" i="9"/>
  <c r="R732" i="9"/>
  <c r="U732" i="9" s="1"/>
  <c r="M97" i="10"/>
  <c r="M95" i="10" s="1"/>
  <c r="P95" i="10" s="1"/>
  <c r="O103" i="10"/>
  <c r="L101" i="10"/>
  <c r="O101" i="10" s="1"/>
  <c r="L97" i="10"/>
  <c r="M121" i="10"/>
  <c r="P121" i="10" s="1"/>
  <c r="P123" i="10"/>
  <c r="M124" i="10"/>
  <c r="P124" i="10" s="1"/>
  <c r="Q142" i="10"/>
  <c r="U145" i="10"/>
  <c r="I239" i="10"/>
  <c r="K239" i="10" s="1"/>
  <c r="L324" i="10"/>
  <c r="O324" i="10" s="1"/>
  <c r="P342" i="10"/>
  <c r="M340" i="10"/>
  <c r="P340" i="10" s="1"/>
  <c r="S497" i="10"/>
  <c r="S496" i="10"/>
  <c r="S494" i="10" s="1"/>
  <c r="J504" i="10"/>
  <c r="J493" i="10" s="1"/>
  <c r="T646" i="10"/>
  <c r="J702" i="10"/>
  <c r="K154" i="10"/>
  <c r="I139" i="10"/>
  <c r="K139" i="10" s="1"/>
  <c r="O166" i="10"/>
  <c r="L164" i="10"/>
  <c r="O164" i="10" s="1"/>
  <c r="N176" i="10"/>
  <c r="N177" i="10"/>
  <c r="P177" i="10" s="1"/>
  <c r="N24" i="9"/>
  <c r="N22" i="9" s="1"/>
  <c r="I139" i="9"/>
  <c r="K139" i="9" s="1"/>
  <c r="N285" i="10"/>
  <c r="N283" i="10" s="1"/>
  <c r="S762" i="10"/>
  <c r="S760" i="10" s="1"/>
  <c r="S763" i="10"/>
  <c r="T763" i="10" s="1"/>
  <c r="T765" i="10"/>
  <c r="U98" i="10"/>
  <c r="P179" i="10"/>
  <c r="K230" i="10"/>
  <c r="I222" i="10"/>
  <c r="K222" i="10" s="1"/>
  <c r="Q378" i="10"/>
  <c r="T378" i="10" s="1"/>
  <c r="N120" i="10"/>
  <c r="N118" i="10" s="1"/>
  <c r="O179" i="10"/>
  <c r="T192" i="10"/>
  <c r="L204" i="10"/>
  <c r="O204" i="10" s="1"/>
  <c r="L244" i="10"/>
  <c r="O244" i="10" s="1"/>
  <c r="I424" i="10"/>
  <c r="I413" i="10" s="1"/>
  <c r="K413" i="10" s="1"/>
  <c r="R496" i="10"/>
  <c r="U496" i="10" s="1"/>
  <c r="J675" i="10"/>
  <c r="K675" i="10" s="1"/>
  <c r="R731" i="10"/>
  <c r="R732" i="10"/>
  <c r="U732" i="10" s="1"/>
  <c r="S140" i="10"/>
  <c r="I493" i="10"/>
  <c r="K493" i="10" s="1"/>
  <c r="T648" i="10"/>
  <c r="O190" i="10"/>
  <c r="L236" i="10"/>
  <c r="K331" i="10"/>
  <c r="J352" i="10"/>
  <c r="O362" i="10"/>
  <c r="I375" i="10"/>
  <c r="K375" i="10" s="1"/>
  <c r="U622" i="10"/>
  <c r="K679" i="10"/>
  <c r="K682" i="10"/>
  <c r="T696" i="10"/>
  <c r="K706" i="10"/>
  <c r="Q118" i="10"/>
  <c r="M161" i="8"/>
  <c r="P161" i="8" s="1"/>
  <c r="O26" i="10"/>
  <c r="Q177" i="10"/>
  <c r="T177" i="10" s="1"/>
  <c r="T179" i="10"/>
  <c r="Q270" i="10"/>
  <c r="T270" i="10" s="1"/>
  <c r="T272" i="10"/>
  <c r="Q269" i="10"/>
  <c r="Q267" i="10" s="1"/>
  <c r="L286" i="10"/>
  <c r="O286" i="10" s="1"/>
  <c r="O288" i="10"/>
  <c r="R76" i="9"/>
  <c r="U76" i="9" s="1"/>
  <c r="R176" i="9"/>
  <c r="U176" i="9" s="1"/>
  <c r="P195" i="9"/>
  <c r="L234" i="9"/>
  <c r="I493" i="9"/>
  <c r="K493" i="9" s="1"/>
  <c r="N516" i="9"/>
  <c r="N514" i="9" s="1"/>
  <c r="Q619" i="9"/>
  <c r="Q617" i="9" s="1"/>
  <c r="O50" i="10"/>
  <c r="P61" i="10"/>
  <c r="M62" i="10"/>
  <c r="P65" i="10"/>
  <c r="S97" i="10"/>
  <c r="T100" i="10"/>
  <c r="U179" i="10"/>
  <c r="R176" i="10"/>
  <c r="S189" i="10"/>
  <c r="S187" i="10" s="1"/>
  <c r="J232" i="10"/>
  <c r="J186" i="10" s="1"/>
  <c r="R270" i="10"/>
  <c r="U270" i="10" s="1"/>
  <c r="U272" i="10"/>
  <c r="R269" i="10"/>
  <c r="R267" i="10" s="1"/>
  <c r="L285" i="10"/>
  <c r="O285" i="10" s="1"/>
  <c r="U305" i="10"/>
  <c r="R304" i="10"/>
  <c r="N327" i="10"/>
  <c r="N323" i="10"/>
  <c r="N321" i="10" s="1"/>
  <c r="S378" i="10"/>
  <c r="S376" i="10" s="1"/>
  <c r="S379" i="10"/>
  <c r="O53" i="10"/>
  <c r="L47" i="10"/>
  <c r="I157" i="10"/>
  <c r="K157" i="10" s="1"/>
  <c r="K170" i="10"/>
  <c r="J352" i="7"/>
  <c r="I94" i="8"/>
  <c r="K94" i="8" s="1"/>
  <c r="S143" i="8"/>
  <c r="L236" i="8"/>
  <c r="I424" i="8"/>
  <c r="K424" i="8" s="1"/>
  <c r="Q416" i="9"/>
  <c r="T416" i="9" s="1"/>
  <c r="K662" i="9"/>
  <c r="U696" i="9"/>
  <c r="U23" i="10"/>
  <c r="M27" i="10"/>
  <c r="P27" i="10" s="1"/>
  <c r="P46" i="10"/>
  <c r="P50" i="10"/>
  <c r="P68" i="10"/>
  <c r="K86" i="10"/>
  <c r="I84" i="10"/>
  <c r="M98" i="10"/>
  <c r="P98" i="10" s="1"/>
  <c r="P100" i="10"/>
  <c r="R120" i="10"/>
  <c r="R121" i="10"/>
  <c r="U121" i="10" s="1"/>
  <c r="O123" i="10"/>
  <c r="L121" i="10"/>
  <c r="O121" i="10" s="1"/>
  <c r="R177" i="10"/>
  <c r="U177" i="10" s="1"/>
  <c r="O188" i="10"/>
  <c r="M190" i="10"/>
  <c r="P190" i="10" s="1"/>
  <c r="P192" i="10"/>
  <c r="I214" i="10"/>
  <c r="K214" i="10" s="1"/>
  <c r="P275" i="10"/>
  <c r="M273" i="10"/>
  <c r="P273" i="10" s="1"/>
  <c r="O305" i="10"/>
  <c r="S399" i="1"/>
  <c r="Q121" i="10"/>
  <c r="T121" i="10" s="1"/>
  <c r="Q24" i="10"/>
  <c r="T123" i="10"/>
  <c r="T646" i="8"/>
  <c r="O148" i="9"/>
  <c r="O23" i="10"/>
  <c r="S24" i="10"/>
  <c r="S21" i="10" s="1"/>
  <c r="N47" i="10"/>
  <c r="L76" i="10"/>
  <c r="O76" i="10" s="1"/>
  <c r="L75" i="10"/>
  <c r="S76" i="10"/>
  <c r="S75" i="10"/>
  <c r="S73" i="10" s="1"/>
  <c r="Q176" i="10"/>
  <c r="P188" i="10"/>
  <c r="L307" i="10"/>
  <c r="O307" i="10" s="1"/>
  <c r="O309" i="10"/>
  <c r="L306" i="10"/>
  <c r="O306" i="10" s="1"/>
  <c r="L20" i="10"/>
  <c r="S20" i="10"/>
  <c r="Q161" i="10"/>
  <c r="T161" i="10" s="1"/>
  <c r="T163" i="10"/>
  <c r="Q160" i="10"/>
  <c r="S190" i="10"/>
  <c r="U190" i="10" s="1"/>
  <c r="U192" i="10"/>
  <c r="M306" i="7"/>
  <c r="P306" i="7" s="1"/>
  <c r="R121" i="8"/>
  <c r="N269" i="8"/>
  <c r="N267" i="8" s="1"/>
  <c r="S645" i="8"/>
  <c r="S643" i="8" s="1"/>
  <c r="N189" i="9"/>
  <c r="N187" i="9" s="1"/>
  <c r="I242" i="9"/>
  <c r="K242" i="9" s="1"/>
  <c r="L24" i="10"/>
  <c r="L79" i="10"/>
  <c r="O79" i="10" s="1"/>
  <c r="O81" i="10"/>
  <c r="N189" i="10"/>
  <c r="M269" i="10"/>
  <c r="P272" i="10"/>
  <c r="M270" i="10"/>
  <c r="P270" i="10" s="1"/>
  <c r="I303" i="10"/>
  <c r="K303" i="10" s="1"/>
  <c r="T335" i="10"/>
  <c r="Q334" i="10"/>
  <c r="T334" i="10" s="1"/>
  <c r="K633" i="10"/>
  <c r="K632" i="10"/>
  <c r="K631" i="10"/>
  <c r="K627" i="10"/>
  <c r="K630" i="10"/>
  <c r="I616" i="10"/>
  <c r="K616" i="10" s="1"/>
  <c r="L176" i="8"/>
  <c r="L174" i="8" s="1"/>
  <c r="O174" i="8" s="1"/>
  <c r="S24" i="9"/>
  <c r="S21" i="9" s="1"/>
  <c r="S19" i="9" s="1"/>
  <c r="L236" i="9"/>
  <c r="K677" i="9"/>
  <c r="J675" i="9"/>
  <c r="K675" i="9" s="1"/>
  <c r="K778" i="9"/>
  <c r="K781" i="9"/>
  <c r="K784" i="9"/>
  <c r="R20" i="10"/>
  <c r="M24" i="10"/>
  <c r="M22" i="10" s="1"/>
  <c r="U26" i="10"/>
  <c r="R25" i="10"/>
  <c r="U25" i="10" s="1"/>
  <c r="L51" i="10"/>
  <c r="O51" i="10" s="1"/>
  <c r="S60" i="10"/>
  <c r="O68" i="10"/>
  <c r="L62" i="10"/>
  <c r="P74" i="10"/>
  <c r="M75" i="10"/>
  <c r="P75" i="10" s="1"/>
  <c r="M76" i="10"/>
  <c r="P76" i="10" s="1"/>
  <c r="T96" i="10"/>
  <c r="U100" i="10"/>
  <c r="R97" i="10"/>
  <c r="P103" i="10"/>
  <c r="L223" i="10"/>
  <c r="O223" i="10" s="1"/>
  <c r="L255" i="10"/>
  <c r="O255" i="10" s="1"/>
  <c r="T268" i="10"/>
  <c r="U284" i="10"/>
  <c r="R283" i="10"/>
  <c r="U283" i="10" s="1"/>
  <c r="I281" i="10"/>
  <c r="K281" i="10" s="1"/>
  <c r="K294" i="10"/>
  <c r="L337" i="10"/>
  <c r="O337" i="10" s="1"/>
  <c r="O339" i="10"/>
  <c r="L336" i="10"/>
  <c r="L334" i="10" s="1"/>
  <c r="O284" i="10"/>
  <c r="T305" i="10"/>
  <c r="R307" i="10"/>
  <c r="U309" i="10"/>
  <c r="K708" i="10"/>
  <c r="I690" i="10"/>
  <c r="K690" i="10" s="1"/>
  <c r="M327" i="10"/>
  <c r="P327" i="10" s="1"/>
  <c r="P329" i="10"/>
  <c r="M323" i="10"/>
  <c r="T557" i="10"/>
  <c r="Q556" i="10"/>
  <c r="T556" i="10" s="1"/>
  <c r="L643" i="10"/>
  <c r="O643" i="10" s="1"/>
  <c r="O645" i="10"/>
  <c r="L691" i="10"/>
  <c r="O691" i="10" s="1"/>
  <c r="O693" i="10"/>
  <c r="T78" i="10"/>
  <c r="P141" i="10"/>
  <c r="K210" i="10"/>
  <c r="I203" i="10"/>
  <c r="K203" i="10" s="1"/>
  <c r="L234" i="10"/>
  <c r="M286" i="10"/>
  <c r="P286" i="10" s="1"/>
  <c r="P288" i="10"/>
  <c r="M307" i="10"/>
  <c r="P307" i="10" s="1"/>
  <c r="P309" i="10"/>
  <c r="L310" i="10"/>
  <c r="O310" i="10" s="1"/>
  <c r="O312" i="10"/>
  <c r="L323" i="10"/>
  <c r="M334" i="10"/>
  <c r="R160" i="10"/>
  <c r="L176" i="10"/>
  <c r="L180" i="10"/>
  <c r="O180" i="10" s="1"/>
  <c r="U188" i="10"/>
  <c r="O192" i="10"/>
  <c r="M193" i="10"/>
  <c r="P193" i="10" s="1"/>
  <c r="P195" i="10"/>
  <c r="L235" i="10"/>
  <c r="L270" i="10"/>
  <c r="O270" i="10" s="1"/>
  <c r="O272" i="10"/>
  <c r="L273" i="10"/>
  <c r="O273" i="10" s="1"/>
  <c r="O275" i="10"/>
  <c r="T284" i="10"/>
  <c r="Q283" i="10"/>
  <c r="T283" i="10" s="1"/>
  <c r="M306" i="10"/>
  <c r="P306" i="10" s="1"/>
  <c r="M310" i="10"/>
  <c r="P310" i="10" s="1"/>
  <c r="P312" i="10"/>
  <c r="Q321" i="10"/>
  <c r="T321" i="10" s="1"/>
  <c r="N340" i="10"/>
  <c r="N336" i="10"/>
  <c r="N334" i="10" s="1"/>
  <c r="J344" i="10"/>
  <c r="J333" i="10"/>
  <c r="K333" i="10" s="1"/>
  <c r="K780" i="10"/>
  <c r="L520" i="10"/>
  <c r="O520" i="10" s="1"/>
  <c r="O522" i="10"/>
  <c r="L516" i="10"/>
  <c r="S731" i="10"/>
  <c r="S729" i="10" s="1"/>
  <c r="S732" i="10"/>
  <c r="L363" i="10"/>
  <c r="O363" i="10" s="1"/>
  <c r="O365" i="10"/>
  <c r="L359" i="10"/>
  <c r="T415" i="10"/>
  <c r="P515" i="10"/>
  <c r="M617" i="10"/>
  <c r="P617" i="10" s="1"/>
  <c r="P619" i="10"/>
  <c r="P365" i="10"/>
  <c r="M359" i="10"/>
  <c r="M556" i="10"/>
  <c r="P556" i="10" s="1"/>
  <c r="P558" i="10"/>
  <c r="T618" i="10"/>
  <c r="U646" i="10"/>
  <c r="K674" i="10"/>
  <c r="K710" i="10"/>
  <c r="I759" i="10"/>
  <c r="K759" i="10" s="1"/>
  <c r="K774" i="10"/>
  <c r="T381" i="10"/>
  <c r="U499" i="10"/>
  <c r="S645" i="10"/>
  <c r="S643" i="10" s="1"/>
  <c r="S693" i="10"/>
  <c r="Q731" i="10"/>
  <c r="T734" i="10"/>
  <c r="R762" i="10"/>
  <c r="U765" i="10"/>
  <c r="Q417" i="10"/>
  <c r="T417" i="10" s="1"/>
  <c r="M414" i="10"/>
  <c r="P414" i="10" s="1"/>
  <c r="Q416" i="10"/>
  <c r="T416" i="10" s="1"/>
  <c r="K458" i="10"/>
  <c r="R416" i="10"/>
  <c r="Q645" i="10"/>
  <c r="I758" i="10"/>
  <c r="K758" i="10" s="1"/>
  <c r="O48" i="9"/>
  <c r="P337" i="9"/>
  <c r="R142" i="8"/>
  <c r="U142" i="8" s="1"/>
  <c r="Q160" i="8"/>
  <c r="T160" i="8" s="1"/>
  <c r="P309" i="8"/>
  <c r="K677" i="8"/>
  <c r="L75" i="9"/>
  <c r="O75" i="9" s="1"/>
  <c r="M97" i="9"/>
  <c r="P97" i="9" s="1"/>
  <c r="L160" i="9"/>
  <c r="O160" i="9" s="1"/>
  <c r="L215" i="9"/>
  <c r="O215" i="9" s="1"/>
  <c r="I222" i="9"/>
  <c r="K222" i="9" s="1"/>
  <c r="O326" i="9"/>
  <c r="N336" i="9"/>
  <c r="N334" i="9" s="1"/>
  <c r="S417" i="9"/>
  <c r="R646" i="9"/>
  <c r="K679" i="9"/>
  <c r="R160" i="8"/>
  <c r="U160" i="8" s="1"/>
  <c r="L164" i="8"/>
  <c r="O164" i="8" s="1"/>
  <c r="L306" i="8"/>
  <c r="L304" i="8" s="1"/>
  <c r="I493" i="8"/>
  <c r="K493" i="8" s="1"/>
  <c r="L120" i="9"/>
  <c r="O120" i="9" s="1"/>
  <c r="M160" i="9"/>
  <c r="L237" i="9"/>
  <c r="T309" i="9"/>
  <c r="M516" i="9"/>
  <c r="P516" i="9" s="1"/>
  <c r="K632" i="9"/>
  <c r="T648" i="9"/>
  <c r="K779" i="9"/>
  <c r="Q120" i="9"/>
  <c r="Q118" i="9" s="1"/>
  <c r="N176" i="9"/>
  <c r="N174" i="9" s="1"/>
  <c r="O291" i="9"/>
  <c r="M359" i="9"/>
  <c r="M357" i="9" s="1"/>
  <c r="I117" i="8"/>
  <c r="K117" i="8" s="1"/>
  <c r="L234" i="8"/>
  <c r="L47" i="9"/>
  <c r="L45" i="9" s="1"/>
  <c r="N47" i="9"/>
  <c r="N45" i="9" s="1"/>
  <c r="M98" i="9"/>
  <c r="P98" i="9" s="1"/>
  <c r="O177" i="9"/>
  <c r="I266" i="9"/>
  <c r="K266" i="9" s="1"/>
  <c r="O339" i="9"/>
  <c r="L520" i="9"/>
  <c r="O520" i="9" s="1"/>
  <c r="K369" i="7"/>
  <c r="L97" i="9"/>
  <c r="O97" i="9" s="1"/>
  <c r="M101" i="9"/>
  <c r="P101" i="9" s="1"/>
  <c r="I138" i="9"/>
  <c r="K138" i="9" s="1"/>
  <c r="R142" i="9"/>
  <c r="R140" i="9" s="1"/>
  <c r="U140" i="9" s="1"/>
  <c r="M164" i="9"/>
  <c r="P164" i="9" s="1"/>
  <c r="I173" i="9"/>
  <c r="K173" i="9" s="1"/>
  <c r="P177" i="9"/>
  <c r="L193" i="9"/>
  <c r="O193" i="9" s="1"/>
  <c r="L223" i="9"/>
  <c r="O223" i="9" s="1"/>
  <c r="P329" i="9"/>
  <c r="L337" i="9"/>
  <c r="O337" i="9" s="1"/>
  <c r="P339" i="9"/>
  <c r="M363" i="9"/>
  <c r="P363" i="9" s="1"/>
  <c r="P365" i="9"/>
  <c r="M520" i="9"/>
  <c r="P520" i="9" s="1"/>
  <c r="K674" i="9"/>
  <c r="R694" i="9"/>
  <c r="U694" i="9" s="1"/>
  <c r="I702" i="9"/>
  <c r="K702" i="9" s="1"/>
  <c r="J702" i="9"/>
  <c r="T306" i="9"/>
  <c r="Q304" i="9"/>
  <c r="T304" i="9" s="1"/>
  <c r="N269" i="7"/>
  <c r="N267" i="7" s="1"/>
  <c r="T145" i="8"/>
  <c r="N270" i="8"/>
  <c r="P270" i="8" s="1"/>
  <c r="M24" i="9"/>
  <c r="N62" i="9"/>
  <c r="N60" i="9" s="1"/>
  <c r="L158" i="9"/>
  <c r="O158" i="9" s="1"/>
  <c r="S161" i="9"/>
  <c r="M189" i="9"/>
  <c r="M187" i="9" s="1"/>
  <c r="L244" i="9"/>
  <c r="O244" i="9" s="1"/>
  <c r="L285" i="9"/>
  <c r="O285" i="9" s="1"/>
  <c r="P291" i="9"/>
  <c r="U309" i="9"/>
  <c r="I254" i="7"/>
  <c r="K254" i="7" s="1"/>
  <c r="S497" i="7"/>
  <c r="M124" i="8"/>
  <c r="P124" i="8" s="1"/>
  <c r="U145" i="8"/>
  <c r="R177" i="8"/>
  <c r="U177" i="8" s="1"/>
  <c r="P339" i="8"/>
  <c r="R417" i="8"/>
  <c r="U417" i="8" s="1"/>
  <c r="L76" i="9"/>
  <c r="O76" i="9" s="1"/>
  <c r="T78" i="9"/>
  <c r="R120" i="9"/>
  <c r="R118" i="9" s="1"/>
  <c r="S140" i="9"/>
  <c r="R160" i="9"/>
  <c r="U160" i="9" s="1"/>
  <c r="S176" i="9"/>
  <c r="S174" i="9" s="1"/>
  <c r="I196" i="9"/>
  <c r="K196" i="9" s="1"/>
  <c r="L204" i="9"/>
  <c r="O204" i="9" s="1"/>
  <c r="L235" i="9"/>
  <c r="N285" i="9"/>
  <c r="N283" i="9" s="1"/>
  <c r="O288" i="9"/>
  <c r="O312" i="9"/>
  <c r="O81" i="7"/>
  <c r="I303" i="7"/>
  <c r="K303" i="7" s="1"/>
  <c r="L142" i="8"/>
  <c r="O142" i="8" s="1"/>
  <c r="L146" i="8"/>
  <c r="O146" i="8" s="1"/>
  <c r="O360" i="8"/>
  <c r="K680" i="8"/>
  <c r="O50" i="9"/>
  <c r="O63" i="9"/>
  <c r="I83" i="9"/>
  <c r="I71" i="9" s="1"/>
  <c r="K71" i="9" s="1"/>
  <c r="I94" i="9"/>
  <c r="K94" i="9" s="1"/>
  <c r="S120" i="9"/>
  <c r="S118" i="9" s="1"/>
  <c r="L176" i="9"/>
  <c r="L174" i="9" s="1"/>
  <c r="R190" i="9"/>
  <c r="U190" i="9" s="1"/>
  <c r="I243" i="9"/>
  <c r="K243" i="9" s="1"/>
  <c r="R306" i="9"/>
  <c r="U306" i="9" s="1"/>
  <c r="N323" i="9"/>
  <c r="N321" i="9" s="1"/>
  <c r="Q378" i="9"/>
  <c r="T378" i="9" s="1"/>
  <c r="Q379" i="9"/>
  <c r="T379" i="9" s="1"/>
  <c r="Q763" i="9"/>
  <c r="T763" i="9" s="1"/>
  <c r="Q762" i="9"/>
  <c r="T762" i="9" s="1"/>
  <c r="T765" i="9"/>
  <c r="L75" i="7"/>
  <c r="L73" i="7" s="1"/>
  <c r="O73" i="7" s="1"/>
  <c r="I239" i="7"/>
  <c r="K239" i="7" s="1"/>
  <c r="L27" i="9"/>
  <c r="S76" i="9"/>
  <c r="S98" i="9"/>
  <c r="T100" i="9"/>
  <c r="M120" i="9"/>
  <c r="M124" i="9"/>
  <c r="P124" i="9" s="1"/>
  <c r="P192" i="9"/>
  <c r="M269" i="9"/>
  <c r="M267" i="9" s="1"/>
  <c r="I282" i="9"/>
  <c r="K282" i="9" s="1"/>
  <c r="S497" i="9"/>
  <c r="S496" i="9"/>
  <c r="S494" i="9" s="1"/>
  <c r="U731" i="9"/>
  <c r="R729" i="9"/>
  <c r="U729" i="9" s="1"/>
  <c r="S763" i="9"/>
  <c r="S762" i="9"/>
  <c r="S760" i="9" s="1"/>
  <c r="I320" i="7"/>
  <c r="K320" i="7" s="1"/>
  <c r="I239" i="8"/>
  <c r="K239" i="8" s="1"/>
  <c r="T648" i="8"/>
  <c r="L51" i="9"/>
  <c r="O51" i="9" s="1"/>
  <c r="O81" i="9"/>
  <c r="N120" i="9"/>
  <c r="N118" i="9" s="1"/>
  <c r="N142" i="9"/>
  <c r="N140" i="9" s="1"/>
  <c r="T163" i="9"/>
  <c r="Q176" i="9"/>
  <c r="T176" i="9" s="1"/>
  <c r="S304" i="9"/>
  <c r="S307" i="9"/>
  <c r="M323" i="9"/>
  <c r="P323" i="9" s="1"/>
  <c r="M324" i="9"/>
  <c r="P324" i="9" s="1"/>
  <c r="J333" i="9"/>
  <c r="K505" i="9"/>
  <c r="J504" i="9"/>
  <c r="J493" i="9" s="1"/>
  <c r="S376" i="9"/>
  <c r="K682" i="9"/>
  <c r="S619" i="9"/>
  <c r="S617" i="9" s="1"/>
  <c r="K782" i="9"/>
  <c r="K785" i="9"/>
  <c r="K655" i="9"/>
  <c r="K680" i="9"/>
  <c r="Q417" i="9"/>
  <c r="T417" i="9" s="1"/>
  <c r="U20" i="9"/>
  <c r="P20" i="9"/>
  <c r="R98" i="9"/>
  <c r="U98" i="9" s="1"/>
  <c r="U100" i="9"/>
  <c r="O175" i="9"/>
  <c r="J676" i="7"/>
  <c r="M97" i="8"/>
  <c r="P97" i="8" s="1"/>
  <c r="Q142" i="8"/>
  <c r="Q140" i="8" s="1"/>
  <c r="T140" i="8" s="1"/>
  <c r="S176" i="8"/>
  <c r="S174" i="8" s="1"/>
  <c r="T190" i="8"/>
  <c r="I243" i="8"/>
  <c r="K243" i="8" s="1"/>
  <c r="I254" i="8"/>
  <c r="K254" i="8" s="1"/>
  <c r="L273" i="8"/>
  <c r="O273" i="8" s="1"/>
  <c r="I303" i="8"/>
  <c r="K303" i="8" s="1"/>
  <c r="O337" i="8"/>
  <c r="K655" i="8"/>
  <c r="J702" i="8"/>
  <c r="N27" i="9"/>
  <c r="N51" i="9"/>
  <c r="R60" i="9"/>
  <c r="U60" i="9" s="1"/>
  <c r="L66" i="9"/>
  <c r="O66" i="9" s="1"/>
  <c r="R73" i="9"/>
  <c r="U73" i="9" s="1"/>
  <c r="M76" i="9"/>
  <c r="P76" i="9" s="1"/>
  <c r="Q187" i="9"/>
  <c r="T187" i="9" s="1"/>
  <c r="T189" i="9"/>
  <c r="P268" i="9"/>
  <c r="P270" i="9"/>
  <c r="O272" i="9"/>
  <c r="L270" i="9"/>
  <c r="O270" i="9" s="1"/>
  <c r="L269" i="9"/>
  <c r="O269" i="9" s="1"/>
  <c r="S270" i="9"/>
  <c r="T270" i="9" s="1"/>
  <c r="S269" i="9"/>
  <c r="S267" i="9" s="1"/>
  <c r="N307" i="9"/>
  <c r="N306" i="9"/>
  <c r="N304" i="9" s="1"/>
  <c r="O329" i="9"/>
  <c r="L327" i="9"/>
  <c r="O327" i="9" s="1"/>
  <c r="L323" i="9"/>
  <c r="I320" i="9"/>
  <c r="K320" i="9" s="1"/>
  <c r="K331" i="9"/>
  <c r="P377" i="9"/>
  <c r="M376" i="9"/>
  <c r="P376" i="9" s="1"/>
  <c r="S189" i="4"/>
  <c r="S187" i="4" s="1"/>
  <c r="P182" i="8"/>
  <c r="L215" i="8"/>
  <c r="O215" i="8" s="1"/>
  <c r="Q24" i="9"/>
  <c r="M51" i="9"/>
  <c r="P51" i="9" s="1"/>
  <c r="M27" i="9"/>
  <c r="P27" i="9" s="1"/>
  <c r="Q75" i="9"/>
  <c r="K83" i="9"/>
  <c r="L98" i="9"/>
  <c r="O98" i="9" s="1"/>
  <c r="O100" i="9"/>
  <c r="U119" i="9"/>
  <c r="T121" i="9"/>
  <c r="L142" i="9"/>
  <c r="T284" i="9"/>
  <c r="Q283" i="9"/>
  <c r="T283" i="9" s="1"/>
  <c r="O81" i="6"/>
  <c r="R762" i="7"/>
  <c r="U762" i="7" s="1"/>
  <c r="R75" i="8"/>
  <c r="U75" i="8" s="1"/>
  <c r="I157" i="8"/>
  <c r="K157" i="8" s="1"/>
  <c r="N516" i="8"/>
  <c r="N514" i="8" s="1"/>
  <c r="O23" i="9"/>
  <c r="U23" i="9"/>
  <c r="R24" i="9"/>
  <c r="M47" i="9"/>
  <c r="P50" i="9"/>
  <c r="L62" i="9"/>
  <c r="O65" i="9"/>
  <c r="P81" i="9"/>
  <c r="I84" i="9"/>
  <c r="O119" i="9"/>
  <c r="U121" i="9"/>
  <c r="N269" i="9"/>
  <c r="N273" i="9"/>
  <c r="U145" i="7"/>
  <c r="M160" i="8"/>
  <c r="R161" i="8"/>
  <c r="U161" i="8" s="1"/>
  <c r="P179" i="8"/>
  <c r="K250" i="8"/>
  <c r="O339" i="8"/>
  <c r="J344" i="8"/>
  <c r="L363" i="8"/>
  <c r="O363" i="8" s="1"/>
  <c r="S497" i="8"/>
  <c r="S619" i="8"/>
  <c r="S617" i="8" s="1"/>
  <c r="U648" i="8"/>
  <c r="K674" i="8"/>
  <c r="T694" i="8"/>
  <c r="K778" i="8"/>
  <c r="L20" i="9"/>
  <c r="L24" i="9"/>
  <c r="L22" i="9" s="1"/>
  <c r="M62" i="9"/>
  <c r="M75" i="9"/>
  <c r="P75" i="9" s="1"/>
  <c r="S75" i="9"/>
  <c r="S73" i="9" s="1"/>
  <c r="Q76" i="9"/>
  <c r="T76" i="9" s="1"/>
  <c r="T96" i="9"/>
  <c r="N97" i="9"/>
  <c r="N95" i="9" s="1"/>
  <c r="L101" i="9"/>
  <c r="O101" i="9" s="1"/>
  <c r="O103" i="9"/>
  <c r="K109" i="9"/>
  <c r="U142" i="9"/>
  <c r="U145" i="9"/>
  <c r="P179" i="9"/>
  <c r="Q190" i="9"/>
  <c r="T190" i="9" s="1"/>
  <c r="T192" i="9"/>
  <c r="N359" i="9"/>
  <c r="N357" i="9" s="1"/>
  <c r="P81" i="7"/>
  <c r="R98" i="7"/>
  <c r="U98" i="7" s="1"/>
  <c r="L120" i="7"/>
  <c r="O120" i="7" s="1"/>
  <c r="R143" i="7"/>
  <c r="U143" i="7" s="1"/>
  <c r="P291" i="8"/>
  <c r="K662" i="8"/>
  <c r="U696" i="8"/>
  <c r="R25" i="9"/>
  <c r="U25" i="9" s="1"/>
  <c r="M48" i="9"/>
  <c r="P48" i="9" s="1"/>
  <c r="P53" i="9"/>
  <c r="R95" i="9"/>
  <c r="U95" i="9" s="1"/>
  <c r="T119" i="9"/>
  <c r="T123" i="9"/>
  <c r="O145" i="9"/>
  <c r="K155" i="9"/>
  <c r="I137" i="9"/>
  <c r="K137" i="9" s="1"/>
  <c r="U175" i="9"/>
  <c r="I239" i="9"/>
  <c r="K239" i="9" s="1"/>
  <c r="K261" i="9"/>
  <c r="I254" i="9"/>
  <c r="P515" i="9"/>
  <c r="O123" i="9"/>
  <c r="U123" i="9"/>
  <c r="O126" i="9"/>
  <c r="O163" i="9"/>
  <c r="U163" i="9"/>
  <c r="O166" i="9"/>
  <c r="O179" i="9"/>
  <c r="U179" i="9"/>
  <c r="O182" i="9"/>
  <c r="N190" i="9"/>
  <c r="P190" i="9" s="1"/>
  <c r="Q269" i="9"/>
  <c r="T272" i="9"/>
  <c r="P275" i="9"/>
  <c r="R283" i="9"/>
  <c r="U283" i="9" s="1"/>
  <c r="M286" i="9"/>
  <c r="P286" i="9" s="1"/>
  <c r="K294" i="9"/>
  <c r="L306" i="9"/>
  <c r="O306" i="9" s="1"/>
  <c r="O309" i="9"/>
  <c r="M310" i="9"/>
  <c r="P310" i="9" s="1"/>
  <c r="R334" i="9"/>
  <c r="U334" i="9" s="1"/>
  <c r="J352" i="9"/>
  <c r="T358" i="9"/>
  <c r="Q357" i="9"/>
  <c r="T357" i="9" s="1"/>
  <c r="P362" i="9"/>
  <c r="T381" i="9"/>
  <c r="S379" i="9"/>
  <c r="T415" i="9"/>
  <c r="I457" i="9"/>
  <c r="K457" i="9" s="1"/>
  <c r="K458" i="9"/>
  <c r="T516" i="9"/>
  <c r="Q514" i="9"/>
  <c r="T514" i="9" s="1"/>
  <c r="Q535" i="9"/>
  <c r="T535" i="9" s="1"/>
  <c r="T536" i="9"/>
  <c r="I241" i="9"/>
  <c r="K241" i="9" s="1"/>
  <c r="R269" i="9"/>
  <c r="L273" i="9"/>
  <c r="O273" i="9" s="1"/>
  <c r="M306" i="9"/>
  <c r="P306" i="9" s="1"/>
  <c r="L336" i="9"/>
  <c r="N360" i="9"/>
  <c r="O362" i="9"/>
  <c r="T394" i="9"/>
  <c r="Q496" i="9"/>
  <c r="Q497" i="9"/>
  <c r="T497" i="9" s="1"/>
  <c r="U602" i="9"/>
  <c r="R600" i="9"/>
  <c r="U600" i="9" s="1"/>
  <c r="K441" i="9"/>
  <c r="I424" i="9"/>
  <c r="L517" i="9"/>
  <c r="O517" i="9" s="1"/>
  <c r="O519" i="9"/>
  <c r="L516" i="9"/>
  <c r="O516" i="9" s="1"/>
  <c r="O578" i="9"/>
  <c r="L577" i="9"/>
  <c r="O577" i="9" s="1"/>
  <c r="O645" i="9"/>
  <c r="L643" i="9"/>
  <c r="O643" i="9" s="1"/>
  <c r="K170" i="9"/>
  <c r="O192" i="9"/>
  <c r="L255" i="9"/>
  <c r="O255" i="9" s="1"/>
  <c r="M307" i="9"/>
  <c r="P307" i="9" s="1"/>
  <c r="P342" i="9"/>
  <c r="M336" i="9"/>
  <c r="K345" i="9"/>
  <c r="I333" i="9"/>
  <c r="U272" i="9"/>
  <c r="M285" i="9"/>
  <c r="K372" i="9"/>
  <c r="R417" i="9"/>
  <c r="U417" i="9" s="1"/>
  <c r="R416" i="9"/>
  <c r="M393" i="9"/>
  <c r="P393" i="9" s="1"/>
  <c r="U499" i="9"/>
  <c r="R496" i="9"/>
  <c r="U515" i="9"/>
  <c r="M577" i="9"/>
  <c r="P577" i="9" s="1"/>
  <c r="S646" i="9"/>
  <c r="S645" i="9"/>
  <c r="S643" i="9" s="1"/>
  <c r="U643" i="9" s="1"/>
  <c r="R691" i="9"/>
  <c r="U691" i="9" s="1"/>
  <c r="U693" i="9"/>
  <c r="K708" i="9"/>
  <c r="I690" i="9"/>
  <c r="K690" i="9" s="1"/>
  <c r="R378" i="9"/>
  <c r="M414" i="9"/>
  <c r="P414" i="9" s="1"/>
  <c r="S535" i="9"/>
  <c r="U622" i="9"/>
  <c r="R619" i="9"/>
  <c r="U648" i="9"/>
  <c r="T620" i="9"/>
  <c r="L691" i="9"/>
  <c r="O691" i="9" s="1"/>
  <c r="O693" i="9"/>
  <c r="S731" i="9"/>
  <c r="S729" i="9" s="1"/>
  <c r="S732" i="9"/>
  <c r="I759" i="9"/>
  <c r="K759" i="9" s="1"/>
  <c r="K774" i="9"/>
  <c r="L359" i="9"/>
  <c r="L600" i="9"/>
  <c r="O600" i="9" s="1"/>
  <c r="R620" i="9"/>
  <c r="U620" i="9" s="1"/>
  <c r="T622" i="9"/>
  <c r="P536" i="9"/>
  <c r="K633" i="9"/>
  <c r="K630" i="9"/>
  <c r="K631" i="9"/>
  <c r="K780" i="9"/>
  <c r="S693" i="9"/>
  <c r="S691" i="9" s="1"/>
  <c r="Q731" i="9"/>
  <c r="T731" i="9" s="1"/>
  <c r="T734" i="9"/>
  <c r="R762" i="9"/>
  <c r="U762" i="9" s="1"/>
  <c r="U765" i="9"/>
  <c r="Q646" i="9"/>
  <c r="Q694" i="9"/>
  <c r="T694" i="9" s="1"/>
  <c r="Q645" i="9"/>
  <c r="Q693" i="9"/>
  <c r="I758" i="9"/>
  <c r="K758" i="9" s="1"/>
  <c r="N273" i="7"/>
  <c r="O48" i="8"/>
  <c r="S76" i="7"/>
  <c r="L142" i="7"/>
  <c r="O142" i="7" s="1"/>
  <c r="S645" i="7"/>
  <c r="S643" i="7" s="1"/>
  <c r="P65" i="8"/>
  <c r="P81" i="8"/>
  <c r="I84" i="8"/>
  <c r="K84" i="8" s="1"/>
  <c r="S161" i="8"/>
  <c r="P177" i="8"/>
  <c r="I266" i="8"/>
  <c r="K266" i="8" s="1"/>
  <c r="U272" i="8"/>
  <c r="M337" i="8"/>
  <c r="P337" i="8" s="1"/>
  <c r="U419" i="8"/>
  <c r="R496" i="8"/>
  <c r="R494" i="8" s="1"/>
  <c r="U494" i="8" s="1"/>
  <c r="K654" i="8"/>
  <c r="K782" i="8"/>
  <c r="S143" i="7"/>
  <c r="N47" i="8"/>
  <c r="N45" i="8" s="1"/>
  <c r="S76" i="8"/>
  <c r="R97" i="8"/>
  <c r="U97" i="8" s="1"/>
  <c r="M120" i="8"/>
  <c r="P120" i="8" s="1"/>
  <c r="P145" i="8"/>
  <c r="K347" i="8"/>
  <c r="J352" i="8"/>
  <c r="S416" i="8"/>
  <c r="S414" i="8" s="1"/>
  <c r="U622" i="8"/>
  <c r="R693" i="8"/>
  <c r="R691" i="8" s="1"/>
  <c r="K780" i="8"/>
  <c r="N75" i="8"/>
  <c r="N73" i="8" s="1"/>
  <c r="Q95" i="8"/>
  <c r="T95" i="8" s="1"/>
  <c r="N120" i="8"/>
  <c r="N118" i="8" s="1"/>
  <c r="O163" i="8"/>
  <c r="Q177" i="8"/>
  <c r="T177" i="8" s="1"/>
  <c r="I203" i="8"/>
  <c r="K203" i="8" s="1"/>
  <c r="M306" i="8"/>
  <c r="O326" i="8"/>
  <c r="R620" i="8"/>
  <c r="U620" i="8" s="1"/>
  <c r="R760" i="8"/>
  <c r="U760" i="8" s="1"/>
  <c r="T765" i="8"/>
  <c r="O50" i="8"/>
  <c r="T78" i="8"/>
  <c r="R98" i="8"/>
  <c r="U98" i="8" s="1"/>
  <c r="S270" i="8"/>
  <c r="N306" i="8"/>
  <c r="N304" i="8" s="1"/>
  <c r="J333" i="8"/>
  <c r="U499" i="8"/>
  <c r="R645" i="8"/>
  <c r="R643" i="8" s="1"/>
  <c r="R732" i="8"/>
  <c r="U732" i="8" s="1"/>
  <c r="Q763" i="8"/>
  <c r="Q160" i="7"/>
  <c r="T160" i="7" s="1"/>
  <c r="P50" i="8"/>
  <c r="N62" i="8"/>
  <c r="N60" i="8" s="1"/>
  <c r="N24" i="8"/>
  <c r="N22" i="8" s="1"/>
  <c r="L180" i="8"/>
  <c r="O180" i="8" s="1"/>
  <c r="I214" i="8"/>
  <c r="K214" i="8" s="1"/>
  <c r="I242" i="8"/>
  <c r="K242" i="8" s="1"/>
  <c r="N310" i="8"/>
  <c r="P519" i="8"/>
  <c r="S763" i="8"/>
  <c r="T120" i="8"/>
  <c r="U120" i="8"/>
  <c r="R118" i="8"/>
  <c r="U118" i="8" s="1"/>
  <c r="U176" i="8"/>
  <c r="R174" i="8"/>
  <c r="U174" i="8" s="1"/>
  <c r="P63" i="8"/>
  <c r="Q118" i="8"/>
  <c r="T118" i="8" s="1"/>
  <c r="U269" i="8"/>
  <c r="M160" i="7"/>
  <c r="P160" i="7" s="1"/>
  <c r="Q176" i="7"/>
  <c r="T176" i="7" s="1"/>
  <c r="L236" i="7"/>
  <c r="P362" i="7"/>
  <c r="U765" i="7"/>
  <c r="M48" i="8"/>
  <c r="P48" i="8" s="1"/>
  <c r="S73" i="8"/>
  <c r="R24" i="8"/>
  <c r="R22" i="8" s="1"/>
  <c r="I93" i="8"/>
  <c r="K93" i="8" s="1"/>
  <c r="L97" i="8"/>
  <c r="L98" i="8"/>
  <c r="O98" i="8" s="1"/>
  <c r="S121" i="8"/>
  <c r="L124" i="8"/>
  <c r="O124" i="8" s="1"/>
  <c r="I139" i="8"/>
  <c r="K139" i="8" s="1"/>
  <c r="M142" i="8"/>
  <c r="P142" i="8" s="1"/>
  <c r="M146" i="8"/>
  <c r="P146" i="8" s="1"/>
  <c r="M164" i="8"/>
  <c r="P164" i="8" s="1"/>
  <c r="N176" i="8"/>
  <c r="N189" i="8"/>
  <c r="N187" i="8" s="1"/>
  <c r="L189" i="8"/>
  <c r="L187" i="8" s="1"/>
  <c r="I222" i="8"/>
  <c r="K222" i="8" s="1"/>
  <c r="L244" i="8"/>
  <c r="O244" i="8" s="1"/>
  <c r="M273" i="8"/>
  <c r="P273" i="8" s="1"/>
  <c r="I282" i="8"/>
  <c r="K282" i="8" s="1"/>
  <c r="N323" i="8"/>
  <c r="N321" i="8" s="1"/>
  <c r="M324" i="8"/>
  <c r="P324" i="8" s="1"/>
  <c r="M363" i="8"/>
  <c r="P363" i="8" s="1"/>
  <c r="I457" i="8"/>
  <c r="K457" i="8" s="1"/>
  <c r="R646" i="8"/>
  <c r="U646" i="8" s="1"/>
  <c r="S693" i="8"/>
  <c r="S691" i="8" s="1"/>
  <c r="R694" i="8"/>
  <c r="U694" i="8" s="1"/>
  <c r="K781" i="8"/>
  <c r="P362" i="6"/>
  <c r="I173" i="7"/>
  <c r="K173" i="7" s="1"/>
  <c r="S494" i="7"/>
  <c r="R620" i="7"/>
  <c r="L47" i="8"/>
  <c r="L45" i="8" s="1"/>
  <c r="L62" i="8"/>
  <c r="Q75" i="8"/>
  <c r="Q76" i="8"/>
  <c r="T76" i="8" s="1"/>
  <c r="N98" i="8"/>
  <c r="N142" i="8"/>
  <c r="N140" i="8" s="1"/>
  <c r="T163" i="8"/>
  <c r="L177" i="8"/>
  <c r="O177" i="8" s="1"/>
  <c r="U179" i="8"/>
  <c r="Q189" i="8"/>
  <c r="Q187" i="8" s="1"/>
  <c r="L235" i="8"/>
  <c r="R267" i="8"/>
  <c r="U267" i="8" s="1"/>
  <c r="L269" i="8"/>
  <c r="L270" i="8"/>
  <c r="O270" i="8" s="1"/>
  <c r="P272" i="8"/>
  <c r="M285" i="8"/>
  <c r="L359" i="8"/>
  <c r="L357" i="8" s="1"/>
  <c r="K366" i="8"/>
  <c r="Q497" i="8"/>
  <c r="T497" i="8" s="1"/>
  <c r="S732" i="8"/>
  <c r="R763" i="8"/>
  <c r="U765" i="8"/>
  <c r="O63" i="8"/>
  <c r="N97" i="8"/>
  <c r="N95" i="8" s="1"/>
  <c r="S24" i="8"/>
  <c r="S21" i="8" s="1"/>
  <c r="O179" i="8"/>
  <c r="M269" i="8"/>
  <c r="N27" i="8"/>
  <c r="N25" i="8" s="1"/>
  <c r="Q496" i="8"/>
  <c r="Q494" i="8" s="1"/>
  <c r="T494" i="8" s="1"/>
  <c r="O519" i="8"/>
  <c r="Q378" i="7"/>
  <c r="Q376" i="7" s="1"/>
  <c r="S98" i="8"/>
  <c r="L101" i="8"/>
  <c r="O101" i="8" s="1"/>
  <c r="L120" i="8"/>
  <c r="S140" i="8"/>
  <c r="L160" i="8"/>
  <c r="Q176" i="8"/>
  <c r="T176" i="8" s="1"/>
  <c r="M307" i="8"/>
  <c r="P307" i="8" s="1"/>
  <c r="N359" i="8"/>
  <c r="N357" i="8" s="1"/>
  <c r="K372" i="8"/>
  <c r="T696" i="8"/>
  <c r="N396" i="1"/>
  <c r="P65" i="7"/>
  <c r="L235" i="7"/>
  <c r="U622" i="7"/>
  <c r="M75" i="8"/>
  <c r="P75" i="8" s="1"/>
  <c r="K86" i="8"/>
  <c r="M24" i="8"/>
  <c r="M22" i="8" s="1"/>
  <c r="U123" i="8"/>
  <c r="L204" i="8"/>
  <c r="O204" i="8" s="1"/>
  <c r="L223" i="8"/>
  <c r="O223" i="8" s="1"/>
  <c r="R270" i="8"/>
  <c r="M310" i="8"/>
  <c r="P310" i="8" s="1"/>
  <c r="K682" i="8"/>
  <c r="Q693" i="8"/>
  <c r="K783" i="8"/>
  <c r="K785" i="8"/>
  <c r="J675" i="8"/>
  <c r="K675" i="8" s="1"/>
  <c r="K779" i="8"/>
  <c r="K784" i="8"/>
  <c r="L20" i="8"/>
  <c r="S20" i="8"/>
  <c r="K155" i="8"/>
  <c r="I137" i="8"/>
  <c r="K137" i="8" s="1"/>
  <c r="Q270" i="8"/>
  <c r="T272" i="8"/>
  <c r="Q269" i="8"/>
  <c r="T269" i="8" s="1"/>
  <c r="U358" i="8"/>
  <c r="R357" i="8"/>
  <c r="U357" i="8" s="1"/>
  <c r="N75" i="7"/>
  <c r="N73" i="7" s="1"/>
  <c r="S120" i="7"/>
  <c r="S118" i="7" s="1"/>
  <c r="U189" i="7"/>
  <c r="Q270" i="7"/>
  <c r="T270" i="7" s="1"/>
  <c r="P291" i="7"/>
  <c r="R306" i="7"/>
  <c r="U306" i="7" s="1"/>
  <c r="P329" i="7"/>
  <c r="K345" i="7"/>
  <c r="R416" i="7"/>
  <c r="U416" i="7" s="1"/>
  <c r="R417" i="7"/>
  <c r="U417" i="7" s="1"/>
  <c r="M20" i="8"/>
  <c r="R45" i="8"/>
  <c r="U45" i="8" s="1"/>
  <c r="L24" i="8"/>
  <c r="L22" i="8" s="1"/>
  <c r="L51" i="8"/>
  <c r="O51" i="8" s="1"/>
  <c r="L27" i="8"/>
  <c r="O27" i="8" s="1"/>
  <c r="O65" i="8"/>
  <c r="O68" i="8"/>
  <c r="R76" i="8"/>
  <c r="U76" i="8" s="1"/>
  <c r="O81" i="8"/>
  <c r="I83" i="8"/>
  <c r="M98" i="8"/>
  <c r="P98" i="8" s="1"/>
  <c r="M101" i="8"/>
  <c r="P101" i="8" s="1"/>
  <c r="M121" i="8"/>
  <c r="P121" i="8" s="1"/>
  <c r="P141" i="8"/>
  <c r="N47" i="7"/>
  <c r="N45" i="7" s="1"/>
  <c r="L121" i="7"/>
  <c r="O121" i="7" s="1"/>
  <c r="Q143" i="7"/>
  <c r="T143" i="7" s="1"/>
  <c r="L160" i="7"/>
  <c r="L158" i="7" s="1"/>
  <c r="O158" i="7" s="1"/>
  <c r="I203" i="7"/>
  <c r="K203" i="7" s="1"/>
  <c r="S416" i="7"/>
  <c r="S414" i="7" s="1"/>
  <c r="S619" i="7"/>
  <c r="S617" i="7" s="1"/>
  <c r="M51" i="8"/>
  <c r="P51" i="8" s="1"/>
  <c r="M27" i="8"/>
  <c r="P27" i="8" s="1"/>
  <c r="P53" i="8"/>
  <c r="M47" i="8"/>
  <c r="P100" i="8"/>
  <c r="R190" i="8"/>
  <c r="U190" i="8" s="1"/>
  <c r="U192" i="8"/>
  <c r="R189" i="8"/>
  <c r="R187" i="8" s="1"/>
  <c r="L286" i="8"/>
  <c r="O286" i="8" s="1"/>
  <c r="O288" i="8"/>
  <c r="L285" i="8"/>
  <c r="O285" i="8" s="1"/>
  <c r="I281" i="8"/>
  <c r="K281" i="8" s="1"/>
  <c r="K294" i="8"/>
  <c r="N340" i="8"/>
  <c r="N336" i="8"/>
  <c r="N334" i="8" s="1"/>
  <c r="L47" i="7"/>
  <c r="L45" i="7" s="1"/>
  <c r="O148" i="7"/>
  <c r="N160" i="7"/>
  <c r="N158" i="7" s="1"/>
  <c r="Q189" i="7"/>
  <c r="Q187" i="7" s="1"/>
  <c r="T96" i="8"/>
  <c r="Q98" i="8"/>
  <c r="T98" i="8" s="1"/>
  <c r="T100" i="8"/>
  <c r="T119" i="8"/>
  <c r="Q121" i="8"/>
  <c r="T123" i="8"/>
  <c r="Q142" i="7"/>
  <c r="T142" i="7" s="1"/>
  <c r="J375" i="7"/>
  <c r="Q24" i="8"/>
  <c r="R60" i="8"/>
  <c r="U60" i="8" s="1"/>
  <c r="U141" i="8"/>
  <c r="P175" i="8"/>
  <c r="O141" i="8"/>
  <c r="P50" i="7"/>
  <c r="R97" i="7"/>
  <c r="U97" i="7" s="1"/>
  <c r="N120" i="7"/>
  <c r="N118" i="7" s="1"/>
  <c r="I493" i="7"/>
  <c r="K493" i="7" s="1"/>
  <c r="R20" i="8"/>
  <c r="M66" i="8"/>
  <c r="P66" i="8" s="1"/>
  <c r="P68" i="8"/>
  <c r="M62" i="8"/>
  <c r="L327" i="8"/>
  <c r="O327" i="8" s="1"/>
  <c r="O329" i="8"/>
  <c r="L323" i="8"/>
  <c r="O188" i="8"/>
  <c r="S189" i="8"/>
  <c r="M190" i="8"/>
  <c r="P190" i="8" s="1"/>
  <c r="P192" i="8"/>
  <c r="L193" i="8"/>
  <c r="O193" i="8" s="1"/>
  <c r="O195" i="8"/>
  <c r="I241" i="8"/>
  <c r="K241" i="8" s="1"/>
  <c r="M360" i="8"/>
  <c r="P360" i="8" s="1"/>
  <c r="P362" i="8"/>
  <c r="O557" i="8"/>
  <c r="L556" i="8"/>
  <c r="O556" i="8" s="1"/>
  <c r="L643" i="8"/>
  <c r="O643" i="8" s="1"/>
  <c r="O645" i="8"/>
  <c r="K153" i="8"/>
  <c r="M193" i="8"/>
  <c r="P193" i="8" s="1"/>
  <c r="P195" i="8"/>
  <c r="L307" i="8"/>
  <c r="O307" i="8" s="1"/>
  <c r="O309" i="8"/>
  <c r="K345" i="8"/>
  <c r="I333" i="8"/>
  <c r="P377" i="8"/>
  <c r="M376" i="8"/>
  <c r="P376" i="8" s="1"/>
  <c r="T381" i="8"/>
  <c r="Q535" i="8"/>
  <c r="T535" i="8" s="1"/>
  <c r="T537" i="8"/>
  <c r="T622" i="8"/>
  <c r="Q619" i="8"/>
  <c r="Q620" i="8"/>
  <c r="T620" i="8" s="1"/>
  <c r="K633" i="8"/>
  <c r="K632" i="8"/>
  <c r="K631" i="8"/>
  <c r="K627" i="8"/>
  <c r="I616" i="8"/>
  <c r="K616" i="8" s="1"/>
  <c r="K630" i="8"/>
  <c r="M643" i="8"/>
  <c r="P643" i="8" s="1"/>
  <c r="P645" i="8"/>
  <c r="M189" i="8"/>
  <c r="N289" i="8"/>
  <c r="N285" i="8"/>
  <c r="N283" i="8" s="1"/>
  <c r="R304" i="8"/>
  <c r="I320" i="8"/>
  <c r="K320" i="8" s="1"/>
  <c r="K331" i="8"/>
  <c r="M340" i="8"/>
  <c r="P340" i="8" s="1"/>
  <c r="P342" i="8"/>
  <c r="M336" i="8"/>
  <c r="T358" i="8"/>
  <c r="Q357" i="8"/>
  <c r="T357" i="8" s="1"/>
  <c r="U381" i="8"/>
  <c r="R378" i="8"/>
  <c r="N393" i="8"/>
  <c r="L691" i="8"/>
  <c r="O691" i="8" s="1"/>
  <c r="O693" i="8"/>
  <c r="K708" i="8"/>
  <c r="I690" i="8"/>
  <c r="K690" i="8" s="1"/>
  <c r="S378" i="8"/>
  <c r="S376" i="8" s="1"/>
  <c r="S379" i="8"/>
  <c r="T618" i="8"/>
  <c r="M691" i="8"/>
  <c r="P691" i="8" s="1"/>
  <c r="P693" i="8"/>
  <c r="T188" i="8"/>
  <c r="Q307" i="8"/>
  <c r="T307" i="8" s="1"/>
  <c r="T309" i="8"/>
  <c r="M327" i="8"/>
  <c r="P327" i="8" s="1"/>
  <c r="P329" i="8"/>
  <c r="M323" i="8"/>
  <c r="P323" i="8" s="1"/>
  <c r="O358" i="8"/>
  <c r="U188" i="8"/>
  <c r="L190" i="8"/>
  <c r="O190" i="8" s="1"/>
  <c r="O192" i="8"/>
  <c r="T192" i="8"/>
  <c r="I196" i="8"/>
  <c r="K196" i="8" s="1"/>
  <c r="L255" i="8"/>
  <c r="O255" i="8" s="1"/>
  <c r="R307" i="8"/>
  <c r="U307" i="8" s="1"/>
  <c r="U309" i="8"/>
  <c r="L310" i="8"/>
  <c r="O310" i="8" s="1"/>
  <c r="O312" i="8"/>
  <c r="P322" i="8"/>
  <c r="Q334" i="8"/>
  <c r="T334" i="8" s="1"/>
  <c r="T336" i="8"/>
  <c r="O415" i="8"/>
  <c r="L414" i="8"/>
  <c r="O414" i="8" s="1"/>
  <c r="U557" i="8"/>
  <c r="R556" i="8"/>
  <c r="U556" i="8" s="1"/>
  <c r="Q577" i="8"/>
  <c r="T577" i="8" s="1"/>
  <c r="T579" i="8"/>
  <c r="Q760" i="8"/>
  <c r="T760" i="8" s="1"/>
  <c r="T762" i="8"/>
  <c r="L336" i="8"/>
  <c r="O342" i="8"/>
  <c r="O362" i="8"/>
  <c r="Q378" i="8"/>
  <c r="M414" i="8"/>
  <c r="P414" i="8" s="1"/>
  <c r="P416" i="8"/>
  <c r="L520" i="8"/>
  <c r="O520" i="8" s="1"/>
  <c r="O522" i="8"/>
  <c r="L516" i="8"/>
  <c r="Q600" i="8"/>
  <c r="T600" i="8" s="1"/>
  <c r="T602" i="8"/>
  <c r="U618" i="8"/>
  <c r="R617" i="8"/>
  <c r="T644" i="8"/>
  <c r="T692" i="8"/>
  <c r="K706" i="8"/>
  <c r="I702" i="8"/>
  <c r="U762" i="8"/>
  <c r="T419" i="8"/>
  <c r="Q416" i="8"/>
  <c r="T416" i="8" s="1"/>
  <c r="Q417" i="8"/>
  <c r="T417" i="8" s="1"/>
  <c r="M520" i="8"/>
  <c r="P520" i="8" s="1"/>
  <c r="P522" i="8"/>
  <c r="M516" i="8"/>
  <c r="P516" i="8" s="1"/>
  <c r="M556" i="8"/>
  <c r="P556" i="8" s="1"/>
  <c r="P558" i="8"/>
  <c r="O618" i="8"/>
  <c r="L617" i="8"/>
  <c r="O617" i="8" s="1"/>
  <c r="Q283" i="8"/>
  <c r="T283" i="8" s="1"/>
  <c r="Q304" i="8"/>
  <c r="T415" i="8"/>
  <c r="L494" i="8"/>
  <c r="O494" i="8" s="1"/>
  <c r="O496" i="8"/>
  <c r="P515" i="8"/>
  <c r="U415" i="8"/>
  <c r="R414" i="8"/>
  <c r="U414" i="8" s="1"/>
  <c r="J504" i="8"/>
  <c r="J493" i="8" s="1"/>
  <c r="T557" i="8"/>
  <c r="Q556" i="8"/>
  <c r="T556" i="8" s="1"/>
  <c r="M617" i="8"/>
  <c r="P617" i="8" s="1"/>
  <c r="P619" i="8"/>
  <c r="K679" i="8"/>
  <c r="Q715" i="8"/>
  <c r="T715" i="8" s="1"/>
  <c r="T717" i="8"/>
  <c r="K774" i="8"/>
  <c r="R731" i="8"/>
  <c r="I758" i="8"/>
  <c r="K758" i="8" s="1"/>
  <c r="I157" i="7"/>
  <c r="K157" i="7" s="1"/>
  <c r="K170" i="7"/>
  <c r="R379" i="7"/>
  <c r="U379" i="7" s="1"/>
  <c r="U381" i="7"/>
  <c r="R378" i="7"/>
  <c r="U378" i="7" s="1"/>
  <c r="Q732" i="7"/>
  <c r="Q731" i="7"/>
  <c r="Q729" i="7" s="1"/>
  <c r="T729" i="7" s="1"/>
  <c r="N176" i="6"/>
  <c r="N174" i="6" s="1"/>
  <c r="U163" i="6"/>
  <c r="K110" i="6"/>
  <c r="M63" i="7"/>
  <c r="P63" i="7" s="1"/>
  <c r="S73" i="7"/>
  <c r="T78" i="7"/>
  <c r="N121" i="7"/>
  <c r="U123" i="7"/>
  <c r="I139" i="7"/>
  <c r="K139" i="7" s="1"/>
  <c r="R140" i="7"/>
  <c r="U140" i="7" s="1"/>
  <c r="U142" i="7"/>
  <c r="S160" i="7"/>
  <c r="S158" i="7" s="1"/>
  <c r="I196" i="7"/>
  <c r="K196" i="7" s="1"/>
  <c r="S379" i="7"/>
  <c r="T379" i="7" s="1"/>
  <c r="S378" i="7"/>
  <c r="S376" i="7" s="1"/>
  <c r="T381" i="7"/>
  <c r="K441" i="7"/>
  <c r="I424" i="7"/>
  <c r="K424" i="7" s="1"/>
  <c r="P145" i="7"/>
  <c r="M142" i="7"/>
  <c r="R190" i="7"/>
  <c r="U192" i="7"/>
  <c r="Q307" i="7"/>
  <c r="T307" i="7" s="1"/>
  <c r="T309" i="7"/>
  <c r="Q762" i="7"/>
  <c r="T762" i="7" s="1"/>
  <c r="Q763" i="7"/>
  <c r="T763" i="7" s="1"/>
  <c r="K110" i="7"/>
  <c r="N24" i="7"/>
  <c r="N22" i="7" s="1"/>
  <c r="I84" i="7"/>
  <c r="I72" i="7" s="1"/>
  <c r="K72" i="7" s="1"/>
  <c r="L193" i="7"/>
  <c r="O193" i="7" s="1"/>
  <c r="L189" i="7"/>
  <c r="L187" i="7" s="1"/>
  <c r="O195" i="7"/>
  <c r="Q306" i="7"/>
  <c r="N143" i="7"/>
  <c r="N142" i="7"/>
  <c r="N140" i="7" s="1"/>
  <c r="U734" i="6"/>
  <c r="N48" i="7"/>
  <c r="P48" i="7" s="1"/>
  <c r="K88" i="7"/>
  <c r="K153" i="7"/>
  <c r="I138" i="7"/>
  <c r="K138" i="7" s="1"/>
  <c r="M193" i="7"/>
  <c r="P193" i="7" s="1"/>
  <c r="P195" i="7"/>
  <c r="L234" i="7"/>
  <c r="U648" i="7"/>
  <c r="R646" i="7"/>
  <c r="U646" i="7" s="1"/>
  <c r="R645" i="7"/>
  <c r="R643" i="7" s="1"/>
  <c r="U643" i="7" s="1"/>
  <c r="J675" i="6"/>
  <c r="K675" i="6" s="1"/>
  <c r="L98" i="7"/>
  <c r="O98" i="7" s="1"/>
  <c r="L143" i="7"/>
  <c r="O143" i="7" s="1"/>
  <c r="O145" i="7"/>
  <c r="N307" i="7"/>
  <c r="N306" i="7"/>
  <c r="N304" i="7" s="1"/>
  <c r="O342" i="7"/>
  <c r="L340" i="7"/>
  <c r="O340" i="7" s="1"/>
  <c r="L336" i="7"/>
  <c r="L334" i="7" s="1"/>
  <c r="Q417" i="7"/>
  <c r="T417" i="7" s="1"/>
  <c r="Q416" i="7"/>
  <c r="T416" i="7" s="1"/>
  <c r="T419" i="7"/>
  <c r="T192" i="7"/>
  <c r="L215" i="7"/>
  <c r="O215" i="7" s="1"/>
  <c r="S306" i="7"/>
  <c r="S304" i="7" s="1"/>
  <c r="J333" i="7"/>
  <c r="K333" i="7" s="1"/>
  <c r="O360" i="7"/>
  <c r="K779" i="7"/>
  <c r="K784" i="7"/>
  <c r="K155" i="7"/>
  <c r="N336" i="7"/>
  <c r="N334" i="7" s="1"/>
  <c r="I375" i="7"/>
  <c r="L204" i="7"/>
  <c r="O204" i="7" s="1"/>
  <c r="L244" i="7"/>
  <c r="O244" i="7" s="1"/>
  <c r="K277" i="7"/>
  <c r="O337" i="7"/>
  <c r="M340" i="7"/>
  <c r="P340" i="7" s="1"/>
  <c r="J702" i="7"/>
  <c r="J703" i="7"/>
  <c r="M189" i="7"/>
  <c r="M187" i="7" s="1"/>
  <c r="O192" i="7"/>
  <c r="U309" i="7"/>
  <c r="M336" i="7"/>
  <c r="M334" i="7" s="1"/>
  <c r="N340" i="7"/>
  <c r="K347" i="7"/>
  <c r="U499" i="7"/>
  <c r="L517" i="7"/>
  <c r="O517" i="7" s="1"/>
  <c r="M286" i="5"/>
  <c r="P286" i="5" s="1"/>
  <c r="M76" i="7"/>
  <c r="P76" i="7" s="1"/>
  <c r="N98" i="7"/>
  <c r="I117" i="7"/>
  <c r="K117" i="7" s="1"/>
  <c r="R120" i="7"/>
  <c r="R121" i="7"/>
  <c r="U121" i="7" s="1"/>
  <c r="M143" i="7"/>
  <c r="P143" i="7" s="1"/>
  <c r="M146" i="7"/>
  <c r="P146" i="7" s="1"/>
  <c r="L223" i="7"/>
  <c r="O223" i="7" s="1"/>
  <c r="K250" i="7"/>
  <c r="L255" i="7"/>
  <c r="O255" i="7" s="1"/>
  <c r="L237" i="7"/>
  <c r="I282" i="7"/>
  <c r="K282" i="7" s="1"/>
  <c r="L327" i="7"/>
  <c r="O327" i="7" s="1"/>
  <c r="M360" i="7"/>
  <c r="P360" i="7" s="1"/>
  <c r="O362" i="7"/>
  <c r="K372" i="7"/>
  <c r="K387" i="7"/>
  <c r="I457" i="7"/>
  <c r="K457" i="7" s="1"/>
  <c r="Q646" i="7"/>
  <c r="T646" i="7" s="1"/>
  <c r="Q693" i="7"/>
  <c r="T693" i="7" s="1"/>
  <c r="U696" i="7"/>
  <c r="N76" i="7"/>
  <c r="R24" i="7"/>
  <c r="S24" i="7"/>
  <c r="R187" i="7"/>
  <c r="S187" i="7"/>
  <c r="I243" i="7"/>
  <c r="K243" i="7" s="1"/>
  <c r="O312" i="7"/>
  <c r="K366" i="7"/>
  <c r="T648" i="7"/>
  <c r="S691" i="7"/>
  <c r="R693" i="7"/>
  <c r="U693" i="7" s="1"/>
  <c r="K369" i="6"/>
  <c r="L101" i="6"/>
  <c r="O101" i="6" s="1"/>
  <c r="L62" i="7"/>
  <c r="L60" i="7" s="1"/>
  <c r="M75" i="7"/>
  <c r="R76" i="7"/>
  <c r="U76" i="7" s="1"/>
  <c r="I83" i="7"/>
  <c r="K83" i="7" s="1"/>
  <c r="N176" i="7"/>
  <c r="N174" i="7" s="1"/>
  <c r="I222" i="7"/>
  <c r="K222" i="7" s="1"/>
  <c r="L306" i="7"/>
  <c r="O306" i="7" s="1"/>
  <c r="J344" i="7"/>
  <c r="K370" i="7"/>
  <c r="K778" i="7"/>
  <c r="K781" i="7"/>
  <c r="K261" i="6"/>
  <c r="M24" i="7"/>
  <c r="M22" i="7" s="1"/>
  <c r="S269" i="7"/>
  <c r="T269" i="7" s="1"/>
  <c r="N516" i="7"/>
  <c r="N514" i="7" s="1"/>
  <c r="K710" i="7"/>
  <c r="J675" i="7"/>
  <c r="S762" i="7"/>
  <c r="S760" i="7" s="1"/>
  <c r="S763" i="7"/>
  <c r="O65" i="7"/>
  <c r="N62" i="7"/>
  <c r="N60" i="7" s="1"/>
  <c r="M98" i="7"/>
  <c r="P98" i="7" s="1"/>
  <c r="S140" i="7"/>
  <c r="M161" i="7"/>
  <c r="P161" i="7" s="1"/>
  <c r="N189" i="7"/>
  <c r="N187" i="7" s="1"/>
  <c r="P192" i="7"/>
  <c r="T272" i="7"/>
  <c r="L307" i="7"/>
  <c r="O307" i="7" s="1"/>
  <c r="S620" i="7"/>
  <c r="T696" i="7"/>
  <c r="T765" i="7"/>
  <c r="U734" i="7"/>
  <c r="K780" i="7"/>
  <c r="K785" i="7"/>
  <c r="K655" i="6"/>
  <c r="L24" i="7"/>
  <c r="Q121" i="7"/>
  <c r="T121" i="7" s="1"/>
  <c r="T123" i="7"/>
  <c r="M177" i="7"/>
  <c r="P177" i="7" s="1"/>
  <c r="P179" i="7"/>
  <c r="M270" i="7"/>
  <c r="P270" i="7" s="1"/>
  <c r="P272" i="7"/>
  <c r="M269" i="7"/>
  <c r="N619" i="1"/>
  <c r="L20" i="7"/>
  <c r="S20" i="7"/>
  <c r="L48" i="7"/>
  <c r="L51" i="7"/>
  <c r="O51" i="7" s="1"/>
  <c r="L27" i="7"/>
  <c r="L63" i="7"/>
  <c r="O63" i="7" s="1"/>
  <c r="L76" i="7"/>
  <c r="O76" i="7" s="1"/>
  <c r="K87" i="7"/>
  <c r="P100" i="7"/>
  <c r="P126" i="7"/>
  <c r="T159" i="7"/>
  <c r="R161" i="7"/>
  <c r="U161" i="7" s="1"/>
  <c r="U163" i="7"/>
  <c r="R174" i="7"/>
  <c r="U174" i="7" s="1"/>
  <c r="U176" i="7"/>
  <c r="P305" i="7"/>
  <c r="M337" i="7"/>
  <c r="P337" i="7" s="1"/>
  <c r="P339" i="7"/>
  <c r="P515" i="7"/>
  <c r="M517" i="7"/>
  <c r="P517" i="7" s="1"/>
  <c r="P519" i="7"/>
  <c r="M516" i="7"/>
  <c r="P516" i="7" s="1"/>
  <c r="L177" i="7"/>
  <c r="O177" i="7" s="1"/>
  <c r="O179" i="7"/>
  <c r="P188" i="7"/>
  <c r="N420" i="1"/>
  <c r="I157" i="5"/>
  <c r="K157" i="5" s="1"/>
  <c r="I375" i="5"/>
  <c r="S762" i="6"/>
  <c r="S760" i="6" s="1"/>
  <c r="O288" i="6"/>
  <c r="L237" i="6"/>
  <c r="P65" i="6"/>
  <c r="M20" i="7"/>
  <c r="T20" i="7"/>
  <c r="Q24" i="7"/>
  <c r="Q22" i="7" s="1"/>
  <c r="Q25" i="7"/>
  <c r="T25" i="7" s="1"/>
  <c r="N27" i="7"/>
  <c r="M51" i="7"/>
  <c r="P51" i="7" s="1"/>
  <c r="M27" i="7"/>
  <c r="P53" i="7"/>
  <c r="M47" i="7"/>
  <c r="M66" i="7"/>
  <c r="P66" i="7" s="1"/>
  <c r="P68" i="7"/>
  <c r="M62" i="7"/>
  <c r="U78" i="7"/>
  <c r="Q98" i="7"/>
  <c r="T98" i="7" s="1"/>
  <c r="T100" i="7"/>
  <c r="Q118" i="7"/>
  <c r="M120" i="7"/>
  <c r="L164" i="7"/>
  <c r="O164" i="7" s="1"/>
  <c r="O166" i="7"/>
  <c r="S176" i="7"/>
  <c r="S174" i="7" s="1"/>
  <c r="O190" i="7"/>
  <c r="T284" i="7"/>
  <c r="Q283" i="7"/>
  <c r="T283" i="7" s="1"/>
  <c r="M180" i="7"/>
  <c r="P180" i="7" s="1"/>
  <c r="P182" i="7"/>
  <c r="N286" i="7"/>
  <c r="N285" i="7"/>
  <c r="N283" i="7" s="1"/>
  <c r="K679" i="6"/>
  <c r="O78" i="6"/>
  <c r="N20" i="7"/>
  <c r="U20" i="7"/>
  <c r="T23" i="7"/>
  <c r="O50" i="7"/>
  <c r="Q75" i="7"/>
  <c r="O78" i="7"/>
  <c r="L97" i="7"/>
  <c r="S97" i="7"/>
  <c r="S95" i="7" s="1"/>
  <c r="S98" i="7"/>
  <c r="L124" i="7"/>
  <c r="O124" i="7" s="1"/>
  <c r="R160" i="7"/>
  <c r="L161" i="7"/>
  <c r="O161" i="7" s="1"/>
  <c r="O163" i="7"/>
  <c r="M164" i="7"/>
  <c r="P164" i="7" s="1"/>
  <c r="P166" i="7"/>
  <c r="L176" i="7"/>
  <c r="R177" i="7"/>
  <c r="U177" i="7" s="1"/>
  <c r="U179" i="7"/>
  <c r="O268" i="7"/>
  <c r="K266" i="7"/>
  <c r="M324" i="7"/>
  <c r="P324" i="7" s="1"/>
  <c r="P326" i="7"/>
  <c r="M323" i="7"/>
  <c r="K507" i="7"/>
  <c r="J504" i="7"/>
  <c r="J493" i="7" s="1"/>
  <c r="T175" i="7"/>
  <c r="L270" i="7"/>
  <c r="O270" i="7" s="1"/>
  <c r="O272" i="7"/>
  <c r="L236" i="5"/>
  <c r="P270" i="5"/>
  <c r="Q45" i="7"/>
  <c r="T45" i="7" s="1"/>
  <c r="O53" i="7"/>
  <c r="Q60" i="7"/>
  <c r="T60" i="7" s="1"/>
  <c r="O68" i="7"/>
  <c r="R75" i="7"/>
  <c r="Q76" i="7"/>
  <c r="T76" i="7" s="1"/>
  <c r="I93" i="7"/>
  <c r="K93" i="7" s="1"/>
  <c r="Q95" i="7"/>
  <c r="T95" i="7" s="1"/>
  <c r="M97" i="7"/>
  <c r="M176" i="7"/>
  <c r="L180" i="7"/>
  <c r="O180" i="7" s="1"/>
  <c r="O182" i="7"/>
  <c r="P190" i="7"/>
  <c r="L269" i="7"/>
  <c r="O269" i="7" s="1"/>
  <c r="L273" i="7"/>
  <c r="O273" i="7" s="1"/>
  <c r="O275" i="7"/>
  <c r="M286" i="7"/>
  <c r="P286" i="7" s="1"/>
  <c r="P288" i="7"/>
  <c r="M285" i="7"/>
  <c r="P285" i="7" s="1"/>
  <c r="Q357" i="7"/>
  <c r="T357" i="7" s="1"/>
  <c r="T359" i="7"/>
  <c r="P416" i="7"/>
  <c r="M414" i="7"/>
  <c r="P414" i="7" s="1"/>
  <c r="T163" i="7"/>
  <c r="T179" i="7"/>
  <c r="S190" i="7"/>
  <c r="T190" i="7" s="1"/>
  <c r="M273" i="7"/>
  <c r="P273" i="7" s="1"/>
  <c r="P275" i="7"/>
  <c r="U284" i="7"/>
  <c r="R283" i="7"/>
  <c r="U283" i="7" s="1"/>
  <c r="T335" i="7"/>
  <c r="Q334" i="7"/>
  <c r="T334" i="7" s="1"/>
  <c r="M494" i="7"/>
  <c r="P494" i="7" s="1"/>
  <c r="P495" i="7"/>
  <c r="U618" i="7"/>
  <c r="R617" i="7"/>
  <c r="U305" i="7"/>
  <c r="T322" i="7"/>
  <c r="Q321" i="7"/>
  <c r="T321" i="7" s="1"/>
  <c r="U335" i="7"/>
  <c r="R334" i="7"/>
  <c r="U334" i="7" s="1"/>
  <c r="M363" i="7"/>
  <c r="P363" i="7" s="1"/>
  <c r="P365" i="7"/>
  <c r="M359" i="7"/>
  <c r="M376" i="7"/>
  <c r="P376" i="7" s="1"/>
  <c r="P378" i="7"/>
  <c r="T415" i="7"/>
  <c r="O522" i="7"/>
  <c r="L516" i="7"/>
  <c r="I690" i="7"/>
  <c r="K690" i="7" s="1"/>
  <c r="T268" i="7"/>
  <c r="Q267" i="7"/>
  <c r="R270" i="7"/>
  <c r="U270" i="7" s="1"/>
  <c r="U272" i="7"/>
  <c r="O284" i="7"/>
  <c r="O291" i="7"/>
  <c r="L285" i="7"/>
  <c r="O285" i="7" s="1"/>
  <c r="O335" i="7"/>
  <c r="N363" i="7"/>
  <c r="N359" i="7"/>
  <c r="N357" i="7" s="1"/>
  <c r="T377" i="7"/>
  <c r="P394" i="7"/>
  <c r="M393" i="7"/>
  <c r="P393" i="7" s="1"/>
  <c r="U415" i="7"/>
  <c r="O557" i="7"/>
  <c r="L556" i="7"/>
  <c r="O556" i="7" s="1"/>
  <c r="I214" i="7"/>
  <c r="K214" i="7" s="1"/>
  <c r="U268" i="7"/>
  <c r="R269" i="7"/>
  <c r="P284" i="7"/>
  <c r="L289" i="7"/>
  <c r="O289" i="7" s="1"/>
  <c r="O305" i="7"/>
  <c r="L324" i="7"/>
  <c r="O324" i="7" s="1"/>
  <c r="O326" i="7"/>
  <c r="O618" i="7"/>
  <c r="L617" i="7"/>
  <c r="O617" i="7" s="1"/>
  <c r="P309" i="7"/>
  <c r="P312" i="7"/>
  <c r="N323" i="7"/>
  <c r="N321" i="7" s="1"/>
  <c r="O339" i="7"/>
  <c r="L359" i="7"/>
  <c r="O365" i="7"/>
  <c r="L393" i="7"/>
  <c r="O393" i="7" s="1"/>
  <c r="O495" i="7"/>
  <c r="Q496" i="7"/>
  <c r="R514" i="7"/>
  <c r="U514" i="7" s="1"/>
  <c r="M556" i="7"/>
  <c r="P556" i="7" s="1"/>
  <c r="P558" i="7"/>
  <c r="Q600" i="7"/>
  <c r="T600" i="7" s="1"/>
  <c r="L691" i="7"/>
  <c r="O691" i="7" s="1"/>
  <c r="O693" i="7"/>
  <c r="K706" i="7"/>
  <c r="I702" i="7"/>
  <c r="T734" i="7"/>
  <c r="N414" i="7"/>
  <c r="R496" i="7"/>
  <c r="U496" i="7" s="1"/>
  <c r="P522" i="7"/>
  <c r="M617" i="7"/>
  <c r="P617" i="7" s="1"/>
  <c r="P619" i="7"/>
  <c r="K633" i="7"/>
  <c r="K632" i="7"/>
  <c r="K631" i="7"/>
  <c r="K627" i="7"/>
  <c r="K630" i="7"/>
  <c r="L643" i="7"/>
  <c r="O643" i="7" s="1"/>
  <c r="O645" i="7"/>
  <c r="Q497" i="7"/>
  <c r="T497" i="7" s="1"/>
  <c r="T557" i="7"/>
  <c r="Q556" i="7"/>
  <c r="T556" i="7" s="1"/>
  <c r="T622" i="7"/>
  <c r="Q619" i="7"/>
  <c r="Q620" i="7"/>
  <c r="T692" i="7"/>
  <c r="S732" i="7"/>
  <c r="L760" i="7"/>
  <c r="O760" i="7" s="1"/>
  <c r="K774" i="7"/>
  <c r="U557" i="7"/>
  <c r="R556" i="7"/>
  <c r="U556" i="7" s="1"/>
  <c r="T618" i="7"/>
  <c r="T644" i="7"/>
  <c r="Q643" i="7"/>
  <c r="T643" i="7" s="1"/>
  <c r="R731" i="7"/>
  <c r="S694" i="7"/>
  <c r="I758" i="7"/>
  <c r="K758" i="7" s="1"/>
  <c r="O312" i="6"/>
  <c r="L236" i="6"/>
  <c r="L189" i="6"/>
  <c r="L187" i="6" s="1"/>
  <c r="M273" i="5"/>
  <c r="P273" i="5" s="1"/>
  <c r="L327" i="6"/>
  <c r="O327" i="6" s="1"/>
  <c r="U309" i="6"/>
  <c r="R307" i="6"/>
  <c r="U307" i="6" s="1"/>
  <c r="Q161" i="6"/>
  <c r="T161" i="6" s="1"/>
  <c r="R732" i="4"/>
  <c r="N62" i="5"/>
  <c r="N60" i="5" s="1"/>
  <c r="I759" i="6"/>
  <c r="K759" i="6" s="1"/>
  <c r="S617" i="6"/>
  <c r="L520" i="6"/>
  <c r="O520" i="6" s="1"/>
  <c r="U419" i="6"/>
  <c r="P329" i="6"/>
  <c r="O166" i="6"/>
  <c r="O123" i="6"/>
  <c r="I93" i="6"/>
  <c r="K93" i="6" s="1"/>
  <c r="R76" i="6"/>
  <c r="U76" i="6" s="1"/>
  <c r="Q306" i="4"/>
  <c r="Q304" i="4" s="1"/>
  <c r="I616" i="4"/>
  <c r="K616" i="4" s="1"/>
  <c r="K778" i="6"/>
  <c r="K706" i="6"/>
  <c r="I170" i="6"/>
  <c r="K170" i="6" s="1"/>
  <c r="K128" i="6"/>
  <c r="U78" i="6"/>
  <c r="K727" i="6"/>
  <c r="K277" i="6"/>
  <c r="I169" i="6"/>
  <c r="K169" i="6" s="1"/>
  <c r="K199" i="5"/>
  <c r="J676" i="5"/>
  <c r="S731" i="6"/>
  <c r="S729" i="6" s="1"/>
  <c r="K632" i="6"/>
  <c r="Q619" i="6"/>
  <c r="T619" i="6" s="1"/>
  <c r="Q497" i="6"/>
  <c r="T497" i="6" s="1"/>
  <c r="L234" i="3"/>
  <c r="J702" i="3"/>
  <c r="R620" i="4"/>
  <c r="R76" i="5"/>
  <c r="U76" i="5" s="1"/>
  <c r="Q307" i="5"/>
  <c r="N336" i="5"/>
  <c r="N334" i="5" s="1"/>
  <c r="T496" i="5"/>
  <c r="K785" i="6"/>
  <c r="K779" i="6"/>
  <c r="K630" i="6"/>
  <c r="S620" i="6"/>
  <c r="T620" i="6" s="1"/>
  <c r="I424" i="6"/>
  <c r="I413" i="6" s="1"/>
  <c r="K413" i="6" s="1"/>
  <c r="R416" i="6"/>
  <c r="U416" i="6" s="1"/>
  <c r="M340" i="6"/>
  <c r="P340" i="6" s="1"/>
  <c r="K315" i="6"/>
  <c r="L223" i="6"/>
  <c r="O223" i="6" s="1"/>
  <c r="O195" i="6"/>
  <c r="K168" i="6"/>
  <c r="Q143" i="6"/>
  <c r="T143" i="6" s="1"/>
  <c r="P126" i="6"/>
  <c r="N76" i="6"/>
  <c r="O76" i="6" s="1"/>
  <c r="N62" i="6"/>
  <c r="N60" i="6" s="1"/>
  <c r="I157" i="3"/>
  <c r="K157" i="3" s="1"/>
  <c r="I303" i="3"/>
  <c r="K303" i="3" s="1"/>
  <c r="Q189" i="5"/>
  <c r="Q187" i="5" s="1"/>
  <c r="I203" i="5"/>
  <c r="K203" i="5" s="1"/>
  <c r="T499" i="6"/>
  <c r="Q416" i="6"/>
  <c r="T416" i="6" s="1"/>
  <c r="M360" i="6"/>
  <c r="P360" i="6" s="1"/>
  <c r="J333" i="6"/>
  <c r="K333" i="6" s="1"/>
  <c r="K331" i="6"/>
  <c r="M289" i="6"/>
  <c r="P289" i="6" s="1"/>
  <c r="T272" i="6"/>
  <c r="L215" i="6"/>
  <c r="O215" i="6" s="1"/>
  <c r="K155" i="6"/>
  <c r="S142" i="6"/>
  <c r="S140" i="6" s="1"/>
  <c r="P100" i="6"/>
  <c r="R694" i="3"/>
  <c r="U694" i="3" s="1"/>
  <c r="N189" i="5"/>
  <c r="N187" i="5" s="1"/>
  <c r="S494" i="6"/>
  <c r="P161" i="6"/>
  <c r="O63" i="6"/>
  <c r="I138" i="3"/>
  <c r="K138" i="3" s="1"/>
  <c r="M160" i="5"/>
  <c r="M158" i="5" s="1"/>
  <c r="P158" i="5" s="1"/>
  <c r="Q494" i="6"/>
  <c r="T494" i="6" s="1"/>
  <c r="K370" i="6"/>
  <c r="L255" i="6"/>
  <c r="O255" i="6" s="1"/>
  <c r="M180" i="6"/>
  <c r="P180" i="6" s="1"/>
  <c r="R98" i="6"/>
  <c r="M120" i="6"/>
  <c r="P120" i="6" s="1"/>
  <c r="M121" i="6"/>
  <c r="P121" i="6" s="1"/>
  <c r="P123" i="6"/>
  <c r="R379" i="5"/>
  <c r="U379" i="5" s="1"/>
  <c r="R378" i="5"/>
  <c r="K677" i="6"/>
  <c r="R577" i="6"/>
  <c r="U577" i="6" s="1"/>
  <c r="U578" i="6"/>
  <c r="L535" i="6"/>
  <c r="O535" i="6" s="1"/>
  <c r="O537" i="6"/>
  <c r="L516" i="6"/>
  <c r="O516" i="6" s="1"/>
  <c r="L517" i="6"/>
  <c r="O517" i="6" s="1"/>
  <c r="O519" i="6"/>
  <c r="I196" i="6"/>
  <c r="K196" i="6" s="1"/>
  <c r="K199" i="6"/>
  <c r="S189" i="6"/>
  <c r="S187" i="6" s="1"/>
  <c r="S190" i="6"/>
  <c r="L161" i="6"/>
  <c r="O161" i="6" s="1"/>
  <c r="O163" i="6"/>
  <c r="S120" i="6"/>
  <c r="T120" i="6" s="1"/>
  <c r="U123" i="6"/>
  <c r="I282" i="6"/>
  <c r="K282" i="6" s="1"/>
  <c r="K293" i="6"/>
  <c r="U100" i="4"/>
  <c r="L363" i="5"/>
  <c r="O363" i="5" s="1"/>
  <c r="K708" i="6"/>
  <c r="M535" i="6"/>
  <c r="P535" i="6" s="1"/>
  <c r="I375" i="6"/>
  <c r="K375" i="6" s="1"/>
  <c r="K386" i="6"/>
  <c r="K303" i="6"/>
  <c r="S160" i="6"/>
  <c r="S158" i="6" s="1"/>
  <c r="S161" i="6"/>
  <c r="Q75" i="6"/>
  <c r="Q73" i="6" s="1"/>
  <c r="Q76" i="6"/>
  <c r="T76" i="6" s="1"/>
  <c r="N47" i="6"/>
  <c r="N45" i="6" s="1"/>
  <c r="N48" i="6"/>
  <c r="O48" i="6" s="1"/>
  <c r="P50" i="6"/>
  <c r="U78" i="4"/>
  <c r="M340" i="5"/>
  <c r="P340" i="5" s="1"/>
  <c r="L359" i="5"/>
  <c r="L357" i="5" s="1"/>
  <c r="U381" i="5"/>
  <c r="S417" i="5"/>
  <c r="T618" i="6"/>
  <c r="L494" i="6"/>
  <c r="O494" i="6" s="1"/>
  <c r="O496" i="6"/>
  <c r="S417" i="6"/>
  <c r="S416" i="6"/>
  <c r="S414" i="6" s="1"/>
  <c r="L414" i="6"/>
  <c r="O414" i="6" s="1"/>
  <c r="O415" i="6"/>
  <c r="Q393" i="6"/>
  <c r="T393" i="6" s="1"/>
  <c r="L360" i="6"/>
  <c r="O360" i="6" s="1"/>
  <c r="O362" i="6"/>
  <c r="L340" i="6"/>
  <c r="O340" i="6" s="1"/>
  <c r="O342" i="6"/>
  <c r="Q306" i="6"/>
  <c r="Q304" i="6" s="1"/>
  <c r="Q307" i="6"/>
  <c r="T307" i="6" s="1"/>
  <c r="T309" i="6"/>
  <c r="Q189" i="6"/>
  <c r="T189" i="6" s="1"/>
  <c r="Q190" i="6"/>
  <c r="T192" i="6"/>
  <c r="P166" i="6"/>
  <c r="M164" i="6"/>
  <c r="P164" i="6" s="1"/>
  <c r="I138" i="6"/>
  <c r="K138" i="6" s="1"/>
  <c r="L124" i="6"/>
  <c r="O124" i="6" s="1"/>
  <c r="O126" i="6"/>
  <c r="I702" i="6"/>
  <c r="K704" i="6"/>
  <c r="I457" i="6"/>
  <c r="K457" i="6" s="1"/>
  <c r="K458" i="6"/>
  <c r="O291" i="6"/>
  <c r="L289" i="6"/>
  <c r="O289" i="6" s="1"/>
  <c r="R76" i="4"/>
  <c r="U76" i="4" s="1"/>
  <c r="Q176" i="5"/>
  <c r="T176" i="5" s="1"/>
  <c r="U270" i="5"/>
  <c r="L307" i="5"/>
  <c r="O307" i="5" s="1"/>
  <c r="P337" i="5"/>
  <c r="K690" i="6"/>
  <c r="Q600" i="6"/>
  <c r="T600" i="6" s="1"/>
  <c r="T602" i="6"/>
  <c r="P522" i="6"/>
  <c r="M520" i="6"/>
  <c r="P520" i="6" s="1"/>
  <c r="U415" i="6"/>
  <c r="L376" i="6"/>
  <c r="O376" i="6" s="1"/>
  <c r="O377" i="6"/>
  <c r="Q357" i="6"/>
  <c r="T357" i="6" s="1"/>
  <c r="L336" i="6"/>
  <c r="L334" i="6" s="1"/>
  <c r="M193" i="6"/>
  <c r="P193" i="6" s="1"/>
  <c r="P195" i="6"/>
  <c r="P177" i="6"/>
  <c r="S97" i="6"/>
  <c r="S95" i="6" s="1"/>
  <c r="S98" i="6"/>
  <c r="L97" i="6"/>
  <c r="O97" i="6" s="1"/>
  <c r="L98" i="6"/>
  <c r="O98" i="6" s="1"/>
  <c r="T74" i="6"/>
  <c r="M79" i="5"/>
  <c r="P79" i="5" s="1"/>
  <c r="I117" i="5"/>
  <c r="K117" i="5" s="1"/>
  <c r="M176" i="5"/>
  <c r="M174" i="5" s="1"/>
  <c r="P174" i="5" s="1"/>
  <c r="L273" i="5"/>
  <c r="O273" i="5" s="1"/>
  <c r="M307" i="5"/>
  <c r="P307" i="5" s="1"/>
  <c r="R732" i="6"/>
  <c r="U732" i="6" s="1"/>
  <c r="R731" i="6"/>
  <c r="R729" i="6" s="1"/>
  <c r="R357" i="6"/>
  <c r="U357" i="6" s="1"/>
  <c r="I281" i="6"/>
  <c r="K281" i="6" s="1"/>
  <c r="M101" i="6"/>
  <c r="P101" i="6" s="1"/>
  <c r="P103" i="6"/>
  <c r="K784" i="6"/>
  <c r="K781" i="6"/>
  <c r="K674" i="6"/>
  <c r="O618" i="6"/>
  <c r="S600" i="6"/>
  <c r="N556" i="6"/>
  <c r="Q535" i="6"/>
  <c r="T535" i="6" s="1"/>
  <c r="T419" i="6"/>
  <c r="O309" i="6"/>
  <c r="L285" i="6"/>
  <c r="O285" i="6" s="1"/>
  <c r="Q270" i="6"/>
  <c r="K222" i="6"/>
  <c r="O182" i="6"/>
  <c r="P179" i="6"/>
  <c r="S177" i="6"/>
  <c r="T163" i="6"/>
  <c r="P163" i="6"/>
  <c r="U121" i="6"/>
  <c r="Q121" i="6"/>
  <c r="T121" i="6" s="1"/>
  <c r="P81" i="6"/>
  <c r="P78" i="6"/>
  <c r="O65" i="6"/>
  <c r="T61" i="6"/>
  <c r="Q45" i="6"/>
  <c r="T45" i="6" s="1"/>
  <c r="N20" i="6"/>
  <c r="S762" i="5"/>
  <c r="S760" i="5" s="1"/>
  <c r="K783" i="6"/>
  <c r="K780" i="6"/>
  <c r="K710" i="6"/>
  <c r="N494" i="6"/>
  <c r="S393" i="6"/>
  <c r="K372" i="6"/>
  <c r="J352" i="6"/>
  <c r="K347" i="6"/>
  <c r="L306" i="6"/>
  <c r="L304" i="6" s="1"/>
  <c r="P192" i="6"/>
  <c r="K184" i="6"/>
  <c r="K173" i="6"/>
  <c r="N75" i="6"/>
  <c r="N73" i="6" s="1"/>
  <c r="P63" i="6"/>
  <c r="K504" i="6"/>
  <c r="N376" i="6"/>
  <c r="S357" i="6"/>
  <c r="M189" i="6"/>
  <c r="M187" i="6" s="1"/>
  <c r="N142" i="6"/>
  <c r="N140" i="6" s="1"/>
  <c r="N120" i="6"/>
  <c r="N118" i="6" s="1"/>
  <c r="L20" i="6"/>
  <c r="K779" i="5"/>
  <c r="K785" i="5"/>
  <c r="K782" i="6"/>
  <c r="N729" i="6"/>
  <c r="J702" i="6"/>
  <c r="L691" i="6"/>
  <c r="O691" i="6" s="1"/>
  <c r="K631" i="6"/>
  <c r="L577" i="6"/>
  <c r="O577" i="6" s="1"/>
  <c r="L307" i="6"/>
  <c r="Q158" i="6"/>
  <c r="T158" i="6" s="1"/>
  <c r="K117" i="6"/>
  <c r="T123" i="6"/>
  <c r="M97" i="6"/>
  <c r="M95" i="6" s="1"/>
  <c r="P95" i="6" s="1"/>
  <c r="L75" i="6"/>
  <c r="O50" i="6"/>
  <c r="N382" i="1"/>
  <c r="Q762" i="6"/>
  <c r="T765" i="6"/>
  <c r="N760" i="6"/>
  <c r="L729" i="6"/>
  <c r="O729" i="6" s="1"/>
  <c r="O730" i="6"/>
  <c r="S715" i="6"/>
  <c r="L715" i="6"/>
  <c r="O715" i="6" s="1"/>
  <c r="O716" i="6"/>
  <c r="R645" i="6"/>
  <c r="U648" i="6"/>
  <c r="U536" i="6"/>
  <c r="R535" i="6"/>
  <c r="U535" i="6" s="1"/>
  <c r="Q514" i="6"/>
  <c r="T514" i="6" s="1"/>
  <c r="J504" i="6"/>
  <c r="J493" i="6" s="1"/>
  <c r="K505" i="6"/>
  <c r="Q334" i="6"/>
  <c r="T334" i="6" s="1"/>
  <c r="T335" i="6"/>
  <c r="P326" i="6"/>
  <c r="M323" i="6"/>
  <c r="M324" i="6"/>
  <c r="P324" i="6" s="1"/>
  <c r="U142" i="6"/>
  <c r="R140" i="6"/>
  <c r="U140" i="6" s="1"/>
  <c r="I137" i="3"/>
  <c r="K137" i="3" s="1"/>
  <c r="I241" i="3"/>
  <c r="K241" i="3" s="1"/>
  <c r="L75" i="4"/>
  <c r="O75" i="4" s="1"/>
  <c r="O312" i="5"/>
  <c r="L310" i="5"/>
  <c r="O310" i="5" s="1"/>
  <c r="R694" i="5"/>
  <c r="U696" i="5"/>
  <c r="M760" i="6"/>
  <c r="P760" i="6" s="1"/>
  <c r="P761" i="6"/>
  <c r="U730" i="6"/>
  <c r="K728" i="6"/>
  <c r="R715" i="6"/>
  <c r="U715" i="6" s="1"/>
  <c r="U716" i="6"/>
  <c r="S694" i="6"/>
  <c r="U694" i="6" s="1"/>
  <c r="S693" i="6"/>
  <c r="S691" i="6" s="1"/>
  <c r="Q645" i="6"/>
  <c r="T648" i="6"/>
  <c r="N643" i="6"/>
  <c r="L643" i="6"/>
  <c r="O643" i="6" s="1"/>
  <c r="T415" i="6"/>
  <c r="T377" i="6"/>
  <c r="O326" i="6"/>
  <c r="L324" i="6"/>
  <c r="O324" i="6" s="1"/>
  <c r="L323" i="6"/>
  <c r="O323" i="6" s="1"/>
  <c r="O268" i="6"/>
  <c r="N164" i="6"/>
  <c r="N160" i="6"/>
  <c r="N158" i="6" s="1"/>
  <c r="N27" i="6"/>
  <c r="N25" i="6" s="1"/>
  <c r="K154" i="6"/>
  <c r="I139" i="6"/>
  <c r="K139" i="6" s="1"/>
  <c r="I138" i="4"/>
  <c r="K138" i="4" s="1"/>
  <c r="I282" i="4"/>
  <c r="K282" i="4" s="1"/>
  <c r="I493" i="4"/>
  <c r="K493" i="4" s="1"/>
  <c r="U693" i="4"/>
  <c r="I83" i="5"/>
  <c r="K83" i="5" s="1"/>
  <c r="N176" i="5"/>
  <c r="N174" i="5" s="1"/>
  <c r="K294" i="5"/>
  <c r="I281" i="5"/>
  <c r="K281" i="5" s="1"/>
  <c r="P312" i="5"/>
  <c r="M310" i="5"/>
  <c r="P310" i="5" s="1"/>
  <c r="J352" i="5"/>
  <c r="K372" i="5"/>
  <c r="O519" i="5"/>
  <c r="L517" i="5"/>
  <c r="O517" i="5" s="1"/>
  <c r="I616" i="5"/>
  <c r="K616" i="5" s="1"/>
  <c r="K627" i="5"/>
  <c r="Q763" i="6"/>
  <c r="T763" i="6" s="1"/>
  <c r="L760" i="6"/>
  <c r="O760" i="6" s="1"/>
  <c r="O761" i="6"/>
  <c r="T730" i="6"/>
  <c r="Q715" i="6"/>
  <c r="T715" i="6" s="1"/>
  <c r="T716" i="6"/>
  <c r="R693" i="6"/>
  <c r="U696" i="6"/>
  <c r="R646" i="6"/>
  <c r="M643" i="6"/>
  <c r="P643" i="6" s="1"/>
  <c r="P644" i="6"/>
  <c r="T622" i="6"/>
  <c r="Q577" i="6"/>
  <c r="T577" i="6" s="1"/>
  <c r="T579" i="6"/>
  <c r="N517" i="6"/>
  <c r="N516" i="6"/>
  <c r="N514" i="6" s="1"/>
  <c r="R267" i="6"/>
  <c r="U268" i="6"/>
  <c r="R190" i="6"/>
  <c r="U192" i="6"/>
  <c r="R189" i="6"/>
  <c r="L62" i="6"/>
  <c r="R25" i="6"/>
  <c r="U25" i="6" s="1"/>
  <c r="U26" i="6"/>
  <c r="O275" i="4"/>
  <c r="O339" i="5"/>
  <c r="L337" i="5"/>
  <c r="O337" i="5" s="1"/>
  <c r="Q693" i="6"/>
  <c r="T696" i="6"/>
  <c r="J676" i="6"/>
  <c r="K676" i="6" s="1"/>
  <c r="M517" i="6"/>
  <c r="P517" i="6" s="1"/>
  <c r="M516" i="6"/>
  <c r="P516" i="6" s="1"/>
  <c r="P519" i="6"/>
  <c r="S379" i="6"/>
  <c r="S378" i="6"/>
  <c r="S376" i="6" s="1"/>
  <c r="J344" i="6"/>
  <c r="K345" i="6"/>
  <c r="P312" i="6"/>
  <c r="M310" i="6"/>
  <c r="P310" i="6" s="1"/>
  <c r="M306" i="6"/>
  <c r="M304" i="6" s="1"/>
  <c r="N307" i="6"/>
  <c r="N306" i="6"/>
  <c r="N304" i="6" s="1"/>
  <c r="P272" i="6"/>
  <c r="M270" i="6"/>
  <c r="P270" i="6" s="1"/>
  <c r="M269" i="6"/>
  <c r="M267" i="6" s="1"/>
  <c r="Q267" i="6"/>
  <c r="T268" i="6"/>
  <c r="O68" i="6"/>
  <c r="L66" i="6"/>
  <c r="O66" i="6" s="1"/>
  <c r="Q269" i="4"/>
  <c r="Q267" i="4" s="1"/>
  <c r="L269" i="4"/>
  <c r="L267" i="4" s="1"/>
  <c r="O267" i="4" s="1"/>
  <c r="M51" i="5"/>
  <c r="P51" i="5" s="1"/>
  <c r="N120" i="5"/>
  <c r="N118" i="5" s="1"/>
  <c r="M124" i="5"/>
  <c r="P124" i="5" s="1"/>
  <c r="L142" i="5"/>
  <c r="L140" i="5" s="1"/>
  <c r="O288" i="5"/>
  <c r="L286" i="5"/>
  <c r="O286" i="5" s="1"/>
  <c r="L285" i="5"/>
  <c r="O285" i="5" s="1"/>
  <c r="U309" i="5"/>
  <c r="S306" i="5"/>
  <c r="T306" i="5" s="1"/>
  <c r="S307" i="5"/>
  <c r="N340" i="5"/>
  <c r="N517" i="5"/>
  <c r="N516" i="5"/>
  <c r="N514" i="5" s="1"/>
  <c r="I758" i="6"/>
  <c r="K758" i="6" s="1"/>
  <c r="K772" i="6"/>
  <c r="U761" i="6"/>
  <c r="Q732" i="6"/>
  <c r="T732" i="6" s="1"/>
  <c r="Q731" i="6"/>
  <c r="T734" i="6"/>
  <c r="M691" i="6"/>
  <c r="P691" i="6" s="1"/>
  <c r="P692" i="6"/>
  <c r="R619" i="6"/>
  <c r="U622" i="6"/>
  <c r="U601" i="6"/>
  <c r="R600" i="6"/>
  <c r="U600" i="6" s="1"/>
  <c r="M600" i="6"/>
  <c r="P600" i="6" s="1"/>
  <c r="R378" i="6"/>
  <c r="U378" i="6" s="1"/>
  <c r="U381" i="6"/>
  <c r="R379" i="6"/>
  <c r="U379" i="6" s="1"/>
  <c r="P365" i="6"/>
  <c r="M363" i="6"/>
  <c r="P363" i="6" s="1"/>
  <c r="M359" i="6"/>
  <c r="M357" i="6" s="1"/>
  <c r="P284" i="6"/>
  <c r="O272" i="6"/>
  <c r="L270" i="6"/>
  <c r="O270" i="6" s="1"/>
  <c r="L269" i="6"/>
  <c r="O269" i="6" s="1"/>
  <c r="I84" i="6"/>
  <c r="K86" i="6"/>
  <c r="S20" i="6"/>
  <c r="I93" i="4"/>
  <c r="K93" i="4" s="1"/>
  <c r="I117" i="4"/>
  <c r="K117" i="4" s="1"/>
  <c r="L47" i="5"/>
  <c r="L45" i="5" s="1"/>
  <c r="Q97" i="5"/>
  <c r="T97" i="5" s="1"/>
  <c r="T145" i="5"/>
  <c r="U192" i="5"/>
  <c r="R763" i="6"/>
  <c r="U763" i="6" s="1"/>
  <c r="R762" i="6"/>
  <c r="U762" i="6" s="1"/>
  <c r="U765" i="6"/>
  <c r="M729" i="6"/>
  <c r="P729" i="6" s="1"/>
  <c r="M715" i="6"/>
  <c r="P715" i="6" s="1"/>
  <c r="J703" i="6"/>
  <c r="Q694" i="6"/>
  <c r="S646" i="6"/>
  <c r="T646" i="6" s="1"/>
  <c r="S645" i="6"/>
  <c r="S643" i="6" s="1"/>
  <c r="K633" i="6"/>
  <c r="J627" i="6"/>
  <c r="L600" i="6"/>
  <c r="O600" i="6" s="1"/>
  <c r="M577" i="6"/>
  <c r="P577" i="6" s="1"/>
  <c r="R514" i="6"/>
  <c r="U514" i="6" s="1"/>
  <c r="R496" i="6"/>
  <c r="R497" i="6"/>
  <c r="U497" i="6" s="1"/>
  <c r="U499" i="6"/>
  <c r="M494" i="6"/>
  <c r="P494" i="6" s="1"/>
  <c r="M414" i="6"/>
  <c r="P414" i="6" s="1"/>
  <c r="O394" i="6"/>
  <c r="L393" i="6"/>
  <c r="O393" i="6" s="1"/>
  <c r="O365" i="6"/>
  <c r="L363" i="6"/>
  <c r="O363" i="6" s="1"/>
  <c r="L359" i="6"/>
  <c r="P288" i="6"/>
  <c r="M286" i="6"/>
  <c r="P286" i="6" s="1"/>
  <c r="M285" i="6"/>
  <c r="P285" i="6" s="1"/>
  <c r="N285" i="6"/>
  <c r="N283" i="6" s="1"/>
  <c r="O275" i="6"/>
  <c r="L273" i="6"/>
  <c r="O273" i="6" s="1"/>
  <c r="S270" i="6"/>
  <c r="S269" i="6"/>
  <c r="T269" i="6" s="1"/>
  <c r="K221" i="6"/>
  <c r="I214" i="6"/>
  <c r="K214" i="6" s="1"/>
  <c r="I239" i="5"/>
  <c r="K239" i="5" s="1"/>
  <c r="P362" i="5"/>
  <c r="R556" i="6"/>
  <c r="U556" i="6" s="1"/>
  <c r="L556" i="6"/>
  <c r="O556" i="6" s="1"/>
  <c r="S497" i="6"/>
  <c r="Q378" i="6"/>
  <c r="T378" i="6" s="1"/>
  <c r="T381" i="6"/>
  <c r="K366" i="6"/>
  <c r="P309" i="6"/>
  <c r="M307" i="6"/>
  <c r="P305" i="6"/>
  <c r="P175" i="6"/>
  <c r="U159" i="6"/>
  <c r="U23" i="6"/>
  <c r="R20" i="6"/>
  <c r="I424" i="5"/>
  <c r="K424" i="5" s="1"/>
  <c r="K458" i="5"/>
  <c r="K674" i="5"/>
  <c r="Q556" i="6"/>
  <c r="T556" i="6" s="1"/>
  <c r="T557" i="6"/>
  <c r="M556" i="6"/>
  <c r="P556" i="6" s="1"/>
  <c r="P515" i="6"/>
  <c r="J458" i="6"/>
  <c r="J457" i="6" s="1"/>
  <c r="N393" i="6"/>
  <c r="M376" i="6"/>
  <c r="P376" i="6" s="1"/>
  <c r="N337" i="6"/>
  <c r="N336" i="6"/>
  <c r="N334" i="6" s="1"/>
  <c r="S334" i="6"/>
  <c r="O335" i="6"/>
  <c r="O305" i="6"/>
  <c r="T284" i="6"/>
  <c r="Q283" i="6"/>
  <c r="T283" i="6" s="1"/>
  <c r="I243" i="6"/>
  <c r="I239" i="6"/>
  <c r="K239" i="6" s="1"/>
  <c r="L190" i="6"/>
  <c r="O192" i="6"/>
  <c r="R177" i="6"/>
  <c r="U177" i="6" s="1"/>
  <c r="R176" i="6"/>
  <c r="U176" i="6" s="1"/>
  <c r="U179" i="6"/>
  <c r="P119" i="6"/>
  <c r="L215" i="5"/>
  <c r="O215" i="5" s="1"/>
  <c r="T763" i="5"/>
  <c r="N600" i="6"/>
  <c r="N535" i="6"/>
  <c r="M393" i="6"/>
  <c r="P393" i="6" s="1"/>
  <c r="P394" i="6"/>
  <c r="R334" i="6"/>
  <c r="U334" i="6" s="1"/>
  <c r="U335" i="6"/>
  <c r="Q176" i="6"/>
  <c r="T179" i="6"/>
  <c r="Q177" i="6"/>
  <c r="T177" i="6" s="1"/>
  <c r="O119" i="6"/>
  <c r="P68" i="6"/>
  <c r="M66" i="6"/>
  <c r="P66" i="6" s="1"/>
  <c r="P339" i="6"/>
  <c r="M337" i="6"/>
  <c r="R321" i="6"/>
  <c r="U321" i="6" s="1"/>
  <c r="R304" i="6"/>
  <c r="U305" i="6"/>
  <c r="O284" i="6"/>
  <c r="U272" i="6"/>
  <c r="R270" i="6"/>
  <c r="N269" i="6"/>
  <c r="N267" i="6" s="1"/>
  <c r="N180" i="6"/>
  <c r="O175" i="6"/>
  <c r="P145" i="6"/>
  <c r="M143" i="6"/>
  <c r="P143" i="6" s="1"/>
  <c r="M142" i="6"/>
  <c r="P142" i="6" s="1"/>
  <c r="O339" i="6"/>
  <c r="L337" i="6"/>
  <c r="M336" i="6"/>
  <c r="M334" i="6" s="1"/>
  <c r="Q321" i="6"/>
  <c r="T321" i="6" s="1"/>
  <c r="T322" i="6"/>
  <c r="S306" i="6"/>
  <c r="U306" i="6" s="1"/>
  <c r="S283" i="6"/>
  <c r="L235" i="6"/>
  <c r="K230" i="6"/>
  <c r="L177" i="6"/>
  <c r="O177" i="6" s="1"/>
  <c r="L176" i="6"/>
  <c r="O179" i="6"/>
  <c r="Q118" i="6"/>
  <c r="R95" i="6"/>
  <c r="N323" i="6"/>
  <c r="N321" i="6" s="1"/>
  <c r="R283" i="6"/>
  <c r="U283" i="6" s="1"/>
  <c r="U284" i="6"/>
  <c r="P275" i="6"/>
  <c r="M273" i="6"/>
  <c r="P273" i="6" s="1"/>
  <c r="L234" i="6"/>
  <c r="L244" i="6"/>
  <c r="T141" i="6"/>
  <c r="T100" i="6"/>
  <c r="Q98" i="6"/>
  <c r="Q97" i="6"/>
  <c r="R73" i="6"/>
  <c r="P61" i="6"/>
  <c r="O20" i="6"/>
  <c r="P20" i="6"/>
  <c r="N359" i="6"/>
  <c r="N357" i="6" s="1"/>
  <c r="N233" i="6"/>
  <c r="L204" i="6"/>
  <c r="O204" i="6" s="1"/>
  <c r="S174" i="6"/>
  <c r="P148" i="6"/>
  <c r="M146" i="6"/>
  <c r="P146" i="6" s="1"/>
  <c r="O145" i="6"/>
  <c r="L143" i="6"/>
  <c r="O143" i="6" s="1"/>
  <c r="I83" i="6"/>
  <c r="P74" i="6"/>
  <c r="P53" i="6"/>
  <c r="M27" i="6"/>
  <c r="P27" i="6" s="1"/>
  <c r="M51" i="6"/>
  <c r="P51" i="6" s="1"/>
  <c r="P46" i="6"/>
  <c r="P26" i="6"/>
  <c r="N190" i="6"/>
  <c r="P190" i="6" s="1"/>
  <c r="U175" i="6"/>
  <c r="P159" i="6"/>
  <c r="O148" i="6"/>
  <c r="L146" i="6"/>
  <c r="O146" i="6" s="1"/>
  <c r="L142" i="6"/>
  <c r="U119" i="6"/>
  <c r="O53" i="6"/>
  <c r="L27" i="6"/>
  <c r="O27" i="6" s="1"/>
  <c r="L51" i="6"/>
  <c r="O51" i="6" s="1"/>
  <c r="L47" i="6"/>
  <c r="O26" i="6"/>
  <c r="N24" i="6"/>
  <c r="P23" i="6"/>
  <c r="I203" i="6"/>
  <c r="K203" i="6" s="1"/>
  <c r="K210" i="6"/>
  <c r="N189" i="6"/>
  <c r="N187" i="6" s="1"/>
  <c r="O159" i="6"/>
  <c r="U145" i="6"/>
  <c r="R143" i="6"/>
  <c r="U143" i="6" s="1"/>
  <c r="O23" i="6"/>
  <c r="M176" i="6"/>
  <c r="M160" i="6"/>
  <c r="Q142" i="6"/>
  <c r="T142" i="6" s="1"/>
  <c r="U100" i="6"/>
  <c r="O100" i="6"/>
  <c r="K85" i="6"/>
  <c r="T78" i="6"/>
  <c r="S24" i="6"/>
  <c r="S21" i="6" s="1"/>
  <c r="M24" i="6"/>
  <c r="M22" i="6" s="1"/>
  <c r="R160" i="6"/>
  <c r="U160" i="6" s="1"/>
  <c r="L160" i="6"/>
  <c r="R120" i="6"/>
  <c r="L120" i="6"/>
  <c r="O120" i="6" s="1"/>
  <c r="N97" i="6"/>
  <c r="N95" i="6" s="1"/>
  <c r="S75" i="6"/>
  <c r="M75" i="6"/>
  <c r="M62" i="6"/>
  <c r="M47" i="6"/>
  <c r="M45" i="6" s="1"/>
  <c r="R24" i="6"/>
  <c r="L24" i="6"/>
  <c r="L22" i="6" s="1"/>
  <c r="Q24" i="6"/>
  <c r="S559" i="1"/>
  <c r="S721" i="1"/>
  <c r="N606" i="1"/>
  <c r="L51" i="5"/>
  <c r="O51" i="5" s="1"/>
  <c r="M24" i="5"/>
  <c r="L124" i="5"/>
  <c r="O124" i="5" s="1"/>
  <c r="S140" i="5"/>
  <c r="L234" i="5"/>
  <c r="U499" i="5"/>
  <c r="U763" i="5"/>
  <c r="O78" i="4"/>
  <c r="L62" i="5"/>
  <c r="L60" i="5" s="1"/>
  <c r="N97" i="5"/>
  <c r="N95" i="5" s="1"/>
  <c r="S121" i="5"/>
  <c r="T121" i="5" s="1"/>
  <c r="I243" i="5"/>
  <c r="K243" i="5" s="1"/>
  <c r="K252" i="5"/>
  <c r="L235" i="5"/>
  <c r="T309" i="5"/>
  <c r="L327" i="5"/>
  <c r="O327" i="5" s="1"/>
  <c r="J344" i="5"/>
  <c r="T499" i="5"/>
  <c r="N602" i="1"/>
  <c r="I139" i="4"/>
  <c r="K139" i="4" s="1"/>
  <c r="L520" i="4"/>
  <c r="O520" i="4" s="1"/>
  <c r="P329" i="5"/>
  <c r="L360" i="5"/>
  <c r="O360" i="5" s="1"/>
  <c r="T765" i="5"/>
  <c r="T120" i="4"/>
  <c r="M359" i="4"/>
  <c r="M357" i="4" s="1"/>
  <c r="K702" i="4"/>
  <c r="L48" i="5"/>
  <c r="N47" i="5"/>
  <c r="N45" i="5" s="1"/>
  <c r="N75" i="5"/>
  <c r="N73" i="5" s="1"/>
  <c r="M101" i="5"/>
  <c r="P101" i="5" s="1"/>
  <c r="P148" i="5"/>
  <c r="N190" i="5"/>
  <c r="P190" i="5" s="1"/>
  <c r="O192" i="5"/>
  <c r="M269" i="5"/>
  <c r="M267" i="5" s="1"/>
  <c r="I320" i="5"/>
  <c r="K320" i="5" s="1"/>
  <c r="K345" i="5"/>
  <c r="K370" i="5"/>
  <c r="Q497" i="5"/>
  <c r="Q762" i="5"/>
  <c r="M66" i="5"/>
  <c r="P66" i="5" s="1"/>
  <c r="T78" i="5"/>
  <c r="M120" i="5"/>
  <c r="M118" i="5" s="1"/>
  <c r="P118" i="5" s="1"/>
  <c r="M142" i="5"/>
  <c r="M140" i="5" s="1"/>
  <c r="N306" i="5"/>
  <c r="N304" i="5" s="1"/>
  <c r="N359" i="5"/>
  <c r="N357" i="5" s="1"/>
  <c r="R497" i="5"/>
  <c r="U142" i="5"/>
  <c r="R140" i="5"/>
  <c r="U140" i="5" s="1"/>
  <c r="S120" i="3"/>
  <c r="U120" i="3" s="1"/>
  <c r="K387" i="4"/>
  <c r="L75" i="5"/>
  <c r="O75" i="5" s="1"/>
  <c r="S75" i="5"/>
  <c r="S73" i="5" s="1"/>
  <c r="S76" i="5"/>
  <c r="S95" i="5"/>
  <c r="Q161" i="5"/>
  <c r="T161" i="5" s="1"/>
  <c r="R269" i="5"/>
  <c r="R267" i="5" s="1"/>
  <c r="Q304" i="5"/>
  <c r="N324" i="5"/>
  <c r="P324" i="5" s="1"/>
  <c r="P326" i="5"/>
  <c r="K369" i="5"/>
  <c r="T622" i="5"/>
  <c r="S98" i="4"/>
  <c r="L176" i="4"/>
  <c r="L174" i="4" s="1"/>
  <c r="K633" i="4"/>
  <c r="L66" i="5"/>
  <c r="O66" i="5" s="1"/>
  <c r="M75" i="5"/>
  <c r="R97" i="5"/>
  <c r="U97" i="5" s="1"/>
  <c r="S98" i="5"/>
  <c r="U100" i="5"/>
  <c r="I138" i="5"/>
  <c r="K138" i="5" s="1"/>
  <c r="R143" i="5"/>
  <c r="U143" i="5" s="1"/>
  <c r="K154" i="5"/>
  <c r="R161" i="5"/>
  <c r="U161" i="5" s="1"/>
  <c r="Q177" i="5"/>
  <c r="T177" i="5" s="1"/>
  <c r="T190" i="5"/>
  <c r="L193" i="5"/>
  <c r="O193" i="5" s="1"/>
  <c r="L204" i="5"/>
  <c r="O204" i="5" s="1"/>
  <c r="K253" i="5"/>
  <c r="L270" i="5"/>
  <c r="O270" i="5" s="1"/>
  <c r="L306" i="5"/>
  <c r="L304" i="5" s="1"/>
  <c r="O304" i="5" s="1"/>
  <c r="K315" i="5"/>
  <c r="M323" i="5"/>
  <c r="O362" i="5"/>
  <c r="I366" i="5"/>
  <c r="K366" i="5" s="1"/>
  <c r="K387" i="5"/>
  <c r="S619" i="5"/>
  <c r="S617" i="5" s="1"/>
  <c r="K702" i="5"/>
  <c r="S75" i="3"/>
  <c r="S73" i="3" s="1"/>
  <c r="O63" i="4"/>
  <c r="L235" i="4"/>
  <c r="O272" i="4"/>
  <c r="O65" i="5"/>
  <c r="Q73" i="5"/>
  <c r="T73" i="5" s="1"/>
  <c r="L76" i="5"/>
  <c r="O76" i="5" s="1"/>
  <c r="P78" i="5"/>
  <c r="L97" i="5"/>
  <c r="O97" i="5" s="1"/>
  <c r="S118" i="5"/>
  <c r="S143" i="5"/>
  <c r="U145" i="5"/>
  <c r="M164" i="5"/>
  <c r="P164" i="5" s="1"/>
  <c r="R177" i="5"/>
  <c r="U177" i="5" s="1"/>
  <c r="I214" i="5"/>
  <c r="K214" i="5" s="1"/>
  <c r="J375" i="5"/>
  <c r="U648" i="5"/>
  <c r="J675" i="5"/>
  <c r="R732" i="5"/>
  <c r="I117" i="3"/>
  <c r="K117" i="3" s="1"/>
  <c r="O81" i="4"/>
  <c r="U192" i="4"/>
  <c r="L244" i="4"/>
  <c r="O244" i="4" s="1"/>
  <c r="O288" i="4"/>
  <c r="S416" i="4"/>
  <c r="S414" i="4" s="1"/>
  <c r="K627" i="4"/>
  <c r="M27" i="5"/>
  <c r="P27" i="5" s="1"/>
  <c r="O68" i="5"/>
  <c r="M76" i="5"/>
  <c r="P76" i="5" s="1"/>
  <c r="Q24" i="5"/>
  <c r="Q21" i="5" s="1"/>
  <c r="M97" i="5"/>
  <c r="P97" i="5" s="1"/>
  <c r="O100" i="5"/>
  <c r="O103" i="5"/>
  <c r="M121" i="5"/>
  <c r="P121" i="5" s="1"/>
  <c r="L146" i="5"/>
  <c r="O146" i="5" s="1"/>
  <c r="N160" i="5"/>
  <c r="N158" i="5" s="1"/>
  <c r="M180" i="5"/>
  <c r="P180" i="5" s="1"/>
  <c r="P192" i="5"/>
  <c r="K250" i="5"/>
  <c r="L269" i="5"/>
  <c r="O269" i="5" s="1"/>
  <c r="M306" i="5"/>
  <c r="P306" i="5" s="1"/>
  <c r="P339" i="5"/>
  <c r="M360" i="5"/>
  <c r="P360" i="5" s="1"/>
  <c r="T379" i="5"/>
  <c r="T419" i="5"/>
  <c r="T620" i="5"/>
  <c r="K781" i="2"/>
  <c r="Q121" i="4"/>
  <c r="S378" i="4"/>
  <c r="S376" i="4" s="1"/>
  <c r="R24" i="5"/>
  <c r="R22" i="5" s="1"/>
  <c r="M98" i="5"/>
  <c r="P98" i="5" s="1"/>
  <c r="T100" i="5"/>
  <c r="T123" i="5"/>
  <c r="Q158" i="5"/>
  <c r="T158" i="5" s="1"/>
  <c r="P163" i="5"/>
  <c r="I173" i="5"/>
  <c r="K173" i="5" s="1"/>
  <c r="K230" i="5"/>
  <c r="T272" i="5"/>
  <c r="N285" i="5"/>
  <c r="N283" i="5" s="1"/>
  <c r="J333" i="5"/>
  <c r="K333" i="5" s="1"/>
  <c r="K347" i="5"/>
  <c r="S414" i="5"/>
  <c r="Q416" i="5"/>
  <c r="Q645" i="5"/>
  <c r="T645" i="5" s="1"/>
  <c r="K704" i="5"/>
  <c r="K781" i="5"/>
  <c r="N716" i="1"/>
  <c r="N717" i="1"/>
  <c r="P96" i="5"/>
  <c r="I94" i="5"/>
  <c r="K94" i="5" s="1"/>
  <c r="K110" i="5"/>
  <c r="L121" i="5"/>
  <c r="O121" i="5" s="1"/>
  <c r="O123" i="5"/>
  <c r="L120" i="5"/>
  <c r="L180" i="5"/>
  <c r="O180" i="5" s="1"/>
  <c r="O182" i="5"/>
  <c r="U268" i="5"/>
  <c r="U322" i="5"/>
  <c r="R321" i="5"/>
  <c r="U321" i="5" s="1"/>
  <c r="O326" i="5"/>
  <c r="L324" i="5"/>
  <c r="L323" i="5"/>
  <c r="P335" i="5"/>
  <c r="S645" i="5"/>
  <c r="S643" i="5" s="1"/>
  <c r="S646" i="5"/>
  <c r="M189" i="3"/>
  <c r="M187" i="3" s="1"/>
  <c r="J375" i="3"/>
  <c r="K458" i="3"/>
  <c r="K674" i="3"/>
  <c r="K780" i="3"/>
  <c r="R73" i="4"/>
  <c r="U73" i="4" s="1"/>
  <c r="Q142" i="4"/>
  <c r="T142" i="4" s="1"/>
  <c r="U145" i="4"/>
  <c r="T163" i="4"/>
  <c r="L204" i="4"/>
  <c r="O204" i="4" s="1"/>
  <c r="L223" i="4"/>
  <c r="O223" i="4" s="1"/>
  <c r="L237" i="4"/>
  <c r="R306" i="4"/>
  <c r="R304" i="4" s="1"/>
  <c r="P339" i="4"/>
  <c r="M363" i="4"/>
  <c r="P363" i="4" s="1"/>
  <c r="K441" i="4"/>
  <c r="N516" i="4"/>
  <c r="N514" i="4" s="1"/>
  <c r="K630" i="4"/>
  <c r="S646" i="4"/>
  <c r="T646" i="4" s="1"/>
  <c r="K655" i="4"/>
  <c r="K683" i="4"/>
  <c r="K706" i="4"/>
  <c r="N48" i="5"/>
  <c r="P48" i="5" s="1"/>
  <c r="P50" i="5"/>
  <c r="N24" i="5"/>
  <c r="N22" i="5" s="1"/>
  <c r="U74" i="5"/>
  <c r="R73" i="5"/>
  <c r="U73" i="5" s="1"/>
  <c r="T188" i="5"/>
  <c r="L223" i="5"/>
  <c r="O223" i="5" s="1"/>
  <c r="K387" i="3"/>
  <c r="I758" i="3"/>
  <c r="K758" i="3" s="1"/>
  <c r="O103" i="4"/>
  <c r="O126" i="4"/>
  <c r="R143" i="4"/>
  <c r="U143" i="4" s="1"/>
  <c r="S161" i="4"/>
  <c r="L236" i="4"/>
  <c r="S269" i="4"/>
  <c r="S267" i="4" s="1"/>
  <c r="U272" i="4"/>
  <c r="I281" i="4"/>
  <c r="K281" i="4" s="1"/>
  <c r="L306" i="4"/>
  <c r="L304" i="4" s="1"/>
  <c r="I413" i="4"/>
  <c r="K413" i="4" s="1"/>
  <c r="P519" i="4"/>
  <c r="U763" i="4"/>
  <c r="S24" i="5"/>
  <c r="S21" i="5" s="1"/>
  <c r="S19" i="5" s="1"/>
  <c r="N63" i="5"/>
  <c r="P63" i="5" s="1"/>
  <c r="P65" i="5"/>
  <c r="O74" i="5"/>
  <c r="L556" i="5"/>
  <c r="O556" i="5" s="1"/>
  <c r="O557" i="5"/>
  <c r="L324" i="4"/>
  <c r="O324" i="4" s="1"/>
  <c r="M516" i="4"/>
  <c r="P516" i="4" s="1"/>
  <c r="T20" i="5"/>
  <c r="T23" i="5"/>
  <c r="U46" i="5"/>
  <c r="R45" i="5"/>
  <c r="U45" i="5" s="1"/>
  <c r="L164" i="5"/>
  <c r="O164" i="5" s="1"/>
  <c r="O166" i="5"/>
  <c r="M176" i="3"/>
  <c r="M174" i="3" s="1"/>
  <c r="Q270" i="3"/>
  <c r="L286" i="3"/>
  <c r="O286" i="3" s="1"/>
  <c r="L27" i="4"/>
  <c r="L25" i="4" s="1"/>
  <c r="O25" i="4" s="1"/>
  <c r="I137" i="4"/>
  <c r="K137" i="4" s="1"/>
  <c r="P270" i="4"/>
  <c r="J504" i="4"/>
  <c r="J493" i="4" s="1"/>
  <c r="T26" i="5"/>
  <c r="Q25" i="5"/>
  <c r="T25" i="5" s="1"/>
  <c r="O46" i="5"/>
  <c r="U61" i="5"/>
  <c r="R60" i="5"/>
  <c r="U60" i="5" s="1"/>
  <c r="L27" i="5"/>
  <c r="N143" i="5"/>
  <c r="O143" i="5" s="1"/>
  <c r="P145" i="5"/>
  <c r="N142" i="5"/>
  <c r="O145" i="5"/>
  <c r="P515" i="5"/>
  <c r="N285" i="2"/>
  <c r="N283" i="2" s="1"/>
  <c r="U100" i="3"/>
  <c r="M142" i="3"/>
  <c r="P142" i="3" s="1"/>
  <c r="R160" i="3"/>
  <c r="R158" i="3" s="1"/>
  <c r="U158" i="3" s="1"/>
  <c r="N75" i="4"/>
  <c r="N73" i="4" s="1"/>
  <c r="M327" i="4"/>
  <c r="P327" i="4" s="1"/>
  <c r="I375" i="4"/>
  <c r="K654" i="4"/>
  <c r="K674" i="4"/>
  <c r="L24" i="5"/>
  <c r="O61" i="5"/>
  <c r="R121" i="5"/>
  <c r="U123" i="5"/>
  <c r="R120" i="5"/>
  <c r="Q140" i="5"/>
  <c r="T140" i="5" s="1"/>
  <c r="T142" i="5"/>
  <c r="S269" i="5"/>
  <c r="U272" i="5"/>
  <c r="U419" i="5"/>
  <c r="R416" i="5"/>
  <c r="U416" i="5" s="1"/>
  <c r="R417" i="5"/>
  <c r="U417" i="5" s="1"/>
  <c r="N27" i="5"/>
  <c r="N25" i="5" s="1"/>
  <c r="O50" i="5"/>
  <c r="Q76" i="5"/>
  <c r="T76" i="5" s="1"/>
  <c r="U78" i="5"/>
  <c r="O81" i="5"/>
  <c r="I93" i="5"/>
  <c r="K93" i="5" s="1"/>
  <c r="Q120" i="5"/>
  <c r="T120" i="5" s="1"/>
  <c r="L161" i="5"/>
  <c r="O161" i="5" s="1"/>
  <c r="S161" i="5"/>
  <c r="T163" i="5"/>
  <c r="L177" i="5"/>
  <c r="O177" i="5" s="1"/>
  <c r="S177" i="5"/>
  <c r="R190" i="5"/>
  <c r="U190" i="5" s="1"/>
  <c r="K261" i="5"/>
  <c r="I254" i="5"/>
  <c r="K254" i="5" s="1"/>
  <c r="Q269" i="5"/>
  <c r="P272" i="5"/>
  <c r="O291" i="5"/>
  <c r="R304" i="5"/>
  <c r="S321" i="5"/>
  <c r="M336" i="5"/>
  <c r="I84" i="5"/>
  <c r="Q143" i="5"/>
  <c r="T143" i="5" s="1"/>
  <c r="M161" i="5"/>
  <c r="P161" i="5" s="1"/>
  <c r="M177" i="5"/>
  <c r="P177" i="5" s="1"/>
  <c r="R283" i="5"/>
  <c r="U283" i="5" s="1"/>
  <c r="R307" i="5"/>
  <c r="J504" i="5"/>
  <c r="J493" i="5" s="1"/>
  <c r="I493" i="5"/>
  <c r="L237" i="5"/>
  <c r="O342" i="5"/>
  <c r="L336" i="5"/>
  <c r="P415" i="5"/>
  <c r="M414" i="5"/>
  <c r="P414" i="5" s="1"/>
  <c r="R620" i="5"/>
  <c r="U620" i="5" s="1"/>
  <c r="R619" i="5"/>
  <c r="U622" i="5"/>
  <c r="K87" i="5"/>
  <c r="L160" i="5"/>
  <c r="R160" i="5"/>
  <c r="L176" i="5"/>
  <c r="R176" i="5"/>
  <c r="L189" i="5"/>
  <c r="R189" i="5"/>
  <c r="T192" i="5"/>
  <c r="L244" i="5"/>
  <c r="I266" i="5"/>
  <c r="K266" i="5" s="1"/>
  <c r="T270" i="5"/>
  <c r="K293" i="5"/>
  <c r="I282" i="5"/>
  <c r="K282" i="5" s="1"/>
  <c r="Q357" i="5"/>
  <c r="T357" i="5" s="1"/>
  <c r="P365" i="5"/>
  <c r="M359" i="5"/>
  <c r="M376" i="5"/>
  <c r="P376" i="5" s="1"/>
  <c r="S378" i="5"/>
  <c r="S376" i="5" s="1"/>
  <c r="M600" i="5"/>
  <c r="P600" i="5" s="1"/>
  <c r="P601" i="5"/>
  <c r="M47" i="5"/>
  <c r="M62" i="5"/>
  <c r="I137" i="5"/>
  <c r="K137" i="5" s="1"/>
  <c r="P188" i="5"/>
  <c r="M189" i="5"/>
  <c r="S189" i="5"/>
  <c r="P195" i="5"/>
  <c r="J232" i="5"/>
  <c r="J186" i="5" s="1"/>
  <c r="L255" i="5"/>
  <c r="O255" i="5" s="1"/>
  <c r="N269" i="5"/>
  <c r="N267" i="5" s="1"/>
  <c r="P291" i="5"/>
  <c r="M285" i="5"/>
  <c r="P285" i="5" s="1"/>
  <c r="P519" i="5"/>
  <c r="M516" i="5"/>
  <c r="P516" i="5" s="1"/>
  <c r="Q535" i="5"/>
  <c r="T535" i="5" s="1"/>
  <c r="T537" i="5"/>
  <c r="R556" i="5"/>
  <c r="U556" i="5" s="1"/>
  <c r="U557" i="5"/>
  <c r="M577" i="5"/>
  <c r="P577" i="5" s="1"/>
  <c r="P578" i="5"/>
  <c r="Q378" i="5"/>
  <c r="T381" i="5"/>
  <c r="M494" i="5"/>
  <c r="P494" i="5" s="1"/>
  <c r="R496" i="5"/>
  <c r="M520" i="5"/>
  <c r="P520" i="5" s="1"/>
  <c r="Q577" i="5"/>
  <c r="T577" i="5" s="1"/>
  <c r="Q600" i="5"/>
  <c r="T600" i="5" s="1"/>
  <c r="O644" i="5"/>
  <c r="T648" i="5"/>
  <c r="R691" i="5"/>
  <c r="S693" i="5"/>
  <c r="S691" i="5" s="1"/>
  <c r="S694" i="5"/>
  <c r="K778" i="5"/>
  <c r="K784" i="5"/>
  <c r="O522" i="5"/>
  <c r="L516" i="5"/>
  <c r="K630" i="5"/>
  <c r="K632" i="5"/>
  <c r="K631" i="5"/>
  <c r="K690" i="5"/>
  <c r="I759" i="5"/>
  <c r="K759" i="5" s="1"/>
  <c r="K774" i="5"/>
  <c r="L393" i="5"/>
  <c r="O393" i="5" s="1"/>
  <c r="R393" i="5"/>
  <c r="U393" i="5" s="1"/>
  <c r="J458" i="5"/>
  <c r="J457" i="5" s="1"/>
  <c r="Q494" i="5"/>
  <c r="T494" i="5" s="1"/>
  <c r="S497" i="5"/>
  <c r="S731" i="5"/>
  <c r="S729" i="5" s="1"/>
  <c r="U729" i="5" s="1"/>
  <c r="U734" i="5"/>
  <c r="S732" i="5"/>
  <c r="T732" i="5" s="1"/>
  <c r="O618" i="5"/>
  <c r="T696" i="5"/>
  <c r="Q693" i="5"/>
  <c r="Q694" i="5"/>
  <c r="K706" i="5"/>
  <c r="K708" i="5"/>
  <c r="L715" i="5"/>
  <c r="O715" i="5" s="1"/>
  <c r="K780" i="5"/>
  <c r="Q731" i="5"/>
  <c r="Q729" i="5" s="1"/>
  <c r="T734" i="5"/>
  <c r="R762" i="5"/>
  <c r="U765" i="5"/>
  <c r="I758" i="5"/>
  <c r="K758" i="5" s="1"/>
  <c r="S306" i="3"/>
  <c r="S304" i="3" s="1"/>
  <c r="Q118" i="4"/>
  <c r="T118" i="4" s="1"/>
  <c r="S121" i="4"/>
  <c r="U121" i="4" s="1"/>
  <c r="P145" i="4"/>
  <c r="M146" i="4"/>
  <c r="P146" i="4" s="1"/>
  <c r="I170" i="4"/>
  <c r="K170" i="4" s="1"/>
  <c r="S176" i="4"/>
  <c r="S174" i="4" s="1"/>
  <c r="I203" i="4"/>
  <c r="K203" i="4" s="1"/>
  <c r="K230" i="4"/>
  <c r="K261" i="4"/>
  <c r="T272" i="4"/>
  <c r="O312" i="4"/>
  <c r="K370" i="4"/>
  <c r="Q645" i="4"/>
  <c r="Q643" i="4" s="1"/>
  <c r="T643" i="4" s="1"/>
  <c r="K679" i="4"/>
  <c r="M363" i="2"/>
  <c r="P363" i="2" s="1"/>
  <c r="N120" i="3"/>
  <c r="N118" i="3" s="1"/>
  <c r="I320" i="3"/>
  <c r="K320" i="3" s="1"/>
  <c r="L66" i="4"/>
  <c r="O66" i="4" s="1"/>
  <c r="N142" i="4"/>
  <c r="N140" i="4" s="1"/>
  <c r="T270" i="4"/>
  <c r="J702" i="2"/>
  <c r="N47" i="4"/>
  <c r="N45" i="4" s="1"/>
  <c r="L51" i="4"/>
  <c r="O51" i="4" s="1"/>
  <c r="R270" i="4"/>
  <c r="U270" i="4" s="1"/>
  <c r="N285" i="4"/>
  <c r="N283" i="4" s="1"/>
  <c r="O339" i="4"/>
  <c r="P522" i="4"/>
  <c r="T648" i="4"/>
  <c r="L160" i="3"/>
  <c r="L158" i="3" s="1"/>
  <c r="O158" i="3" s="1"/>
  <c r="O48" i="4"/>
  <c r="N160" i="4"/>
  <c r="N158" i="4" s="1"/>
  <c r="L270" i="4"/>
  <c r="O270" i="4" s="1"/>
  <c r="K680" i="4"/>
  <c r="R694" i="4"/>
  <c r="K779" i="4"/>
  <c r="K782" i="4"/>
  <c r="P65" i="3"/>
  <c r="K779" i="3"/>
  <c r="K785" i="3"/>
  <c r="M75" i="4"/>
  <c r="P78" i="4"/>
  <c r="P81" i="4"/>
  <c r="L189" i="4"/>
  <c r="L187" i="4" s="1"/>
  <c r="L193" i="4"/>
  <c r="O193" i="4" s="1"/>
  <c r="L215" i="4"/>
  <c r="O215" i="4" s="1"/>
  <c r="I266" i="4"/>
  <c r="K266" i="4" s="1"/>
  <c r="M273" i="4"/>
  <c r="P273" i="4" s="1"/>
  <c r="O365" i="4"/>
  <c r="J375" i="4"/>
  <c r="K704" i="4"/>
  <c r="R140" i="4"/>
  <c r="U140" i="4" s="1"/>
  <c r="U142" i="4"/>
  <c r="K254" i="4"/>
  <c r="N97" i="2"/>
  <c r="N95" i="2" s="1"/>
  <c r="L161" i="3"/>
  <c r="O161" i="3" s="1"/>
  <c r="M164" i="3"/>
  <c r="P164" i="3" s="1"/>
  <c r="Q306" i="3"/>
  <c r="J333" i="3"/>
  <c r="K333" i="3" s="1"/>
  <c r="U648" i="3"/>
  <c r="M47" i="4"/>
  <c r="M45" i="4" s="1"/>
  <c r="Q75" i="4"/>
  <c r="T75" i="4" s="1"/>
  <c r="R97" i="4"/>
  <c r="U97" i="4" s="1"/>
  <c r="O100" i="4"/>
  <c r="M101" i="4"/>
  <c r="P101" i="4" s="1"/>
  <c r="K184" i="4"/>
  <c r="I239" i="4"/>
  <c r="K239" i="4" s="1"/>
  <c r="M289" i="4"/>
  <c r="P289" i="4" s="1"/>
  <c r="P291" i="4"/>
  <c r="K458" i="4"/>
  <c r="I457" i="4"/>
  <c r="K457" i="4" s="1"/>
  <c r="S497" i="4"/>
  <c r="S496" i="4"/>
  <c r="S494" i="4" s="1"/>
  <c r="K783" i="4"/>
  <c r="L120" i="3"/>
  <c r="O120" i="3" s="1"/>
  <c r="L124" i="3"/>
  <c r="O124" i="3" s="1"/>
  <c r="J703" i="3"/>
  <c r="L24" i="4"/>
  <c r="P50" i="4"/>
  <c r="L97" i="4"/>
  <c r="O97" i="4" s="1"/>
  <c r="P100" i="4"/>
  <c r="Q177" i="4"/>
  <c r="T177" i="4" s="1"/>
  <c r="R190" i="4"/>
  <c r="U190" i="4" s="1"/>
  <c r="M286" i="4"/>
  <c r="P286" i="4" s="1"/>
  <c r="M285" i="4"/>
  <c r="P285" i="4" s="1"/>
  <c r="M323" i="4"/>
  <c r="M321" i="4" s="1"/>
  <c r="P321" i="4" s="1"/>
  <c r="M324" i="4"/>
  <c r="P324" i="4" s="1"/>
  <c r="Q763" i="4"/>
  <c r="T763" i="4" s="1"/>
  <c r="Q762" i="4"/>
  <c r="Q760" i="4" s="1"/>
  <c r="T765" i="4"/>
  <c r="M500" i="1"/>
  <c r="P500" i="1" s="1"/>
  <c r="U419" i="4"/>
  <c r="R417" i="4"/>
  <c r="U417" i="4" s="1"/>
  <c r="R416" i="4"/>
  <c r="O163" i="3"/>
  <c r="M310" i="3"/>
  <c r="P310" i="3" s="1"/>
  <c r="K654" i="3"/>
  <c r="M24" i="4"/>
  <c r="M22" i="4" s="1"/>
  <c r="M97" i="4"/>
  <c r="M121" i="4"/>
  <c r="P121" i="4" s="1"/>
  <c r="M160" i="4"/>
  <c r="N289" i="4"/>
  <c r="N306" i="4"/>
  <c r="N304" i="4" s="1"/>
  <c r="N307" i="4"/>
  <c r="O307" i="4" s="1"/>
  <c r="N337" i="4"/>
  <c r="P337" i="4" s="1"/>
  <c r="K708" i="4"/>
  <c r="N161" i="1"/>
  <c r="S121" i="1"/>
  <c r="R24" i="4"/>
  <c r="R22" i="4" s="1"/>
  <c r="M27" i="4"/>
  <c r="P27" i="4" s="1"/>
  <c r="M62" i="4"/>
  <c r="M60" i="4" s="1"/>
  <c r="N97" i="4"/>
  <c r="N95" i="4" s="1"/>
  <c r="N143" i="4"/>
  <c r="O143" i="4" s="1"/>
  <c r="O145" i="4"/>
  <c r="R189" i="4"/>
  <c r="P192" i="4"/>
  <c r="M269" i="4"/>
  <c r="M267" i="4" s="1"/>
  <c r="O309" i="4"/>
  <c r="J333" i="4"/>
  <c r="K779" i="2"/>
  <c r="N160" i="3"/>
  <c r="N158" i="3" s="1"/>
  <c r="K347" i="3"/>
  <c r="K783" i="3"/>
  <c r="N62" i="4"/>
  <c r="N60" i="4" s="1"/>
  <c r="O161" i="4"/>
  <c r="P288" i="4"/>
  <c r="J352" i="4"/>
  <c r="P362" i="4"/>
  <c r="K369" i="4"/>
  <c r="R269" i="4"/>
  <c r="K345" i="4"/>
  <c r="J676" i="4"/>
  <c r="K676" i="4" s="1"/>
  <c r="K781" i="4"/>
  <c r="K662" i="4"/>
  <c r="K331" i="4"/>
  <c r="K347" i="4"/>
  <c r="K631" i="4"/>
  <c r="K677" i="4"/>
  <c r="K785" i="4"/>
  <c r="L327" i="4"/>
  <c r="O327" i="4" s="1"/>
  <c r="L359" i="4"/>
  <c r="N359" i="4"/>
  <c r="N357" i="4" s="1"/>
  <c r="S762" i="4"/>
  <c r="S760" i="4" s="1"/>
  <c r="K315" i="4"/>
  <c r="I303" i="4"/>
  <c r="K303" i="4" s="1"/>
  <c r="P644" i="4"/>
  <c r="M643" i="4"/>
  <c r="P643" i="4" s="1"/>
  <c r="S176" i="2"/>
  <c r="S174" i="2" s="1"/>
  <c r="K369" i="2"/>
  <c r="R121" i="3"/>
  <c r="U121" i="3" s="1"/>
  <c r="T163" i="3"/>
  <c r="R176" i="3"/>
  <c r="U176" i="3" s="1"/>
  <c r="S189" i="3"/>
  <c r="S187" i="3" s="1"/>
  <c r="M193" i="3"/>
  <c r="P193" i="3" s="1"/>
  <c r="I242" i="3"/>
  <c r="K242" i="3" s="1"/>
  <c r="L235" i="3"/>
  <c r="L269" i="3"/>
  <c r="O269" i="3" s="1"/>
  <c r="J344" i="3"/>
  <c r="K690" i="3"/>
  <c r="Q24" i="4"/>
  <c r="Q98" i="4"/>
  <c r="T98" i="4" s="1"/>
  <c r="R120" i="4"/>
  <c r="U120" i="4" s="1"/>
  <c r="P163" i="4"/>
  <c r="M161" i="4"/>
  <c r="P161" i="4" s="1"/>
  <c r="N177" i="4"/>
  <c r="O179" i="4"/>
  <c r="Q190" i="4"/>
  <c r="T190" i="4" s="1"/>
  <c r="Q189" i="4"/>
  <c r="M307" i="4"/>
  <c r="M306" i="4"/>
  <c r="P309" i="4"/>
  <c r="P358" i="4"/>
  <c r="M75" i="3"/>
  <c r="M73" i="3" s="1"/>
  <c r="P73" i="3" s="1"/>
  <c r="M120" i="3"/>
  <c r="P120" i="3" s="1"/>
  <c r="P126" i="3"/>
  <c r="L236" i="3"/>
  <c r="M327" i="3"/>
  <c r="P327" i="3" s="1"/>
  <c r="P63" i="4"/>
  <c r="U96" i="4"/>
  <c r="Q97" i="4"/>
  <c r="Q160" i="4"/>
  <c r="T160" i="4" s="1"/>
  <c r="O166" i="4"/>
  <c r="K199" i="4"/>
  <c r="I196" i="4"/>
  <c r="K196" i="4" s="1"/>
  <c r="Q514" i="4"/>
  <c r="T514" i="4" s="1"/>
  <c r="T515" i="4"/>
  <c r="L556" i="4"/>
  <c r="O556" i="4" s="1"/>
  <c r="O558" i="4"/>
  <c r="S307" i="4"/>
  <c r="U307" i="4" s="1"/>
  <c r="U309" i="4"/>
  <c r="S306" i="4"/>
  <c r="L235" i="2"/>
  <c r="Q416" i="2"/>
  <c r="T416" i="2" s="1"/>
  <c r="N75" i="3"/>
  <c r="N73" i="3" s="1"/>
  <c r="I94" i="3"/>
  <c r="K94" i="3" s="1"/>
  <c r="N97" i="3"/>
  <c r="N95" i="3" s="1"/>
  <c r="R161" i="3"/>
  <c r="U161" i="3" s="1"/>
  <c r="K199" i="3"/>
  <c r="L244" i="3"/>
  <c r="O244" i="3" s="1"/>
  <c r="K277" i="3"/>
  <c r="L306" i="3"/>
  <c r="J352" i="3"/>
  <c r="S763" i="3"/>
  <c r="S24" i="4"/>
  <c r="S21" i="4" s="1"/>
  <c r="P68" i="4"/>
  <c r="S76" i="4"/>
  <c r="T78" i="4"/>
  <c r="O96" i="4"/>
  <c r="S142" i="4"/>
  <c r="S140" i="4" s="1"/>
  <c r="S143" i="4"/>
  <c r="K173" i="4"/>
  <c r="O322" i="4"/>
  <c r="N603" i="1"/>
  <c r="I84" i="4"/>
  <c r="M101" i="3"/>
  <c r="P101" i="3" s="1"/>
  <c r="P123" i="3"/>
  <c r="S161" i="3"/>
  <c r="P288" i="3"/>
  <c r="M306" i="3"/>
  <c r="P306" i="3" s="1"/>
  <c r="M323" i="3"/>
  <c r="P323" i="3" s="1"/>
  <c r="S693" i="3"/>
  <c r="S691" i="3" s="1"/>
  <c r="T20" i="4"/>
  <c r="P48" i="4"/>
  <c r="P65" i="4"/>
  <c r="I83" i="4"/>
  <c r="T100" i="4"/>
  <c r="U119" i="4"/>
  <c r="P126" i="4"/>
  <c r="M124" i="4"/>
  <c r="P124" i="4" s="1"/>
  <c r="M142" i="4"/>
  <c r="M143" i="4"/>
  <c r="L146" i="4"/>
  <c r="O146" i="4" s="1"/>
  <c r="L142" i="4"/>
  <c r="S158" i="4"/>
  <c r="N176" i="4"/>
  <c r="N174" i="4" s="1"/>
  <c r="T192" i="4"/>
  <c r="P268" i="4"/>
  <c r="N623" i="1"/>
  <c r="S76" i="1"/>
  <c r="I702" i="2"/>
  <c r="M97" i="3"/>
  <c r="M95" i="3" s="1"/>
  <c r="P95" i="3" s="1"/>
  <c r="L164" i="3"/>
  <c r="O164" i="3" s="1"/>
  <c r="P275" i="3"/>
  <c r="N306" i="3"/>
  <c r="N304" i="3" s="1"/>
  <c r="K369" i="3"/>
  <c r="S416" i="3"/>
  <c r="S414" i="3" s="1"/>
  <c r="J676" i="3"/>
  <c r="K676" i="3" s="1"/>
  <c r="P53" i="4"/>
  <c r="N120" i="4"/>
  <c r="N118" i="4" s="1"/>
  <c r="U123" i="4"/>
  <c r="I169" i="4"/>
  <c r="K169" i="4" s="1"/>
  <c r="K168" i="4"/>
  <c r="R176" i="4"/>
  <c r="U176" i="4" s="1"/>
  <c r="U179" i="4"/>
  <c r="P182" i="4"/>
  <c r="M176" i="4"/>
  <c r="M180" i="4"/>
  <c r="P180" i="4" s="1"/>
  <c r="L255" i="4"/>
  <c r="O255" i="4" s="1"/>
  <c r="L234" i="4"/>
  <c r="M310" i="4"/>
  <c r="P310" i="4" s="1"/>
  <c r="P312" i="4"/>
  <c r="N324" i="4"/>
  <c r="N323" i="4"/>
  <c r="N321" i="4" s="1"/>
  <c r="O360" i="4"/>
  <c r="Q379" i="4"/>
  <c r="T379" i="4" s="1"/>
  <c r="Q378" i="4"/>
  <c r="S393" i="4"/>
  <c r="T415" i="4"/>
  <c r="O692" i="4"/>
  <c r="L691" i="4"/>
  <c r="O691" i="4" s="1"/>
  <c r="N24" i="4"/>
  <c r="N27" i="4"/>
  <c r="N25" i="4" s="1"/>
  <c r="O50" i="4"/>
  <c r="O65" i="4"/>
  <c r="K110" i="4"/>
  <c r="T123" i="4"/>
  <c r="N189" i="4"/>
  <c r="O192" i="4"/>
  <c r="K221" i="4"/>
  <c r="I214" i="4"/>
  <c r="K214" i="4" s="1"/>
  <c r="I241" i="4"/>
  <c r="K241" i="4" s="1"/>
  <c r="T322" i="4"/>
  <c r="Q321" i="4"/>
  <c r="T321" i="4" s="1"/>
  <c r="L340" i="4"/>
  <c r="O340" i="4" s="1"/>
  <c r="O342" i="4"/>
  <c r="T377" i="4"/>
  <c r="L120" i="4"/>
  <c r="O120" i="4" s="1"/>
  <c r="O123" i="4"/>
  <c r="R160" i="4"/>
  <c r="U160" i="4" s="1"/>
  <c r="U163" i="4"/>
  <c r="K231" i="4"/>
  <c r="I242" i="4"/>
  <c r="K242" i="4" s="1"/>
  <c r="K243" i="4"/>
  <c r="I232" i="4"/>
  <c r="K232" i="4" s="1"/>
  <c r="U268" i="4"/>
  <c r="P305" i="4"/>
  <c r="T309" i="4"/>
  <c r="R321" i="4"/>
  <c r="U321" i="4" s="1"/>
  <c r="U322" i="4"/>
  <c r="O335" i="4"/>
  <c r="O362" i="4"/>
  <c r="T381" i="4"/>
  <c r="S620" i="4"/>
  <c r="T620" i="4" s="1"/>
  <c r="S619" i="4"/>
  <c r="U619" i="4" s="1"/>
  <c r="U622" i="4"/>
  <c r="L47" i="4"/>
  <c r="L62" i="4"/>
  <c r="M120" i="4"/>
  <c r="Q143" i="4"/>
  <c r="T143" i="4" s="1"/>
  <c r="O159" i="4"/>
  <c r="L160" i="4"/>
  <c r="O163" i="4"/>
  <c r="M164" i="4"/>
  <c r="P164" i="4" s="1"/>
  <c r="Q176" i="4"/>
  <c r="P179" i="4"/>
  <c r="O182" i="4"/>
  <c r="N190" i="4"/>
  <c r="P190" i="4" s="1"/>
  <c r="M193" i="4"/>
  <c r="P193" i="4" s="1"/>
  <c r="P195" i="4"/>
  <c r="M189" i="4"/>
  <c r="M187" i="4" s="1"/>
  <c r="K250" i="4"/>
  <c r="P272" i="4"/>
  <c r="N269" i="4"/>
  <c r="P335" i="4"/>
  <c r="L336" i="4"/>
  <c r="L334" i="4" s="1"/>
  <c r="Q393" i="4"/>
  <c r="T393" i="4" s="1"/>
  <c r="T394" i="4"/>
  <c r="Q417" i="4"/>
  <c r="T417" i="4" s="1"/>
  <c r="Q416" i="4"/>
  <c r="T416" i="4" s="1"/>
  <c r="T419" i="4"/>
  <c r="O519" i="4"/>
  <c r="L517" i="4"/>
  <c r="O517" i="4" s="1"/>
  <c r="L516" i="4"/>
  <c r="O516" i="4" s="1"/>
  <c r="O291" i="4"/>
  <c r="L285" i="4"/>
  <c r="N336" i="4"/>
  <c r="N334" i="4" s="1"/>
  <c r="J344" i="4"/>
  <c r="K372" i="4"/>
  <c r="I366" i="4"/>
  <c r="K366" i="4" s="1"/>
  <c r="P394" i="4"/>
  <c r="M393" i="4"/>
  <c r="P393" i="4" s="1"/>
  <c r="O495" i="4"/>
  <c r="L494" i="4"/>
  <c r="O494" i="4" s="1"/>
  <c r="T644" i="4"/>
  <c r="S283" i="4"/>
  <c r="U335" i="4"/>
  <c r="R334" i="4"/>
  <c r="U334" i="4" s="1"/>
  <c r="P360" i="4"/>
  <c r="N376" i="4"/>
  <c r="U499" i="4"/>
  <c r="R497" i="4"/>
  <c r="U497" i="4" s="1"/>
  <c r="R496" i="4"/>
  <c r="U557" i="4"/>
  <c r="R556" i="4"/>
  <c r="U556" i="4" s="1"/>
  <c r="M600" i="4"/>
  <c r="P600" i="4" s="1"/>
  <c r="M617" i="4"/>
  <c r="P617" i="4" s="1"/>
  <c r="P618" i="4"/>
  <c r="L323" i="4"/>
  <c r="O323" i="4" s="1"/>
  <c r="I333" i="4"/>
  <c r="M336" i="4"/>
  <c r="R378" i="4"/>
  <c r="U378" i="4" s="1"/>
  <c r="U381" i="4"/>
  <c r="M494" i="4"/>
  <c r="P494" i="4" s="1"/>
  <c r="L535" i="4"/>
  <c r="O535" i="4" s="1"/>
  <c r="R535" i="4"/>
  <c r="U535" i="4" s="1"/>
  <c r="L577" i="4"/>
  <c r="O577" i="4" s="1"/>
  <c r="R577" i="4"/>
  <c r="U577" i="4" s="1"/>
  <c r="Q600" i="4"/>
  <c r="T600" i="4" s="1"/>
  <c r="R646" i="4"/>
  <c r="U648" i="4"/>
  <c r="R645" i="4"/>
  <c r="U645" i="4" s="1"/>
  <c r="T696" i="4"/>
  <c r="Q693" i="4"/>
  <c r="T693" i="4" s="1"/>
  <c r="Q694" i="4"/>
  <c r="K778" i="4"/>
  <c r="K784" i="4"/>
  <c r="T499" i="4"/>
  <c r="Q496" i="4"/>
  <c r="I759" i="4"/>
  <c r="K759" i="4" s="1"/>
  <c r="K774" i="4"/>
  <c r="Q497" i="4"/>
  <c r="T497" i="4" s="1"/>
  <c r="P557" i="4"/>
  <c r="T622" i="4"/>
  <c r="Q619" i="4"/>
  <c r="K690" i="4"/>
  <c r="S731" i="4"/>
  <c r="S729" i="4" s="1"/>
  <c r="U729" i="4" s="1"/>
  <c r="U734" i="4"/>
  <c r="S732" i="4"/>
  <c r="L600" i="4"/>
  <c r="O600" i="4" s="1"/>
  <c r="R600" i="4"/>
  <c r="U600" i="4" s="1"/>
  <c r="K682" i="4"/>
  <c r="U692" i="4"/>
  <c r="R691" i="4"/>
  <c r="U691" i="4" s="1"/>
  <c r="K780" i="4"/>
  <c r="J675" i="4"/>
  <c r="K675" i="4" s="1"/>
  <c r="Q731" i="4"/>
  <c r="T734" i="4"/>
  <c r="R762" i="4"/>
  <c r="U765" i="4"/>
  <c r="S694" i="4"/>
  <c r="U696" i="4"/>
  <c r="I758" i="4"/>
  <c r="K758" i="4" s="1"/>
  <c r="T694" i="3"/>
  <c r="Q24" i="3"/>
  <c r="Q176" i="3"/>
  <c r="T176" i="3" s="1"/>
  <c r="K221" i="3"/>
  <c r="R270" i="3"/>
  <c r="K345" i="3"/>
  <c r="I424" i="3"/>
  <c r="K424" i="3" s="1"/>
  <c r="K782" i="3"/>
  <c r="R306" i="3"/>
  <c r="S143" i="2"/>
  <c r="J703" i="2"/>
  <c r="N47" i="3"/>
  <c r="N45" i="3" s="1"/>
  <c r="T121" i="3"/>
  <c r="M161" i="3"/>
  <c r="P161" i="3" s="1"/>
  <c r="N189" i="3"/>
  <c r="N187" i="3" s="1"/>
  <c r="S270" i="3"/>
  <c r="P270" i="3"/>
  <c r="U309" i="3"/>
  <c r="I493" i="3"/>
  <c r="K493" i="3" s="1"/>
  <c r="Q693" i="3"/>
  <c r="U696" i="3"/>
  <c r="Q762" i="3"/>
  <c r="Q760" i="3" s="1"/>
  <c r="T760" i="3" s="1"/>
  <c r="R24" i="3"/>
  <c r="R21" i="3" s="1"/>
  <c r="R19" i="3" s="1"/>
  <c r="M63" i="3"/>
  <c r="P63" i="3" s="1"/>
  <c r="Q76" i="3"/>
  <c r="T76" i="3" s="1"/>
  <c r="L75" i="3"/>
  <c r="L73" i="3" s="1"/>
  <c r="O73" i="3" s="1"/>
  <c r="M79" i="3"/>
  <c r="P79" i="3" s="1"/>
  <c r="I93" i="3"/>
  <c r="K93" i="3" s="1"/>
  <c r="Q177" i="3"/>
  <c r="T177" i="3" s="1"/>
  <c r="K266" i="3"/>
  <c r="L307" i="3"/>
  <c r="O307" i="3" s="1"/>
  <c r="L310" i="3"/>
  <c r="O310" i="3" s="1"/>
  <c r="N24" i="2"/>
  <c r="N22" i="2" s="1"/>
  <c r="T272" i="2"/>
  <c r="L24" i="3"/>
  <c r="L22" i="3" s="1"/>
  <c r="P100" i="3"/>
  <c r="Q143" i="3"/>
  <c r="T143" i="3" s="1"/>
  <c r="R177" i="3"/>
  <c r="U177" i="3" s="1"/>
  <c r="K196" i="3"/>
  <c r="I203" i="3"/>
  <c r="K203" i="3" s="1"/>
  <c r="M307" i="3"/>
  <c r="P307" i="3" s="1"/>
  <c r="T379" i="3"/>
  <c r="R645" i="3"/>
  <c r="U645" i="3" s="1"/>
  <c r="R646" i="3"/>
  <c r="J676" i="2"/>
  <c r="K676" i="2" s="1"/>
  <c r="M24" i="3"/>
  <c r="M22" i="3" s="1"/>
  <c r="K653" i="3"/>
  <c r="K677" i="3"/>
  <c r="K781" i="3"/>
  <c r="U75" i="3"/>
  <c r="R73" i="3"/>
  <c r="U73" i="3" s="1"/>
  <c r="Q267" i="3"/>
  <c r="T269" i="3"/>
  <c r="T75" i="3"/>
  <c r="Q73" i="3"/>
  <c r="T73" i="3" s="1"/>
  <c r="R267" i="3"/>
  <c r="U269" i="3"/>
  <c r="K682" i="2"/>
  <c r="O65" i="3"/>
  <c r="L142" i="3"/>
  <c r="O142" i="3" s="1"/>
  <c r="M359" i="3"/>
  <c r="M357" i="3" s="1"/>
  <c r="M48" i="3"/>
  <c r="P48" i="3" s="1"/>
  <c r="O50" i="3"/>
  <c r="L76" i="3"/>
  <c r="O76" i="3" s="1"/>
  <c r="U78" i="3"/>
  <c r="S98" i="3"/>
  <c r="L101" i="3"/>
  <c r="O101" i="3" s="1"/>
  <c r="T145" i="3"/>
  <c r="Q161" i="3"/>
  <c r="T161" i="3" s="1"/>
  <c r="I173" i="3"/>
  <c r="K173" i="3" s="1"/>
  <c r="S176" i="3"/>
  <c r="S174" i="3" s="1"/>
  <c r="P192" i="3"/>
  <c r="K214" i="3"/>
  <c r="L223" i="3"/>
  <c r="O223" i="3" s="1"/>
  <c r="K230" i="3"/>
  <c r="M269" i="3"/>
  <c r="M267" i="3" s="1"/>
  <c r="T272" i="3"/>
  <c r="T309" i="3"/>
  <c r="O365" i="3"/>
  <c r="I375" i="3"/>
  <c r="S378" i="3"/>
  <c r="S376" i="3" s="1"/>
  <c r="L517" i="3"/>
  <c r="O517" i="3" s="1"/>
  <c r="O519" i="3"/>
  <c r="Q731" i="3"/>
  <c r="Q729" i="3" s="1"/>
  <c r="N286" i="2"/>
  <c r="R97" i="2"/>
  <c r="R95" i="2" s="1"/>
  <c r="O143" i="2"/>
  <c r="O342" i="2"/>
  <c r="K683" i="2"/>
  <c r="P50" i="3"/>
  <c r="M76" i="3"/>
  <c r="P76" i="3" s="1"/>
  <c r="O78" i="3"/>
  <c r="L79" i="3"/>
  <c r="O79" i="3" s="1"/>
  <c r="L121" i="3"/>
  <c r="O121" i="3" s="1"/>
  <c r="T123" i="3"/>
  <c r="O177" i="3"/>
  <c r="L180" i="3"/>
  <c r="O180" i="3" s="1"/>
  <c r="M190" i="3"/>
  <c r="L270" i="3"/>
  <c r="O270" i="3" s="1"/>
  <c r="O272" i="3"/>
  <c r="U272" i="3"/>
  <c r="K294" i="3"/>
  <c r="O326" i="3"/>
  <c r="P365" i="3"/>
  <c r="U419" i="3"/>
  <c r="R417" i="3"/>
  <c r="U417" i="3" s="1"/>
  <c r="R416" i="3"/>
  <c r="U416" i="3" s="1"/>
  <c r="U622" i="3"/>
  <c r="S731" i="3"/>
  <c r="S729" i="3" s="1"/>
  <c r="S732" i="3"/>
  <c r="T732" i="3" s="1"/>
  <c r="O63" i="3"/>
  <c r="S496" i="3"/>
  <c r="S494" i="3" s="1"/>
  <c r="S497" i="3"/>
  <c r="R120" i="2"/>
  <c r="R118" i="2" s="1"/>
  <c r="Q379" i="2"/>
  <c r="T379" i="2" s="1"/>
  <c r="Q417" i="2"/>
  <c r="T417" i="2" s="1"/>
  <c r="U622" i="2"/>
  <c r="L98" i="3"/>
  <c r="O98" i="3" s="1"/>
  <c r="Q120" i="3"/>
  <c r="O123" i="3"/>
  <c r="U123" i="3"/>
  <c r="R142" i="3"/>
  <c r="U142" i="3" s="1"/>
  <c r="L176" i="3"/>
  <c r="L174" i="3" s="1"/>
  <c r="N190" i="3"/>
  <c r="O190" i="3" s="1"/>
  <c r="U192" i="3"/>
  <c r="L255" i="3"/>
  <c r="O255" i="3" s="1"/>
  <c r="P272" i="3"/>
  <c r="L273" i="3"/>
  <c r="O273" i="3" s="1"/>
  <c r="N323" i="3"/>
  <c r="N321" i="3" s="1"/>
  <c r="Q496" i="3"/>
  <c r="Q494" i="3" s="1"/>
  <c r="T494" i="3" s="1"/>
  <c r="T499" i="3"/>
  <c r="Q497" i="3"/>
  <c r="T497" i="3" s="1"/>
  <c r="N517" i="3"/>
  <c r="N516" i="3"/>
  <c r="N514" i="3" s="1"/>
  <c r="S620" i="3"/>
  <c r="S619" i="3"/>
  <c r="S617" i="3" s="1"/>
  <c r="Q646" i="3"/>
  <c r="K704" i="3"/>
  <c r="R763" i="3"/>
  <c r="U763" i="3" s="1"/>
  <c r="R762" i="3"/>
  <c r="R760" i="3" s="1"/>
  <c r="U760" i="3" s="1"/>
  <c r="U765" i="3"/>
  <c r="N51" i="3"/>
  <c r="R76" i="3"/>
  <c r="U76" i="3" s="1"/>
  <c r="Q515" i="1"/>
  <c r="T515" i="1" s="1"/>
  <c r="O48" i="3"/>
  <c r="R98" i="3"/>
  <c r="L336" i="2"/>
  <c r="L334" i="2" s="1"/>
  <c r="N62" i="3"/>
  <c r="N60" i="3" s="1"/>
  <c r="T78" i="3"/>
  <c r="I84" i="3"/>
  <c r="I72" i="3" s="1"/>
  <c r="K72" i="3" s="1"/>
  <c r="L97" i="3"/>
  <c r="O97" i="3" s="1"/>
  <c r="U190" i="3"/>
  <c r="O192" i="3"/>
  <c r="L215" i="3"/>
  <c r="O215" i="3" s="1"/>
  <c r="S267" i="3"/>
  <c r="P360" i="3"/>
  <c r="P362" i="3"/>
  <c r="K370" i="3"/>
  <c r="R620" i="3"/>
  <c r="K710" i="3"/>
  <c r="U499" i="3"/>
  <c r="P519" i="3"/>
  <c r="T648" i="3"/>
  <c r="J675" i="3"/>
  <c r="K675" i="3" s="1"/>
  <c r="T696" i="3"/>
  <c r="Q763" i="3"/>
  <c r="T763" i="3" s="1"/>
  <c r="K784" i="3"/>
  <c r="R496" i="3"/>
  <c r="U496" i="3" s="1"/>
  <c r="K728" i="3"/>
  <c r="K778" i="3"/>
  <c r="P159" i="3"/>
  <c r="U322" i="3"/>
  <c r="R321" i="3"/>
  <c r="U321" i="3" s="1"/>
  <c r="U100" i="2"/>
  <c r="K128" i="2"/>
  <c r="R142" i="2"/>
  <c r="R140" i="2" s="1"/>
  <c r="U140" i="2" s="1"/>
  <c r="M20" i="3"/>
  <c r="S20" i="3"/>
  <c r="L51" i="3"/>
  <c r="O51" i="3" s="1"/>
  <c r="O53" i="3"/>
  <c r="L47" i="3"/>
  <c r="L66" i="3"/>
  <c r="O66" i="3" s="1"/>
  <c r="O68" i="3"/>
  <c r="L62" i="3"/>
  <c r="P119" i="3"/>
  <c r="O377" i="3"/>
  <c r="L376" i="3"/>
  <c r="O376" i="3" s="1"/>
  <c r="N101" i="2"/>
  <c r="L234" i="2"/>
  <c r="Q269" i="2"/>
  <c r="Q267" i="2" s="1"/>
  <c r="S306" i="2"/>
  <c r="S304" i="2" s="1"/>
  <c r="O337" i="2"/>
  <c r="K677" i="2"/>
  <c r="K782" i="2"/>
  <c r="K785" i="2"/>
  <c r="N20" i="3"/>
  <c r="N24" i="3"/>
  <c r="N22" i="3" s="1"/>
  <c r="R25" i="3"/>
  <c r="U25" i="3" s="1"/>
  <c r="O26" i="3"/>
  <c r="M51" i="3"/>
  <c r="P51" i="3" s="1"/>
  <c r="M27" i="3"/>
  <c r="P27" i="3" s="1"/>
  <c r="P53" i="3"/>
  <c r="M47" i="3"/>
  <c r="Q60" i="3"/>
  <c r="T60" i="3" s="1"/>
  <c r="M66" i="3"/>
  <c r="P66" i="3" s="1"/>
  <c r="P68" i="3"/>
  <c r="M62" i="3"/>
  <c r="K86" i="3"/>
  <c r="N142" i="3"/>
  <c r="N140" i="3" s="1"/>
  <c r="N285" i="3"/>
  <c r="N283" i="3" s="1"/>
  <c r="N289" i="3"/>
  <c r="M75" i="2"/>
  <c r="P75" i="2" s="1"/>
  <c r="O100" i="2"/>
  <c r="L142" i="2"/>
  <c r="L140" i="2" s="1"/>
  <c r="M146" i="2"/>
  <c r="P146" i="2" s="1"/>
  <c r="I173" i="2"/>
  <c r="K173" i="2" s="1"/>
  <c r="S269" i="2"/>
  <c r="S267" i="2" s="1"/>
  <c r="I758" i="2"/>
  <c r="K758" i="2" s="1"/>
  <c r="P26" i="3"/>
  <c r="L27" i="3"/>
  <c r="O27" i="3" s="1"/>
  <c r="I83" i="3"/>
  <c r="K87" i="3"/>
  <c r="Q98" i="3"/>
  <c r="T100" i="3"/>
  <c r="T141" i="3"/>
  <c r="Q140" i="3"/>
  <c r="T140" i="3" s="1"/>
  <c r="S143" i="3"/>
  <c r="S24" i="3"/>
  <c r="O268" i="3"/>
  <c r="N337" i="3"/>
  <c r="P337" i="3" s="1"/>
  <c r="N336" i="3"/>
  <c r="N334" i="3" s="1"/>
  <c r="P339" i="3"/>
  <c r="O339" i="3"/>
  <c r="Q600" i="3"/>
  <c r="T600" i="3" s="1"/>
  <c r="T602" i="3"/>
  <c r="M310" i="2"/>
  <c r="P310" i="2" s="1"/>
  <c r="T98" i="2"/>
  <c r="Q189" i="2"/>
  <c r="Q187" i="2" s="1"/>
  <c r="O324" i="2"/>
  <c r="S620" i="2"/>
  <c r="N27" i="3"/>
  <c r="N25" i="3" s="1"/>
  <c r="Q97" i="3"/>
  <c r="T97" i="3" s="1"/>
  <c r="U141" i="3"/>
  <c r="S158" i="3"/>
  <c r="O175" i="3"/>
  <c r="K250" i="3"/>
  <c r="I243" i="3"/>
  <c r="I239" i="3"/>
  <c r="K239" i="3" s="1"/>
  <c r="K366" i="3"/>
  <c r="T644" i="3"/>
  <c r="Q643" i="3"/>
  <c r="T643" i="3" s="1"/>
  <c r="K370" i="2"/>
  <c r="K680" i="2"/>
  <c r="R693" i="2"/>
  <c r="U693" i="2" s="1"/>
  <c r="M51" i="2"/>
  <c r="P51" i="2" s="1"/>
  <c r="U98" i="2"/>
  <c r="N120" i="2"/>
  <c r="N118" i="2" s="1"/>
  <c r="I137" i="2"/>
  <c r="K137" i="2" s="1"/>
  <c r="S158" i="2"/>
  <c r="L237" i="2"/>
  <c r="T622" i="2"/>
  <c r="Q646" i="2"/>
  <c r="K710" i="2"/>
  <c r="R97" i="3"/>
  <c r="R118" i="3"/>
  <c r="O141" i="3"/>
  <c r="S142" i="3"/>
  <c r="S140" i="3" s="1"/>
  <c r="M143" i="3"/>
  <c r="P143" i="3" s="1"/>
  <c r="P145" i="3"/>
  <c r="M146" i="3"/>
  <c r="P146" i="3" s="1"/>
  <c r="P148" i="3"/>
  <c r="P342" i="3"/>
  <c r="M336" i="3"/>
  <c r="M334" i="3" s="1"/>
  <c r="M340" i="3"/>
  <c r="P340" i="3" s="1"/>
  <c r="T358" i="3"/>
  <c r="Q357" i="3"/>
  <c r="T357" i="3" s="1"/>
  <c r="Q393" i="3"/>
  <c r="T393" i="3" s="1"/>
  <c r="T395" i="3"/>
  <c r="R691" i="3"/>
  <c r="I759" i="3"/>
  <c r="K759" i="3" s="1"/>
  <c r="K774" i="3"/>
  <c r="P175" i="3"/>
  <c r="Q190" i="3"/>
  <c r="T190" i="3" s="1"/>
  <c r="T192" i="3"/>
  <c r="P268" i="3"/>
  <c r="O329" i="3"/>
  <c r="L323" i="3"/>
  <c r="O323" i="3" s="1"/>
  <c r="R357" i="3"/>
  <c r="U357" i="3" s="1"/>
  <c r="U359" i="3"/>
  <c r="N363" i="3"/>
  <c r="N359" i="3"/>
  <c r="N357" i="3" s="1"/>
  <c r="K372" i="3"/>
  <c r="P377" i="3"/>
  <c r="M376" i="3"/>
  <c r="P376" i="3" s="1"/>
  <c r="O145" i="3"/>
  <c r="U145" i="3"/>
  <c r="O148" i="3"/>
  <c r="Q160" i="3"/>
  <c r="N176" i="3"/>
  <c r="M177" i="3"/>
  <c r="P177" i="3" s="1"/>
  <c r="P179" i="3"/>
  <c r="Q189" i="3"/>
  <c r="K261" i="3"/>
  <c r="O322" i="3"/>
  <c r="L327" i="3"/>
  <c r="O327" i="3" s="1"/>
  <c r="T381" i="3"/>
  <c r="Q378" i="3"/>
  <c r="T618" i="3"/>
  <c r="R189" i="3"/>
  <c r="N269" i="3"/>
  <c r="T307" i="3"/>
  <c r="P322" i="3"/>
  <c r="M324" i="3"/>
  <c r="P324" i="3" s="1"/>
  <c r="P326" i="3"/>
  <c r="R334" i="3"/>
  <c r="U334" i="3" s="1"/>
  <c r="L360" i="3"/>
  <c r="O360" i="3" s="1"/>
  <c r="O362" i="3"/>
  <c r="U381" i="3"/>
  <c r="R378" i="3"/>
  <c r="U378" i="3" s="1"/>
  <c r="R379" i="3"/>
  <c r="U379" i="3" s="1"/>
  <c r="O415" i="3"/>
  <c r="L414" i="3"/>
  <c r="O414" i="3" s="1"/>
  <c r="L520" i="3"/>
  <c r="O520" i="3" s="1"/>
  <c r="O522" i="3"/>
  <c r="L516" i="3"/>
  <c r="U618" i="3"/>
  <c r="R617" i="3"/>
  <c r="M160" i="3"/>
  <c r="P160" i="3" s="1"/>
  <c r="U175" i="3"/>
  <c r="O179" i="3"/>
  <c r="M180" i="3"/>
  <c r="P180" i="3" s="1"/>
  <c r="P182" i="3"/>
  <c r="L189" i="3"/>
  <c r="L193" i="3"/>
  <c r="O193" i="3" s="1"/>
  <c r="L204" i="3"/>
  <c r="O204" i="3" s="1"/>
  <c r="L289" i="3"/>
  <c r="O289" i="3" s="1"/>
  <c r="O291" i="3"/>
  <c r="L285" i="3"/>
  <c r="K293" i="3"/>
  <c r="U307" i="3"/>
  <c r="L359" i="3"/>
  <c r="U377" i="3"/>
  <c r="N233" i="3"/>
  <c r="L237" i="3"/>
  <c r="M289" i="3"/>
  <c r="P289" i="3" s="1"/>
  <c r="P291" i="3"/>
  <c r="M285" i="3"/>
  <c r="P335" i="3"/>
  <c r="L340" i="3"/>
  <c r="O340" i="3" s="1"/>
  <c r="O342" i="3"/>
  <c r="L336" i="3"/>
  <c r="O557" i="3"/>
  <c r="L556" i="3"/>
  <c r="O556" i="3" s="1"/>
  <c r="M643" i="3"/>
  <c r="P643" i="3" s="1"/>
  <c r="P645" i="3"/>
  <c r="Q715" i="3"/>
  <c r="T715" i="3" s="1"/>
  <c r="T717" i="3"/>
  <c r="M414" i="3"/>
  <c r="P414" i="3" s="1"/>
  <c r="P416" i="3"/>
  <c r="M520" i="3"/>
  <c r="P520" i="3" s="1"/>
  <c r="P522" i="3"/>
  <c r="M516" i="3"/>
  <c r="P516" i="3" s="1"/>
  <c r="M556" i="3"/>
  <c r="P556" i="3" s="1"/>
  <c r="P558" i="3"/>
  <c r="O618" i="3"/>
  <c r="L617" i="3"/>
  <c r="O617" i="3" s="1"/>
  <c r="T645" i="3"/>
  <c r="K679" i="3"/>
  <c r="K708" i="3"/>
  <c r="U734" i="3"/>
  <c r="T419" i="3"/>
  <c r="Q416" i="3"/>
  <c r="T416" i="3" s="1"/>
  <c r="Q417" i="3"/>
  <c r="T417" i="3" s="1"/>
  <c r="P515" i="3"/>
  <c r="L691" i="3"/>
  <c r="O691" i="3" s="1"/>
  <c r="O693" i="3"/>
  <c r="T415" i="3"/>
  <c r="L494" i="3"/>
  <c r="O494" i="3" s="1"/>
  <c r="O496" i="3"/>
  <c r="J504" i="3"/>
  <c r="J493" i="3" s="1"/>
  <c r="T557" i="3"/>
  <c r="Q556" i="3"/>
  <c r="T556" i="3" s="1"/>
  <c r="M617" i="3"/>
  <c r="P617" i="3" s="1"/>
  <c r="P619" i="3"/>
  <c r="M691" i="3"/>
  <c r="P691" i="3" s="1"/>
  <c r="P693" i="3"/>
  <c r="K706" i="3"/>
  <c r="I702" i="3"/>
  <c r="T734" i="3"/>
  <c r="U415" i="3"/>
  <c r="Q535" i="3"/>
  <c r="T535" i="3" s="1"/>
  <c r="T537" i="3"/>
  <c r="U557" i="3"/>
  <c r="R556" i="3"/>
  <c r="U556" i="3" s="1"/>
  <c r="Q577" i="3"/>
  <c r="T577" i="3" s="1"/>
  <c r="T579" i="3"/>
  <c r="T622" i="3"/>
  <c r="Q619" i="3"/>
  <c r="Q620" i="3"/>
  <c r="K633" i="3"/>
  <c r="K632" i="3"/>
  <c r="K631" i="3"/>
  <c r="K627" i="3"/>
  <c r="K630" i="3"/>
  <c r="L643" i="3"/>
  <c r="O643" i="3" s="1"/>
  <c r="O645" i="3"/>
  <c r="K662" i="3"/>
  <c r="T692" i="3"/>
  <c r="L760" i="3"/>
  <c r="O760" i="3" s="1"/>
  <c r="O762" i="3"/>
  <c r="R731" i="3"/>
  <c r="S646" i="3"/>
  <c r="N269" i="2"/>
  <c r="N267" i="2" s="1"/>
  <c r="N270" i="2"/>
  <c r="O275" i="2"/>
  <c r="L273" i="2"/>
  <c r="O273" i="2" s="1"/>
  <c r="N307" i="2"/>
  <c r="N306" i="2"/>
  <c r="N304" i="2" s="1"/>
  <c r="L47" i="2"/>
  <c r="L45" i="2" s="1"/>
  <c r="Q75" i="2"/>
  <c r="I83" i="2"/>
  <c r="K83" i="2" s="1"/>
  <c r="S97" i="2"/>
  <c r="L101" i="2"/>
  <c r="O101" i="2" s="1"/>
  <c r="M97" i="2"/>
  <c r="P97" i="2" s="1"/>
  <c r="P145" i="2"/>
  <c r="T163" i="2"/>
  <c r="N176" i="2"/>
  <c r="N174" i="2" s="1"/>
  <c r="N517" i="2"/>
  <c r="N516" i="2"/>
  <c r="N514" i="2" s="1"/>
  <c r="M24" i="2"/>
  <c r="L97" i="2"/>
  <c r="P326" i="2"/>
  <c r="M323" i="2"/>
  <c r="M321" i="2" s="1"/>
  <c r="M324" i="2"/>
  <c r="P324" i="2" s="1"/>
  <c r="Q762" i="2"/>
  <c r="Q760" i="2" s="1"/>
  <c r="Q763" i="2"/>
  <c r="T765" i="2"/>
  <c r="L124" i="2"/>
  <c r="O124" i="2" s="1"/>
  <c r="P65" i="2"/>
  <c r="T78" i="2"/>
  <c r="S121" i="2"/>
  <c r="U121" i="2" s="1"/>
  <c r="R269" i="2"/>
  <c r="R267" i="2" s="1"/>
  <c r="K294" i="2"/>
  <c r="L363" i="2"/>
  <c r="O363" i="2" s="1"/>
  <c r="S76" i="2"/>
  <c r="L75" i="2"/>
  <c r="O75" i="2" s="1"/>
  <c r="M79" i="2"/>
  <c r="P79" i="2" s="1"/>
  <c r="Q97" i="2"/>
  <c r="R143" i="2"/>
  <c r="U143" i="2" s="1"/>
  <c r="S161" i="2"/>
  <c r="M161" i="2"/>
  <c r="M160" i="2"/>
  <c r="M158" i="2" s="1"/>
  <c r="O182" i="2"/>
  <c r="O309" i="2"/>
  <c r="P339" i="2"/>
  <c r="P342" i="2"/>
  <c r="R379" i="2"/>
  <c r="U379" i="2" s="1"/>
  <c r="O519" i="2"/>
  <c r="T648" i="2"/>
  <c r="S694" i="2"/>
  <c r="U694" i="2" s="1"/>
  <c r="P192" i="2"/>
  <c r="K706" i="2"/>
  <c r="L223" i="2"/>
  <c r="O223" i="2" s="1"/>
  <c r="L236" i="2"/>
  <c r="K315" i="2"/>
  <c r="M520" i="2"/>
  <c r="P520" i="2" s="1"/>
  <c r="K293" i="2"/>
  <c r="P337" i="2"/>
  <c r="N359" i="2"/>
  <c r="N357" i="2" s="1"/>
  <c r="U381" i="2"/>
  <c r="T499" i="2"/>
  <c r="M516" i="2"/>
  <c r="U696" i="2"/>
  <c r="K704" i="2"/>
  <c r="K783" i="2"/>
  <c r="S118" i="2"/>
  <c r="U378" i="2"/>
  <c r="R376" i="2"/>
  <c r="U376" i="2" s="1"/>
  <c r="K366" i="2"/>
  <c r="T696" i="2"/>
  <c r="Q693" i="2"/>
  <c r="Q691" i="2" s="1"/>
  <c r="T691" i="2" s="1"/>
  <c r="S24" i="2"/>
  <c r="M48" i="2"/>
  <c r="P48" i="2" s="1"/>
  <c r="P50" i="2"/>
  <c r="M66" i="2"/>
  <c r="P66" i="2" s="1"/>
  <c r="N75" i="2"/>
  <c r="N73" i="2" s="1"/>
  <c r="M76" i="2"/>
  <c r="P76" i="2" s="1"/>
  <c r="M124" i="2"/>
  <c r="P124" i="2" s="1"/>
  <c r="R160" i="2"/>
  <c r="U160" i="2" s="1"/>
  <c r="N190" i="2"/>
  <c r="K230" i="2"/>
  <c r="I254" i="2"/>
  <c r="K254" i="2" s="1"/>
  <c r="L270" i="2"/>
  <c r="O270" i="2" s="1"/>
  <c r="M273" i="2"/>
  <c r="P273" i="2" s="1"/>
  <c r="M289" i="2"/>
  <c r="P289" i="2" s="1"/>
  <c r="M307" i="2"/>
  <c r="P307" i="2" s="1"/>
  <c r="T307" i="2"/>
  <c r="O326" i="2"/>
  <c r="S416" i="2"/>
  <c r="S414" i="2" s="1"/>
  <c r="K458" i="2"/>
  <c r="Q496" i="2"/>
  <c r="Q619" i="2"/>
  <c r="T619" i="2" s="1"/>
  <c r="R646" i="2"/>
  <c r="O68" i="2"/>
  <c r="I94" i="2"/>
  <c r="K94" i="2" s="1"/>
  <c r="L120" i="2"/>
  <c r="O120" i="2" s="1"/>
  <c r="L121" i="2"/>
  <c r="O121" i="2" s="1"/>
  <c r="I139" i="2"/>
  <c r="K139" i="2" s="1"/>
  <c r="O145" i="2"/>
  <c r="Q161" i="2"/>
  <c r="T161" i="2" s="1"/>
  <c r="U163" i="2"/>
  <c r="T179" i="2"/>
  <c r="L215" i="2"/>
  <c r="O215" i="2" s="1"/>
  <c r="Q376" i="2"/>
  <c r="T376" i="2" s="1"/>
  <c r="S496" i="2"/>
  <c r="S494" i="2" s="1"/>
  <c r="R619" i="2"/>
  <c r="R617" i="2" s="1"/>
  <c r="U617" i="2" s="1"/>
  <c r="Q620" i="2"/>
  <c r="J675" i="2"/>
  <c r="K675" i="2" s="1"/>
  <c r="K784" i="2"/>
  <c r="M120" i="2"/>
  <c r="M121" i="2"/>
  <c r="P121" i="2" s="1"/>
  <c r="T120" i="2"/>
  <c r="N142" i="2"/>
  <c r="P143" i="2"/>
  <c r="L204" i="2"/>
  <c r="O204" i="2" s="1"/>
  <c r="I239" i="2"/>
  <c r="K239" i="2" s="1"/>
  <c r="L255" i="2"/>
  <c r="O255" i="2" s="1"/>
  <c r="L269" i="2"/>
  <c r="U272" i="2"/>
  <c r="R620" i="2"/>
  <c r="Q694" i="2"/>
  <c r="S762" i="2"/>
  <c r="S760" i="2" s="1"/>
  <c r="S763" i="2"/>
  <c r="M27" i="2"/>
  <c r="P27" i="2" s="1"/>
  <c r="N323" i="2"/>
  <c r="N321" i="2" s="1"/>
  <c r="N27" i="2"/>
  <c r="N63" i="2"/>
  <c r="P63" i="2" s="1"/>
  <c r="S75" i="2"/>
  <c r="S73" i="2" s="1"/>
  <c r="K87" i="2"/>
  <c r="U123" i="2"/>
  <c r="N189" i="2"/>
  <c r="N187" i="2" s="1"/>
  <c r="L244" i="2"/>
  <c r="O244" i="2" s="1"/>
  <c r="K252" i="2"/>
  <c r="S270" i="2"/>
  <c r="U270" i="2" s="1"/>
  <c r="L323" i="2"/>
  <c r="L321" i="2" s="1"/>
  <c r="M336" i="2"/>
  <c r="M334" i="2" s="1"/>
  <c r="K347" i="2"/>
  <c r="J352" i="2"/>
  <c r="K372" i="2"/>
  <c r="U648" i="2"/>
  <c r="T734" i="2"/>
  <c r="Q732" i="2"/>
  <c r="K679" i="2"/>
  <c r="U734" i="2"/>
  <c r="U765" i="2"/>
  <c r="U46" i="2"/>
  <c r="R45" i="2"/>
  <c r="U45" i="2" s="1"/>
  <c r="O175" i="2"/>
  <c r="T23" i="2"/>
  <c r="Q24" i="2"/>
  <c r="T26" i="2"/>
  <c r="Q25" i="2"/>
  <c r="T25" i="2" s="1"/>
  <c r="O46" i="2"/>
  <c r="O50" i="2"/>
  <c r="O61" i="2"/>
  <c r="O65" i="2"/>
  <c r="L79" i="2"/>
  <c r="O79" i="2" s="1"/>
  <c r="O81" i="2"/>
  <c r="T100" i="2"/>
  <c r="U335" i="2"/>
  <c r="R334" i="2"/>
  <c r="U334" i="2" s="1"/>
  <c r="U61" i="2"/>
  <c r="R60" i="2"/>
  <c r="U60" i="2" s="1"/>
  <c r="L76" i="2"/>
  <c r="O76" i="2" s="1"/>
  <c r="O78" i="2"/>
  <c r="R307" i="2"/>
  <c r="U307" i="2" s="1"/>
  <c r="U309" i="2"/>
  <c r="R306" i="2"/>
  <c r="P96" i="2"/>
  <c r="M193" i="2"/>
  <c r="P193" i="2" s="1"/>
  <c r="P195" i="2"/>
  <c r="I214" i="2"/>
  <c r="K214" i="2" s="1"/>
  <c r="K221" i="2"/>
  <c r="O291" i="2"/>
  <c r="L289" i="2"/>
  <c r="O289" i="2" s="1"/>
  <c r="O358" i="2"/>
  <c r="L51" i="2"/>
  <c r="O51" i="2" s="1"/>
  <c r="L27" i="2"/>
  <c r="O27" i="2" s="1"/>
  <c r="L62" i="2"/>
  <c r="L60" i="2" s="1"/>
  <c r="U74" i="2"/>
  <c r="R73" i="2"/>
  <c r="U73" i="2" s="1"/>
  <c r="S140" i="2"/>
  <c r="I138" i="2"/>
  <c r="K138" i="2" s="1"/>
  <c r="K153" i="2"/>
  <c r="R20" i="2"/>
  <c r="U26" i="2"/>
  <c r="P46" i="2"/>
  <c r="N47" i="2"/>
  <c r="N45" i="2" s="1"/>
  <c r="L48" i="2"/>
  <c r="O48" i="2" s="1"/>
  <c r="L24" i="2"/>
  <c r="P61" i="2"/>
  <c r="N62" i="2"/>
  <c r="N60" i="2" s="1"/>
  <c r="O74" i="2"/>
  <c r="M98" i="2"/>
  <c r="P98" i="2" s="1"/>
  <c r="P100" i="2"/>
  <c r="I93" i="2"/>
  <c r="K93" i="2" s="1"/>
  <c r="K109" i="2"/>
  <c r="N161" i="2"/>
  <c r="O161" i="2" s="1"/>
  <c r="N160" i="2"/>
  <c r="N158" i="2" s="1"/>
  <c r="R76" i="2"/>
  <c r="U76" i="2" s="1"/>
  <c r="U78" i="2"/>
  <c r="R24" i="2"/>
  <c r="M101" i="2"/>
  <c r="P101" i="2" s="1"/>
  <c r="P103" i="2"/>
  <c r="Q121" i="2"/>
  <c r="T123" i="2"/>
  <c r="R174" i="2"/>
  <c r="U174" i="2" s="1"/>
  <c r="U175" i="2"/>
  <c r="L177" i="2"/>
  <c r="O179" i="2"/>
  <c r="L176" i="2"/>
  <c r="I320" i="2"/>
  <c r="K320" i="2" s="1"/>
  <c r="K331" i="2"/>
  <c r="M47" i="2"/>
  <c r="M62" i="2"/>
  <c r="M142" i="2"/>
  <c r="Q143" i="2"/>
  <c r="T143" i="2" s="1"/>
  <c r="L146" i="2"/>
  <c r="O146" i="2" s="1"/>
  <c r="L160" i="2"/>
  <c r="L158" i="2" s="1"/>
  <c r="O163" i="2"/>
  <c r="M164" i="2"/>
  <c r="P164" i="2" s="1"/>
  <c r="Q176" i="2"/>
  <c r="N177" i="2"/>
  <c r="P177" i="2" s="1"/>
  <c r="P179" i="2"/>
  <c r="M180" i="2"/>
  <c r="P180" i="2" s="1"/>
  <c r="I242" i="2"/>
  <c r="K242" i="2" s="1"/>
  <c r="M270" i="2"/>
  <c r="M269" i="2"/>
  <c r="K266" i="2"/>
  <c r="R283" i="2"/>
  <c r="U283" i="2" s="1"/>
  <c r="T305" i="2"/>
  <c r="N327" i="2"/>
  <c r="L327" i="2"/>
  <c r="O327" i="2" s="1"/>
  <c r="O329" i="2"/>
  <c r="O335" i="2"/>
  <c r="K616" i="2"/>
  <c r="U188" i="2"/>
  <c r="U192" i="2"/>
  <c r="R189" i="2"/>
  <c r="L286" i="2"/>
  <c r="O286" i="2" s="1"/>
  <c r="O288" i="2"/>
  <c r="L285" i="2"/>
  <c r="O285" i="2" s="1"/>
  <c r="L310" i="2"/>
  <c r="O310" i="2" s="1"/>
  <c r="O312" i="2"/>
  <c r="M327" i="2"/>
  <c r="P327" i="2" s="1"/>
  <c r="P329" i="2"/>
  <c r="U499" i="2"/>
  <c r="R496" i="2"/>
  <c r="R497" i="2"/>
  <c r="U497" i="2" s="1"/>
  <c r="K168" i="2"/>
  <c r="O192" i="2"/>
  <c r="L189" i="2"/>
  <c r="S190" i="2"/>
  <c r="T190" i="2" s="1"/>
  <c r="S189" i="2"/>
  <c r="T192" i="2"/>
  <c r="K199" i="2"/>
  <c r="K210" i="2"/>
  <c r="I203" i="2"/>
  <c r="K203" i="2" s="1"/>
  <c r="P272" i="2"/>
  <c r="O284" i="2"/>
  <c r="P288" i="2"/>
  <c r="M285" i="2"/>
  <c r="P285" i="2" s="1"/>
  <c r="T322" i="2"/>
  <c r="Q321" i="2"/>
  <c r="T321" i="2" s="1"/>
  <c r="J344" i="2"/>
  <c r="J333" i="2"/>
  <c r="K333" i="2" s="1"/>
  <c r="Q357" i="2"/>
  <c r="T357" i="2" s="1"/>
  <c r="T358" i="2"/>
  <c r="I84" i="2"/>
  <c r="Q118" i="2"/>
  <c r="I169" i="2"/>
  <c r="K169" i="2" s="1"/>
  <c r="M176" i="2"/>
  <c r="R177" i="2"/>
  <c r="U177" i="2" s="1"/>
  <c r="U179" i="2"/>
  <c r="M190" i="2"/>
  <c r="M189" i="2"/>
  <c r="L193" i="2"/>
  <c r="O193" i="2" s="1"/>
  <c r="P284" i="2"/>
  <c r="L306" i="2"/>
  <c r="O306" i="2" s="1"/>
  <c r="N336" i="2"/>
  <c r="N334" i="2" s="1"/>
  <c r="K345" i="2"/>
  <c r="R357" i="2"/>
  <c r="U357" i="2" s="1"/>
  <c r="U358" i="2"/>
  <c r="Q393" i="2"/>
  <c r="T393" i="2" s="1"/>
  <c r="T394" i="2"/>
  <c r="R414" i="2"/>
  <c r="U414" i="2" s="1"/>
  <c r="Q142" i="2"/>
  <c r="I157" i="2"/>
  <c r="K157" i="2" s="1"/>
  <c r="Q160" i="2"/>
  <c r="P163" i="2"/>
  <c r="O166" i="2"/>
  <c r="P188" i="2"/>
  <c r="L190" i="2"/>
  <c r="M306" i="2"/>
  <c r="T309" i="2"/>
  <c r="Q306" i="2"/>
  <c r="Q334" i="2"/>
  <c r="T334" i="2" s="1"/>
  <c r="T335" i="2"/>
  <c r="M359" i="2"/>
  <c r="P362" i="2"/>
  <c r="M376" i="2"/>
  <c r="P376" i="2" s="1"/>
  <c r="P377" i="2"/>
  <c r="O362" i="2"/>
  <c r="N360" i="2"/>
  <c r="P360" i="2" s="1"/>
  <c r="L414" i="2"/>
  <c r="O414" i="2" s="1"/>
  <c r="O416" i="2"/>
  <c r="P495" i="2"/>
  <c r="M494" i="2"/>
  <c r="P494" i="2" s="1"/>
  <c r="O515" i="2"/>
  <c r="O601" i="2"/>
  <c r="L600" i="2"/>
  <c r="O600" i="2" s="1"/>
  <c r="K277" i="2"/>
  <c r="O339" i="2"/>
  <c r="T381" i="2"/>
  <c r="S379" i="2"/>
  <c r="P558" i="2"/>
  <c r="M556" i="2"/>
  <c r="P556" i="2" s="1"/>
  <c r="O645" i="2"/>
  <c r="L643" i="2"/>
  <c r="O643" i="2" s="1"/>
  <c r="I243" i="2"/>
  <c r="U305" i="2"/>
  <c r="S378" i="2"/>
  <c r="S376" i="2" s="1"/>
  <c r="U419" i="2"/>
  <c r="R417" i="2"/>
  <c r="U417" i="2" s="1"/>
  <c r="I424" i="2"/>
  <c r="K441" i="2"/>
  <c r="T557" i="2"/>
  <c r="Q556" i="2"/>
  <c r="T556" i="2" s="1"/>
  <c r="M517" i="2"/>
  <c r="P517" i="2" s="1"/>
  <c r="P519" i="2"/>
  <c r="K633" i="2"/>
  <c r="K632" i="2"/>
  <c r="K631" i="2"/>
  <c r="K627" i="2"/>
  <c r="K630" i="2"/>
  <c r="L359" i="2"/>
  <c r="I493" i="2"/>
  <c r="K493" i="2" s="1"/>
  <c r="T497" i="2"/>
  <c r="K708" i="2"/>
  <c r="I690" i="2"/>
  <c r="K690" i="2" s="1"/>
  <c r="K780" i="2"/>
  <c r="N600" i="2"/>
  <c r="K778" i="2"/>
  <c r="K504" i="2"/>
  <c r="U515" i="2"/>
  <c r="R514" i="2"/>
  <c r="U514" i="2" s="1"/>
  <c r="O522" i="2"/>
  <c r="L516" i="2"/>
  <c r="O516" i="2" s="1"/>
  <c r="T618" i="2"/>
  <c r="L691" i="2"/>
  <c r="O691" i="2" s="1"/>
  <c r="O693" i="2"/>
  <c r="S731" i="2"/>
  <c r="S729" i="2" s="1"/>
  <c r="S732" i="2"/>
  <c r="I759" i="2"/>
  <c r="K759" i="2" s="1"/>
  <c r="K774" i="2"/>
  <c r="M535" i="2"/>
  <c r="P535" i="2" s="1"/>
  <c r="M577" i="2"/>
  <c r="P577" i="2" s="1"/>
  <c r="M600" i="2"/>
  <c r="P600" i="2" s="1"/>
  <c r="S645" i="2"/>
  <c r="S643" i="2" s="1"/>
  <c r="T643" i="2" s="1"/>
  <c r="M715" i="2"/>
  <c r="P715" i="2" s="1"/>
  <c r="M729" i="2"/>
  <c r="P729" i="2" s="1"/>
  <c r="Q731" i="2"/>
  <c r="R762" i="2"/>
  <c r="O558" i="2"/>
  <c r="U558" i="2"/>
  <c r="O619" i="2"/>
  <c r="R731" i="2"/>
  <c r="S646" i="2"/>
  <c r="S516" i="1"/>
  <c r="S520" i="1"/>
  <c r="N360" i="1"/>
  <c r="S761" i="1"/>
  <c r="N337" i="1"/>
  <c r="R762" i="1"/>
  <c r="S273" i="1"/>
  <c r="R500" i="1"/>
  <c r="U500" i="1" s="1"/>
  <c r="R579" i="1"/>
  <c r="U579" i="1" s="1"/>
  <c r="S500" i="1"/>
  <c r="S497" i="1"/>
  <c r="K758" i="1"/>
  <c r="R98" i="1"/>
  <c r="N121" i="1"/>
  <c r="S731" i="1"/>
  <c r="U731" i="1" s="1"/>
  <c r="K220" i="1"/>
  <c r="K756" i="1"/>
  <c r="J186" i="1"/>
  <c r="R417" i="1"/>
  <c r="U417" i="1" s="1"/>
  <c r="N644" i="1"/>
  <c r="L497" i="1"/>
  <c r="O497" i="1" s="1"/>
  <c r="Q646" i="1"/>
  <c r="U622" i="1"/>
  <c r="Q98" i="1"/>
  <c r="J461" i="1"/>
  <c r="N583" i="1"/>
  <c r="I186" i="1"/>
  <c r="K186" i="1" s="1"/>
  <c r="U696" i="1"/>
  <c r="J703" i="1"/>
  <c r="S189" i="1"/>
  <c r="L223" i="1"/>
  <c r="I424" i="1"/>
  <c r="K424" i="1" s="1"/>
  <c r="J637" i="1"/>
  <c r="J636" i="1" s="1"/>
  <c r="K743" i="1"/>
  <c r="U765" i="1"/>
  <c r="K654" i="1"/>
  <c r="U272" i="1"/>
  <c r="R359" i="1"/>
  <c r="U359" i="1" s="1"/>
  <c r="K677" i="1"/>
  <c r="K315" i="1"/>
  <c r="N394" i="1"/>
  <c r="J468" i="1"/>
  <c r="N693" i="1"/>
  <c r="U50" i="1"/>
  <c r="U123" i="1"/>
  <c r="Q322" i="1"/>
  <c r="T322" i="1" s="1"/>
  <c r="P339" i="1"/>
  <c r="K370" i="1"/>
  <c r="Q395" i="1"/>
  <c r="T395" i="1" s="1"/>
  <c r="M717" i="1"/>
  <c r="P717" i="1" s="1"/>
  <c r="S716" i="1"/>
  <c r="S715" i="1" s="1"/>
  <c r="S730" i="1"/>
  <c r="U734" i="1"/>
  <c r="J727" i="1"/>
  <c r="K727" i="1" s="1"/>
  <c r="K774" i="1"/>
  <c r="K85" i="1"/>
  <c r="S193" i="1"/>
  <c r="N223" i="1"/>
  <c r="K778" i="1"/>
  <c r="K781" i="1"/>
  <c r="K784" i="1"/>
  <c r="K89" i="1"/>
  <c r="J200" i="1"/>
  <c r="M268" i="1"/>
  <c r="P268" i="1" s="1"/>
  <c r="N324" i="1"/>
  <c r="P326" i="1"/>
  <c r="R379" i="1"/>
  <c r="U379" i="1" s="1"/>
  <c r="L394" i="1"/>
  <c r="O394" i="1" s="1"/>
  <c r="T398" i="1"/>
  <c r="I457" i="1"/>
  <c r="K457" i="1" s="1"/>
  <c r="U499" i="1"/>
  <c r="S515" i="1"/>
  <c r="U648" i="1"/>
  <c r="P179" i="1"/>
  <c r="K196" i="1"/>
  <c r="M305" i="1"/>
  <c r="P305" i="1" s="1"/>
  <c r="S395" i="1"/>
  <c r="L516" i="1"/>
  <c r="O516" i="1" s="1"/>
  <c r="T53" i="1"/>
  <c r="T362" i="1"/>
  <c r="K682" i="1"/>
  <c r="S47" i="1"/>
  <c r="S45" i="1" s="1"/>
  <c r="S98" i="1"/>
  <c r="N268" i="1"/>
  <c r="M618" i="1"/>
  <c r="P618" i="1" s="1"/>
  <c r="T648" i="1"/>
  <c r="J676" i="1"/>
  <c r="K676" i="1" s="1"/>
  <c r="N601" i="1"/>
  <c r="U78" i="1"/>
  <c r="K87" i="1"/>
  <c r="M188" i="1"/>
  <c r="P188" i="1" s="1"/>
  <c r="L215" i="1"/>
  <c r="R286" i="1"/>
  <c r="U286" i="1" s="1"/>
  <c r="N336" i="1"/>
  <c r="K347" i="1"/>
  <c r="J375" i="1"/>
  <c r="K375" i="1" s="1"/>
  <c r="J447" i="1"/>
  <c r="J441" i="1" s="1"/>
  <c r="J424" i="1" s="1"/>
  <c r="J413" i="1" s="1"/>
  <c r="L558" i="1"/>
  <c r="O558" i="1" s="1"/>
  <c r="S645" i="1"/>
  <c r="K282" i="1"/>
  <c r="Q47" i="1"/>
  <c r="T47" i="1" s="1"/>
  <c r="U192" i="1"/>
  <c r="O197" i="1"/>
  <c r="R284" i="1"/>
  <c r="U284" i="1" s="1"/>
  <c r="R307" i="1"/>
  <c r="N359" i="1"/>
  <c r="M394" i="1"/>
  <c r="P394" i="1" s="1"/>
  <c r="S417" i="1"/>
  <c r="J477" i="1"/>
  <c r="N495" i="1"/>
  <c r="M536" i="1"/>
  <c r="P536" i="1" s="1"/>
  <c r="M559" i="1"/>
  <c r="P559" i="1" s="1"/>
  <c r="N562" i="1"/>
  <c r="O648" i="1"/>
  <c r="K706" i="1"/>
  <c r="T765" i="1"/>
  <c r="K779" i="1"/>
  <c r="K782" i="1"/>
  <c r="K785" i="1"/>
  <c r="Q177" i="1"/>
  <c r="T177" i="1" s="1"/>
  <c r="Q286" i="1"/>
  <c r="T286" i="1" s="1"/>
  <c r="L233" i="1"/>
  <c r="K239" i="1"/>
  <c r="K277" i="1"/>
  <c r="L289" i="1"/>
  <c r="O289" i="1" s="1"/>
  <c r="K296" i="1"/>
  <c r="L310" i="1"/>
  <c r="O310" i="1" s="1"/>
  <c r="Q495" i="1"/>
  <c r="T495" i="1" s="1"/>
  <c r="M495" i="1"/>
  <c r="P495" i="1" s="1"/>
  <c r="M537" i="1"/>
  <c r="P537" i="1" s="1"/>
  <c r="S537" i="1"/>
  <c r="Q618" i="1"/>
  <c r="T618" i="1" s="1"/>
  <c r="Q645" i="1"/>
  <c r="K653" i="1"/>
  <c r="J655" i="1"/>
  <c r="K655" i="1" s="1"/>
  <c r="L693" i="1"/>
  <c r="O693" i="1" s="1"/>
  <c r="N731" i="1"/>
  <c r="K741" i="1"/>
  <c r="K745" i="1"/>
  <c r="K750" i="1"/>
  <c r="N79" i="1"/>
  <c r="K94" i="1"/>
  <c r="R119" i="1"/>
  <c r="U119" i="1" s="1"/>
  <c r="O178" i="1"/>
  <c r="K229" i="1"/>
  <c r="P272" i="1"/>
  <c r="N285" i="1"/>
  <c r="K293" i="1"/>
  <c r="S323" i="1"/>
  <c r="M378" i="1"/>
  <c r="P378" i="1" s="1"/>
  <c r="S394" i="1"/>
  <c r="M415" i="1"/>
  <c r="P415" i="1" s="1"/>
  <c r="S416" i="1"/>
  <c r="S495" i="1"/>
  <c r="S494" i="1" s="1"/>
  <c r="T499" i="1"/>
  <c r="N500" i="1"/>
  <c r="S646" i="1"/>
  <c r="L694" i="1"/>
  <c r="O694" i="1" s="1"/>
  <c r="S692" i="1"/>
  <c r="S324" i="1"/>
  <c r="S322" i="1"/>
  <c r="T341" i="1"/>
  <c r="Q335" i="1"/>
  <c r="T335" i="1" s="1"/>
  <c r="P499" i="1"/>
  <c r="M496" i="1"/>
  <c r="P496" i="1" s="1"/>
  <c r="U77" i="1"/>
  <c r="R74" i="1"/>
  <c r="U74" i="1" s="1"/>
  <c r="K130" i="1"/>
  <c r="R335" i="1"/>
  <c r="U335" i="1" s="1"/>
  <c r="U338" i="1"/>
  <c r="I759" i="1"/>
  <c r="K759" i="1" s="1"/>
  <c r="L160" i="1"/>
  <c r="O166" i="1"/>
  <c r="Q270" i="1"/>
  <c r="L305" i="1"/>
  <c r="O305" i="1" s="1"/>
  <c r="U100" i="1"/>
  <c r="Q180" i="1"/>
  <c r="T180" i="1" s="1"/>
  <c r="R620" i="1"/>
  <c r="R623" i="1"/>
  <c r="U623" i="1" s="1"/>
  <c r="U624" i="1"/>
  <c r="T698" i="1"/>
  <c r="Q697" i="1"/>
  <c r="T697" i="1" s="1"/>
  <c r="N23" i="1"/>
  <c r="Q76" i="1"/>
  <c r="L119" i="1"/>
  <c r="O119" i="1" s="1"/>
  <c r="O125" i="1"/>
  <c r="M324" i="1"/>
  <c r="M322" i="1"/>
  <c r="P322" i="1" s="1"/>
  <c r="P325" i="1"/>
  <c r="Q336" i="1"/>
  <c r="T336" i="1" s="1"/>
  <c r="K294" i="1"/>
  <c r="I281" i="1"/>
  <c r="K281" i="1" s="1"/>
  <c r="O736" i="1"/>
  <c r="L730" i="1"/>
  <c r="O730" i="1" s="1"/>
  <c r="Q48" i="1"/>
  <c r="T48" i="1" s="1"/>
  <c r="O50" i="1"/>
  <c r="N24" i="1"/>
  <c r="N61" i="1"/>
  <c r="P81" i="1"/>
  <c r="M79" i="1"/>
  <c r="P79" i="1" s="1"/>
  <c r="P99" i="1"/>
  <c r="M98" i="1"/>
  <c r="M101" i="1"/>
  <c r="P101" i="1" s="1"/>
  <c r="S101" i="1"/>
  <c r="L142" i="1"/>
  <c r="U145" i="1"/>
  <c r="R142" i="1"/>
  <c r="U142" i="1" s="1"/>
  <c r="S190" i="1"/>
  <c r="S188" i="1"/>
  <c r="P581" i="1"/>
  <c r="M578" i="1"/>
  <c r="P578" i="1" s="1"/>
  <c r="T722" i="1"/>
  <c r="Q721" i="1"/>
  <c r="T721" i="1" s="1"/>
  <c r="S66" i="1"/>
  <c r="S26" i="1"/>
  <c r="T542" i="1"/>
  <c r="Q541" i="1"/>
  <c r="T541" i="1" s="1"/>
  <c r="Q23" i="1"/>
  <c r="T23" i="1" s="1"/>
  <c r="M97" i="1"/>
  <c r="K115" i="1"/>
  <c r="U421" i="1"/>
  <c r="R420" i="1"/>
  <c r="U420" i="1" s="1"/>
  <c r="T194" i="1"/>
  <c r="Q193" i="1"/>
  <c r="T193" i="1" s="1"/>
  <c r="M517" i="1"/>
  <c r="P517" i="1" s="1"/>
  <c r="M515" i="1"/>
  <c r="P515" i="1" s="1"/>
  <c r="O737" i="1"/>
  <c r="L731" i="1"/>
  <c r="O731" i="1" s="1"/>
  <c r="L23" i="1"/>
  <c r="O23" i="1" s="1"/>
  <c r="O65" i="1"/>
  <c r="U67" i="1"/>
  <c r="R61" i="1"/>
  <c r="U61" i="1" s="1"/>
  <c r="R62" i="1"/>
  <c r="U62" i="1" s="1"/>
  <c r="U68" i="1"/>
  <c r="Q142" i="1"/>
  <c r="T142" i="1" s="1"/>
  <c r="P287" i="1"/>
  <c r="M284" i="1"/>
  <c r="S307" i="1"/>
  <c r="S305" i="1"/>
  <c r="T607" i="1"/>
  <c r="Q601" i="1"/>
  <c r="L623" i="1"/>
  <c r="O623" i="1" s="1"/>
  <c r="O624" i="1"/>
  <c r="U720" i="1"/>
  <c r="R718" i="1"/>
  <c r="U718" i="1" s="1"/>
  <c r="R732" i="1"/>
  <c r="U733" i="1"/>
  <c r="L175" i="1"/>
  <c r="O175" i="1" s="1"/>
  <c r="S618" i="1"/>
  <c r="N119" i="1"/>
  <c r="S142" i="1"/>
  <c r="L204" i="1"/>
  <c r="L268" i="1"/>
  <c r="O268" i="1" s="1"/>
  <c r="M327" i="1"/>
  <c r="P327" i="1" s="1"/>
  <c r="S340" i="1"/>
  <c r="S382" i="1"/>
  <c r="J433" i="1"/>
  <c r="N558" i="1"/>
  <c r="K629" i="1"/>
  <c r="R693" i="1"/>
  <c r="R697" i="1"/>
  <c r="U697" i="1" s="1"/>
  <c r="M730" i="1"/>
  <c r="P730" i="1" s="1"/>
  <c r="Q159" i="1"/>
  <c r="T159" i="1" s="1"/>
  <c r="N204" i="1"/>
  <c r="N306" i="1"/>
  <c r="Q310" i="1"/>
  <c r="T310" i="1" s="1"/>
  <c r="J486" i="1"/>
  <c r="L559" i="1"/>
  <c r="O559" i="1" s="1"/>
  <c r="R557" i="1"/>
  <c r="U557" i="1" s="1"/>
  <c r="N578" i="1"/>
  <c r="S619" i="1"/>
  <c r="R645" i="1"/>
  <c r="Q693" i="1"/>
  <c r="L721" i="1"/>
  <c r="O721" i="1" s="1"/>
  <c r="Q762" i="1"/>
  <c r="J84" i="1"/>
  <c r="J72" i="1" s="1"/>
  <c r="P100" i="1"/>
  <c r="N74" i="1"/>
  <c r="M75" i="1"/>
  <c r="M142" i="1"/>
  <c r="N159" i="1"/>
  <c r="M175" i="1"/>
  <c r="T178" i="1"/>
  <c r="N176" i="1"/>
  <c r="N284" i="1"/>
  <c r="N310" i="1"/>
  <c r="Q360" i="1"/>
  <c r="T360" i="1" s="1"/>
  <c r="L377" i="1"/>
  <c r="O377" i="1" s="1"/>
  <c r="L415" i="1"/>
  <c r="O415" i="1" s="1"/>
  <c r="N416" i="1"/>
  <c r="J478" i="1"/>
  <c r="P501" i="1"/>
  <c r="R516" i="1"/>
  <c r="U516" i="1" s="1"/>
  <c r="S558" i="1"/>
  <c r="L602" i="1"/>
  <c r="O602" i="1" s="1"/>
  <c r="M619" i="1"/>
  <c r="P619" i="1" s="1"/>
  <c r="P624" i="1"/>
  <c r="J683" i="1"/>
  <c r="K683" i="1" s="1"/>
  <c r="L692" i="1"/>
  <c r="R694" i="1"/>
  <c r="K701" i="1"/>
  <c r="S74" i="1"/>
  <c r="Q63" i="1"/>
  <c r="T63" i="1" s="1"/>
  <c r="S62" i="1"/>
  <c r="Q61" i="1"/>
  <c r="T61" i="1" s="1"/>
  <c r="M76" i="1"/>
  <c r="N101" i="1"/>
  <c r="M119" i="1"/>
  <c r="P119" i="1" s="1"/>
  <c r="S120" i="1"/>
  <c r="N142" i="1"/>
  <c r="Q146" i="1"/>
  <c r="T146" i="1" s="1"/>
  <c r="S146" i="1"/>
  <c r="K151" i="1"/>
  <c r="Q175" i="1"/>
  <c r="T175" i="1" s="1"/>
  <c r="R189" i="1"/>
  <c r="N233" i="1"/>
  <c r="S268" i="1"/>
  <c r="S310" i="1"/>
  <c r="N322" i="1"/>
  <c r="L322" i="1"/>
  <c r="O322" i="1" s="1"/>
  <c r="R322" i="1"/>
  <c r="U322" i="1" s="1"/>
  <c r="N327" i="1"/>
  <c r="N340" i="1"/>
  <c r="S359" i="1"/>
  <c r="K369" i="1"/>
  <c r="Q377" i="1"/>
  <c r="T377" i="1" s="1"/>
  <c r="M379" i="1"/>
  <c r="P379" i="1" s="1"/>
  <c r="K387" i="1"/>
  <c r="L420" i="1"/>
  <c r="O420" i="1" s="1"/>
  <c r="M497" i="1"/>
  <c r="P497" i="1" s="1"/>
  <c r="Q536" i="1"/>
  <c r="T536" i="1" s="1"/>
  <c r="R536" i="1"/>
  <c r="N557" i="1"/>
  <c r="U560" i="1"/>
  <c r="L579" i="1"/>
  <c r="O579" i="1" s="1"/>
  <c r="Q602" i="1"/>
  <c r="T602" i="1" s="1"/>
  <c r="T622" i="1"/>
  <c r="S623" i="1"/>
  <c r="K628" i="1"/>
  <c r="R692" i="1"/>
  <c r="U692" i="1" s="1"/>
  <c r="S718" i="1"/>
  <c r="M731" i="1"/>
  <c r="P731" i="1" s="1"/>
  <c r="Q730" i="1"/>
  <c r="T730" i="1" s="1"/>
  <c r="L761" i="1"/>
  <c r="O761" i="1" s="1"/>
  <c r="L762" i="1"/>
  <c r="O762" i="1" s="1"/>
  <c r="S766" i="1"/>
  <c r="L62" i="1"/>
  <c r="N76" i="1"/>
  <c r="N75" i="1"/>
  <c r="T179" i="1"/>
  <c r="Q176" i="1"/>
  <c r="T176" i="1" s="1"/>
  <c r="N273" i="1"/>
  <c r="N269" i="1"/>
  <c r="P269" i="1" s="1"/>
  <c r="U291" i="1"/>
  <c r="R285" i="1"/>
  <c r="U285" i="1" s="1"/>
  <c r="P338" i="1"/>
  <c r="M337" i="1"/>
  <c r="M335" i="1"/>
  <c r="S378" i="1"/>
  <c r="S379" i="1"/>
  <c r="Q24" i="1"/>
  <c r="P65" i="1"/>
  <c r="M62" i="1"/>
  <c r="P78" i="1"/>
  <c r="M74" i="1"/>
  <c r="P74" i="1" s="1"/>
  <c r="P80" i="1"/>
  <c r="I84" i="1"/>
  <c r="I72" i="1" s="1"/>
  <c r="P102" i="1"/>
  <c r="M96" i="1"/>
  <c r="P96" i="1" s="1"/>
  <c r="R120" i="1"/>
  <c r="Q141" i="1"/>
  <c r="S24" i="1"/>
  <c r="R175" i="1"/>
  <c r="N177" i="1"/>
  <c r="N175" i="1"/>
  <c r="R176" i="1"/>
  <c r="U176" i="1" s="1"/>
  <c r="U179" i="1"/>
  <c r="R177" i="1"/>
  <c r="U177" i="1" s="1"/>
  <c r="K210" i="1"/>
  <c r="I203" i="1"/>
  <c r="K203" i="1" s="1"/>
  <c r="U271" i="1"/>
  <c r="R268" i="1"/>
  <c r="U268" i="1" s="1"/>
  <c r="T274" i="1"/>
  <c r="Q273" i="1"/>
  <c r="T273" i="1" s="1"/>
  <c r="N286" i="1"/>
  <c r="O288" i="1"/>
  <c r="P341" i="1"/>
  <c r="M340" i="1"/>
  <c r="P340" i="1" s="1"/>
  <c r="O381" i="1"/>
  <c r="L378" i="1"/>
  <c r="O378" i="1" s="1"/>
  <c r="L379" i="1"/>
  <c r="O379" i="1" s="1"/>
  <c r="R602" i="1"/>
  <c r="U602" i="1" s="1"/>
  <c r="U608" i="1"/>
  <c r="U722" i="1"/>
  <c r="R716" i="1"/>
  <c r="R721" i="1"/>
  <c r="U721" i="1" s="1"/>
  <c r="M48" i="1"/>
  <c r="M24" i="1"/>
  <c r="M47" i="1"/>
  <c r="M45" i="1" s="1"/>
  <c r="T271" i="1"/>
  <c r="Q268" i="1"/>
  <c r="L51" i="1"/>
  <c r="O51" i="1" s="1"/>
  <c r="O53" i="1"/>
  <c r="R24" i="1"/>
  <c r="U53" i="1"/>
  <c r="Q62" i="1"/>
  <c r="T62" i="1" s="1"/>
  <c r="N63" i="1"/>
  <c r="N62" i="1"/>
  <c r="Q74" i="1"/>
  <c r="R97" i="1"/>
  <c r="U99" i="1"/>
  <c r="K110" i="1"/>
  <c r="S119" i="1"/>
  <c r="M124" i="1"/>
  <c r="P124" i="1" s="1"/>
  <c r="S141" i="1"/>
  <c r="K152" i="1"/>
  <c r="K155" i="1"/>
  <c r="I137" i="1"/>
  <c r="K137" i="1" s="1"/>
  <c r="R159" i="1"/>
  <c r="U159" i="1" s="1"/>
  <c r="O165" i="1"/>
  <c r="L159" i="1"/>
  <c r="O159" i="1" s="1"/>
  <c r="O179" i="1"/>
  <c r="L176" i="1"/>
  <c r="N190" i="1"/>
  <c r="N188" i="1"/>
  <c r="K222" i="1"/>
  <c r="O309" i="1"/>
  <c r="L306" i="1"/>
  <c r="R310" i="1"/>
  <c r="U310" i="1" s="1"/>
  <c r="K331" i="1"/>
  <c r="I320" i="1"/>
  <c r="K320" i="1" s="1"/>
  <c r="P563" i="1"/>
  <c r="M557" i="1"/>
  <c r="M562" i="1"/>
  <c r="P562" i="1" s="1"/>
  <c r="O64" i="1"/>
  <c r="L61" i="1"/>
  <c r="O61" i="1" s="1"/>
  <c r="L47" i="1"/>
  <c r="L45" i="1" s="1"/>
  <c r="P67" i="1"/>
  <c r="M26" i="1"/>
  <c r="P26" i="1" s="1"/>
  <c r="O102" i="1"/>
  <c r="N124" i="1"/>
  <c r="K138" i="1"/>
  <c r="P165" i="1"/>
  <c r="M159" i="1"/>
  <c r="P159" i="1" s="1"/>
  <c r="Q188" i="1"/>
  <c r="T191" i="1"/>
  <c r="Q190" i="1"/>
  <c r="T192" i="1"/>
  <c r="Q189" i="1"/>
  <c r="K297" i="1"/>
  <c r="M307" i="1"/>
  <c r="M306" i="1"/>
  <c r="P309" i="1"/>
  <c r="O384" i="1"/>
  <c r="L382" i="1"/>
  <c r="O382" i="1" s="1"/>
  <c r="T272" i="1"/>
  <c r="Q269" i="1"/>
  <c r="N48" i="1"/>
  <c r="O48" i="1" s="1"/>
  <c r="N47" i="1"/>
  <c r="N45" i="1" s="1"/>
  <c r="M23" i="1"/>
  <c r="P23" i="1" s="1"/>
  <c r="L26" i="1"/>
  <c r="O26" i="1" s="1"/>
  <c r="N98" i="1"/>
  <c r="M121" i="1"/>
  <c r="P121" i="1" s="1"/>
  <c r="P122" i="1"/>
  <c r="T144" i="1"/>
  <c r="R26" i="1"/>
  <c r="U26" i="1" s="1"/>
  <c r="R47" i="1"/>
  <c r="U47" i="1" s="1"/>
  <c r="N66" i="1"/>
  <c r="R79" i="1"/>
  <c r="U79" i="1" s="1"/>
  <c r="M120" i="1"/>
  <c r="P120" i="1" s="1"/>
  <c r="P144" i="1"/>
  <c r="M141" i="1"/>
  <c r="P141" i="1" s="1"/>
  <c r="K153" i="1"/>
  <c r="Q160" i="1"/>
  <c r="T160" i="1" s="1"/>
  <c r="O163" i="1"/>
  <c r="N160" i="1"/>
  <c r="R180" i="1"/>
  <c r="U180" i="1" s="1"/>
  <c r="S180" i="1"/>
  <c r="K173" i="1"/>
  <c r="P311" i="1"/>
  <c r="M310" i="1"/>
  <c r="P310" i="1" s="1"/>
  <c r="O326" i="1"/>
  <c r="L323" i="1"/>
  <c r="S337" i="1"/>
  <c r="S335" i="1"/>
  <c r="O362" i="1"/>
  <c r="L359" i="1"/>
  <c r="T540" i="1"/>
  <c r="Q537" i="1"/>
  <c r="T537" i="1" s="1"/>
  <c r="S63" i="1"/>
  <c r="S23" i="1"/>
  <c r="T67" i="1"/>
  <c r="Q26" i="1"/>
  <c r="T26" i="1" s="1"/>
  <c r="Q66" i="1"/>
  <c r="T66" i="1" s="1"/>
  <c r="Q75" i="1"/>
  <c r="K88" i="1"/>
  <c r="K91" i="1"/>
  <c r="S96" i="1"/>
  <c r="T99" i="1"/>
  <c r="Q96" i="1"/>
  <c r="T96" i="1" s="1"/>
  <c r="S124" i="1"/>
  <c r="N143" i="1"/>
  <c r="N141" i="1"/>
  <c r="R160" i="1"/>
  <c r="U160" i="1" s="1"/>
  <c r="K168" i="1"/>
  <c r="I169" i="1"/>
  <c r="K169" i="1" s="1"/>
  <c r="O181" i="1"/>
  <c r="L180" i="1"/>
  <c r="O180" i="1" s="1"/>
  <c r="T308" i="1"/>
  <c r="Q305" i="1"/>
  <c r="T305" i="1" s="1"/>
  <c r="U312" i="1"/>
  <c r="R306" i="1"/>
  <c r="M359" i="1"/>
  <c r="O419" i="1"/>
  <c r="L417" i="1"/>
  <c r="O417" i="1" s="1"/>
  <c r="L416" i="1"/>
  <c r="O416" i="1" s="1"/>
  <c r="K266" i="1"/>
  <c r="L335" i="1"/>
  <c r="O335" i="1" s="1"/>
  <c r="K366" i="1"/>
  <c r="T581" i="1"/>
  <c r="Q580" i="1"/>
  <c r="T580" i="1" s="1"/>
  <c r="Q692" i="1"/>
  <c r="T695" i="1"/>
  <c r="Q694" i="1"/>
  <c r="T734" i="1"/>
  <c r="Q731" i="1"/>
  <c r="Q732" i="1"/>
  <c r="P767" i="1"/>
  <c r="M761" i="1"/>
  <c r="P761" i="1" s="1"/>
  <c r="M766" i="1"/>
  <c r="P766" i="1" s="1"/>
  <c r="M762" i="1"/>
  <c r="P762" i="1" s="1"/>
  <c r="M270" i="1"/>
  <c r="Q285" i="1"/>
  <c r="T285" i="1" s="1"/>
  <c r="S284" i="1"/>
  <c r="M323" i="1"/>
  <c r="O339" i="1"/>
  <c r="O341" i="1"/>
  <c r="K345" i="1"/>
  <c r="L358" i="1"/>
  <c r="O358" i="1" s="1"/>
  <c r="P362" i="1"/>
  <c r="R377" i="1"/>
  <c r="R382" i="1"/>
  <c r="U382" i="1" s="1"/>
  <c r="Q382" i="1"/>
  <c r="T382" i="1" s="1"/>
  <c r="L395" i="1"/>
  <c r="O395" i="1" s="1"/>
  <c r="S420" i="1"/>
  <c r="U422" i="1"/>
  <c r="R416" i="1"/>
  <c r="U416" i="1" s="1"/>
  <c r="R496" i="1"/>
  <c r="U496" i="1" s="1"/>
  <c r="N520" i="1"/>
  <c r="N515" i="1"/>
  <c r="U561" i="1"/>
  <c r="R558" i="1"/>
  <c r="U558" i="1" s="1"/>
  <c r="O625" i="1"/>
  <c r="L619" i="1"/>
  <c r="O619" i="1" s="1"/>
  <c r="Q718" i="1"/>
  <c r="T718" i="1" s="1"/>
  <c r="T764" i="1"/>
  <c r="Q761" i="1"/>
  <c r="T761" i="1" s="1"/>
  <c r="L74" i="1"/>
  <c r="O74" i="1" s="1"/>
  <c r="S79" i="1"/>
  <c r="L96" i="1"/>
  <c r="Q97" i="1"/>
  <c r="R141" i="1"/>
  <c r="U141" i="1" s="1"/>
  <c r="N180" i="1"/>
  <c r="N215" i="1"/>
  <c r="K230" i="1"/>
  <c r="S285" i="1"/>
  <c r="L307" i="1"/>
  <c r="N307" i="1"/>
  <c r="Q307" i="1"/>
  <c r="N335" i="1"/>
  <c r="N358" i="1"/>
  <c r="Q363" i="1"/>
  <c r="T363" i="1" s="1"/>
  <c r="T419" i="1"/>
  <c r="Q416" i="1"/>
  <c r="T416" i="1" s="1"/>
  <c r="K504" i="1"/>
  <c r="I493" i="1"/>
  <c r="K493" i="1" s="1"/>
  <c r="Q516" i="1"/>
  <c r="T516" i="1" s="1"/>
  <c r="T519" i="1"/>
  <c r="U543" i="1"/>
  <c r="R537" i="1"/>
  <c r="U537" i="1" s="1"/>
  <c r="Q579" i="1"/>
  <c r="T579" i="1" s="1"/>
  <c r="R578" i="1"/>
  <c r="U578" i="1" s="1"/>
  <c r="U584" i="1"/>
  <c r="T78" i="1"/>
  <c r="J83" i="1"/>
  <c r="J71" i="1" s="1"/>
  <c r="L98" i="1"/>
  <c r="R101" i="1"/>
  <c r="U101" i="1" s="1"/>
  <c r="Q119" i="1"/>
  <c r="T119" i="1" s="1"/>
  <c r="R121" i="1"/>
  <c r="T123" i="1"/>
  <c r="L124" i="1"/>
  <c r="O124" i="1" s="1"/>
  <c r="R124" i="1"/>
  <c r="U124" i="1" s="1"/>
  <c r="S143" i="1"/>
  <c r="P163" i="1"/>
  <c r="S164" i="1"/>
  <c r="S177" i="1"/>
  <c r="N27" i="1"/>
  <c r="K199" i="1"/>
  <c r="P274" i="1"/>
  <c r="N289" i="1"/>
  <c r="R305" i="1"/>
  <c r="U309" i="1"/>
  <c r="Q323" i="1"/>
  <c r="T323" i="1" s="1"/>
  <c r="M336" i="1"/>
  <c r="Q358" i="1"/>
  <c r="S360" i="1"/>
  <c r="M377" i="1"/>
  <c r="N379" i="1"/>
  <c r="N377" i="1"/>
  <c r="N376" i="1" s="1"/>
  <c r="T381" i="1"/>
  <c r="T397" i="1"/>
  <c r="Q394" i="1"/>
  <c r="T394" i="1" s="1"/>
  <c r="N417" i="1"/>
  <c r="N415" i="1"/>
  <c r="P421" i="1"/>
  <c r="M420" i="1"/>
  <c r="P420" i="1" s="1"/>
  <c r="U621" i="1"/>
  <c r="R618" i="1"/>
  <c r="U618" i="1" s="1"/>
  <c r="U650" i="1"/>
  <c r="R644" i="1"/>
  <c r="U644" i="1" s="1"/>
  <c r="S693" i="1"/>
  <c r="Q717" i="1"/>
  <c r="T717" i="1" s="1"/>
  <c r="T720" i="1"/>
  <c r="R340" i="1"/>
  <c r="U340" i="1" s="1"/>
  <c r="J352" i="1"/>
  <c r="R358" i="1"/>
  <c r="U358" i="1" s="1"/>
  <c r="U381" i="1"/>
  <c r="R378" i="1"/>
  <c r="U378" i="1" s="1"/>
  <c r="M382" i="1"/>
  <c r="P382" i="1" s="1"/>
  <c r="R395" i="1"/>
  <c r="U395" i="1" s="1"/>
  <c r="S562" i="1"/>
  <c r="S557" i="1"/>
  <c r="N646" i="1"/>
  <c r="N645" i="1"/>
  <c r="M693" i="1"/>
  <c r="P693" i="1" s="1"/>
  <c r="O719" i="1"/>
  <c r="L716" i="1"/>
  <c r="L718" i="1"/>
  <c r="O718" i="1" s="1"/>
  <c r="R735" i="1"/>
  <c r="U735" i="1" s="1"/>
  <c r="M417" i="1"/>
  <c r="P417" i="1" s="1"/>
  <c r="J460" i="1"/>
  <c r="R515" i="1"/>
  <c r="N536" i="1"/>
  <c r="Q538" i="1"/>
  <c r="T538" i="1" s="1"/>
  <c r="S538" i="1"/>
  <c r="Q557" i="1"/>
  <c r="T557" i="1" s="1"/>
  <c r="M558" i="1"/>
  <c r="P558" i="1" s="1"/>
  <c r="N559" i="1"/>
  <c r="S583" i="1"/>
  <c r="S601" i="1"/>
  <c r="S600" i="1" s="1"/>
  <c r="S620" i="1"/>
  <c r="K631" i="1"/>
  <c r="M645" i="1"/>
  <c r="P645" i="1" s="1"/>
  <c r="Q649" i="1"/>
  <c r="T649" i="1" s="1"/>
  <c r="K674" i="1"/>
  <c r="L697" i="1"/>
  <c r="O697" i="1" s="1"/>
  <c r="K704" i="1"/>
  <c r="Q716" i="1"/>
  <c r="N732" i="1"/>
  <c r="S735" i="1"/>
  <c r="S762" i="1"/>
  <c r="L557" i="1"/>
  <c r="S580" i="1"/>
  <c r="M623" i="1"/>
  <c r="P623" i="1" s="1"/>
  <c r="K679" i="1"/>
  <c r="S694" i="1"/>
  <c r="P696" i="1"/>
  <c r="J702" i="1"/>
  <c r="N718" i="1"/>
  <c r="R730" i="1"/>
  <c r="L732" i="1"/>
  <c r="O732" i="1" s="1"/>
  <c r="J728" i="1"/>
  <c r="K728" i="1" s="1"/>
  <c r="S763" i="1"/>
  <c r="R559" i="1"/>
  <c r="U559" i="1" s="1"/>
  <c r="M601" i="1"/>
  <c r="P601" i="1" s="1"/>
  <c r="J662" i="1"/>
  <c r="K662" i="1" s="1"/>
  <c r="S697" i="1"/>
  <c r="N735" i="1"/>
  <c r="K372" i="1"/>
  <c r="M395" i="1"/>
  <c r="P395" i="1" s="1"/>
  <c r="J426" i="1"/>
  <c r="J434" i="1"/>
  <c r="J448" i="1"/>
  <c r="J442" i="1" s="1"/>
  <c r="N517" i="1"/>
  <c r="S536" i="1"/>
  <c r="N537" i="1"/>
  <c r="S578" i="1"/>
  <c r="S577" i="1" s="1"/>
  <c r="U582" i="1"/>
  <c r="M583" i="1"/>
  <c r="P583" i="1" s="1"/>
  <c r="L618" i="1"/>
  <c r="O618" i="1" s="1"/>
  <c r="M620" i="1"/>
  <c r="P620" i="1" s="1"/>
  <c r="O621" i="1"/>
  <c r="Q623" i="1"/>
  <c r="T623" i="1" s="1"/>
  <c r="K632" i="1"/>
  <c r="Q644" i="1"/>
  <c r="N649" i="1"/>
  <c r="M692" i="1"/>
  <c r="P692" i="1" s="1"/>
  <c r="N721" i="1"/>
  <c r="S732" i="1"/>
  <c r="L735" i="1"/>
  <c r="O735" i="1" s="1"/>
  <c r="K747" i="1"/>
  <c r="K753" i="1"/>
  <c r="N761" i="1"/>
  <c r="N760" i="1" s="1"/>
  <c r="S396" i="1"/>
  <c r="J425" i="1"/>
  <c r="J469" i="1"/>
  <c r="J485" i="1"/>
  <c r="L496" i="1"/>
  <c r="O496" i="1" s="1"/>
  <c r="R497" i="1"/>
  <c r="Q496" i="1"/>
  <c r="T496" i="1" s="1"/>
  <c r="P518" i="1"/>
  <c r="L537" i="1"/>
  <c r="O537" i="1" s="1"/>
  <c r="L562" i="1"/>
  <c r="O562" i="1" s="1"/>
  <c r="R562" i="1"/>
  <c r="U562" i="1" s="1"/>
  <c r="Q620" i="1"/>
  <c r="J633" i="1"/>
  <c r="J627" i="1" s="1"/>
  <c r="J616" i="1" s="1"/>
  <c r="J675" i="1"/>
  <c r="K675" i="1" s="1"/>
  <c r="T696" i="1"/>
  <c r="M716" i="1"/>
  <c r="P716" i="1" s="1"/>
  <c r="L717" i="1"/>
  <c r="O717" i="1" s="1"/>
  <c r="R717" i="1"/>
  <c r="U717" i="1" s="1"/>
  <c r="Q735" i="1"/>
  <c r="T735" i="1" s="1"/>
  <c r="K780" i="1"/>
  <c r="K783" i="1"/>
  <c r="M61" i="1"/>
  <c r="S61" i="1"/>
  <c r="R273" i="1"/>
  <c r="U273" i="1" s="1"/>
  <c r="U275" i="1"/>
  <c r="N26" i="1"/>
  <c r="P50" i="1"/>
  <c r="P53" i="1"/>
  <c r="L63" i="1"/>
  <c r="R63" i="1"/>
  <c r="U63" i="1" s="1"/>
  <c r="L66" i="1"/>
  <c r="O66" i="1" s="1"/>
  <c r="R66" i="1"/>
  <c r="U66" i="1" s="1"/>
  <c r="L76" i="1"/>
  <c r="R76" i="1"/>
  <c r="Q79" i="1"/>
  <c r="T79" i="1" s="1"/>
  <c r="K93" i="1"/>
  <c r="R96" i="1"/>
  <c r="N97" i="1"/>
  <c r="Q101" i="1"/>
  <c r="T101" i="1" s="1"/>
  <c r="J117" i="1"/>
  <c r="K117" i="1" s="1"/>
  <c r="K128" i="1"/>
  <c r="O147" i="1"/>
  <c r="L146" i="1"/>
  <c r="O146" i="1" s="1"/>
  <c r="I139" i="1"/>
  <c r="K139" i="1" s="1"/>
  <c r="K154" i="1"/>
  <c r="P178" i="1"/>
  <c r="M177" i="1"/>
  <c r="P192" i="1"/>
  <c r="O192" i="1"/>
  <c r="U194" i="1"/>
  <c r="R193" i="1"/>
  <c r="U193" i="1" s="1"/>
  <c r="U339" i="1"/>
  <c r="R336" i="1"/>
  <c r="U336" i="1" s="1"/>
  <c r="R269" i="1"/>
  <c r="Q27" i="1"/>
  <c r="M63" i="1"/>
  <c r="M66" i="1"/>
  <c r="P66" i="1" s="1"/>
  <c r="I83" i="1"/>
  <c r="K90" i="1"/>
  <c r="T100" i="1"/>
  <c r="O144" i="1"/>
  <c r="L143" i="1"/>
  <c r="S160" i="1"/>
  <c r="T165" i="1"/>
  <c r="Q164" i="1"/>
  <c r="T164" i="1" s="1"/>
  <c r="N189" i="1"/>
  <c r="U191" i="1"/>
  <c r="R190" i="1"/>
  <c r="L269" i="1"/>
  <c r="O269" i="1" s="1"/>
  <c r="L273" i="1"/>
  <c r="O273" i="1" s="1"/>
  <c r="O275" i="1"/>
  <c r="L24" i="1"/>
  <c r="L27" i="1"/>
  <c r="O27" i="1" s="1"/>
  <c r="R27" i="1"/>
  <c r="L75" i="1"/>
  <c r="R75" i="1"/>
  <c r="O78" i="1"/>
  <c r="O100" i="1"/>
  <c r="L121" i="1"/>
  <c r="O121" i="1" s="1"/>
  <c r="L141" i="1"/>
  <c r="N146" i="1"/>
  <c r="S175" i="1"/>
  <c r="R188" i="1"/>
  <c r="O194" i="1"/>
  <c r="L193" i="1"/>
  <c r="O193" i="1" s="1"/>
  <c r="M27" i="1"/>
  <c r="S27" i="1"/>
  <c r="S75" i="1"/>
  <c r="K86" i="1"/>
  <c r="N96" i="1"/>
  <c r="M160" i="1"/>
  <c r="T162" i="1"/>
  <c r="Q161" i="1"/>
  <c r="T161" i="1" s="1"/>
  <c r="P181" i="1"/>
  <c r="M180" i="1"/>
  <c r="P180" i="1" s="1"/>
  <c r="O191" i="1"/>
  <c r="L190" i="1"/>
  <c r="I214" i="1"/>
  <c r="K214" i="1" s="1"/>
  <c r="K221" i="1"/>
  <c r="M285" i="1"/>
  <c r="P288" i="1"/>
  <c r="S363" i="1"/>
  <c r="S358" i="1"/>
  <c r="P422" i="1"/>
  <c r="M416" i="1"/>
  <c r="U144" i="1"/>
  <c r="R143" i="1"/>
  <c r="U143" i="1" s="1"/>
  <c r="S161" i="1"/>
  <c r="R23" i="1"/>
  <c r="L79" i="1"/>
  <c r="O79" i="1" s="1"/>
  <c r="K109" i="1"/>
  <c r="L120" i="1"/>
  <c r="O120" i="1" s="1"/>
  <c r="P145" i="1"/>
  <c r="O145" i="1"/>
  <c r="U147" i="1"/>
  <c r="R146" i="1"/>
  <c r="U146" i="1" s="1"/>
  <c r="L188" i="1"/>
  <c r="N193" i="1"/>
  <c r="L284" i="1"/>
  <c r="L286" i="1"/>
  <c r="Q289" i="1"/>
  <c r="T289" i="1" s="1"/>
  <c r="L336" i="1"/>
  <c r="U400" i="1"/>
  <c r="R399" i="1"/>
  <c r="U399" i="1" s="1"/>
  <c r="O542" i="1"/>
  <c r="L541" i="1"/>
  <c r="O541" i="1" s="1"/>
  <c r="P364" i="1"/>
  <c r="M363" i="1"/>
  <c r="P363" i="1" s="1"/>
  <c r="Q420" i="1"/>
  <c r="T420" i="1" s="1"/>
  <c r="T421" i="1"/>
  <c r="Q415" i="1"/>
  <c r="N497" i="1"/>
  <c r="N496" i="1"/>
  <c r="O518" i="1"/>
  <c r="L517" i="1"/>
  <c r="O517" i="1" s="1"/>
  <c r="L515" i="1"/>
  <c r="O539" i="1"/>
  <c r="L538" i="1"/>
  <c r="O538" i="1" s="1"/>
  <c r="L536" i="1"/>
  <c r="M143" i="1"/>
  <c r="M146" i="1"/>
  <c r="P146" i="1" s="1"/>
  <c r="L161" i="1"/>
  <c r="R161" i="1"/>
  <c r="U161" i="1" s="1"/>
  <c r="L164" i="1"/>
  <c r="O164" i="1" s="1"/>
  <c r="R164" i="1"/>
  <c r="U164" i="1" s="1"/>
  <c r="K184" i="1"/>
  <c r="M190" i="1"/>
  <c r="M193" i="1"/>
  <c r="P193" i="1" s="1"/>
  <c r="S286" i="1"/>
  <c r="U290" i="1"/>
  <c r="R289" i="1"/>
  <c r="U289" i="1" s="1"/>
  <c r="P361" i="1"/>
  <c r="M360" i="1"/>
  <c r="U397" i="1"/>
  <c r="R396" i="1"/>
  <c r="U396" i="1" s="1"/>
  <c r="O400" i="1"/>
  <c r="L399" i="1"/>
  <c r="O399" i="1" s="1"/>
  <c r="O581" i="1"/>
  <c r="L580" i="1"/>
  <c r="O580" i="1" s="1"/>
  <c r="L578" i="1"/>
  <c r="P608" i="1"/>
  <c r="M606" i="1"/>
  <c r="P606" i="1" s="1"/>
  <c r="Q121" i="1"/>
  <c r="Q124" i="1"/>
  <c r="T124" i="1" s="1"/>
  <c r="M161" i="1"/>
  <c r="M164" i="1"/>
  <c r="P164" i="1" s="1"/>
  <c r="L270" i="1"/>
  <c r="O270" i="1" s="1"/>
  <c r="R270" i="1"/>
  <c r="M286" i="1"/>
  <c r="T287" i="1"/>
  <c r="N305" i="1"/>
  <c r="R323" i="1"/>
  <c r="U323" i="1" s="1"/>
  <c r="L324" i="1"/>
  <c r="R324" i="1"/>
  <c r="U324" i="1" s="1"/>
  <c r="J344" i="1"/>
  <c r="J333" i="1"/>
  <c r="K333" i="1" s="1"/>
  <c r="M358" i="1"/>
  <c r="Q284" i="1"/>
  <c r="M289" i="1"/>
  <c r="P289" i="1" s="1"/>
  <c r="L327" i="1"/>
  <c r="O327" i="1" s="1"/>
  <c r="R327" i="1"/>
  <c r="U327" i="1" s="1"/>
  <c r="L337" i="1"/>
  <c r="R337" i="1"/>
  <c r="U337" i="1" s="1"/>
  <c r="Q378" i="1"/>
  <c r="Q379" i="1"/>
  <c r="R394" i="1"/>
  <c r="O397" i="1"/>
  <c r="L396" i="1"/>
  <c r="O396" i="1" s="1"/>
  <c r="Q417" i="1"/>
  <c r="T417" i="1" s="1"/>
  <c r="L360" i="1"/>
  <c r="R360" i="1"/>
  <c r="U360" i="1" s="1"/>
  <c r="L363" i="1"/>
  <c r="O363" i="1" s="1"/>
  <c r="R363" i="1"/>
  <c r="U363" i="1" s="1"/>
  <c r="K386" i="1"/>
  <c r="Q396" i="1"/>
  <c r="T396" i="1" s="1"/>
  <c r="Q399" i="1"/>
  <c r="T399" i="1" s="1"/>
  <c r="R603" i="1"/>
  <c r="U603" i="1" s="1"/>
  <c r="R601" i="1"/>
  <c r="U604" i="1"/>
  <c r="S649" i="1"/>
  <c r="S644" i="1"/>
  <c r="U764" i="1"/>
  <c r="R763" i="1"/>
  <c r="R761" i="1"/>
  <c r="L495" i="1"/>
  <c r="R495" i="1"/>
  <c r="O501" i="1"/>
  <c r="U501" i="1"/>
  <c r="T521" i="1"/>
  <c r="Q520" i="1"/>
  <c r="T520" i="1" s="1"/>
  <c r="Q559" i="1"/>
  <c r="T559" i="1" s="1"/>
  <c r="N620" i="1"/>
  <c r="N618" i="1"/>
  <c r="I303" i="1"/>
  <c r="K303" i="1" s="1"/>
  <c r="Q324" i="1"/>
  <c r="T324" i="1" s="1"/>
  <c r="Q327" i="1"/>
  <c r="T327" i="1" s="1"/>
  <c r="Q337" i="1"/>
  <c r="T337" i="1" s="1"/>
  <c r="Q340" i="1"/>
  <c r="T340" i="1" s="1"/>
  <c r="M396" i="1"/>
  <c r="P396" i="1" s="1"/>
  <c r="M399" i="1"/>
  <c r="P399" i="1" s="1"/>
  <c r="R415" i="1"/>
  <c r="J476" i="1"/>
  <c r="U498" i="1"/>
  <c r="M516" i="1"/>
  <c r="P516" i="1" s="1"/>
  <c r="Q558" i="1"/>
  <c r="T558" i="1" s="1"/>
  <c r="P585" i="1"/>
  <c r="M579" i="1"/>
  <c r="P579" i="1" s="1"/>
  <c r="L603" i="1"/>
  <c r="O603" i="1" s="1"/>
  <c r="L601" i="1"/>
  <c r="O604" i="1"/>
  <c r="T309" i="1"/>
  <c r="T312" i="1"/>
  <c r="O498" i="1"/>
  <c r="Q500" i="1"/>
  <c r="T500" i="1" s="1"/>
  <c r="T518" i="1"/>
  <c r="Q517" i="1"/>
  <c r="T517" i="1" s="1"/>
  <c r="U539" i="1"/>
  <c r="R538" i="1"/>
  <c r="U538" i="1" s="1"/>
  <c r="U542" i="1"/>
  <c r="R541" i="1"/>
  <c r="U541" i="1" s="1"/>
  <c r="Q562" i="1"/>
  <c r="T562" i="1" s="1"/>
  <c r="U581" i="1"/>
  <c r="R580" i="1"/>
  <c r="U580" i="1" s="1"/>
  <c r="M520" i="1"/>
  <c r="P520" i="1" s="1"/>
  <c r="N694" i="1"/>
  <c r="N692" i="1"/>
  <c r="L583" i="1"/>
  <c r="O583" i="1" s="1"/>
  <c r="R583" i="1"/>
  <c r="U583" i="1" s="1"/>
  <c r="M602" i="1"/>
  <c r="P602" i="1" s="1"/>
  <c r="Q603" i="1"/>
  <c r="T603" i="1" s="1"/>
  <c r="L606" i="1"/>
  <c r="O606" i="1" s="1"/>
  <c r="R606" i="1"/>
  <c r="U606" i="1" s="1"/>
  <c r="P650" i="1"/>
  <c r="M649" i="1"/>
  <c r="P649" i="1" s="1"/>
  <c r="K710" i="1"/>
  <c r="N730" i="1"/>
  <c r="O764" i="1"/>
  <c r="L763" i="1"/>
  <c r="O763" i="1" s="1"/>
  <c r="R517" i="1"/>
  <c r="U517" i="1" s="1"/>
  <c r="L520" i="1"/>
  <c r="O520" i="1" s="1"/>
  <c r="R520" i="1"/>
  <c r="U520" i="1" s="1"/>
  <c r="M538" i="1"/>
  <c r="P538" i="1" s="1"/>
  <c r="M541" i="1"/>
  <c r="P541" i="1" s="1"/>
  <c r="M580" i="1"/>
  <c r="P580" i="1" s="1"/>
  <c r="S603" i="1"/>
  <c r="Q619" i="1"/>
  <c r="O647" i="1"/>
  <c r="L646" i="1"/>
  <c r="O646" i="1" s="1"/>
  <c r="U767" i="1"/>
  <c r="R766" i="1"/>
  <c r="U766" i="1" s="1"/>
  <c r="Q497" i="1"/>
  <c r="Q583" i="1"/>
  <c r="T583" i="1" s="1"/>
  <c r="M603" i="1"/>
  <c r="P603" i="1" s="1"/>
  <c r="P604" i="1"/>
  <c r="T605" i="1"/>
  <c r="Q606" i="1"/>
  <c r="T606" i="1" s="1"/>
  <c r="R619" i="1"/>
  <c r="L644" i="1"/>
  <c r="P647" i="1"/>
  <c r="M646" i="1"/>
  <c r="P646" i="1" s="1"/>
  <c r="K680" i="1"/>
  <c r="I690" i="1"/>
  <c r="K690" i="1" s="1"/>
  <c r="K708" i="1"/>
  <c r="K772" i="1"/>
  <c r="Q578" i="1"/>
  <c r="P644" i="1"/>
  <c r="O767" i="1"/>
  <c r="L766" i="1"/>
  <c r="O766" i="1" s="1"/>
  <c r="I616" i="1"/>
  <c r="R646" i="1"/>
  <c r="L649" i="1"/>
  <c r="O649" i="1" s="1"/>
  <c r="R649" i="1"/>
  <c r="U649" i="1" s="1"/>
  <c r="M694" i="1"/>
  <c r="P694" i="1" s="1"/>
  <c r="M697" i="1"/>
  <c r="P697" i="1" s="1"/>
  <c r="M718" i="1"/>
  <c r="P718" i="1" s="1"/>
  <c r="M721" i="1"/>
  <c r="P721" i="1" s="1"/>
  <c r="M732" i="1"/>
  <c r="P732" i="1" s="1"/>
  <c r="M735" i="1"/>
  <c r="P735" i="1" s="1"/>
  <c r="Q763" i="1"/>
  <c r="Q766" i="1"/>
  <c r="T766" i="1" s="1"/>
  <c r="K630" i="1"/>
  <c r="P768" i="1"/>
  <c r="I702" i="1"/>
  <c r="M763" i="1"/>
  <c r="P763" i="1" s="1"/>
  <c r="T731" i="16" l="1"/>
  <c r="T22" i="21"/>
  <c r="R19" i="20"/>
  <c r="O47" i="16"/>
  <c r="S376" i="1"/>
  <c r="N514" i="1"/>
  <c r="O97" i="1"/>
  <c r="L95" i="1"/>
  <c r="N118" i="1"/>
  <c r="O45" i="12"/>
  <c r="R19" i="18"/>
  <c r="T97" i="1"/>
  <c r="S414" i="1"/>
  <c r="U97" i="1"/>
  <c r="S95" i="1"/>
  <c r="P323" i="5"/>
  <c r="N393" i="1"/>
  <c r="N577" i="1"/>
  <c r="S334" i="1"/>
  <c r="S174" i="1"/>
  <c r="T189" i="1"/>
  <c r="U269" i="1"/>
  <c r="T269" i="1"/>
  <c r="S267" i="1"/>
  <c r="S19" i="11"/>
  <c r="T120" i="1"/>
  <c r="K424" i="6"/>
  <c r="L514" i="16"/>
  <c r="O514" i="16" s="1"/>
  <c r="S158" i="1"/>
  <c r="T617" i="5"/>
  <c r="O323" i="1"/>
  <c r="N321" i="1"/>
  <c r="R643" i="5"/>
  <c r="U643" i="5" s="1"/>
  <c r="O337" i="19"/>
  <c r="U694" i="4"/>
  <c r="S19" i="4"/>
  <c r="T24" i="3"/>
  <c r="L267" i="14"/>
  <c r="O267" i="14" s="1"/>
  <c r="L140" i="22"/>
  <c r="O140" i="22" s="1"/>
  <c r="Q304" i="22"/>
  <c r="T304" i="22" s="1"/>
  <c r="U75" i="17"/>
  <c r="R174" i="19"/>
  <c r="U174" i="19" s="1"/>
  <c r="U306" i="20"/>
  <c r="U270" i="1"/>
  <c r="T270" i="1"/>
  <c r="U646" i="22"/>
  <c r="Q140" i="19"/>
  <c r="T140" i="19" s="1"/>
  <c r="T75" i="17"/>
  <c r="T646" i="20"/>
  <c r="L25" i="19"/>
  <c r="O25" i="19" s="1"/>
  <c r="L321" i="7"/>
  <c r="O321" i="7" s="1"/>
  <c r="Q494" i="22"/>
  <c r="T494" i="22" s="1"/>
  <c r="R158" i="17"/>
  <c r="U158" i="17" s="1"/>
  <c r="R21" i="22"/>
  <c r="R19" i="22" s="1"/>
  <c r="U646" i="19"/>
  <c r="U496" i="18"/>
  <c r="Q158" i="21"/>
  <c r="T158" i="21" s="1"/>
  <c r="K424" i="16"/>
  <c r="S187" i="17"/>
  <c r="U187" i="17" s="1"/>
  <c r="L304" i="22"/>
  <c r="O304" i="22" s="1"/>
  <c r="T142" i="21"/>
  <c r="R174" i="20"/>
  <c r="U174" i="20" s="1"/>
  <c r="O97" i="20"/>
  <c r="T617" i="20"/>
  <c r="T760" i="22"/>
  <c r="L118" i="18"/>
  <c r="O118" i="18" s="1"/>
  <c r="S304" i="19"/>
  <c r="T304" i="19" s="1"/>
  <c r="M514" i="21"/>
  <c r="P514" i="21" s="1"/>
  <c r="P47" i="20"/>
  <c r="T270" i="22"/>
  <c r="P62" i="22"/>
  <c r="L158" i="22"/>
  <c r="O158" i="22" s="1"/>
  <c r="L267" i="22"/>
  <c r="O267" i="22" s="1"/>
  <c r="P267" i="22"/>
  <c r="K702" i="19"/>
  <c r="O176" i="22"/>
  <c r="P174" i="22"/>
  <c r="O323" i="21"/>
  <c r="L321" i="20"/>
  <c r="O321" i="20" s="1"/>
  <c r="Q414" i="20"/>
  <c r="T414" i="20" s="1"/>
  <c r="T760" i="21"/>
  <c r="L118" i="20"/>
  <c r="O118" i="20" s="1"/>
  <c r="S118" i="20"/>
  <c r="T118" i="20" s="1"/>
  <c r="P62" i="21"/>
  <c r="T267" i="20"/>
  <c r="T378" i="17"/>
  <c r="U269" i="17"/>
  <c r="K702" i="21"/>
  <c r="T306" i="20"/>
  <c r="T306" i="15"/>
  <c r="T378" i="21"/>
  <c r="R174" i="21"/>
  <c r="U174" i="21" s="1"/>
  <c r="T619" i="22"/>
  <c r="P269" i="22"/>
  <c r="M140" i="22"/>
  <c r="P140" i="22" s="1"/>
  <c r="Q140" i="22"/>
  <c r="T140" i="22" s="1"/>
  <c r="O47" i="20"/>
  <c r="Q414" i="22"/>
  <c r="T414" i="22" s="1"/>
  <c r="M321" i="15"/>
  <c r="P321" i="15" s="1"/>
  <c r="U120" i="17"/>
  <c r="U24" i="22"/>
  <c r="U762" i="22"/>
  <c r="Q376" i="22"/>
  <c r="T376" i="22" s="1"/>
  <c r="S118" i="17"/>
  <c r="U118" i="17" s="1"/>
  <c r="T269" i="20"/>
  <c r="Q158" i="20"/>
  <c r="T158" i="20" s="1"/>
  <c r="P187" i="20"/>
  <c r="Q95" i="22"/>
  <c r="T95" i="22" s="1"/>
  <c r="P176" i="22"/>
  <c r="L283" i="22"/>
  <c r="O283" i="22" s="1"/>
  <c r="P24" i="22"/>
  <c r="U190" i="21"/>
  <c r="L25" i="22"/>
  <c r="O25" i="22" s="1"/>
  <c r="O357" i="20"/>
  <c r="O189" i="22"/>
  <c r="P160" i="21"/>
  <c r="I232" i="22"/>
  <c r="K232" i="22" s="1"/>
  <c r="L514" i="22"/>
  <c r="O514" i="22" s="1"/>
  <c r="P189" i="19"/>
  <c r="O62" i="21"/>
  <c r="T620" i="22"/>
  <c r="M283" i="19"/>
  <c r="P283" i="19" s="1"/>
  <c r="K375" i="21"/>
  <c r="U120" i="22"/>
  <c r="R118" i="22"/>
  <c r="U118" i="22" s="1"/>
  <c r="U645" i="21"/>
  <c r="R643" i="20"/>
  <c r="U643" i="20" s="1"/>
  <c r="T731" i="18"/>
  <c r="M283" i="18"/>
  <c r="P283" i="18" s="1"/>
  <c r="O177" i="1"/>
  <c r="U267" i="20"/>
  <c r="R729" i="22"/>
  <c r="U729" i="22" s="1"/>
  <c r="U619" i="21"/>
  <c r="O285" i="21"/>
  <c r="R760" i="22"/>
  <c r="U760" i="22" s="1"/>
  <c r="O336" i="22"/>
  <c r="I72" i="22"/>
  <c r="K72" i="22" s="1"/>
  <c r="T762" i="17"/>
  <c r="Q414" i="19"/>
  <c r="T414" i="19" s="1"/>
  <c r="T617" i="21"/>
  <c r="Q729" i="22"/>
  <c r="T729" i="22" s="1"/>
  <c r="O47" i="22"/>
  <c r="R691" i="22"/>
  <c r="U691" i="22" s="1"/>
  <c r="Q174" i="18"/>
  <c r="T174" i="18" s="1"/>
  <c r="P267" i="19"/>
  <c r="T645" i="21"/>
  <c r="O189" i="21"/>
  <c r="T617" i="22"/>
  <c r="O174" i="22"/>
  <c r="U270" i="22"/>
  <c r="T496" i="21"/>
  <c r="Q494" i="21"/>
  <c r="T494" i="21" s="1"/>
  <c r="P336" i="19"/>
  <c r="P269" i="19"/>
  <c r="M118" i="21"/>
  <c r="P118" i="21" s="1"/>
  <c r="U619" i="19"/>
  <c r="M187" i="19"/>
  <c r="P187" i="19" s="1"/>
  <c r="U691" i="21"/>
  <c r="R643" i="22"/>
  <c r="U643" i="22" s="1"/>
  <c r="K424" i="22"/>
  <c r="I71" i="22"/>
  <c r="K71" i="22" s="1"/>
  <c r="Q174" i="22"/>
  <c r="T174" i="22" s="1"/>
  <c r="R376" i="20"/>
  <c r="U376" i="20" s="1"/>
  <c r="U693" i="21"/>
  <c r="O176" i="21"/>
  <c r="O160" i="21"/>
  <c r="Q118" i="22"/>
  <c r="T118" i="22" s="1"/>
  <c r="L95" i="22"/>
  <c r="O95" i="22" s="1"/>
  <c r="O24" i="20"/>
  <c r="N45" i="22"/>
  <c r="O45" i="22" s="1"/>
  <c r="U120" i="19"/>
  <c r="U762" i="21"/>
  <c r="O283" i="21"/>
  <c r="R494" i="22"/>
  <c r="U494" i="22" s="1"/>
  <c r="R174" i="22"/>
  <c r="U174" i="22" s="1"/>
  <c r="M118" i="22"/>
  <c r="P118" i="22" s="1"/>
  <c r="P120" i="22"/>
  <c r="Q158" i="22"/>
  <c r="T158" i="22" s="1"/>
  <c r="T762" i="22"/>
  <c r="O76" i="17"/>
  <c r="P336" i="21"/>
  <c r="I232" i="21"/>
  <c r="I186" i="21" s="1"/>
  <c r="K186" i="21" s="1"/>
  <c r="S21" i="21"/>
  <c r="S19" i="21" s="1"/>
  <c r="M321" i="22"/>
  <c r="P321" i="22" s="1"/>
  <c r="M60" i="22"/>
  <c r="P60" i="22" s="1"/>
  <c r="O120" i="22"/>
  <c r="L118" i="22"/>
  <c r="O118" i="22" s="1"/>
  <c r="R73" i="22"/>
  <c r="U73" i="22" s="1"/>
  <c r="U75" i="22"/>
  <c r="L187" i="22"/>
  <c r="O187" i="22" s="1"/>
  <c r="P160" i="22"/>
  <c r="M158" i="22"/>
  <c r="P158" i="22" s="1"/>
  <c r="R158" i="22"/>
  <c r="U158" i="22" s="1"/>
  <c r="T24" i="22"/>
  <c r="Q22" i="22"/>
  <c r="Q21" i="22"/>
  <c r="T762" i="21"/>
  <c r="O47" i="21"/>
  <c r="P189" i="20"/>
  <c r="R304" i="22"/>
  <c r="U304" i="22" s="1"/>
  <c r="M304" i="22"/>
  <c r="P304" i="22" s="1"/>
  <c r="R187" i="22"/>
  <c r="U187" i="22" s="1"/>
  <c r="P516" i="22"/>
  <c r="M514" i="22"/>
  <c r="P514" i="22" s="1"/>
  <c r="P97" i="22"/>
  <c r="M95" i="22"/>
  <c r="P95" i="22" s="1"/>
  <c r="L21" i="19"/>
  <c r="L19" i="19" s="1"/>
  <c r="L233" i="22"/>
  <c r="R376" i="22"/>
  <c r="U376" i="22" s="1"/>
  <c r="U378" i="22"/>
  <c r="P189" i="22"/>
  <c r="M187" i="22"/>
  <c r="P187" i="22" s="1"/>
  <c r="O75" i="22"/>
  <c r="L73" i="22"/>
  <c r="O73" i="22" s="1"/>
  <c r="U97" i="22"/>
  <c r="R95" i="22"/>
  <c r="U95" i="22" s="1"/>
  <c r="T617" i="15"/>
  <c r="T619" i="20"/>
  <c r="L304" i="20"/>
  <c r="O304" i="20" s="1"/>
  <c r="U73" i="21"/>
  <c r="P285" i="22"/>
  <c r="M283" i="22"/>
  <c r="P283" i="22" s="1"/>
  <c r="P336" i="22"/>
  <c r="M334" i="22"/>
  <c r="P334" i="22" s="1"/>
  <c r="M21" i="22"/>
  <c r="R760" i="21"/>
  <c r="U760" i="21" s="1"/>
  <c r="O334" i="22"/>
  <c r="L21" i="22"/>
  <c r="O24" i="22"/>
  <c r="P47" i="22"/>
  <c r="M45" i="22"/>
  <c r="M73" i="22"/>
  <c r="P73" i="22" s="1"/>
  <c r="M25" i="22"/>
  <c r="P25" i="22" s="1"/>
  <c r="U693" i="17"/>
  <c r="P176" i="20"/>
  <c r="U646" i="20"/>
  <c r="O357" i="21"/>
  <c r="U619" i="22"/>
  <c r="R617" i="22"/>
  <c r="U617" i="22" s="1"/>
  <c r="Q691" i="22"/>
  <c r="T691" i="22" s="1"/>
  <c r="T693" i="22"/>
  <c r="O323" i="22"/>
  <c r="L321" i="22"/>
  <c r="O321" i="22" s="1"/>
  <c r="M357" i="22"/>
  <c r="P357" i="22" s="1"/>
  <c r="P359" i="22"/>
  <c r="O20" i="22"/>
  <c r="O337" i="22"/>
  <c r="P190" i="22"/>
  <c r="R73" i="17"/>
  <c r="U73" i="17" s="1"/>
  <c r="T645" i="19"/>
  <c r="K375" i="19"/>
  <c r="S19" i="19"/>
  <c r="O189" i="19"/>
  <c r="O359" i="21"/>
  <c r="N158" i="21"/>
  <c r="P158" i="21" s="1"/>
  <c r="Q643" i="22"/>
  <c r="T643" i="22" s="1"/>
  <c r="T645" i="22"/>
  <c r="L357" i="22"/>
  <c r="O357" i="22" s="1"/>
  <c r="O359" i="22"/>
  <c r="S21" i="22"/>
  <c r="S19" i="22" s="1"/>
  <c r="S22" i="22"/>
  <c r="U22" i="22" s="1"/>
  <c r="T619" i="15"/>
  <c r="K702" i="16"/>
  <c r="O357" i="16"/>
  <c r="O62" i="16"/>
  <c r="L514" i="19"/>
  <c r="O514" i="19" s="1"/>
  <c r="S304" i="17"/>
  <c r="T304" i="17" s="1"/>
  <c r="O190" i="20"/>
  <c r="O62" i="20"/>
  <c r="U121" i="21"/>
  <c r="O60" i="21"/>
  <c r="T75" i="21"/>
  <c r="U75" i="21"/>
  <c r="K333" i="22"/>
  <c r="N21" i="22"/>
  <c r="N19" i="22" s="1"/>
  <c r="N22" i="22"/>
  <c r="P22" i="22" s="1"/>
  <c r="K424" i="21"/>
  <c r="I413" i="21"/>
  <c r="K413" i="21" s="1"/>
  <c r="O62" i="22"/>
  <c r="L60" i="22"/>
  <c r="O60" i="22" s="1"/>
  <c r="O177" i="22"/>
  <c r="L22" i="22"/>
  <c r="P24" i="18"/>
  <c r="R140" i="19"/>
  <c r="U140" i="19" s="1"/>
  <c r="R494" i="21"/>
  <c r="U494" i="21" s="1"/>
  <c r="S267" i="21"/>
  <c r="U267" i="21" s="1"/>
  <c r="T619" i="21"/>
  <c r="O120" i="21"/>
  <c r="L118" i="21"/>
  <c r="O118" i="21" s="1"/>
  <c r="O120" i="16"/>
  <c r="O357" i="19"/>
  <c r="R158" i="20"/>
  <c r="U158" i="20" s="1"/>
  <c r="P269" i="20"/>
  <c r="M73" i="20"/>
  <c r="P73" i="20" s="1"/>
  <c r="P60" i="20"/>
  <c r="P47" i="21"/>
  <c r="L95" i="21"/>
  <c r="O95" i="21" s="1"/>
  <c r="T121" i="21"/>
  <c r="M158" i="15"/>
  <c r="P158" i="15" s="1"/>
  <c r="U646" i="17"/>
  <c r="U620" i="20"/>
  <c r="L158" i="20"/>
  <c r="O158" i="20" s="1"/>
  <c r="L45" i="21"/>
  <c r="O45" i="21" s="1"/>
  <c r="L22" i="19"/>
  <c r="O22" i="19" s="1"/>
  <c r="Q414" i="21"/>
  <c r="T414" i="21" s="1"/>
  <c r="O63" i="21"/>
  <c r="L267" i="21"/>
  <c r="O267" i="21" s="1"/>
  <c r="P142" i="19"/>
  <c r="Q187" i="21"/>
  <c r="T187" i="21" s="1"/>
  <c r="N187" i="21"/>
  <c r="O187" i="21" s="1"/>
  <c r="M321" i="21"/>
  <c r="P321" i="21" s="1"/>
  <c r="P286" i="21"/>
  <c r="L514" i="17"/>
  <c r="O514" i="17" s="1"/>
  <c r="T416" i="18"/>
  <c r="T693" i="21"/>
  <c r="T691" i="19"/>
  <c r="L283" i="20"/>
  <c r="O283" i="20" s="1"/>
  <c r="O142" i="19"/>
  <c r="T120" i="20"/>
  <c r="M45" i="21"/>
  <c r="P45" i="21" s="1"/>
  <c r="M95" i="21"/>
  <c r="P95" i="21" s="1"/>
  <c r="L514" i="18"/>
  <c r="O514" i="18" s="1"/>
  <c r="Q760" i="20"/>
  <c r="T760" i="20" s="1"/>
  <c r="L267" i="20"/>
  <c r="O267" i="20" s="1"/>
  <c r="M140" i="21"/>
  <c r="P140" i="21" s="1"/>
  <c r="M25" i="21"/>
  <c r="P25" i="21" s="1"/>
  <c r="T73" i="21"/>
  <c r="T693" i="19"/>
  <c r="T24" i="21"/>
  <c r="Q21" i="21"/>
  <c r="U378" i="21"/>
  <c r="R376" i="21"/>
  <c r="U376" i="21" s="1"/>
  <c r="U306" i="21"/>
  <c r="R304" i="21"/>
  <c r="U304" i="21" s="1"/>
  <c r="O336" i="21"/>
  <c r="L334" i="21"/>
  <c r="O334" i="21" s="1"/>
  <c r="K83" i="21"/>
  <c r="I71" i="21"/>
  <c r="K71" i="21" s="1"/>
  <c r="N22" i="21"/>
  <c r="P22" i="21" s="1"/>
  <c r="N21" i="21"/>
  <c r="N19" i="21" s="1"/>
  <c r="O24" i="21"/>
  <c r="L21" i="21"/>
  <c r="P189" i="17"/>
  <c r="U73" i="18"/>
  <c r="T378" i="19"/>
  <c r="L140" i="20"/>
  <c r="O140" i="20" s="1"/>
  <c r="M95" i="19"/>
  <c r="P95" i="19" s="1"/>
  <c r="Q729" i="21"/>
  <c r="T729" i="21" s="1"/>
  <c r="U732" i="21"/>
  <c r="Q304" i="21"/>
  <c r="T304" i="21" s="1"/>
  <c r="T306" i="21"/>
  <c r="P190" i="21"/>
  <c r="L140" i="21"/>
  <c r="O140" i="21" s="1"/>
  <c r="T20" i="21"/>
  <c r="N73" i="21"/>
  <c r="P73" i="21" s="1"/>
  <c r="P75" i="21"/>
  <c r="M21" i="21"/>
  <c r="R494" i="20"/>
  <c r="U494" i="20" s="1"/>
  <c r="O334" i="20"/>
  <c r="R617" i="21"/>
  <c r="U617" i="21" s="1"/>
  <c r="P359" i="21"/>
  <c r="M357" i="21"/>
  <c r="P357" i="21" s="1"/>
  <c r="P189" i="21"/>
  <c r="R21" i="21"/>
  <c r="U24" i="21"/>
  <c r="R22" i="21"/>
  <c r="U22" i="21" s="1"/>
  <c r="O244" i="21"/>
  <c r="L233" i="21"/>
  <c r="L95" i="16"/>
  <c r="O95" i="16" s="1"/>
  <c r="R414" i="17"/>
  <c r="U414" i="17" s="1"/>
  <c r="O187" i="17"/>
  <c r="U306" i="17"/>
  <c r="U732" i="19"/>
  <c r="P176" i="19"/>
  <c r="M304" i="20"/>
  <c r="P304" i="20" s="1"/>
  <c r="Q691" i="21"/>
  <c r="T691" i="21" s="1"/>
  <c r="L514" i="21"/>
  <c r="O514" i="21" s="1"/>
  <c r="O516" i="21"/>
  <c r="R414" i="21"/>
  <c r="U414" i="21" s="1"/>
  <c r="K333" i="21"/>
  <c r="P306" i="21"/>
  <c r="O306" i="21"/>
  <c r="N304" i="21"/>
  <c r="P20" i="21"/>
  <c r="P334" i="21"/>
  <c r="P24" i="21"/>
  <c r="O187" i="11"/>
  <c r="P187" i="17"/>
  <c r="U267" i="17"/>
  <c r="L140" i="19"/>
  <c r="O140" i="19" s="1"/>
  <c r="Q174" i="20"/>
  <c r="T174" i="20" s="1"/>
  <c r="Q643" i="21"/>
  <c r="T643" i="21" s="1"/>
  <c r="P285" i="21"/>
  <c r="M283" i="21"/>
  <c r="P283" i="21" s="1"/>
  <c r="Q376" i="21"/>
  <c r="T376" i="21" s="1"/>
  <c r="T269" i="21"/>
  <c r="L25" i="21"/>
  <c r="O25" i="21" s="1"/>
  <c r="I72" i="21"/>
  <c r="K72" i="21" s="1"/>
  <c r="K84" i="21"/>
  <c r="M60" i="21"/>
  <c r="P60" i="21" s="1"/>
  <c r="P269" i="21"/>
  <c r="M267" i="21"/>
  <c r="P267" i="21" s="1"/>
  <c r="O75" i="21"/>
  <c r="L73" i="21"/>
  <c r="L22" i="21"/>
  <c r="P176" i="21"/>
  <c r="N174" i="21"/>
  <c r="U269" i="20"/>
  <c r="K84" i="18"/>
  <c r="O73" i="18"/>
  <c r="O176" i="20"/>
  <c r="P62" i="20"/>
  <c r="I72" i="17"/>
  <c r="K72" i="17" s="1"/>
  <c r="M118" i="19"/>
  <c r="P118" i="19" s="1"/>
  <c r="Q73" i="20"/>
  <c r="T73" i="20" s="1"/>
  <c r="R73" i="20"/>
  <c r="U73" i="20" s="1"/>
  <c r="R95" i="19"/>
  <c r="U95" i="19" s="1"/>
  <c r="M174" i="20"/>
  <c r="P174" i="20" s="1"/>
  <c r="M283" i="20"/>
  <c r="P283" i="20" s="1"/>
  <c r="M73" i="19"/>
  <c r="P73" i="19" s="1"/>
  <c r="Q187" i="19"/>
  <c r="T187" i="19" s="1"/>
  <c r="S729" i="19"/>
  <c r="U729" i="19" s="1"/>
  <c r="O176" i="19"/>
  <c r="L174" i="20"/>
  <c r="O174" i="20" s="1"/>
  <c r="L21" i="20"/>
  <c r="L45" i="20"/>
  <c r="O45" i="20" s="1"/>
  <c r="L267" i="13"/>
  <c r="O267" i="13" s="1"/>
  <c r="T379" i="16"/>
  <c r="N174" i="19"/>
  <c r="O174" i="19" s="1"/>
  <c r="M158" i="20"/>
  <c r="P158" i="20" s="1"/>
  <c r="O27" i="20"/>
  <c r="U189" i="20"/>
  <c r="R187" i="20"/>
  <c r="U187" i="20" s="1"/>
  <c r="Q304" i="18"/>
  <c r="T304" i="18" s="1"/>
  <c r="R376" i="19"/>
  <c r="U376" i="19" s="1"/>
  <c r="L187" i="19"/>
  <c r="O187" i="19" s="1"/>
  <c r="M267" i="20"/>
  <c r="P267" i="20" s="1"/>
  <c r="N22" i="20"/>
  <c r="O22" i="20" s="1"/>
  <c r="N21" i="20"/>
  <c r="N19" i="20" s="1"/>
  <c r="Q140" i="17"/>
  <c r="T140" i="17" s="1"/>
  <c r="T620" i="17"/>
  <c r="R140" i="17"/>
  <c r="U140" i="17" s="1"/>
  <c r="U24" i="20"/>
  <c r="R95" i="20"/>
  <c r="U95" i="20" s="1"/>
  <c r="L73" i="20"/>
  <c r="O73" i="20" s="1"/>
  <c r="Q95" i="20"/>
  <c r="T95" i="20" s="1"/>
  <c r="T97" i="20"/>
  <c r="L60" i="20"/>
  <c r="O60" i="20" s="1"/>
  <c r="O324" i="18"/>
  <c r="R22" i="20"/>
  <c r="O75" i="18"/>
  <c r="M140" i="18"/>
  <c r="P140" i="18" s="1"/>
  <c r="Q729" i="20"/>
  <c r="T729" i="20" s="1"/>
  <c r="T731" i="20"/>
  <c r="Q691" i="20"/>
  <c r="T691" i="20" s="1"/>
  <c r="T693" i="20"/>
  <c r="P336" i="20"/>
  <c r="M334" i="20"/>
  <c r="P334" i="20" s="1"/>
  <c r="M321" i="17"/>
  <c r="P321" i="17" s="1"/>
  <c r="O336" i="20"/>
  <c r="I232" i="20"/>
  <c r="P142" i="20"/>
  <c r="M140" i="20"/>
  <c r="P140" i="20" s="1"/>
  <c r="K84" i="20"/>
  <c r="I72" i="20"/>
  <c r="K72" i="20" s="1"/>
  <c r="M45" i="20"/>
  <c r="S21" i="20"/>
  <c r="S22" i="20"/>
  <c r="T22" i="20" s="1"/>
  <c r="T24" i="20"/>
  <c r="Q21" i="20"/>
  <c r="M21" i="20"/>
  <c r="M22" i="20"/>
  <c r="P24" i="20"/>
  <c r="R617" i="20"/>
  <c r="U617" i="20" s="1"/>
  <c r="U619" i="20"/>
  <c r="T189" i="20"/>
  <c r="Q187" i="20"/>
  <c r="T187" i="20" s="1"/>
  <c r="M25" i="20"/>
  <c r="P25" i="20" s="1"/>
  <c r="P27" i="20"/>
  <c r="T270" i="15"/>
  <c r="S304" i="16"/>
  <c r="U304" i="16" s="1"/>
  <c r="R187" i="19"/>
  <c r="U187" i="19" s="1"/>
  <c r="P270" i="20"/>
  <c r="M25" i="19"/>
  <c r="P25" i="19" s="1"/>
  <c r="I413" i="20"/>
  <c r="K413" i="20" s="1"/>
  <c r="K424" i="20"/>
  <c r="L514" i="20"/>
  <c r="O514" i="20" s="1"/>
  <c r="M321" i="20"/>
  <c r="P321" i="20" s="1"/>
  <c r="P323" i="20"/>
  <c r="M357" i="20"/>
  <c r="P357" i="20" s="1"/>
  <c r="P359" i="20"/>
  <c r="N41" i="20"/>
  <c r="O160" i="19"/>
  <c r="R760" i="20"/>
  <c r="U760" i="20" s="1"/>
  <c r="U762" i="20"/>
  <c r="Q643" i="20"/>
  <c r="T643" i="20" s="1"/>
  <c r="T645" i="20"/>
  <c r="P516" i="20"/>
  <c r="M514" i="20"/>
  <c r="P514" i="20" s="1"/>
  <c r="Q376" i="20"/>
  <c r="T376" i="20" s="1"/>
  <c r="O244" i="20"/>
  <c r="L233" i="20"/>
  <c r="O359" i="20"/>
  <c r="O189" i="20"/>
  <c r="L187" i="20"/>
  <c r="O187" i="20" s="1"/>
  <c r="M118" i="20"/>
  <c r="P118" i="20" s="1"/>
  <c r="I71" i="20"/>
  <c r="K71" i="20" s="1"/>
  <c r="K83" i="20"/>
  <c r="M95" i="20"/>
  <c r="P95" i="20" s="1"/>
  <c r="R73" i="19"/>
  <c r="U73" i="19" s="1"/>
  <c r="O75" i="19"/>
  <c r="U694" i="19"/>
  <c r="K702" i="18"/>
  <c r="U21" i="18"/>
  <c r="U190" i="18"/>
  <c r="T731" i="19"/>
  <c r="O120" i="19"/>
  <c r="L118" i="19"/>
  <c r="O118" i="19" s="1"/>
  <c r="O359" i="19"/>
  <c r="L233" i="18"/>
  <c r="T189" i="17"/>
  <c r="U267" i="19"/>
  <c r="U160" i="16"/>
  <c r="R174" i="18"/>
  <c r="U174" i="18" s="1"/>
  <c r="S22" i="19"/>
  <c r="L158" i="12"/>
  <c r="O158" i="12" s="1"/>
  <c r="L118" i="17"/>
  <c r="O118" i="17" s="1"/>
  <c r="P306" i="18"/>
  <c r="U24" i="18"/>
  <c r="T763" i="19"/>
  <c r="P47" i="19"/>
  <c r="Q21" i="19"/>
  <c r="Q22" i="19"/>
  <c r="T24" i="19"/>
  <c r="Q158" i="19"/>
  <c r="T158" i="19" s="1"/>
  <c r="T160" i="19"/>
  <c r="K702" i="13"/>
  <c r="K375" i="15"/>
  <c r="P306" i="17"/>
  <c r="T98" i="17"/>
  <c r="O176" i="17"/>
  <c r="L283" i="17"/>
  <c r="O283" i="17" s="1"/>
  <c r="P269" i="18"/>
  <c r="P140" i="19"/>
  <c r="Q118" i="19"/>
  <c r="T118" i="19" s="1"/>
  <c r="T120" i="19"/>
  <c r="O174" i="15"/>
  <c r="P160" i="19"/>
  <c r="O158" i="19"/>
  <c r="O336" i="16"/>
  <c r="K375" i="16"/>
  <c r="O142" i="16"/>
  <c r="Q140" i="18"/>
  <c r="T140" i="18" s="1"/>
  <c r="T269" i="17"/>
  <c r="Q376" i="19"/>
  <c r="T376" i="19" s="1"/>
  <c r="P22" i="19"/>
  <c r="T97" i="19"/>
  <c r="Q95" i="19"/>
  <c r="T95" i="19" s="1"/>
  <c r="U24" i="19"/>
  <c r="R22" i="19"/>
  <c r="T176" i="19"/>
  <c r="Q174" i="19"/>
  <c r="T174" i="19" s="1"/>
  <c r="L95" i="19"/>
  <c r="O95" i="19" s="1"/>
  <c r="O97" i="19"/>
  <c r="M118" i="18"/>
  <c r="P118" i="18" s="1"/>
  <c r="P120" i="18"/>
  <c r="P158" i="19"/>
  <c r="R643" i="18"/>
  <c r="U643" i="18" s="1"/>
  <c r="R22" i="18"/>
  <c r="P62" i="19"/>
  <c r="K83" i="19"/>
  <c r="I71" i="19"/>
  <c r="K71" i="19" s="1"/>
  <c r="T190" i="16"/>
  <c r="Q140" i="16"/>
  <c r="T140" i="16" s="1"/>
  <c r="O73" i="17"/>
  <c r="P323" i="18"/>
  <c r="Q760" i="19"/>
  <c r="T760" i="19" s="1"/>
  <c r="T762" i="19"/>
  <c r="R691" i="19"/>
  <c r="U691" i="19" s="1"/>
  <c r="U693" i="19"/>
  <c r="Q729" i="19"/>
  <c r="T619" i="19"/>
  <c r="L267" i="19"/>
  <c r="O267" i="19" s="1"/>
  <c r="P359" i="19"/>
  <c r="M357" i="19"/>
  <c r="P357" i="19" s="1"/>
  <c r="O285" i="19"/>
  <c r="L283" i="19"/>
  <c r="O283" i="19" s="1"/>
  <c r="O47" i="19"/>
  <c r="N21" i="19"/>
  <c r="T190" i="19"/>
  <c r="Q73" i="19"/>
  <c r="T73" i="19" s="1"/>
  <c r="P323" i="16"/>
  <c r="M514" i="16"/>
  <c r="P514" i="16" s="1"/>
  <c r="O62" i="18"/>
  <c r="Q494" i="19"/>
  <c r="T494" i="19" s="1"/>
  <c r="T496" i="19"/>
  <c r="L233" i="19"/>
  <c r="O244" i="19"/>
  <c r="M45" i="19"/>
  <c r="O24" i="19"/>
  <c r="S643" i="19"/>
  <c r="T643" i="19" s="1"/>
  <c r="R643" i="19"/>
  <c r="U645" i="19"/>
  <c r="P516" i="19"/>
  <c r="M514" i="19"/>
  <c r="P514" i="19" s="1"/>
  <c r="O20" i="19"/>
  <c r="Q267" i="19"/>
  <c r="T267" i="19" s="1"/>
  <c r="T269" i="19"/>
  <c r="O45" i="19"/>
  <c r="M73" i="15"/>
  <c r="P73" i="15" s="1"/>
  <c r="U731" i="17"/>
  <c r="P47" i="18"/>
  <c r="K627" i="19"/>
  <c r="J616" i="19"/>
  <c r="K616" i="19" s="1"/>
  <c r="R760" i="19"/>
  <c r="U760" i="19" s="1"/>
  <c r="S617" i="19"/>
  <c r="P60" i="19"/>
  <c r="M21" i="19"/>
  <c r="P24" i="19"/>
  <c r="U731" i="16"/>
  <c r="U693" i="16"/>
  <c r="O189" i="17"/>
  <c r="I71" i="18"/>
  <c r="K71" i="18" s="1"/>
  <c r="L283" i="18"/>
  <c r="O283" i="18" s="1"/>
  <c r="R494" i="19"/>
  <c r="U494" i="19" s="1"/>
  <c r="U496" i="19"/>
  <c r="L334" i="19"/>
  <c r="O334" i="19" s="1"/>
  <c r="U306" i="19"/>
  <c r="R304" i="19"/>
  <c r="O62" i="19"/>
  <c r="L60" i="19"/>
  <c r="O60" i="19" s="1"/>
  <c r="K84" i="19"/>
  <c r="I72" i="19"/>
  <c r="K72" i="19" s="1"/>
  <c r="U21" i="19"/>
  <c r="R19" i="19"/>
  <c r="O75" i="17"/>
  <c r="O323" i="18"/>
  <c r="U620" i="19"/>
  <c r="O323" i="19"/>
  <c r="L321" i="19"/>
  <c r="O321" i="19" s="1"/>
  <c r="O306" i="19"/>
  <c r="L304" i="19"/>
  <c r="O304" i="19" s="1"/>
  <c r="M304" i="19"/>
  <c r="P304" i="19" s="1"/>
  <c r="U269" i="19"/>
  <c r="M321" i="19"/>
  <c r="P321" i="19" s="1"/>
  <c r="P323" i="19"/>
  <c r="I232" i="19"/>
  <c r="P160" i="18"/>
  <c r="M158" i="18"/>
  <c r="P158" i="18" s="1"/>
  <c r="P187" i="18"/>
  <c r="U120" i="16"/>
  <c r="O307" i="17"/>
  <c r="M118" i="17"/>
  <c r="P118" i="17" s="1"/>
  <c r="P336" i="16"/>
  <c r="M321" i="18"/>
  <c r="P321" i="18" s="1"/>
  <c r="Q187" i="17"/>
  <c r="S19" i="18"/>
  <c r="N60" i="18"/>
  <c r="O60" i="18" s="1"/>
  <c r="P189" i="18"/>
  <c r="U118" i="16"/>
  <c r="U120" i="18"/>
  <c r="S304" i="1"/>
  <c r="M73" i="14"/>
  <c r="P73" i="14" s="1"/>
  <c r="L118" i="15"/>
  <c r="O118" i="15" s="1"/>
  <c r="S22" i="18"/>
  <c r="M95" i="18"/>
  <c r="P95" i="18" s="1"/>
  <c r="O269" i="18"/>
  <c r="L267" i="18"/>
  <c r="O267" i="18" s="1"/>
  <c r="U118" i="18"/>
  <c r="Q267" i="17"/>
  <c r="T267" i="17" s="1"/>
  <c r="U306" i="1"/>
  <c r="O285" i="1"/>
  <c r="T306" i="1"/>
  <c r="O174" i="16"/>
  <c r="P45" i="17"/>
  <c r="L158" i="18"/>
  <c r="O158" i="18" s="1"/>
  <c r="R140" i="13"/>
  <c r="U140" i="13" s="1"/>
  <c r="M267" i="18"/>
  <c r="P267" i="18" s="1"/>
  <c r="T120" i="18"/>
  <c r="Q158" i="18"/>
  <c r="T158" i="18" s="1"/>
  <c r="P62" i="8"/>
  <c r="O359" i="18"/>
  <c r="O24" i="17"/>
  <c r="O22" i="17"/>
  <c r="P24" i="17"/>
  <c r="P357" i="18"/>
  <c r="O357" i="18"/>
  <c r="M25" i="18"/>
  <c r="P25" i="18" s="1"/>
  <c r="U731" i="18"/>
  <c r="L187" i="18"/>
  <c r="O187" i="18" s="1"/>
  <c r="O189" i="18"/>
  <c r="R187" i="18"/>
  <c r="U187" i="18" s="1"/>
  <c r="U189" i="18"/>
  <c r="R304" i="7"/>
  <c r="U304" i="7" s="1"/>
  <c r="P22" i="17"/>
  <c r="L321" i="18"/>
  <c r="O321" i="18" s="1"/>
  <c r="Q95" i="18"/>
  <c r="T95" i="18" s="1"/>
  <c r="T190" i="18"/>
  <c r="U75" i="18"/>
  <c r="O48" i="18"/>
  <c r="R140" i="18"/>
  <c r="U140" i="18" s="1"/>
  <c r="U142" i="18"/>
  <c r="P22" i="18"/>
  <c r="U693" i="18"/>
  <c r="T620" i="18"/>
  <c r="P334" i="18"/>
  <c r="Q118" i="18"/>
  <c r="T118" i="18" s="1"/>
  <c r="L304" i="18"/>
  <c r="O304" i="18" s="1"/>
  <c r="L140" i="18"/>
  <c r="O140" i="18" s="1"/>
  <c r="O142" i="18"/>
  <c r="O27" i="18"/>
  <c r="L25" i="18"/>
  <c r="O25" i="18" s="1"/>
  <c r="R158" i="18"/>
  <c r="U158" i="18" s="1"/>
  <c r="O158" i="16"/>
  <c r="Q414" i="16"/>
  <c r="T414" i="16" s="1"/>
  <c r="R304" i="18"/>
  <c r="U304" i="18" s="1"/>
  <c r="P48" i="18"/>
  <c r="P336" i="18"/>
  <c r="R691" i="17"/>
  <c r="U691" i="17" s="1"/>
  <c r="U729" i="18"/>
  <c r="P359" i="18"/>
  <c r="M21" i="18"/>
  <c r="M19" i="18" s="1"/>
  <c r="T21" i="17"/>
  <c r="Q19" i="17"/>
  <c r="R617" i="18"/>
  <c r="U617" i="18" s="1"/>
  <c r="U619" i="18"/>
  <c r="P516" i="18"/>
  <c r="M514" i="18"/>
  <c r="P514" i="18" s="1"/>
  <c r="Q187" i="18"/>
  <c r="T187" i="18" s="1"/>
  <c r="T189" i="18"/>
  <c r="L73" i="15"/>
  <c r="O73" i="15" s="1"/>
  <c r="O27" i="16"/>
  <c r="M95" i="16"/>
  <c r="P95" i="16" s="1"/>
  <c r="T617" i="17"/>
  <c r="J616" i="18"/>
  <c r="K616" i="18" s="1"/>
  <c r="K627" i="18"/>
  <c r="Q376" i="18"/>
  <c r="T376" i="18" s="1"/>
  <c r="T378" i="18"/>
  <c r="T75" i="18"/>
  <c r="Q73" i="18"/>
  <c r="T73" i="18" s="1"/>
  <c r="N25" i="18"/>
  <c r="N21" i="18"/>
  <c r="N19" i="18" s="1"/>
  <c r="N174" i="18"/>
  <c r="O174" i="18" s="1"/>
  <c r="P176" i="18"/>
  <c r="R95" i="18"/>
  <c r="U95" i="18" s="1"/>
  <c r="P62" i="18"/>
  <c r="M60" i="18"/>
  <c r="P20" i="18"/>
  <c r="P177" i="18"/>
  <c r="R760" i="18"/>
  <c r="U760" i="18" s="1"/>
  <c r="T645" i="18"/>
  <c r="Q643" i="18"/>
  <c r="T643" i="18" s="1"/>
  <c r="Q494" i="18"/>
  <c r="T494" i="18" s="1"/>
  <c r="T496" i="18"/>
  <c r="I232" i="18"/>
  <c r="K254" i="18"/>
  <c r="T694" i="18"/>
  <c r="O336" i="18"/>
  <c r="L334" i="18"/>
  <c r="O334" i="18" s="1"/>
  <c r="R376" i="18"/>
  <c r="U376" i="18" s="1"/>
  <c r="U378" i="18"/>
  <c r="T270" i="18"/>
  <c r="L140" i="17"/>
  <c r="O140" i="17" s="1"/>
  <c r="T617" i="18"/>
  <c r="Q729" i="18"/>
  <c r="T729" i="18" s="1"/>
  <c r="T619" i="18"/>
  <c r="T693" i="18"/>
  <c r="Q691" i="18"/>
  <c r="T691" i="18" s="1"/>
  <c r="R267" i="18"/>
  <c r="U267" i="18" s="1"/>
  <c r="U269" i="18"/>
  <c r="T267" i="18"/>
  <c r="L21" i="18"/>
  <c r="L19" i="18" s="1"/>
  <c r="O24" i="18"/>
  <c r="Q22" i="18"/>
  <c r="Q21" i="18"/>
  <c r="T24" i="18"/>
  <c r="S267" i="14"/>
  <c r="U267" i="14" s="1"/>
  <c r="Q140" i="15"/>
  <c r="T140" i="15" s="1"/>
  <c r="R729" i="17"/>
  <c r="U729" i="17" s="1"/>
  <c r="T694" i="17"/>
  <c r="K702" i="17"/>
  <c r="R376" i="17"/>
  <c r="U376" i="17" s="1"/>
  <c r="Q760" i="18"/>
  <c r="T760" i="18" s="1"/>
  <c r="T762" i="18"/>
  <c r="K493" i="18"/>
  <c r="R691" i="18"/>
  <c r="U691" i="18" s="1"/>
  <c r="R494" i="18"/>
  <c r="U494" i="18" s="1"/>
  <c r="K504" i="18"/>
  <c r="O176" i="18"/>
  <c r="L45" i="18"/>
  <c r="O47" i="18"/>
  <c r="T269" i="18"/>
  <c r="O20" i="18"/>
  <c r="L22" i="18"/>
  <c r="O22" i="18" s="1"/>
  <c r="T619" i="17"/>
  <c r="P45" i="18"/>
  <c r="O97" i="18"/>
  <c r="L95" i="18"/>
  <c r="O95" i="18" s="1"/>
  <c r="P75" i="18"/>
  <c r="M73" i="18"/>
  <c r="P73" i="18" s="1"/>
  <c r="T160" i="17"/>
  <c r="Q158" i="17"/>
  <c r="T158" i="17" s="1"/>
  <c r="R414" i="11"/>
  <c r="U414" i="11" s="1"/>
  <c r="U76" i="13"/>
  <c r="R95" i="16"/>
  <c r="U95" i="16" s="1"/>
  <c r="P306" i="15"/>
  <c r="U190" i="16"/>
  <c r="M140" i="17"/>
  <c r="P140" i="17" s="1"/>
  <c r="P47" i="17"/>
  <c r="U98" i="17"/>
  <c r="N21" i="17"/>
  <c r="N19" i="17" s="1"/>
  <c r="Q760" i="17"/>
  <c r="T760" i="17" s="1"/>
  <c r="L233" i="17"/>
  <c r="P267" i="17"/>
  <c r="U120" i="12"/>
  <c r="U306" i="15"/>
  <c r="O160" i="15"/>
  <c r="T270" i="16"/>
  <c r="S19" i="17"/>
  <c r="P269" i="16"/>
  <c r="P160" i="17"/>
  <c r="O160" i="17"/>
  <c r="I232" i="11"/>
  <c r="K232" i="11" s="1"/>
  <c r="O176" i="15"/>
  <c r="Q760" i="16"/>
  <c r="T760" i="16" s="1"/>
  <c r="R376" i="16"/>
  <c r="U376" i="16" s="1"/>
  <c r="T269" i="16"/>
  <c r="P174" i="16"/>
  <c r="P76" i="17"/>
  <c r="P48" i="17"/>
  <c r="P97" i="17"/>
  <c r="M95" i="17"/>
  <c r="P95" i="17" s="1"/>
  <c r="P73" i="17"/>
  <c r="P176" i="15"/>
  <c r="K702" i="15"/>
  <c r="M118" i="16"/>
  <c r="P118" i="16" s="1"/>
  <c r="R73" i="16"/>
  <c r="U73" i="16" s="1"/>
  <c r="P516" i="17"/>
  <c r="Q73" i="17"/>
  <c r="T73" i="17" s="1"/>
  <c r="N158" i="17"/>
  <c r="O158" i="17" s="1"/>
  <c r="Q22" i="17"/>
  <c r="T24" i="17"/>
  <c r="P176" i="17"/>
  <c r="T306" i="16"/>
  <c r="P158" i="16"/>
  <c r="L267" i="17"/>
  <c r="O267" i="17" s="1"/>
  <c r="O97" i="17"/>
  <c r="L95" i="17"/>
  <c r="O95" i="17" s="1"/>
  <c r="S22" i="17"/>
  <c r="U97" i="17"/>
  <c r="R95" i="17"/>
  <c r="U95" i="17" s="1"/>
  <c r="P75" i="17"/>
  <c r="O75" i="7"/>
  <c r="R174" i="15"/>
  <c r="U174" i="15" s="1"/>
  <c r="M334" i="16"/>
  <c r="P334" i="16" s="1"/>
  <c r="P189" i="16"/>
  <c r="U24" i="17"/>
  <c r="R21" i="17"/>
  <c r="R22" i="17"/>
  <c r="T729" i="12"/>
  <c r="M304" i="16"/>
  <c r="P304" i="16" s="1"/>
  <c r="O160" i="16"/>
  <c r="K83" i="16"/>
  <c r="U645" i="16"/>
  <c r="O359" i="17"/>
  <c r="N174" i="17"/>
  <c r="P174" i="17" s="1"/>
  <c r="P269" i="15"/>
  <c r="U645" i="14"/>
  <c r="Q691" i="17"/>
  <c r="T691" i="17" s="1"/>
  <c r="T693" i="17"/>
  <c r="R617" i="17"/>
  <c r="U617" i="17" s="1"/>
  <c r="U619" i="17"/>
  <c r="T416" i="17"/>
  <c r="Q414" i="17"/>
  <c r="T414" i="17" s="1"/>
  <c r="O27" i="17"/>
  <c r="L25" i="17"/>
  <c r="O25" i="17" s="1"/>
  <c r="P336" i="17"/>
  <c r="M334" i="17"/>
  <c r="P334" i="17" s="1"/>
  <c r="P20" i="17"/>
  <c r="L233" i="14"/>
  <c r="P187" i="14"/>
  <c r="U762" i="15"/>
  <c r="P360" i="15"/>
  <c r="O62" i="15"/>
  <c r="R760" i="14"/>
  <c r="U760" i="14" s="1"/>
  <c r="R760" i="17"/>
  <c r="U760" i="17" s="1"/>
  <c r="U762" i="17"/>
  <c r="Q643" i="17"/>
  <c r="T643" i="17" s="1"/>
  <c r="T645" i="17"/>
  <c r="P359" i="17"/>
  <c r="M357" i="17"/>
  <c r="P357" i="17" s="1"/>
  <c r="Q376" i="17"/>
  <c r="T376" i="17" s="1"/>
  <c r="O323" i="17"/>
  <c r="L321" i="17"/>
  <c r="O321" i="17" s="1"/>
  <c r="P27" i="17"/>
  <c r="M25" i="17"/>
  <c r="P25" i="17" s="1"/>
  <c r="I71" i="17"/>
  <c r="K71" i="17" s="1"/>
  <c r="K83" i="17"/>
  <c r="K243" i="17"/>
  <c r="I232" i="17"/>
  <c r="P176" i="1"/>
  <c r="K375" i="5"/>
  <c r="P176" i="8"/>
  <c r="L73" i="12"/>
  <c r="O73" i="12" s="1"/>
  <c r="U732" i="15"/>
  <c r="T304" i="15"/>
  <c r="O187" i="16"/>
  <c r="Q73" i="16"/>
  <c r="T73" i="16" s="1"/>
  <c r="P176" i="16"/>
  <c r="Q729" i="17"/>
  <c r="T729" i="17" s="1"/>
  <c r="T731" i="17"/>
  <c r="O357" i="17"/>
  <c r="O62" i="17"/>
  <c r="L60" i="17"/>
  <c r="O60" i="17" s="1"/>
  <c r="P269" i="17"/>
  <c r="M60" i="17"/>
  <c r="P62" i="17"/>
  <c r="T306" i="8"/>
  <c r="P176" i="13"/>
  <c r="T269" i="13"/>
  <c r="T645" i="14"/>
  <c r="K702" i="14"/>
  <c r="O306" i="15"/>
  <c r="L95" i="15"/>
  <c r="O95" i="15" s="1"/>
  <c r="N267" i="15"/>
  <c r="P267" i="15" s="1"/>
  <c r="T694" i="16"/>
  <c r="P177" i="16"/>
  <c r="U694" i="16"/>
  <c r="T496" i="17"/>
  <c r="Q494" i="17"/>
  <c r="T494" i="17" s="1"/>
  <c r="R643" i="17"/>
  <c r="U643" i="17" s="1"/>
  <c r="O334" i="17"/>
  <c r="U496" i="17"/>
  <c r="R494" i="17"/>
  <c r="U494" i="17" s="1"/>
  <c r="O336" i="17"/>
  <c r="O306" i="17"/>
  <c r="O47" i="17"/>
  <c r="L45" i="17"/>
  <c r="L21" i="17"/>
  <c r="M174" i="1"/>
  <c r="P142" i="14"/>
  <c r="N304" i="15"/>
  <c r="P304" i="15" s="1"/>
  <c r="P62" i="15"/>
  <c r="M140" i="15"/>
  <c r="P140" i="15" s="1"/>
  <c r="Q140" i="14"/>
  <c r="T140" i="14" s="1"/>
  <c r="T646" i="16"/>
  <c r="U270" i="16"/>
  <c r="R174" i="16"/>
  <c r="U174" i="16" s="1"/>
  <c r="U189" i="16"/>
  <c r="N304" i="17"/>
  <c r="M283" i="17"/>
  <c r="P283" i="17" s="1"/>
  <c r="M21" i="17"/>
  <c r="K333" i="12"/>
  <c r="Q414" i="13"/>
  <c r="T414" i="13" s="1"/>
  <c r="U729" i="14"/>
  <c r="R691" i="16"/>
  <c r="U691" i="16" s="1"/>
  <c r="L267" i="16"/>
  <c r="O267" i="16" s="1"/>
  <c r="P75" i="16"/>
  <c r="R22" i="16"/>
  <c r="O176" i="16"/>
  <c r="Q617" i="16"/>
  <c r="T617" i="16" s="1"/>
  <c r="O24" i="16"/>
  <c r="U142" i="16"/>
  <c r="T693" i="11"/>
  <c r="R643" i="16"/>
  <c r="U643" i="16" s="1"/>
  <c r="T189" i="16"/>
  <c r="P62" i="16"/>
  <c r="P360" i="16"/>
  <c r="O75" i="16"/>
  <c r="L73" i="16"/>
  <c r="O73" i="16" s="1"/>
  <c r="O176" i="14"/>
  <c r="S22" i="14"/>
  <c r="T22" i="14" s="1"/>
  <c r="T762" i="15"/>
  <c r="U694" i="15"/>
  <c r="T378" i="16"/>
  <c r="L321" i="16"/>
  <c r="O321" i="16" s="1"/>
  <c r="K84" i="16"/>
  <c r="Q304" i="14"/>
  <c r="T304" i="14" s="1"/>
  <c r="T760" i="15"/>
  <c r="O177" i="16"/>
  <c r="Q95" i="16"/>
  <c r="T95" i="16" s="1"/>
  <c r="T160" i="16"/>
  <c r="Q158" i="16"/>
  <c r="T158" i="16" s="1"/>
  <c r="T762" i="11"/>
  <c r="T98" i="12"/>
  <c r="O336" i="15"/>
  <c r="U269" i="16"/>
  <c r="P142" i="16"/>
  <c r="T619" i="13"/>
  <c r="O189" i="16"/>
  <c r="N140" i="16"/>
  <c r="O140" i="16" s="1"/>
  <c r="O22" i="11"/>
  <c r="M158" i="12"/>
  <c r="P158" i="12" s="1"/>
  <c r="U304" i="12"/>
  <c r="O359" i="16"/>
  <c r="P47" i="16"/>
  <c r="U21" i="16"/>
  <c r="T98" i="16"/>
  <c r="L21" i="16"/>
  <c r="L19" i="16" s="1"/>
  <c r="M514" i="13"/>
  <c r="P514" i="13" s="1"/>
  <c r="U267" i="13"/>
  <c r="T269" i="14"/>
  <c r="U732" i="16"/>
  <c r="M283" i="16"/>
  <c r="P283" i="16" s="1"/>
  <c r="M267" i="16"/>
  <c r="P267" i="16" s="1"/>
  <c r="N45" i="16"/>
  <c r="P45" i="16" s="1"/>
  <c r="O306" i="16"/>
  <c r="L304" i="16"/>
  <c r="O304" i="16" s="1"/>
  <c r="S267" i="16"/>
  <c r="T267" i="16" s="1"/>
  <c r="P160" i="16"/>
  <c r="O161" i="11"/>
  <c r="S729" i="16"/>
  <c r="U729" i="16" s="1"/>
  <c r="L334" i="16"/>
  <c r="O334" i="16" s="1"/>
  <c r="T120" i="16"/>
  <c r="Q118" i="16"/>
  <c r="T118" i="16" s="1"/>
  <c r="T24" i="16"/>
  <c r="Q21" i="16"/>
  <c r="Q22" i="16"/>
  <c r="L321" i="14"/>
  <c r="O321" i="14" s="1"/>
  <c r="R376" i="14"/>
  <c r="U376" i="14" s="1"/>
  <c r="U416" i="16"/>
  <c r="R414" i="16"/>
  <c r="U414" i="16" s="1"/>
  <c r="U24" i="16"/>
  <c r="U19" i="16"/>
  <c r="U645" i="11"/>
  <c r="T118" i="13"/>
  <c r="Q21" i="14"/>
  <c r="Q19" i="14" s="1"/>
  <c r="T19" i="14" s="1"/>
  <c r="T120" i="14"/>
  <c r="O160" i="14"/>
  <c r="U693" i="14"/>
  <c r="Q691" i="16"/>
  <c r="T691" i="16" s="1"/>
  <c r="T693" i="16"/>
  <c r="Q376" i="16"/>
  <c r="T376" i="16" s="1"/>
  <c r="M187" i="16"/>
  <c r="I232" i="16"/>
  <c r="P24" i="16"/>
  <c r="M21" i="16"/>
  <c r="S22" i="16"/>
  <c r="M304" i="14"/>
  <c r="P304" i="14" s="1"/>
  <c r="T24" i="14"/>
  <c r="T694" i="14"/>
  <c r="I413" i="15"/>
  <c r="K413" i="15" s="1"/>
  <c r="Q643" i="16"/>
  <c r="T643" i="16" s="1"/>
  <c r="T645" i="16"/>
  <c r="Q729" i="16"/>
  <c r="O285" i="16"/>
  <c r="L283" i="16"/>
  <c r="O283" i="16" s="1"/>
  <c r="T187" i="16"/>
  <c r="R158" i="11"/>
  <c r="U158" i="11" s="1"/>
  <c r="O47" i="13"/>
  <c r="L25" i="13"/>
  <c r="O25" i="13" s="1"/>
  <c r="U269" i="13"/>
  <c r="T118" i="14"/>
  <c r="L304" i="15"/>
  <c r="O24" i="15"/>
  <c r="R617" i="16"/>
  <c r="U617" i="16" s="1"/>
  <c r="U619" i="16"/>
  <c r="U620" i="16"/>
  <c r="R494" i="16"/>
  <c r="U494" i="16" s="1"/>
  <c r="Q494" i="16"/>
  <c r="T494" i="16" s="1"/>
  <c r="M357" i="16"/>
  <c r="P357" i="16" s="1"/>
  <c r="P359" i="16"/>
  <c r="Q174" i="16"/>
  <c r="T174" i="16" s="1"/>
  <c r="T176" i="16"/>
  <c r="N21" i="16"/>
  <c r="N22" i="16"/>
  <c r="P22" i="16" s="1"/>
  <c r="U187" i="16"/>
  <c r="N60" i="16"/>
  <c r="O336" i="13"/>
  <c r="Q267" i="14"/>
  <c r="P190" i="15"/>
  <c r="L140" i="15"/>
  <c r="O140" i="15" s="1"/>
  <c r="R760" i="16"/>
  <c r="U760" i="16" s="1"/>
  <c r="O244" i="16"/>
  <c r="L233" i="16"/>
  <c r="M25" i="16"/>
  <c r="P25" i="16" s="1"/>
  <c r="T619" i="5"/>
  <c r="T732" i="15"/>
  <c r="Q643" i="11"/>
  <c r="T643" i="11" s="1"/>
  <c r="U731" i="15"/>
  <c r="L514" i="15"/>
  <c r="O514" i="15" s="1"/>
  <c r="O359" i="15"/>
  <c r="I71" i="12"/>
  <c r="K71" i="12" s="1"/>
  <c r="U694" i="13"/>
  <c r="T693" i="14"/>
  <c r="O161" i="14"/>
  <c r="U729" i="15"/>
  <c r="N357" i="15"/>
  <c r="O357" i="15" s="1"/>
  <c r="L334" i="15"/>
  <c r="O334" i="15" s="1"/>
  <c r="P270" i="1"/>
  <c r="U619" i="10"/>
  <c r="K333" i="13"/>
  <c r="T694" i="13"/>
  <c r="M283" i="13"/>
  <c r="P283" i="13" s="1"/>
  <c r="T619" i="14"/>
  <c r="Q760" i="14"/>
  <c r="T760" i="14" s="1"/>
  <c r="R304" i="14"/>
  <c r="U304" i="14" s="1"/>
  <c r="L158" i="14"/>
  <c r="O158" i="14" s="1"/>
  <c r="M514" i="15"/>
  <c r="P514" i="15" s="1"/>
  <c r="R140" i="15"/>
  <c r="U140" i="15" s="1"/>
  <c r="M95" i="15"/>
  <c r="P95" i="15" s="1"/>
  <c r="K333" i="15"/>
  <c r="L73" i="8"/>
  <c r="O73" i="8" s="1"/>
  <c r="U619" i="14"/>
  <c r="P160" i="14"/>
  <c r="T378" i="15"/>
  <c r="L25" i="15"/>
  <c r="O25" i="15" s="1"/>
  <c r="R73" i="15"/>
  <c r="U73" i="15" s="1"/>
  <c r="I232" i="15"/>
  <c r="I186" i="15" s="1"/>
  <c r="K186" i="15" s="1"/>
  <c r="L267" i="15"/>
  <c r="O267" i="15" s="1"/>
  <c r="O142" i="14"/>
  <c r="M304" i="7"/>
  <c r="P304" i="7" s="1"/>
  <c r="R140" i="8"/>
  <c r="U140" i="8" s="1"/>
  <c r="T120" i="10"/>
  <c r="Q494" i="14"/>
  <c r="T494" i="14" s="1"/>
  <c r="P158" i="14"/>
  <c r="U118" i="14"/>
  <c r="R760" i="15"/>
  <c r="U760" i="15" s="1"/>
  <c r="T120" i="15"/>
  <c r="T731" i="6"/>
  <c r="L304" i="14"/>
  <c r="O304" i="14" s="1"/>
  <c r="Q174" i="14"/>
  <c r="T174" i="14" s="1"/>
  <c r="T694" i="15"/>
  <c r="R494" i="15"/>
  <c r="U494" i="15" s="1"/>
  <c r="M118" i="11"/>
  <c r="P118" i="11" s="1"/>
  <c r="M321" i="11"/>
  <c r="P321" i="11" s="1"/>
  <c r="T304" i="12"/>
  <c r="L118" i="14"/>
  <c r="O118" i="14" s="1"/>
  <c r="N140" i="14"/>
  <c r="N41" i="14" s="1"/>
  <c r="U416" i="15"/>
  <c r="L60" i="15"/>
  <c r="O60" i="15" s="1"/>
  <c r="O285" i="15"/>
  <c r="L283" i="15"/>
  <c r="O283" i="15" s="1"/>
  <c r="L283" i="5"/>
  <c r="O283" i="5" s="1"/>
  <c r="U269" i="11"/>
  <c r="O190" i="11"/>
  <c r="O62" i="14"/>
  <c r="T189" i="15"/>
  <c r="O48" i="15"/>
  <c r="T176" i="15"/>
  <c r="Q174" i="15"/>
  <c r="T174" i="15" s="1"/>
  <c r="R158" i="15"/>
  <c r="U158" i="15" s="1"/>
  <c r="U160" i="15"/>
  <c r="R643" i="15"/>
  <c r="U643" i="15" s="1"/>
  <c r="U645" i="15"/>
  <c r="R267" i="15"/>
  <c r="U267" i="15" s="1"/>
  <c r="P158" i="13"/>
  <c r="P160" i="13"/>
  <c r="P62" i="14"/>
  <c r="U693" i="15"/>
  <c r="Q376" i="15"/>
  <c r="T376" i="15" s="1"/>
  <c r="L22" i="15"/>
  <c r="L21" i="15"/>
  <c r="L19" i="15" s="1"/>
  <c r="O359" i="12"/>
  <c r="U306" i="12"/>
  <c r="P60" i="14"/>
  <c r="T729" i="15"/>
  <c r="T763" i="15"/>
  <c r="T97" i="15"/>
  <c r="Q95" i="15"/>
  <c r="T95" i="15" s="1"/>
  <c r="T160" i="15"/>
  <c r="Q158" i="15"/>
  <c r="T158" i="15" s="1"/>
  <c r="N21" i="14"/>
  <c r="N19" i="14" s="1"/>
  <c r="Q691" i="15"/>
  <c r="T691" i="15" s="1"/>
  <c r="T693" i="15"/>
  <c r="M283" i="15"/>
  <c r="P283" i="15" s="1"/>
  <c r="O360" i="15"/>
  <c r="M174" i="15"/>
  <c r="P174" i="15" s="1"/>
  <c r="I71" i="15"/>
  <c r="K71" i="15" s="1"/>
  <c r="K83" i="15"/>
  <c r="P336" i="15"/>
  <c r="M334" i="15"/>
  <c r="P334" i="15" s="1"/>
  <c r="O189" i="15"/>
  <c r="L187" i="15"/>
  <c r="O187" i="15" s="1"/>
  <c r="O47" i="15"/>
  <c r="P337" i="15"/>
  <c r="O45" i="15"/>
  <c r="T24" i="15"/>
  <c r="Q21" i="15"/>
  <c r="M22" i="15"/>
  <c r="M21" i="15"/>
  <c r="P24" i="15"/>
  <c r="L174" i="14"/>
  <c r="O174" i="14" s="1"/>
  <c r="U620" i="15"/>
  <c r="O323" i="15"/>
  <c r="L321" i="15"/>
  <c r="O321" i="15" s="1"/>
  <c r="M60" i="15"/>
  <c r="P60" i="15" s="1"/>
  <c r="T20" i="15"/>
  <c r="S22" i="15"/>
  <c r="U22" i="15" s="1"/>
  <c r="S21" i="15"/>
  <c r="S19" i="15" s="1"/>
  <c r="U619" i="15"/>
  <c r="R617" i="15"/>
  <c r="U617" i="15" s="1"/>
  <c r="M118" i="15"/>
  <c r="P118" i="15" s="1"/>
  <c r="P189" i="15"/>
  <c r="M187" i="15"/>
  <c r="P187" i="15" s="1"/>
  <c r="P47" i="15"/>
  <c r="U763" i="12"/>
  <c r="P334" i="14"/>
  <c r="N22" i="14"/>
  <c r="U694" i="14"/>
  <c r="T645" i="15"/>
  <c r="Q643" i="15"/>
  <c r="T643" i="15" s="1"/>
  <c r="R304" i="15"/>
  <c r="U304" i="15" s="1"/>
  <c r="L233" i="15"/>
  <c r="Q187" i="15"/>
  <c r="T187" i="15" s="1"/>
  <c r="S118" i="15"/>
  <c r="U118" i="15" s="1"/>
  <c r="U120" i="15"/>
  <c r="P45" i="15"/>
  <c r="U187" i="15"/>
  <c r="U24" i="15"/>
  <c r="R21" i="15"/>
  <c r="Q267" i="13"/>
  <c r="T267" i="13" s="1"/>
  <c r="P336" i="14"/>
  <c r="T731" i="15"/>
  <c r="T75" i="15"/>
  <c r="Q73" i="15"/>
  <c r="T73" i="15" s="1"/>
  <c r="I72" i="15"/>
  <c r="K72" i="15" s="1"/>
  <c r="K84" i="15"/>
  <c r="P27" i="15"/>
  <c r="M25" i="15"/>
  <c r="P25" i="15" s="1"/>
  <c r="U189" i="15"/>
  <c r="N22" i="15"/>
  <c r="N21" i="15"/>
  <c r="T731" i="14"/>
  <c r="T729" i="14"/>
  <c r="R617" i="14"/>
  <c r="U617" i="14" s="1"/>
  <c r="M514" i="14"/>
  <c r="P514" i="14" s="1"/>
  <c r="U120" i="14"/>
  <c r="P307" i="13"/>
  <c r="Q617" i="14"/>
  <c r="T617" i="14" s="1"/>
  <c r="U691" i="14"/>
  <c r="K83" i="14"/>
  <c r="U731" i="14"/>
  <c r="P47" i="13"/>
  <c r="P189" i="14"/>
  <c r="O337" i="13"/>
  <c r="P267" i="14"/>
  <c r="T121" i="13"/>
  <c r="O47" i="14"/>
  <c r="P359" i="12"/>
  <c r="P174" i="12"/>
  <c r="T120" i="13"/>
  <c r="O336" i="14"/>
  <c r="U189" i="14"/>
  <c r="S187" i="14"/>
  <c r="M25" i="14"/>
  <c r="P25" i="14" s="1"/>
  <c r="P27" i="14"/>
  <c r="K424" i="12"/>
  <c r="I413" i="12"/>
  <c r="K413" i="12" s="1"/>
  <c r="T760" i="12"/>
  <c r="I232" i="12"/>
  <c r="K232" i="12" s="1"/>
  <c r="T306" i="12"/>
  <c r="M174" i="13"/>
  <c r="P174" i="13" s="1"/>
  <c r="P337" i="14"/>
  <c r="P47" i="14"/>
  <c r="M45" i="14"/>
  <c r="P45" i="14" s="1"/>
  <c r="T732" i="14"/>
  <c r="R73" i="14"/>
  <c r="U73" i="14" s="1"/>
  <c r="O306" i="13"/>
  <c r="L95" i="14"/>
  <c r="O95" i="14" s="1"/>
  <c r="O97" i="14"/>
  <c r="R494" i="14"/>
  <c r="U494" i="14" s="1"/>
  <c r="P269" i="7"/>
  <c r="T307" i="13"/>
  <c r="U121" i="13"/>
  <c r="L25" i="14"/>
  <c r="O25" i="14" s="1"/>
  <c r="L73" i="14"/>
  <c r="O73" i="14" s="1"/>
  <c r="O516" i="14"/>
  <c r="L514" i="14"/>
  <c r="O514" i="14" s="1"/>
  <c r="O45" i="14"/>
  <c r="K424" i="10"/>
  <c r="P177" i="11"/>
  <c r="L283" i="12"/>
  <c r="O283" i="12" s="1"/>
  <c r="P176" i="12"/>
  <c r="Q376" i="13"/>
  <c r="T376" i="13" s="1"/>
  <c r="O75" i="13"/>
  <c r="L334" i="14"/>
  <c r="O334" i="14" s="1"/>
  <c r="I413" i="14"/>
  <c r="K413" i="14" s="1"/>
  <c r="K424" i="14"/>
  <c r="P270" i="14"/>
  <c r="Q376" i="14"/>
  <c r="T376" i="14" s="1"/>
  <c r="P176" i="14"/>
  <c r="M174" i="14"/>
  <c r="P174" i="14" s="1"/>
  <c r="O359" i="14"/>
  <c r="L357" i="14"/>
  <c r="O357" i="14" s="1"/>
  <c r="K375" i="12"/>
  <c r="P359" i="13"/>
  <c r="L95" i="13"/>
  <c r="O95" i="13" s="1"/>
  <c r="Q691" i="14"/>
  <c r="T691" i="14" s="1"/>
  <c r="I232" i="14"/>
  <c r="U97" i="14"/>
  <c r="T97" i="14"/>
  <c r="L60" i="14"/>
  <c r="O60" i="14" s="1"/>
  <c r="P120" i="14"/>
  <c r="M118" i="14"/>
  <c r="P118" i="14" s="1"/>
  <c r="Q140" i="11"/>
  <c r="T140" i="11" s="1"/>
  <c r="U691" i="11"/>
  <c r="P357" i="13"/>
  <c r="T97" i="13"/>
  <c r="U646" i="13"/>
  <c r="U643" i="14"/>
  <c r="U416" i="14"/>
  <c r="R414" i="14"/>
  <c r="U414" i="14" s="1"/>
  <c r="O285" i="14"/>
  <c r="L283" i="14"/>
  <c r="O283" i="14" s="1"/>
  <c r="M321" i="14"/>
  <c r="P321" i="14" s="1"/>
  <c r="P323" i="14"/>
  <c r="L187" i="14"/>
  <c r="O187" i="14" s="1"/>
  <c r="O189" i="14"/>
  <c r="M95" i="14"/>
  <c r="P95" i="14" s="1"/>
  <c r="P48" i="14"/>
  <c r="I72" i="8"/>
  <c r="K72" i="8" s="1"/>
  <c r="U693" i="10"/>
  <c r="O158" i="11"/>
  <c r="Q414" i="12"/>
  <c r="T414" i="12" s="1"/>
  <c r="O359" i="13"/>
  <c r="P306" i="13"/>
  <c r="U307" i="13"/>
  <c r="P267" i="13"/>
  <c r="Q643" i="14"/>
  <c r="T643" i="14" s="1"/>
  <c r="M283" i="14"/>
  <c r="P283" i="14" s="1"/>
  <c r="M357" i="14"/>
  <c r="P357" i="14" s="1"/>
  <c r="P359" i="14"/>
  <c r="P269" i="14"/>
  <c r="P24" i="14"/>
  <c r="M22" i="14"/>
  <c r="M21" i="14"/>
  <c r="O24" i="14"/>
  <c r="L22" i="14"/>
  <c r="L21" i="14"/>
  <c r="K84" i="14"/>
  <c r="I72" i="14"/>
  <c r="K72" i="14" s="1"/>
  <c r="S95" i="14"/>
  <c r="L267" i="10"/>
  <c r="O267" i="10" s="1"/>
  <c r="K702" i="11"/>
  <c r="K375" i="11"/>
  <c r="P189" i="13"/>
  <c r="T763" i="12"/>
  <c r="L334" i="13"/>
  <c r="O334" i="13" s="1"/>
  <c r="N304" i="13"/>
  <c r="O304" i="13" s="1"/>
  <c r="L118" i="13"/>
  <c r="O118" i="13" s="1"/>
  <c r="U24" i="14"/>
  <c r="R21" i="14"/>
  <c r="R22" i="14"/>
  <c r="U617" i="10"/>
  <c r="U189" i="13"/>
  <c r="P75" i="13"/>
  <c r="U732" i="4"/>
  <c r="T190" i="11"/>
  <c r="P269" i="13"/>
  <c r="T379" i="12"/>
  <c r="U160" i="12"/>
  <c r="M140" i="13"/>
  <c r="P140" i="13" s="1"/>
  <c r="T619" i="7"/>
  <c r="U617" i="7"/>
  <c r="U693" i="11"/>
  <c r="K84" i="11"/>
  <c r="T645" i="12"/>
  <c r="U760" i="12"/>
  <c r="M25" i="13"/>
  <c r="P25" i="13" s="1"/>
  <c r="M140" i="10"/>
  <c r="P140" i="10" s="1"/>
  <c r="T189" i="12"/>
  <c r="L140" i="13"/>
  <c r="O140" i="13" s="1"/>
  <c r="P62" i="13"/>
  <c r="Q95" i="9"/>
  <c r="T95" i="9" s="1"/>
  <c r="P95" i="12"/>
  <c r="P142" i="12"/>
  <c r="M321" i="13"/>
  <c r="P321" i="13" s="1"/>
  <c r="T189" i="13"/>
  <c r="R304" i="13"/>
  <c r="U304" i="13" s="1"/>
  <c r="O48" i="13"/>
  <c r="O336" i="11"/>
  <c r="U645" i="12"/>
  <c r="O48" i="12"/>
  <c r="P62" i="12"/>
  <c r="T645" i="13"/>
  <c r="Q643" i="13"/>
  <c r="T643" i="13" s="1"/>
  <c r="T306" i="13"/>
  <c r="Q304" i="13"/>
  <c r="T304" i="13" s="1"/>
  <c r="T307" i="11"/>
  <c r="T619" i="12"/>
  <c r="O62" i="12"/>
  <c r="I72" i="13"/>
  <c r="K72" i="13" s="1"/>
  <c r="T620" i="13"/>
  <c r="M118" i="13"/>
  <c r="P118" i="13" s="1"/>
  <c r="M95" i="13"/>
  <c r="P95" i="13" s="1"/>
  <c r="M283" i="11"/>
  <c r="P283" i="11" s="1"/>
  <c r="K702" i="12"/>
  <c r="U617" i="12"/>
  <c r="T120" i="12"/>
  <c r="L233" i="12"/>
  <c r="L514" i="13"/>
  <c r="O514" i="13" s="1"/>
  <c r="U643" i="13"/>
  <c r="N73" i="13"/>
  <c r="O73" i="13" s="1"/>
  <c r="M187" i="13"/>
  <c r="P187" i="13" s="1"/>
  <c r="N21" i="13"/>
  <c r="N19" i="13" s="1"/>
  <c r="U645" i="13"/>
  <c r="U120" i="13"/>
  <c r="R118" i="13"/>
  <c r="U118" i="13" s="1"/>
  <c r="U620" i="13"/>
  <c r="L233" i="13"/>
  <c r="O244" i="13"/>
  <c r="T619" i="10"/>
  <c r="P336" i="11"/>
  <c r="L233" i="11"/>
  <c r="O75" i="11"/>
  <c r="U762" i="12"/>
  <c r="T762" i="12"/>
  <c r="P189" i="12"/>
  <c r="O95" i="12"/>
  <c r="T187" i="13"/>
  <c r="U121" i="8"/>
  <c r="K243" i="12"/>
  <c r="S19" i="12"/>
  <c r="K424" i="13"/>
  <c r="I413" i="13"/>
  <c r="K413" i="13" s="1"/>
  <c r="M60" i="13"/>
  <c r="P60" i="13" s="1"/>
  <c r="L357" i="13"/>
  <c r="O357" i="13" s="1"/>
  <c r="O20" i="13"/>
  <c r="U496" i="13"/>
  <c r="R494" i="13"/>
  <c r="U494" i="13" s="1"/>
  <c r="U619" i="13"/>
  <c r="R617" i="13"/>
  <c r="U617" i="13" s="1"/>
  <c r="R187" i="13"/>
  <c r="U187" i="13" s="1"/>
  <c r="O24" i="13"/>
  <c r="L21" i="13"/>
  <c r="O21" i="13" s="1"/>
  <c r="L22" i="13"/>
  <c r="L45" i="13"/>
  <c r="R376" i="13"/>
  <c r="U376" i="13" s="1"/>
  <c r="U378" i="13"/>
  <c r="T24" i="13"/>
  <c r="Q21" i="13"/>
  <c r="U176" i="13"/>
  <c r="R174" i="13"/>
  <c r="U174" i="13" s="1"/>
  <c r="U24" i="13"/>
  <c r="R21" i="13"/>
  <c r="R22" i="13"/>
  <c r="K83" i="13"/>
  <c r="I71" i="13"/>
  <c r="K71" i="13" s="1"/>
  <c r="S118" i="12"/>
  <c r="U118" i="12" s="1"/>
  <c r="T95" i="12"/>
  <c r="T187" i="12"/>
  <c r="Q73" i="12"/>
  <c r="T73" i="12" s="1"/>
  <c r="I72" i="12"/>
  <c r="K72" i="12" s="1"/>
  <c r="M334" i="13"/>
  <c r="P334" i="13" s="1"/>
  <c r="P336" i="13"/>
  <c r="R729" i="13"/>
  <c r="U729" i="13" s="1"/>
  <c r="U731" i="13"/>
  <c r="T731" i="13"/>
  <c r="Q729" i="13"/>
  <c r="T729" i="13" s="1"/>
  <c r="O62" i="13"/>
  <c r="L60" i="13"/>
  <c r="O60" i="13" s="1"/>
  <c r="O189" i="13"/>
  <c r="L187" i="13"/>
  <c r="O187" i="13" s="1"/>
  <c r="R158" i="13"/>
  <c r="U158" i="13" s="1"/>
  <c r="U160" i="13"/>
  <c r="N22" i="13"/>
  <c r="P24" i="13"/>
  <c r="M21" i="13"/>
  <c r="M22" i="13"/>
  <c r="R140" i="12"/>
  <c r="U140" i="12" s="1"/>
  <c r="U142" i="12"/>
  <c r="P76" i="13"/>
  <c r="O76" i="13"/>
  <c r="R494" i="12"/>
  <c r="U494" i="12" s="1"/>
  <c r="O336" i="12"/>
  <c r="T691" i="12"/>
  <c r="R760" i="13"/>
  <c r="U760" i="13" s="1"/>
  <c r="U762" i="13"/>
  <c r="T496" i="13"/>
  <c r="Q494" i="13"/>
  <c r="T494" i="13" s="1"/>
  <c r="R414" i="13"/>
  <c r="U414" i="13" s="1"/>
  <c r="U416" i="13"/>
  <c r="P45" i="13"/>
  <c r="L283" i="13"/>
  <c r="O283" i="13" s="1"/>
  <c r="T160" i="13"/>
  <c r="Q158" i="13"/>
  <c r="T158" i="13" s="1"/>
  <c r="U190" i="13"/>
  <c r="R158" i="8"/>
  <c r="U158" i="8" s="1"/>
  <c r="O97" i="12"/>
  <c r="P97" i="12"/>
  <c r="L321" i="13"/>
  <c r="O321" i="13" s="1"/>
  <c r="O323" i="13"/>
  <c r="P20" i="13"/>
  <c r="L174" i="13"/>
  <c r="O174" i="13" s="1"/>
  <c r="O176" i="13"/>
  <c r="K243" i="13"/>
  <c r="I232" i="13"/>
  <c r="O160" i="13"/>
  <c r="L158" i="13"/>
  <c r="O158" i="13" s="1"/>
  <c r="S21" i="13"/>
  <c r="S19" i="13" s="1"/>
  <c r="S22" i="13"/>
  <c r="Q22" i="13"/>
  <c r="Q73" i="13"/>
  <c r="T73" i="13" s="1"/>
  <c r="R494" i="11"/>
  <c r="U494" i="11" s="1"/>
  <c r="T378" i="12"/>
  <c r="P187" i="9"/>
  <c r="U643" i="12"/>
  <c r="R95" i="12"/>
  <c r="U95" i="12" s="1"/>
  <c r="T376" i="12"/>
  <c r="P360" i="12"/>
  <c r="O47" i="12"/>
  <c r="U619" i="12"/>
  <c r="S22" i="12"/>
  <c r="T643" i="12"/>
  <c r="P60" i="12"/>
  <c r="Q174" i="12"/>
  <c r="T174" i="12" s="1"/>
  <c r="L140" i="12"/>
  <c r="O142" i="12"/>
  <c r="R22" i="12"/>
  <c r="U24" i="12"/>
  <c r="R187" i="9"/>
  <c r="U187" i="9" s="1"/>
  <c r="Q617" i="11"/>
  <c r="T617" i="11" s="1"/>
  <c r="O160" i="11"/>
  <c r="T269" i="11"/>
  <c r="T267" i="12"/>
  <c r="L357" i="12"/>
  <c r="O357" i="12" s="1"/>
  <c r="N140" i="12"/>
  <c r="P140" i="12" s="1"/>
  <c r="L118" i="12"/>
  <c r="O118" i="12" s="1"/>
  <c r="O120" i="12"/>
  <c r="R95" i="11"/>
  <c r="U95" i="11" s="1"/>
  <c r="P269" i="11"/>
  <c r="P304" i="12"/>
  <c r="U75" i="12"/>
  <c r="R73" i="12"/>
  <c r="U73" i="12" s="1"/>
  <c r="Q414" i="11"/>
  <c r="T414" i="11" s="1"/>
  <c r="M187" i="12"/>
  <c r="P187" i="12" s="1"/>
  <c r="T269" i="12"/>
  <c r="R21" i="12"/>
  <c r="U21" i="12" s="1"/>
  <c r="U378" i="12"/>
  <c r="R376" i="12"/>
  <c r="U376" i="12" s="1"/>
  <c r="U693" i="12"/>
  <c r="T693" i="12"/>
  <c r="T160" i="12"/>
  <c r="Q158" i="12"/>
  <c r="T158" i="12" s="1"/>
  <c r="P176" i="10"/>
  <c r="Q174" i="11"/>
  <c r="T174" i="11" s="1"/>
  <c r="U691" i="12"/>
  <c r="O304" i="12"/>
  <c r="L267" i="12"/>
  <c r="O267" i="12" s="1"/>
  <c r="S22" i="9"/>
  <c r="T118" i="10"/>
  <c r="U694" i="12"/>
  <c r="T694" i="12"/>
  <c r="O516" i="12"/>
  <c r="L514" i="12"/>
  <c r="O514" i="12" s="1"/>
  <c r="P357" i="12"/>
  <c r="N21" i="12"/>
  <c r="N19" i="12" s="1"/>
  <c r="N22" i="12"/>
  <c r="P22" i="12" s="1"/>
  <c r="L22" i="12"/>
  <c r="L21" i="12"/>
  <c r="O24" i="12"/>
  <c r="I413" i="8"/>
  <c r="K413" i="8" s="1"/>
  <c r="N21" i="10"/>
  <c r="N19" i="10" s="1"/>
  <c r="T731" i="11"/>
  <c r="T691" i="11"/>
  <c r="U646" i="12"/>
  <c r="T646" i="12"/>
  <c r="U731" i="12"/>
  <c r="R729" i="12"/>
  <c r="U729" i="12" s="1"/>
  <c r="R414" i="12"/>
  <c r="U414" i="12" s="1"/>
  <c r="P285" i="12"/>
  <c r="M283" i="12"/>
  <c r="P283" i="12" s="1"/>
  <c r="U269" i="12"/>
  <c r="R267" i="12"/>
  <c r="U267" i="12" s="1"/>
  <c r="R187" i="12"/>
  <c r="U187" i="12" s="1"/>
  <c r="U189" i="12"/>
  <c r="Q21" i="12"/>
  <c r="T21" i="12" s="1"/>
  <c r="T24" i="12"/>
  <c r="Q22" i="12"/>
  <c r="T22" i="12" s="1"/>
  <c r="M45" i="12"/>
  <c r="P47" i="12"/>
  <c r="T20" i="12"/>
  <c r="L174" i="12"/>
  <c r="O176" i="12"/>
  <c r="M118" i="12"/>
  <c r="P118" i="12" s="1"/>
  <c r="O323" i="12"/>
  <c r="L321" i="12"/>
  <c r="O321" i="12" s="1"/>
  <c r="L25" i="12"/>
  <c r="O25" i="12" s="1"/>
  <c r="O27" i="12"/>
  <c r="P24" i="12"/>
  <c r="M21" i="12"/>
  <c r="Q617" i="12"/>
  <c r="T617" i="12" s="1"/>
  <c r="O189" i="12"/>
  <c r="L187" i="12"/>
  <c r="O187" i="12" s="1"/>
  <c r="S118" i="6"/>
  <c r="T118" i="6" s="1"/>
  <c r="T762" i="10"/>
  <c r="P22" i="10"/>
  <c r="U732" i="12"/>
  <c r="M514" i="12"/>
  <c r="P514" i="12" s="1"/>
  <c r="M321" i="12"/>
  <c r="P321" i="12" s="1"/>
  <c r="P48" i="12"/>
  <c r="T760" i="10"/>
  <c r="R376" i="11"/>
  <c r="U376" i="11" s="1"/>
  <c r="T306" i="11"/>
  <c r="K333" i="11"/>
  <c r="P306" i="12"/>
  <c r="P269" i="12"/>
  <c r="M267" i="12"/>
  <c r="P267" i="12" s="1"/>
  <c r="R174" i="12"/>
  <c r="U174" i="12" s="1"/>
  <c r="U176" i="12"/>
  <c r="O306" i="12"/>
  <c r="O334" i="12"/>
  <c r="O60" i="12"/>
  <c r="P176" i="5"/>
  <c r="T731" i="12"/>
  <c r="P336" i="12"/>
  <c r="M334" i="12"/>
  <c r="P334" i="12" s="1"/>
  <c r="M73" i="12"/>
  <c r="P73" i="12" s="1"/>
  <c r="P75" i="12"/>
  <c r="O337" i="12"/>
  <c r="P337" i="12"/>
  <c r="M25" i="12"/>
  <c r="P25" i="12" s="1"/>
  <c r="U646" i="9"/>
  <c r="L118" i="9"/>
  <c r="O118" i="9" s="1"/>
  <c r="P24" i="9"/>
  <c r="O359" i="10"/>
  <c r="T98" i="11"/>
  <c r="Q494" i="10"/>
  <c r="T494" i="10" s="1"/>
  <c r="I232" i="8"/>
  <c r="K232" i="8" s="1"/>
  <c r="T306" i="10"/>
  <c r="M514" i="11"/>
  <c r="P514" i="11" s="1"/>
  <c r="T732" i="11"/>
  <c r="S22" i="11"/>
  <c r="U190" i="11"/>
  <c r="L140" i="11"/>
  <c r="O140" i="11" s="1"/>
  <c r="Q414" i="9"/>
  <c r="T414" i="9" s="1"/>
  <c r="U307" i="10"/>
  <c r="P62" i="10"/>
  <c r="L25" i="10"/>
  <c r="O25" i="10" s="1"/>
  <c r="M267" i="11"/>
  <c r="P267" i="11" s="1"/>
  <c r="M25" i="11"/>
  <c r="P25" i="11" s="1"/>
  <c r="O334" i="11"/>
  <c r="T694" i="11"/>
  <c r="K702" i="8"/>
  <c r="P359" i="9"/>
  <c r="P62" i="9"/>
  <c r="I232" i="10"/>
  <c r="I186" i="10" s="1"/>
  <c r="K186" i="10" s="1"/>
  <c r="L514" i="11"/>
  <c r="O514" i="11" s="1"/>
  <c r="T267" i="11"/>
  <c r="M140" i="11"/>
  <c r="P140" i="11" s="1"/>
  <c r="P75" i="11"/>
  <c r="M73" i="11"/>
  <c r="P73" i="11" s="1"/>
  <c r="T304" i="8"/>
  <c r="T693" i="8"/>
  <c r="L95" i="9"/>
  <c r="O95" i="9" s="1"/>
  <c r="O22" i="9"/>
  <c r="O187" i="9"/>
  <c r="P189" i="10"/>
  <c r="T142" i="9"/>
  <c r="Q140" i="9"/>
  <c r="T140" i="9" s="1"/>
  <c r="M158" i="11"/>
  <c r="P158" i="11" s="1"/>
  <c r="P160" i="11"/>
  <c r="T731" i="8"/>
  <c r="U306" i="8"/>
  <c r="M95" i="9"/>
  <c r="P95" i="9" s="1"/>
  <c r="U763" i="10"/>
  <c r="U98" i="11"/>
  <c r="O189" i="11"/>
  <c r="U619" i="11"/>
  <c r="R617" i="11"/>
  <c r="U617" i="11" s="1"/>
  <c r="P189" i="11"/>
  <c r="Q158" i="11"/>
  <c r="T158" i="11" s="1"/>
  <c r="U304" i="8"/>
  <c r="O359" i="9"/>
  <c r="M140" i="9"/>
  <c r="P140" i="9" s="1"/>
  <c r="L233" i="10"/>
  <c r="L283" i="10"/>
  <c r="O283" i="10" s="1"/>
  <c r="P47" i="10"/>
  <c r="U75" i="10"/>
  <c r="L283" i="11"/>
  <c r="O283" i="11" s="1"/>
  <c r="M187" i="11"/>
  <c r="P187" i="11" s="1"/>
  <c r="O176" i="11"/>
  <c r="L174" i="11"/>
  <c r="O174" i="11" s="1"/>
  <c r="U306" i="11"/>
  <c r="S304" i="11"/>
  <c r="U304" i="11" s="1"/>
  <c r="Q158" i="9"/>
  <c r="T158" i="9" s="1"/>
  <c r="L73" i="9"/>
  <c r="O73" i="9" s="1"/>
  <c r="O177" i="10"/>
  <c r="R22" i="10"/>
  <c r="K243" i="10"/>
  <c r="N174" i="10"/>
  <c r="P174" i="10" s="1"/>
  <c r="Q304" i="11"/>
  <c r="M118" i="10"/>
  <c r="P118" i="10" s="1"/>
  <c r="O269" i="11"/>
  <c r="L267" i="11"/>
  <c r="O267" i="11" s="1"/>
  <c r="Q21" i="11"/>
  <c r="Q22" i="11"/>
  <c r="T24" i="11"/>
  <c r="P306" i="11"/>
  <c r="M304" i="11"/>
  <c r="P304" i="11" s="1"/>
  <c r="L304" i="11"/>
  <c r="O304" i="11" s="1"/>
  <c r="M22" i="9"/>
  <c r="P22" i="9" s="1"/>
  <c r="Q73" i="10"/>
  <c r="T73" i="10" s="1"/>
  <c r="M95" i="11"/>
  <c r="P95" i="11" s="1"/>
  <c r="P190" i="11"/>
  <c r="O359" i="11"/>
  <c r="L357" i="11"/>
  <c r="O357" i="11" s="1"/>
  <c r="R174" i="11"/>
  <c r="U174" i="11" s="1"/>
  <c r="U176" i="11"/>
  <c r="M158" i="7"/>
  <c r="P158" i="7" s="1"/>
  <c r="O306" i="8"/>
  <c r="Q174" i="9"/>
  <c r="T174" i="9" s="1"/>
  <c r="O174" i="9"/>
  <c r="L95" i="11"/>
  <c r="O95" i="11" s="1"/>
  <c r="L321" i="11"/>
  <c r="O321" i="11" s="1"/>
  <c r="O120" i="11"/>
  <c r="L118" i="11"/>
  <c r="O118" i="11" s="1"/>
  <c r="U267" i="11"/>
  <c r="T120" i="11"/>
  <c r="P47" i="11"/>
  <c r="M45" i="11"/>
  <c r="T121" i="11"/>
  <c r="T732" i="7"/>
  <c r="L140" i="7"/>
  <c r="O140" i="7" s="1"/>
  <c r="P97" i="10"/>
  <c r="I71" i="10"/>
  <c r="K71" i="10" s="1"/>
  <c r="Q376" i="10"/>
  <c r="T376" i="10" s="1"/>
  <c r="T620" i="11"/>
  <c r="U620" i="11"/>
  <c r="M357" i="11"/>
  <c r="P357" i="11" s="1"/>
  <c r="P359" i="11"/>
  <c r="M334" i="11"/>
  <c r="P334" i="11" s="1"/>
  <c r="U189" i="11"/>
  <c r="S187" i="11"/>
  <c r="M174" i="11"/>
  <c r="P174" i="11" s="1"/>
  <c r="P176" i="11"/>
  <c r="O47" i="11"/>
  <c r="L45" i="11"/>
  <c r="P22" i="11"/>
  <c r="U731" i="11"/>
  <c r="R729" i="11"/>
  <c r="U729" i="11" s="1"/>
  <c r="T378" i="11"/>
  <c r="Q376" i="11"/>
  <c r="T376" i="11" s="1"/>
  <c r="K83" i="11"/>
  <c r="I71" i="11"/>
  <c r="K71" i="11" s="1"/>
  <c r="M60" i="11"/>
  <c r="P60" i="11" s="1"/>
  <c r="P62" i="11"/>
  <c r="N41" i="11"/>
  <c r="T121" i="8"/>
  <c r="Q760" i="9"/>
  <c r="T760" i="9" s="1"/>
  <c r="S304" i="10"/>
  <c r="U304" i="10" s="1"/>
  <c r="R760" i="11"/>
  <c r="U760" i="11" s="1"/>
  <c r="U762" i="11"/>
  <c r="R21" i="11"/>
  <c r="U21" i="11" s="1"/>
  <c r="U24" i="11"/>
  <c r="R22" i="11"/>
  <c r="L25" i="11"/>
  <c r="O25" i="11" s="1"/>
  <c r="O27" i="11"/>
  <c r="L21" i="11"/>
  <c r="U20" i="11"/>
  <c r="O189" i="9"/>
  <c r="P357" i="9"/>
  <c r="R118" i="11"/>
  <c r="U118" i="11" s="1"/>
  <c r="U120" i="11"/>
  <c r="L60" i="11"/>
  <c r="O60" i="11" s="1"/>
  <c r="O62" i="11"/>
  <c r="Q158" i="8"/>
  <c r="T158" i="8" s="1"/>
  <c r="Q729" i="11"/>
  <c r="T729" i="11" s="1"/>
  <c r="T270" i="11"/>
  <c r="U270" i="11"/>
  <c r="N21" i="11"/>
  <c r="N19" i="11" s="1"/>
  <c r="O24" i="11"/>
  <c r="P24" i="11"/>
  <c r="M21" i="11"/>
  <c r="T118" i="11"/>
  <c r="P47" i="7"/>
  <c r="U620" i="7"/>
  <c r="T619" i="8"/>
  <c r="R73" i="8"/>
  <c r="U73" i="8" s="1"/>
  <c r="O176" i="8"/>
  <c r="Q376" i="9"/>
  <c r="T376" i="9" s="1"/>
  <c r="M514" i="10"/>
  <c r="P514" i="10" s="1"/>
  <c r="U306" i="10"/>
  <c r="U97" i="10"/>
  <c r="T269" i="10"/>
  <c r="P160" i="10"/>
  <c r="M158" i="10"/>
  <c r="P158" i="10" s="1"/>
  <c r="U120" i="6"/>
  <c r="U619" i="7"/>
  <c r="T376" i="7"/>
  <c r="P47" i="8"/>
  <c r="M514" i="9"/>
  <c r="P514" i="9" s="1"/>
  <c r="R174" i="9"/>
  <c r="U174" i="9" s="1"/>
  <c r="P174" i="9"/>
  <c r="L140" i="10"/>
  <c r="O140" i="10" s="1"/>
  <c r="T190" i="10"/>
  <c r="N45" i="10"/>
  <c r="P45" i="10" s="1"/>
  <c r="M283" i="10"/>
  <c r="P283" i="10" s="1"/>
  <c r="P62" i="6"/>
  <c r="U617" i="8"/>
  <c r="T617" i="9"/>
  <c r="U267" i="10"/>
  <c r="T267" i="10"/>
  <c r="U269" i="10"/>
  <c r="T646" i="9"/>
  <c r="M304" i="10"/>
  <c r="P304" i="10" s="1"/>
  <c r="S22" i="10"/>
  <c r="Q140" i="10"/>
  <c r="T140" i="10" s="1"/>
  <c r="T142" i="10"/>
  <c r="R494" i="10"/>
  <c r="U494" i="10" s="1"/>
  <c r="M514" i="4"/>
  <c r="P514" i="4" s="1"/>
  <c r="T643" i="8"/>
  <c r="T270" i="8"/>
  <c r="I71" i="5"/>
  <c r="K71" i="5" s="1"/>
  <c r="Q174" i="7"/>
  <c r="T174" i="7" s="1"/>
  <c r="U645" i="8"/>
  <c r="M95" i="8"/>
  <c r="P95" i="8" s="1"/>
  <c r="U645" i="10"/>
  <c r="U21" i="10"/>
  <c r="S19" i="10"/>
  <c r="K702" i="10"/>
  <c r="R760" i="7"/>
  <c r="U760" i="7" s="1"/>
  <c r="U643" i="8"/>
  <c r="U731" i="10"/>
  <c r="R729" i="10"/>
  <c r="U729" i="10" s="1"/>
  <c r="O160" i="10"/>
  <c r="L158" i="10"/>
  <c r="O158" i="10" s="1"/>
  <c r="O120" i="10"/>
  <c r="L118" i="10"/>
  <c r="O118" i="10" s="1"/>
  <c r="T645" i="8"/>
  <c r="U270" i="8"/>
  <c r="T617" i="10"/>
  <c r="L357" i="10"/>
  <c r="O357" i="10" s="1"/>
  <c r="O97" i="10"/>
  <c r="L95" i="10"/>
  <c r="O95" i="10" s="1"/>
  <c r="T378" i="7"/>
  <c r="K84" i="7"/>
  <c r="P24" i="8"/>
  <c r="O176" i="9"/>
  <c r="P336" i="10"/>
  <c r="M73" i="10"/>
  <c r="P73" i="10" s="1"/>
  <c r="P269" i="10"/>
  <c r="M267" i="10"/>
  <c r="P267" i="10" s="1"/>
  <c r="U120" i="10"/>
  <c r="R118" i="10"/>
  <c r="U118" i="10" s="1"/>
  <c r="R691" i="7"/>
  <c r="U691" i="7" s="1"/>
  <c r="Q729" i="10"/>
  <c r="T729" i="10" s="1"/>
  <c r="T731" i="10"/>
  <c r="L514" i="10"/>
  <c r="O514" i="10" s="1"/>
  <c r="O516" i="10"/>
  <c r="T187" i="10"/>
  <c r="P323" i="10"/>
  <c r="M321" i="10"/>
  <c r="P321" i="10" s="1"/>
  <c r="O24" i="10"/>
  <c r="L21" i="10"/>
  <c r="L73" i="10"/>
  <c r="O73" i="10" s="1"/>
  <c r="O75" i="10"/>
  <c r="Q21" i="10"/>
  <c r="T24" i="10"/>
  <c r="Q22" i="10"/>
  <c r="U176" i="10"/>
  <c r="R174" i="10"/>
  <c r="U174" i="10" s="1"/>
  <c r="U24" i="7"/>
  <c r="M321" i="9"/>
  <c r="P321" i="9" s="1"/>
  <c r="O47" i="9"/>
  <c r="T120" i="9"/>
  <c r="S691" i="10"/>
  <c r="T691" i="10" s="1"/>
  <c r="T693" i="10"/>
  <c r="U643" i="10"/>
  <c r="P359" i="10"/>
  <c r="M357" i="10"/>
  <c r="P357" i="10" s="1"/>
  <c r="O334" i="10"/>
  <c r="O336" i="10"/>
  <c r="N187" i="10"/>
  <c r="O187" i="10" s="1"/>
  <c r="O189" i="10"/>
  <c r="L22" i="10"/>
  <c r="O22" i="10" s="1"/>
  <c r="M60" i="10"/>
  <c r="P60" i="10" s="1"/>
  <c r="U24" i="10"/>
  <c r="Q643" i="10"/>
  <c r="T643" i="10" s="1"/>
  <c r="T645" i="10"/>
  <c r="O176" i="10"/>
  <c r="L174" i="10"/>
  <c r="P334" i="10"/>
  <c r="L60" i="10"/>
  <c r="O60" i="10" s="1"/>
  <c r="O62" i="10"/>
  <c r="P24" i="10"/>
  <c r="M21" i="10"/>
  <c r="O20" i="10"/>
  <c r="K84" i="10"/>
  <c r="I72" i="10"/>
  <c r="K72" i="10" s="1"/>
  <c r="O47" i="8"/>
  <c r="R414" i="10"/>
  <c r="U414" i="10" s="1"/>
  <c r="U416" i="10"/>
  <c r="Q414" i="10"/>
  <c r="T414" i="10" s="1"/>
  <c r="U160" i="10"/>
  <c r="R158" i="10"/>
  <c r="U158" i="10" s="1"/>
  <c r="O323" i="10"/>
  <c r="L321" i="10"/>
  <c r="O321" i="10" s="1"/>
  <c r="R95" i="10"/>
  <c r="Q174" i="10"/>
  <c r="T174" i="10" s="1"/>
  <c r="T176" i="10"/>
  <c r="O47" i="10"/>
  <c r="L45" i="10"/>
  <c r="S95" i="10"/>
  <c r="T95" i="10" s="1"/>
  <c r="T97" i="10"/>
  <c r="R760" i="10"/>
  <c r="U760" i="10" s="1"/>
  <c r="U762" i="10"/>
  <c r="U187" i="10"/>
  <c r="U20" i="10"/>
  <c r="R19" i="10"/>
  <c r="Q158" i="10"/>
  <c r="T158" i="10" s="1"/>
  <c r="T160" i="10"/>
  <c r="L304" i="10"/>
  <c r="O304" i="10" s="1"/>
  <c r="U189" i="10"/>
  <c r="T189" i="10"/>
  <c r="M25" i="10"/>
  <c r="P25" i="10" s="1"/>
  <c r="O334" i="7"/>
  <c r="R95" i="8"/>
  <c r="U95" i="8" s="1"/>
  <c r="U691" i="8"/>
  <c r="L267" i="9"/>
  <c r="O267" i="9" s="1"/>
  <c r="P176" i="9"/>
  <c r="P160" i="9"/>
  <c r="M158" i="9"/>
  <c r="P158" i="9" s="1"/>
  <c r="L304" i="7"/>
  <c r="O304" i="7" s="1"/>
  <c r="L283" i="8"/>
  <c r="O283" i="8" s="1"/>
  <c r="T763" i="8"/>
  <c r="Q729" i="9"/>
  <c r="T729" i="9" s="1"/>
  <c r="T187" i="7"/>
  <c r="U118" i="9"/>
  <c r="N617" i="1"/>
  <c r="T270" i="3"/>
  <c r="O142" i="5"/>
  <c r="P176" i="6"/>
  <c r="L118" i="7"/>
  <c r="O118" i="7" s="1"/>
  <c r="S22" i="8"/>
  <c r="U22" i="8" s="1"/>
  <c r="O190" i="9"/>
  <c r="T731" i="7"/>
  <c r="R95" i="7"/>
  <c r="U95" i="7" s="1"/>
  <c r="I232" i="7"/>
  <c r="K232" i="7" s="1"/>
  <c r="T496" i="8"/>
  <c r="L140" i="8"/>
  <c r="O140" i="8" s="1"/>
  <c r="S19" i="8"/>
  <c r="N174" i="8"/>
  <c r="P174" i="8" s="1"/>
  <c r="T142" i="8"/>
  <c r="R304" i="9"/>
  <c r="U304" i="9" s="1"/>
  <c r="L283" i="9"/>
  <c r="O283" i="9" s="1"/>
  <c r="O27" i="9"/>
  <c r="L25" i="9"/>
  <c r="O25" i="9" s="1"/>
  <c r="M73" i="9"/>
  <c r="P73" i="9" s="1"/>
  <c r="Q617" i="7"/>
  <c r="T617" i="7" s="1"/>
  <c r="Q760" i="7"/>
  <c r="T760" i="7" s="1"/>
  <c r="U120" i="9"/>
  <c r="O176" i="6"/>
  <c r="I413" i="7"/>
  <c r="K413" i="7" s="1"/>
  <c r="Q158" i="7"/>
  <c r="T158" i="7" s="1"/>
  <c r="U693" i="8"/>
  <c r="Q691" i="8"/>
  <c r="T691" i="8" s="1"/>
  <c r="K333" i="8"/>
  <c r="L514" i="9"/>
  <c r="O514" i="9" s="1"/>
  <c r="T619" i="9"/>
  <c r="K333" i="9"/>
  <c r="T118" i="9"/>
  <c r="R158" i="9"/>
  <c r="U158" i="9" s="1"/>
  <c r="O62" i="5"/>
  <c r="R494" i="7"/>
  <c r="U494" i="7" s="1"/>
  <c r="O304" i="8"/>
  <c r="P359" i="8"/>
  <c r="U269" i="9"/>
  <c r="P120" i="9"/>
  <c r="M118" i="9"/>
  <c r="P118" i="9" s="1"/>
  <c r="P189" i="9"/>
  <c r="I413" i="9"/>
  <c r="K413" i="9" s="1"/>
  <c r="K424" i="9"/>
  <c r="Q494" i="9"/>
  <c r="T494" i="9" s="1"/>
  <c r="T496" i="9"/>
  <c r="I232" i="9"/>
  <c r="K254" i="9"/>
  <c r="P47" i="9"/>
  <c r="M45" i="9"/>
  <c r="O357" i="8"/>
  <c r="P357" i="8"/>
  <c r="U645" i="9"/>
  <c r="U496" i="9"/>
  <c r="R494" i="9"/>
  <c r="U494" i="9" s="1"/>
  <c r="P336" i="9"/>
  <c r="M334" i="9"/>
  <c r="P334" i="9" s="1"/>
  <c r="M304" i="9"/>
  <c r="P304" i="9" s="1"/>
  <c r="L21" i="9"/>
  <c r="L19" i="9" s="1"/>
  <c r="O24" i="9"/>
  <c r="U24" i="9"/>
  <c r="R21" i="9"/>
  <c r="L140" i="9"/>
  <c r="O140" i="9" s="1"/>
  <c r="O142" i="9"/>
  <c r="T75" i="9"/>
  <c r="Q73" i="9"/>
  <c r="T73" i="9" s="1"/>
  <c r="O48" i="7"/>
  <c r="O187" i="8"/>
  <c r="O62" i="8"/>
  <c r="O189" i="8"/>
  <c r="U619" i="9"/>
  <c r="R617" i="9"/>
  <c r="U617" i="9" s="1"/>
  <c r="U378" i="9"/>
  <c r="R376" i="9"/>
  <c r="U376" i="9" s="1"/>
  <c r="L357" i="9"/>
  <c r="O357" i="9" s="1"/>
  <c r="O20" i="9"/>
  <c r="N267" i="9"/>
  <c r="N41" i="9" s="1"/>
  <c r="P269" i="9"/>
  <c r="O45" i="9"/>
  <c r="U270" i="9"/>
  <c r="U619" i="8"/>
  <c r="Q691" i="9"/>
  <c r="T691" i="9" s="1"/>
  <c r="T693" i="9"/>
  <c r="P285" i="9"/>
  <c r="M283" i="9"/>
  <c r="P283" i="9" s="1"/>
  <c r="P360" i="9"/>
  <c r="O360" i="9"/>
  <c r="O62" i="9"/>
  <c r="L60" i="9"/>
  <c r="O60" i="9" s="1"/>
  <c r="O323" i="9"/>
  <c r="L321" i="9"/>
  <c r="O321" i="9" s="1"/>
  <c r="N21" i="9"/>
  <c r="N19" i="9" s="1"/>
  <c r="N25" i="9"/>
  <c r="L233" i="9"/>
  <c r="Q643" i="9"/>
  <c r="T643" i="9" s="1"/>
  <c r="T645" i="9"/>
  <c r="U416" i="9"/>
  <c r="R414" i="9"/>
  <c r="U414" i="9" s="1"/>
  <c r="O336" i="9"/>
  <c r="L334" i="9"/>
  <c r="O334" i="9" s="1"/>
  <c r="T269" i="9"/>
  <c r="Q267" i="9"/>
  <c r="T267" i="9" s="1"/>
  <c r="M60" i="9"/>
  <c r="P60" i="9" s="1"/>
  <c r="R22" i="9"/>
  <c r="T24" i="9"/>
  <c r="Q22" i="9"/>
  <c r="Q21" i="9"/>
  <c r="M25" i="9"/>
  <c r="P25" i="9" s="1"/>
  <c r="M21" i="9"/>
  <c r="P306" i="8"/>
  <c r="R760" i="9"/>
  <c r="U760" i="9" s="1"/>
  <c r="L304" i="9"/>
  <c r="O304" i="9" s="1"/>
  <c r="R267" i="9"/>
  <c r="U267" i="9" s="1"/>
  <c r="P160" i="8"/>
  <c r="M158" i="8"/>
  <c r="P158" i="8" s="1"/>
  <c r="K84" i="9"/>
  <c r="I72" i="9"/>
  <c r="K72" i="9" s="1"/>
  <c r="T118" i="7"/>
  <c r="O187" i="7"/>
  <c r="U763" i="8"/>
  <c r="Q267" i="8"/>
  <c r="T267" i="8" s="1"/>
  <c r="M118" i="8"/>
  <c r="P118" i="8" s="1"/>
  <c r="M140" i="8"/>
  <c r="P140" i="8" s="1"/>
  <c r="O45" i="8"/>
  <c r="K375" i="7"/>
  <c r="L25" i="8"/>
  <c r="O25" i="8" s="1"/>
  <c r="Q414" i="8"/>
  <c r="T414" i="8" s="1"/>
  <c r="U496" i="8"/>
  <c r="M304" i="8"/>
  <c r="P304" i="8" s="1"/>
  <c r="R376" i="7"/>
  <c r="U376" i="7" s="1"/>
  <c r="Q691" i="7"/>
  <c r="T691" i="7" s="1"/>
  <c r="M321" i="8"/>
  <c r="P321" i="8" s="1"/>
  <c r="L60" i="8"/>
  <c r="O60" i="8" s="1"/>
  <c r="N21" i="8"/>
  <c r="N19" i="8" s="1"/>
  <c r="S304" i="5"/>
  <c r="U304" i="5" s="1"/>
  <c r="U645" i="7"/>
  <c r="P334" i="7"/>
  <c r="L283" i="7"/>
  <c r="O283" i="7" s="1"/>
  <c r="Q140" i="7"/>
  <c r="T140" i="7" s="1"/>
  <c r="P336" i="7"/>
  <c r="P22" i="8"/>
  <c r="P285" i="8"/>
  <c r="M283" i="8"/>
  <c r="P283" i="8" s="1"/>
  <c r="K702" i="7"/>
  <c r="O160" i="8"/>
  <c r="L158" i="8"/>
  <c r="O158" i="8" s="1"/>
  <c r="R21" i="8"/>
  <c r="U21" i="8" s="1"/>
  <c r="U24" i="8"/>
  <c r="U762" i="5"/>
  <c r="O160" i="7"/>
  <c r="U187" i="7"/>
  <c r="O359" i="8"/>
  <c r="O269" i="8"/>
  <c r="L267" i="8"/>
  <c r="O267" i="8" s="1"/>
  <c r="M21" i="8"/>
  <c r="P269" i="8"/>
  <c r="M267" i="8"/>
  <c r="P267" i="8" s="1"/>
  <c r="T75" i="8"/>
  <c r="Q73" i="8"/>
  <c r="T73" i="8" s="1"/>
  <c r="M73" i="8"/>
  <c r="P73" i="8" s="1"/>
  <c r="U306" i="5"/>
  <c r="T189" i="7"/>
  <c r="Q174" i="8"/>
  <c r="T174" i="8" s="1"/>
  <c r="O22" i="8"/>
  <c r="O47" i="7"/>
  <c r="O120" i="8"/>
  <c r="L118" i="8"/>
  <c r="O118" i="8" s="1"/>
  <c r="O97" i="8"/>
  <c r="L95" i="8"/>
  <c r="O95" i="8" s="1"/>
  <c r="P24" i="7"/>
  <c r="U731" i="8"/>
  <c r="R729" i="8"/>
  <c r="U729" i="8" s="1"/>
  <c r="M514" i="8"/>
  <c r="P514" i="8" s="1"/>
  <c r="Q617" i="8"/>
  <c r="T617" i="8" s="1"/>
  <c r="M187" i="8"/>
  <c r="P187" i="8" s="1"/>
  <c r="P189" i="8"/>
  <c r="T24" i="8"/>
  <c r="Q21" i="8"/>
  <c r="Q22" i="8"/>
  <c r="L21" i="8"/>
  <c r="L19" i="8" s="1"/>
  <c r="O24" i="8"/>
  <c r="T120" i="7"/>
  <c r="N21" i="7"/>
  <c r="N19" i="7" s="1"/>
  <c r="O60" i="7"/>
  <c r="O336" i="8"/>
  <c r="L334" i="8"/>
  <c r="O334" i="8" s="1"/>
  <c r="P336" i="8"/>
  <c r="M334" i="8"/>
  <c r="P334" i="8" s="1"/>
  <c r="R19" i="8"/>
  <c r="U20" i="8"/>
  <c r="U497" i="1"/>
  <c r="L95" i="6"/>
  <c r="O95" i="6" s="1"/>
  <c r="L283" i="6"/>
  <c r="O283" i="6" s="1"/>
  <c r="S187" i="8"/>
  <c r="T187" i="8" s="1"/>
  <c r="T189" i="8"/>
  <c r="M60" i="8"/>
  <c r="P60" i="8" s="1"/>
  <c r="L321" i="8"/>
  <c r="O321" i="8" s="1"/>
  <c r="O323" i="8"/>
  <c r="T496" i="3"/>
  <c r="T620" i="7"/>
  <c r="O336" i="7"/>
  <c r="R414" i="7"/>
  <c r="U414" i="7" s="1"/>
  <c r="O516" i="8"/>
  <c r="L514" i="8"/>
  <c r="O514" i="8" s="1"/>
  <c r="R376" i="8"/>
  <c r="U376" i="8" s="1"/>
  <c r="U378" i="8"/>
  <c r="L233" i="8"/>
  <c r="M45" i="8"/>
  <c r="U189" i="8"/>
  <c r="K83" i="8"/>
  <c r="I71" i="8"/>
  <c r="K71" i="8" s="1"/>
  <c r="M25" i="8"/>
  <c r="P25" i="8" s="1"/>
  <c r="O20" i="8"/>
  <c r="T378" i="8"/>
  <c r="Q376" i="8"/>
  <c r="T376" i="8" s="1"/>
  <c r="P20" i="8"/>
  <c r="U269" i="7"/>
  <c r="P189" i="7"/>
  <c r="U732" i="7"/>
  <c r="O62" i="7"/>
  <c r="O189" i="7"/>
  <c r="S118" i="3"/>
  <c r="U118" i="3" s="1"/>
  <c r="T267" i="4"/>
  <c r="O307" i="6"/>
  <c r="N25" i="7"/>
  <c r="P142" i="7"/>
  <c r="M140" i="7"/>
  <c r="P140" i="7" s="1"/>
  <c r="U98" i="6"/>
  <c r="Q414" i="7"/>
  <c r="T414" i="7" s="1"/>
  <c r="T306" i="7"/>
  <c r="Q304" i="7"/>
  <c r="T304" i="7" s="1"/>
  <c r="P75" i="7"/>
  <c r="M73" i="7"/>
  <c r="P73" i="7" s="1"/>
  <c r="O160" i="6"/>
  <c r="K375" i="4"/>
  <c r="U497" i="5"/>
  <c r="T762" i="5"/>
  <c r="S267" i="7"/>
  <c r="T267" i="7" s="1"/>
  <c r="P62" i="7"/>
  <c r="M21" i="7"/>
  <c r="S21" i="7"/>
  <c r="S19" i="7" s="1"/>
  <c r="S22" i="7"/>
  <c r="T22" i="7" s="1"/>
  <c r="U120" i="7"/>
  <c r="R118" i="7"/>
  <c r="U118" i="7" s="1"/>
  <c r="M45" i="7"/>
  <c r="P45" i="7" s="1"/>
  <c r="P336" i="5"/>
  <c r="T270" i="6"/>
  <c r="R21" i="7"/>
  <c r="R22" i="7"/>
  <c r="L233" i="7"/>
  <c r="N41" i="7"/>
  <c r="O336" i="5"/>
  <c r="U121" i="5"/>
  <c r="P357" i="4"/>
  <c r="P160" i="6"/>
  <c r="M118" i="6"/>
  <c r="P118" i="6" s="1"/>
  <c r="M283" i="7"/>
  <c r="P283" i="7" s="1"/>
  <c r="P187" i="7"/>
  <c r="I71" i="7"/>
  <c r="K71" i="7" s="1"/>
  <c r="L174" i="7"/>
  <c r="O174" i="7" s="1"/>
  <c r="O176" i="7"/>
  <c r="P20" i="7"/>
  <c r="P120" i="5"/>
  <c r="U620" i="6"/>
  <c r="P76" i="6"/>
  <c r="R267" i="7"/>
  <c r="O516" i="7"/>
  <c r="L514" i="7"/>
  <c r="O514" i="7" s="1"/>
  <c r="P359" i="7"/>
  <c r="M357" i="7"/>
  <c r="P357" i="7" s="1"/>
  <c r="L267" i="7"/>
  <c r="O267" i="7" s="1"/>
  <c r="O27" i="7"/>
  <c r="L25" i="7"/>
  <c r="O25" i="7" s="1"/>
  <c r="P22" i="7"/>
  <c r="L21" i="7"/>
  <c r="O24" i="7"/>
  <c r="L22" i="7"/>
  <c r="O22" i="7" s="1"/>
  <c r="U731" i="7"/>
  <c r="R729" i="7"/>
  <c r="U729" i="7" s="1"/>
  <c r="M95" i="7"/>
  <c r="P95" i="7" s="1"/>
  <c r="P97" i="7"/>
  <c r="P120" i="7"/>
  <c r="M118" i="7"/>
  <c r="P118" i="7" s="1"/>
  <c r="P75" i="6"/>
  <c r="T307" i="5"/>
  <c r="O359" i="7"/>
  <c r="L357" i="7"/>
  <c r="O357" i="7" s="1"/>
  <c r="U190" i="7"/>
  <c r="M321" i="7"/>
  <c r="P321" i="7" s="1"/>
  <c r="P323" i="7"/>
  <c r="R174" i="3"/>
  <c r="U174" i="3" s="1"/>
  <c r="O97" i="7"/>
  <c r="L95" i="7"/>
  <c r="O95" i="7" s="1"/>
  <c r="O20" i="7"/>
  <c r="T496" i="7"/>
  <c r="Q494" i="7"/>
  <c r="T494" i="7" s="1"/>
  <c r="M267" i="7"/>
  <c r="P267" i="7" s="1"/>
  <c r="R73" i="7"/>
  <c r="U73" i="7" s="1"/>
  <c r="U75" i="7"/>
  <c r="T24" i="7"/>
  <c r="Q21" i="7"/>
  <c r="M514" i="7"/>
  <c r="P514" i="7" s="1"/>
  <c r="O45" i="7"/>
  <c r="M60" i="7"/>
  <c r="P60" i="7" s="1"/>
  <c r="U694" i="7"/>
  <c r="T694" i="7"/>
  <c r="M174" i="7"/>
  <c r="P174" i="7" s="1"/>
  <c r="P176" i="7"/>
  <c r="R158" i="7"/>
  <c r="U158" i="7" s="1"/>
  <c r="U160" i="7"/>
  <c r="T75" i="7"/>
  <c r="Q73" i="7"/>
  <c r="T73" i="7" s="1"/>
  <c r="P27" i="7"/>
  <c r="M25" i="7"/>
  <c r="P25" i="7" s="1"/>
  <c r="T189" i="5"/>
  <c r="L73" i="4"/>
  <c r="O73" i="4" s="1"/>
  <c r="P24" i="4"/>
  <c r="U307" i="5"/>
  <c r="T75" i="6"/>
  <c r="P97" i="6"/>
  <c r="P337" i="6"/>
  <c r="R158" i="6"/>
  <c r="U158" i="6" s="1"/>
  <c r="P267" i="6"/>
  <c r="U189" i="6"/>
  <c r="R414" i="6"/>
  <c r="U414" i="6" s="1"/>
  <c r="Q617" i="6"/>
  <c r="T617" i="6" s="1"/>
  <c r="I413" i="5"/>
  <c r="K413" i="5" s="1"/>
  <c r="R174" i="6"/>
  <c r="U174" i="6" s="1"/>
  <c r="T97" i="6"/>
  <c r="Q174" i="5"/>
  <c r="T174" i="5" s="1"/>
  <c r="T645" i="4"/>
  <c r="U160" i="3"/>
  <c r="U619" i="5"/>
  <c r="T306" i="3"/>
  <c r="R140" i="3"/>
  <c r="U140" i="3" s="1"/>
  <c r="L95" i="3"/>
  <c r="O95" i="3" s="1"/>
  <c r="O160" i="3"/>
  <c r="O269" i="4"/>
  <c r="P160" i="5"/>
  <c r="O324" i="5"/>
  <c r="U95" i="6"/>
  <c r="U190" i="6"/>
  <c r="Q414" i="6"/>
  <c r="T414" i="6" s="1"/>
  <c r="U269" i="4"/>
  <c r="Q643" i="5"/>
  <c r="T643" i="5" s="1"/>
  <c r="P189" i="5"/>
  <c r="M21" i="5"/>
  <c r="M19" i="5" s="1"/>
  <c r="U97" i="6"/>
  <c r="O306" i="6"/>
  <c r="T620" i="2"/>
  <c r="P97" i="3"/>
  <c r="K702" i="3"/>
  <c r="T269" i="4"/>
  <c r="L25" i="6"/>
  <c r="O25" i="6" s="1"/>
  <c r="Q95" i="6"/>
  <c r="T95" i="6" s="1"/>
  <c r="Q760" i="5"/>
  <c r="T760" i="5" s="1"/>
  <c r="P48" i="6"/>
  <c r="M140" i="3"/>
  <c r="P140" i="3" s="1"/>
  <c r="P323" i="4"/>
  <c r="U694" i="5"/>
  <c r="M25" i="5"/>
  <c r="P25" i="5" s="1"/>
  <c r="P47" i="6"/>
  <c r="M140" i="6"/>
  <c r="P140" i="6" s="1"/>
  <c r="P334" i="6"/>
  <c r="L514" i="6"/>
  <c r="O514" i="6" s="1"/>
  <c r="P306" i="6"/>
  <c r="U729" i="6"/>
  <c r="T190" i="6"/>
  <c r="P187" i="3"/>
  <c r="O75" i="6"/>
  <c r="L73" i="6"/>
  <c r="O73" i="6" s="1"/>
  <c r="U269" i="6"/>
  <c r="U646" i="6"/>
  <c r="U731" i="6"/>
  <c r="U378" i="5"/>
  <c r="R376" i="5"/>
  <c r="U376" i="5" s="1"/>
  <c r="R187" i="6"/>
  <c r="U187" i="6" s="1"/>
  <c r="U75" i="6"/>
  <c r="Q140" i="6"/>
  <c r="T140" i="6" s="1"/>
  <c r="U270" i="6"/>
  <c r="L321" i="6"/>
  <c r="O321" i="6" s="1"/>
  <c r="K702" i="6"/>
  <c r="O337" i="4"/>
  <c r="T307" i="4"/>
  <c r="R118" i="6"/>
  <c r="T98" i="6"/>
  <c r="O337" i="6"/>
  <c r="M514" i="6"/>
  <c r="P514" i="6" s="1"/>
  <c r="T694" i="6"/>
  <c r="Q187" i="6"/>
  <c r="T187" i="6" s="1"/>
  <c r="L45" i="6"/>
  <c r="O47" i="6"/>
  <c r="I71" i="6"/>
  <c r="K71" i="6" s="1"/>
  <c r="K83" i="6"/>
  <c r="R617" i="6"/>
  <c r="U617" i="6" s="1"/>
  <c r="U619" i="6"/>
  <c r="Q304" i="3"/>
  <c r="T304" i="3" s="1"/>
  <c r="Q140" i="4"/>
  <c r="T140" i="4" s="1"/>
  <c r="U306" i="4"/>
  <c r="M22" i="5"/>
  <c r="P22" i="5" s="1"/>
  <c r="R21" i="6"/>
  <c r="U21" i="6" s="1"/>
  <c r="U24" i="6"/>
  <c r="M158" i="6"/>
  <c r="P158" i="6" s="1"/>
  <c r="P187" i="6"/>
  <c r="O336" i="6"/>
  <c r="S304" i="6"/>
  <c r="T304" i="6" s="1"/>
  <c r="P357" i="6"/>
  <c r="R494" i="6"/>
  <c r="U494" i="6" s="1"/>
  <c r="U496" i="6"/>
  <c r="M283" i="6"/>
  <c r="P283" i="6" s="1"/>
  <c r="Q760" i="6"/>
  <c r="T760" i="6" s="1"/>
  <c r="T762" i="6"/>
  <c r="L174" i="6"/>
  <c r="O174" i="6" s="1"/>
  <c r="L158" i="6"/>
  <c r="O158" i="6" s="1"/>
  <c r="P189" i="6"/>
  <c r="Q174" i="6"/>
  <c r="T174" i="6" s="1"/>
  <c r="T176" i="6"/>
  <c r="O190" i="6"/>
  <c r="O304" i="6"/>
  <c r="U20" i="6"/>
  <c r="M174" i="6"/>
  <c r="P174" i="6" s="1"/>
  <c r="K84" i="6"/>
  <c r="I72" i="6"/>
  <c r="K72" i="6" s="1"/>
  <c r="P359" i="6"/>
  <c r="P269" i="6"/>
  <c r="U693" i="6"/>
  <c r="R691" i="6"/>
  <c r="U691" i="6" s="1"/>
  <c r="Q643" i="6"/>
  <c r="T643" i="6" s="1"/>
  <c r="T645" i="6"/>
  <c r="R376" i="6"/>
  <c r="U376" i="6" s="1"/>
  <c r="R760" i="5"/>
  <c r="U760" i="5" s="1"/>
  <c r="N22" i="6"/>
  <c r="P22" i="6" s="1"/>
  <c r="N21" i="6"/>
  <c r="N19" i="6" s="1"/>
  <c r="O142" i="6"/>
  <c r="L140" i="6"/>
  <c r="O140" i="6" s="1"/>
  <c r="M25" i="6"/>
  <c r="P25" i="6" s="1"/>
  <c r="N41" i="6"/>
  <c r="L233" i="6"/>
  <c r="O244" i="6"/>
  <c r="T306" i="6"/>
  <c r="O359" i="6"/>
  <c r="L357" i="6"/>
  <c r="O357" i="6" s="1"/>
  <c r="R760" i="6"/>
  <c r="U760" i="6" s="1"/>
  <c r="T693" i="6"/>
  <c r="Q691" i="6"/>
  <c r="T691" i="6" s="1"/>
  <c r="L60" i="6"/>
  <c r="O60" i="6" s="1"/>
  <c r="O62" i="6"/>
  <c r="N600" i="1"/>
  <c r="O176" i="2"/>
  <c r="M118" i="3"/>
  <c r="P118" i="3" s="1"/>
  <c r="O359" i="5"/>
  <c r="S73" i="6"/>
  <c r="T73" i="6" s="1"/>
  <c r="O187" i="6"/>
  <c r="M73" i="6"/>
  <c r="P73" i="6" s="1"/>
  <c r="P336" i="6"/>
  <c r="K243" i="6"/>
  <c r="I232" i="6"/>
  <c r="O334" i="6"/>
  <c r="R22" i="6"/>
  <c r="P304" i="6"/>
  <c r="S19" i="6"/>
  <c r="O189" i="6"/>
  <c r="L267" i="6"/>
  <c r="O267" i="6" s="1"/>
  <c r="P323" i="6"/>
  <c r="M321" i="6"/>
  <c r="P321" i="6" s="1"/>
  <c r="R643" i="6"/>
  <c r="U643" i="6" s="1"/>
  <c r="U645" i="6"/>
  <c r="L21" i="6"/>
  <c r="O24" i="6"/>
  <c r="Q729" i="6"/>
  <c r="T729" i="6" s="1"/>
  <c r="T121" i="1"/>
  <c r="R643" i="3"/>
  <c r="U643" i="3" s="1"/>
  <c r="U646" i="4"/>
  <c r="Q95" i="5"/>
  <c r="T95" i="5" s="1"/>
  <c r="Q21" i="6"/>
  <c r="T24" i="6"/>
  <c r="Q22" i="6"/>
  <c r="P24" i="6"/>
  <c r="M21" i="6"/>
  <c r="P45" i="6"/>
  <c r="M60" i="6"/>
  <c r="P60" i="6" s="1"/>
  <c r="L118" i="6"/>
  <c r="O118" i="6" s="1"/>
  <c r="P307" i="6"/>
  <c r="J616" i="6"/>
  <c r="K616" i="6" s="1"/>
  <c r="K627" i="6"/>
  <c r="S22" i="6"/>
  <c r="S267" i="6"/>
  <c r="U267" i="6" s="1"/>
  <c r="Q376" i="6"/>
  <c r="T376" i="6" s="1"/>
  <c r="U762" i="3"/>
  <c r="I413" i="3"/>
  <c r="K413" i="3" s="1"/>
  <c r="M321" i="3"/>
  <c r="P321" i="3" s="1"/>
  <c r="O160" i="4"/>
  <c r="R267" i="4"/>
  <c r="U267" i="4" s="1"/>
  <c r="T121" i="4"/>
  <c r="T378" i="5"/>
  <c r="S22" i="5"/>
  <c r="U22" i="5" s="1"/>
  <c r="M95" i="5"/>
  <c r="P95" i="5" s="1"/>
  <c r="U762" i="4"/>
  <c r="T694" i="5"/>
  <c r="O190" i="5"/>
  <c r="O304" i="4"/>
  <c r="O27" i="4"/>
  <c r="P269" i="5"/>
  <c r="L73" i="5"/>
  <c r="O73" i="5" s="1"/>
  <c r="O47" i="5"/>
  <c r="T762" i="4"/>
  <c r="K702" i="2"/>
  <c r="U24" i="5"/>
  <c r="P334" i="2"/>
  <c r="O334" i="4"/>
  <c r="O357" i="5"/>
  <c r="T21" i="5"/>
  <c r="Q19" i="5"/>
  <c r="T19" i="5" s="1"/>
  <c r="P75" i="5"/>
  <c r="M73" i="5"/>
  <c r="P73" i="5" s="1"/>
  <c r="U732" i="5"/>
  <c r="R691" i="2"/>
  <c r="U691" i="2" s="1"/>
  <c r="K375" i="3"/>
  <c r="Q158" i="4"/>
  <c r="T158" i="4" s="1"/>
  <c r="T378" i="4"/>
  <c r="M21" i="4"/>
  <c r="M19" i="4" s="1"/>
  <c r="O306" i="4"/>
  <c r="O63" i="5"/>
  <c r="P24" i="5"/>
  <c r="M304" i="5"/>
  <c r="P304" i="5" s="1"/>
  <c r="L95" i="5"/>
  <c r="O95" i="5" s="1"/>
  <c r="P47" i="3"/>
  <c r="I232" i="5"/>
  <c r="I186" i="5" s="1"/>
  <c r="K186" i="5" s="1"/>
  <c r="T269" i="2"/>
  <c r="T693" i="3"/>
  <c r="T306" i="4"/>
  <c r="P47" i="4"/>
  <c r="N140" i="5"/>
  <c r="O140" i="5" s="1"/>
  <c r="R414" i="5"/>
  <c r="U414" i="5" s="1"/>
  <c r="O60" i="5"/>
  <c r="L267" i="5"/>
  <c r="O267" i="5" s="1"/>
  <c r="M321" i="5"/>
  <c r="P321" i="5" s="1"/>
  <c r="L233" i="4"/>
  <c r="M25" i="4"/>
  <c r="P25" i="4" s="1"/>
  <c r="P143" i="4"/>
  <c r="P306" i="4"/>
  <c r="Q22" i="5"/>
  <c r="O306" i="5"/>
  <c r="T24" i="5"/>
  <c r="O48" i="5"/>
  <c r="P142" i="5"/>
  <c r="R21" i="5"/>
  <c r="R19" i="5" s="1"/>
  <c r="U19" i="5" s="1"/>
  <c r="R158" i="2"/>
  <c r="U158" i="2" s="1"/>
  <c r="Q414" i="2"/>
  <c r="T414" i="2" s="1"/>
  <c r="P307" i="4"/>
  <c r="M187" i="5"/>
  <c r="P187" i="5" s="1"/>
  <c r="T416" i="5"/>
  <c r="Q414" i="5"/>
  <c r="T414" i="5" s="1"/>
  <c r="R95" i="5"/>
  <c r="U95" i="5" s="1"/>
  <c r="T729" i="5"/>
  <c r="U118" i="2"/>
  <c r="R187" i="5"/>
  <c r="U189" i="5"/>
  <c r="P267" i="5"/>
  <c r="L25" i="5"/>
  <c r="O25" i="5" s="1"/>
  <c r="O27" i="5"/>
  <c r="U620" i="2"/>
  <c r="P357" i="3"/>
  <c r="K84" i="3"/>
  <c r="T760" i="4"/>
  <c r="P359" i="4"/>
  <c r="R617" i="5"/>
  <c r="U617" i="5" s="1"/>
  <c r="R494" i="5"/>
  <c r="U494" i="5" s="1"/>
  <c r="U496" i="5"/>
  <c r="L334" i="5"/>
  <c r="O334" i="5" s="1"/>
  <c r="P359" i="5"/>
  <c r="M357" i="5"/>
  <c r="P357" i="5" s="1"/>
  <c r="O189" i="5"/>
  <c r="L187" i="5"/>
  <c r="O187" i="5" s="1"/>
  <c r="N21" i="5"/>
  <c r="N19" i="5" s="1"/>
  <c r="Q118" i="5"/>
  <c r="T118" i="5" s="1"/>
  <c r="U731" i="5"/>
  <c r="O516" i="5"/>
  <c r="L514" i="5"/>
  <c r="O514" i="5" s="1"/>
  <c r="M60" i="5"/>
  <c r="P60" i="5" s="1"/>
  <c r="P62" i="5"/>
  <c r="R174" i="5"/>
  <c r="U174" i="5" s="1"/>
  <c r="U176" i="5"/>
  <c r="I72" i="5"/>
  <c r="K72" i="5" s="1"/>
  <c r="K84" i="5"/>
  <c r="L21" i="5"/>
  <c r="L22" i="5"/>
  <c r="O22" i="5" s="1"/>
  <c r="O24" i="5"/>
  <c r="P143" i="5"/>
  <c r="M45" i="5"/>
  <c r="P47" i="5"/>
  <c r="L174" i="5"/>
  <c r="O174" i="5" s="1"/>
  <c r="O176" i="5"/>
  <c r="S187" i="5"/>
  <c r="T187" i="5" s="1"/>
  <c r="U120" i="5"/>
  <c r="R118" i="5"/>
  <c r="U118" i="5" s="1"/>
  <c r="M334" i="5"/>
  <c r="P334" i="5" s="1"/>
  <c r="P336" i="4"/>
  <c r="T731" i="5"/>
  <c r="T693" i="5"/>
  <c r="U693" i="5"/>
  <c r="Q691" i="5"/>
  <c r="T691" i="5" s="1"/>
  <c r="M283" i="5"/>
  <c r="P283" i="5" s="1"/>
  <c r="T497" i="5"/>
  <c r="O244" i="5"/>
  <c r="L233" i="5"/>
  <c r="R158" i="5"/>
  <c r="U158" i="5" s="1"/>
  <c r="U160" i="5"/>
  <c r="K504" i="5"/>
  <c r="Q376" i="5"/>
  <c r="T376" i="5" s="1"/>
  <c r="U269" i="5"/>
  <c r="S267" i="5"/>
  <c r="U267" i="5" s="1"/>
  <c r="M514" i="5"/>
  <c r="P514" i="5" s="1"/>
  <c r="O45" i="5"/>
  <c r="O120" i="5"/>
  <c r="L118" i="5"/>
  <c r="O118" i="5" s="1"/>
  <c r="T731" i="4"/>
  <c r="Q691" i="4"/>
  <c r="T691" i="4" s="1"/>
  <c r="Q73" i="4"/>
  <c r="T73" i="4" s="1"/>
  <c r="U691" i="5"/>
  <c r="L158" i="5"/>
  <c r="O158" i="5" s="1"/>
  <c r="O160" i="5"/>
  <c r="K493" i="5"/>
  <c r="T269" i="5"/>
  <c r="Q267" i="5"/>
  <c r="O323" i="5"/>
  <c r="L321" i="5"/>
  <c r="O321" i="5" s="1"/>
  <c r="N715" i="1"/>
  <c r="T763" i="2"/>
  <c r="P359" i="3"/>
  <c r="U617" i="3"/>
  <c r="M304" i="3"/>
  <c r="P304" i="3" s="1"/>
  <c r="O337" i="3"/>
  <c r="P189" i="3"/>
  <c r="P142" i="4"/>
  <c r="O359" i="4"/>
  <c r="O63" i="2"/>
  <c r="M73" i="4"/>
  <c r="P73" i="4" s="1"/>
  <c r="P75" i="4"/>
  <c r="M304" i="4"/>
  <c r="P304" i="4" s="1"/>
  <c r="O142" i="2"/>
  <c r="T762" i="3"/>
  <c r="L267" i="3"/>
  <c r="O267" i="3" s="1"/>
  <c r="T732" i="4"/>
  <c r="R21" i="4"/>
  <c r="R19" i="4" s="1"/>
  <c r="U97" i="2"/>
  <c r="T619" i="3"/>
  <c r="R376" i="3"/>
  <c r="U376" i="3" s="1"/>
  <c r="L140" i="3"/>
  <c r="O140" i="3" s="1"/>
  <c r="T694" i="4"/>
  <c r="S304" i="4"/>
  <c r="U304" i="4" s="1"/>
  <c r="O174" i="4"/>
  <c r="P45" i="4"/>
  <c r="M95" i="4"/>
  <c r="P95" i="4" s="1"/>
  <c r="P97" i="4"/>
  <c r="U121" i="1"/>
  <c r="P47" i="2"/>
  <c r="U120" i="2"/>
  <c r="O75" i="3"/>
  <c r="U731" i="4"/>
  <c r="K333" i="4"/>
  <c r="M334" i="4"/>
  <c r="P334" i="4" s="1"/>
  <c r="Q729" i="4"/>
  <c r="T729" i="4" s="1"/>
  <c r="O190" i="4"/>
  <c r="P62" i="4"/>
  <c r="U189" i="4"/>
  <c r="R187" i="4"/>
  <c r="U187" i="4" s="1"/>
  <c r="P160" i="4"/>
  <c r="M158" i="4"/>
  <c r="P158" i="4" s="1"/>
  <c r="L22" i="4"/>
  <c r="L21" i="4"/>
  <c r="L19" i="4" s="1"/>
  <c r="Q691" i="3"/>
  <c r="T691" i="3" s="1"/>
  <c r="Q174" i="3"/>
  <c r="T174" i="3" s="1"/>
  <c r="P75" i="3"/>
  <c r="P60" i="4"/>
  <c r="U416" i="4"/>
  <c r="R414" i="4"/>
  <c r="U414" i="4" s="1"/>
  <c r="P161" i="1"/>
  <c r="O321" i="2"/>
  <c r="R414" i="3"/>
  <c r="U414" i="3" s="1"/>
  <c r="U693" i="3"/>
  <c r="U270" i="3"/>
  <c r="L357" i="4"/>
  <c r="O357" i="4" s="1"/>
  <c r="U24" i="4"/>
  <c r="R95" i="4"/>
  <c r="U95" i="4" s="1"/>
  <c r="L95" i="4"/>
  <c r="O95" i="4" s="1"/>
  <c r="O161" i="1"/>
  <c r="U76" i="1"/>
  <c r="T76" i="1"/>
  <c r="T729" i="3"/>
  <c r="U691" i="3"/>
  <c r="L118" i="3"/>
  <c r="O118" i="3" s="1"/>
  <c r="R174" i="4"/>
  <c r="U174" i="4" s="1"/>
  <c r="M283" i="4"/>
  <c r="P283" i="4" s="1"/>
  <c r="R494" i="3"/>
  <c r="U494" i="3" s="1"/>
  <c r="R643" i="4"/>
  <c r="U643" i="4" s="1"/>
  <c r="L514" i="4"/>
  <c r="O514" i="4" s="1"/>
  <c r="U496" i="4"/>
  <c r="R494" i="4"/>
  <c r="U494" i="4" s="1"/>
  <c r="O47" i="4"/>
  <c r="L45" i="4"/>
  <c r="K83" i="4"/>
  <c r="I71" i="4"/>
  <c r="K71" i="4" s="1"/>
  <c r="L321" i="4"/>
  <c r="O321" i="4" s="1"/>
  <c r="O306" i="3"/>
  <c r="L304" i="3"/>
  <c r="O304" i="3" s="1"/>
  <c r="R118" i="4"/>
  <c r="U118" i="4" s="1"/>
  <c r="R760" i="4"/>
  <c r="U760" i="4" s="1"/>
  <c r="O62" i="4"/>
  <c r="L60" i="4"/>
  <c r="O60" i="4" s="1"/>
  <c r="Q95" i="4"/>
  <c r="T95" i="4" s="1"/>
  <c r="T97" i="4"/>
  <c r="O190" i="2"/>
  <c r="S617" i="4"/>
  <c r="U617" i="4" s="1"/>
  <c r="P269" i="4"/>
  <c r="N267" i="4"/>
  <c r="P267" i="4" s="1"/>
  <c r="M140" i="4"/>
  <c r="O189" i="4"/>
  <c r="N187" i="4"/>
  <c r="O187" i="4" s="1"/>
  <c r="K84" i="4"/>
  <c r="I72" i="4"/>
  <c r="K72" i="4" s="1"/>
  <c r="L283" i="4"/>
  <c r="O283" i="4" s="1"/>
  <c r="O285" i="4"/>
  <c r="Q617" i="2"/>
  <c r="T617" i="2" s="1"/>
  <c r="P190" i="2"/>
  <c r="T760" i="2"/>
  <c r="Q22" i="3"/>
  <c r="R158" i="4"/>
  <c r="U158" i="4" s="1"/>
  <c r="O142" i="4"/>
  <c r="L140" i="4"/>
  <c r="O140" i="4" s="1"/>
  <c r="P177" i="4"/>
  <c r="O177" i="4"/>
  <c r="Q21" i="4"/>
  <c r="T24" i="4"/>
  <c r="Q22" i="4"/>
  <c r="T378" i="3"/>
  <c r="Q21" i="3"/>
  <c r="Q617" i="4"/>
  <c r="T619" i="4"/>
  <c r="R376" i="4"/>
  <c r="U376" i="4" s="1"/>
  <c r="L158" i="4"/>
  <c r="O158" i="4" s="1"/>
  <c r="N21" i="4"/>
  <c r="N22" i="4"/>
  <c r="O24" i="4"/>
  <c r="Q414" i="4"/>
  <c r="T414" i="4" s="1"/>
  <c r="O176" i="4"/>
  <c r="Q494" i="4"/>
  <c r="T494" i="4" s="1"/>
  <c r="T496" i="4"/>
  <c r="Q187" i="4"/>
  <c r="T187" i="4" s="1"/>
  <c r="T189" i="4"/>
  <c r="Q376" i="3"/>
  <c r="T376" i="3" s="1"/>
  <c r="U620" i="4"/>
  <c r="O336" i="4"/>
  <c r="P189" i="4"/>
  <c r="T176" i="4"/>
  <c r="Q174" i="4"/>
  <c r="T174" i="4" s="1"/>
  <c r="P120" i="4"/>
  <c r="M118" i="4"/>
  <c r="P118" i="4" s="1"/>
  <c r="Q376" i="4"/>
  <c r="T376" i="4" s="1"/>
  <c r="I186" i="4"/>
  <c r="K186" i="4" s="1"/>
  <c r="P176" i="4"/>
  <c r="M174" i="4"/>
  <c r="P174" i="4" s="1"/>
  <c r="S22" i="4"/>
  <c r="U22" i="4" s="1"/>
  <c r="L118" i="4"/>
  <c r="O118" i="4" s="1"/>
  <c r="U306" i="3"/>
  <c r="R304" i="3"/>
  <c r="U304" i="3" s="1"/>
  <c r="T306" i="2"/>
  <c r="P158" i="2"/>
  <c r="L73" i="2"/>
  <c r="O73" i="2" s="1"/>
  <c r="P24" i="2"/>
  <c r="T731" i="3"/>
  <c r="P62" i="3"/>
  <c r="T267" i="2"/>
  <c r="U98" i="3"/>
  <c r="T646" i="2"/>
  <c r="T267" i="3"/>
  <c r="N21" i="2"/>
  <c r="N19" i="2" s="1"/>
  <c r="N21" i="1"/>
  <c r="P337" i="1"/>
  <c r="U619" i="2"/>
  <c r="U763" i="2"/>
  <c r="T189" i="2"/>
  <c r="S95" i="2"/>
  <c r="U95" i="2" s="1"/>
  <c r="R22" i="3"/>
  <c r="M514" i="3"/>
  <c r="P514" i="3" s="1"/>
  <c r="L233" i="3"/>
  <c r="P22" i="3"/>
  <c r="O22" i="3"/>
  <c r="M22" i="2"/>
  <c r="P22" i="2" s="1"/>
  <c r="P24" i="3"/>
  <c r="O360" i="1"/>
  <c r="T732" i="2"/>
  <c r="P189" i="2"/>
  <c r="P321" i="2"/>
  <c r="P269" i="3"/>
  <c r="P190" i="3"/>
  <c r="U619" i="3"/>
  <c r="U142" i="2"/>
  <c r="T620" i="3"/>
  <c r="P334" i="3"/>
  <c r="N267" i="3"/>
  <c r="P267" i="3" s="1"/>
  <c r="P336" i="3"/>
  <c r="O24" i="3"/>
  <c r="U620" i="3"/>
  <c r="T121" i="2"/>
  <c r="N25" i="2"/>
  <c r="U732" i="3"/>
  <c r="Q414" i="3"/>
  <c r="T414" i="3" s="1"/>
  <c r="T98" i="3"/>
  <c r="T120" i="3"/>
  <c r="Q118" i="3"/>
  <c r="T693" i="2"/>
  <c r="M95" i="2"/>
  <c r="P95" i="2" s="1"/>
  <c r="T97" i="2"/>
  <c r="U267" i="3"/>
  <c r="N140" i="2"/>
  <c r="O140" i="2" s="1"/>
  <c r="P270" i="2"/>
  <c r="T160" i="3"/>
  <c r="Q158" i="3"/>
  <c r="T158" i="3" s="1"/>
  <c r="U97" i="3"/>
  <c r="R95" i="3"/>
  <c r="U95" i="3" s="1"/>
  <c r="K243" i="3"/>
  <c r="I232" i="3"/>
  <c r="I71" i="2"/>
  <c r="K71" i="2" s="1"/>
  <c r="M73" i="2"/>
  <c r="P73" i="2" s="1"/>
  <c r="U267" i="2"/>
  <c r="T646" i="3"/>
  <c r="U646" i="3"/>
  <c r="O336" i="3"/>
  <c r="L334" i="3"/>
  <c r="O334" i="3" s="1"/>
  <c r="M283" i="3"/>
  <c r="P283" i="3" s="1"/>
  <c r="P285" i="3"/>
  <c r="M45" i="3"/>
  <c r="Q95" i="3"/>
  <c r="T95" i="3" s="1"/>
  <c r="M158" i="3"/>
  <c r="P158" i="3" s="1"/>
  <c r="L25" i="3"/>
  <c r="O25" i="3" s="1"/>
  <c r="L357" i="3"/>
  <c r="O357" i="3" s="1"/>
  <c r="O359" i="3"/>
  <c r="L45" i="3"/>
  <c r="O47" i="3"/>
  <c r="Q95" i="2"/>
  <c r="U731" i="3"/>
  <c r="R729" i="3"/>
  <c r="U729" i="3" s="1"/>
  <c r="Q187" i="3"/>
  <c r="T187" i="3" s="1"/>
  <c r="T189" i="3"/>
  <c r="O62" i="3"/>
  <c r="L60" i="3"/>
  <c r="O60" i="3" s="1"/>
  <c r="N174" i="3"/>
  <c r="O176" i="3"/>
  <c r="M21" i="3"/>
  <c r="M19" i="3" s="1"/>
  <c r="U306" i="2"/>
  <c r="L283" i="3"/>
  <c r="O283" i="3" s="1"/>
  <c r="O285" i="3"/>
  <c r="O189" i="3"/>
  <c r="L187" i="3"/>
  <c r="O187" i="3" s="1"/>
  <c r="S21" i="3"/>
  <c r="U21" i="3" s="1"/>
  <c r="S22" i="3"/>
  <c r="U24" i="3"/>
  <c r="M25" i="3"/>
  <c r="P25" i="3" s="1"/>
  <c r="Q617" i="3"/>
  <c r="T617" i="3" s="1"/>
  <c r="M60" i="3"/>
  <c r="P60" i="3" s="1"/>
  <c r="P20" i="3"/>
  <c r="P176" i="3"/>
  <c r="O359" i="2"/>
  <c r="L514" i="3"/>
  <c r="O514" i="3" s="1"/>
  <c r="O516" i="3"/>
  <c r="U189" i="3"/>
  <c r="R187" i="3"/>
  <c r="U187" i="3" s="1"/>
  <c r="L321" i="3"/>
  <c r="O321" i="3" s="1"/>
  <c r="K83" i="3"/>
  <c r="I71" i="3"/>
  <c r="K71" i="3" s="1"/>
  <c r="N21" i="3"/>
  <c r="N19" i="3" s="1"/>
  <c r="L21" i="3"/>
  <c r="T118" i="2"/>
  <c r="L233" i="2"/>
  <c r="P516" i="2"/>
  <c r="M514" i="2"/>
  <c r="P514" i="2" s="1"/>
  <c r="T762" i="2"/>
  <c r="T694" i="2"/>
  <c r="O97" i="2"/>
  <c r="L95" i="2"/>
  <c r="O95" i="2" s="1"/>
  <c r="S187" i="2"/>
  <c r="T187" i="2" s="1"/>
  <c r="L118" i="2"/>
  <c r="O118" i="2" s="1"/>
  <c r="L304" i="2"/>
  <c r="O304" i="2" s="1"/>
  <c r="U269" i="2"/>
  <c r="Q73" i="2"/>
  <c r="T73" i="2" s="1"/>
  <c r="T75" i="2"/>
  <c r="L25" i="2"/>
  <c r="O25" i="2" s="1"/>
  <c r="P120" i="2"/>
  <c r="M118" i="2"/>
  <c r="P118" i="2" s="1"/>
  <c r="T496" i="2"/>
  <c r="Q494" i="2"/>
  <c r="T494" i="2" s="1"/>
  <c r="M21" i="2"/>
  <c r="R304" i="2"/>
  <c r="U304" i="2" s="1"/>
  <c r="O323" i="2"/>
  <c r="P62" i="2"/>
  <c r="O177" i="2"/>
  <c r="M25" i="2"/>
  <c r="P25" i="2" s="1"/>
  <c r="T270" i="2"/>
  <c r="P323" i="2"/>
  <c r="S22" i="2"/>
  <c r="S21" i="2"/>
  <c r="S19" i="2" s="1"/>
  <c r="O60" i="2"/>
  <c r="U189" i="2"/>
  <c r="O269" i="2"/>
  <c r="L267" i="2"/>
  <c r="O267" i="2" s="1"/>
  <c r="U762" i="1"/>
  <c r="O158" i="2"/>
  <c r="T497" i="1"/>
  <c r="O337" i="1"/>
  <c r="P360" i="1"/>
  <c r="S514" i="1"/>
  <c r="T645" i="2"/>
  <c r="Q729" i="2"/>
  <c r="T729" i="2" s="1"/>
  <c r="T731" i="2"/>
  <c r="I413" i="2"/>
  <c r="K413" i="2" s="1"/>
  <c r="K424" i="2"/>
  <c r="T142" i="2"/>
  <c r="Q140" i="2"/>
  <c r="T140" i="2" s="1"/>
  <c r="I72" i="2"/>
  <c r="K72" i="2" s="1"/>
  <c r="K84" i="2"/>
  <c r="P336" i="2"/>
  <c r="L283" i="2"/>
  <c r="O283" i="2" s="1"/>
  <c r="P160" i="2"/>
  <c r="P269" i="2"/>
  <c r="M267" i="2"/>
  <c r="P267" i="2" s="1"/>
  <c r="O360" i="2"/>
  <c r="L174" i="2"/>
  <c r="O174" i="2" s="1"/>
  <c r="U645" i="2"/>
  <c r="U732" i="2"/>
  <c r="L514" i="2"/>
  <c r="O514" i="2" s="1"/>
  <c r="M187" i="2"/>
  <c r="P187" i="2" s="1"/>
  <c r="P176" i="2"/>
  <c r="M174" i="2"/>
  <c r="P174" i="2" s="1"/>
  <c r="U496" i="2"/>
  <c r="R494" i="2"/>
  <c r="U494" i="2" s="1"/>
  <c r="T176" i="2"/>
  <c r="Q174" i="2"/>
  <c r="T174" i="2" s="1"/>
  <c r="P142" i="2"/>
  <c r="M140" i="2"/>
  <c r="O24" i="2"/>
  <c r="L21" i="2"/>
  <c r="L22" i="2"/>
  <c r="O22" i="2" s="1"/>
  <c r="L357" i="2"/>
  <c r="O357" i="2" s="1"/>
  <c r="U643" i="2"/>
  <c r="L187" i="2"/>
  <c r="O187" i="2" s="1"/>
  <c r="O189" i="2"/>
  <c r="O334" i="2"/>
  <c r="Q304" i="2"/>
  <c r="T304" i="2" s="1"/>
  <c r="U24" i="2"/>
  <c r="R21" i="2"/>
  <c r="R22" i="2"/>
  <c r="U20" i="2"/>
  <c r="M60" i="2"/>
  <c r="P60" i="2" s="1"/>
  <c r="M357" i="2"/>
  <c r="P357" i="2" s="1"/>
  <c r="P359" i="2"/>
  <c r="P306" i="2"/>
  <c r="M304" i="2"/>
  <c r="P304" i="2" s="1"/>
  <c r="U190" i="2"/>
  <c r="M45" i="2"/>
  <c r="Q21" i="2"/>
  <c r="T24" i="2"/>
  <c r="U731" i="2"/>
  <c r="R729" i="2"/>
  <c r="U729" i="2" s="1"/>
  <c r="T160" i="2"/>
  <c r="Q158" i="2"/>
  <c r="T158" i="2" s="1"/>
  <c r="O336" i="2"/>
  <c r="R187" i="2"/>
  <c r="O160" i="2"/>
  <c r="P161" i="2"/>
  <c r="O62" i="2"/>
  <c r="Q22" i="2"/>
  <c r="R760" i="2"/>
  <c r="U760" i="2" s="1"/>
  <c r="U762" i="2"/>
  <c r="U646" i="2"/>
  <c r="K243" i="2"/>
  <c r="I232" i="2"/>
  <c r="M283" i="2"/>
  <c r="P283" i="2" s="1"/>
  <c r="O45" i="2"/>
  <c r="O47" i="2"/>
  <c r="S187" i="1"/>
  <c r="S556" i="1"/>
  <c r="U694" i="1"/>
  <c r="P190" i="1"/>
  <c r="P175" i="1"/>
  <c r="S140" i="1"/>
  <c r="O190" i="1"/>
  <c r="P76" i="1"/>
  <c r="T731" i="1"/>
  <c r="S729" i="1"/>
  <c r="O204" i="1"/>
  <c r="J458" i="1"/>
  <c r="J457" i="1" s="1"/>
  <c r="S357" i="1"/>
  <c r="K72" i="1"/>
  <c r="U732" i="1"/>
  <c r="U98" i="1"/>
  <c r="N494" i="1"/>
  <c r="J459" i="1"/>
  <c r="O142" i="1"/>
  <c r="I413" i="1"/>
  <c r="K413" i="1" s="1"/>
  <c r="M267" i="1"/>
  <c r="N140" i="1"/>
  <c r="N691" i="1"/>
  <c r="N643" i="1"/>
  <c r="Q158" i="1"/>
  <c r="T158" i="1" s="1"/>
  <c r="U646" i="1"/>
  <c r="L617" i="1"/>
  <c r="O617" i="1" s="1"/>
  <c r="O306" i="1"/>
  <c r="O63" i="1"/>
  <c r="N267" i="1"/>
  <c r="U619" i="1"/>
  <c r="M321" i="1"/>
  <c r="T24" i="1"/>
  <c r="U189" i="1"/>
  <c r="N283" i="1"/>
  <c r="M73" i="1"/>
  <c r="S617" i="1"/>
  <c r="M283" i="1"/>
  <c r="S393" i="1"/>
  <c r="N304" i="1"/>
  <c r="O98" i="1"/>
  <c r="M140" i="1"/>
  <c r="R357" i="1"/>
  <c r="U357" i="1" s="1"/>
  <c r="L357" i="1"/>
  <c r="N357" i="1"/>
  <c r="T646" i="1"/>
  <c r="K633" i="1"/>
  <c r="N334" i="1"/>
  <c r="M643" i="1"/>
  <c r="P643" i="1" s="1"/>
  <c r="Q304" i="1"/>
  <c r="R514" i="1"/>
  <c r="U514" i="1" s="1"/>
  <c r="R691" i="1"/>
  <c r="O223" i="1"/>
  <c r="L158" i="1"/>
  <c r="T75" i="1"/>
  <c r="P45" i="1"/>
  <c r="O324" i="1"/>
  <c r="P286" i="1"/>
  <c r="P359" i="1"/>
  <c r="T98" i="1"/>
  <c r="O359" i="1"/>
  <c r="Q22" i="1"/>
  <c r="N60" i="1"/>
  <c r="Q45" i="1"/>
  <c r="T45" i="1" s="1"/>
  <c r="O336" i="1"/>
  <c r="P336" i="1"/>
  <c r="P324" i="1"/>
  <c r="M715" i="1"/>
  <c r="P715" i="1" s="1"/>
  <c r="I170" i="1"/>
  <c r="K170" i="1" s="1"/>
  <c r="P285" i="1"/>
  <c r="S535" i="1"/>
  <c r="O286" i="1"/>
  <c r="N414" i="1"/>
  <c r="P160" i="1"/>
  <c r="N95" i="1"/>
  <c r="N535" i="1"/>
  <c r="P98" i="1"/>
  <c r="L414" i="1"/>
  <c r="O414" i="1" s="1"/>
  <c r="R577" i="1"/>
  <c r="U577" i="1" s="1"/>
  <c r="N73" i="1"/>
  <c r="U620" i="1"/>
  <c r="U307" i="1"/>
  <c r="T645" i="1"/>
  <c r="Q393" i="1"/>
  <c r="T393" i="1" s="1"/>
  <c r="L60" i="1"/>
  <c r="O45" i="1"/>
  <c r="P142" i="1"/>
  <c r="S321" i="1"/>
  <c r="R334" i="1"/>
  <c r="U334" i="1" s="1"/>
  <c r="O307" i="1"/>
  <c r="S118" i="1"/>
  <c r="R535" i="1"/>
  <c r="U535" i="1" s="1"/>
  <c r="S643" i="1"/>
  <c r="U190" i="1"/>
  <c r="S20" i="1"/>
  <c r="U536" i="1"/>
  <c r="S283" i="1"/>
  <c r="U645" i="1"/>
  <c r="M118" i="1"/>
  <c r="P118" i="1" s="1"/>
  <c r="Q334" i="1"/>
  <c r="T334" i="1" s="1"/>
  <c r="O176" i="1"/>
  <c r="N174" i="1"/>
  <c r="R118" i="1"/>
  <c r="N22" i="1"/>
  <c r="T693" i="1"/>
  <c r="O215" i="1"/>
  <c r="O160" i="1"/>
  <c r="P306" i="1"/>
  <c r="U24" i="1"/>
  <c r="P24" i="1"/>
  <c r="M729" i="1"/>
  <c r="P729" i="1" s="1"/>
  <c r="S25" i="1"/>
  <c r="U120" i="1"/>
  <c r="Q729" i="1"/>
  <c r="R643" i="1"/>
  <c r="M187" i="1"/>
  <c r="S60" i="1"/>
  <c r="L304" i="1"/>
  <c r="O304" i="1" s="1"/>
  <c r="M535" i="1"/>
  <c r="P535" i="1" s="1"/>
  <c r="N729" i="1"/>
  <c r="R140" i="1"/>
  <c r="U140" i="1" s="1"/>
  <c r="T190" i="1"/>
  <c r="O233" i="1"/>
  <c r="R60" i="1"/>
  <c r="U60" i="1" s="1"/>
  <c r="P75" i="1"/>
  <c r="M617" i="1"/>
  <c r="P617" i="1" s="1"/>
  <c r="M691" i="1"/>
  <c r="P691" i="1" s="1"/>
  <c r="Q514" i="1"/>
  <c r="T514" i="1" s="1"/>
  <c r="P284" i="1"/>
  <c r="U515" i="1"/>
  <c r="O75" i="1"/>
  <c r="M20" i="1"/>
  <c r="P20" i="1" s="1"/>
  <c r="S22" i="1"/>
  <c r="O76" i="1"/>
  <c r="O96" i="1"/>
  <c r="T694" i="1"/>
  <c r="N556" i="1"/>
  <c r="T601" i="1"/>
  <c r="Q600" i="1"/>
  <c r="T600" i="1" s="1"/>
  <c r="L760" i="1"/>
  <c r="O760" i="1" s="1"/>
  <c r="U763" i="1"/>
  <c r="T379" i="1"/>
  <c r="T307" i="1"/>
  <c r="N158" i="1"/>
  <c r="T620" i="1"/>
  <c r="Q118" i="1"/>
  <c r="K84" i="1"/>
  <c r="M95" i="1"/>
  <c r="L729" i="1"/>
  <c r="O729" i="1" s="1"/>
  <c r="O692" i="1"/>
  <c r="L691" i="1"/>
  <c r="O691" i="1" s="1"/>
  <c r="K702" i="1"/>
  <c r="Q760" i="1"/>
  <c r="T732" i="1"/>
  <c r="P323" i="1"/>
  <c r="L334" i="1"/>
  <c r="R267" i="1"/>
  <c r="L321" i="1"/>
  <c r="R158" i="1"/>
  <c r="U158" i="1" s="1"/>
  <c r="L393" i="1"/>
  <c r="O393" i="1" s="1"/>
  <c r="N187" i="1"/>
  <c r="P63" i="1"/>
  <c r="P177" i="1"/>
  <c r="R45" i="1"/>
  <c r="U45" i="1" s="1"/>
  <c r="L376" i="1"/>
  <c r="O376" i="1" s="1"/>
  <c r="Q174" i="1"/>
  <c r="T174" i="1" s="1"/>
  <c r="P47" i="1"/>
  <c r="M494" i="1"/>
  <c r="P494" i="1" s="1"/>
  <c r="M600" i="1"/>
  <c r="P600" i="1" s="1"/>
  <c r="Q494" i="1"/>
  <c r="T494" i="1" s="1"/>
  <c r="K627" i="1"/>
  <c r="M158" i="1"/>
  <c r="T644" i="1"/>
  <c r="Q643" i="1"/>
  <c r="M760" i="1"/>
  <c r="P760" i="1" s="1"/>
  <c r="T763" i="1"/>
  <c r="M577" i="1"/>
  <c r="P577" i="1" s="1"/>
  <c r="M393" i="1"/>
  <c r="P393" i="1" s="1"/>
  <c r="Q321" i="1"/>
  <c r="T321" i="1" s="1"/>
  <c r="T378" i="1"/>
  <c r="P143" i="1"/>
  <c r="R283" i="1"/>
  <c r="U283" i="1" s="1"/>
  <c r="O143" i="1"/>
  <c r="M22" i="1"/>
  <c r="Q535" i="1"/>
  <c r="T535" i="1" s="1"/>
  <c r="T716" i="1"/>
  <c r="Q715" i="1"/>
  <c r="T715" i="1" s="1"/>
  <c r="O47" i="1"/>
  <c r="T74" i="1"/>
  <c r="Q73" i="1"/>
  <c r="P48" i="1"/>
  <c r="O716" i="1"/>
  <c r="L715" i="1"/>
  <c r="O715" i="1" s="1"/>
  <c r="P377" i="1"/>
  <c r="M376" i="1"/>
  <c r="P376" i="1" s="1"/>
  <c r="R304" i="1"/>
  <c r="U305" i="1"/>
  <c r="M304" i="1"/>
  <c r="L174" i="1"/>
  <c r="L556" i="1"/>
  <c r="O556" i="1" s="1"/>
  <c r="O557" i="1"/>
  <c r="P307" i="1"/>
  <c r="P557" i="1"/>
  <c r="M556" i="1"/>
  <c r="P556" i="1" s="1"/>
  <c r="T268" i="1"/>
  <c r="Q267" i="1"/>
  <c r="P62" i="1"/>
  <c r="Q357" i="1"/>
  <c r="T357" i="1" s="1"/>
  <c r="T358" i="1"/>
  <c r="T762" i="1"/>
  <c r="U377" i="1"/>
  <c r="R376" i="1"/>
  <c r="U376" i="1" s="1"/>
  <c r="U716" i="1"/>
  <c r="R715" i="1"/>
  <c r="U715" i="1" s="1"/>
  <c r="U175" i="1"/>
  <c r="R174" i="1"/>
  <c r="U174" i="1" s="1"/>
  <c r="L20" i="1"/>
  <c r="O20" i="1" s="1"/>
  <c r="U730" i="1"/>
  <c r="R729" i="1"/>
  <c r="S691" i="1"/>
  <c r="S760" i="1"/>
  <c r="T692" i="1"/>
  <c r="Q691" i="1"/>
  <c r="R556" i="1"/>
  <c r="U556" i="1" s="1"/>
  <c r="Q95" i="1"/>
  <c r="Q187" i="1"/>
  <c r="T188" i="1"/>
  <c r="Q20" i="1"/>
  <c r="T20" i="1" s="1"/>
  <c r="P335" i="1"/>
  <c r="M334" i="1"/>
  <c r="K616" i="1"/>
  <c r="U693" i="1"/>
  <c r="Q140" i="1"/>
  <c r="T140" i="1" s="1"/>
  <c r="T141" i="1"/>
  <c r="O62" i="1"/>
  <c r="Q60" i="1"/>
  <c r="T60" i="1" s="1"/>
  <c r="T578" i="1"/>
  <c r="Q577" i="1"/>
  <c r="T577" i="1" s="1"/>
  <c r="R414" i="1"/>
  <c r="U414" i="1" s="1"/>
  <c r="U415" i="1"/>
  <c r="M514" i="1"/>
  <c r="P514" i="1" s="1"/>
  <c r="Q283" i="1"/>
  <c r="T283" i="1" s="1"/>
  <c r="T284" i="1"/>
  <c r="O515" i="1"/>
  <c r="L514" i="1"/>
  <c r="O514" i="1" s="1"/>
  <c r="Q556" i="1"/>
  <c r="T556" i="1" s="1"/>
  <c r="O188" i="1"/>
  <c r="L187" i="1"/>
  <c r="U188" i="1"/>
  <c r="R187" i="1"/>
  <c r="U75" i="1"/>
  <c r="L118" i="1"/>
  <c r="O118" i="1" s="1"/>
  <c r="S73" i="1"/>
  <c r="R600" i="1"/>
  <c r="U600" i="1" s="1"/>
  <c r="U601" i="1"/>
  <c r="R95" i="1"/>
  <c r="U96" i="1"/>
  <c r="R73" i="1"/>
  <c r="N25" i="1"/>
  <c r="N20" i="1"/>
  <c r="Q617" i="1"/>
  <c r="T619" i="1"/>
  <c r="T415" i="1"/>
  <c r="Q414" i="1"/>
  <c r="T414" i="1" s="1"/>
  <c r="L600" i="1"/>
  <c r="O600" i="1" s="1"/>
  <c r="O601" i="1"/>
  <c r="U394" i="1"/>
  <c r="R393" i="1"/>
  <c r="U393" i="1" s="1"/>
  <c r="P358" i="1"/>
  <c r="M357" i="1"/>
  <c r="L267" i="1"/>
  <c r="O267" i="1" s="1"/>
  <c r="Q376" i="1"/>
  <c r="T376" i="1" s="1"/>
  <c r="O284" i="1"/>
  <c r="L283" i="1"/>
  <c r="R21" i="1"/>
  <c r="U27" i="1"/>
  <c r="T27" i="1"/>
  <c r="Q25" i="1"/>
  <c r="T25" i="1" s="1"/>
  <c r="Q21" i="1"/>
  <c r="L73" i="1"/>
  <c r="R25" i="1"/>
  <c r="U25" i="1" s="1"/>
  <c r="O578" i="1"/>
  <c r="L577" i="1"/>
  <c r="O577" i="1" s="1"/>
  <c r="O644" i="1"/>
  <c r="L643" i="1"/>
  <c r="O643" i="1" s="1"/>
  <c r="R494" i="1"/>
  <c r="U494" i="1" s="1"/>
  <c r="U495" i="1"/>
  <c r="R321" i="1"/>
  <c r="U321" i="1" s="1"/>
  <c r="O536" i="1"/>
  <c r="L535" i="1"/>
  <c r="O535" i="1" s="1"/>
  <c r="M21" i="1"/>
  <c r="P27" i="1"/>
  <c r="K83" i="1"/>
  <c r="I71" i="1"/>
  <c r="K71" i="1" s="1"/>
  <c r="M25" i="1"/>
  <c r="P25" i="1" s="1"/>
  <c r="L25" i="1"/>
  <c r="O25" i="1" s="1"/>
  <c r="P61" i="1"/>
  <c r="M60" i="1"/>
  <c r="P97" i="1"/>
  <c r="U761" i="1"/>
  <c r="R760" i="1"/>
  <c r="R617" i="1"/>
  <c r="L494" i="1"/>
  <c r="O494" i="1" s="1"/>
  <c r="O495" i="1"/>
  <c r="R20" i="1"/>
  <c r="U23" i="1"/>
  <c r="R22" i="1"/>
  <c r="P416" i="1"/>
  <c r="M414" i="1"/>
  <c r="P414" i="1" s="1"/>
  <c r="O141" i="1"/>
  <c r="L140" i="1"/>
  <c r="L21" i="1"/>
  <c r="O24" i="1"/>
  <c r="P189" i="1"/>
  <c r="O189" i="1"/>
  <c r="L22" i="1"/>
  <c r="S21" i="1"/>
  <c r="T22" i="22" l="1"/>
  <c r="T21" i="21"/>
  <c r="O95" i="1"/>
  <c r="U19" i="18"/>
  <c r="T22" i="19"/>
  <c r="T22" i="18"/>
  <c r="U95" i="1"/>
  <c r="T95" i="1"/>
  <c r="T19" i="17"/>
  <c r="T22" i="17"/>
  <c r="T22" i="16"/>
  <c r="T21" i="15"/>
  <c r="T22" i="15"/>
  <c r="T267" i="1"/>
  <c r="U267" i="1"/>
  <c r="T22" i="13"/>
  <c r="T22" i="10"/>
  <c r="O321" i="1"/>
  <c r="P321" i="1"/>
  <c r="T22" i="11"/>
  <c r="T22" i="9"/>
  <c r="T22" i="8"/>
  <c r="T22" i="6"/>
  <c r="U19" i="4"/>
  <c r="N41" i="5"/>
  <c r="T22" i="5"/>
  <c r="T22" i="4"/>
  <c r="T22" i="3"/>
  <c r="T22" i="2"/>
  <c r="U19" i="22"/>
  <c r="Q19" i="12"/>
  <c r="T19" i="12" s="1"/>
  <c r="T118" i="17"/>
  <c r="T187" i="17"/>
  <c r="U304" i="19"/>
  <c r="P21" i="21"/>
  <c r="U118" i="20"/>
  <c r="T267" i="21"/>
  <c r="I186" i="22"/>
  <c r="K186" i="22" s="1"/>
  <c r="K232" i="21"/>
  <c r="U304" i="17"/>
  <c r="O21" i="19"/>
  <c r="P187" i="21"/>
  <c r="N41" i="22"/>
  <c r="O158" i="21"/>
  <c r="O21" i="22"/>
  <c r="P22" i="20"/>
  <c r="O174" i="10"/>
  <c r="T267" i="14"/>
  <c r="L19" i="22"/>
  <c r="O19" i="22" s="1"/>
  <c r="T21" i="22"/>
  <c r="Q19" i="22"/>
  <c r="T19" i="22" s="1"/>
  <c r="P21" i="17"/>
  <c r="O73" i="21"/>
  <c r="O22" i="22"/>
  <c r="U21" i="22"/>
  <c r="P45" i="22"/>
  <c r="M41" i="22"/>
  <c r="U304" i="1"/>
  <c r="I186" i="11"/>
  <c r="K186" i="11" s="1"/>
  <c r="P174" i="19"/>
  <c r="U19" i="19"/>
  <c r="N41" i="19"/>
  <c r="P21" i="22"/>
  <c r="M19" i="22"/>
  <c r="P19" i="22" s="1"/>
  <c r="T304" i="1"/>
  <c r="L41" i="22"/>
  <c r="M19" i="21"/>
  <c r="P19" i="21" s="1"/>
  <c r="L41" i="21"/>
  <c r="O22" i="21"/>
  <c r="P174" i="1"/>
  <c r="N19" i="19"/>
  <c r="O19" i="19" s="1"/>
  <c r="Q19" i="21"/>
  <c r="T19" i="21" s="1"/>
  <c r="O21" i="21"/>
  <c r="L19" i="21"/>
  <c r="O19" i="21" s="1"/>
  <c r="U21" i="21"/>
  <c r="R19" i="21"/>
  <c r="U19" i="21" s="1"/>
  <c r="O174" i="21"/>
  <c r="P174" i="21"/>
  <c r="N41" i="21"/>
  <c r="P304" i="21"/>
  <c r="O304" i="21"/>
  <c r="M41" i="21"/>
  <c r="U22" i="19"/>
  <c r="U22" i="20"/>
  <c r="T729" i="19"/>
  <c r="O21" i="20"/>
  <c r="L19" i="20"/>
  <c r="O19" i="20" s="1"/>
  <c r="T304" i="16"/>
  <c r="U643" i="19"/>
  <c r="L41" i="20"/>
  <c r="O41" i="20" s="1"/>
  <c r="S19" i="20"/>
  <c r="U19" i="20" s="1"/>
  <c r="U21" i="20"/>
  <c r="I186" i="20"/>
  <c r="K186" i="20" s="1"/>
  <c r="K232" i="20"/>
  <c r="M19" i="20"/>
  <c r="P19" i="20" s="1"/>
  <c r="P21" i="20"/>
  <c r="P45" i="20"/>
  <c r="M41" i="20"/>
  <c r="P41" i="20" s="1"/>
  <c r="T21" i="20"/>
  <c r="Q19" i="20"/>
  <c r="O19" i="18"/>
  <c r="U22" i="18"/>
  <c r="T21" i="19"/>
  <c r="Q19" i="19"/>
  <c r="T19" i="19" s="1"/>
  <c r="P60" i="18"/>
  <c r="M41" i="19"/>
  <c r="P45" i="19"/>
  <c r="K232" i="19"/>
  <c r="I186" i="19"/>
  <c r="K186" i="19" s="1"/>
  <c r="T617" i="19"/>
  <c r="U617" i="19"/>
  <c r="P21" i="19"/>
  <c r="M19" i="19"/>
  <c r="I186" i="12"/>
  <c r="K186" i="12" s="1"/>
  <c r="L41" i="19"/>
  <c r="M41" i="18"/>
  <c r="T21" i="14"/>
  <c r="T21" i="18"/>
  <c r="Q19" i="18"/>
  <c r="T19" i="18" s="1"/>
  <c r="O304" i="15"/>
  <c r="I186" i="18"/>
  <c r="K186" i="18" s="1"/>
  <c r="K232" i="18"/>
  <c r="P19" i="18"/>
  <c r="P174" i="18"/>
  <c r="N41" i="18"/>
  <c r="P21" i="18"/>
  <c r="O21" i="18"/>
  <c r="P158" i="17"/>
  <c r="L41" i="18"/>
  <c r="O45" i="18"/>
  <c r="U22" i="17"/>
  <c r="O174" i="17"/>
  <c r="U22" i="16"/>
  <c r="U21" i="17"/>
  <c r="R19" i="17"/>
  <c r="U19" i="17" s="1"/>
  <c r="T729" i="16"/>
  <c r="P304" i="17"/>
  <c r="N41" i="17"/>
  <c r="O304" i="17"/>
  <c r="P60" i="17"/>
  <c r="M41" i="17"/>
  <c r="O22" i="16"/>
  <c r="O21" i="17"/>
  <c r="L19" i="17"/>
  <c r="O19" i="17" s="1"/>
  <c r="I186" i="17"/>
  <c r="K186" i="17" s="1"/>
  <c r="K232" i="17"/>
  <c r="U22" i="14"/>
  <c r="O45" i="17"/>
  <c r="L41" i="17"/>
  <c r="M19" i="17"/>
  <c r="P19" i="17" s="1"/>
  <c r="U267" i="16"/>
  <c r="P140" i="16"/>
  <c r="K232" i="15"/>
  <c r="T21" i="16"/>
  <c r="Q19" i="16"/>
  <c r="T19" i="16" s="1"/>
  <c r="L41" i="16"/>
  <c r="N41" i="16"/>
  <c r="O45" i="16"/>
  <c r="N19" i="16"/>
  <c r="O19" i="16" s="1"/>
  <c r="O21" i="16"/>
  <c r="K232" i="16"/>
  <c r="I186" i="16"/>
  <c r="K186" i="16" s="1"/>
  <c r="P187" i="16"/>
  <c r="M41" i="16"/>
  <c r="O60" i="16"/>
  <c r="P60" i="16"/>
  <c r="P357" i="15"/>
  <c r="N41" i="15"/>
  <c r="P21" i="16"/>
  <c r="M19" i="16"/>
  <c r="U22" i="9"/>
  <c r="Q19" i="15"/>
  <c r="T19" i="15" s="1"/>
  <c r="P22" i="15"/>
  <c r="P140" i="14"/>
  <c r="M41" i="15"/>
  <c r="O140" i="14"/>
  <c r="L41" i="15"/>
  <c r="O22" i="15"/>
  <c r="P304" i="13"/>
  <c r="P21" i="15"/>
  <c r="M19" i="15"/>
  <c r="P22" i="14"/>
  <c r="O21" i="15"/>
  <c r="N19" i="15"/>
  <c r="O19" i="15" s="1"/>
  <c r="U21" i="15"/>
  <c r="R19" i="15"/>
  <c r="U19" i="15" s="1"/>
  <c r="T118" i="15"/>
  <c r="O22" i="14"/>
  <c r="T118" i="12"/>
  <c r="T187" i="14"/>
  <c r="U187" i="14"/>
  <c r="U118" i="6"/>
  <c r="K232" i="14"/>
  <c r="I186" i="14"/>
  <c r="K186" i="14" s="1"/>
  <c r="U21" i="14"/>
  <c r="R19" i="14"/>
  <c r="U19" i="14" s="1"/>
  <c r="L41" i="14"/>
  <c r="O41" i="14" s="1"/>
  <c r="U95" i="14"/>
  <c r="T95" i="14"/>
  <c r="M19" i="14"/>
  <c r="P19" i="14" s="1"/>
  <c r="P21" i="14"/>
  <c r="P21" i="13"/>
  <c r="O21" i="14"/>
  <c r="L19" i="14"/>
  <c r="O19" i="14" s="1"/>
  <c r="M41" i="14"/>
  <c r="P41" i="14" s="1"/>
  <c r="M19" i="13"/>
  <c r="P19" i="13" s="1"/>
  <c r="P73" i="13"/>
  <c r="N41" i="13"/>
  <c r="O21" i="10"/>
  <c r="O22" i="12"/>
  <c r="R19" i="12"/>
  <c r="U19" i="12" s="1"/>
  <c r="U22" i="11"/>
  <c r="U22" i="13"/>
  <c r="N41" i="12"/>
  <c r="U21" i="13"/>
  <c r="R19" i="13"/>
  <c r="U19" i="13" s="1"/>
  <c r="M41" i="13"/>
  <c r="P22" i="13"/>
  <c r="L19" i="13"/>
  <c r="O19" i="13" s="1"/>
  <c r="O45" i="13"/>
  <c r="L41" i="13"/>
  <c r="K232" i="13"/>
  <c r="I186" i="13"/>
  <c r="K186" i="13" s="1"/>
  <c r="T21" i="13"/>
  <c r="Q19" i="13"/>
  <c r="T19" i="13" s="1"/>
  <c r="O22" i="13"/>
  <c r="T304" i="11"/>
  <c r="U22" i="12"/>
  <c r="U19" i="8"/>
  <c r="I186" i="8"/>
  <c r="K186" i="8" s="1"/>
  <c r="U22" i="10"/>
  <c r="O140" i="12"/>
  <c r="P21" i="12"/>
  <c r="M19" i="12"/>
  <c r="P19" i="12" s="1"/>
  <c r="M41" i="12"/>
  <c r="P45" i="12"/>
  <c r="T304" i="10"/>
  <c r="O174" i="12"/>
  <c r="L41" i="12"/>
  <c r="L19" i="12"/>
  <c r="O19" i="12" s="1"/>
  <c r="O21" i="12"/>
  <c r="K232" i="10"/>
  <c r="R19" i="11"/>
  <c r="U19" i="11" s="1"/>
  <c r="T21" i="11"/>
  <c r="Q19" i="11"/>
  <c r="T19" i="11" s="1"/>
  <c r="O21" i="11"/>
  <c r="L19" i="11"/>
  <c r="O19" i="11" s="1"/>
  <c r="U187" i="11"/>
  <c r="T187" i="11"/>
  <c r="U691" i="10"/>
  <c r="O45" i="11"/>
  <c r="L41" i="11"/>
  <c r="O41" i="11" s="1"/>
  <c r="N41" i="8"/>
  <c r="P21" i="11"/>
  <c r="M19" i="11"/>
  <c r="P19" i="11" s="1"/>
  <c r="M41" i="11"/>
  <c r="P41" i="11" s="1"/>
  <c r="P45" i="11"/>
  <c r="O19" i="8"/>
  <c r="O19" i="9"/>
  <c r="N41" i="10"/>
  <c r="P187" i="10"/>
  <c r="L19" i="10"/>
  <c r="O19" i="10" s="1"/>
  <c r="U19" i="10"/>
  <c r="I186" i="7"/>
  <c r="K186" i="7" s="1"/>
  <c r="Q19" i="10"/>
  <c r="T19" i="10" s="1"/>
  <c r="T21" i="10"/>
  <c r="P21" i="10"/>
  <c r="M19" i="10"/>
  <c r="P19" i="10" s="1"/>
  <c r="L41" i="10"/>
  <c r="O45" i="10"/>
  <c r="M41" i="10"/>
  <c r="T304" i="5"/>
  <c r="U95" i="10"/>
  <c r="T118" i="3"/>
  <c r="U187" i="8"/>
  <c r="I186" i="9"/>
  <c r="K186" i="9" s="1"/>
  <c r="K232" i="9"/>
  <c r="P21" i="9"/>
  <c r="M19" i="9"/>
  <c r="P19" i="9" s="1"/>
  <c r="U21" i="9"/>
  <c r="R19" i="9"/>
  <c r="U19" i="9" s="1"/>
  <c r="T21" i="9"/>
  <c r="Q19" i="9"/>
  <c r="T19" i="9" s="1"/>
  <c r="L41" i="9"/>
  <c r="O41" i="9" s="1"/>
  <c r="P45" i="9"/>
  <c r="M41" i="9"/>
  <c r="P41" i="9" s="1"/>
  <c r="O21" i="9"/>
  <c r="P267" i="9"/>
  <c r="P21" i="8"/>
  <c r="O21" i="7"/>
  <c r="O21" i="8"/>
  <c r="P21" i="7"/>
  <c r="M19" i="8"/>
  <c r="P19" i="8" s="1"/>
  <c r="T21" i="8"/>
  <c r="Q19" i="8"/>
  <c r="T19" i="8" s="1"/>
  <c r="L41" i="8"/>
  <c r="P45" i="8"/>
  <c r="M41" i="8"/>
  <c r="M19" i="7"/>
  <c r="P19" i="7" s="1"/>
  <c r="U21" i="7"/>
  <c r="R19" i="7"/>
  <c r="U19" i="7" s="1"/>
  <c r="P19" i="5"/>
  <c r="T617" i="4"/>
  <c r="U267" i="7"/>
  <c r="L19" i="7"/>
  <c r="O19" i="7" s="1"/>
  <c r="U22" i="7"/>
  <c r="M41" i="7"/>
  <c r="P41" i="7" s="1"/>
  <c r="T21" i="7"/>
  <c r="Q19" i="7"/>
  <c r="T19" i="7" s="1"/>
  <c r="L41" i="7"/>
  <c r="O41" i="7" s="1"/>
  <c r="T304" i="4"/>
  <c r="U304" i="6"/>
  <c r="K232" i="5"/>
  <c r="R19" i="6"/>
  <c r="U19" i="6" s="1"/>
  <c r="P140" i="5"/>
  <c r="T267" i="6"/>
  <c r="N41" i="3"/>
  <c r="U22" i="6"/>
  <c r="U73" i="6"/>
  <c r="L41" i="6"/>
  <c r="O41" i="6" s="1"/>
  <c r="O45" i="6"/>
  <c r="U21" i="5"/>
  <c r="T21" i="6"/>
  <c r="Q19" i="6"/>
  <c r="T19" i="6" s="1"/>
  <c r="K232" i="6"/>
  <c r="I186" i="6"/>
  <c r="K186" i="6" s="1"/>
  <c r="O22" i="6"/>
  <c r="P21" i="6"/>
  <c r="M19" i="6"/>
  <c r="P19" i="6" s="1"/>
  <c r="M41" i="6"/>
  <c r="P41" i="6" s="1"/>
  <c r="O21" i="6"/>
  <c r="L19" i="6"/>
  <c r="O19" i="6" s="1"/>
  <c r="P21" i="4"/>
  <c r="U21" i="4"/>
  <c r="T267" i="5"/>
  <c r="L41" i="5"/>
  <c r="L19" i="5"/>
  <c r="O19" i="5" s="1"/>
  <c r="O21" i="5"/>
  <c r="P21" i="5"/>
  <c r="M41" i="5"/>
  <c r="P45" i="5"/>
  <c r="U187" i="5"/>
  <c r="T95" i="2"/>
  <c r="N41" i="2"/>
  <c r="U22" i="3"/>
  <c r="P21" i="1"/>
  <c r="N19" i="1"/>
  <c r="O22" i="4"/>
  <c r="U187" i="1"/>
  <c r="T187" i="1"/>
  <c r="N41" i="4"/>
  <c r="T21" i="4"/>
  <c r="Q19" i="4"/>
  <c r="T19" i="4" s="1"/>
  <c r="L41" i="4"/>
  <c r="O45" i="4"/>
  <c r="N19" i="4"/>
  <c r="O19" i="4" s="1"/>
  <c r="O21" i="4"/>
  <c r="Q19" i="3"/>
  <c r="T21" i="3"/>
  <c r="P140" i="4"/>
  <c r="M41" i="4"/>
  <c r="P22" i="4"/>
  <c r="P187" i="4"/>
  <c r="P140" i="2"/>
  <c r="O174" i="3"/>
  <c r="P21" i="3"/>
  <c r="P174" i="3"/>
  <c r="L41" i="2"/>
  <c r="S19" i="3"/>
  <c r="U19" i="3" s="1"/>
  <c r="O21" i="3"/>
  <c r="L19" i="3"/>
  <c r="O19" i="3" s="1"/>
  <c r="P19" i="3"/>
  <c r="I186" i="3"/>
  <c r="K186" i="3" s="1"/>
  <c r="K232" i="3"/>
  <c r="O45" i="3"/>
  <c r="L41" i="3"/>
  <c r="P45" i="3"/>
  <c r="M41" i="3"/>
  <c r="U187" i="2"/>
  <c r="M19" i="2"/>
  <c r="P19" i="2" s="1"/>
  <c r="P21" i="2"/>
  <c r="U22" i="2"/>
  <c r="U21" i="2"/>
  <c r="K232" i="2"/>
  <c r="I186" i="2"/>
  <c r="K186" i="2" s="1"/>
  <c r="P45" i="2"/>
  <c r="M41" i="2"/>
  <c r="R19" i="2"/>
  <c r="U19" i="2" s="1"/>
  <c r="O21" i="2"/>
  <c r="L19" i="2"/>
  <c r="O19" i="2" s="1"/>
  <c r="T21" i="2"/>
  <c r="Q19" i="2"/>
  <c r="T19" i="2" s="1"/>
  <c r="T729" i="1"/>
  <c r="U729" i="1"/>
  <c r="P73" i="1"/>
  <c r="P140" i="1"/>
  <c r="P283" i="1"/>
  <c r="O140" i="1"/>
  <c r="P267" i="1"/>
  <c r="O357" i="1"/>
  <c r="P304" i="1"/>
  <c r="U617" i="1"/>
  <c r="T617" i="1"/>
  <c r="O283" i="1"/>
  <c r="O334" i="1"/>
  <c r="T22" i="1"/>
  <c r="P187" i="1"/>
  <c r="S19" i="1"/>
  <c r="P357" i="1"/>
  <c r="U691" i="1"/>
  <c r="O158" i="1"/>
  <c r="U760" i="1"/>
  <c r="P334" i="1"/>
  <c r="O60" i="1"/>
  <c r="P95" i="1"/>
  <c r="P60" i="1"/>
  <c r="O73" i="1"/>
  <c r="T118" i="1"/>
  <c r="O174" i="1"/>
  <c r="U118" i="1"/>
  <c r="T73" i="1"/>
  <c r="O187" i="1"/>
  <c r="O22" i="1"/>
  <c r="U643" i="1"/>
  <c r="T760" i="1"/>
  <c r="U22" i="1"/>
  <c r="T643" i="1"/>
  <c r="P22" i="1"/>
  <c r="T691" i="1"/>
  <c r="P158" i="1"/>
  <c r="T21" i="1"/>
  <c r="Q19" i="1"/>
  <c r="M19" i="1"/>
  <c r="O21" i="1"/>
  <c r="L19" i="1"/>
  <c r="U20" i="1"/>
  <c r="R19" i="1"/>
  <c r="U21" i="1"/>
  <c r="U73" i="1"/>
  <c r="T19" i="20" l="1"/>
  <c r="O41" i="5"/>
  <c r="P41" i="5"/>
  <c r="P19" i="19"/>
  <c r="T19" i="3"/>
  <c r="O41" i="19"/>
  <c r="P41" i="19"/>
  <c r="P41" i="22"/>
  <c r="O41" i="22"/>
  <c r="O41" i="21"/>
  <c r="P41" i="21"/>
  <c r="O41" i="18"/>
  <c r="P41" i="18"/>
  <c r="P41" i="17"/>
  <c r="P41" i="15"/>
  <c r="O41" i="17"/>
  <c r="O41" i="16"/>
  <c r="O41" i="15"/>
  <c r="P41" i="16"/>
  <c r="P19" i="16"/>
  <c r="P19" i="15"/>
  <c r="P41" i="13"/>
  <c r="O41" i="12"/>
  <c r="O41" i="13"/>
  <c r="P41" i="12"/>
  <c r="O41" i="8"/>
  <c r="P41" i="8"/>
  <c r="P41" i="10"/>
  <c r="O41" i="10"/>
  <c r="T19" i="1"/>
  <c r="O41" i="2"/>
  <c r="O41" i="3"/>
  <c r="P19" i="1"/>
  <c r="P41" i="3"/>
  <c r="O19" i="1"/>
  <c r="P41" i="2"/>
  <c r="P19" i="4"/>
  <c r="O41" i="4"/>
  <c r="P41" i="4"/>
  <c r="U1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199" authorId="0" shapeId="0" xr:uid="{3169A727-19D5-451F-80B6-E86FAF3C274E}">
      <text>
        <r>
          <rPr>
            <sz val="10"/>
            <color rgb="FF000000"/>
            <rFont val="Arial"/>
            <scheme val="minor"/>
          </rPr>
          <t>840
	-สุดารัตน์ ชนะกุล</t>
        </r>
      </text>
    </comment>
  </commentList>
</comments>
</file>

<file path=xl/sharedStrings.xml><?xml version="1.0" encoding="utf-8"?>
<sst xmlns="http://schemas.openxmlformats.org/spreadsheetml/2006/main" count="28833" uniqueCount="360">
  <si>
    <t>รายละเอียดแผนงาน/โครงการ ผลผลิต/กิจกรรม ปีงบประมาณ พ.ศ. 2567</t>
  </si>
  <si>
    <t>รวมกลาง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</si>
  <si>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</si>
  <si>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</si>
  <si>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</si>
  <si>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</si>
  <si>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</si>
  <si>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</si>
  <si>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</si>
  <si>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</si>
  <si>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</si>
  <si>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</si>
  <si>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</si>
  <si>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</si>
  <si>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</si>
  <si>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</si>
  <si>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</si>
  <si>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</si>
  <si>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</si>
  <si>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</si>
  <si>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</si>
  <si>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</si>
  <si>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</si>
  <si>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</si>
  <si>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</si>
  <si>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</si>
  <si>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</si>
  <si>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</si>
  <si>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</si>
  <si>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</si>
  <si>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</si>
  <si>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</si>
  <si>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</si>
  <si>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</si>
  <si>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</si>
  <si>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</si>
  <si>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</si>
  <si>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</si>
  <si>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</si>
  <si>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</si>
  <si>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</si>
  <si>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</si>
  <si>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</si>
  <si>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</si>
  <si>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</si>
  <si>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</si>
  <si>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</si>
  <si>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</si>
  <si>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</si>
  <si>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</si>
  <si>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</si>
  <si>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</si>
  <si>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</si>
  <si>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</si>
  <si>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</si>
  <si>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</si>
  <si>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</si>
  <si>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</si>
  <si>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</si>
  <si>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</si>
  <si>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</si>
  <si>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</si>
  <si>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</si>
  <si>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</si>
  <si>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rgb="FF000000"/>
        <rFont val="Arial"/>
      </rPr>
      <t>- หลักสูตรที่ 1</t>
    </r>
    <r>
      <rPr>
        <sz val="15"/>
        <color rgb="FF000000"/>
        <rFont val="Arial"/>
      </rPr>
      <t xml:space="preserve"> การดูแลรักษาโรงอบ ฯ</t>
    </r>
  </si>
  <si>
    <r>
      <rPr>
        <b/>
        <sz val="15"/>
        <color rgb="FF000000"/>
        <rFont val="Arial"/>
      </rPr>
      <t>- หลักสูตรที่ 2</t>
    </r>
    <r>
      <rPr>
        <sz val="15"/>
        <color rgb="FF000000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</si>
  <si>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</si>
  <si>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</si>
  <si>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</si>
  <si>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</si>
  <si>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</si>
  <si>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</si>
  <si>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</si>
  <si>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</si>
  <si>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</si>
  <si>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</si>
  <si>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</si>
  <si>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</si>
  <si>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</si>
  <si>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</si>
  <si>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</si>
  <si>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</si>
  <si>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</si>
  <si>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</si>
  <si>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</si>
  <si>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</si>
  <si>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</si>
  <si>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</si>
  <si>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</si>
  <si>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</si>
  <si>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</si>
  <si>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</si>
  <si>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</si>
  <si>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</si>
  <si>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</si>
  <si>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</si>
  <si>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</si>
  <si>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</si>
  <si>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</si>
  <si>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</si>
  <si>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</si>
  <si>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</si>
  <si>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</si>
  <si>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</si>
  <si>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</si>
  <si>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</si>
  <si>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</si>
  <si>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</si>
  <si>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</si>
  <si>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</si>
  <si>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</si>
  <si>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</si>
  <si>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</si>
  <si>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</si>
  <si>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</si>
  <si>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</si>
  <si>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</si>
  <si>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</si>
  <si>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</si>
  <si>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</si>
  <si>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</si>
  <si>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</si>
  <si>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rgb="FF000000"/>
        <rFont val="Arial"/>
      </rPr>
      <t xml:space="preserve">หลักสูตร </t>
    </r>
    <r>
      <rPr>
        <sz val="15"/>
        <color rgb="FF000000"/>
        <rFont val="Arial"/>
      </rPr>
      <t>แนวทางการเฝ้าระวังการเผาไหม้ฯ</t>
    </r>
  </si>
  <si>
    <r>
      <rPr>
        <sz val="15"/>
        <color rgb="FF000000"/>
        <rFont val="Arial"/>
      </rPr>
      <t xml:space="preserve">- เกษตรกรที่เข้าร่วมโครงการ </t>
    </r>
    <r>
      <rPr>
        <b/>
        <sz val="15"/>
        <color rgb="FF000000"/>
        <rFont val="Arial"/>
      </rPr>
      <t>ทั้งหมด</t>
    </r>
  </si>
  <si>
    <r>
      <rPr>
        <sz val="15"/>
        <color rgb="FF000000"/>
        <rFont val="Arial"/>
      </rPr>
      <t xml:space="preserve">- เกษตรกร </t>
    </r>
    <r>
      <rPr>
        <b/>
        <sz val="15"/>
        <color rgb="FF000000"/>
        <rFont val="Arial"/>
      </rPr>
      <t>เฉพาะ</t>
    </r>
    <r>
      <rPr>
        <sz val="15"/>
        <color rgb="FF000000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</si>
  <si>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</si>
  <si>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</si>
  <si>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</si>
  <si>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</si>
  <si>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</si>
  <si>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</si>
  <si>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</si>
  <si>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</si>
  <si>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</si>
  <si>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</si>
  <si>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</si>
  <si>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</si>
  <si>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</si>
  <si>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</si>
  <si>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</si>
  <si>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</si>
  <si>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</si>
  <si>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</si>
  <si>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</si>
  <si>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</si>
  <si>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</si>
  <si>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</si>
  <si>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</si>
  <si>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</si>
  <si>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</si>
  <si>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</si>
  <si>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</si>
  <si>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 (ภายใน พ.ค.67)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</si>
  <si>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</si>
  <si>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</si>
  <si>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</si>
  <si>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</si>
  <si>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</si>
  <si>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</si>
  <si>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</si>
  <si>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</si>
  <si>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</si>
  <si>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</si>
  <si>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</si>
  <si>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</si>
  <si>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</si>
  <si>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</si>
  <si>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</si>
  <si>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</si>
  <si>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</si>
  <si>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</si>
  <si>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</si>
  <si>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</si>
  <si>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</si>
  <si>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</si>
  <si>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</si>
  <si>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</si>
  <si>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</si>
  <si>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</si>
  <si>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</si>
  <si>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</si>
  <si>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</si>
  <si>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</si>
  <si>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</si>
  <si>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</si>
  <si>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</si>
  <si>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</si>
  <si>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</si>
  <si>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</si>
  <si>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</si>
  <si>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</si>
  <si>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</si>
  <si>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</si>
  <si>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</si>
  <si>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</si>
  <si>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</si>
  <si>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</si>
  <si>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</si>
  <si>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</si>
  <si>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</si>
  <si>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</si>
  <si>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</si>
  <si>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</si>
  <si>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</si>
  <si>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</si>
  <si>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</si>
  <si>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</si>
  <si>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</si>
  <si>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</si>
  <si>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</si>
  <si>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</si>
  <si>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</si>
  <si>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</si>
  <si>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</si>
  <si>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</si>
  <si>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</si>
  <si>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</si>
  <si>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</si>
  <si>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</si>
  <si>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</si>
  <si>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</si>
  <si>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</si>
  <si>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</si>
  <si>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</si>
  <si>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</si>
  <si>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</si>
  <si>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</si>
  <si>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</si>
  <si>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</si>
  <si>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</si>
  <si>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</si>
  <si>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</si>
  <si>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</si>
  <si>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</si>
  <si>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</si>
  <si>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</si>
  <si>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</si>
  <si>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</si>
  <si>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</si>
  <si>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</si>
  <si>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</si>
  <si>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</si>
  <si>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</si>
  <si>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</si>
  <si>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</si>
  <si>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</si>
  <si>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</si>
  <si>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</si>
  <si>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</si>
  <si>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</si>
  <si>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</si>
  <si>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</si>
  <si>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</si>
  <si>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</si>
  <si>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</si>
  <si>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</si>
  <si>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</si>
  <si>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</si>
  <si>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</si>
  <si>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</si>
  <si>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</si>
  <si>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</si>
  <si>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</si>
  <si>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</si>
  <si>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</si>
  <si>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</si>
  <si>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</si>
  <si>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</si>
  <si>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</si>
  <si>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</si>
  <si>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</si>
  <si>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</si>
  <si>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</si>
  <si>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</si>
  <si>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</si>
  <si>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</si>
  <si>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</si>
  <si>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</si>
  <si>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</si>
  <si>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</si>
  <si>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</si>
  <si>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</si>
  <si>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</si>
  <si>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</si>
  <si>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</si>
  <si>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</si>
  <si>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</si>
  <si>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</si>
  <si>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</si>
  <si>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</si>
  <si>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</si>
  <si>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</si>
  <si>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</si>
  <si>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</si>
  <si>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</si>
  <si>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</si>
  <si>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t>สำนักงานการปฏิรูปที่ดินจังหวัด กาญจนบุรี</t>
  </si>
  <si>
    <t>รวม งบประมาณ</t>
  </si>
  <si>
    <t>3. กิจกรรมส่งเสริมการเกษตรแบบแปลงใหญ่</t>
  </si>
  <si>
    <t>- งบบริหารโครงการ</t>
  </si>
  <si>
    <t>- ค่าใช้จ่ายในการบริหารงาน</t>
  </si>
  <si>
    <t>- ค่าใช้จ่ายในการปฏิบัติงาน</t>
  </si>
  <si>
    <t>(5) โครงการพัฒนาพื้นที่สูงแบบโครงการหลวงห้วยเขย่ง</t>
  </si>
  <si>
    <t>16. กิจกรรมแผนที่แปลงที่ดินตามมาตรฐาน RTK GNSS Network</t>
  </si>
  <si>
    <t>17. กิจกรรมสำรวจและออกแบบโครงสร้างพื้นฐานในเขตปฏิรูปที่ดิน</t>
  </si>
  <si>
    <t>18. โครงการตรวจสอบที่ดิน</t>
  </si>
  <si>
    <t>21. กิจกรรมขุดสระเก็บน้ำสาธารณะ</t>
  </si>
  <si>
    <t>22. กิจกรรมพัฒนาแหล่งน้ำและระบบกระจายน้ำ</t>
  </si>
  <si>
    <t>23. กิจกรรมฝายชะลอน้ำแบบชั่วคราวสำหรับการเพิ่มประสิทธิภาพของแหล่งน้ำ</t>
  </si>
  <si>
    <t>24. กิจกรรมส่งเสริมและขยายพันธุ์พืชในเขตปฏิรูปที่ดิน</t>
  </si>
  <si>
    <t>3. โครงการตรวจสอบมาตรฐานการสำรวจรังวัดและจัดทำระวางแผนที่</t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</si>
  <si>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</si>
  <si>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</si>
  <si>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</si>
  <si>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</si>
  <si>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</si>
  <si>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</si>
  <si>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</si>
  <si>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</si>
  <si>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</si>
  <si>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</si>
  <si>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t>สำนักงานการปฏิรูปที่ดินจังหวัด จันทบุรี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</si>
  <si>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</si>
  <si>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</si>
  <si>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(5) โครงการพัชรสุธาคชานุรักษ์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</si>
  <si>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</si>
  <si>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</si>
  <si>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</si>
  <si>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19. กิจกรรมยกระดับรายได้เกษตรกรในเขตปฏิรูปที่ดินเพื่อลดความเหลื่อมล้ำ</t>
  </si>
  <si>
    <t>5. โครงการส่งเสริมเกษตรอินทรีย์ในเขตปฏิรูปที่ดิน</t>
  </si>
  <si>
    <t>สำนักงานการปฏิรูปที่ดินจังหวัด ฉะเชิงเทรา</t>
  </si>
  <si>
    <t xml:space="preserve">กิจกรรมพัฒนาธุรกิจชุมชนในเขตปฏิรูปที่ดิน </t>
  </si>
  <si>
    <t>(5) โครงการที่ดินพระราชทาน</t>
  </si>
  <si>
    <t xml:space="preserve"> - เกษตรกรเป้าหมาย</t>
  </si>
  <si>
    <t xml:space="preserve"> - เกษตรกรตัวอย่าง</t>
  </si>
  <si>
    <t>(6) โครงการพัชรสุธาคชานุรักษ์</t>
  </si>
  <si>
    <t>1. โครงการบริหารจัดการที่ดินเอกชน</t>
  </si>
  <si>
    <t>2. โครงการจัดที่ดินชุมชนในเขตปฏิรูปที่ดิน</t>
  </si>
  <si>
    <t>4. โครงการส่งเสริมระบบวนเกษตรในเขตปฏิรูปที่ดิน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</si>
  <si>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</si>
  <si>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</si>
  <si>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</si>
  <si>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</si>
  <si>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>สำนักงานการปฏิรูปที่ดินจังหวัด นครปฐม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</si>
  <si>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</si>
  <si>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</si>
  <si>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สำนักงานการปฏิรูปที่ดินจังหวัด ปราจีนบุรี</t>
  </si>
  <si>
    <t>(5) โครงการพัฒนาพื้นที่ที่ราบเชิงเขาจังหวัดสระแก้ว-ปราจีนบุรี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</si>
  <si>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</si>
  <si>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</si>
  <si>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</si>
  <si>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</si>
  <si>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</si>
  <si>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</si>
  <si>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t>(6) โครงการพัฒนาพื้นที่ที่ราบเชิงเขา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</si>
  <si>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</si>
  <si>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</si>
  <si>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</si>
  <si>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</si>
  <si>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29 กุมภาพันธ์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</si>
</sst>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_-;\-* #,##0.0_-;_-* &quot;-&quot;_-;_-@"/>
    <numFmt numFmtId="192" formatCode="_-* #,##0.00_-;\-* #,##0.00_-;_-* &quot;-&quot;????_-;_-@"/>
    <numFmt numFmtId="193" formatCode="_-* #,##0.00_-;\-* #,##0.00_-;_-* &quot;-&quot;_-;_-@"/>
  </numFmts>
  <fonts count="61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rgb="FF000000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sz val="10"/>
      <color theme="1"/>
      <name val="Arial"/>
    </font>
    <font>
      <b/>
      <u/>
      <sz val="15"/>
      <color rgb="FF000000"/>
      <name val="Arial"/>
    </font>
    <font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sz val="15"/>
      <color rgb="FFFF0000"/>
      <name val="Arial"/>
    </font>
    <font>
      <sz val="15"/>
      <color theme="1"/>
      <name val="Arial"/>
    </font>
    <font>
      <u/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sz val="15"/>
      <color rgb="FFFF0000"/>
      <name val="Arial"/>
    </font>
    <font>
      <i/>
      <sz val="15"/>
      <color rgb="FFFF0000"/>
      <name val="Arial"/>
    </font>
    <font>
      <b/>
      <u/>
      <sz val="15"/>
      <color rgb="FF000000"/>
      <name val="Arial"/>
    </font>
    <font>
      <sz val="10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sz val="10"/>
      <color rgb="FFFFFFFF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b/>
      <u/>
      <sz val="15"/>
      <color rgb="FF000000"/>
      <name val="Arial"/>
    </font>
    <font>
      <sz val="13"/>
      <color rgb="FF000000"/>
      <name val="Arial"/>
    </font>
    <font>
      <i/>
      <sz val="15"/>
      <color rgb="FF000000"/>
      <name val="Arial"/>
    </font>
    <font>
      <i/>
      <sz val="13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sz val="14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u/>
      <sz val="15"/>
      <color rgb="FFFF0000"/>
      <name val="Arial"/>
    </font>
    <font>
      <sz val="14"/>
      <color rgb="FFFF0000"/>
      <name val="Arial"/>
    </font>
    <font>
      <b/>
      <sz val="10"/>
      <color theme="1"/>
      <name val="Arial"/>
    </font>
    <font>
      <sz val="10"/>
      <color theme="1"/>
      <name val="Arial"/>
      <scheme val="minor"/>
    </font>
    <font>
      <sz val="15"/>
      <color rgb="FF000000"/>
      <name val="Arial"/>
      <scheme val="minor"/>
    </font>
    <font>
      <sz val="11"/>
      <color theme="1"/>
      <name val="Arial"/>
    </font>
    <font>
      <sz val="11"/>
      <color theme="1"/>
      <name val="Arial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</fills>
  <borders count="3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391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2" fillId="2" borderId="0" xfId="0" applyFont="1" applyFill="1" applyAlignment="1"/>
    <xf numFmtId="187" fontId="2" fillId="2" borderId="0" xfId="0" applyNumberFormat="1" applyFont="1" applyFill="1" applyAlignment="1"/>
    <xf numFmtId="188" fontId="2" fillId="2" borderId="0" xfId="0" applyNumberFormat="1" applyFont="1" applyFill="1" applyAlignment="1"/>
    <xf numFmtId="0" fontId="1" fillId="5" borderId="7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188" fontId="1" fillId="6" borderId="12" xfId="0" applyNumberFormat="1" applyFont="1" applyFill="1" applyBorder="1" applyAlignment="1">
      <alignment horizontal="center"/>
    </xf>
    <xf numFmtId="187" fontId="1" fillId="6" borderId="12" xfId="0" applyNumberFormat="1" applyFont="1" applyFill="1" applyBorder="1" applyAlignment="1">
      <alignment horizontal="center" wrapText="1"/>
    </xf>
    <xf numFmtId="188" fontId="1" fillId="7" borderId="12" xfId="0" applyNumberFormat="1" applyFont="1" applyFill="1" applyBorder="1" applyAlignment="1">
      <alignment horizontal="center" wrapText="1"/>
    </xf>
    <xf numFmtId="188" fontId="1" fillId="9" borderId="12" xfId="0" applyNumberFormat="1" applyFont="1" applyFill="1" applyBorder="1" applyAlignment="1">
      <alignment horizontal="center" wrapText="1"/>
    </xf>
    <xf numFmtId="188" fontId="1" fillId="8" borderId="12" xfId="0" applyNumberFormat="1" applyFont="1" applyFill="1" applyBorder="1" applyAlignment="1">
      <alignment horizontal="center"/>
    </xf>
    <xf numFmtId="188" fontId="5" fillId="7" borderId="11" xfId="0" applyNumberFormat="1" applyFont="1" applyFill="1" applyBorder="1" applyAlignment="1">
      <alignment horizontal="center" wrapText="1"/>
    </xf>
    <xf numFmtId="188" fontId="5" fillId="9" borderId="9" xfId="0" applyNumberFormat="1" applyFont="1" applyFill="1" applyBorder="1" applyAlignment="1">
      <alignment horizontal="center" wrapText="1"/>
    </xf>
    <xf numFmtId="188" fontId="5" fillId="8" borderId="9" xfId="0" applyNumberFormat="1" applyFont="1" applyFill="1" applyBorder="1" applyAlignment="1">
      <alignment horizontal="center"/>
    </xf>
    <xf numFmtId="0" fontId="2" fillId="10" borderId="12" xfId="0" applyFont="1" applyFill="1" applyBorder="1" applyAlignment="1"/>
    <xf numFmtId="189" fontId="2" fillId="10" borderId="12" xfId="0" applyNumberFormat="1" applyFont="1" applyFill="1" applyBorder="1" applyAlignment="1"/>
    <xf numFmtId="188" fontId="2" fillId="10" borderId="12" xfId="0" applyNumberFormat="1" applyFont="1" applyFill="1" applyBorder="1" applyAlignment="1"/>
    <xf numFmtId="188" fontId="6" fillId="10" borderId="11" xfId="0" applyNumberFormat="1" applyFont="1" applyFill="1" applyBorder="1" applyAlignment="1"/>
    <xf numFmtId="188" fontId="6" fillId="10" borderId="9" xfId="0" applyNumberFormat="1" applyFont="1" applyFill="1" applyBorder="1" applyAlignment="1"/>
    <xf numFmtId="0" fontId="2" fillId="10" borderId="13" xfId="0" applyFont="1" applyFill="1" applyBorder="1" applyAlignment="1"/>
    <xf numFmtId="0" fontId="2" fillId="10" borderId="14" xfId="0" applyFont="1" applyFill="1" applyBorder="1" applyAlignment="1"/>
    <xf numFmtId="0" fontId="1" fillId="10" borderId="14" xfId="0" applyFont="1" applyFill="1" applyBorder="1" applyAlignment="1"/>
    <xf numFmtId="0" fontId="7" fillId="10" borderId="14" xfId="0" applyFont="1" applyFill="1" applyBorder="1" applyAlignment="1"/>
    <xf numFmtId="0" fontId="2" fillId="10" borderId="15" xfId="0" applyFont="1" applyFill="1" applyBorder="1" applyAlignment="1"/>
    <xf numFmtId="0" fontId="1" fillId="10" borderId="15" xfId="0" applyFont="1" applyFill="1" applyBorder="1" applyAlignment="1">
      <alignment horizontal="center"/>
    </xf>
    <xf numFmtId="189" fontId="2" fillId="10" borderId="15" xfId="0" applyNumberFormat="1" applyFont="1" applyFill="1" applyBorder="1" applyAlignment="1"/>
    <xf numFmtId="188" fontId="2" fillId="10" borderId="15" xfId="0" applyNumberFormat="1" applyFont="1" applyFill="1" applyBorder="1" applyAlignment="1"/>
    <xf numFmtId="188" fontId="1" fillId="10" borderId="15" xfId="0" applyNumberFormat="1" applyFont="1" applyFill="1" applyBorder="1" applyAlignment="1">
      <alignment horizontal="right"/>
    </xf>
    <xf numFmtId="188" fontId="6" fillId="10" borderId="16" xfId="0" applyNumberFormat="1" applyFont="1" applyFill="1" applyBorder="1" applyAlignment="1"/>
    <xf numFmtId="188" fontId="6" fillId="10" borderId="15" xfId="0" applyNumberFormat="1" applyFont="1" applyFill="1" applyBorder="1" applyAlignment="1"/>
    <xf numFmtId="0" fontId="8" fillId="10" borderId="14" xfId="0" applyFont="1" applyFill="1" applyBorder="1" applyAlignment="1"/>
    <xf numFmtId="0" fontId="8" fillId="10" borderId="15" xfId="0" applyFont="1" applyFill="1" applyBorder="1" applyAlignment="1">
      <alignment horizontal="center"/>
    </xf>
    <xf numFmtId="188" fontId="8" fillId="10" borderId="15" xfId="0" applyNumberFormat="1" applyFont="1" applyFill="1" applyBorder="1" applyAlignment="1">
      <alignment horizontal="right"/>
    </xf>
    <xf numFmtId="0" fontId="9" fillId="10" borderId="14" xfId="0" applyFont="1" applyFill="1" applyBorder="1" applyAlignment="1"/>
    <xf numFmtId="0" fontId="2" fillId="10" borderId="8" xfId="0" applyFont="1" applyFill="1" applyBorder="1" applyAlignment="1"/>
    <xf numFmtId="0" fontId="2" fillId="10" borderId="10" xfId="0" applyFont="1" applyFill="1" applyBorder="1" applyAlignment="1"/>
    <xf numFmtId="0" fontId="8" fillId="10" borderId="10" xfId="0" applyFont="1" applyFill="1" applyBorder="1" applyAlignment="1"/>
    <xf numFmtId="0" fontId="2" fillId="10" borderId="9" xfId="0" applyFont="1" applyFill="1" applyBorder="1" applyAlignment="1"/>
    <xf numFmtId="0" fontId="8" fillId="10" borderId="9" xfId="0" applyFont="1" applyFill="1" applyBorder="1" applyAlignment="1">
      <alignment horizontal="center"/>
    </xf>
    <xf numFmtId="189" fontId="2" fillId="10" borderId="9" xfId="0" applyNumberFormat="1" applyFont="1" applyFill="1" applyBorder="1" applyAlignment="1"/>
    <xf numFmtId="188" fontId="2" fillId="10" borderId="9" xfId="0" applyNumberFormat="1" applyFont="1" applyFill="1" applyBorder="1" applyAlignment="1"/>
    <xf numFmtId="188" fontId="8" fillId="10" borderId="9" xfId="0" applyNumberFormat="1" applyFont="1" applyFill="1" applyBorder="1" applyAlignment="1">
      <alignment horizontal="right"/>
    </xf>
    <xf numFmtId="0" fontId="2" fillId="11" borderId="9" xfId="0" applyFont="1" applyFill="1" applyBorder="1" applyAlignment="1"/>
    <xf numFmtId="189" fontId="2" fillId="11" borderId="9" xfId="0" applyNumberFormat="1" applyFont="1" applyFill="1" applyBorder="1" applyAlignment="1"/>
    <xf numFmtId="188" fontId="2" fillId="11" borderId="9" xfId="0" applyNumberFormat="1" applyFont="1" applyFill="1" applyBorder="1" applyAlignment="1"/>
    <xf numFmtId="188" fontId="6" fillId="11" borderId="11" xfId="0" applyNumberFormat="1" applyFont="1" applyFill="1" applyBorder="1" applyAlignment="1"/>
    <xf numFmtId="188" fontId="6" fillId="11" borderId="9" xfId="0" applyNumberFormat="1" applyFont="1" applyFill="1" applyBorder="1" applyAlignment="1"/>
    <xf numFmtId="0" fontId="2" fillId="12" borderId="13" xfId="0" applyFont="1" applyFill="1" applyBorder="1" applyAlignment="1"/>
    <xf numFmtId="0" fontId="2" fillId="12" borderId="14" xfId="0" applyFont="1" applyFill="1" applyBorder="1" applyAlignment="1"/>
    <xf numFmtId="0" fontId="1" fillId="12" borderId="14" xfId="0" applyFont="1" applyFill="1" applyBorder="1" applyAlignment="1"/>
    <xf numFmtId="0" fontId="10" fillId="12" borderId="14" xfId="0" applyFont="1" applyFill="1" applyBorder="1" applyAlignment="1"/>
    <xf numFmtId="0" fontId="2" fillId="12" borderId="15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2" fillId="12" borderId="15" xfId="0" applyNumberFormat="1" applyFont="1" applyFill="1" applyBorder="1" applyAlignment="1"/>
    <xf numFmtId="188" fontId="2" fillId="12" borderId="15" xfId="0" applyNumberFormat="1" applyFont="1" applyFill="1" applyBorder="1" applyAlignment="1"/>
    <xf numFmtId="188" fontId="5" fillId="12" borderId="17" xfId="0" applyNumberFormat="1" applyFont="1" applyFill="1" applyBorder="1" applyAlignment="1">
      <alignment horizontal="right"/>
    </xf>
    <xf numFmtId="188" fontId="5" fillId="12" borderId="18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5" xfId="0" applyNumberFormat="1" applyFont="1" applyFill="1" applyBorder="1" applyAlignment="1">
      <alignment horizontal="right"/>
    </xf>
    <xf numFmtId="0" fontId="8" fillId="12" borderId="14" xfId="0" applyFont="1" applyFill="1" applyBorder="1" applyAlignment="1"/>
    <xf numFmtId="0" fontId="8" fillId="12" borderId="15" xfId="0" applyFont="1" applyFill="1" applyBorder="1" applyAlignment="1">
      <alignment horizontal="center"/>
    </xf>
    <xf numFmtId="188" fontId="11" fillId="12" borderId="16" xfId="0" applyNumberFormat="1" applyFont="1" applyFill="1" applyBorder="1" applyAlignment="1">
      <alignment horizontal="right"/>
    </xf>
    <xf numFmtId="188" fontId="11" fillId="12" borderId="15" xfId="0" applyNumberFormat="1" applyFont="1" applyFill="1" applyBorder="1" applyAlignment="1">
      <alignment horizontal="right"/>
    </xf>
    <xf numFmtId="188" fontId="12" fillId="12" borderId="16" xfId="0" applyNumberFormat="1" applyFont="1" applyFill="1" applyBorder="1" applyAlignment="1">
      <alignment horizontal="right"/>
    </xf>
    <xf numFmtId="188" fontId="12" fillId="12" borderId="15" xfId="0" applyNumberFormat="1" applyFont="1" applyFill="1" applyBorder="1" applyAlignment="1">
      <alignment horizontal="right"/>
    </xf>
    <xf numFmtId="0" fontId="2" fillId="2" borderId="13" xfId="0" applyFont="1" applyFill="1" applyBorder="1" applyAlignment="1"/>
    <xf numFmtId="0" fontId="2" fillId="2" borderId="14" xfId="0" applyFont="1" applyFill="1" applyBorder="1" applyAlignment="1"/>
    <xf numFmtId="0" fontId="13" fillId="2" borderId="14" xfId="0" applyFont="1" applyFill="1" applyBorder="1" applyAlignment="1"/>
    <xf numFmtId="0" fontId="2" fillId="2" borderId="15" xfId="0" applyFont="1" applyFill="1" applyBorder="1" applyAlignment="1"/>
    <xf numFmtId="0" fontId="8" fillId="2" borderId="15" xfId="0" applyFont="1" applyFill="1" applyBorder="1" applyAlignment="1">
      <alignment horizontal="center"/>
    </xf>
    <xf numFmtId="189" fontId="2" fillId="2" borderId="15" xfId="0" applyNumberFormat="1" applyFont="1" applyFill="1" applyBorder="1" applyAlignment="1"/>
    <xf numFmtId="188" fontId="2" fillId="2" borderId="15" xfId="0" applyNumberFormat="1" applyFont="1" applyFill="1" applyBorder="1" applyAlignment="1"/>
    <xf numFmtId="188" fontId="12" fillId="2" borderId="16" xfId="0" applyNumberFormat="1" applyFont="1" applyFill="1" applyBorder="1" applyAlignment="1">
      <alignment horizontal="right"/>
    </xf>
    <xf numFmtId="188" fontId="12" fillId="2" borderId="15" xfId="0" applyNumberFormat="1" applyFont="1" applyFill="1" applyBorder="1" applyAlignment="1">
      <alignment horizontal="right"/>
    </xf>
    <xf numFmtId="0" fontId="8" fillId="2" borderId="14" xfId="0" applyFont="1" applyFill="1" applyBorder="1" applyAlignment="1"/>
    <xf numFmtId="188" fontId="11" fillId="2" borderId="16" xfId="0" applyNumberFormat="1" applyFont="1" applyFill="1" applyBorder="1" applyAlignment="1">
      <alignment horizontal="right"/>
    </xf>
    <xf numFmtId="188" fontId="11" fillId="2" borderId="15" xfId="0" applyNumberFormat="1" applyFont="1" applyFill="1" applyBorder="1" applyAlignment="1">
      <alignment horizontal="right"/>
    </xf>
    <xf numFmtId="0" fontId="2" fillId="2" borderId="19" xfId="0" applyFont="1" applyFill="1" applyBorder="1" applyAlignment="1"/>
    <xf numFmtId="0" fontId="2" fillId="2" borderId="20" xfId="0" applyFont="1" applyFill="1" applyBorder="1" applyAlignment="1"/>
    <xf numFmtId="0" fontId="14" fillId="2" borderId="20" xfId="0" applyFont="1" applyFill="1" applyBorder="1" applyAlignment="1"/>
    <xf numFmtId="0" fontId="2" fillId="2" borderId="21" xfId="0" applyFont="1" applyFill="1" applyBorder="1" applyAlignment="1"/>
    <xf numFmtId="0" fontId="8" fillId="2" borderId="21" xfId="0" applyFont="1" applyFill="1" applyBorder="1" applyAlignment="1">
      <alignment horizontal="center"/>
    </xf>
    <xf numFmtId="189" fontId="2" fillId="2" borderId="21" xfId="0" applyNumberFormat="1" applyFont="1" applyFill="1" applyBorder="1" applyAlignment="1"/>
    <xf numFmtId="188" fontId="2" fillId="2" borderId="21" xfId="0" applyNumberFormat="1" applyFont="1" applyFill="1" applyBorder="1" applyAlignment="1"/>
    <xf numFmtId="188" fontId="8" fillId="2" borderId="21" xfId="0" applyNumberFormat="1" applyFont="1" applyFill="1" applyBorder="1" applyAlignment="1">
      <alignment horizontal="right"/>
    </xf>
    <xf numFmtId="188" fontId="6" fillId="2" borderId="16" xfId="0" applyNumberFormat="1" applyFont="1" applyFill="1" applyBorder="1" applyAlignment="1"/>
    <xf numFmtId="188" fontId="6" fillId="2" borderId="15" xfId="0" applyNumberFormat="1" applyFont="1" applyFill="1" applyBorder="1" applyAlignment="1"/>
    <xf numFmtId="188" fontId="8" fillId="2" borderId="15" xfId="0" applyNumberFormat="1" applyFont="1" applyFill="1" applyBorder="1" applyAlignment="1">
      <alignment horizontal="right"/>
    </xf>
    <xf numFmtId="0" fontId="2" fillId="2" borderId="8" xfId="0" applyFont="1" applyFill="1" applyBorder="1" applyAlignment="1"/>
    <xf numFmtId="0" fontId="2" fillId="2" borderId="10" xfId="0" applyFont="1" applyFill="1" applyBorder="1" applyAlignment="1"/>
    <xf numFmtId="0" fontId="8" fillId="2" borderId="10" xfId="0" applyFont="1" applyFill="1" applyBorder="1" applyAlignment="1"/>
    <xf numFmtId="0" fontId="2" fillId="2" borderId="9" xfId="0" applyFont="1" applyFill="1" applyBorder="1" applyAlignment="1"/>
    <xf numFmtId="0" fontId="8" fillId="2" borderId="9" xfId="0" applyFont="1" applyFill="1" applyBorder="1" applyAlignment="1">
      <alignment horizontal="center"/>
    </xf>
    <xf numFmtId="189" fontId="2" fillId="2" borderId="9" xfId="0" applyNumberFormat="1" applyFont="1" applyFill="1" applyBorder="1" applyAlignment="1"/>
    <xf numFmtId="188" fontId="2" fillId="2" borderId="9" xfId="0" applyNumberFormat="1" applyFont="1" applyFill="1" applyBorder="1" applyAlignment="1"/>
    <xf numFmtId="188" fontId="8" fillId="2" borderId="9" xfId="0" applyNumberFormat="1" applyFont="1" applyFill="1" applyBorder="1" applyAlignment="1">
      <alignment horizontal="right"/>
    </xf>
    <xf numFmtId="188" fontId="6" fillId="2" borderId="11" xfId="0" applyNumberFormat="1" applyFont="1" applyFill="1" applyBorder="1" applyAlignment="1"/>
    <xf numFmtId="188" fontId="6" fillId="2" borderId="9" xfId="0" applyNumberFormat="1" applyFont="1" applyFill="1" applyBorder="1" applyAlignment="1"/>
    <xf numFmtId="0" fontId="1" fillId="13" borderId="22" xfId="0" applyFont="1" applyFill="1" applyBorder="1" applyAlignment="1"/>
    <xf numFmtId="0" fontId="2" fillId="13" borderId="0" xfId="0" applyFont="1" applyFill="1" applyAlignment="1"/>
    <xf numFmtId="0" fontId="2" fillId="13" borderId="23" xfId="0" applyFont="1" applyFill="1" applyBorder="1" applyAlignment="1"/>
    <xf numFmtId="189" fontId="2" fillId="13" borderId="23" xfId="0" applyNumberFormat="1" applyFont="1" applyFill="1" applyBorder="1" applyAlignment="1"/>
    <xf numFmtId="188" fontId="2" fillId="13" borderId="23" xfId="0" applyNumberFormat="1" applyFont="1" applyFill="1" applyBorder="1" applyAlignment="1"/>
    <xf numFmtId="188" fontId="1" fillId="13" borderId="23" xfId="0" applyNumberFormat="1" applyFont="1" applyFill="1" applyBorder="1" applyAlignment="1">
      <alignment horizontal="right"/>
    </xf>
    <xf numFmtId="0" fontId="1" fillId="14" borderId="1" xfId="0" applyFont="1" applyFill="1" applyBorder="1" applyAlignment="1"/>
    <xf numFmtId="0" fontId="2" fillId="14" borderId="2" xfId="0" applyFont="1" applyFill="1" applyBorder="1" applyAlignment="1"/>
    <xf numFmtId="189" fontId="2" fillId="14" borderId="2" xfId="0" applyNumberFormat="1" applyFont="1" applyFill="1" applyBorder="1" applyAlignment="1"/>
    <xf numFmtId="188" fontId="2" fillId="14" borderId="2" xfId="0" applyNumberFormat="1" applyFont="1" applyFill="1" applyBorder="1" applyAlignment="1"/>
    <xf numFmtId="188" fontId="2" fillId="14" borderId="3" xfId="0" applyNumberFormat="1" applyFont="1" applyFill="1" applyBorder="1" applyAlignment="1"/>
    <xf numFmtId="0" fontId="2" fillId="15" borderId="14" xfId="0" applyFont="1" applyFill="1" applyBorder="1" applyAlignment="1"/>
    <xf numFmtId="0" fontId="1" fillId="15" borderId="14" xfId="0" applyFont="1" applyFill="1" applyBorder="1" applyAlignment="1"/>
    <xf numFmtId="0" fontId="2" fillId="15" borderId="16" xfId="0" applyFont="1" applyFill="1" applyBorder="1" applyAlignment="1"/>
    <xf numFmtId="189" fontId="2" fillId="15" borderId="16" xfId="0" applyNumberFormat="1" applyFont="1" applyFill="1" applyBorder="1" applyAlignment="1"/>
    <xf numFmtId="188" fontId="2" fillId="15" borderId="16" xfId="0" applyNumberFormat="1" applyFont="1" applyFill="1" applyBorder="1" applyAlignment="1"/>
    <xf numFmtId="0" fontId="2" fillId="16" borderId="13" xfId="0" applyFont="1" applyFill="1" applyBorder="1" applyAlignment="1"/>
    <xf numFmtId="0" fontId="2" fillId="16" borderId="14" xfId="0" applyFont="1" applyFill="1" applyBorder="1" applyAlignment="1"/>
    <xf numFmtId="0" fontId="1" fillId="16" borderId="14" xfId="0" applyFont="1" applyFill="1" applyBorder="1" applyAlignment="1"/>
    <xf numFmtId="0" fontId="15" fillId="16" borderId="14" xfId="0" applyFont="1" applyFill="1" applyBorder="1" applyAlignment="1"/>
    <xf numFmtId="0" fontId="2" fillId="16" borderId="15" xfId="0" applyFont="1" applyFill="1" applyBorder="1" applyAlignment="1"/>
    <xf numFmtId="0" fontId="1" fillId="16" borderId="15" xfId="0" applyFont="1" applyFill="1" applyBorder="1" applyAlignment="1">
      <alignment horizontal="center"/>
    </xf>
    <xf numFmtId="189" fontId="2" fillId="16" borderId="15" xfId="0" applyNumberFormat="1" applyFont="1" applyFill="1" applyBorder="1" applyAlignment="1"/>
    <xf numFmtId="188" fontId="2" fillId="16" borderId="15" xfId="0" applyNumberFormat="1" applyFont="1" applyFill="1" applyBorder="1" applyAlignment="1"/>
    <xf numFmtId="188" fontId="5" fillId="16" borderId="24" xfId="0" applyNumberFormat="1" applyFont="1" applyFill="1" applyBorder="1" applyAlignment="1"/>
    <xf numFmtId="188" fontId="5" fillId="16" borderId="21" xfId="0" applyNumberFormat="1" applyFont="1" applyFill="1" applyBorder="1" applyAlignment="1"/>
    <xf numFmtId="0" fontId="8" fillId="16" borderId="14" xfId="0" applyFont="1" applyFill="1" applyBorder="1" applyAlignment="1"/>
    <xf numFmtId="0" fontId="8" fillId="16" borderId="15" xfId="0" applyFont="1" applyFill="1" applyBorder="1" applyAlignment="1">
      <alignment horizontal="center"/>
    </xf>
    <xf numFmtId="188" fontId="11" fillId="16" borderId="16" xfId="0" applyNumberFormat="1" applyFont="1" applyFill="1" applyBorder="1" applyAlignment="1"/>
    <xf numFmtId="188" fontId="11" fillId="16" borderId="15" xfId="0" applyNumberFormat="1" applyFont="1" applyFill="1" applyBorder="1" applyAlignment="1"/>
    <xf numFmtId="188" fontId="12" fillId="16" borderId="16" xfId="0" applyNumberFormat="1" applyFont="1" applyFill="1" applyBorder="1" applyAlignment="1"/>
    <xf numFmtId="188" fontId="12" fillId="16" borderId="15" xfId="0" applyNumberFormat="1" applyFont="1" applyFill="1" applyBorder="1" applyAlignment="1"/>
    <xf numFmtId="188" fontId="12" fillId="2" borderId="16" xfId="0" applyNumberFormat="1" applyFont="1" applyFill="1" applyBorder="1" applyAlignment="1"/>
    <xf numFmtId="188" fontId="12" fillId="2" borderId="15" xfId="0" applyNumberFormat="1" applyFont="1" applyFill="1" applyBorder="1" applyAlignment="1"/>
    <xf numFmtId="188" fontId="11" fillId="2" borderId="15" xfId="0" applyNumberFormat="1" applyFont="1" applyFill="1" applyBorder="1" applyAlignment="1"/>
    <xf numFmtId="0" fontId="16" fillId="2" borderId="14" xfId="0" applyFont="1" applyFill="1" applyBorder="1" applyAlignment="1"/>
    <xf numFmtId="0" fontId="2" fillId="17" borderId="2" xfId="0" applyFont="1" applyFill="1" applyBorder="1" applyAlignment="1"/>
    <xf numFmtId="189" fontId="2" fillId="17" borderId="2" xfId="0" applyNumberFormat="1" applyFont="1" applyFill="1" applyBorder="1" applyAlignment="1"/>
    <xf numFmtId="188" fontId="2" fillId="17" borderId="2" xfId="0" applyNumberFormat="1" applyFont="1" applyFill="1" applyBorder="1" applyAlignment="1"/>
    <xf numFmtId="188" fontId="2" fillId="17" borderId="3" xfId="0" applyNumberFormat="1" applyFont="1" applyFill="1" applyBorder="1" applyAlignment="1"/>
    <xf numFmtId="188" fontId="6" fillId="17" borderId="1" xfId="0" applyNumberFormat="1" applyFont="1" applyFill="1" applyBorder="1" applyAlignment="1"/>
    <xf numFmtId="188" fontId="6" fillId="17" borderId="2" xfId="0" applyNumberFormat="1" applyFont="1" applyFill="1" applyBorder="1" applyAlignment="1"/>
    <xf numFmtId="188" fontId="6" fillId="17" borderId="3" xfId="0" applyNumberFormat="1" applyFont="1" applyFill="1" applyBorder="1" applyAlignment="1"/>
    <xf numFmtId="0" fontId="2" fillId="18" borderId="13" xfId="0" applyFont="1" applyFill="1" applyBorder="1" applyAlignment="1"/>
    <xf numFmtId="0" fontId="2" fillId="18" borderId="15" xfId="0" applyFont="1" applyFill="1" applyBorder="1" applyAlignment="1"/>
    <xf numFmtId="189" fontId="2" fillId="18" borderId="15" xfId="0" applyNumberFormat="1" applyFont="1" applyFill="1" applyBorder="1" applyAlignment="1"/>
    <xf numFmtId="188" fontId="2" fillId="18" borderId="15" xfId="0" applyNumberFormat="1" applyFont="1" applyFill="1" applyBorder="1" applyAlignment="1"/>
    <xf numFmtId="188" fontId="6" fillId="18" borderId="16" xfId="0" applyNumberFormat="1" applyFont="1" applyFill="1" applyBorder="1" applyAlignment="1"/>
    <xf numFmtId="188" fontId="6" fillId="18" borderId="15" xfId="0" applyNumberFormat="1" applyFont="1" applyFill="1" applyBorder="1" applyAlignment="1"/>
    <xf numFmtId="0" fontId="2" fillId="19" borderId="13" xfId="0" applyFont="1" applyFill="1" applyBorder="1" applyAlignment="1"/>
    <xf numFmtId="0" fontId="1" fillId="19" borderId="14" xfId="0" applyFont="1" applyFill="1" applyBorder="1" applyAlignment="1"/>
    <xf numFmtId="0" fontId="2" fillId="19" borderId="14" xfId="0" applyFont="1" applyFill="1" applyBorder="1" applyAlignment="1"/>
    <xf numFmtId="0" fontId="2" fillId="19" borderId="15" xfId="0" applyFont="1" applyFill="1" applyBorder="1" applyAlignment="1"/>
    <xf numFmtId="189" fontId="2" fillId="19" borderId="15" xfId="0" applyNumberFormat="1" applyFont="1" applyFill="1" applyBorder="1" applyAlignment="1"/>
    <xf numFmtId="188" fontId="2" fillId="19" borderId="15" xfId="0" applyNumberFormat="1" applyFont="1" applyFill="1" applyBorder="1" applyAlignment="1"/>
    <xf numFmtId="188" fontId="6" fillId="19" borderId="16" xfId="0" applyNumberFormat="1" applyFont="1" applyFill="1" applyBorder="1" applyAlignment="1"/>
    <xf numFmtId="188" fontId="6" fillId="19" borderId="15" xfId="0" applyNumberFormat="1" applyFont="1" applyFill="1" applyBorder="1" applyAlignment="1"/>
    <xf numFmtId="0" fontId="2" fillId="20" borderId="13" xfId="0" applyFont="1" applyFill="1" applyBorder="1" applyAlignment="1"/>
    <xf numFmtId="0" fontId="2" fillId="20" borderId="14" xfId="0" applyFont="1" applyFill="1" applyBorder="1" applyAlignment="1"/>
    <xf numFmtId="0" fontId="1" fillId="20" borderId="14" xfId="0" applyFont="1" applyFill="1" applyBorder="1" applyAlignment="1"/>
    <xf numFmtId="0" fontId="17" fillId="20" borderId="14" xfId="0" applyFont="1" applyFill="1" applyBorder="1" applyAlignment="1"/>
    <xf numFmtId="0" fontId="2" fillId="20" borderId="15" xfId="0" applyFont="1" applyFill="1" applyBorder="1" applyAlignment="1"/>
    <xf numFmtId="0" fontId="1" fillId="20" borderId="15" xfId="0" applyFont="1" applyFill="1" applyBorder="1" applyAlignment="1">
      <alignment horizontal="center"/>
    </xf>
    <xf numFmtId="189" fontId="2" fillId="20" borderId="15" xfId="0" applyNumberFormat="1" applyFont="1" applyFill="1" applyBorder="1" applyAlignment="1"/>
    <xf numFmtId="188" fontId="2" fillId="20" borderId="15" xfId="0" applyNumberFormat="1" applyFont="1" applyFill="1" applyBorder="1" applyAlignment="1"/>
    <xf numFmtId="188" fontId="1" fillId="20" borderId="15" xfId="0" applyNumberFormat="1" applyFont="1" applyFill="1" applyBorder="1" applyAlignment="1">
      <alignment horizontal="right"/>
    </xf>
    <xf numFmtId="188" fontId="5" fillId="20" borderId="16" xfId="0" applyNumberFormat="1" applyFont="1" applyFill="1" applyBorder="1" applyAlignment="1"/>
    <xf numFmtId="188" fontId="5" fillId="20" borderId="15" xfId="0" applyNumberFormat="1" applyFont="1" applyFill="1" applyBorder="1" applyAlignment="1"/>
    <xf numFmtId="0" fontId="8" fillId="20" borderId="14" xfId="0" applyFont="1" applyFill="1" applyBorder="1" applyAlignment="1"/>
    <xf numFmtId="0" fontId="8" fillId="20" borderId="15" xfId="0" applyFont="1" applyFill="1" applyBorder="1" applyAlignment="1">
      <alignment horizontal="center"/>
    </xf>
    <xf numFmtId="188" fontId="8" fillId="20" borderId="15" xfId="0" applyNumberFormat="1" applyFont="1" applyFill="1" applyBorder="1" applyAlignment="1">
      <alignment horizontal="right"/>
    </xf>
    <xf numFmtId="188" fontId="11" fillId="20" borderId="16" xfId="0" applyNumberFormat="1" applyFont="1" applyFill="1" applyBorder="1" applyAlignment="1"/>
    <xf numFmtId="188" fontId="11" fillId="20" borderId="15" xfId="0" applyNumberFormat="1" applyFont="1" applyFill="1" applyBorder="1" applyAlignment="1"/>
    <xf numFmtId="188" fontId="12" fillId="20" borderId="16" xfId="0" applyNumberFormat="1" applyFont="1" applyFill="1" applyBorder="1" applyAlignment="1"/>
    <xf numFmtId="188" fontId="12" fillId="20" borderId="15" xfId="0" applyNumberFormat="1" applyFont="1" applyFill="1" applyBorder="1" applyAlignment="1"/>
    <xf numFmtId="0" fontId="2" fillId="2" borderId="22" xfId="0" applyFont="1" applyFill="1" applyBorder="1" applyAlignment="1"/>
    <xf numFmtId="0" fontId="8" fillId="2" borderId="0" xfId="0" applyFont="1" applyFill="1" applyAlignment="1"/>
    <xf numFmtId="0" fontId="2" fillId="2" borderId="23" xfId="0" applyFont="1" applyFill="1" applyBorder="1" applyAlignment="1"/>
    <xf numFmtId="0" fontId="8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/>
    <xf numFmtId="188" fontId="2" fillId="2" borderId="23" xfId="0" applyNumberFormat="1" applyFont="1" applyFill="1" applyBorder="1" applyAlignment="1"/>
    <xf numFmtId="188" fontId="8" fillId="2" borderId="23" xfId="0" applyNumberFormat="1" applyFont="1" applyFill="1" applyBorder="1" applyAlignment="1">
      <alignment horizontal="right"/>
    </xf>
    <xf numFmtId="188" fontId="12" fillId="2" borderId="11" xfId="0" applyNumberFormat="1" applyFont="1" applyFill="1" applyBorder="1" applyAlignment="1">
      <alignment horizontal="right"/>
    </xf>
    <xf numFmtId="188" fontId="12" fillId="2" borderId="9" xfId="0" applyNumberFormat="1" applyFont="1" applyFill="1" applyBorder="1" applyAlignment="1">
      <alignment horizontal="right"/>
    </xf>
    <xf numFmtId="188" fontId="12" fillId="2" borderId="9" xfId="0" applyNumberFormat="1" applyFont="1" applyFill="1" applyBorder="1" applyAlignment="1"/>
    <xf numFmtId="187" fontId="1" fillId="21" borderId="1" xfId="0" applyNumberFormat="1" applyFont="1" applyFill="1" applyBorder="1" applyAlignment="1"/>
    <xf numFmtId="187" fontId="2" fillId="21" borderId="2" xfId="0" applyNumberFormat="1" applyFont="1" applyFill="1" applyBorder="1" applyAlignment="1"/>
    <xf numFmtId="0" fontId="2" fillId="21" borderId="2" xfId="0" applyFont="1" applyFill="1" applyBorder="1" applyAlignment="1"/>
    <xf numFmtId="189" fontId="2" fillId="21" borderId="2" xfId="0" applyNumberFormat="1" applyFont="1" applyFill="1" applyBorder="1" applyAlignment="1"/>
    <xf numFmtId="188" fontId="2" fillId="21" borderId="2" xfId="0" applyNumberFormat="1" applyFont="1" applyFill="1" applyBorder="1" applyAlignment="1"/>
    <xf numFmtId="188" fontId="2" fillId="21" borderId="3" xfId="0" applyNumberFormat="1" applyFont="1" applyFill="1" applyBorder="1" applyAlignment="1"/>
    <xf numFmtId="188" fontId="6" fillId="21" borderId="8" xfId="0" applyNumberFormat="1" applyFont="1" applyFill="1" applyBorder="1" applyAlignment="1"/>
    <xf numFmtId="188" fontId="6" fillId="21" borderId="10" xfId="0" applyNumberFormat="1" applyFont="1" applyFill="1" applyBorder="1" applyAlignment="1"/>
    <xf numFmtId="188" fontId="6" fillId="21" borderId="9" xfId="0" applyNumberFormat="1" applyFont="1" applyFill="1" applyBorder="1" applyAlignment="1"/>
    <xf numFmtId="187" fontId="1" fillId="22" borderId="13" xfId="0" applyNumberFormat="1" applyFont="1" applyFill="1" applyBorder="1" applyAlignment="1"/>
    <xf numFmtId="0" fontId="2" fillId="22" borderId="14" xfId="0" applyFont="1" applyFill="1" applyBorder="1" applyAlignment="1"/>
    <xf numFmtId="187" fontId="2" fillId="22" borderId="14" xfId="0" applyNumberFormat="1" applyFont="1" applyFill="1" applyBorder="1" applyAlignment="1"/>
    <xf numFmtId="0" fontId="2" fillId="22" borderId="15" xfId="0" applyFont="1" applyFill="1" applyBorder="1" applyAlignment="1"/>
    <xf numFmtId="189" fontId="2" fillId="22" borderId="15" xfId="0" applyNumberFormat="1" applyFont="1" applyFill="1" applyBorder="1" applyAlignment="1"/>
    <xf numFmtId="188" fontId="2" fillId="22" borderId="15" xfId="0" applyNumberFormat="1" applyFont="1" applyFill="1" applyBorder="1" applyAlignment="1"/>
    <xf numFmtId="188" fontId="6" fillId="22" borderId="16" xfId="0" applyNumberFormat="1" applyFont="1" applyFill="1" applyBorder="1" applyAlignment="1"/>
    <xf numFmtId="188" fontId="6" fillId="22" borderId="15" xfId="0" applyNumberFormat="1" applyFont="1" applyFill="1" applyBorder="1" applyAlignment="1"/>
    <xf numFmtId="190" fontId="2" fillId="12" borderId="13" xfId="0" applyNumberFormat="1" applyFont="1" applyFill="1" applyBorder="1" applyAlignment="1"/>
    <xf numFmtId="0" fontId="1" fillId="12" borderId="14" xfId="0" applyFont="1" applyFill="1" applyBorder="1" applyAlignment="1"/>
    <xf numFmtId="187" fontId="2" fillId="12" borderId="14" xfId="0" applyNumberFormat="1" applyFont="1" applyFill="1" applyBorder="1" applyAlignment="1"/>
    <xf numFmtId="0" fontId="1" fillId="12" borderId="15" xfId="0" applyFont="1" applyFill="1" applyBorder="1" applyAlignment="1">
      <alignment horizontal="center" wrapText="1"/>
    </xf>
    <xf numFmtId="189" fontId="1" fillId="12" borderId="15" xfId="0" applyNumberFormat="1" applyFont="1" applyFill="1" applyBorder="1" applyAlignment="1">
      <alignment horizontal="right"/>
    </xf>
    <xf numFmtId="188" fontId="1" fillId="12" borderId="15" xfId="0" applyNumberFormat="1" applyFont="1" applyFill="1" applyBorder="1" applyAlignment="1">
      <alignment horizontal="right"/>
    </xf>
    <xf numFmtId="188" fontId="6" fillId="12" borderId="16" xfId="0" applyNumberFormat="1" applyFont="1" applyFill="1" applyBorder="1" applyAlignment="1"/>
    <xf numFmtId="188" fontId="6" fillId="12" borderId="15" xfId="0" applyNumberFormat="1" applyFont="1" applyFill="1" applyBorder="1" applyAlignment="1"/>
    <xf numFmtId="190" fontId="2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8" fillId="2" borderId="14" xfId="0" applyFont="1" applyFill="1" applyBorder="1" applyAlignment="1"/>
    <xf numFmtId="187" fontId="1" fillId="2" borderId="15" xfId="0" applyNumberFormat="1" applyFont="1" applyFill="1" applyBorder="1" applyAlignment="1">
      <alignment horizontal="center"/>
    </xf>
    <xf numFmtId="188" fontId="1" fillId="2" borderId="15" xfId="0" applyNumberFormat="1" applyFont="1" applyFill="1" applyBorder="1" applyAlignment="1">
      <alignment horizontal="right"/>
    </xf>
    <xf numFmtId="188" fontId="5" fillId="2" borderId="16" xfId="0" applyNumberFormat="1" applyFont="1" applyFill="1" applyBorder="1" applyAlignment="1"/>
    <xf numFmtId="188" fontId="5" fillId="2" borderId="15" xfId="0" applyNumberFormat="1" applyFont="1" applyFill="1" applyBorder="1" applyAlignment="1"/>
    <xf numFmtId="187" fontId="8" fillId="2" borderId="15" xfId="0" applyNumberFormat="1" applyFont="1" applyFill="1" applyBorder="1" applyAlignment="1">
      <alignment horizontal="center"/>
    </xf>
    <xf numFmtId="188" fontId="11" fillId="2" borderId="16" xfId="0" applyNumberFormat="1" applyFont="1" applyFill="1" applyBorder="1" applyAlignment="1"/>
    <xf numFmtId="187" fontId="8" fillId="0" borderId="15" xfId="0" applyNumberFormat="1" applyFont="1" applyBorder="1" applyAlignment="1">
      <alignment horizontal="center" wrapText="1"/>
    </xf>
    <xf numFmtId="189" fontId="2" fillId="0" borderId="15" xfId="0" applyNumberFormat="1" applyFont="1" applyBorder="1" applyAlignment="1"/>
    <xf numFmtId="188" fontId="2" fillId="0" borderId="15" xfId="0" applyNumberFormat="1" applyFont="1" applyBorder="1" applyAlignment="1"/>
    <xf numFmtId="187" fontId="8" fillId="0" borderId="15" xfId="0" applyNumberFormat="1" applyFont="1" applyBorder="1" applyAlignment="1">
      <alignment horizontal="center"/>
    </xf>
    <xf numFmtId="187" fontId="2" fillId="0" borderId="13" xfId="0" applyNumberFormat="1" applyFont="1" applyBorder="1" applyAlignment="1"/>
    <xf numFmtId="187" fontId="2" fillId="0" borderId="14" xfId="0" applyNumberFormat="1" applyFont="1" applyBorder="1" applyAlignment="1"/>
    <xf numFmtId="0" fontId="19" fillId="23" borderId="14" xfId="0" quotePrefix="1" applyFont="1" applyFill="1" applyBorder="1" applyAlignment="1"/>
    <xf numFmtId="0" fontId="2" fillId="23" borderId="14" xfId="0" applyFont="1" applyFill="1" applyBorder="1" applyAlignment="1"/>
    <xf numFmtId="0" fontId="2" fillId="23" borderId="15" xfId="0" applyFont="1" applyFill="1" applyBorder="1" applyAlignment="1"/>
    <xf numFmtId="0" fontId="2" fillId="0" borderId="15" xfId="0" applyFont="1" applyBorder="1" applyAlignment="1"/>
    <xf numFmtId="188" fontId="6" fillId="0" borderId="16" xfId="0" applyNumberFormat="1" applyFont="1" applyBorder="1" applyAlignment="1"/>
    <xf numFmtId="188" fontId="6" fillId="0" borderId="15" xfId="0" applyNumberFormat="1" applyFont="1" applyBorder="1" applyAlignment="1"/>
    <xf numFmtId="0" fontId="8" fillId="0" borderId="14" xfId="0" quotePrefix="1" applyFont="1" applyBorder="1" applyAlignment="1"/>
    <xf numFmtId="0" fontId="2" fillId="0" borderId="14" xfId="0" applyFont="1" applyBorder="1" applyAlignment="1"/>
    <xf numFmtId="0" fontId="1" fillId="0" borderId="15" xfId="0" applyFont="1" applyBorder="1" applyAlignment="1">
      <alignment horizontal="center" wrapText="1"/>
    </xf>
    <xf numFmtId="189" fontId="1" fillId="2" borderId="15" xfId="0" applyNumberFormat="1" applyFont="1" applyFill="1" applyBorder="1" applyAlignment="1">
      <alignment horizontal="right"/>
    </xf>
    <xf numFmtId="188" fontId="1" fillId="0" borderId="15" xfId="0" applyNumberFormat="1" applyFont="1" applyBorder="1" applyAlignment="1">
      <alignment horizontal="right"/>
    </xf>
    <xf numFmtId="189" fontId="1" fillId="2" borderId="23" xfId="0" applyNumberFormat="1" applyFont="1" applyFill="1" applyBorder="1" applyAlignment="1">
      <alignment horizontal="right"/>
    </xf>
    <xf numFmtId="0" fontId="8" fillId="0" borderId="14" xfId="0" applyFont="1" applyBorder="1" applyAlignment="1"/>
    <xf numFmtId="0" fontId="8" fillId="0" borderId="15" xfId="0" applyFont="1" applyBorder="1" applyAlignment="1">
      <alignment horizontal="center"/>
    </xf>
    <xf numFmtId="189" fontId="20" fillId="0" borderId="21" xfId="0" applyNumberFormat="1" applyFont="1" applyBorder="1" applyAlignment="1">
      <alignment horizontal="left"/>
    </xf>
    <xf numFmtId="189" fontId="8" fillId="2" borderId="15" xfId="0" applyNumberFormat="1" applyFont="1" applyFill="1" applyBorder="1" applyAlignment="1">
      <alignment horizontal="right"/>
    </xf>
    <xf numFmtId="188" fontId="8" fillId="0" borderId="15" xfId="0" applyNumberFormat="1" applyFont="1" applyBorder="1" applyAlignment="1">
      <alignment horizontal="right"/>
    </xf>
    <xf numFmtId="189" fontId="8" fillId="0" borderId="15" xfId="0" applyNumberFormat="1" applyFont="1" applyBorder="1" applyAlignment="1">
      <alignment horizontal="right"/>
    </xf>
    <xf numFmtId="0" fontId="8" fillId="0" borderId="15" xfId="0" applyFont="1" applyBorder="1" applyAlignment="1">
      <alignment horizontal="center" wrapText="1"/>
    </xf>
    <xf numFmtId="187" fontId="5" fillId="22" borderId="19" xfId="0" applyNumberFormat="1" applyFont="1" applyFill="1" applyBorder="1" applyAlignment="1"/>
    <xf numFmtId="0" fontId="6" fillId="22" borderId="20" xfId="0" applyFont="1" applyFill="1" applyBorder="1" applyAlignment="1"/>
    <xf numFmtId="187" fontId="6" fillId="22" borderId="20" xfId="0" applyNumberFormat="1" applyFont="1" applyFill="1" applyBorder="1" applyAlignment="1"/>
    <xf numFmtId="0" fontId="6" fillId="22" borderId="21" xfId="0" applyFont="1" applyFill="1" applyBorder="1" applyAlignment="1"/>
    <xf numFmtId="187" fontId="6" fillId="22" borderId="21" xfId="0" applyNumberFormat="1" applyFont="1" applyFill="1" applyBorder="1" applyAlignment="1"/>
    <xf numFmtId="189" fontId="6" fillId="22" borderId="21" xfId="0" applyNumberFormat="1" applyFont="1" applyFill="1" applyBorder="1" applyAlignment="1"/>
    <xf numFmtId="188" fontId="6" fillId="22" borderId="21" xfId="0" applyNumberFormat="1" applyFont="1" applyFill="1" applyBorder="1" applyAlignment="1"/>
    <xf numFmtId="190" fontId="6" fillId="12" borderId="13" xfId="0" applyNumberFormat="1" applyFont="1" applyFill="1" applyBorder="1" applyAlignment="1"/>
    <xf numFmtId="0" fontId="5" fillId="12" borderId="14" xfId="0" applyFont="1" applyFill="1" applyBorder="1" applyAlignment="1"/>
    <xf numFmtId="0" fontId="6" fillId="12" borderId="14" xfId="0" applyFont="1" applyFill="1" applyBorder="1" applyAlignment="1"/>
    <xf numFmtId="187" fontId="6" fillId="12" borderId="14" xfId="0" applyNumberFormat="1" applyFont="1" applyFill="1" applyBorder="1" applyAlignment="1"/>
    <xf numFmtId="0" fontId="6" fillId="12" borderId="15" xfId="0" applyFont="1" applyFill="1" applyBorder="1" applyAlignment="1"/>
    <xf numFmtId="187" fontId="5" fillId="12" borderId="15" xfId="0" applyNumberFormat="1" applyFont="1" applyFill="1" applyBorder="1" applyAlignment="1">
      <alignment horizontal="center" wrapText="1"/>
    </xf>
    <xf numFmtId="189" fontId="5" fillId="12" borderId="15" xfId="0" applyNumberFormat="1" applyFont="1" applyFill="1" applyBorder="1" applyAlignment="1">
      <alignment horizontal="right"/>
    </xf>
    <xf numFmtId="190" fontId="6" fillId="2" borderId="13" xfId="0" applyNumberFormat="1" applyFont="1" applyFill="1" applyBorder="1" applyAlignment="1"/>
    <xf numFmtId="0" fontId="6" fillId="2" borderId="14" xfId="0" applyFont="1" applyFill="1" applyBorder="1" applyAlignment="1"/>
    <xf numFmtId="0" fontId="5" fillId="2" borderId="14" xfId="0" applyFont="1" applyFill="1" applyBorder="1" applyAlignment="1"/>
    <xf numFmtId="0" fontId="21" fillId="2" borderId="14" xfId="0" applyFont="1" applyFill="1" applyBorder="1" applyAlignment="1"/>
    <xf numFmtId="0" fontId="6" fillId="2" borderId="15" xfId="0" applyFont="1" applyFill="1" applyBorder="1" applyAlignment="1"/>
    <xf numFmtId="187" fontId="5" fillId="2" borderId="15" xfId="0" applyNumberFormat="1" applyFont="1" applyFill="1" applyBorder="1" applyAlignment="1">
      <alignment horizontal="center"/>
    </xf>
    <xf numFmtId="189" fontId="6" fillId="2" borderId="15" xfId="0" applyNumberFormat="1" applyFont="1" applyFill="1" applyBorder="1" applyAlignment="1"/>
    <xf numFmtId="188" fontId="5" fillId="2" borderId="15" xfId="0" applyNumberFormat="1" applyFont="1" applyFill="1" applyBorder="1" applyAlignment="1">
      <alignment horizontal="right"/>
    </xf>
    <xf numFmtId="0" fontId="11" fillId="2" borderId="14" xfId="0" applyFont="1" applyFill="1" applyBorder="1" applyAlignment="1"/>
    <xf numFmtId="187" fontId="11" fillId="2" borderId="15" xfId="0" applyNumberFormat="1" applyFont="1" applyFill="1" applyBorder="1" applyAlignment="1">
      <alignment horizontal="center"/>
    </xf>
    <xf numFmtId="0" fontId="12" fillId="2" borderId="14" xfId="0" applyFont="1" applyFill="1" applyBorder="1" applyAlignment="1"/>
    <xf numFmtId="187" fontId="12" fillId="2" borderId="15" xfId="0" applyNumberFormat="1" applyFont="1" applyFill="1" applyBorder="1" applyAlignment="1">
      <alignment horizontal="center"/>
    </xf>
    <xf numFmtId="187" fontId="6" fillId="2" borderId="14" xfId="0" applyNumberFormat="1" applyFont="1" applyFill="1" applyBorder="1" applyAlignment="1"/>
    <xf numFmtId="0" fontId="22" fillId="2" borderId="14" xfId="0" applyFont="1" applyFill="1" applyBorder="1" applyAlignment="1"/>
    <xf numFmtId="187" fontId="12" fillId="0" borderId="15" xfId="0" applyNumberFormat="1" applyFont="1" applyBorder="1" applyAlignment="1">
      <alignment horizontal="center" wrapText="1"/>
    </xf>
    <xf numFmtId="189" fontId="6" fillId="0" borderId="15" xfId="0" applyNumberFormat="1" applyFont="1" applyBorder="1" applyAlignment="1"/>
    <xf numFmtId="187" fontId="11" fillId="0" borderId="15" xfId="0" applyNumberFormat="1" applyFont="1" applyBorder="1" applyAlignment="1">
      <alignment horizontal="center" wrapText="1"/>
    </xf>
    <xf numFmtId="187" fontId="23" fillId="2" borderId="14" xfId="0" applyNumberFormat="1" applyFont="1" applyFill="1" applyBorder="1" applyAlignment="1"/>
    <xf numFmtId="187" fontId="12" fillId="0" borderId="15" xfId="0" applyNumberFormat="1" applyFont="1" applyBorder="1" applyAlignment="1">
      <alignment horizontal="center"/>
    </xf>
    <xf numFmtId="187" fontId="6" fillId="0" borderId="13" xfId="0" applyNumberFormat="1" applyFont="1" applyBorder="1" applyAlignment="1"/>
    <xf numFmtId="187" fontId="6" fillId="0" borderId="14" xfId="0" applyNumberFormat="1" applyFont="1" applyBorder="1" applyAlignment="1"/>
    <xf numFmtId="187" fontId="5" fillId="2" borderId="14" xfId="0" applyNumberFormat="1" applyFont="1" applyFill="1" applyBorder="1" applyAlignment="1"/>
    <xf numFmtId="0" fontId="24" fillId="23" borderId="14" xfId="0" quotePrefix="1" applyFont="1" applyFill="1" applyBorder="1" applyAlignment="1"/>
    <xf numFmtId="0" fontId="6" fillId="23" borderId="14" xfId="0" applyFont="1" applyFill="1" applyBorder="1" applyAlignment="1"/>
    <xf numFmtId="0" fontId="6" fillId="23" borderId="15" xfId="0" applyFont="1" applyFill="1" applyBorder="1" applyAlignment="1"/>
    <xf numFmtId="0" fontId="6" fillId="0" borderId="15" xfId="0" applyFont="1" applyBorder="1" applyAlignment="1"/>
    <xf numFmtId="187" fontId="6" fillId="10" borderId="13" xfId="0" applyNumberFormat="1" applyFont="1" applyFill="1" applyBorder="1" applyAlignment="1"/>
    <xf numFmtId="187" fontId="6" fillId="10" borderId="14" xfId="0" applyNumberFormat="1" applyFont="1" applyFill="1" applyBorder="1" applyAlignment="1"/>
    <xf numFmtId="0" fontId="6" fillId="10" borderId="14" xfId="0" applyFont="1" applyFill="1" applyBorder="1" applyAlignment="1"/>
    <xf numFmtId="0" fontId="6" fillId="10" borderId="15" xfId="0" applyFont="1" applyFill="1" applyBorder="1" applyAlignment="1"/>
    <xf numFmtId="189" fontId="6" fillId="10" borderId="15" xfId="0" applyNumberFormat="1" applyFont="1" applyFill="1" applyBorder="1" applyAlignment="1"/>
    <xf numFmtId="0" fontId="5" fillId="0" borderId="14" xfId="0" applyFont="1" applyBorder="1" applyAlignment="1"/>
    <xf numFmtId="0" fontId="6" fillId="0" borderId="0" xfId="0" applyFont="1" applyAlignment="1"/>
    <xf numFmtId="0" fontId="6" fillId="0" borderId="14" xfId="0" applyFont="1" applyBorder="1" applyAlignment="1"/>
    <xf numFmtId="0" fontId="12" fillId="0" borderId="14" xfId="0" applyFont="1" applyBorder="1" applyAlignment="1"/>
    <xf numFmtId="0" fontId="12" fillId="2" borderId="15" xfId="0" applyFont="1" applyFill="1" applyBorder="1" applyAlignment="1">
      <alignment horizontal="center"/>
    </xf>
    <xf numFmtId="189" fontId="12" fillId="2" borderId="15" xfId="0" applyNumberFormat="1" applyFont="1" applyFill="1" applyBorder="1" applyAlignment="1">
      <alignment horizontal="right"/>
    </xf>
    <xf numFmtId="189" fontId="12" fillId="24" borderId="15" xfId="0" applyNumberFormat="1" applyFont="1" applyFill="1" applyBorder="1" applyAlignment="1">
      <alignment horizontal="right"/>
    </xf>
    <xf numFmtId="0" fontId="12" fillId="0" borderId="14" xfId="0" applyFont="1" applyBorder="1" applyAlignment="1"/>
    <xf numFmtId="0" fontId="6" fillId="0" borderId="14" xfId="0" applyFont="1" applyBorder="1" applyAlignment="1"/>
    <xf numFmtId="0" fontId="12" fillId="0" borderId="15" xfId="0" applyFont="1" applyBorder="1" applyAlignment="1">
      <alignment horizontal="center"/>
    </xf>
    <xf numFmtId="189" fontId="12" fillId="0" borderId="15" xfId="0" applyNumberFormat="1" applyFont="1" applyBorder="1" applyAlignment="1">
      <alignment horizontal="right"/>
    </xf>
    <xf numFmtId="0" fontId="12" fillId="0" borderId="15" xfId="0" applyFont="1" applyBorder="1" applyAlignment="1">
      <alignment horizontal="center"/>
    </xf>
    <xf numFmtId="190" fontId="6" fillId="22" borderId="20" xfId="0" applyNumberFormat="1" applyFont="1" applyFill="1" applyBorder="1" applyAlignment="1"/>
    <xf numFmtId="189" fontId="6" fillId="22" borderId="20" xfId="0" applyNumberFormat="1" applyFont="1" applyFill="1" applyBorder="1" applyAlignment="1"/>
    <xf numFmtId="188" fontId="6" fillId="22" borderId="20" xfId="0" applyNumberFormat="1" applyFont="1" applyFill="1" applyBorder="1" applyAlignment="1"/>
    <xf numFmtId="187" fontId="5" fillId="12" borderId="14" xfId="0" applyNumberFormat="1" applyFont="1" applyFill="1" applyBorder="1" applyAlignment="1"/>
    <xf numFmtId="190" fontId="6" fillId="12" borderId="14" xfId="0" applyNumberFormat="1" applyFont="1" applyFill="1" applyBorder="1" applyAlignment="1"/>
    <xf numFmtId="187" fontId="5" fillId="12" borderId="15" xfId="0" applyNumberFormat="1" applyFont="1" applyFill="1" applyBorder="1" applyAlignment="1">
      <alignment horizontal="center"/>
    </xf>
    <xf numFmtId="190" fontId="6" fillId="2" borderId="14" xfId="0" applyNumberFormat="1" applyFont="1" applyFill="1" applyBorder="1" applyAlignment="1"/>
    <xf numFmtId="187" fontId="12" fillId="2" borderId="15" xfId="0" applyNumberFormat="1" applyFont="1" applyFill="1" applyBorder="1" applyAlignment="1">
      <alignment horizontal="center" wrapText="1"/>
    </xf>
    <xf numFmtId="187" fontId="11" fillId="2" borderId="15" xfId="0" applyNumberFormat="1" applyFont="1" applyFill="1" applyBorder="1" applyAlignment="1">
      <alignment horizontal="center" wrapText="1"/>
    </xf>
    <xf numFmtId="187" fontId="25" fillId="2" borderId="14" xfId="0" applyNumberFormat="1" applyFont="1" applyFill="1" applyBorder="1" applyAlignment="1">
      <alignment horizontal="center"/>
    </xf>
    <xf numFmtId="187" fontId="6" fillId="0" borderId="15" xfId="0" applyNumberFormat="1" applyFont="1" applyBorder="1" applyAlignment="1"/>
    <xf numFmtId="0" fontId="11" fillId="0" borderId="14" xfId="0" applyFont="1" applyBorder="1" applyAlignment="1"/>
    <xf numFmtId="187" fontId="6" fillId="2" borderId="15" xfId="0" applyNumberFormat="1" applyFont="1" applyFill="1" applyBorder="1" applyAlignment="1"/>
    <xf numFmtId="187" fontId="6" fillId="10" borderId="15" xfId="0" applyNumberFormat="1" applyFont="1" applyFill="1" applyBorder="1" applyAlignment="1"/>
    <xf numFmtId="190" fontId="2" fillId="22" borderId="14" xfId="0" applyNumberFormat="1" applyFont="1" applyFill="1" applyBorder="1" applyAlignment="1"/>
    <xf numFmtId="189" fontId="2" fillId="22" borderId="14" xfId="0" applyNumberFormat="1" applyFont="1" applyFill="1" applyBorder="1" applyAlignment="1"/>
    <xf numFmtId="188" fontId="2" fillId="22" borderId="14" xfId="0" applyNumberFormat="1" applyFont="1" applyFill="1" applyBorder="1" applyAlignment="1"/>
    <xf numFmtId="190" fontId="2" fillId="12" borderId="14" xfId="0" applyNumberFormat="1" applyFont="1" applyFill="1" applyBorder="1" applyAlignment="1"/>
    <xf numFmtId="190" fontId="1" fillId="12" borderId="14" xfId="0" applyNumberFormat="1" applyFont="1" applyFill="1" applyBorder="1" applyAlignment="1"/>
    <xf numFmtId="0" fontId="1" fillId="12" borderId="15" xfId="0" applyFont="1" applyFill="1" applyBorder="1" applyAlignment="1">
      <alignment horizontal="center" wrapText="1"/>
    </xf>
    <xf numFmtId="187" fontId="2" fillId="0" borderId="15" xfId="0" applyNumberFormat="1" applyFont="1" applyBorder="1" applyAlignment="1"/>
    <xf numFmtId="189" fontId="8" fillId="2" borderId="15" xfId="0" applyNumberFormat="1" applyFont="1" applyFill="1" applyBorder="1" applyAlignment="1">
      <alignment horizontal="right"/>
    </xf>
    <xf numFmtId="190" fontId="2" fillId="2" borderId="19" xfId="0" applyNumberFormat="1" applyFont="1" applyFill="1" applyBorder="1" applyAlignment="1"/>
    <xf numFmtId="0" fontId="2" fillId="0" borderId="20" xfId="0" applyFont="1" applyBorder="1" applyAlignment="1"/>
    <xf numFmtId="0" fontId="8" fillId="2" borderId="20" xfId="0" applyFont="1" applyFill="1" applyBorder="1" applyAlignment="1"/>
    <xf numFmtId="187" fontId="8" fillId="0" borderId="21" xfId="0" applyNumberFormat="1" applyFont="1" applyBorder="1" applyAlignment="1">
      <alignment horizontal="center"/>
    </xf>
    <xf numFmtId="189" fontId="8" fillId="2" borderId="21" xfId="0" applyNumberFormat="1" applyFont="1" applyFill="1" applyBorder="1" applyAlignment="1">
      <alignment horizontal="right"/>
    </xf>
    <xf numFmtId="0" fontId="8" fillId="2" borderId="20" xfId="0" applyFont="1" applyFill="1" applyBorder="1" applyAlignment="1"/>
    <xf numFmtId="187" fontId="8" fillId="0" borderId="21" xfId="0" applyNumberFormat="1" applyFont="1" applyBorder="1" applyAlignment="1">
      <alignment horizontal="center"/>
    </xf>
    <xf numFmtId="189" fontId="8" fillId="2" borderId="21" xfId="0" applyNumberFormat="1" applyFont="1" applyFill="1" applyBorder="1" applyAlignment="1">
      <alignment horizontal="right"/>
    </xf>
    <xf numFmtId="0" fontId="26" fillId="2" borderId="20" xfId="0" applyFont="1" applyFill="1" applyBorder="1" applyAlignment="1"/>
    <xf numFmtId="190" fontId="2" fillId="2" borderId="25" xfId="0" applyNumberFormat="1" applyFont="1" applyFill="1" applyBorder="1" applyAlignment="1"/>
    <xf numFmtId="0" fontId="2" fillId="2" borderId="26" xfId="0" applyFont="1" applyFill="1" applyBorder="1" applyAlignment="1"/>
    <xf numFmtId="0" fontId="8" fillId="2" borderId="26" xfId="0" applyFont="1" applyFill="1" applyBorder="1" applyAlignment="1"/>
    <xf numFmtId="0" fontId="2" fillId="2" borderId="27" xfId="0" applyFont="1" applyFill="1" applyBorder="1" applyAlignment="1"/>
    <xf numFmtId="187" fontId="8" fillId="0" borderId="27" xfId="0" applyNumberFormat="1" applyFont="1" applyBorder="1" applyAlignment="1">
      <alignment horizontal="center"/>
    </xf>
    <xf numFmtId="189" fontId="8" fillId="2" borderId="27" xfId="0" applyNumberFormat="1" applyFont="1" applyFill="1" applyBorder="1" applyAlignment="1">
      <alignment horizontal="right"/>
    </xf>
    <xf numFmtId="189" fontId="8" fillId="2" borderId="27" xfId="0" applyNumberFormat="1" applyFont="1" applyFill="1" applyBorder="1" applyAlignment="1">
      <alignment horizontal="right"/>
    </xf>
    <xf numFmtId="188" fontId="2" fillId="2" borderId="27" xfId="0" applyNumberFormat="1" applyFont="1" applyFill="1" applyBorder="1" applyAlignment="1"/>
    <xf numFmtId="187" fontId="1" fillId="22" borderId="19" xfId="0" applyNumberFormat="1" applyFont="1" applyFill="1" applyBorder="1" applyAlignment="1"/>
    <xf numFmtId="0" fontId="2" fillId="22" borderId="20" xfId="0" applyFont="1" applyFill="1" applyBorder="1" applyAlignment="1"/>
    <xf numFmtId="190" fontId="2" fillId="22" borderId="20" xfId="0" applyNumberFormat="1" applyFont="1" applyFill="1" applyBorder="1" applyAlignment="1"/>
    <xf numFmtId="189" fontId="2" fillId="22" borderId="20" xfId="0" applyNumberFormat="1" applyFont="1" applyFill="1" applyBorder="1" applyAlignment="1"/>
    <xf numFmtId="188" fontId="2" fillId="22" borderId="20" xfId="0" applyNumberFormat="1" applyFont="1" applyFill="1" applyBorder="1" applyAlignment="1"/>
    <xf numFmtId="188" fontId="2" fillId="22" borderId="21" xfId="0" applyNumberFormat="1" applyFont="1" applyFill="1" applyBorder="1" applyAlignment="1"/>
    <xf numFmtId="187" fontId="1" fillId="12" borderId="15" xfId="0" applyNumberFormat="1" applyFont="1" applyFill="1" applyBorder="1" applyAlignment="1">
      <alignment horizontal="center"/>
    </xf>
    <xf numFmtId="0" fontId="8" fillId="2" borderId="14" xfId="0" applyFont="1" applyFill="1" applyBorder="1" applyAlignment="1"/>
    <xf numFmtId="190" fontId="2" fillId="2" borderId="22" xfId="0" applyNumberFormat="1" applyFont="1" applyFill="1" applyBorder="1" applyAlignment="1"/>
    <xf numFmtId="0" fontId="8" fillId="2" borderId="0" xfId="0" applyFont="1" applyFill="1" applyAlignment="1"/>
    <xf numFmtId="187" fontId="8" fillId="0" borderId="23" xfId="0" applyNumberFormat="1" applyFont="1" applyBorder="1" applyAlignment="1">
      <alignment horizontal="center"/>
    </xf>
    <xf numFmtId="189" fontId="8" fillId="2" borderId="23" xfId="0" applyNumberFormat="1" applyFont="1" applyFill="1" applyBorder="1" applyAlignment="1">
      <alignment horizontal="right"/>
    </xf>
    <xf numFmtId="187" fontId="1" fillId="9" borderId="1" xfId="0" applyNumberFormat="1" applyFont="1" applyFill="1" applyBorder="1" applyAlignment="1"/>
    <xf numFmtId="187" fontId="2" fillId="9" borderId="2" xfId="0" applyNumberFormat="1" applyFont="1" applyFill="1" applyBorder="1" applyAlignment="1"/>
    <xf numFmtId="0" fontId="2" fillId="9" borderId="2" xfId="0" applyFont="1" applyFill="1" applyBorder="1" applyAlignment="1"/>
    <xf numFmtId="189" fontId="2" fillId="9" borderId="2" xfId="0" applyNumberFormat="1" applyFont="1" applyFill="1" applyBorder="1" applyAlignment="1"/>
    <xf numFmtId="188" fontId="2" fillId="9" borderId="2" xfId="0" applyNumberFormat="1" applyFont="1" applyFill="1" applyBorder="1" applyAlignment="1"/>
    <xf numFmtId="188" fontId="2" fillId="9" borderId="3" xfId="0" applyNumberFormat="1" applyFont="1" applyFill="1" applyBorder="1" applyAlignment="1"/>
    <xf numFmtId="188" fontId="6" fillId="9" borderId="8" xfId="0" applyNumberFormat="1" applyFont="1" applyFill="1" applyBorder="1" applyAlignment="1"/>
    <xf numFmtId="188" fontId="6" fillId="9" borderId="10" xfId="0" applyNumberFormat="1" applyFont="1" applyFill="1" applyBorder="1" applyAlignment="1"/>
    <xf numFmtId="188" fontId="6" fillId="9" borderId="9" xfId="0" applyNumberFormat="1" applyFont="1" applyFill="1" applyBorder="1" applyAlignment="1"/>
    <xf numFmtId="187" fontId="1" fillId="25" borderId="13" xfId="0" applyNumberFormat="1" applyFont="1" applyFill="1" applyBorder="1" applyAlignment="1"/>
    <xf numFmtId="187" fontId="2" fillId="25" borderId="14" xfId="0" applyNumberFormat="1" applyFont="1" applyFill="1" applyBorder="1" applyAlignment="1"/>
    <xf numFmtId="0" fontId="2" fillId="25" borderId="14" xfId="0" applyFont="1" applyFill="1" applyBorder="1" applyAlignment="1"/>
    <xf numFmtId="0" fontId="2" fillId="25" borderId="15" xfId="0" applyFont="1" applyFill="1" applyBorder="1" applyAlignment="1"/>
    <xf numFmtId="189" fontId="2" fillId="25" borderId="15" xfId="0" applyNumberFormat="1" applyFont="1" applyFill="1" applyBorder="1" applyAlignment="1"/>
    <xf numFmtId="188" fontId="2" fillId="25" borderId="15" xfId="0" applyNumberFormat="1" applyFont="1" applyFill="1" applyBorder="1" applyAlignment="1"/>
    <xf numFmtId="188" fontId="6" fillId="25" borderId="16" xfId="0" applyNumberFormat="1" applyFont="1" applyFill="1" applyBorder="1" applyAlignment="1"/>
    <xf numFmtId="188" fontId="6" fillId="25" borderId="15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1" fillId="23" borderId="14" xfId="0" applyFont="1" applyFill="1" applyBorder="1" applyAlignment="1"/>
    <xf numFmtId="187" fontId="2" fillId="23" borderId="14" xfId="0" applyNumberFormat="1" applyFont="1" applyFill="1" applyBorder="1" applyAlignment="1"/>
    <xf numFmtId="0" fontId="1" fillId="23" borderId="15" xfId="0" applyFont="1" applyFill="1" applyBorder="1" applyAlignment="1">
      <alignment horizontal="center" wrapText="1"/>
    </xf>
    <xf numFmtId="189" fontId="1" fillId="23" borderId="15" xfId="0" applyNumberFormat="1" applyFont="1" applyFill="1" applyBorder="1" applyAlignment="1">
      <alignment horizontal="right"/>
    </xf>
    <xf numFmtId="188" fontId="1" fillId="23" borderId="15" xfId="0" applyNumberFormat="1" applyFont="1" applyFill="1" applyBorder="1" applyAlignment="1">
      <alignment horizontal="right"/>
    </xf>
    <xf numFmtId="188" fontId="2" fillId="23" borderId="15" xfId="0" applyNumberFormat="1" applyFont="1" applyFill="1" applyBorder="1" applyAlignment="1"/>
    <xf numFmtId="188" fontId="6" fillId="23" borderId="16" xfId="0" applyNumberFormat="1" applyFont="1" applyFill="1" applyBorder="1" applyAlignment="1"/>
    <xf numFmtId="188" fontId="6" fillId="23" borderId="15" xfId="0" applyNumberFormat="1" applyFont="1" applyFill="1" applyBorder="1" applyAlignment="1"/>
    <xf numFmtId="187" fontId="2" fillId="2" borderId="13" xfId="0" applyNumberFormat="1" applyFont="1" applyFill="1" applyBorder="1" applyAlignment="1"/>
    <xf numFmtId="187" fontId="8" fillId="2" borderId="14" xfId="0" applyNumberFormat="1" applyFont="1" applyFill="1" applyBorder="1" applyAlignment="1"/>
    <xf numFmtId="187" fontId="8" fillId="2" borderId="14" xfId="0" applyNumberFormat="1" applyFont="1" applyFill="1" applyBorder="1" applyAlignment="1"/>
    <xf numFmtId="0" fontId="8" fillId="2" borderId="15" xfId="0" applyFont="1" applyFill="1" applyBorder="1" applyAlignment="1">
      <alignment horizontal="center" wrapText="1"/>
    </xf>
    <xf numFmtId="187" fontId="2" fillId="2" borderId="14" xfId="0" applyNumberFormat="1" applyFont="1" applyFill="1" applyBorder="1" applyAlignment="1"/>
    <xf numFmtId="187" fontId="2" fillId="26" borderId="13" xfId="0" applyNumberFormat="1" applyFont="1" applyFill="1" applyBorder="1" applyAlignment="1"/>
    <xf numFmtId="187" fontId="2" fillId="26" borderId="14" xfId="0" applyNumberFormat="1" applyFont="1" applyFill="1" applyBorder="1" applyAlignment="1"/>
    <xf numFmtId="0" fontId="1" fillId="26" borderId="14" xfId="0" applyFont="1" applyFill="1" applyBorder="1" applyAlignment="1"/>
    <xf numFmtId="0" fontId="2" fillId="26" borderId="14" xfId="0" applyFont="1" applyFill="1" applyBorder="1" applyAlignment="1"/>
    <xf numFmtId="0" fontId="2" fillId="26" borderId="15" xfId="0" applyFont="1" applyFill="1" applyBorder="1" applyAlignment="1"/>
    <xf numFmtId="0" fontId="1" fillId="26" borderId="15" xfId="0" applyFont="1" applyFill="1" applyBorder="1" applyAlignment="1">
      <alignment horizontal="center" wrapText="1"/>
    </xf>
    <xf numFmtId="189" fontId="1" fillId="26" borderId="15" xfId="0" applyNumberFormat="1" applyFont="1" applyFill="1" applyBorder="1" applyAlignment="1">
      <alignment horizontal="right"/>
    </xf>
    <xf numFmtId="188" fontId="1" fillId="26" borderId="15" xfId="0" applyNumberFormat="1" applyFont="1" applyFill="1" applyBorder="1" applyAlignment="1">
      <alignment horizontal="right"/>
    </xf>
    <xf numFmtId="188" fontId="2" fillId="26" borderId="15" xfId="0" applyNumberFormat="1" applyFont="1" applyFill="1" applyBorder="1" applyAlignment="1"/>
    <xf numFmtId="188" fontId="6" fillId="26" borderId="16" xfId="0" applyNumberFormat="1" applyFont="1" applyFill="1" applyBorder="1" applyAlignment="1"/>
    <xf numFmtId="188" fontId="6" fillId="26" borderId="15" xfId="0" applyNumberFormat="1" applyFont="1" applyFill="1" applyBorder="1" applyAlignment="1"/>
    <xf numFmtId="0" fontId="27" fillId="2" borderId="14" xfId="0" quotePrefix="1" applyFont="1" applyFill="1" applyBorder="1" applyAlignment="1"/>
    <xf numFmtId="187" fontId="1" fillId="0" borderId="15" xfId="0" applyNumberFormat="1" applyFont="1" applyBorder="1" applyAlignment="1">
      <alignment horizontal="center" wrapText="1"/>
    </xf>
    <xf numFmtId="0" fontId="8" fillId="0" borderId="14" xfId="0" applyFont="1" applyBorder="1" applyAlignment="1"/>
    <xf numFmtId="0" fontId="1" fillId="2" borderId="15" xfId="0" applyFont="1" applyFill="1" applyBorder="1" applyAlignment="1">
      <alignment horizontal="center" wrapText="1"/>
    </xf>
    <xf numFmtId="0" fontId="1" fillId="26" borderId="15" xfId="0" applyFont="1" applyFill="1" applyBorder="1" applyAlignment="1">
      <alignment horizontal="center"/>
    </xf>
    <xf numFmtId="0" fontId="12" fillId="2" borderId="20" xfId="0" applyFont="1" applyFill="1" applyBorder="1" applyAlignment="1"/>
    <xf numFmtId="188" fontId="8" fillId="2" borderId="15" xfId="0" applyNumberFormat="1" applyFont="1" applyFill="1" applyBorder="1" applyAlignment="1">
      <alignment horizontal="right"/>
    </xf>
    <xf numFmtId="0" fontId="8" fillId="0" borderId="15" xfId="0" applyFont="1" applyBorder="1" applyAlignment="1"/>
    <xf numFmtId="0" fontId="8" fillId="0" borderId="15" xfId="0" applyFont="1" applyBorder="1" applyAlignment="1">
      <alignment horizontal="center"/>
    </xf>
    <xf numFmtId="187" fontId="1" fillId="2" borderId="14" xfId="0" applyNumberFormat="1" applyFont="1" applyFill="1" applyBorder="1" applyAlignment="1"/>
    <xf numFmtId="187" fontId="2" fillId="27" borderId="13" xfId="0" applyNumberFormat="1" applyFont="1" applyFill="1" applyBorder="1" applyAlignment="1"/>
    <xf numFmtId="187" fontId="2" fillId="27" borderId="14" xfId="0" applyNumberFormat="1" applyFont="1" applyFill="1" applyBorder="1" applyAlignment="1"/>
    <xf numFmtId="0" fontId="8" fillId="27" borderId="14" xfId="0" applyFont="1" applyFill="1" applyBorder="1" applyAlignment="1"/>
    <xf numFmtId="0" fontId="2" fillId="27" borderId="14" xfId="0" applyFont="1" applyFill="1" applyBorder="1" applyAlignment="1"/>
    <xf numFmtId="0" fontId="2" fillId="27" borderId="15" xfId="0" applyFont="1" applyFill="1" applyBorder="1" applyAlignment="1"/>
    <xf numFmtId="187" fontId="8" fillId="27" borderId="15" xfId="0" applyNumberFormat="1" applyFont="1" applyFill="1" applyBorder="1" applyAlignment="1">
      <alignment horizontal="center" wrapText="1"/>
    </xf>
    <xf numFmtId="189" fontId="2" fillId="27" borderId="15" xfId="0" applyNumberFormat="1" applyFont="1" applyFill="1" applyBorder="1" applyAlignment="1"/>
    <xf numFmtId="188" fontId="2" fillId="27" borderId="15" xfId="0" applyNumberFormat="1" applyFont="1" applyFill="1" applyBorder="1" applyAlignment="1"/>
    <xf numFmtId="188" fontId="8" fillId="27" borderId="15" xfId="0" applyNumberFormat="1" applyFont="1" applyFill="1" applyBorder="1" applyAlignment="1">
      <alignment horizontal="right"/>
    </xf>
    <xf numFmtId="187" fontId="8" fillId="0" borderId="14" xfId="0" quotePrefix="1" applyNumberFormat="1" applyFont="1" applyBorder="1" applyAlignment="1"/>
    <xf numFmtId="187" fontId="28" fillId="27" borderId="13" xfId="0" applyNumberFormat="1" applyFont="1" applyFill="1" applyBorder="1" applyAlignment="1"/>
    <xf numFmtId="187" fontId="28" fillId="27" borderId="14" xfId="0" applyNumberFormat="1" applyFont="1" applyFill="1" applyBorder="1" applyAlignment="1"/>
    <xf numFmtId="0" fontId="25" fillId="27" borderId="14" xfId="0" applyFont="1" applyFill="1" applyBorder="1" applyAlignment="1"/>
    <xf numFmtId="0" fontId="28" fillId="27" borderId="14" xfId="0" applyFont="1" applyFill="1" applyBorder="1" applyAlignment="1"/>
    <xf numFmtId="0" fontId="28" fillId="27" borderId="15" xfId="0" applyFont="1" applyFill="1" applyBorder="1" applyAlignment="1"/>
    <xf numFmtId="0" fontId="25" fillId="27" borderId="15" xfId="0" applyFont="1" applyFill="1" applyBorder="1" applyAlignment="1">
      <alignment horizontal="center" wrapText="1"/>
    </xf>
    <xf numFmtId="189" fontId="25" fillId="27" borderId="15" xfId="0" applyNumberFormat="1" applyFont="1" applyFill="1" applyBorder="1" applyAlignment="1">
      <alignment horizontal="right"/>
    </xf>
    <xf numFmtId="188" fontId="25" fillId="27" borderId="15" xfId="0" applyNumberFormat="1" applyFont="1" applyFill="1" applyBorder="1" applyAlignment="1">
      <alignment horizontal="right"/>
    </xf>
    <xf numFmtId="190" fontId="28" fillId="27" borderId="13" xfId="0" applyNumberFormat="1" applyFont="1" applyFill="1" applyBorder="1" applyAlignment="1"/>
    <xf numFmtId="0" fontId="25" fillId="27" borderId="14" xfId="0" applyFont="1" applyFill="1" applyBorder="1" applyAlignment="1"/>
    <xf numFmtId="0" fontId="29" fillId="27" borderId="14" xfId="0" applyFont="1" applyFill="1" applyBorder="1" applyAlignment="1"/>
    <xf numFmtId="187" fontId="25" fillId="27" borderId="15" xfId="0" applyNumberFormat="1" applyFont="1" applyFill="1" applyBorder="1" applyAlignment="1">
      <alignment horizontal="center" wrapText="1"/>
    </xf>
    <xf numFmtId="189" fontId="28" fillId="27" borderId="15" xfId="0" applyNumberFormat="1" applyFont="1" applyFill="1" applyBorder="1" applyAlignment="1"/>
    <xf numFmtId="188" fontId="28" fillId="27" borderId="15" xfId="0" applyNumberFormat="1" applyFont="1" applyFill="1" applyBorder="1" applyAlignment="1"/>
    <xf numFmtId="188" fontId="1" fillId="27" borderId="15" xfId="0" applyNumberFormat="1" applyFont="1" applyFill="1" applyBorder="1" applyAlignment="1">
      <alignment horizontal="right"/>
    </xf>
    <xf numFmtId="0" fontId="11" fillId="27" borderId="14" xfId="0" applyFont="1" applyFill="1" applyBorder="1" applyAlignment="1"/>
    <xf numFmtId="187" fontId="11" fillId="27" borderId="15" xfId="0" applyNumberFormat="1" applyFont="1" applyFill="1" applyBorder="1" applyAlignment="1">
      <alignment horizontal="center" wrapText="1"/>
    </xf>
    <xf numFmtId="188" fontId="8" fillId="27" borderId="15" xfId="0" applyNumberFormat="1" applyFont="1" applyFill="1" applyBorder="1" applyAlignment="1">
      <alignment horizontal="right"/>
    </xf>
    <xf numFmtId="187" fontId="25" fillId="27" borderId="14" xfId="0" applyNumberFormat="1" applyFont="1" applyFill="1" applyBorder="1" applyAlignment="1"/>
    <xf numFmtId="0" fontId="30" fillId="27" borderId="14" xfId="0" quotePrefix="1" applyFont="1" applyFill="1" applyBorder="1" applyAlignment="1"/>
    <xf numFmtId="0" fontId="11" fillId="27" borderId="15" xfId="0" applyFont="1" applyFill="1" applyBorder="1" applyAlignment="1">
      <alignment horizontal="center"/>
    </xf>
    <xf numFmtId="189" fontId="11" fillId="27" borderId="15" xfId="0" applyNumberFormat="1" applyFont="1" applyFill="1" applyBorder="1" applyAlignment="1">
      <alignment horizontal="right"/>
    </xf>
    <xf numFmtId="189" fontId="11" fillId="27" borderId="15" xfId="0" applyNumberFormat="1" applyFont="1" applyFill="1" applyBorder="1" applyAlignment="1">
      <alignment horizontal="right"/>
    </xf>
    <xf numFmtId="188" fontId="11" fillId="27" borderId="15" xfId="0" applyNumberFormat="1" applyFont="1" applyFill="1" applyBorder="1" applyAlignment="1">
      <alignment horizontal="right"/>
    </xf>
    <xf numFmtId="187" fontId="11" fillId="27" borderId="14" xfId="0" quotePrefix="1" applyNumberFormat="1" applyFont="1" applyFill="1" applyBorder="1" applyAlignment="1"/>
    <xf numFmtId="0" fontId="11" fillId="27" borderId="14" xfId="0" quotePrefix="1" applyFont="1" applyFill="1" applyBorder="1" applyAlignment="1"/>
    <xf numFmtId="189" fontId="1" fillId="23" borderId="15" xfId="0" applyNumberFormat="1" applyFont="1" applyFill="1" applyBorder="1" applyAlignment="1">
      <alignment horizontal="right"/>
    </xf>
    <xf numFmtId="0" fontId="8" fillId="2" borderId="14" xfId="0" applyFont="1" applyFill="1" applyBorder="1" applyAlignment="1"/>
    <xf numFmtId="46" fontId="6" fillId="2" borderId="19" xfId="0" applyNumberFormat="1" applyFont="1" applyFill="1" applyBorder="1" applyAlignment="1"/>
    <xf numFmtId="187" fontId="6" fillId="2" borderId="20" xfId="0" applyNumberFormat="1" applyFont="1" applyFill="1" applyBorder="1" applyAlignment="1"/>
    <xf numFmtId="0" fontId="12" fillId="2" borderId="20" xfId="0" quotePrefix="1" applyFont="1" applyFill="1" applyBorder="1" applyAlignment="1"/>
    <xf numFmtId="0" fontId="6" fillId="2" borderId="20" xfId="0" applyFont="1" applyFill="1" applyBorder="1" applyAlignment="1"/>
    <xf numFmtId="0" fontId="6" fillId="2" borderId="21" xfId="0" applyFont="1" applyFill="1" applyBorder="1" applyAlignment="1"/>
    <xf numFmtId="187" fontId="12" fillId="2" borderId="21" xfId="0" applyNumberFormat="1" applyFont="1" applyFill="1" applyBorder="1" applyAlignment="1">
      <alignment horizontal="center"/>
    </xf>
    <xf numFmtId="189" fontId="12" fillId="2" borderId="21" xfId="0" applyNumberFormat="1" applyFont="1" applyFill="1" applyBorder="1" applyAlignment="1"/>
    <xf numFmtId="189" fontId="12" fillId="2" borderId="21" xfId="0" applyNumberFormat="1" applyFont="1" applyFill="1" applyBorder="1" applyAlignment="1">
      <alignment horizontal="right"/>
    </xf>
    <xf numFmtId="188" fontId="12" fillId="2" borderId="21" xfId="0" applyNumberFormat="1" applyFont="1" applyFill="1" applyBorder="1" applyAlignment="1"/>
    <xf numFmtId="188" fontId="6" fillId="2" borderId="21" xfId="0" applyNumberFormat="1" applyFont="1" applyFill="1" applyBorder="1" applyAlignment="1"/>
    <xf numFmtId="187" fontId="2" fillId="0" borderId="22" xfId="0" applyNumberFormat="1" applyFont="1" applyBorder="1" applyAlignment="1"/>
    <xf numFmtId="187" fontId="2" fillId="0" borderId="0" xfId="0" applyNumberFormat="1" applyFont="1" applyAlignment="1"/>
    <xf numFmtId="0" fontId="8" fillId="0" borderId="0" xfId="0" quotePrefix="1" applyFont="1" applyAlignment="1"/>
    <xf numFmtId="0" fontId="2" fillId="0" borderId="0" xfId="0" applyFont="1" applyAlignment="1"/>
    <xf numFmtId="0" fontId="2" fillId="0" borderId="23" xfId="0" applyFont="1" applyBorder="1" applyAlignment="1"/>
    <xf numFmtId="189" fontId="8" fillId="2" borderId="23" xfId="0" applyNumberFormat="1" applyFont="1" applyFill="1" applyBorder="1" applyAlignment="1">
      <alignment horizontal="right"/>
    </xf>
    <xf numFmtId="188" fontId="8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/>
    <xf numFmtId="188" fontId="6" fillId="0" borderId="11" xfId="0" applyNumberFormat="1" applyFont="1" applyBorder="1" applyAlignment="1"/>
    <xf numFmtId="188" fontId="6" fillId="0" borderId="9" xfId="0" applyNumberFormat="1" applyFont="1" applyBorder="1" applyAlignment="1"/>
    <xf numFmtId="187" fontId="3" fillId="28" borderId="1" xfId="0" applyNumberFormat="1" applyFont="1" applyFill="1" applyBorder="1" applyAlignment="1"/>
    <xf numFmtId="187" fontId="31" fillId="28" borderId="2" xfId="0" applyNumberFormat="1" applyFont="1" applyFill="1" applyBorder="1" applyAlignment="1"/>
    <xf numFmtId="0" fontId="31" fillId="28" borderId="2" xfId="0" applyFont="1" applyFill="1" applyBorder="1" applyAlignment="1"/>
    <xf numFmtId="189" fontId="31" fillId="28" borderId="2" xfId="0" applyNumberFormat="1" applyFont="1" applyFill="1" applyBorder="1" applyAlignment="1"/>
    <xf numFmtId="188" fontId="31" fillId="28" borderId="2" xfId="0" applyNumberFormat="1" applyFont="1" applyFill="1" applyBorder="1" applyAlignment="1"/>
    <xf numFmtId="188" fontId="2" fillId="28" borderId="2" xfId="0" applyNumberFormat="1" applyFont="1" applyFill="1" applyBorder="1" applyAlignment="1"/>
    <xf numFmtId="188" fontId="2" fillId="28" borderId="3" xfId="0" applyNumberFormat="1" applyFont="1" applyFill="1" applyBorder="1" applyAlignment="1"/>
    <xf numFmtId="188" fontId="6" fillId="28" borderId="8" xfId="0" applyNumberFormat="1" applyFont="1" applyFill="1" applyBorder="1" applyAlignment="1"/>
    <xf numFmtId="188" fontId="6" fillId="28" borderId="10" xfId="0" applyNumberFormat="1" applyFont="1" applyFill="1" applyBorder="1" applyAlignment="1"/>
    <xf numFmtId="188" fontId="6" fillId="28" borderId="9" xfId="0" applyNumberFormat="1" applyFont="1" applyFill="1" applyBorder="1" applyAlignment="1"/>
    <xf numFmtId="187" fontId="1" fillId="29" borderId="13" xfId="0" applyNumberFormat="1" applyFont="1" applyFill="1" applyBorder="1" applyAlignment="1"/>
    <xf numFmtId="0" fontId="2" fillId="29" borderId="14" xfId="0" applyFont="1" applyFill="1" applyBorder="1" applyAlignment="1"/>
    <xf numFmtId="187" fontId="2" fillId="29" borderId="14" xfId="0" applyNumberFormat="1" applyFont="1" applyFill="1" applyBorder="1" applyAlignment="1"/>
    <xf numFmtId="189" fontId="2" fillId="29" borderId="14" xfId="0" applyNumberFormat="1" applyFont="1" applyFill="1" applyBorder="1" applyAlignment="1"/>
    <xf numFmtId="189" fontId="2" fillId="29" borderId="15" xfId="0" applyNumberFormat="1" applyFont="1" applyFill="1" applyBorder="1" applyAlignment="1"/>
    <xf numFmtId="188" fontId="2" fillId="29" borderId="15" xfId="0" applyNumberFormat="1" applyFont="1" applyFill="1" applyBorder="1" applyAlignment="1"/>
    <xf numFmtId="188" fontId="6" fillId="29" borderId="16" xfId="0" applyNumberFormat="1" applyFont="1" applyFill="1" applyBorder="1" applyAlignment="1"/>
    <xf numFmtId="188" fontId="6" fillId="29" borderId="15" xfId="0" applyNumberFormat="1" applyFont="1" applyFill="1" applyBorder="1" applyAlignment="1"/>
    <xf numFmtId="190" fontId="2" fillId="30" borderId="13" xfId="0" applyNumberFormat="1" applyFont="1" applyFill="1" applyBorder="1" applyAlignment="1"/>
    <xf numFmtId="0" fontId="1" fillId="30" borderId="14" xfId="0" applyFont="1" applyFill="1" applyBorder="1" applyAlignment="1"/>
    <xf numFmtId="0" fontId="2" fillId="30" borderId="14" xfId="0" applyFont="1" applyFill="1" applyBorder="1" applyAlignment="1"/>
    <xf numFmtId="187" fontId="2" fillId="30" borderId="14" xfId="0" applyNumberFormat="1" applyFont="1" applyFill="1" applyBorder="1" applyAlignment="1"/>
    <xf numFmtId="0" fontId="2" fillId="30" borderId="15" xfId="0" applyFont="1" applyFill="1" applyBorder="1" applyAlignment="1"/>
    <xf numFmtId="0" fontId="1" fillId="30" borderId="15" xfId="0" applyFont="1" applyFill="1" applyBorder="1" applyAlignment="1">
      <alignment horizontal="center" wrapText="1"/>
    </xf>
    <xf numFmtId="189" fontId="1" fillId="30" borderId="15" xfId="0" applyNumberFormat="1" applyFont="1" applyFill="1" applyBorder="1" applyAlignment="1">
      <alignment horizontal="right"/>
    </xf>
    <xf numFmtId="188" fontId="1" fillId="30" borderId="15" xfId="0" applyNumberFormat="1" applyFont="1" applyFill="1" applyBorder="1" applyAlignment="1">
      <alignment horizontal="right"/>
    </xf>
    <xf numFmtId="188" fontId="2" fillId="30" borderId="15" xfId="0" applyNumberFormat="1" applyFont="1" applyFill="1" applyBorder="1" applyAlignment="1"/>
    <xf numFmtId="188" fontId="6" fillId="30" borderId="16" xfId="0" applyNumberFormat="1" applyFont="1" applyFill="1" applyBorder="1" applyAlignment="1"/>
    <xf numFmtId="188" fontId="6" fillId="30" borderId="15" xfId="0" applyNumberFormat="1" applyFont="1" applyFill="1" applyBorder="1" applyAlignment="1"/>
    <xf numFmtId="0" fontId="1" fillId="0" borderId="14" xfId="0" applyFont="1" applyBorder="1" applyAlignment="1"/>
    <xf numFmtId="187" fontId="2" fillId="10" borderId="13" xfId="0" applyNumberFormat="1" applyFont="1" applyFill="1" applyBorder="1" applyAlignment="1"/>
    <xf numFmtId="187" fontId="2" fillId="10" borderId="14" xfId="0" applyNumberFormat="1" applyFont="1" applyFill="1" applyBorder="1" applyAlignment="1"/>
    <xf numFmtId="0" fontId="1" fillId="10" borderId="14" xfId="0" applyFont="1" applyFill="1" applyBorder="1" applyAlignment="1"/>
    <xf numFmtId="189" fontId="8" fillId="10" borderId="15" xfId="0" applyNumberFormat="1" applyFont="1" applyFill="1" applyBorder="1" applyAlignment="1">
      <alignment horizontal="right"/>
    </xf>
    <xf numFmtId="187" fontId="2" fillId="10" borderId="22" xfId="0" applyNumberFormat="1" applyFont="1" applyFill="1" applyBorder="1" applyAlignment="1"/>
    <xf numFmtId="187" fontId="2" fillId="10" borderId="0" xfId="0" applyNumberFormat="1" applyFont="1" applyFill="1" applyAlignment="1"/>
    <xf numFmtId="0" fontId="2" fillId="10" borderId="0" xfId="0" applyFont="1" applyFill="1" applyAlignment="1"/>
    <xf numFmtId="0" fontId="8" fillId="10" borderId="0" xfId="0" applyFont="1" applyFill="1" applyAlignment="1"/>
    <xf numFmtId="0" fontId="2" fillId="10" borderId="23" xfId="0" applyFont="1" applyFill="1" applyBorder="1" applyAlignment="1"/>
    <xf numFmtId="0" fontId="8" fillId="10" borderId="23" xfId="0" applyFont="1" applyFill="1" applyBorder="1" applyAlignment="1">
      <alignment horizontal="center"/>
    </xf>
    <xf numFmtId="189" fontId="8" fillId="10" borderId="23" xfId="0" applyNumberFormat="1" applyFont="1" applyFill="1" applyBorder="1" applyAlignment="1">
      <alignment horizontal="right"/>
    </xf>
    <xf numFmtId="188" fontId="8" fillId="10" borderId="23" xfId="0" applyNumberFormat="1" applyFont="1" applyFill="1" applyBorder="1" applyAlignment="1">
      <alignment horizontal="right"/>
    </xf>
    <xf numFmtId="188" fontId="2" fillId="10" borderId="23" xfId="0" applyNumberFormat="1" applyFont="1" applyFill="1" applyBorder="1" applyAlignment="1"/>
    <xf numFmtId="187" fontId="1" fillId="31" borderId="1" xfId="0" applyNumberFormat="1" applyFont="1" applyFill="1" applyBorder="1" applyAlignment="1"/>
    <xf numFmtId="187" fontId="2" fillId="31" borderId="2" xfId="0" applyNumberFormat="1" applyFont="1" applyFill="1" applyBorder="1" applyAlignment="1"/>
    <xf numFmtId="0" fontId="2" fillId="31" borderId="2" xfId="0" applyFont="1" applyFill="1" applyBorder="1" applyAlignment="1"/>
    <xf numFmtId="189" fontId="2" fillId="31" borderId="2" xfId="0" applyNumberFormat="1" applyFont="1" applyFill="1" applyBorder="1" applyAlignment="1"/>
    <xf numFmtId="188" fontId="2" fillId="31" borderId="2" xfId="0" applyNumberFormat="1" applyFont="1" applyFill="1" applyBorder="1" applyAlignment="1"/>
    <xf numFmtId="188" fontId="2" fillId="31" borderId="3" xfId="0" applyNumberFormat="1" applyFont="1" applyFill="1" applyBorder="1" applyAlignment="1"/>
    <xf numFmtId="188" fontId="6" fillId="31" borderId="8" xfId="0" applyNumberFormat="1" applyFont="1" applyFill="1" applyBorder="1" applyAlignment="1"/>
    <xf numFmtId="188" fontId="6" fillId="31" borderId="10" xfId="0" applyNumberFormat="1" applyFont="1" applyFill="1" applyBorder="1" applyAlignment="1"/>
    <xf numFmtId="188" fontId="6" fillId="31" borderId="9" xfId="0" applyNumberFormat="1" applyFont="1" applyFill="1" applyBorder="1" applyAlignment="1"/>
    <xf numFmtId="187" fontId="1" fillId="32" borderId="13" xfId="0" applyNumberFormat="1" applyFont="1" applyFill="1" applyBorder="1" applyAlignment="1"/>
    <xf numFmtId="187" fontId="2" fillId="32" borderId="14" xfId="0" applyNumberFormat="1" applyFont="1" applyFill="1" applyBorder="1" applyAlignment="1"/>
    <xf numFmtId="0" fontId="2" fillId="32" borderId="14" xfId="0" applyFont="1" applyFill="1" applyBorder="1" applyAlignment="1"/>
    <xf numFmtId="0" fontId="2" fillId="32" borderId="15" xfId="0" applyFont="1" applyFill="1" applyBorder="1" applyAlignment="1"/>
    <xf numFmtId="189" fontId="2" fillId="32" borderId="15" xfId="0" applyNumberFormat="1" applyFont="1" applyFill="1" applyBorder="1" applyAlignment="1"/>
    <xf numFmtId="188" fontId="2" fillId="32" borderId="15" xfId="0" applyNumberFormat="1" applyFont="1" applyFill="1" applyBorder="1" applyAlignment="1"/>
    <xf numFmtId="188" fontId="6" fillId="32" borderId="16" xfId="0" applyNumberFormat="1" applyFont="1" applyFill="1" applyBorder="1" applyAlignment="1"/>
    <xf numFmtId="188" fontId="6" fillId="32" borderId="15" xfId="0" applyNumberFormat="1" applyFont="1" applyFill="1" applyBorder="1" applyAlignment="1"/>
    <xf numFmtId="187" fontId="2" fillId="33" borderId="13" xfId="0" applyNumberFormat="1" applyFont="1" applyFill="1" applyBorder="1" applyAlignment="1"/>
    <xf numFmtId="0" fontId="1" fillId="33" borderId="14" xfId="0" applyFont="1" applyFill="1" applyBorder="1" applyAlignment="1"/>
    <xf numFmtId="0" fontId="2" fillId="33" borderId="14" xfId="0" applyFont="1" applyFill="1" applyBorder="1" applyAlignment="1"/>
    <xf numFmtId="0" fontId="2" fillId="33" borderId="15" xfId="0" applyFont="1" applyFill="1" applyBorder="1" applyAlignment="1"/>
    <xf numFmtId="0" fontId="1" fillId="33" borderId="15" xfId="0" applyFont="1" applyFill="1" applyBorder="1" applyAlignment="1">
      <alignment horizontal="center" wrapText="1"/>
    </xf>
    <xf numFmtId="189" fontId="1" fillId="33" borderId="15" xfId="0" applyNumberFormat="1" applyFont="1" applyFill="1" applyBorder="1" applyAlignment="1">
      <alignment horizontal="right"/>
    </xf>
    <xf numFmtId="188" fontId="1" fillId="33" borderId="15" xfId="0" applyNumberFormat="1" applyFont="1" applyFill="1" applyBorder="1" applyAlignment="1">
      <alignment horizontal="right"/>
    </xf>
    <xf numFmtId="188" fontId="2" fillId="33" borderId="15" xfId="0" applyNumberFormat="1" applyFont="1" applyFill="1" applyBorder="1" applyAlignment="1"/>
    <xf numFmtId="188" fontId="6" fillId="33" borderId="16" xfId="0" applyNumberFormat="1" applyFont="1" applyFill="1" applyBorder="1" applyAlignment="1"/>
    <xf numFmtId="188" fontId="6" fillId="33" borderId="15" xfId="0" applyNumberFormat="1" applyFont="1" applyFill="1" applyBorder="1" applyAlignment="1"/>
    <xf numFmtId="190" fontId="2" fillId="33" borderId="13" xfId="0" applyNumberFormat="1" applyFont="1" applyFill="1" applyBorder="1" applyAlignment="1"/>
    <xf numFmtId="190" fontId="2" fillId="33" borderId="14" xfId="0" applyNumberFormat="1" applyFont="1" applyFill="1" applyBorder="1" applyAlignment="1"/>
    <xf numFmtId="187" fontId="2" fillId="33" borderId="14" xfId="0" applyNumberFormat="1" applyFont="1" applyFill="1" applyBorder="1" applyAlignment="1"/>
    <xf numFmtId="189" fontId="5" fillId="33" borderId="24" xfId="0" applyNumberFormat="1" applyFont="1" applyFill="1" applyBorder="1" applyAlignment="1">
      <alignment horizontal="right"/>
    </xf>
    <xf numFmtId="189" fontId="5" fillId="33" borderId="21" xfId="0" applyNumberFormat="1" applyFont="1" applyFill="1" applyBorder="1" applyAlignment="1">
      <alignment horizontal="right"/>
    </xf>
    <xf numFmtId="188" fontId="5" fillId="33" borderId="21" xfId="0" applyNumberFormat="1" applyFont="1" applyFill="1" applyBorder="1" applyAlignment="1">
      <alignment horizontal="right"/>
    </xf>
    <xf numFmtId="0" fontId="1" fillId="23" borderId="14" xfId="0" applyFont="1" applyFill="1" applyBorder="1" applyAlignment="1"/>
    <xf numFmtId="0" fontId="2" fillId="2" borderId="16" xfId="0" applyFont="1" applyFill="1" applyBorder="1" applyAlignment="1"/>
    <xf numFmtId="189" fontId="2" fillId="2" borderId="16" xfId="0" applyNumberFormat="1" applyFont="1" applyFill="1" applyBorder="1" applyAlignment="1"/>
    <xf numFmtId="188" fontId="2" fillId="2" borderId="16" xfId="0" applyNumberFormat="1" applyFont="1" applyFill="1" applyBorder="1" applyAlignment="1"/>
    <xf numFmtId="187" fontId="6" fillId="26" borderId="19" xfId="0" applyNumberFormat="1" applyFont="1" applyFill="1" applyBorder="1" applyAlignment="1"/>
    <xf numFmtId="0" fontId="6" fillId="26" borderId="20" xfId="0" applyFont="1" applyFill="1" applyBorder="1" applyAlignment="1"/>
    <xf numFmtId="187" fontId="6" fillId="26" borderId="20" xfId="0" applyNumberFormat="1" applyFont="1" applyFill="1" applyBorder="1" applyAlignment="1"/>
    <xf numFmtId="187" fontId="32" fillId="26" borderId="20" xfId="0" applyNumberFormat="1" applyFont="1" applyFill="1" applyBorder="1" applyAlignment="1"/>
    <xf numFmtId="0" fontId="6" fillId="26" borderId="21" xfId="0" applyFont="1" applyFill="1" applyBorder="1" applyAlignment="1"/>
    <xf numFmtId="0" fontId="5" fillId="26" borderId="21" xfId="0" applyFont="1" applyFill="1" applyBorder="1" applyAlignment="1">
      <alignment horizontal="center" wrapText="1"/>
    </xf>
    <xf numFmtId="189" fontId="5" fillId="26" borderId="21" xfId="0" applyNumberFormat="1" applyFont="1" applyFill="1" applyBorder="1" applyAlignment="1">
      <alignment horizontal="right"/>
    </xf>
    <xf numFmtId="188" fontId="5" fillId="26" borderId="21" xfId="0" applyNumberFormat="1" applyFont="1" applyFill="1" applyBorder="1" applyAlignment="1">
      <alignment horizontal="right"/>
    </xf>
    <xf numFmtId="188" fontId="2" fillId="26" borderId="21" xfId="0" applyNumberFormat="1" applyFont="1" applyFill="1" applyBorder="1" applyAlignment="1"/>
    <xf numFmtId="187" fontId="6" fillId="2" borderId="13" xfId="0" applyNumberFormat="1" applyFont="1" applyFill="1" applyBorder="1" applyAlignment="1"/>
    <xf numFmtId="0" fontId="12" fillId="2" borderId="15" xfId="0" applyFont="1" applyFill="1" applyBorder="1" applyAlignment="1">
      <alignment horizontal="center" wrapText="1"/>
    </xf>
    <xf numFmtId="187" fontId="33" fillId="2" borderId="14" xfId="0" applyNumberFormat="1" applyFont="1" applyFill="1" applyBorder="1" applyAlignment="1"/>
    <xf numFmtId="187" fontId="6" fillId="26" borderId="13" xfId="0" applyNumberFormat="1" applyFont="1" applyFill="1" applyBorder="1" applyAlignment="1"/>
    <xf numFmtId="0" fontId="6" fillId="26" borderId="14" xfId="0" applyFont="1" applyFill="1" applyBorder="1" applyAlignment="1"/>
    <xf numFmtId="187" fontId="6" fillId="26" borderId="14" xfId="0" applyNumberFormat="1" applyFont="1" applyFill="1" applyBorder="1" applyAlignment="1"/>
    <xf numFmtId="0" fontId="34" fillId="26" borderId="14" xfId="0" applyFont="1" applyFill="1" applyBorder="1" applyAlignment="1"/>
    <xf numFmtId="0" fontId="6" fillId="26" borderId="15" xfId="0" applyFont="1" applyFill="1" applyBorder="1" applyAlignment="1"/>
    <xf numFmtId="0" fontId="5" fillId="26" borderId="15" xfId="0" applyFont="1" applyFill="1" applyBorder="1" applyAlignment="1">
      <alignment horizontal="center" wrapText="1"/>
    </xf>
    <xf numFmtId="189" fontId="5" fillId="26" borderId="15" xfId="0" applyNumberFormat="1" applyFont="1" applyFill="1" applyBorder="1" applyAlignment="1">
      <alignment horizontal="right"/>
    </xf>
    <xf numFmtId="188" fontId="5" fillId="26" borderId="15" xfId="0" applyNumberFormat="1" applyFont="1" applyFill="1" applyBorder="1" applyAlignment="1">
      <alignment horizontal="right"/>
    </xf>
    <xf numFmtId="189" fontId="2" fillId="33" borderId="15" xfId="0" applyNumberFormat="1" applyFont="1" applyFill="1" applyBorder="1" applyAlignment="1"/>
    <xf numFmtId="0" fontId="35" fillId="26" borderId="14" xfId="0" applyFont="1" applyFill="1" applyBorder="1" applyAlignment="1"/>
    <xf numFmtId="0" fontId="1" fillId="26" borderId="15" xfId="0" applyFont="1" applyFill="1" applyBorder="1" applyAlignment="1">
      <alignment horizontal="center"/>
    </xf>
    <xf numFmtId="189" fontId="1" fillId="26" borderId="15" xfId="0" applyNumberFormat="1" applyFont="1" applyFill="1" applyBorder="1" applyAlignment="1"/>
    <xf numFmtId="189" fontId="1" fillId="26" borderId="15" xfId="0" applyNumberFormat="1" applyFont="1" applyFill="1" applyBorder="1" applyAlignment="1"/>
    <xf numFmtId="188" fontId="1" fillId="26" borderId="15" xfId="0" applyNumberFormat="1" applyFont="1" applyFill="1" applyBorder="1" applyAlignment="1"/>
    <xf numFmtId="0" fontId="8" fillId="0" borderId="14" xfId="0" quotePrefix="1" applyFont="1" applyBorder="1" applyAlignment="1"/>
    <xf numFmtId="187" fontId="36" fillId="0" borderId="22" xfId="0" applyNumberFormat="1" applyFont="1" applyBorder="1" applyAlignment="1"/>
    <xf numFmtId="0" fontId="8" fillId="0" borderId="23" xfId="0" applyFont="1" applyBorder="1" applyAlignment="1">
      <alignment horizontal="center"/>
    </xf>
    <xf numFmtId="187" fontId="37" fillId="2" borderId="28" xfId="0" applyNumberFormat="1" applyFont="1" applyFill="1" applyBorder="1" applyAlignment="1"/>
    <xf numFmtId="0" fontId="1" fillId="2" borderId="28" xfId="0" applyFont="1" applyFill="1" applyBorder="1" applyAlignment="1"/>
    <xf numFmtId="187" fontId="2" fillId="2" borderId="28" xfId="0" applyNumberFormat="1" applyFont="1" applyFill="1" applyBorder="1" applyAlignment="1"/>
    <xf numFmtId="187" fontId="38" fillId="2" borderId="28" xfId="0" applyNumberFormat="1" applyFont="1" applyFill="1" applyBorder="1" applyAlignment="1"/>
    <xf numFmtId="0" fontId="2" fillId="2" borderId="28" xfId="0" applyFont="1" applyFill="1" applyBorder="1" applyAlignment="1"/>
    <xf numFmtId="0" fontId="2" fillId="2" borderId="29" xfId="0" applyFont="1" applyFill="1" applyBorder="1" applyAlignment="1"/>
    <xf numFmtId="189" fontId="2" fillId="2" borderId="30" xfId="0" applyNumberFormat="1" applyFont="1" applyFill="1" applyBorder="1" applyAlignment="1"/>
    <xf numFmtId="188" fontId="2" fillId="2" borderId="30" xfId="0" applyNumberFormat="1" applyFont="1" applyFill="1" applyBorder="1" applyAlignment="1"/>
    <xf numFmtId="190" fontId="6" fillId="33" borderId="31" xfId="0" applyNumberFormat="1" applyFont="1" applyFill="1" applyBorder="1" applyAlignment="1"/>
    <xf numFmtId="187" fontId="5" fillId="33" borderId="32" xfId="0" applyNumberFormat="1" applyFont="1" applyFill="1" applyBorder="1" applyAlignment="1"/>
    <xf numFmtId="190" fontId="6" fillId="33" borderId="32" xfId="0" applyNumberFormat="1" applyFont="1" applyFill="1" applyBorder="1" applyAlignment="1"/>
    <xf numFmtId="187" fontId="6" fillId="33" borderId="32" xfId="0" applyNumberFormat="1" applyFont="1" applyFill="1" applyBorder="1" applyAlignment="1"/>
    <xf numFmtId="0" fontId="6" fillId="33" borderId="32" xfId="0" applyFont="1" applyFill="1" applyBorder="1" applyAlignment="1"/>
    <xf numFmtId="0" fontId="6" fillId="33" borderId="18" xfId="0" applyFont="1" applyFill="1" applyBorder="1" applyAlignment="1"/>
    <xf numFmtId="187" fontId="5" fillId="33" borderId="18" xfId="0" applyNumberFormat="1" applyFont="1" applyFill="1" applyBorder="1" applyAlignment="1">
      <alignment horizontal="center" wrapText="1"/>
    </xf>
    <xf numFmtId="189" fontId="5" fillId="33" borderId="18" xfId="0" applyNumberFormat="1" applyFont="1" applyFill="1" applyBorder="1" applyAlignment="1">
      <alignment horizontal="right"/>
    </xf>
    <xf numFmtId="188" fontId="5" fillId="33" borderId="18" xfId="0" applyNumberFormat="1" applyFont="1" applyFill="1" applyBorder="1" applyAlignment="1">
      <alignment horizontal="right"/>
    </xf>
    <xf numFmtId="188" fontId="6" fillId="33" borderId="18" xfId="0" applyNumberFormat="1" applyFont="1" applyFill="1" applyBorder="1" applyAlignment="1"/>
    <xf numFmtId="187" fontId="39" fillId="2" borderId="14" xfId="0" applyNumberFormat="1" applyFont="1" applyFill="1" applyBorder="1" applyAlignment="1"/>
    <xf numFmtId="187" fontId="12" fillId="2" borderId="14" xfId="0" applyNumberFormat="1" applyFont="1" applyFill="1" applyBorder="1" applyAlignment="1"/>
    <xf numFmtId="187" fontId="40" fillId="23" borderId="14" xfId="0" quotePrefix="1" applyNumberFormat="1" applyFont="1" applyFill="1" applyBorder="1" applyAlignment="1"/>
    <xf numFmtId="187" fontId="11" fillId="2" borderId="14" xfId="0" applyNumberFormat="1" applyFont="1" applyFill="1" applyBorder="1" applyAlignment="1"/>
    <xf numFmtId="189" fontId="11" fillId="2" borderId="15" xfId="0" applyNumberFormat="1" applyFont="1" applyFill="1" applyBorder="1" applyAlignment="1">
      <alignment horizontal="right"/>
    </xf>
    <xf numFmtId="187" fontId="6" fillId="27" borderId="14" xfId="0" applyNumberFormat="1" applyFont="1" applyFill="1" applyBorder="1" applyAlignment="1"/>
    <xf numFmtId="187" fontId="6" fillId="27" borderId="15" xfId="0" applyNumberFormat="1" applyFont="1" applyFill="1" applyBorder="1" applyAlignment="1"/>
    <xf numFmtId="189" fontId="6" fillId="27" borderId="15" xfId="0" applyNumberFormat="1" applyFont="1" applyFill="1" applyBorder="1" applyAlignment="1"/>
    <xf numFmtId="188" fontId="6" fillId="27" borderId="15" xfId="0" applyNumberFormat="1" applyFont="1" applyFill="1" applyBorder="1" applyAlignment="1"/>
    <xf numFmtId="188" fontId="6" fillId="27" borderId="16" xfId="0" applyNumberFormat="1" applyFont="1" applyFill="1" applyBorder="1" applyAlignment="1"/>
    <xf numFmtId="187" fontId="6" fillId="27" borderId="10" xfId="0" applyNumberFormat="1" applyFont="1" applyFill="1" applyBorder="1" applyAlignment="1"/>
    <xf numFmtId="187" fontId="6" fillId="27" borderId="9" xfId="0" applyNumberFormat="1" applyFont="1" applyFill="1" applyBorder="1" applyAlignment="1"/>
    <xf numFmtId="189" fontId="6" fillId="27" borderId="9" xfId="0" applyNumberFormat="1" applyFont="1" applyFill="1" applyBorder="1" applyAlignment="1"/>
    <xf numFmtId="188" fontId="6" fillId="27" borderId="9" xfId="0" applyNumberFormat="1" applyFont="1" applyFill="1" applyBorder="1" applyAlignment="1"/>
    <xf numFmtId="188" fontId="6" fillId="27" borderId="11" xfId="0" applyNumberFormat="1" applyFont="1" applyFill="1" applyBorder="1" applyAlignment="1"/>
    <xf numFmtId="190" fontId="6" fillId="33" borderId="13" xfId="0" applyNumberFormat="1" applyFont="1" applyFill="1" applyBorder="1" applyAlignment="1"/>
    <xf numFmtId="187" fontId="5" fillId="33" borderId="14" xfId="0" applyNumberFormat="1" applyFont="1" applyFill="1" applyBorder="1" applyAlignment="1"/>
    <xf numFmtId="190" fontId="6" fillId="33" borderId="14" xfId="0" applyNumberFormat="1" applyFont="1" applyFill="1" applyBorder="1" applyAlignment="1"/>
    <xf numFmtId="187" fontId="6" fillId="33" borderId="14" xfId="0" applyNumberFormat="1" applyFont="1" applyFill="1" applyBorder="1" applyAlignment="1"/>
    <xf numFmtId="0" fontId="6" fillId="33" borderId="14" xfId="0" applyFont="1" applyFill="1" applyBorder="1" applyAlignment="1"/>
    <xf numFmtId="0" fontId="6" fillId="33" borderId="15" xfId="0" applyFont="1" applyFill="1" applyBorder="1" applyAlignment="1"/>
    <xf numFmtId="187" fontId="5" fillId="33" borderId="15" xfId="0" applyNumberFormat="1" applyFont="1" applyFill="1" applyBorder="1" applyAlignment="1">
      <alignment horizontal="center" wrapText="1"/>
    </xf>
    <xf numFmtId="189" fontId="5" fillId="33" borderId="15" xfId="0" applyNumberFormat="1" applyFont="1" applyFill="1" applyBorder="1" applyAlignment="1"/>
    <xf numFmtId="188" fontId="5" fillId="33" borderId="15" xfId="0" applyNumberFormat="1" applyFont="1" applyFill="1" applyBorder="1" applyAlignment="1">
      <alignment horizontal="right"/>
    </xf>
    <xf numFmtId="187" fontId="6" fillId="27" borderId="13" xfId="0" applyNumberFormat="1" applyFont="1" applyFill="1" applyBorder="1" applyAlignment="1"/>
    <xf numFmtId="0" fontId="6" fillId="27" borderId="14" xfId="0" applyFont="1" applyFill="1" applyBorder="1" applyAlignment="1"/>
    <xf numFmtId="0" fontId="6" fillId="27" borderId="15" xfId="0" applyFont="1" applyFill="1" applyBorder="1" applyAlignment="1"/>
    <xf numFmtId="187" fontId="6" fillId="33" borderId="15" xfId="0" applyNumberFormat="1" applyFont="1" applyFill="1" applyBorder="1" applyAlignment="1"/>
    <xf numFmtId="187" fontId="5" fillId="33" borderId="15" xfId="0" applyNumberFormat="1" applyFont="1" applyFill="1" applyBorder="1" applyAlignment="1">
      <alignment horizontal="center"/>
    </xf>
    <xf numFmtId="189" fontId="5" fillId="33" borderId="15" xfId="0" applyNumberFormat="1" applyFont="1" applyFill="1" applyBorder="1" applyAlignment="1">
      <alignment horizontal="right"/>
    </xf>
    <xf numFmtId="187" fontId="5" fillId="2" borderId="14" xfId="0" applyNumberFormat="1" applyFont="1" applyFill="1" applyBorder="1" applyAlignment="1">
      <alignment horizontal="center"/>
    </xf>
    <xf numFmtId="187" fontId="5" fillId="2" borderId="15" xfId="0" applyNumberFormat="1" applyFont="1" applyFill="1" applyBorder="1" applyAlignment="1">
      <alignment horizontal="center" wrapText="1"/>
    </xf>
    <xf numFmtId="187" fontId="42" fillId="2" borderId="14" xfId="0" quotePrefix="1" applyNumberFormat="1" applyFont="1" applyFill="1" applyBorder="1" applyAlignment="1"/>
    <xf numFmtId="187" fontId="5" fillId="2" borderId="14" xfId="0" applyNumberFormat="1" applyFont="1" applyFill="1" applyBorder="1" applyAlignment="1"/>
    <xf numFmtId="189" fontId="5" fillId="2" borderId="15" xfId="0" applyNumberFormat="1" applyFont="1" applyFill="1" applyBorder="1" applyAlignment="1">
      <alignment horizontal="right"/>
    </xf>
    <xf numFmtId="189" fontId="12" fillId="2" borderId="15" xfId="0" applyNumberFormat="1" applyFont="1" applyFill="1" applyBorder="1" applyAlignment="1"/>
    <xf numFmtId="191" fontId="12" fillId="2" borderId="15" xfId="0" applyNumberFormat="1" applyFont="1" applyFill="1" applyBorder="1" applyAlignment="1"/>
    <xf numFmtId="187" fontId="12" fillId="2" borderId="14" xfId="0" quotePrefix="1" applyNumberFormat="1" applyFont="1" applyFill="1" applyBorder="1" applyAlignment="1"/>
    <xf numFmtId="187" fontId="43" fillId="2" borderId="14" xfId="0" applyNumberFormat="1" applyFont="1" applyFill="1" applyBorder="1" applyAlignment="1"/>
    <xf numFmtId="187" fontId="6" fillId="2" borderId="8" xfId="0" applyNumberFormat="1" applyFont="1" applyFill="1" applyBorder="1" applyAlignment="1"/>
    <xf numFmtId="187" fontId="6" fillId="2" borderId="10" xfId="0" applyNumberFormat="1" applyFont="1" applyFill="1" applyBorder="1" applyAlignment="1"/>
    <xf numFmtId="187" fontId="6" fillId="2" borderId="9" xfId="0" applyNumberFormat="1" applyFont="1" applyFill="1" applyBorder="1" applyAlignment="1"/>
    <xf numFmtId="187" fontId="12" fillId="2" borderId="9" xfId="0" applyNumberFormat="1" applyFont="1" applyFill="1" applyBorder="1" applyAlignment="1">
      <alignment horizontal="center"/>
    </xf>
    <xf numFmtId="189" fontId="6" fillId="2" borderId="9" xfId="0" applyNumberFormat="1" applyFont="1" applyFill="1" applyBorder="1" applyAlignment="1"/>
    <xf numFmtId="189" fontId="12" fillId="2" borderId="9" xfId="0" applyNumberFormat="1" applyFont="1" applyFill="1" applyBorder="1" applyAlignment="1"/>
    <xf numFmtId="187" fontId="5" fillId="0" borderId="15" xfId="0" applyNumberFormat="1" applyFont="1" applyBorder="1" applyAlignment="1">
      <alignment horizontal="center" wrapText="1"/>
    </xf>
    <xf numFmtId="0" fontId="44" fillId="2" borderId="14" xfId="0" applyFont="1" applyFill="1" applyBorder="1" applyAlignment="1"/>
    <xf numFmtId="187" fontId="5" fillId="2" borderId="10" xfId="0" applyNumberFormat="1" applyFont="1" applyFill="1" applyBorder="1" applyAlignment="1"/>
    <xf numFmtId="0" fontId="6" fillId="2" borderId="10" xfId="0" applyFont="1" applyFill="1" applyBorder="1" applyAlignment="1"/>
    <xf numFmtId="0" fontId="6" fillId="2" borderId="9" xfId="0" applyFont="1" applyFill="1" applyBorder="1" applyAlignment="1"/>
    <xf numFmtId="187" fontId="1" fillId="34" borderId="1" xfId="0" applyNumberFormat="1" applyFont="1" applyFill="1" applyBorder="1" applyAlignment="1"/>
    <xf numFmtId="187" fontId="2" fillId="34" borderId="2" xfId="0" applyNumberFormat="1" applyFont="1" applyFill="1" applyBorder="1" applyAlignment="1"/>
    <xf numFmtId="0" fontId="2" fillId="34" borderId="2" xfId="0" applyFont="1" applyFill="1" applyBorder="1" applyAlignment="1"/>
    <xf numFmtId="189" fontId="2" fillId="34" borderId="2" xfId="0" applyNumberFormat="1" applyFont="1" applyFill="1" applyBorder="1" applyAlignment="1"/>
    <xf numFmtId="188" fontId="2" fillId="34" borderId="2" xfId="0" applyNumberFormat="1" applyFont="1" applyFill="1" applyBorder="1" applyAlignment="1"/>
    <xf numFmtId="188" fontId="2" fillId="34" borderId="3" xfId="0" applyNumberFormat="1" applyFont="1" applyFill="1" applyBorder="1" applyAlignment="1"/>
    <xf numFmtId="188" fontId="6" fillId="35" borderId="11" xfId="0" applyNumberFormat="1" applyFont="1" applyFill="1" applyBorder="1" applyAlignment="1"/>
    <xf numFmtId="188" fontId="6" fillId="35" borderId="9" xfId="0" applyNumberFormat="1" applyFont="1" applyFill="1" applyBorder="1" applyAlignment="1"/>
    <xf numFmtId="187" fontId="1" fillId="36" borderId="13" xfId="0" applyNumberFormat="1" applyFont="1" applyFill="1" applyBorder="1" applyAlignment="1"/>
    <xf numFmtId="187" fontId="2" fillId="36" borderId="14" xfId="0" applyNumberFormat="1" applyFont="1" applyFill="1" applyBorder="1" applyAlignment="1"/>
    <xf numFmtId="0" fontId="2" fillId="36" borderId="14" xfId="0" applyFont="1" applyFill="1" applyBorder="1" applyAlignment="1"/>
    <xf numFmtId="0" fontId="2" fillId="36" borderId="15" xfId="0" applyFont="1" applyFill="1" applyBorder="1" applyAlignment="1"/>
    <xf numFmtId="189" fontId="2" fillId="36" borderId="15" xfId="0" applyNumberFormat="1" applyFont="1" applyFill="1" applyBorder="1" applyAlignment="1"/>
    <xf numFmtId="188" fontId="2" fillId="36" borderId="15" xfId="0" applyNumberFormat="1" applyFont="1" applyFill="1" applyBorder="1" applyAlignment="1"/>
    <xf numFmtId="188" fontId="6" fillId="36" borderId="33" xfId="0" applyNumberFormat="1" applyFont="1" applyFill="1" applyBorder="1" applyAlignment="1"/>
    <xf numFmtId="188" fontId="6" fillId="36" borderId="23" xfId="0" applyNumberFormat="1" applyFont="1" applyFill="1" applyBorder="1" applyAlignment="1"/>
    <xf numFmtId="187" fontId="2" fillId="37" borderId="13" xfId="0" applyNumberFormat="1" applyFont="1" applyFill="1" applyBorder="1" applyAlignment="1"/>
    <xf numFmtId="0" fontId="1" fillId="37" borderId="14" xfId="0" applyFont="1" applyFill="1" applyBorder="1" applyAlignment="1"/>
    <xf numFmtId="187" fontId="2" fillId="37" borderId="14" xfId="0" applyNumberFormat="1" applyFont="1" applyFill="1" applyBorder="1" applyAlignment="1"/>
    <xf numFmtId="0" fontId="2" fillId="37" borderId="14" xfId="0" applyFont="1" applyFill="1" applyBorder="1" applyAlignment="1"/>
    <xf numFmtId="0" fontId="2" fillId="37" borderId="15" xfId="0" applyFont="1" applyFill="1" applyBorder="1" applyAlignment="1"/>
    <xf numFmtId="0" fontId="1" fillId="37" borderId="15" xfId="0" applyFont="1" applyFill="1" applyBorder="1" applyAlignment="1">
      <alignment horizontal="center" wrapText="1"/>
    </xf>
    <xf numFmtId="189" fontId="1" fillId="37" borderId="15" xfId="0" applyNumberFormat="1" applyFont="1" applyFill="1" applyBorder="1" applyAlignment="1">
      <alignment horizontal="right"/>
    </xf>
    <xf numFmtId="188" fontId="1" fillId="37" borderId="15" xfId="0" applyNumberFormat="1" applyFont="1" applyFill="1" applyBorder="1" applyAlignment="1">
      <alignment horizontal="right"/>
    </xf>
    <xf numFmtId="188" fontId="2" fillId="37" borderId="15" xfId="0" applyNumberFormat="1" applyFont="1" applyFill="1" applyBorder="1" applyAlignment="1"/>
    <xf numFmtId="188" fontId="6" fillId="37" borderId="16" xfId="0" applyNumberFormat="1" applyFont="1" applyFill="1" applyBorder="1" applyAlignment="1"/>
    <xf numFmtId="188" fontId="6" fillId="37" borderId="15" xfId="0" applyNumberFormat="1" applyFont="1" applyFill="1" applyBorder="1" applyAlignment="1"/>
    <xf numFmtId="187" fontId="2" fillId="2" borderId="8" xfId="0" applyNumberFormat="1" applyFont="1" applyFill="1" applyBorder="1" applyAlignment="1"/>
    <xf numFmtId="187" fontId="2" fillId="2" borderId="10" xfId="0" applyNumberFormat="1" applyFont="1" applyFill="1" applyBorder="1" applyAlignment="1"/>
    <xf numFmtId="0" fontId="8" fillId="0" borderId="10" xfId="0" applyFont="1" applyBorder="1" applyAlignment="1"/>
    <xf numFmtId="187" fontId="2" fillId="0" borderId="10" xfId="0" applyNumberFormat="1" applyFont="1" applyBorder="1" applyAlignment="1"/>
    <xf numFmtId="0" fontId="8" fillId="2" borderId="9" xfId="0" applyFont="1" applyFill="1" applyBorder="1" applyAlignment="1">
      <alignment horizontal="center" wrapText="1"/>
    </xf>
    <xf numFmtId="189" fontId="8" fillId="2" borderId="9" xfId="0" applyNumberFormat="1" applyFont="1" applyFill="1" applyBorder="1" applyAlignment="1">
      <alignment horizontal="right"/>
    </xf>
    <xf numFmtId="187" fontId="6" fillId="27" borderId="19" xfId="0" applyNumberFormat="1" applyFont="1" applyFill="1" applyBorder="1" applyAlignment="1"/>
    <xf numFmtId="187" fontId="6" fillId="27" borderId="20" xfId="0" applyNumberFormat="1" applyFont="1" applyFill="1" applyBorder="1" applyAlignment="1"/>
    <xf numFmtId="0" fontId="6" fillId="27" borderId="20" xfId="0" applyFont="1" applyFill="1" applyBorder="1" applyAlignment="1"/>
    <xf numFmtId="0" fontId="6" fillId="27" borderId="21" xfId="0" applyFont="1" applyFill="1" applyBorder="1" applyAlignment="1"/>
    <xf numFmtId="187" fontId="6" fillId="27" borderId="21" xfId="0" applyNumberFormat="1" applyFont="1" applyFill="1" applyBorder="1" applyAlignment="1"/>
    <xf numFmtId="189" fontId="6" fillId="27" borderId="21" xfId="0" applyNumberFormat="1" applyFont="1" applyFill="1" applyBorder="1" applyAlignment="1"/>
    <xf numFmtId="188" fontId="6" fillId="27" borderId="21" xfId="0" applyNumberFormat="1" applyFont="1" applyFill="1" applyBorder="1" applyAlignment="1"/>
    <xf numFmtId="187" fontId="6" fillId="27" borderId="8" xfId="0" applyNumberFormat="1" applyFont="1" applyFill="1" applyBorder="1" applyAlignment="1"/>
    <xf numFmtId="0" fontId="6" fillId="27" borderId="10" xfId="0" applyFont="1" applyFill="1" applyBorder="1" applyAlignment="1"/>
    <xf numFmtId="0" fontId="6" fillId="27" borderId="9" xfId="0" applyFont="1" applyFill="1" applyBorder="1" applyAlignment="1"/>
    <xf numFmtId="187" fontId="6" fillId="37" borderId="13" xfId="0" applyNumberFormat="1" applyFont="1" applyFill="1" applyBorder="1" applyAlignment="1"/>
    <xf numFmtId="0" fontId="5" fillId="37" borderId="14" xfId="0" applyFont="1" applyFill="1" applyBorder="1" applyAlignment="1"/>
    <xf numFmtId="187" fontId="6" fillId="37" borderId="14" xfId="0" applyNumberFormat="1" applyFont="1" applyFill="1" applyBorder="1" applyAlignment="1"/>
    <xf numFmtId="0" fontId="6" fillId="37" borderId="14" xfId="0" applyFont="1" applyFill="1" applyBorder="1" applyAlignment="1"/>
    <xf numFmtId="0" fontId="6" fillId="37" borderId="15" xfId="0" applyFont="1" applyFill="1" applyBorder="1" applyAlignment="1"/>
    <xf numFmtId="187" fontId="5" fillId="37" borderId="15" xfId="0" applyNumberFormat="1" applyFont="1" applyFill="1" applyBorder="1" applyAlignment="1">
      <alignment horizontal="center" wrapText="1"/>
    </xf>
    <xf numFmtId="189" fontId="5" fillId="37" borderId="15" xfId="0" applyNumberFormat="1" applyFont="1" applyFill="1" applyBorder="1" applyAlignment="1"/>
    <xf numFmtId="188" fontId="5" fillId="37" borderId="15" xfId="0" applyNumberFormat="1" applyFont="1" applyFill="1" applyBorder="1" applyAlignment="1">
      <alignment horizontal="right"/>
    </xf>
    <xf numFmtId="0" fontId="5" fillId="2" borderId="14" xfId="0" applyFont="1" applyFill="1" applyBorder="1" applyAlignment="1">
      <alignment horizontal="center"/>
    </xf>
    <xf numFmtId="187" fontId="25" fillId="22" borderId="13" xfId="0" applyNumberFormat="1" applyFont="1" applyFill="1" applyBorder="1" applyAlignment="1"/>
    <xf numFmtId="0" fontId="6" fillId="22" borderId="14" xfId="0" applyFont="1" applyFill="1" applyBorder="1" applyAlignment="1"/>
    <xf numFmtId="190" fontId="6" fillId="22" borderId="14" xfId="0" applyNumberFormat="1" applyFont="1" applyFill="1" applyBorder="1" applyAlignment="1"/>
    <xf numFmtId="187" fontId="6" fillId="22" borderId="14" xfId="0" applyNumberFormat="1" applyFont="1" applyFill="1" applyBorder="1" applyAlignment="1"/>
    <xf numFmtId="189" fontId="6" fillId="22" borderId="14" xfId="0" applyNumberFormat="1" applyFont="1" applyFill="1" applyBorder="1" applyAlignment="1"/>
    <xf numFmtId="188" fontId="6" fillId="22" borderId="14" xfId="0" applyNumberFormat="1" applyFont="1" applyFill="1" applyBorder="1" applyAlignment="1"/>
    <xf numFmtId="0" fontId="25" fillId="12" borderId="14" xfId="0" applyFont="1" applyFill="1" applyBorder="1" applyAlignment="1"/>
    <xf numFmtId="187" fontId="25" fillId="12" borderId="14" xfId="0" applyNumberFormat="1" applyFont="1" applyFill="1" applyBorder="1" applyAlignment="1">
      <alignment horizontal="center"/>
    </xf>
    <xf numFmtId="189" fontId="6" fillId="12" borderId="14" xfId="0" applyNumberFormat="1" applyFont="1" applyFill="1" applyBorder="1" applyAlignment="1"/>
    <xf numFmtId="189" fontId="6" fillId="12" borderId="15" xfId="0" applyNumberFormat="1" applyFont="1" applyFill="1" applyBorder="1" applyAlignment="1"/>
    <xf numFmtId="187" fontId="6" fillId="12" borderId="13" xfId="0" applyNumberFormat="1" applyFont="1" applyFill="1" applyBorder="1" applyAlignment="1"/>
    <xf numFmtId="187" fontId="11" fillId="12" borderId="14" xfId="0" applyNumberFormat="1" applyFont="1" applyFill="1" applyBorder="1" applyAlignment="1"/>
    <xf numFmtId="187" fontId="25" fillId="12" borderId="15" xfId="0" applyNumberFormat="1" applyFont="1" applyFill="1" applyBorder="1" applyAlignment="1">
      <alignment horizontal="center"/>
    </xf>
    <xf numFmtId="187" fontId="25" fillId="0" borderId="15" xfId="0" applyNumberFormat="1" applyFont="1" applyBorder="1" applyAlignment="1">
      <alignment horizontal="center" wrapText="1"/>
    </xf>
    <xf numFmtId="0" fontId="46" fillId="2" borderId="14" xfId="0" applyFont="1" applyFill="1" applyBorder="1" applyAlignment="1"/>
    <xf numFmtId="187" fontId="25" fillId="0" borderId="15" xfId="0" applyNumberFormat="1" applyFont="1" applyBorder="1" applyAlignment="1">
      <alignment horizontal="center"/>
    </xf>
    <xf numFmtId="187" fontId="11" fillId="0" borderId="15" xfId="0" applyNumberFormat="1" applyFont="1" applyBorder="1" applyAlignment="1">
      <alignment horizontal="center"/>
    </xf>
    <xf numFmtId="0" fontId="47" fillId="23" borderId="14" xfId="0" quotePrefix="1" applyFont="1" applyFill="1" applyBorder="1" applyAlignment="1"/>
    <xf numFmtId="187" fontId="11" fillId="0" borderId="14" xfId="0" applyNumberFormat="1" applyFont="1" applyBorder="1" applyAlignment="1"/>
    <xf numFmtId="187" fontId="6" fillId="0" borderId="34" xfId="0" applyNumberFormat="1" applyFont="1" applyBorder="1" applyAlignment="1"/>
    <xf numFmtId="187" fontId="6" fillId="0" borderId="35" xfId="0" applyNumberFormat="1" applyFont="1" applyBorder="1" applyAlignment="1"/>
    <xf numFmtId="187" fontId="11" fillId="0" borderId="35" xfId="0" applyNumberFormat="1" applyFont="1" applyBorder="1" applyAlignment="1"/>
    <xf numFmtId="0" fontId="6" fillId="0" borderId="35" xfId="0" applyFont="1" applyBorder="1" applyAlignment="1"/>
    <xf numFmtId="0" fontId="6" fillId="0" borderId="36" xfId="0" applyFont="1" applyBorder="1" applyAlignment="1"/>
    <xf numFmtId="187" fontId="11" fillId="0" borderId="36" xfId="0" applyNumberFormat="1" applyFont="1" applyBorder="1" applyAlignment="1">
      <alignment horizontal="center" wrapText="1"/>
    </xf>
    <xf numFmtId="189" fontId="6" fillId="2" borderId="36" xfId="0" applyNumberFormat="1" applyFont="1" applyFill="1" applyBorder="1" applyAlignment="1"/>
    <xf numFmtId="188" fontId="6" fillId="0" borderId="36" xfId="0" applyNumberFormat="1" applyFont="1" applyBorder="1" applyAlignment="1"/>
    <xf numFmtId="188" fontId="6" fillId="2" borderId="36" xfId="0" applyNumberFormat="1" applyFont="1" applyFill="1" applyBorder="1" applyAlignment="1"/>
    <xf numFmtId="188" fontId="6" fillId="2" borderId="37" xfId="0" applyNumberFormat="1" applyFont="1" applyFill="1" applyBorder="1" applyAlignment="1"/>
    <xf numFmtId="187" fontId="3" fillId="38" borderId="8" xfId="0" applyNumberFormat="1" applyFont="1" applyFill="1" applyBorder="1" applyAlignment="1"/>
    <xf numFmtId="187" fontId="6" fillId="38" borderId="10" xfId="0" applyNumberFormat="1" applyFont="1" applyFill="1" applyBorder="1" applyAlignment="1"/>
    <xf numFmtId="0" fontId="6" fillId="38" borderId="10" xfId="0" applyFont="1" applyFill="1" applyBorder="1" applyAlignment="1"/>
    <xf numFmtId="0" fontId="6" fillId="38" borderId="9" xfId="0" applyFont="1" applyFill="1" applyBorder="1" applyAlignment="1"/>
    <xf numFmtId="187" fontId="6" fillId="38" borderId="9" xfId="0" applyNumberFormat="1" applyFont="1" applyFill="1" applyBorder="1" applyAlignment="1"/>
    <xf numFmtId="189" fontId="6" fillId="38" borderId="9" xfId="0" applyNumberFormat="1" applyFont="1" applyFill="1" applyBorder="1" applyAlignment="1"/>
    <xf numFmtId="188" fontId="6" fillId="38" borderId="9" xfId="0" applyNumberFormat="1" applyFont="1" applyFill="1" applyBorder="1" applyAlignment="1"/>
    <xf numFmtId="188" fontId="6" fillId="38" borderId="11" xfId="0" applyNumberFormat="1" applyFont="1" applyFill="1" applyBorder="1" applyAlignment="1"/>
    <xf numFmtId="187" fontId="6" fillId="39" borderId="14" xfId="0" applyNumberFormat="1" applyFont="1" applyFill="1" applyBorder="1" applyAlignment="1"/>
    <xf numFmtId="187" fontId="5" fillId="39" borderId="14" xfId="0" applyNumberFormat="1" applyFont="1" applyFill="1" applyBorder="1" applyAlignment="1"/>
    <xf numFmtId="0" fontId="6" fillId="39" borderId="14" xfId="0" applyFont="1" applyFill="1" applyBorder="1" applyAlignment="1"/>
    <xf numFmtId="0" fontId="6" fillId="39" borderId="15" xfId="0" applyFont="1" applyFill="1" applyBorder="1" applyAlignment="1"/>
    <xf numFmtId="187" fontId="6" fillId="39" borderId="15" xfId="0" applyNumberFormat="1" applyFont="1" applyFill="1" applyBorder="1" applyAlignment="1"/>
    <xf numFmtId="189" fontId="6" fillId="39" borderId="15" xfId="0" applyNumberFormat="1" applyFont="1" applyFill="1" applyBorder="1" applyAlignment="1"/>
    <xf numFmtId="188" fontId="6" fillId="39" borderId="15" xfId="0" applyNumberFormat="1" applyFont="1" applyFill="1" applyBorder="1" applyAlignment="1"/>
    <xf numFmtId="188" fontId="6" fillId="39" borderId="16" xfId="0" applyNumberFormat="1" applyFont="1" applyFill="1" applyBorder="1" applyAlignment="1"/>
    <xf numFmtId="187" fontId="6" fillId="40" borderId="14" xfId="0" applyNumberFormat="1" applyFont="1" applyFill="1" applyBorder="1" applyAlignment="1"/>
    <xf numFmtId="187" fontId="5" fillId="40" borderId="14" xfId="0" applyNumberFormat="1" applyFont="1" applyFill="1" applyBorder="1" applyAlignment="1"/>
    <xf numFmtId="0" fontId="6" fillId="40" borderId="14" xfId="0" applyFont="1" applyFill="1" applyBorder="1" applyAlignment="1"/>
    <xf numFmtId="0" fontId="6" fillId="40" borderId="15" xfId="0" applyFont="1" applyFill="1" applyBorder="1" applyAlignment="1"/>
    <xf numFmtId="187" fontId="5" fillId="40" borderId="15" xfId="0" applyNumberFormat="1" applyFont="1" applyFill="1" applyBorder="1" applyAlignment="1">
      <alignment horizontal="center"/>
    </xf>
    <xf numFmtId="189" fontId="5" fillId="40" borderId="15" xfId="0" applyNumberFormat="1" applyFont="1" applyFill="1" applyBorder="1" applyAlignment="1">
      <alignment horizontal="right"/>
    </xf>
    <xf numFmtId="188" fontId="5" fillId="40" borderId="15" xfId="0" applyNumberFormat="1" applyFont="1" applyFill="1" applyBorder="1" applyAlignment="1">
      <alignment horizontal="right"/>
    </xf>
    <xf numFmtId="188" fontId="6" fillId="40" borderId="15" xfId="0" applyNumberFormat="1" applyFont="1" applyFill="1" applyBorder="1" applyAlignment="1"/>
    <xf numFmtId="188" fontId="6" fillId="40" borderId="16" xfId="0" applyNumberFormat="1" applyFont="1" applyFill="1" applyBorder="1" applyAlignment="1"/>
    <xf numFmtId="187" fontId="49" fillId="23" borderId="14" xfId="0" applyNumberFormat="1" applyFont="1" applyFill="1" applyBorder="1" applyAlignment="1"/>
    <xf numFmtId="187" fontId="12" fillId="0" borderId="14" xfId="0" applyNumberFormat="1" applyFont="1" applyBorder="1" applyAlignment="1"/>
    <xf numFmtId="187" fontId="5" fillId="0" borderId="15" xfId="0" applyNumberFormat="1" applyFont="1" applyBorder="1" applyAlignment="1">
      <alignment horizontal="center"/>
    </xf>
    <xf numFmtId="187" fontId="6" fillId="40" borderId="15" xfId="0" applyNumberFormat="1" applyFont="1" applyFill="1" applyBorder="1" applyAlignment="1"/>
    <xf numFmtId="189" fontId="6" fillId="40" borderId="15" xfId="0" applyNumberFormat="1" applyFont="1" applyFill="1" applyBorder="1" applyAlignment="1"/>
    <xf numFmtId="187" fontId="12" fillId="2" borderId="14" xfId="0" applyNumberFormat="1" applyFont="1" applyFill="1" applyBorder="1" applyAlignment="1"/>
    <xf numFmtId="0" fontId="50" fillId="23" borderId="14" xfId="0" applyFont="1" applyFill="1" applyBorder="1" applyAlignment="1"/>
    <xf numFmtId="187" fontId="12" fillId="2" borderId="15" xfId="0" applyNumberFormat="1" applyFont="1" applyFill="1" applyBorder="1" applyAlignment="1">
      <alignment horizontal="right"/>
    </xf>
    <xf numFmtId="192" fontId="6" fillId="2" borderId="15" xfId="0" applyNumberFormat="1" applyFont="1" applyFill="1" applyBorder="1" applyAlignment="1"/>
    <xf numFmtId="187" fontId="5" fillId="2" borderId="15" xfId="0" applyNumberFormat="1" applyFont="1" applyFill="1" applyBorder="1" applyAlignment="1">
      <alignment horizontal="right"/>
    </xf>
    <xf numFmtId="192" fontId="6" fillId="2" borderId="16" xfId="0" applyNumberFormat="1" applyFont="1" applyFill="1" applyBorder="1" applyAlignment="1"/>
    <xf numFmtId="187" fontId="6" fillId="0" borderId="8" xfId="0" applyNumberFormat="1" applyFont="1" applyBorder="1" applyAlignment="1"/>
    <xf numFmtId="187" fontId="51" fillId="0" borderId="10" xfId="0" applyNumberFormat="1" applyFont="1" applyBorder="1" applyAlignment="1"/>
    <xf numFmtId="187" fontId="6" fillId="0" borderId="10" xfId="0" applyNumberFormat="1" applyFont="1" applyBorder="1" applyAlignment="1"/>
    <xf numFmtId="0" fontId="6" fillId="0" borderId="10" xfId="0" applyFont="1" applyBorder="1" applyAlignment="1"/>
    <xf numFmtId="0" fontId="6" fillId="0" borderId="9" xfId="0" applyFont="1" applyBorder="1" applyAlignment="1"/>
    <xf numFmtId="187" fontId="12" fillId="0" borderId="9" xfId="0" applyNumberFormat="1" applyFont="1" applyBorder="1" applyAlignment="1">
      <alignment horizontal="center"/>
    </xf>
    <xf numFmtId="189" fontId="12" fillId="24" borderId="9" xfId="0" applyNumberFormat="1" applyFont="1" applyFill="1" applyBorder="1" applyAlignment="1">
      <alignment horizontal="right"/>
    </xf>
    <xf numFmtId="192" fontId="6" fillId="2" borderId="9" xfId="0" applyNumberFormat="1" applyFont="1" applyFill="1" applyBorder="1" applyAlignment="1"/>
    <xf numFmtId="192" fontId="6" fillId="2" borderId="11" xfId="0" applyNumberFormat="1" applyFont="1" applyFill="1" applyBorder="1" applyAlignment="1"/>
    <xf numFmtId="187" fontId="12" fillId="39" borderId="15" xfId="0" applyNumberFormat="1" applyFont="1" applyFill="1" applyBorder="1" applyAlignment="1">
      <alignment horizontal="center"/>
    </xf>
    <xf numFmtId="189" fontId="12" fillId="39" borderId="15" xfId="0" applyNumberFormat="1" applyFont="1" applyFill="1" applyBorder="1" applyAlignment="1">
      <alignment horizontal="right"/>
    </xf>
    <xf numFmtId="188" fontId="5" fillId="39" borderId="15" xfId="0" applyNumberFormat="1" applyFont="1" applyFill="1" applyBorder="1" applyAlignment="1">
      <alignment horizontal="right"/>
    </xf>
    <xf numFmtId="0" fontId="12" fillId="0" borderId="14" xfId="0" quotePrefix="1" applyFont="1" applyBorder="1" applyAlignment="1"/>
    <xf numFmtId="188" fontId="12" fillId="0" borderId="15" xfId="0" applyNumberFormat="1" applyFont="1" applyBorder="1" applyAlignment="1">
      <alignment horizontal="right"/>
    </xf>
    <xf numFmtId="0" fontId="5" fillId="0" borderId="14" xfId="0" quotePrefix="1" applyFont="1" applyBorder="1" applyAlignment="1"/>
    <xf numFmtId="0" fontId="52" fillId="0" borderId="14" xfId="0" applyFont="1" applyBorder="1" applyAlignment="1"/>
    <xf numFmtId="187" fontId="25" fillId="39" borderId="14" xfId="0" applyNumberFormat="1" applyFont="1" applyFill="1" applyBorder="1" applyAlignment="1"/>
    <xf numFmtId="187" fontId="25" fillId="39" borderId="15" xfId="0" applyNumberFormat="1" applyFont="1" applyFill="1" applyBorder="1" applyAlignment="1">
      <alignment horizontal="center"/>
    </xf>
    <xf numFmtId="189" fontId="25" fillId="39" borderId="15" xfId="0" applyNumberFormat="1" applyFont="1" applyFill="1" applyBorder="1" applyAlignment="1"/>
    <xf numFmtId="188" fontId="25" fillId="39" borderId="15" xfId="0" applyNumberFormat="1" applyFont="1" applyFill="1" applyBorder="1" applyAlignment="1">
      <alignment horizontal="right"/>
    </xf>
    <xf numFmtId="187" fontId="11" fillId="2" borderId="14" xfId="0" applyNumberFormat="1" applyFont="1" applyFill="1" applyBorder="1" applyAlignment="1"/>
    <xf numFmtId="0" fontId="53" fillId="23" borderId="14" xfId="0" applyFont="1" applyFill="1" applyBorder="1" applyAlignment="1"/>
    <xf numFmtId="0" fontId="11" fillId="2" borderId="10" xfId="0" applyFont="1" applyFill="1" applyBorder="1" applyAlignment="1"/>
    <xf numFmtId="187" fontId="11" fillId="0" borderId="9" xfId="0" applyNumberFormat="1" applyFont="1" applyBorder="1" applyAlignment="1">
      <alignment horizontal="center" wrapText="1"/>
    </xf>
    <xf numFmtId="189" fontId="11" fillId="2" borderId="9" xfId="0" applyNumberFormat="1" applyFont="1" applyFill="1" applyBorder="1" applyAlignment="1">
      <alignment horizontal="right"/>
    </xf>
    <xf numFmtId="187" fontId="5" fillId="39" borderId="15" xfId="0" applyNumberFormat="1" applyFont="1" applyFill="1" applyBorder="1" applyAlignment="1">
      <alignment horizontal="center"/>
    </xf>
    <xf numFmtId="189" fontId="5" fillId="39" borderId="15" xfId="0" applyNumberFormat="1" applyFont="1" applyFill="1" applyBorder="1" applyAlignment="1">
      <alignment horizontal="right"/>
    </xf>
    <xf numFmtId="187" fontId="6" fillId="39" borderId="13" xfId="0" applyNumberFormat="1" applyFont="1" applyFill="1" applyBorder="1" applyAlignment="1"/>
    <xf numFmtId="187" fontId="6" fillId="23" borderId="14" xfId="0" applyNumberFormat="1" applyFont="1" applyFill="1" applyBorder="1" applyAlignment="1"/>
    <xf numFmtId="187" fontId="5" fillId="0" borderId="14" xfId="0" applyNumberFormat="1" applyFont="1" applyBorder="1" applyAlignment="1"/>
    <xf numFmtId="190" fontId="25" fillId="2" borderId="14" xfId="0" applyNumberFormat="1" applyFont="1" applyFill="1" applyBorder="1" applyAlignment="1">
      <alignment horizontal="center"/>
    </xf>
    <xf numFmtId="189" fontId="12" fillId="2" borderId="9" xfId="0" applyNumberFormat="1" applyFont="1" applyFill="1" applyBorder="1" applyAlignment="1">
      <alignment horizontal="right"/>
    </xf>
    <xf numFmtId="187" fontId="5" fillId="13" borderId="31" xfId="0" applyNumberFormat="1" applyFont="1" applyFill="1" applyBorder="1" applyAlignment="1"/>
    <xf numFmtId="187" fontId="6" fillId="13" borderId="32" xfId="0" applyNumberFormat="1" applyFont="1" applyFill="1" applyBorder="1" applyAlignment="1"/>
    <xf numFmtId="0" fontId="6" fillId="13" borderId="32" xfId="0" applyFont="1" applyFill="1" applyBorder="1" applyAlignment="1"/>
    <xf numFmtId="0" fontId="6" fillId="13" borderId="18" xfId="0" applyFont="1" applyFill="1" applyBorder="1" applyAlignment="1"/>
    <xf numFmtId="187" fontId="5" fillId="13" borderId="32" xfId="0" applyNumberFormat="1" applyFont="1" applyFill="1" applyBorder="1" applyAlignment="1"/>
    <xf numFmtId="189" fontId="6" fillId="13" borderId="32" xfId="0" applyNumberFormat="1" applyFont="1" applyFill="1" applyBorder="1" applyAlignment="1"/>
    <xf numFmtId="189" fontId="6" fillId="13" borderId="18" xfId="0" applyNumberFormat="1" applyFont="1" applyFill="1" applyBorder="1" applyAlignment="1"/>
    <xf numFmtId="188" fontId="6" fillId="13" borderId="18" xfId="0" applyNumberFormat="1" applyFont="1" applyFill="1" applyBorder="1" applyAlignment="1"/>
    <xf numFmtId="187" fontId="6" fillId="0" borderId="0" xfId="0" applyNumberFormat="1" applyFont="1" applyAlignment="1"/>
    <xf numFmtId="189" fontId="6" fillId="0" borderId="0" xfId="0" applyNumberFormat="1" applyFont="1" applyAlignment="1"/>
    <xf numFmtId="188" fontId="6" fillId="0" borderId="0" xfId="0" applyNumberFormat="1" applyFont="1" applyAlignment="1"/>
    <xf numFmtId="187" fontId="33" fillId="0" borderId="0" xfId="0" applyNumberFormat="1" applyFont="1" applyAlignment="1"/>
    <xf numFmtId="0" fontId="3" fillId="5" borderId="7" xfId="0" applyFont="1" applyFill="1" applyBorder="1" applyAlignment="1">
      <alignment horizontal="center"/>
    </xf>
    <xf numFmtId="188" fontId="5" fillId="7" borderId="9" xfId="0" applyNumberFormat="1" applyFont="1" applyFill="1" applyBorder="1" applyAlignment="1">
      <alignment horizontal="center" wrapText="1"/>
    </xf>
    <xf numFmtId="0" fontId="28" fillId="10" borderId="12" xfId="0" applyFont="1" applyFill="1" applyBorder="1" applyAlignment="1"/>
    <xf numFmtId="189" fontId="28" fillId="10" borderId="12" xfId="0" applyNumberFormat="1" applyFont="1" applyFill="1" applyBorder="1" applyAlignment="1"/>
    <xf numFmtId="188" fontId="28" fillId="10" borderId="12" xfId="0" applyNumberFormat="1" applyFont="1" applyFill="1" applyBorder="1" applyAlignment="1"/>
    <xf numFmtId="0" fontId="28" fillId="10" borderId="13" xfId="0" applyFont="1" applyFill="1" applyBorder="1" applyAlignment="1"/>
    <xf numFmtId="0" fontId="28" fillId="10" borderId="14" xfId="0" applyFont="1" applyFill="1" applyBorder="1" applyAlignment="1"/>
    <xf numFmtId="0" fontId="25" fillId="10" borderId="14" xfId="0" applyFont="1" applyFill="1" applyBorder="1" applyAlignment="1"/>
    <xf numFmtId="0" fontId="29" fillId="10" borderId="14" xfId="0" applyFont="1" applyFill="1" applyBorder="1" applyAlignment="1"/>
    <xf numFmtId="0" fontId="28" fillId="10" borderId="15" xfId="0" applyFont="1" applyFill="1" applyBorder="1" applyAlignment="1"/>
    <xf numFmtId="0" fontId="25" fillId="10" borderId="15" xfId="0" applyFont="1" applyFill="1" applyBorder="1" applyAlignment="1">
      <alignment horizontal="center"/>
    </xf>
    <xf numFmtId="189" fontId="28" fillId="10" borderId="15" xfId="0" applyNumberFormat="1" applyFont="1" applyFill="1" applyBorder="1" applyAlignment="1"/>
    <xf numFmtId="188" fontId="28" fillId="10" borderId="15" xfId="0" applyNumberFormat="1" applyFont="1" applyFill="1" applyBorder="1" applyAlignment="1"/>
    <xf numFmtId="0" fontId="11" fillId="10" borderId="14" xfId="0" applyFont="1" applyFill="1" applyBorder="1" applyAlignment="1"/>
    <xf numFmtId="0" fontId="11" fillId="10" borderId="15" xfId="0" applyFont="1" applyFill="1" applyBorder="1" applyAlignment="1">
      <alignment horizontal="center"/>
    </xf>
    <xf numFmtId="0" fontId="54" fillId="10" borderId="14" xfId="0" applyFont="1" applyFill="1" applyBorder="1" applyAlignment="1"/>
    <xf numFmtId="0" fontId="28" fillId="10" borderId="8" xfId="0" applyFont="1" applyFill="1" applyBorder="1" applyAlignment="1"/>
    <xf numFmtId="0" fontId="28" fillId="10" borderId="10" xfId="0" applyFont="1" applyFill="1" applyBorder="1" applyAlignment="1"/>
    <xf numFmtId="0" fontId="11" fillId="10" borderId="10" xfId="0" applyFont="1" applyFill="1" applyBorder="1" applyAlignment="1"/>
    <xf numFmtId="0" fontId="28" fillId="10" borderId="9" xfId="0" applyFont="1" applyFill="1" applyBorder="1" applyAlignment="1"/>
    <xf numFmtId="0" fontId="11" fillId="10" borderId="9" xfId="0" applyFont="1" applyFill="1" applyBorder="1" applyAlignment="1">
      <alignment horizontal="center"/>
    </xf>
    <xf numFmtId="189" fontId="28" fillId="10" borderId="9" xfId="0" applyNumberFormat="1" applyFont="1" applyFill="1" applyBorder="1" applyAlignment="1"/>
    <xf numFmtId="188" fontId="28" fillId="10" borderId="9" xfId="0" applyNumberFormat="1" applyFont="1" applyFill="1" applyBorder="1" applyAlignment="1"/>
    <xf numFmtId="0" fontId="7" fillId="12" borderId="14" xfId="0" applyFont="1" applyFill="1" applyBorder="1" applyAlignment="1"/>
    <xf numFmtId="188" fontId="5" fillId="12" borderId="16" xfId="0" applyNumberFormat="1" applyFont="1" applyFill="1" applyBorder="1" applyAlignment="1"/>
    <xf numFmtId="188" fontId="5" fillId="12" borderId="15" xfId="0" applyNumberFormat="1" applyFont="1" applyFill="1" applyBorder="1" applyAlignment="1"/>
    <xf numFmtId="0" fontId="28" fillId="12" borderId="13" xfId="0" applyFont="1" applyFill="1" applyBorder="1" applyAlignment="1"/>
    <xf numFmtId="0" fontId="28" fillId="12" borderId="14" xfId="0" applyFont="1" applyFill="1" applyBorder="1" applyAlignment="1"/>
    <xf numFmtId="0" fontId="11" fillId="12" borderId="14" xfId="0" applyFont="1" applyFill="1" applyBorder="1" applyAlignment="1"/>
    <xf numFmtId="0" fontId="28" fillId="12" borderId="15" xfId="0" applyFont="1" applyFill="1" applyBorder="1" applyAlignment="1"/>
    <xf numFmtId="0" fontId="11" fillId="12" borderId="15" xfId="0" applyFont="1" applyFill="1" applyBorder="1" applyAlignment="1">
      <alignment horizontal="center"/>
    </xf>
    <xf numFmtId="189" fontId="28" fillId="12" borderId="15" xfId="0" applyNumberFormat="1" applyFont="1" applyFill="1" applyBorder="1" applyAlignment="1"/>
    <xf numFmtId="188" fontId="28" fillId="12" borderId="15" xfId="0" applyNumberFormat="1" applyFont="1" applyFill="1" applyBorder="1" applyAlignment="1"/>
    <xf numFmtId="188" fontId="11" fillId="12" borderId="16" xfId="0" applyNumberFormat="1" applyFont="1" applyFill="1" applyBorder="1" applyAlignment="1"/>
    <xf numFmtId="188" fontId="11" fillId="12" borderId="15" xfId="0" applyNumberFormat="1" applyFont="1" applyFill="1" applyBorder="1" applyAlignment="1"/>
    <xf numFmtId="188" fontId="12" fillId="12" borderId="16" xfId="0" applyNumberFormat="1" applyFont="1" applyFill="1" applyBorder="1" applyAlignment="1"/>
    <xf numFmtId="188" fontId="12" fillId="12" borderId="15" xfId="0" applyNumberFormat="1" applyFont="1" applyFill="1" applyBorder="1" applyAlignment="1"/>
    <xf numFmtId="0" fontId="9" fillId="2" borderId="14" xfId="0" applyFont="1" applyFill="1" applyBorder="1" applyAlignment="1"/>
    <xf numFmtId="0" fontId="28" fillId="2" borderId="13" xfId="0" applyFont="1" applyFill="1" applyBorder="1" applyAlignment="1"/>
    <xf numFmtId="0" fontId="28" fillId="2" borderId="14" xfId="0" applyFont="1" applyFill="1" applyBorder="1" applyAlignment="1"/>
    <xf numFmtId="0" fontId="28" fillId="2" borderId="15" xfId="0" applyFont="1" applyFill="1" applyBorder="1" applyAlignment="1"/>
    <xf numFmtId="0" fontId="11" fillId="2" borderId="15" xfId="0" applyFont="1" applyFill="1" applyBorder="1" applyAlignment="1">
      <alignment horizontal="center"/>
    </xf>
    <xf numFmtId="189" fontId="28" fillId="2" borderId="15" xfId="0" applyNumberFormat="1" applyFont="1" applyFill="1" applyBorder="1" applyAlignment="1"/>
    <xf numFmtId="188" fontId="28" fillId="2" borderId="15" xfId="0" applyNumberFormat="1" applyFont="1" applyFill="1" applyBorder="1" applyAlignment="1"/>
    <xf numFmtId="0" fontId="6" fillId="2" borderId="19" xfId="0" applyFont="1" applyFill="1" applyBorder="1" applyAlignment="1"/>
    <xf numFmtId="0" fontId="22" fillId="2" borderId="20" xfId="0" applyFont="1" applyFill="1" applyBorder="1" applyAlignment="1"/>
    <xf numFmtId="0" fontId="12" fillId="2" borderId="21" xfId="0" applyFont="1" applyFill="1" applyBorder="1" applyAlignment="1">
      <alignment horizontal="center"/>
    </xf>
    <xf numFmtId="189" fontId="6" fillId="2" borderId="21" xfId="0" applyNumberFormat="1" applyFont="1" applyFill="1" applyBorder="1" applyAlignment="1"/>
    <xf numFmtId="0" fontId="6" fillId="2" borderId="13" xfId="0" applyFont="1" applyFill="1" applyBorder="1" applyAlignment="1"/>
    <xf numFmtId="0" fontId="6" fillId="2" borderId="8" xfId="0" applyFont="1" applyFill="1" applyBorder="1" applyAlignment="1"/>
    <xf numFmtId="0" fontId="12" fillId="2" borderId="10" xfId="0" applyFont="1" applyFill="1" applyBorder="1" applyAlignment="1"/>
    <xf numFmtId="0" fontId="12" fillId="2" borderId="9" xfId="0" applyFont="1" applyFill="1" applyBorder="1" applyAlignment="1">
      <alignment horizontal="center"/>
    </xf>
    <xf numFmtId="188" fontId="5" fillId="13" borderId="11" xfId="0" applyNumberFormat="1" applyFont="1" applyFill="1" applyBorder="1" applyAlignment="1"/>
    <xf numFmtId="188" fontId="5" fillId="13" borderId="9" xfId="0" applyNumberFormat="1" applyFont="1" applyFill="1" applyBorder="1" applyAlignment="1"/>
    <xf numFmtId="188" fontId="6" fillId="13" borderId="9" xfId="0" applyNumberFormat="1" applyFont="1" applyFill="1" applyBorder="1" applyAlignment="1"/>
    <xf numFmtId="188" fontId="6" fillId="14" borderId="10" xfId="0" applyNumberFormat="1" applyFont="1" applyFill="1" applyBorder="1" applyAlignment="1"/>
    <xf numFmtId="188" fontId="6" fillId="14" borderId="9" xfId="0" applyNumberFormat="1" applyFont="1" applyFill="1" applyBorder="1" applyAlignment="1"/>
    <xf numFmtId="188" fontId="6" fillId="15" borderId="16" xfId="0" applyNumberFormat="1" applyFont="1" applyFill="1" applyBorder="1" applyAlignment="1"/>
    <xf numFmtId="188" fontId="6" fillId="15" borderId="15" xfId="0" applyNumberFormat="1" applyFont="1" applyFill="1" applyBorder="1" applyAlignment="1"/>
    <xf numFmtId="0" fontId="7" fillId="16" borderId="14" xfId="0" applyFont="1" applyFill="1" applyBorder="1" applyAlignment="1"/>
    <xf numFmtId="188" fontId="5" fillId="16" borderId="16" xfId="0" applyNumberFormat="1" applyFont="1" applyFill="1" applyBorder="1" applyAlignment="1"/>
    <xf numFmtId="188" fontId="5" fillId="16" borderId="15" xfId="0" applyNumberFormat="1" applyFont="1" applyFill="1" applyBorder="1" applyAlignment="1"/>
    <xf numFmtId="0" fontId="28" fillId="16" borderId="13" xfId="0" applyFont="1" applyFill="1" applyBorder="1" applyAlignment="1"/>
    <xf numFmtId="0" fontId="28" fillId="16" borderId="14" xfId="0" applyFont="1" applyFill="1" applyBorder="1" applyAlignment="1"/>
    <xf numFmtId="0" fontId="11" fillId="16" borderId="14" xfId="0" applyFont="1" applyFill="1" applyBorder="1" applyAlignment="1"/>
    <xf numFmtId="0" fontId="28" fillId="16" borderId="15" xfId="0" applyFont="1" applyFill="1" applyBorder="1" applyAlignment="1"/>
    <xf numFmtId="0" fontId="11" fillId="16" borderId="15" xfId="0" applyFont="1" applyFill="1" applyBorder="1" applyAlignment="1">
      <alignment horizontal="center"/>
    </xf>
    <xf numFmtId="189" fontId="28" fillId="16" borderId="15" xfId="0" applyNumberFormat="1" applyFont="1" applyFill="1" applyBorder="1" applyAlignment="1"/>
    <xf numFmtId="188" fontId="28" fillId="16" borderId="15" xfId="0" applyNumberFormat="1" applyFont="1" applyFill="1" applyBorder="1" applyAlignment="1"/>
    <xf numFmtId="188" fontId="6" fillId="17" borderId="10" xfId="0" applyNumberFormat="1" applyFont="1" applyFill="1" applyBorder="1" applyAlignment="1"/>
    <xf numFmtId="188" fontId="6" fillId="17" borderId="9" xfId="0" applyNumberFormat="1" applyFont="1" applyFill="1" applyBorder="1" applyAlignment="1"/>
    <xf numFmtId="0" fontId="7" fillId="20" borderId="14" xfId="0" applyFont="1" applyFill="1" applyBorder="1" applyAlignment="1"/>
    <xf numFmtId="0" fontId="28" fillId="20" borderId="13" xfId="0" applyFont="1" applyFill="1" applyBorder="1" applyAlignment="1"/>
    <xf numFmtId="0" fontId="28" fillId="20" borderId="14" xfId="0" applyFont="1" applyFill="1" applyBorder="1" applyAlignment="1"/>
    <xf numFmtId="0" fontId="11" fillId="20" borderId="14" xfId="0" applyFont="1" applyFill="1" applyBorder="1" applyAlignment="1"/>
    <xf numFmtId="0" fontId="28" fillId="20" borderId="15" xfId="0" applyFont="1" applyFill="1" applyBorder="1" applyAlignment="1"/>
    <xf numFmtId="0" fontId="11" fillId="20" borderId="15" xfId="0" applyFont="1" applyFill="1" applyBorder="1" applyAlignment="1">
      <alignment horizontal="center"/>
    </xf>
    <xf numFmtId="189" fontId="28" fillId="20" borderId="15" xfId="0" applyNumberFormat="1" applyFont="1" applyFill="1" applyBorder="1" applyAlignment="1"/>
    <xf numFmtId="188" fontId="28" fillId="20" borderId="15" xfId="0" applyNumberFormat="1" applyFont="1" applyFill="1" applyBorder="1" applyAlignment="1"/>
    <xf numFmtId="188" fontId="12" fillId="2" borderId="11" xfId="0" applyNumberFormat="1" applyFont="1" applyFill="1" applyBorder="1" applyAlignment="1"/>
    <xf numFmtId="0" fontId="7" fillId="2" borderId="14" xfId="0" applyFont="1" applyFill="1" applyBorder="1" applyAlignment="1"/>
    <xf numFmtId="190" fontId="28" fillId="2" borderId="13" xfId="0" applyNumberFormat="1" applyFont="1" applyFill="1" applyBorder="1" applyAlignment="1"/>
    <xf numFmtId="189" fontId="28" fillId="0" borderId="15" xfId="0" applyNumberFormat="1" applyFont="1" applyBorder="1" applyAlignment="1"/>
    <xf numFmtId="188" fontId="28" fillId="0" borderId="15" xfId="0" applyNumberFormat="1" applyFont="1" applyBorder="1" applyAlignment="1"/>
    <xf numFmtId="0" fontId="7" fillId="23" borderId="14" xfId="0" quotePrefix="1" applyFont="1" applyFill="1" applyBorder="1" applyAlignment="1"/>
    <xf numFmtId="189" fontId="8" fillId="24" borderId="15" xfId="0" applyNumberFormat="1" applyFont="1" applyFill="1" applyBorder="1" applyAlignment="1">
      <alignment horizontal="right"/>
    </xf>
    <xf numFmtId="187" fontId="28" fillId="10" borderId="13" xfId="0" applyNumberFormat="1" applyFont="1" applyFill="1" applyBorder="1" applyAlignment="1"/>
    <xf numFmtId="187" fontId="28" fillId="10" borderId="14" xfId="0" applyNumberFormat="1" applyFont="1" applyFill="1" applyBorder="1" applyAlignment="1"/>
    <xf numFmtId="189" fontId="11" fillId="10" borderId="15" xfId="0" applyNumberFormat="1" applyFont="1" applyFill="1" applyBorder="1" applyAlignment="1">
      <alignment horizontal="right"/>
    </xf>
    <xf numFmtId="188" fontId="11" fillId="10" borderId="15" xfId="0" applyNumberFormat="1" applyFont="1" applyFill="1" applyBorder="1" applyAlignment="1">
      <alignment horizontal="right"/>
    </xf>
    <xf numFmtId="0" fontId="55" fillId="10" borderId="14" xfId="0" applyFont="1" applyFill="1" applyBorder="1" applyAlignment="1"/>
    <xf numFmtId="187" fontId="6" fillId="0" borderId="19" xfId="0" applyNumberFormat="1" applyFont="1" applyBorder="1" applyAlignment="1"/>
    <xf numFmtId="187" fontId="6" fillId="0" borderId="20" xfId="0" applyNumberFormat="1" applyFont="1" applyBorder="1" applyAlignment="1"/>
    <xf numFmtId="0" fontId="12" fillId="0" borderId="20" xfId="0" applyFont="1" applyBorder="1" applyAlignment="1"/>
    <xf numFmtId="0" fontId="6" fillId="0" borderId="20" xfId="0" applyFont="1" applyBorder="1" applyAlignment="1"/>
    <xf numFmtId="0" fontId="6" fillId="0" borderId="21" xfId="0" applyFont="1" applyBorder="1" applyAlignment="1"/>
    <xf numFmtId="0" fontId="12" fillId="0" borderId="21" xfId="0" applyFont="1" applyBorder="1" applyAlignment="1">
      <alignment horizontal="center"/>
    </xf>
    <xf numFmtId="189" fontId="12" fillId="0" borderId="21" xfId="0" applyNumberFormat="1" applyFont="1" applyBorder="1" applyAlignment="1">
      <alignment horizontal="right"/>
    </xf>
    <xf numFmtId="189" fontId="12" fillId="24" borderId="21" xfId="0" applyNumberFormat="1" applyFont="1" applyFill="1" applyBorder="1" applyAlignment="1">
      <alignment horizontal="right"/>
    </xf>
    <xf numFmtId="188" fontId="12" fillId="2" borderId="21" xfId="0" applyNumberFormat="1" applyFont="1" applyFill="1" applyBorder="1" applyAlignment="1">
      <alignment horizontal="right"/>
    </xf>
    <xf numFmtId="188" fontId="6" fillId="0" borderId="21" xfId="0" applyNumberFormat="1" applyFont="1" applyBorder="1" applyAlignment="1"/>
    <xf numFmtId="189" fontId="5" fillId="12" borderId="24" xfId="0" applyNumberFormat="1" applyFont="1" applyFill="1" applyBorder="1" applyAlignment="1">
      <alignment horizontal="right"/>
    </xf>
    <xf numFmtId="189" fontId="5" fillId="12" borderId="21" xfId="0" applyNumberFormat="1" applyFont="1" applyFill="1" applyBorder="1" applyAlignment="1">
      <alignment horizontal="right"/>
    </xf>
    <xf numFmtId="188" fontId="5" fillId="12" borderId="21" xfId="0" applyNumberFormat="1" applyFont="1" applyFill="1" applyBorder="1" applyAlignment="1">
      <alignment horizontal="right"/>
    </xf>
    <xf numFmtId="187" fontId="8" fillId="2" borderId="15" xfId="0" applyNumberFormat="1" applyFont="1" applyFill="1" applyBorder="1" applyAlignment="1">
      <alignment horizontal="center" wrapText="1"/>
    </xf>
    <xf numFmtId="187" fontId="6" fillId="2" borderId="19" xfId="0" applyNumberFormat="1" applyFont="1" applyFill="1" applyBorder="1" applyAlignment="1"/>
    <xf numFmtId="187" fontId="25" fillId="2" borderId="20" xfId="0" applyNumberFormat="1" applyFont="1" applyFill="1" applyBorder="1" applyAlignment="1">
      <alignment horizontal="center"/>
    </xf>
    <xf numFmtId="0" fontId="21" fillId="2" borderId="20" xfId="0" quotePrefix="1" applyFont="1" applyFill="1" applyBorder="1" applyAlignment="1"/>
    <xf numFmtId="187" fontId="6" fillId="2" borderId="21" xfId="0" applyNumberFormat="1" applyFont="1" applyFill="1" applyBorder="1" applyAlignment="1"/>
    <xf numFmtId="189" fontId="8" fillId="24" borderId="21" xfId="0" applyNumberFormat="1" applyFont="1" applyFill="1" applyBorder="1" applyAlignment="1">
      <alignment horizontal="right"/>
    </xf>
    <xf numFmtId="189" fontId="8" fillId="24" borderId="27" xfId="0" applyNumberFormat="1" applyFont="1" applyFill="1" applyBorder="1" applyAlignment="1">
      <alignment horizontal="right"/>
    </xf>
    <xf numFmtId="189" fontId="11" fillId="24" borderId="15" xfId="0" applyNumberFormat="1" applyFont="1" applyFill="1" applyBorder="1" applyAlignment="1">
      <alignment horizontal="right"/>
    </xf>
    <xf numFmtId="190" fontId="28" fillId="2" borderId="22" xfId="0" applyNumberFormat="1" applyFont="1" applyFill="1" applyBorder="1" applyAlignment="1"/>
    <xf numFmtId="0" fontId="28" fillId="2" borderId="0" xfId="0" applyFont="1" applyFill="1" applyAlignment="1"/>
    <xf numFmtId="0" fontId="11" fillId="2" borderId="0" xfId="0" applyFont="1" applyFill="1" applyAlignment="1"/>
    <xf numFmtId="0" fontId="28" fillId="2" borderId="23" xfId="0" applyFont="1" applyFill="1" applyBorder="1" applyAlignment="1"/>
    <xf numFmtId="187" fontId="11" fillId="0" borderId="23" xfId="0" applyNumberFormat="1" applyFont="1" applyBorder="1" applyAlignment="1">
      <alignment horizontal="center"/>
    </xf>
    <xf numFmtId="189" fontId="11" fillId="2" borderId="23" xfId="0" applyNumberFormat="1" applyFont="1" applyFill="1" applyBorder="1" applyAlignment="1">
      <alignment horizontal="right"/>
    </xf>
    <xf numFmtId="189" fontId="11" fillId="24" borderId="23" xfId="0" applyNumberFormat="1" applyFont="1" applyFill="1" applyBorder="1" applyAlignment="1">
      <alignment horizontal="right"/>
    </xf>
    <xf numFmtId="188" fontId="11" fillId="2" borderId="23" xfId="0" applyNumberFormat="1" applyFont="1" applyFill="1" applyBorder="1" applyAlignment="1">
      <alignment horizontal="right"/>
    </xf>
    <xf numFmtId="187" fontId="28" fillId="2" borderId="13" xfId="0" applyNumberFormat="1" applyFont="1" applyFill="1" applyBorder="1" applyAlignment="1"/>
    <xf numFmtId="187" fontId="28" fillId="2" borderId="14" xfId="0" applyNumberFormat="1" applyFont="1" applyFill="1" applyBorder="1" applyAlignment="1"/>
    <xf numFmtId="0" fontId="11" fillId="2" borderId="15" xfId="0" applyFont="1" applyFill="1" applyBorder="1" applyAlignment="1">
      <alignment horizontal="center" wrapText="1"/>
    </xf>
    <xf numFmtId="0" fontId="7" fillId="2" borderId="14" xfId="0" quotePrefix="1" applyFont="1" applyFill="1" applyBorder="1" applyAlignment="1"/>
    <xf numFmtId="188" fontId="5" fillId="24" borderId="15" xfId="0" applyNumberFormat="1" applyFont="1" applyFill="1" applyBorder="1" applyAlignment="1">
      <alignment horizontal="right"/>
    </xf>
    <xf numFmtId="188" fontId="12" fillId="24" borderId="15" xfId="0" applyNumberFormat="1" applyFont="1" applyFill="1" applyBorder="1" applyAlignment="1">
      <alignment horizontal="right"/>
    </xf>
    <xf numFmtId="187" fontId="28" fillId="26" borderId="13" xfId="0" applyNumberFormat="1" applyFont="1" applyFill="1" applyBorder="1" applyAlignment="1"/>
    <xf numFmtId="187" fontId="28" fillId="26" borderId="14" xfId="0" applyNumberFormat="1" applyFont="1" applyFill="1" applyBorder="1" applyAlignment="1"/>
    <xf numFmtId="0" fontId="25" fillId="26" borderId="14" xfId="0" applyFont="1" applyFill="1" applyBorder="1" applyAlignment="1"/>
    <xf numFmtId="0" fontId="28" fillId="26" borderId="14" xfId="0" applyFont="1" applyFill="1" applyBorder="1" applyAlignment="1"/>
    <xf numFmtId="0" fontId="28" fillId="26" borderId="15" xfId="0" applyFont="1" applyFill="1" applyBorder="1" applyAlignment="1"/>
    <xf numFmtId="0" fontId="25" fillId="26" borderId="15" xfId="0" applyFont="1" applyFill="1" applyBorder="1" applyAlignment="1">
      <alignment horizontal="center" wrapText="1"/>
    </xf>
    <xf numFmtId="189" fontId="25" fillId="26" borderId="15" xfId="0" applyNumberFormat="1" applyFont="1" applyFill="1" applyBorder="1" applyAlignment="1">
      <alignment horizontal="right"/>
    </xf>
    <xf numFmtId="188" fontId="25" fillId="26" borderId="15" xfId="0" applyNumberFormat="1" applyFont="1" applyFill="1" applyBorder="1" applyAlignment="1">
      <alignment horizontal="right"/>
    </xf>
    <xf numFmtId="0" fontId="25" fillId="2" borderId="14" xfId="0" applyFont="1" applyFill="1" applyBorder="1" applyAlignment="1"/>
    <xf numFmtId="0" fontId="29" fillId="2" borderId="14" xfId="0" applyFont="1" applyFill="1" applyBorder="1" applyAlignment="1"/>
    <xf numFmtId="188" fontId="25" fillId="2" borderId="16" xfId="0" applyNumberFormat="1" applyFont="1" applyFill="1" applyBorder="1" applyAlignment="1"/>
    <xf numFmtId="188" fontId="25" fillId="2" borderId="15" xfId="0" applyNumberFormat="1" applyFont="1" applyFill="1" applyBorder="1" applyAlignment="1"/>
    <xf numFmtId="187" fontId="28" fillId="0" borderId="13" xfId="0" applyNumberFormat="1" applyFont="1" applyBorder="1" applyAlignment="1"/>
    <xf numFmtId="187" fontId="28" fillId="0" borderId="14" xfId="0" applyNumberFormat="1" applyFont="1" applyBorder="1" applyAlignment="1"/>
    <xf numFmtId="187" fontId="25" fillId="2" borderId="14" xfId="0" applyNumberFormat="1" applyFont="1" applyFill="1" applyBorder="1" applyAlignment="1"/>
    <xf numFmtId="0" fontId="29" fillId="23" borderId="14" xfId="0" quotePrefix="1" applyFont="1" applyFill="1" applyBorder="1" applyAlignment="1"/>
    <xf numFmtId="0" fontId="28" fillId="23" borderId="14" xfId="0" applyFont="1" applyFill="1" applyBorder="1" applyAlignment="1"/>
    <xf numFmtId="0" fontId="28" fillId="23" borderId="15" xfId="0" applyFont="1" applyFill="1" applyBorder="1" applyAlignment="1"/>
    <xf numFmtId="0" fontId="28" fillId="0" borderId="15" xfId="0" applyFont="1" applyBorder="1" applyAlignment="1"/>
    <xf numFmtId="0" fontId="28" fillId="0" borderId="14" xfId="0" applyFont="1" applyBorder="1" applyAlignment="1"/>
    <xf numFmtId="0" fontId="11" fillId="0" borderId="15" xfId="0" applyFont="1" applyBorder="1" applyAlignment="1">
      <alignment horizontal="center"/>
    </xf>
    <xf numFmtId="187" fontId="11" fillId="0" borderId="14" xfId="0" quotePrefix="1" applyNumberFormat="1" applyFont="1" applyBorder="1" applyAlignment="1"/>
    <xf numFmtId="0" fontId="11" fillId="0" borderId="14" xfId="0" quotePrefix="1" applyFont="1" applyBorder="1" applyAlignment="1"/>
    <xf numFmtId="0" fontId="29" fillId="2" borderId="14" xfId="0" quotePrefix="1" applyFont="1" applyFill="1" applyBorder="1" applyAlignment="1"/>
    <xf numFmtId="187" fontId="2" fillId="2" borderId="19" xfId="0" applyNumberFormat="1" applyFont="1" applyFill="1" applyBorder="1" applyAlignment="1"/>
    <xf numFmtId="187" fontId="2" fillId="2" borderId="20" xfId="0" applyNumberFormat="1" applyFont="1" applyFill="1" applyBorder="1" applyAlignment="1"/>
    <xf numFmtId="0" fontId="8" fillId="2" borderId="20" xfId="0" quotePrefix="1" applyFont="1" applyFill="1" applyBorder="1" applyAlignment="1"/>
    <xf numFmtId="187" fontId="8" fillId="2" borderId="21" xfId="0" applyNumberFormat="1" applyFont="1" applyFill="1" applyBorder="1" applyAlignment="1">
      <alignment horizontal="center"/>
    </xf>
    <xf numFmtId="187" fontId="28" fillId="0" borderId="22" xfId="0" applyNumberFormat="1" applyFont="1" applyBorder="1" applyAlignment="1"/>
    <xf numFmtId="187" fontId="28" fillId="0" borderId="0" xfId="0" applyNumberFormat="1" applyFont="1" applyAlignment="1"/>
    <xf numFmtId="0" fontId="11" fillId="0" borderId="0" xfId="0" quotePrefix="1" applyFont="1" applyAlignment="1"/>
    <xf numFmtId="0" fontId="28" fillId="0" borderId="0" xfId="0" applyFont="1" applyAlignment="1"/>
    <xf numFmtId="0" fontId="28" fillId="0" borderId="23" xfId="0" applyFont="1" applyBorder="1" applyAlignment="1"/>
    <xf numFmtId="0" fontId="11" fillId="2" borderId="23" xfId="0" applyFont="1" applyFill="1" applyBorder="1" applyAlignment="1">
      <alignment horizontal="center"/>
    </xf>
    <xf numFmtId="188" fontId="11" fillId="0" borderId="23" xfId="0" applyNumberFormat="1" applyFont="1" applyBorder="1" applyAlignment="1">
      <alignment horizontal="right"/>
    </xf>
    <xf numFmtId="187" fontId="21" fillId="26" borderId="20" xfId="0" applyNumberFormat="1" applyFont="1" applyFill="1" applyBorder="1" applyAlignment="1"/>
    <xf numFmtId="0" fontId="21" fillId="26" borderId="14" xfId="0" applyFont="1" applyFill="1" applyBorder="1" applyAlignment="1"/>
    <xf numFmtId="0" fontId="7" fillId="26" borderId="14" xfId="0" applyFont="1" applyFill="1" applyBorder="1" applyAlignment="1"/>
    <xf numFmtId="193" fontId="8" fillId="2" borderId="15" xfId="0" applyNumberFormat="1" applyFont="1" applyFill="1" applyBorder="1" applyAlignment="1">
      <alignment horizontal="right"/>
    </xf>
    <xf numFmtId="193" fontId="8" fillId="2" borderId="23" xfId="0" applyNumberFormat="1" applyFont="1" applyFill="1" applyBorder="1" applyAlignment="1">
      <alignment horizontal="right"/>
    </xf>
    <xf numFmtId="189" fontId="5" fillId="33" borderId="18" xfId="0" applyNumberFormat="1" applyFont="1" applyFill="1" applyBorder="1" applyAlignment="1"/>
    <xf numFmtId="187" fontId="21" fillId="2" borderId="14" xfId="0" applyNumberFormat="1" applyFont="1" applyFill="1" applyBorder="1" applyAlignment="1"/>
    <xf numFmtId="187" fontId="22" fillId="2" borderId="14" xfId="0" applyNumberFormat="1" applyFont="1" applyFill="1" applyBorder="1" applyAlignment="1"/>
    <xf numFmtId="187" fontId="21" fillId="23" borderId="14" xfId="0" quotePrefix="1" applyNumberFormat="1" applyFont="1" applyFill="1" applyBorder="1" applyAlignment="1"/>
    <xf numFmtId="187" fontId="21" fillId="2" borderId="14" xfId="0" quotePrefix="1" applyNumberFormat="1" applyFont="1" applyFill="1" applyBorder="1" applyAlignment="1"/>
    <xf numFmtId="191" fontId="6" fillId="2" borderId="15" xfId="0" applyNumberFormat="1" applyFont="1" applyFill="1" applyBorder="1" applyAlignment="1"/>
    <xf numFmtId="187" fontId="25" fillId="34" borderId="1" xfId="0" applyNumberFormat="1" applyFont="1" applyFill="1" applyBorder="1" applyAlignment="1"/>
    <xf numFmtId="187" fontId="28" fillId="34" borderId="2" xfId="0" applyNumberFormat="1" applyFont="1" applyFill="1" applyBorder="1" applyAlignment="1"/>
    <xf numFmtId="0" fontId="28" fillId="34" borderId="2" xfId="0" applyFont="1" applyFill="1" applyBorder="1" applyAlignment="1"/>
    <xf numFmtId="189" fontId="28" fillId="34" borderId="2" xfId="0" applyNumberFormat="1" applyFont="1" applyFill="1" applyBorder="1" applyAlignment="1"/>
    <xf numFmtId="188" fontId="28" fillId="34" borderId="2" xfId="0" applyNumberFormat="1" applyFont="1" applyFill="1" applyBorder="1" applyAlignment="1"/>
    <xf numFmtId="187" fontId="25" fillId="36" borderId="13" xfId="0" applyNumberFormat="1" applyFont="1" applyFill="1" applyBorder="1" applyAlignment="1"/>
    <xf numFmtId="187" fontId="28" fillId="36" borderId="14" xfId="0" applyNumberFormat="1" applyFont="1" applyFill="1" applyBorder="1" applyAlignment="1"/>
    <xf numFmtId="0" fontId="28" fillId="36" borderId="14" xfId="0" applyFont="1" applyFill="1" applyBorder="1" applyAlignment="1"/>
    <xf numFmtId="0" fontId="28" fillId="36" borderId="15" xfId="0" applyFont="1" applyFill="1" applyBorder="1" applyAlignment="1"/>
    <xf numFmtId="189" fontId="28" fillId="36" borderId="15" xfId="0" applyNumberFormat="1" applyFont="1" applyFill="1" applyBorder="1" applyAlignment="1"/>
    <xf numFmtId="188" fontId="28" fillId="36" borderId="15" xfId="0" applyNumberFormat="1" applyFont="1" applyFill="1" applyBorder="1" applyAlignment="1"/>
    <xf numFmtId="187" fontId="28" fillId="37" borderId="13" xfId="0" applyNumberFormat="1" applyFont="1" applyFill="1" applyBorder="1" applyAlignment="1"/>
    <xf numFmtId="0" fontId="25" fillId="37" borderId="14" xfId="0" applyFont="1" applyFill="1" applyBorder="1" applyAlignment="1"/>
    <xf numFmtId="187" fontId="28" fillId="37" borderId="14" xfId="0" applyNumberFormat="1" applyFont="1" applyFill="1" applyBorder="1" applyAlignment="1"/>
    <xf numFmtId="0" fontId="28" fillId="37" borderId="14" xfId="0" applyFont="1" applyFill="1" applyBorder="1" applyAlignment="1"/>
    <xf numFmtId="0" fontId="28" fillId="37" borderId="15" xfId="0" applyFont="1" applyFill="1" applyBorder="1" applyAlignment="1"/>
    <xf numFmtId="0" fontId="25" fillId="37" borderId="15" xfId="0" applyFont="1" applyFill="1" applyBorder="1" applyAlignment="1">
      <alignment horizontal="center" wrapText="1"/>
    </xf>
    <xf numFmtId="189" fontId="25" fillId="37" borderId="15" xfId="0" applyNumberFormat="1" applyFont="1" applyFill="1" applyBorder="1" applyAlignment="1">
      <alignment horizontal="right"/>
    </xf>
    <xf numFmtId="188" fontId="25" fillId="37" borderId="15" xfId="0" applyNumberFormat="1" applyFont="1" applyFill="1" applyBorder="1" applyAlignment="1">
      <alignment horizontal="right"/>
    </xf>
    <xf numFmtId="187" fontId="25" fillId="2" borderId="15" xfId="0" applyNumberFormat="1" applyFont="1" applyFill="1" applyBorder="1" applyAlignment="1">
      <alignment horizontal="center"/>
    </xf>
    <xf numFmtId="0" fontId="54" fillId="2" borderId="14" xfId="0" applyFont="1" applyFill="1" applyBorder="1" applyAlignment="1"/>
    <xf numFmtId="187" fontId="28" fillId="2" borderId="8" xfId="0" applyNumberFormat="1" applyFont="1" applyFill="1" applyBorder="1" applyAlignment="1"/>
    <xf numFmtId="0" fontId="28" fillId="2" borderId="10" xfId="0" applyFont="1" applyFill="1" applyBorder="1" applyAlignment="1"/>
    <xf numFmtId="187" fontId="28" fillId="2" borderId="10" xfId="0" applyNumberFormat="1" applyFont="1" applyFill="1" applyBorder="1" applyAlignment="1"/>
    <xf numFmtId="0" fontId="11" fillId="0" borderId="10" xfId="0" applyFont="1" applyBorder="1" applyAlignment="1"/>
    <xf numFmtId="187" fontId="28" fillId="0" borderId="10" xfId="0" applyNumberFormat="1" applyFont="1" applyBorder="1" applyAlignment="1"/>
    <xf numFmtId="0" fontId="28" fillId="2" borderId="9" xfId="0" applyFont="1" applyFill="1" applyBorder="1" applyAlignment="1"/>
    <xf numFmtId="0" fontId="11" fillId="2" borderId="9" xfId="0" applyFont="1" applyFill="1" applyBorder="1" applyAlignment="1">
      <alignment horizontal="center" wrapText="1"/>
    </xf>
    <xf numFmtId="189" fontId="11" fillId="24" borderId="9" xfId="0" applyNumberFormat="1" applyFont="1" applyFill="1" applyBorder="1" applyAlignment="1">
      <alignment horizontal="right"/>
    </xf>
    <xf numFmtId="188" fontId="11" fillId="2" borderId="9" xfId="0" applyNumberFormat="1" applyFont="1" applyFill="1" applyBorder="1" applyAlignment="1">
      <alignment horizontal="right"/>
    </xf>
    <xf numFmtId="187" fontId="25" fillId="37" borderId="15" xfId="0" applyNumberFormat="1" applyFont="1" applyFill="1" applyBorder="1" applyAlignment="1">
      <alignment horizontal="center" wrapText="1"/>
    </xf>
    <xf numFmtId="189" fontId="6" fillId="37" borderId="15" xfId="0" applyNumberFormat="1" applyFont="1" applyFill="1" applyBorder="1" applyAlignment="1"/>
    <xf numFmtId="0" fontId="25" fillId="2" borderId="14" xfId="0" applyFont="1" applyFill="1" applyBorder="1" applyAlignment="1">
      <alignment horizontal="center"/>
    </xf>
    <xf numFmtId="189" fontId="25" fillId="12" borderId="14" xfId="0" applyNumberFormat="1" applyFont="1" applyFill="1" applyBorder="1" applyAlignment="1">
      <alignment horizontal="right"/>
    </xf>
    <xf numFmtId="189" fontId="25" fillId="12" borderId="15" xfId="0" applyNumberFormat="1" applyFont="1" applyFill="1" applyBorder="1" applyAlignment="1">
      <alignment horizontal="right"/>
    </xf>
    <xf numFmtId="188" fontId="25" fillId="12" borderId="15" xfId="0" applyNumberFormat="1" applyFont="1" applyFill="1" applyBorder="1" applyAlignment="1">
      <alignment horizontal="right"/>
    </xf>
    <xf numFmtId="188" fontId="11" fillId="0" borderId="15" xfId="0" applyNumberFormat="1" applyFont="1" applyBorder="1" applyAlignment="1">
      <alignment horizontal="right"/>
    </xf>
    <xf numFmtId="189" fontId="25" fillId="2" borderId="15" xfId="0" applyNumberFormat="1" applyFont="1" applyFill="1" applyBorder="1" applyAlignment="1">
      <alignment horizontal="right"/>
    </xf>
    <xf numFmtId="188" fontId="25" fillId="0" borderId="15" xfId="0" applyNumberFormat="1" applyFont="1" applyBorder="1" applyAlignment="1">
      <alignment horizontal="right"/>
    </xf>
    <xf numFmtId="189" fontId="11" fillId="2" borderId="36" xfId="0" applyNumberFormat="1" applyFont="1" applyFill="1" applyBorder="1" applyAlignment="1">
      <alignment horizontal="right"/>
    </xf>
    <xf numFmtId="187" fontId="21" fillId="23" borderId="14" xfId="0" applyNumberFormat="1" applyFont="1" applyFill="1" applyBorder="1" applyAlignment="1"/>
    <xf numFmtId="189" fontId="5" fillId="2" borderId="24" xfId="0" applyNumberFormat="1" applyFont="1" applyFill="1" applyBorder="1" applyAlignment="1">
      <alignment horizontal="right"/>
    </xf>
    <xf numFmtId="189" fontId="5" fillId="2" borderId="21" xfId="0" applyNumberFormat="1" applyFont="1" applyFill="1" applyBorder="1" applyAlignment="1">
      <alignment horizontal="right"/>
    </xf>
    <xf numFmtId="188" fontId="5" fillId="2" borderId="21" xfId="0" applyNumberFormat="1" applyFont="1" applyFill="1" applyBorder="1" applyAlignment="1">
      <alignment horizontal="right"/>
    </xf>
    <xf numFmtId="189" fontId="12" fillId="2" borderId="16" xfId="0" applyNumberFormat="1" applyFont="1" applyFill="1" applyBorder="1" applyAlignment="1">
      <alignment horizontal="right"/>
    </xf>
    <xf numFmtId="189" fontId="6" fillId="2" borderId="16" xfId="0" applyNumberFormat="1" applyFont="1" applyFill="1" applyBorder="1" applyAlignment="1"/>
    <xf numFmtId="189" fontId="5" fillId="2" borderId="16" xfId="0" applyNumberFormat="1" applyFont="1" applyFill="1" applyBorder="1" applyAlignment="1">
      <alignment horizontal="right"/>
    </xf>
    <xf numFmtId="0" fontId="21" fillId="23" borderId="14" xfId="0" applyFont="1" applyFill="1" applyBorder="1" applyAlignment="1"/>
    <xf numFmtId="0" fontId="21" fillId="23" borderId="14" xfId="0" quotePrefix="1" applyFont="1" applyFill="1" applyBorder="1" applyAlignment="1"/>
    <xf numFmtId="189" fontId="12" fillId="2" borderId="24" xfId="0" applyNumberFormat="1" applyFont="1" applyFill="1" applyBorder="1" applyAlignment="1"/>
    <xf numFmtId="188" fontId="12" fillId="0" borderId="21" xfId="0" applyNumberFormat="1" applyFont="1" applyBorder="1" applyAlignment="1"/>
    <xf numFmtId="187" fontId="56" fillId="2" borderId="13" xfId="0" applyNumberFormat="1" applyFont="1" applyFill="1" applyBorder="1" applyAlignment="1"/>
    <xf numFmtId="187" fontId="56" fillId="2" borderId="14" xfId="0" applyNumberFormat="1" applyFont="1" applyFill="1" applyBorder="1" applyAlignment="1"/>
    <xf numFmtId="0" fontId="56" fillId="0" borderId="14" xfId="0" applyFont="1" applyBorder="1" applyAlignment="1"/>
    <xf numFmtId="0" fontId="56" fillId="0" borderId="15" xfId="0" applyFont="1" applyBorder="1" applyAlignment="1"/>
    <xf numFmtId="189" fontId="5" fillId="2" borderId="16" xfId="0" applyNumberFormat="1" applyFont="1" applyFill="1" applyBorder="1" applyAlignment="1"/>
    <xf numFmtId="189" fontId="5" fillId="2" borderId="15" xfId="0" applyNumberFormat="1" applyFont="1" applyFill="1" applyBorder="1" applyAlignment="1"/>
    <xf numFmtId="191" fontId="5" fillId="2" borderId="15" xfId="0" applyNumberFormat="1" applyFont="1" applyFill="1" applyBorder="1" applyAlignment="1"/>
    <xf numFmtId="189" fontId="12" fillId="2" borderId="16" xfId="0" applyNumberFormat="1" applyFont="1" applyFill="1" applyBorder="1" applyAlignment="1"/>
    <xf numFmtId="188" fontId="12" fillId="0" borderId="15" xfId="0" applyNumberFormat="1" applyFont="1" applyBorder="1" applyAlignment="1"/>
    <xf numFmtId="0" fontId="29" fillId="23" borderId="14" xfId="0" applyFont="1" applyFill="1" applyBorder="1" applyAlignment="1"/>
    <xf numFmtId="187" fontId="8" fillId="0" borderId="14" xfId="0" applyNumberFormat="1" applyFont="1" applyBorder="1" applyAlignment="1"/>
    <xf numFmtId="187" fontId="2" fillId="2" borderId="15" xfId="0" applyNumberFormat="1" applyFont="1" applyFill="1" applyBorder="1" applyAlignment="1"/>
    <xf numFmtId="187" fontId="1" fillId="0" borderId="14" xfId="0" applyNumberFormat="1" applyFont="1" applyBorder="1" applyAlignment="1"/>
    <xf numFmtId="0" fontId="5" fillId="0" borderId="0" xfId="0" applyFont="1" applyAlignment="1">
      <alignment horizontal="center"/>
    </xf>
    <xf numFmtId="188" fontId="6" fillId="2" borderId="10" xfId="0" applyNumberFormat="1" applyFont="1" applyFill="1" applyBorder="1" applyAlignment="1"/>
    <xf numFmtId="0" fontId="3" fillId="5" borderId="23" xfId="0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/>
    </xf>
    <xf numFmtId="188" fontId="5" fillId="6" borderId="9" xfId="0" applyNumberFormat="1" applyFont="1" applyFill="1" applyBorder="1" applyAlignment="1">
      <alignment horizontal="center"/>
    </xf>
    <xf numFmtId="187" fontId="5" fillId="6" borderId="9" xfId="0" applyNumberFormat="1" applyFont="1" applyFill="1" applyBorder="1" applyAlignment="1">
      <alignment horizontal="center" wrapText="1"/>
    </xf>
    <xf numFmtId="0" fontId="6" fillId="10" borderId="9" xfId="0" applyFont="1" applyFill="1" applyBorder="1" applyAlignment="1"/>
    <xf numFmtId="189" fontId="6" fillId="10" borderId="9" xfId="0" applyNumberFormat="1" applyFont="1" applyFill="1" applyBorder="1" applyAlignment="1"/>
    <xf numFmtId="0" fontId="6" fillId="10" borderId="13" xfId="0" applyFont="1" applyFill="1" applyBorder="1" applyAlignment="1"/>
    <xf numFmtId="0" fontId="6" fillId="10" borderId="8" xfId="0" applyFont="1" applyFill="1" applyBorder="1" applyAlignment="1"/>
    <xf numFmtId="0" fontId="6" fillId="10" borderId="10" xfId="0" applyFont="1" applyFill="1" applyBorder="1" applyAlignment="1"/>
    <xf numFmtId="0" fontId="6" fillId="11" borderId="9" xfId="0" applyFont="1" applyFill="1" applyBorder="1" applyAlignment="1"/>
    <xf numFmtId="189" fontId="6" fillId="11" borderId="9" xfId="0" applyNumberFormat="1" applyFont="1" applyFill="1" applyBorder="1" applyAlignment="1"/>
    <xf numFmtId="0" fontId="6" fillId="12" borderId="13" xfId="0" applyFont="1" applyFill="1" applyBorder="1" applyAlignment="1"/>
    <xf numFmtId="0" fontId="21" fillId="12" borderId="14" xfId="0" applyFont="1" applyFill="1" applyBorder="1" applyAlignment="1"/>
    <xf numFmtId="0" fontId="5" fillId="12" borderId="15" xfId="0" applyFont="1" applyFill="1" applyBorder="1" applyAlignment="1">
      <alignment horizontal="center"/>
    </xf>
    <xf numFmtId="0" fontId="12" fillId="12" borderId="14" xfId="0" applyFont="1" applyFill="1" applyBorder="1" applyAlignment="1"/>
    <xf numFmtId="0" fontId="12" fillId="12" borderId="15" xfId="0" applyFont="1" applyFill="1" applyBorder="1" applyAlignment="1">
      <alignment horizontal="center"/>
    </xf>
    <xf numFmtId="0" fontId="5" fillId="13" borderId="8" xfId="0" applyFont="1" applyFill="1" applyBorder="1" applyAlignment="1"/>
    <xf numFmtId="0" fontId="6" fillId="13" borderId="10" xfId="0" applyFont="1" applyFill="1" applyBorder="1" applyAlignment="1"/>
    <xf numFmtId="0" fontId="6" fillId="13" borderId="9" xfId="0" applyFont="1" applyFill="1" applyBorder="1" applyAlignment="1"/>
    <xf numFmtId="189" fontId="6" fillId="13" borderId="9" xfId="0" applyNumberFormat="1" applyFont="1" applyFill="1" applyBorder="1" applyAlignment="1"/>
    <xf numFmtId="0" fontId="5" fillId="14" borderId="8" xfId="0" applyFont="1" applyFill="1" applyBorder="1" applyAlignment="1"/>
    <xf numFmtId="0" fontId="6" fillId="14" borderId="10" xfId="0" applyFont="1" applyFill="1" applyBorder="1" applyAlignment="1"/>
    <xf numFmtId="189" fontId="6" fillId="14" borderId="10" xfId="0" applyNumberFormat="1" applyFont="1" applyFill="1" applyBorder="1" applyAlignment="1"/>
    <xf numFmtId="0" fontId="6" fillId="15" borderId="14" xfId="0" applyFont="1" applyFill="1" applyBorder="1" applyAlignment="1"/>
    <xf numFmtId="0" fontId="5" fillId="15" borderId="14" xfId="0" applyFont="1" applyFill="1" applyBorder="1" applyAlignment="1"/>
    <xf numFmtId="0" fontId="6" fillId="15" borderId="15" xfId="0" applyFont="1" applyFill="1" applyBorder="1" applyAlignment="1"/>
    <xf numFmtId="189" fontId="6" fillId="15" borderId="15" xfId="0" applyNumberFormat="1" applyFont="1" applyFill="1" applyBorder="1" applyAlignment="1"/>
    <xf numFmtId="0" fontId="6" fillId="16" borderId="13" xfId="0" applyFont="1" applyFill="1" applyBorder="1" applyAlignment="1"/>
    <xf numFmtId="0" fontId="6" fillId="16" borderId="14" xfId="0" applyFont="1" applyFill="1" applyBorder="1" applyAlignment="1"/>
    <xf numFmtId="0" fontId="5" fillId="16" borderId="14" xfId="0" applyFont="1" applyFill="1" applyBorder="1" applyAlignment="1"/>
    <xf numFmtId="0" fontId="21" fillId="16" borderId="14" xfId="0" applyFont="1" applyFill="1" applyBorder="1" applyAlignment="1"/>
    <xf numFmtId="0" fontId="6" fillId="16" borderId="15" xfId="0" applyFont="1" applyFill="1" applyBorder="1" applyAlignment="1"/>
    <xf numFmtId="0" fontId="5" fillId="16" borderId="15" xfId="0" applyFont="1" applyFill="1" applyBorder="1" applyAlignment="1">
      <alignment horizontal="center"/>
    </xf>
    <xf numFmtId="189" fontId="6" fillId="16" borderId="15" xfId="0" applyNumberFormat="1" applyFont="1" applyFill="1" applyBorder="1" applyAlignment="1"/>
    <xf numFmtId="188" fontId="6" fillId="16" borderId="15" xfId="0" applyNumberFormat="1" applyFont="1" applyFill="1" applyBorder="1" applyAlignment="1"/>
    <xf numFmtId="0" fontId="12" fillId="16" borderId="14" xfId="0" applyFont="1" applyFill="1" applyBorder="1" applyAlignment="1"/>
    <xf numFmtId="0" fontId="12" fillId="16" borderId="15" xfId="0" applyFont="1" applyFill="1" applyBorder="1" applyAlignment="1">
      <alignment horizontal="center"/>
    </xf>
    <xf numFmtId="0" fontId="6" fillId="17" borderId="10" xfId="0" applyFont="1" applyFill="1" applyBorder="1" applyAlignment="1"/>
    <xf numFmtId="189" fontId="6" fillId="17" borderId="10" xfId="0" applyNumberFormat="1" applyFont="1" applyFill="1" applyBorder="1" applyAlignment="1"/>
    <xf numFmtId="0" fontId="6" fillId="18" borderId="13" xfId="0" applyFont="1" applyFill="1" applyBorder="1" applyAlignment="1"/>
    <xf numFmtId="0" fontId="6" fillId="18" borderId="15" xfId="0" applyFont="1" applyFill="1" applyBorder="1" applyAlignment="1"/>
    <xf numFmtId="189" fontId="6" fillId="18" borderId="15" xfId="0" applyNumberFormat="1" applyFont="1" applyFill="1" applyBorder="1" applyAlignment="1"/>
    <xf numFmtId="0" fontId="6" fillId="19" borderId="13" xfId="0" applyFont="1" applyFill="1" applyBorder="1" applyAlignment="1"/>
    <xf numFmtId="0" fontId="5" fillId="19" borderId="14" xfId="0" applyFont="1" applyFill="1" applyBorder="1" applyAlignment="1"/>
    <xf numFmtId="0" fontId="6" fillId="19" borderId="14" xfId="0" applyFont="1" applyFill="1" applyBorder="1" applyAlignment="1"/>
    <xf numFmtId="0" fontId="6" fillId="19" borderId="15" xfId="0" applyFont="1" applyFill="1" applyBorder="1" applyAlignment="1"/>
    <xf numFmtId="189" fontId="6" fillId="19" borderId="15" xfId="0" applyNumberFormat="1" applyFont="1" applyFill="1" applyBorder="1" applyAlignment="1"/>
    <xf numFmtId="0" fontId="6" fillId="20" borderId="13" xfId="0" applyFont="1" applyFill="1" applyBorder="1" applyAlignment="1"/>
    <xf numFmtId="0" fontId="6" fillId="20" borderId="14" xfId="0" applyFont="1" applyFill="1" applyBorder="1" applyAlignment="1"/>
    <xf numFmtId="0" fontId="5" fillId="20" borderId="14" xfId="0" applyFont="1" applyFill="1" applyBorder="1" applyAlignment="1"/>
    <xf numFmtId="0" fontId="21" fillId="20" borderId="14" xfId="0" applyFont="1" applyFill="1" applyBorder="1" applyAlignment="1"/>
    <xf numFmtId="0" fontId="6" fillId="20" borderId="15" xfId="0" applyFont="1" applyFill="1" applyBorder="1" applyAlignment="1"/>
    <xf numFmtId="0" fontId="5" fillId="20" borderId="15" xfId="0" applyFont="1" applyFill="1" applyBorder="1" applyAlignment="1">
      <alignment horizontal="center"/>
    </xf>
    <xf numFmtId="189" fontId="6" fillId="20" borderId="15" xfId="0" applyNumberFormat="1" applyFont="1" applyFill="1" applyBorder="1" applyAlignment="1"/>
    <xf numFmtId="188" fontId="6" fillId="20" borderId="15" xfId="0" applyNumberFormat="1" applyFont="1" applyFill="1" applyBorder="1" applyAlignment="1"/>
    <xf numFmtId="0" fontId="12" fillId="20" borderId="14" xfId="0" applyFont="1" applyFill="1" applyBorder="1" applyAlignment="1"/>
    <xf numFmtId="0" fontId="12" fillId="20" borderId="15" xfId="0" applyFont="1" applyFill="1" applyBorder="1" applyAlignment="1">
      <alignment horizontal="center"/>
    </xf>
    <xf numFmtId="190" fontId="6" fillId="2" borderId="8" xfId="0" applyNumberFormat="1" applyFont="1" applyFill="1" applyBorder="1" applyAlignment="1"/>
    <xf numFmtId="187" fontId="5" fillId="21" borderId="8" xfId="0" applyNumberFormat="1" applyFont="1" applyFill="1" applyBorder="1" applyAlignment="1"/>
    <xf numFmtId="187" fontId="6" fillId="21" borderId="10" xfId="0" applyNumberFormat="1" applyFont="1" applyFill="1" applyBorder="1" applyAlignment="1"/>
    <xf numFmtId="0" fontId="6" fillId="21" borderId="10" xfId="0" applyFont="1" applyFill="1" applyBorder="1" applyAlignment="1"/>
    <xf numFmtId="189" fontId="6" fillId="21" borderId="10" xfId="0" applyNumberFormat="1" applyFont="1" applyFill="1" applyBorder="1" applyAlignment="1"/>
    <xf numFmtId="187" fontId="5" fillId="22" borderId="13" xfId="0" applyNumberFormat="1" applyFont="1" applyFill="1" applyBorder="1" applyAlignment="1"/>
    <xf numFmtId="0" fontId="6" fillId="22" borderId="15" xfId="0" applyFont="1" applyFill="1" applyBorder="1" applyAlignment="1"/>
    <xf numFmtId="187" fontId="6" fillId="22" borderId="15" xfId="0" applyNumberFormat="1" applyFont="1" applyFill="1" applyBorder="1" applyAlignment="1"/>
    <xf numFmtId="189" fontId="6" fillId="22" borderId="15" xfId="0" applyNumberFormat="1" applyFont="1" applyFill="1" applyBorder="1" applyAlignment="1"/>
    <xf numFmtId="187" fontId="12" fillId="0" borderId="14" xfId="0" quotePrefix="1" applyNumberFormat="1" applyFont="1" applyBorder="1" applyAlignment="1"/>
    <xf numFmtId="0" fontId="5" fillId="0" borderId="15" xfId="0" applyFont="1" applyBorder="1" applyAlignment="1">
      <alignment horizontal="center" wrapText="1"/>
    </xf>
    <xf numFmtId="188" fontId="5" fillId="0" borderId="15" xfId="0" applyNumberFormat="1" applyFont="1" applyBorder="1" applyAlignment="1">
      <alignment horizontal="right"/>
    </xf>
    <xf numFmtId="187" fontId="12" fillId="0" borderId="20" xfId="0" applyNumberFormat="1" applyFont="1" applyBorder="1" applyAlignment="1"/>
    <xf numFmtId="187" fontId="6" fillId="12" borderId="15" xfId="0" applyNumberFormat="1" applyFont="1" applyFill="1" applyBorder="1" applyAlignment="1"/>
    <xf numFmtId="0" fontId="21" fillId="23" borderId="20" xfId="0" quotePrefix="1" applyFont="1" applyFill="1" applyBorder="1" applyAlignment="1"/>
    <xf numFmtId="0" fontId="6" fillId="23" borderId="20" xfId="0" applyFont="1" applyFill="1" applyBorder="1" applyAlignment="1"/>
    <xf numFmtId="0" fontId="6" fillId="23" borderId="21" xfId="0" applyFont="1" applyFill="1" applyBorder="1" applyAlignment="1"/>
    <xf numFmtId="187" fontId="6" fillId="0" borderId="21" xfId="0" applyNumberFormat="1" applyFont="1" applyBorder="1" applyAlignment="1"/>
    <xf numFmtId="190" fontId="5" fillId="12" borderId="14" xfId="0" applyNumberFormat="1" applyFont="1" applyFill="1" applyBorder="1" applyAlignment="1"/>
    <xf numFmtId="187" fontId="11" fillId="0" borderId="9" xfId="0" applyNumberFormat="1" applyFont="1" applyBorder="1" applyAlignment="1">
      <alignment horizontal="center"/>
    </xf>
    <xf numFmtId="187" fontId="5" fillId="9" borderId="8" xfId="0" applyNumberFormat="1" applyFont="1" applyFill="1" applyBorder="1" applyAlignment="1"/>
    <xf numFmtId="187" fontId="6" fillId="9" borderId="10" xfId="0" applyNumberFormat="1" applyFont="1" applyFill="1" applyBorder="1" applyAlignment="1"/>
    <xf numFmtId="0" fontId="6" fillId="9" borderId="10" xfId="0" applyFont="1" applyFill="1" applyBorder="1" applyAlignment="1"/>
    <xf numFmtId="189" fontId="6" fillId="9" borderId="10" xfId="0" applyNumberFormat="1" applyFont="1" applyFill="1" applyBorder="1" applyAlignment="1"/>
    <xf numFmtId="187" fontId="5" fillId="25" borderId="13" xfId="0" applyNumberFormat="1" applyFont="1" applyFill="1" applyBorder="1" applyAlignment="1"/>
    <xf numFmtId="187" fontId="6" fillId="25" borderId="14" xfId="0" applyNumberFormat="1" applyFont="1" applyFill="1" applyBorder="1" applyAlignment="1"/>
    <xf numFmtId="0" fontId="6" fillId="25" borderId="14" xfId="0" applyFont="1" applyFill="1" applyBorder="1" applyAlignment="1"/>
    <xf numFmtId="187" fontId="6" fillId="25" borderId="15" xfId="0" applyNumberFormat="1" applyFont="1" applyFill="1" applyBorder="1" applyAlignment="1"/>
    <xf numFmtId="189" fontId="6" fillId="25" borderId="15" xfId="0" applyNumberFormat="1" applyFont="1" applyFill="1" applyBorder="1" applyAlignment="1"/>
    <xf numFmtId="187" fontId="6" fillId="23" borderId="13" xfId="0" applyNumberFormat="1" applyFont="1" applyFill="1" applyBorder="1" applyAlignment="1"/>
    <xf numFmtId="0" fontId="5" fillId="23" borderId="14" xfId="0" applyFont="1" applyFill="1" applyBorder="1" applyAlignment="1"/>
    <xf numFmtId="187" fontId="5" fillId="23" borderId="15" xfId="0" applyNumberFormat="1" applyFont="1" applyFill="1" applyBorder="1" applyAlignment="1">
      <alignment horizontal="center" wrapText="1"/>
    </xf>
    <xf numFmtId="189" fontId="5" fillId="23" borderId="15" xfId="0" applyNumberFormat="1" applyFont="1" applyFill="1" applyBorder="1" applyAlignment="1">
      <alignment horizontal="right"/>
    </xf>
    <xf numFmtId="188" fontId="5" fillId="23" borderId="15" xfId="0" applyNumberFormat="1" applyFont="1" applyFill="1" applyBorder="1" applyAlignment="1">
      <alignment horizontal="right"/>
    </xf>
    <xf numFmtId="187" fontId="5" fillId="26" borderId="14" xfId="0" applyNumberFormat="1" applyFont="1" applyFill="1" applyBorder="1" applyAlignment="1"/>
    <xf numFmtId="0" fontId="21" fillId="2" borderId="14" xfId="0" quotePrefix="1" applyFont="1" applyFill="1" applyBorder="1" applyAlignment="1"/>
    <xf numFmtId="0" fontId="5" fillId="26" borderId="14" xfId="0" applyFont="1" applyFill="1" applyBorder="1" applyAlignment="1"/>
    <xf numFmtId="0" fontId="5" fillId="26" borderId="15" xfId="0" applyFont="1" applyFill="1" applyBorder="1" applyAlignment="1">
      <alignment horizontal="center"/>
    </xf>
    <xf numFmtId="187" fontId="12" fillId="0" borderId="15" xfId="0" applyNumberFormat="1" applyFont="1" applyBorder="1" applyAlignment="1"/>
    <xf numFmtId="0" fontId="12" fillId="0" borderId="15" xfId="0" applyFont="1" applyBorder="1" applyAlignment="1"/>
    <xf numFmtId="187" fontId="12" fillId="2" borderId="20" xfId="0" applyNumberFormat="1" applyFont="1" applyFill="1" applyBorder="1" applyAlignment="1"/>
    <xf numFmtId="187" fontId="25" fillId="26" borderId="14" xfId="0" applyNumberFormat="1" applyFont="1" applyFill="1" applyBorder="1" applyAlignment="1"/>
    <xf numFmtId="187" fontId="28" fillId="0" borderId="15" xfId="0" applyNumberFormat="1" applyFont="1" applyBorder="1" applyAlignment="1"/>
    <xf numFmtId="187" fontId="1" fillId="26" borderId="14" xfId="0" applyNumberFormat="1" applyFont="1" applyFill="1" applyBorder="1" applyAlignment="1"/>
    <xf numFmtId="187" fontId="2" fillId="25" borderId="15" xfId="0" applyNumberFormat="1" applyFont="1" applyFill="1" applyBorder="1" applyAlignment="1"/>
    <xf numFmtId="187" fontId="1" fillId="23" borderId="15" xfId="0" applyNumberFormat="1" applyFont="1" applyFill="1" applyBorder="1" applyAlignment="1">
      <alignment horizontal="center" wrapText="1"/>
    </xf>
    <xf numFmtId="189" fontId="1" fillId="23" borderId="15" xfId="0" applyNumberFormat="1" applyFont="1" applyFill="1" applyBorder="1" applyAlignment="1"/>
    <xf numFmtId="187" fontId="9" fillId="2" borderId="14" xfId="0" applyNumberFormat="1" applyFont="1" applyFill="1" applyBorder="1" applyAlignment="1"/>
    <xf numFmtId="187" fontId="7" fillId="23" borderId="14" xfId="0" quotePrefix="1" applyNumberFormat="1" applyFont="1" applyFill="1" applyBorder="1" applyAlignment="1"/>
    <xf numFmtId="189" fontId="8" fillId="2" borderId="21" xfId="0" applyNumberFormat="1" applyFont="1" applyFill="1" applyBorder="1" applyAlignment="1"/>
    <xf numFmtId="188" fontId="8" fillId="2" borderId="21" xfId="0" applyNumberFormat="1" applyFont="1" applyFill="1" applyBorder="1" applyAlignment="1"/>
    <xf numFmtId="0" fontId="11" fillId="0" borderId="10" xfId="0" quotePrefix="1" applyFont="1" applyBorder="1" applyAlignment="1"/>
    <xf numFmtId="187" fontId="11" fillId="2" borderId="9" xfId="0" applyNumberFormat="1" applyFont="1" applyFill="1" applyBorder="1" applyAlignment="1">
      <alignment horizontal="center"/>
    </xf>
    <xf numFmtId="188" fontId="11" fillId="0" borderId="9" xfId="0" applyNumberFormat="1" applyFont="1" applyBorder="1" applyAlignment="1">
      <alignment horizontal="right"/>
    </xf>
    <xf numFmtId="187" fontId="3" fillId="28" borderId="8" xfId="0" applyNumberFormat="1" applyFont="1" applyFill="1" applyBorder="1" applyAlignment="1"/>
    <xf numFmtId="187" fontId="6" fillId="28" borderId="10" xfId="0" applyNumberFormat="1" applyFont="1" applyFill="1" applyBorder="1" applyAlignment="1"/>
    <xf numFmtId="0" fontId="6" fillId="28" borderId="10" xfId="0" applyFont="1" applyFill="1" applyBorder="1" applyAlignment="1"/>
    <xf numFmtId="189" fontId="6" fillId="28" borderId="10" xfId="0" applyNumberFormat="1" applyFont="1" applyFill="1" applyBorder="1" applyAlignment="1"/>
    <xf numFmtId="187" fontId="5" fillId="29" borderId="13" xfId="0" applyNumberFormat="1" applyFont="1" applyFill="1" applyBorder="1" applyAlignment="1"/>
    <xf numFmtId="0" fontId="6" fillId="29" borderId="14" xfId="0" applyFont="1" applyFill="1" applyBorder="1" applyAlignment="1"/>
    <xf numFmtId="187" fontId="6" fillId="29" borderId="14" xfId="0" applyNumberFormat="1" applyFont="1" applyFill="1" applyBorder="1" applyAlignment="1"/>
    <xf numFmtId="189" fontId="6" fillId="29" borderId="14" xfId="0" applyNumberFormat="1" applyFont="1" applyFill="1" applyBorder="1" applyAlignment="1"/>
    <xf numFmtId="189" fontId="6" fillId="29" borderId="15" xfId="0" applyNumberFormat="1" applyFont="1" applyFill="1" applyBorder="1" applyAlignment="1"/>
    <xf numFmtId="190" fontId="6" fillId="30" borderId="13" xfId="0" applyNumberFormat="1" applyFont="1" applyFill="1" applyBorder="1" applyAlignment="1"/>
    <xf numFmtId="0" fontId="5" fillId="30" borderId="14" xfId="0" applyFont="1" applyFill="1" applyBorder="1" applyAlignment="1"/>
    <xf numFmtId="0" fontId="6" fillId="30" borderId="14" xfId="0" applyFont="1" applyFill="1" applyBorder="1" applyAlignment="1"/>
    <xf numFmtId="187" fontId="6" fillId="30" borderId="14" xfId="0" applyNumberFormat="1" applyFont="1" applyFill="1" applyBorder="1" applyAlignment="1"/>
    <xf numFmtId="0" fontId="6" fillId="30" borderId="15" xfId="0" applyFont="1" applyFill="1" applyBorder="1" applyAlignment="1"/>
    <xf numFmtId="187" fontId="5" fillId="30" borderId="15" xfId="0" applyNumberFormat="1" applyFont="1" applyFill="1" applyBorder="1" applyAlignment="1">
      <alignment horizontal="center" wrapText="1"/>
    </xf>
    <xf numFmtId="189" fontId="5" fillId="30" borderId="15" xfId="0" applyNumberFormat="1" applyFont="1" applyFill="1" applyBorder="1" applyAlignment="1">
      <alignment horizontal="right"/>
    </xf>
    <xf numFmtId="188" fontId="5" fillId="30" borderId="15" xfId="0" applyNumberFormat="1" applyFont="1" applyFill="1" applyBorder="1" applyAlignment="1">
      <alignment horizontal="right"/>
    </xf>
    <xf numFmtId="0" fontId="12" fillId="0" borderId="15" xfId="0" applyFont="1" applyBorder="1" applyAlignment="1">
      <alignment horizontal="center" wrapText="1"/>
    </xf>
    <xf numFmtId="187" fontId="6" fillId="10" borderId="8" xfId="0" applyNumberFormat="1" applyFont="1" applyFill="1" applyBorder="1" applyAlignment="1"/>
    <xf numFmtId="187" fontId="6" fillId="10" borderId="10" xfId="0" applyNumberFormat="1" applyFont="1" applyFill="1" applyBorder="1" applyAlignment="1"/>
    <xf numFmtId="187" fontId="6" fillId="10" borderId="9" xfId="0" applyNumberFormat="1" applyFont="1" applyFill="1" applyBorder="1" applyAlignment="1"/>
    <xf numFmtId="187" fontId="5" fillId="31" borderId="8" xfId="0" applyNumberFormat="1" applyFont="1" applyFill="1" applyBorder="1" applyAlignment="1"/>
    <xf numFmtId="187" fontId="6" fillId="31" borderId="10" xfId="0" applyNumberFormat="1" applyFont="1" applyFill="1" applyBorder="1" applyAlignment="1"/>
    <xf numFmtId="0" fontId="6" fillId="31" borderId="10" xfId="0" applyFont="1" applyFill="1" applyBorder="1" applyAlignment="1"/>
    <xf numFmtId="189" fontId="6" fillId="31" borderId="10" xfId="0" applyNumberFormat="1" applyFont="1" applyFill="1" applyBorder="1" applyAlignment="1"/>
    <xf numFmtId="187" fontId="5" fillId="32" borderId="13" xfId="0" applyNumberFormat="1" applyFont="1" applyFill="1" applyBorder="1" applyAlignment="1"/>
    <xf numFmtId="187" fontId="6" fillId="32" borderId="14" xfId="0" applyNumberFormat="1" applyFont="1" applyFill="1" applyBorder="1" applyAlignment="1"/>
    <xf numFmtId="0" fontId="6" fillId="32" borderId="14" xfId="0" applyFont="1" applyFill="1" applyBorder="1" applyAlignment="1"/>
    <xf numFmtId="0" fontId="6" fillId="32" borderId="15" xfId="0" applyFont="1" applyFill="1" applyBorder="1" applyAlignment="1"/>
    <xf numFmtId="187" fontId="6" fillId="32" borderId="15" xfId="0" applyNumberFormat="1" applyFont="1" applyFill="1" applyBorder="1" applyAlignment="1"/>
    <xf numFmtId="189" fontId="6" fillId="32" borderId="15" xfId="0" applyNumberFormat="1" applyFont="1" applyFill="1" applyBorder="1" applyAlignment="1"/>
    <xf numFmtId="187" fontId="6" fillId="33" borderId="13" xfId="0" applyNumberFormat="1" applyFont="1" applyFill="1" applyBorder="1" applyAlignment="1"/>
    <xf numFmtId="0" fontId="5" fillId="33" borderId="14" xfId="0" applyFont="1" applyFill="1" applyBorder="1" applyAlignment="1"/>
    <xf numFmtId="187" fontId="6" fillId="23" borderId="15" xfId="0" applyNumberFormat="1" applyFont="1" applyFill="1" applyBorder="1" applyAlignment="1"/>
    <xf numFmtId="187" fontId="12" fillId="27" borderId="14" xfId="0" applyNumberFormat="1" applyFont="1" applyFill="1" applyBorder="1" applyAlignment="1"/>
    <xf numFmtId="189" fontId="12" fillId="27" borderId="15" xfId="0" applyNumberFormat="1" applyFont="1" applyFill="1" applyBorder="1" applyAlignment="1">
      <alignment horizontal="right"/>
    </xf>
    <xf numFmtId="0" fontId="12" fillId="27" borderId="14" xfId="0" applyFont="1" applyFill="1" applyBorder="1" applyAlignment="1"/>
    <xf numFmtId="187" fontId="12" fillId="27" borderId="15" xfId="0" applyNumberFormat="1" applyFont="1" applyFill="1" applyBorder="1" applyAlignment="1">
      <alignment horizontal="center"/>
    </xf>
    <xf numFmtId="188" fontId="12" fillId="27" borderId="15" xfId="0" applyNumberFormat="1" applyFont="1" applyFill="1" applyBorder="1" applyAlignment="1">
      <alignment horizontal="right"/>
    </xf>
    <xf numFmtId="187" fontId="11" fillId="27" borderId="15" xfId="0" applyNumberFormat="1" applyFont="1" applyFill="1" applyBorder="1" applyAlignment="1">
      <alignment horizontal="center"/>
    </xf>
    <xf numFmtId="187" fontId="5" fillId="26" borderId="15" xfId="0" applyNumberFormat="1" applyFont="1" applyFill="1" applyBorder="1" applyAlignment="1">
      <alignment horizontal="center" wrapText="1"/>
    </xf>
    <xf numFmtId="189" fontId="6" fillId="33" borderId="15" xfId="0" applyNumberFormat="1" applyFont="1" applyFill="1" applyBorder="1" applyAlignment="1"/>
    <xf numFmtId="193" fontId="12" fillId="2" borderId="15" xfId="0" applyNumberFormat="1" applyFont="1" applyFill="1" applyBorder="1" applyAlignment="1">
      <alignment horizontal="right"/>
    </xf>
    <xf numFmtId="187" fontId="33" fillId="2" borderId="10" xfId="0" applyNumberFormat="1" applyFont="1" applyFill="1" applyBorder="1" applyAlignment="1"/>
    <xf numFmtId="188" fontId="5" fillId="33" borderId="18" xfId="0" applyNumberFormat="1" applyFont="1" applyFill="1" applyBorder="1" applyAlignment="1"/>
    <xf numFmtId="0" fontId="58" fillId="2" borderId="14" xfId="0" applyFont="1" applyFill="1" applyBorder="1" applyAlignment="1"/>
    <xf numFmtId="189" fontId="8" fillId="2" borderId="24" xfId="0" applyNumberFormat="1" applyFont="1" applyFill="1" applyBorder="1" applyAlignment="1">
      <alignment horizontal="right"/>
    </xf>
    <xf numFmtId="189" fontId="8" fillId="2" borderId="16" xfId="0" applyNumberFormat="1" applyFont="1" applyFill="1" applyBorder="1" applyAlignment="1">
      <alignment horizontal="right"/>
    </xf>
    <xf numFmtId="188" fontId="5" fillId="33" borderId="15" xfId="0" applyNumberFormat="1" applyFont="1" applyFill="1" applyBorder="1" applyAlignment="1"/>
    <xf numFmtId="187" fontId="25" fillId="34" borderId="8" xfId="0" applyNumberFormat="1" applyFont="1" applyFill="1" applyBorder="1" applyAlignment="1"/>
    <xf numFmtId="187" fontId="6" fillId="34" borderId="10" xfId="0" applyNumberFormat="1" applyFont="1" applyFill="1" applyBorder="1" applyAlignment="1"/>
    <xf numFmtId="0" fontId="6" fillId="34" borderId="10" xfId="0" applyFont="1" applyFill="1" applyBorder="1" applyAlignment="1"/>
    <xf numFmtId="189" fontId="6" fillId="34" borderId="10" xfId="0" applyNumberFormat="1" applyFont="1" applyFill="1" applyBorder="1" applyAlignment="1"/>
    <xf numFmtId="188" fontId="6" fillId="34" borderId="10" xfId="0" applyNumberFormat="1" applyFont="1" applyFill="1" applyBorder="1" applyAlignment="1"/>
    <xf numFmtId="187" fontId="6" fillId="36" borderId="14" xfId="0" applyNumberFormat="1" applyFont="1" applyFill="1" applyBorder="1" applyAlignment="1"/>
    <xf numFmtId="0" fontId="6" fillId="36" borderId="14" xfId="0" applyFont="1" applyFill="1" applyBorder="1" applyAlignment="1"/>
    <xf numFmtId="187" fontId="6" fillId="36" borderId="15" xfId="0" applyNumberFormat="1" applyFont="1" applyFill="1" applyBorder="1" applyAlignment="1"/>
    <xf numFmtId="189" fontId="6" fillId="36" borderId="15" xfId="0" applyNumberFormat="1" applyFont="1" applyFill="1" applyBorder="1" applyAlignment="1"/>
    <xf numFmtId="188" fontId="6" fillId="36" borderId="15" xfId="0" applyNumberFormat="1" applyFont="1" applyFill="1" applyBorder="1" applyAlignment="1"/>
    <xf numFmtId="188" fontId="5" fillId="37" borderId="15" xfId="0" applyNumberFormat="1" applyFont="1" applyFill="1" applyBorder="1" applyAlignment="1"/>
    <xf numFmtId="187" fontId="25" fillId="12" borderId="14" xfId="0" applyNumberFormat="1" applyFont="1" applyFill="1" applyBorder="1" applyAlignment="1"/>
    <xf numFmtId="187" fontId="29" fillId="2" borderId="14" xfId="0" applyNumberFormat="1" applyFont="1" applyFill="1" applyBorder="1" applyAlignment="1"/>
    <xf numFmtId="189" fontId="12" fillId="40" borderId="15" xfId="0" applyNumberFormat="1" applyFont="1" applyFill="1" applyBorder="1" applyAlignment="1"/>
    <xf numFmtId="188" fontId="5" fillId="40" borderId="15" xfId="0" applyNumberFormat="1" applyFont="1" applyFill="1" applyBorder="1" applyAlignment="1"/>
    <xf numFmtId="187" fontId="12" fillId="2" borderId="15" xfId="0" applyNumberFormat="1" applyFont="1" applyFill="1" applyBorder="1" applyAlignment="1"/>
    <xf numFmtId="187" fontId="5" fillId="2" borderId="15" xfId="0" applyNumberFormat="1" applyFont="1" applyFill="1" applyBorder="1" applyAlignment="1"/>
    <xf numFmtId="189" fontId="5" fillId="39" borderId="15" xfId="0" applyNumberFormat="1" applyFont="1" applyFill="1" applyBorder="1" applyAlignment="1"/>
    <xf numFmtId="188" fontId="5" fillId="39" borderId="15" xfId="0" applyNumberFormat="1" applyFont="1" applyFill="1" applyBorder="1" applyAlignment="1"/>
    <xf numFmtId="188" fontId="25" fillId="39" borderId="15" xfId="0" applyNumberFormat="1" applyFont="1" applyFill="1" applyBorder="1" applyAlignment="1"/>
    <xf numFmtId="189" fontId="8" fillId="2" borderId="15" xfId="0" applyNumberFormat="1" applyFont="1" applyFill="1" applyBorder="1" applyAlignment="1"/>
    <xf numFmtId="188" fontId="8" fillId="2" borderId="15" xfId="0" applyNumberFormat="1" applyFont="1" applyFill="1" applyBorder="1" applyAlignment="1"/>
    <xf numFmtId="187" fontId="2" fillId="0" borderId="8" xfId="0" applyNumberFormat="1" applyFont="1" applyBorder="1" applyAlignment="1"/>
    <xf numFmtId="0" fontId="2" fillId="0" borderId="10" xfId="0" applyFont="1" applyBorder="1" applyAlignment="1"/>
    <xf numFmtId="0" fontId="2" fillId="0" borderId="9" xfId="0" applyFont="1" applyBorder="1" applyAlignment="1"/>
    <xf numFmtId="187" fontId="8" fillId="2" borderId="9" xfId="0" applyNumberFormat="1" applyFont="1" applyFill="1" applyBorder="1" applyAlignment="1">
      <alignment horizontal="center"/>
    </xf>
    <xf numFmtId="189" fontId="8" fillId="24" borderId="9" xfId="0" applyNumberFormat="1" applyFont="1" applyFill="1" applyBorder="1" applyAlignment="1">
      <alignment horizontal="right"/>
    </xf>
    <xf numFmtId="189" fontId="11" fillId="2" borderId="15" xfId="0" applyNumberFormat="1" applyFont="1" applyFill="1" applyBorder="1" applyAlignment="1"/>
    <xf numFmtId="0" fontId="5" fillId="13" borderId="31" xfId="0" applyFont="1" applyFill="1" applyBorder="1" applyAlignment="1"/>
    <xf numFmtId="0" fontId="5" fillId="13" borderId="32" xfId="0" applyFont="1" applyFill="1" applyBorder="1" applyAlignment="1"/>
    <xf numFmtId="0" fontId="33" fillId="0" borderId="0" xfId="0" applyFont="1" applyAlignment="1"/>
    <xf numFmtId="0" fontId="12" fillId="0" borderId="20" xfId="0" quotePrefix="1" applyFont="1" applyBorder="1" applyAlignment="1"/>
    <xf numFmtId="187" fontId="12" fillId="0" borderId="21" xfId="0" applyNumberFormat="1" applyFont="1" applyBorder="1" applyAlignment="1">
      <alignment horizontal="center"/>
    </xf>
    <xf numFmtId="188" fontId="2" fillId="25" borderId="16" xfId="0" applyNumberFormat="1" applyFont="1" applyFill="1" applyBorder="1" applyAlignment="1"/>
    <xf numFmtId="188" fontId="2" fillId="23" borderId="16" xfId="0" applyNumberFormat="1" applyFont="1" applyFill="1" applyBorder="1" applyAlignment="1"/>
    <xf numFmtId="188" fontId="1" fillId="2" borderId="16" xfId="0" applyNumberFormat="1" applyFont="1" applyFill="1" applyBorder="1" applyAlignment="1"/>
    <xf numFmtId="188" fontId="1" fillId="2" borderId="15" xfId="0" applyNumberFormat="1" applyFont="1" applyFill="1" applyBorder="1" applyAlignment="1"/>
    <xf numFmtId="188" fontId="8" fillId="2" borderId="16" xfId="0" applyNumberFormat="1" applyFont="1" applyFill="1" applyBorder="1" applyAlignment="1"/>
    <xf numFmtId="188" fontId="2" fillId="0" borderId="16" xfId="0" applyNumberFormat="1" applyFont="1" applyBorder="1" applyAlignment="1"/>
    <xf numFmtId="187" fontId="28" fillId="0" borderId="8" xfId="0" applyNumberFormat="1" applyFont="1" applyBorder="1" applyAlignment="1"/>
    <xf numFmtId="0" fontId="28" fillId="0" borderId="10" xfId="0" applyFont="1" applyBorder="1" applyAlignment="1"/>
    <xf numFmtId="0" fontId="28" fillId="0" borderId="9" xfId="0" applyFont="1" applyBorder="1" applyAlignment="1"/>
    <xf numFmtId="188" fontId="28" fillId="0" borderId="11" xfId="0" applyNumberFormat="1" applyFont="1" applyBorder="1" applyAlignment="1"/>
    <xf numFmtId="188" fontId="28" fillId="0" borderId="9" xfId="0" applyNumberFormat="1" applyFont="1" applyBorder="1" applyAlignment="1"/>
    <xf numFmtId="187" fontId="56" fillId="26" borderId="13" xfId="0" applyNumberFormat="1" applyFont="1" applyFill="1" applyBorder="1" applyAlignment="1"/>
    <xf numFmtId="0" fontId="56" fillId="26" borderId="14" xfId="0" applyFont="1" applyFill="1" applyBorder="1" applyAlignment="1"/>
    <xf numFmtId="0" fontId="56" fillId="26" borderId="15" xfId="0" applyFont="1" applyFill="1" applyBorder="1" applyAlignment="1"/>
    <xf numFmtId="187" fontId="5" fillId="37" borderId="14" xfId="0" applyNumberFormat="1" applyFont="1" applyFill="1" applyBorder="1" applyAlignment="1"/>
    <xf numFmtId="189" fontId="12" fillId="40" borderId="15" xfId="0" applyNumberFormat="1" applyFont="1" applyFill="1" applyBorder="1" applyAlignment="1">
      <alignment horizontal="right"/>
    </xf>
    <xf numFmtId="187" fontId="44" fillId="2" borderId="14" xfId="0" applyNumberFormat="1" applyFont="1" applyFill="1" applyBorder="1" applyAlignment="1"/>
    <xf numFmtId="187" fontId="8" fillId="23" borderId="13" xfId="0" applyNumberFormat="1" applyFont="1" applyFill="1" applyBorder="1" applyAlignment="1"/>
    <xf numFmtId="187" fontId="8" fillId="23" borderId="14" xfId="0" applyNumberFormat="1" applyFont="1" applyFill="1" applyBorder="1" applyAlignment="1"/>
    <xf numFmtId="0" fontId="8" fillId="23" borderId="14" xfId="0" applyFont="1" applyFill="1" applyBorder="1" applyAlignment="1"/>
    <xf numFmtId="0" fontId="8" fillId="23" borderId="15" xfId="0" applyFont="1" applyFill="1" applyBorder="1" applyAlignment="1"/>
    <xf numFmtId="187" fontId="12" fillId="10" borderId="14" xfId="0" applyNumberFormat="1" applyFont="1" applyFill="1" applyBorder="1" applyAlignment="1"/>
    <xf numFmtId="189" fontId="12" fillId="10" borderId="15" xfId="0" applyNumberFormat="1" applyFont="1" applyFill="1" applyBorder="1" applyAlignment="1">
      <alignment horizontal="right"/>
    </xf>
    <xf numFmtId="0" fontId="12" fillId="10" borderId="14" xfId="0" applyFont="1" applyFill="1" applyBorder="1" applyAlignment="1"/>
    <xf numFmtId="187" fontId="12" fillId="10" borderId="15" xfId="0" applyNumberFormat="1" applyFont="1" applyFill="1" applyBorder="1" applyAlignment="1">
      <alignment horizontal="center"/>
    </xf>
    <xf numFmtId="188" fontId="12" fillId="10" borderId="15" xfId="0" applyNumberFormat="1" applyFont="1" applyFill="1" applyBorder="1" applyAlignment="1">
      <alignment horizontal="right"/>
    </xf>
    <xf numFmtId="187" fontId="11" fillId="10" borderId="15" xfId="0" applyNumberFormat="1" applyFont="1" applyFill="1" applyBorder="1" applyAlignment="1">
      <alignment horizontal="center"/>
    </xf>
    <xf numFmtId="188" fontId="5" fillId="2" borderId="16" xfId="0" applyNumberFormat="1" applyFont="1" applyFill="1" applyBorder="1" applyAlignment="1">
      <alignment horizontal="right"/>
    </xf>
    <xf numFmtId="188" fontId="25" fillId="2" borderId="15" xfId="0" applyNumberFormat="1" applyFont="1" applyFill="1" applyBorder="1" applyAlignment="1">
      <alignment horizontal="right"/>
    </xf>
    <xf numFmtId="188" fontId="6" fillId="34" borderId="9" xfId="0" applyNumberFormat="1" applyFont="1" applyFill="1" applyBorder="1" applyAlignment="1"/>
    <xf numFmtId="188" fontId="6" fillId="26" borderId="21" xfId="0" applyNumberFormat="1" applyFont="1" applyFill="1" applyBorder="1" applyAlignment="1"/>
    <xf numFmtId="188" fontId="8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1" fillId="24" borderId="15" xfId="0" applyNumberFormat="1" applyFont="1" applyFill="1" applyBorder="1" applyAlignment="1">
      <alignment horizontal="right"/>
    </xf>
    <xf numFmtId="188" fontId="12" fillId="20" borderId="15" xfId="0" applyNumberFormat="1" applyFont="1" applyFill="1" applyBorder="1" applyAlignment="1">
      <alignment horizontal="right"/>
    </xf>
    <xf numFmtId="188" fontId="12" fillId="20" borderId="16" xfId="0" applyNumberFormat="1" applyFont="1" applyFill="1" applyBorder="1" applyAlignment="1">
      <alignment horizontal="right"/>
    </xf>
    <xf numFmtId="188" fontId="11" fillId="20" borderId="15" xfId="0" applyNumberFormat="1" applyFont="1" applyFill="1" applyBorder="1" applyAlignment="1">
      <alignment horizontal="right"/>
    </xf>
    <xf numFmtId="188" fontId="11" fillId="20" borderId="16" xfId="0" applyNumberFormat="1" applyFont="1" applyFill="1" applyBorder="1" applyAlignment="1">
      <alignment horizontal="right"/>
    </xf>
    <xf numFmtId="188" fontId="5" fillId="20" borderId="15" xfId="0" applyNumberFormat="1" applyFont="1" applyFill="1" applyBorder="1" applyAlignment="1">
      <alignment horizontal="right"/>
    </xf>
    <xf numFmtId="188" fontId="5" fillId="20" borderId="16" xfId="0" applyNumberFormat="1" applyFont="1" applyFill="1" applyBorder="1" applyAlignment="1">
      <alignment horizontal="right"/>
    </xf>
    <xf numFmtId="188" fontId="6" fillId="17" borderId="8" xfId="0" applyNumberFormat="1" applyFont="1" applyFill="1" applyBorder="1" applyAlignment="1"/>
    <xf numFmtId="188" fontId="12" fillId="16" borderId="15" xfId="0" applyNumberFormat="1" applyFont="1" applyFill="1" applyBorder="1" applyAlignment="1">
      <alignment horizontal="right"/>
    </xf>
    <xf numFmtId="188" fontId="12" fillId="16" borderId="16" xfId="0" applyNumberFormat="1" applyFont="1" applyFill="1" applyBorder="1" applyAlignment="1">
      <alignment horizontal="right"/>
    </xf>
    <xf numFmtId="188" fontId="11" fillId="16" borderId="15" xfId="0" applyNumberFormat="1" applyFont="1" applyFill="1" applyBorder="1" applyAlignment="1">
      <alignment horizontal="right"/>
    </xf>
    <xf numFmtId="188" fontId="11" fillId="16" borderId="16" xfId="0" applyNumberFormat="1" applyFont="1" applyFill="1" applyBorder="1" applyAlignment="1">
      <alignment horizontal="right"/>
    </xf>
    <xf numFmtId="188" fontId="5" fillId="16" borderId="15" xfId="0" applyNumberFormat="1" applyFont="1" applyFill="1" applyBorder="1" applyAlignment="1">
      <alignment horizontal="right"/>
    </xf>
    <xf numFmtId="188" fontId="5" fillId="16" borderId="16" xfId="0" applyNumberFormat="1" applyFont="1" applyFill="1" applyBorder="1" applyAlignment="1">
      <alignment horizontal="right"/>
    </xf>
    <xf numFmtId="188" fontId="6" fillId="14" borderId="8" xfId="0" applyNumberFormat="1" applyFont="1" applyFill="1" applyBorder="1" applyAlignment="1"/>
    <xf numFmtId="188" fontId="6" fillId="13" borderId="11" xfId="0" applyNumberFormat="1" applyFont="1" applyFill="1" applyBorder="1" applyAlignment="1"/>
    <xf numFmtId="188" fontId="5" fillId="13" borderId="9" xfId="0" applyNumberFormat="1" applyFont="1" applyFill="1" applyBorder="1" applyAlignment="1">
      <alignment horizontal="right"/>
    </xf>
    <xf numFmtId="188" fontId="5" fillId="13" borderId="11" xfId="0" applyNumberFormat="1" applyFont="1" applyFill="1" applyBorder="1" applyAlignment="1">
      <alignment horizontal="right"/>
    </xf>
    <xf numFmtId="188" fontId="25" fillId="2" borderId="16" xfId="0" applyNumberFormat="1" applyFont="1" applyFill="1" applyBorder="1" applyAlignment="1">
      <alignment horizontal="right"/>
    </xf>
    <xf numFmtId="190" fontId="59" fillId="33" borderId="13" xfId="0" applyNumberFormat="1" applyFont="1" applyFill="1" applyBorder="1" applyAlignment="1"/>
    <xf numFmtId="187" fontId="59" fillId="2" borderId="8" xfId="0" applyNumberFormat="1" applyFont="1" applyFill="1" applyBorder="1" applyAlignment="1"/>
    <xf numFmtId="0" fontId="5" fillId="5" borderId="23" xfId="0" applyFont="1" applyFill="1" applyBorder="1" applyAlignment="1">
      <alignment horizontal="center"/>
    </xf>
    <xf numFmtId="187" fontId="1" fillId="23" borderId="13" xfId="0" applyNumberFormat="1" applyFont="1" applyFill="1" applyBorder="1" applyAlignment="1"/>
    <xf numFmtId="187" fontId="1" fillId="23" borderId="14" xfId="0" applyNumberFormat="1" applyFont="1" applyFill="1" applyBorder="1" applyAlignment="1"/>
    <xf numFmtId="0" fontId="1" fillId="23" borderId="15" xfId="0" applyFont="1" applyFill="1" applyBorder="1" applyAlignment="1"/>
    <xf numFmtId="187" fontId="56" fillId="10" borderId="13" xfId="0" applyNumberFormat="1" applyFont="1" applyFill="1" applyBorder="1" applyAlignment="1"/>
    <xf numFmtId="187" fontId="56" fillId="10" borderId="14" xfId="0" applyNumberFormat="1" applyFont="1" applyFill="1" applyBorder="1" applyAlignment="1"/>
    <xf numFmtId="187" fontId="5" fillId="10" borderId="14" xfId="0" applyNumberFormat="1" applyFont="1" applyFill="1" applyBorder="1" applyAlignment="1"/>
    <xf numFmtId="0" fontId="56" fillId="10" borderId="14" xfId="0" applyFont="1" applyFill="1" applyBorder="1" applyAlignment="1"/>
    <xf numFmtId="0" fontId="56" fillId="10" borderId="15" xfId="0" applyFont="1" applyFill="1" applyBorder="1" applyAlignment="1"/>
    <xf numFmtId="189" fontId="56" fillId="10" borderId="15" xfId="0" applyNumberFormat="1" applyFont="1" applyFill="1" applyBorder="1" applyAlignment="1"/>
    <xf numFmtId="189" fontId="5" fillId="10" borderId="15" xfId="0" applyNumberFormat="1" applyFont="1" applyFill="1" applyBorder="1" applyAlignment="1">
      <alignment horizontal="right"/>
    </xf>
    <xf numFmtId="188" fontId="56" fillId="10" borderId="15" xfId="0" applyNumberFormat="1" applyFont="1" applyFill="1" applyBorder="1" applyAlignment="1"/>
    <xf numFmtId="0" fontId="5" fillId="12" borderId="15" xfId="0" applyFont="1" applyFill="1" applyBorder="1" applyAlignment="1">
      <alignment horizontal="center" wrapText="1"/>
    </xf>
    <xf numFmtId="190" fontId="56" fillId="12" borderId="13" xfId="0" applyNumberFormat="1" applyFont="1" applyFill="1" applyBorder="1" applyAlignment="1"/>
    <xf numFmtId="190" fontId="56" fillId="12" borderId="14" xfId="0" applyNumberFormat="1" applyFont="1" applyFill="1" applyBorder="1" applyAlignment="1"/>
    <xf numFmtId="187" fontId="56" fillId="12" borderId="14" xfId="0" applyNumberFormat="1" applyFont="1" applyFill="1" applyBorder="1" applyAlignment="1"/>
    <xf numFmtId="0" fontId="56" fillId="12" borderId="14" xfId="0" applyFont="1" applyFill="1" applyBorder="1" applyAlignment="1"/>
    <xf numFmtId="0" fontId="56" fillId="12" borderId="15" xfId="0" applyFont="1" applyFill="1" applyBorder="1" applyAlignment="1"/>
    <xf numFmtId="0" fontId="6" fillId="25" borderId="15" xfId="0" applyFont="1" applyFill="1" applyBorder="1" applyAlignment="1"/>
    <xf numFmtId="0" fontId="5" fillId="23" borderId="15" xfId="0" applyFont="1" applyFill="1" applyBorder="1" applyAlignment="1">
      <alignment horizontal="center" wrapText="1"/>
    </xf>
    <xf numFmtId="187" fontId="11" fillId="2" borderId="20" xfId="0" applyNumberFormat="1" applyFont="1" applyFill="1" applyBorder="1" applyAlignment="1"/>
    <xf numFmtId="0" fontId="11" fillId="2" borderId="9" xfId="0" applyFont="1" applyFill="1" applyBorder="1" applyAlignment="1">
      <alignment horizontal="center"/>
    </xf>
    <xf numFmtId="0" fontId="5" fillId="30" borderId="15" xfId="0" applyFont="1" applyFill="1" applyBorder="1" applyAlignment="1">
      <alignment horizontal="center" wrapText="1"/>
    </xf>
    <xf numFmtId="0" fontId="5" fillId="33" borderId="15" xfId="0" applyFont="1" applyFill="1" applyBorder="1" applyAlignment="1">
      <alignment horizontal="center" wrapText="1"/>
    </xf>
    <xf numFmtId="0" fontId="12" fillId="10" borderId="15" xfId="0" applyFont="1" applyFill="1" applyBorder="1" applyAlignment="1">
      <alignment horizontal="center"/>
    </xf>
    <xf numFmtId="0" fontId="6" fillId="36" borderId="15" xfId="0" applyFont="1" applyFill="1" applyBorder="1" applyAlignment="1"/>
    <xf numFmtId="0" fontId="8" fillId="0" borderId="10" xfId="0" quotePrefix="1" applyFont="1" applyBorder="1" applyAlignment="1"/>
    <xf numFmtId="188" fontId="8" fillId="0" borderId="9" xfId="0" applyNumberFormat="1" applyFont="1" applyBorder="1" applyAlignment="1">
      <alignment horizontal="right"/>
    </xf>
    <xf numFmtId="188" fontId="2" fillId="0" borderId="11" xfId="0" applyNumberFormat="1" applyFont="1" applyBorder="1" applyAlignment="1"/>
    <xf numFmtId="188" fontId="2" fillId="0" borderId="9" xfId="0" applyNumberFormat="1" applyFont="1" applyBorder="1" applyAlignment="1"/>
    <xf numFmtId="187" fontId="8" fillId="25" borderId="14" xfId="0" applyNumberFormat="1" applyFont="1" applyFill="1" applyBorder="1" applyAlignment="1"/>
    <xf numFmtId="0" fontId="8" fillId="25" borderId="14" xfId="0" applyFont="1" applyFill="1" applyBorder="1" applyAlignment="1"/>
    <xf numFmtId="0" fontId="8" fillId="25" borderId="15" xfId="0" applyFont="1" applyFill="1" applyBorder="1" applyAlignment="1"/>
    <xf numFmtId="189" fontId="8" fillId="25" borderId="15" xfId="0" applyNumberFormat="1" applyFont="1" applyFill="1" applyBorder="1" applyAlignment="1"/>
    <xf numFmtId="188" fontId="8" fillId="25" borderId="15" xfId="0" applyNumberFormat="1" applyFont="1" applyFill="1" applyBorder="1" applyAlignment="1"/>
    <xf numFmtId="188" fontId="8" fillId="25" borderId="16" xfId="0" applyNumberFormat="1" applyFont="1" applyFill="1" applyBorder="1" applyAlignment="1"/>
    <xf numFmtId="188" fontId="8" fillId="23" borderId="16" xfId="0" applyNumberFormat="1" applyFont="1" applyFill="1" applyBorder="1" applyAlignment="1"/>
    <xf numFmtId="188" fontId="8" fillId="23" borderId="15" xfId="0" applyNumberFormat="1" applyFont="1" applyFill="1" applyBorder="1" applyAlignment="1"/>
    <xf numFmtId="190" fontId="8" fillId="2" borderId="13" xfId="0" applyNumberFormat="1" applyFont="1" applyFill="1" applyBorder="1" applyAlignment="1"/>
    <xf numFmtId="0" fontId="8" fillId="2" borderId="15" xfId="0" applyFont="1" applyFill="1" applyBorder="1" applyAlignment="1"/>
    <xf numFmtId="190" fontId="11" fillId="2" borderId="13" xfId="0" applyNumberFormat="1" applyFont="1" applyFill="1" applyBorder="1" applyAlignment="1"/>
    <xf numFmtId="0" fontId="11" fillId="2" borderId="15" xfId="0" applyFont="1" applyFill="1" applyBorder="1" applyAlignment="1"/>
    <xf numFmtId="189" fontId="8" fillId="0" borderId="15" xfId="0" applyNumberFormat="1" applyFont="1" applyBorder="1" applyAlignment="1"/>
    <xf numFmtId="188" fontId="8" fillId="0" borderId="15" xfId="0" applyNumberFormat="1" applyFont="1" applyBorder="1" applyAlignment="1"/>
    <xf numFmtId="189" fontId="11" fillId="0" borderId="15" xfId="0" applyNumberFormat="1" applyFont="1" applyBorder="1" applyAlignment="1"/>
    <xf numFmtId="188" fontId="11" fillId="0" borderId="15" xfId="0" applyNumberFormat="1" applyFont="1" applyBorder="1" applyAlignment="1"/>
    <xf numFmtId="187" fontId="8" fillId="0" borderId="13" xfId="0" applyNumberFormat="1" applyFont="1" applyBorder="1" applyAlignment="1"/>
    <xf numFmtId="188" fontId="8" fillId="0" borderId="16" xfId="0" applyNumberFormat="1" applyFont="1" applyBorder="1" applyAlignment="1"/>
    <xf numFmtId="187" fontId="8" fillId="2" borderId="19" xfId="0" applyNumberFormat="1" applyFont="1" applyFill="1" applyBorder="1" applyAlignment="1"/>
    <xf numFmtId="187" fontId="8" fillId="2" borderId="20" xfId="0" applyNumberFormat="1" applyFont="1" applyFill="1" applyBorder="1" applyAlignment="1"/>
    <xf numFmtId="0" fontId="8" fillId="2" borderId="21" xfId="0" applyFont="1" applyFill="1" applyBorder="1" applyAlignment="1"/>
    <xf numFmtId="187" fontId="11" fillId="0" borderId="8" xfId="0" applyNumberFormat="1" applyFont="1" applyBorder="1" applyAlignment="1"/>
    <xf numFmtId="187" fontId="11" fillId="0" borderId="10" xfId="0" applyNumberFormat="1" applyFont="1" applyBorder="1" applyAlignment="1"/>
    <xf numFmtId="0" fontId="11" fillId="0" borderId="9" xfId="0" applyFont="1" applyBorder="1" applyAlignment="1"/>
    <xf numFmtId="188" fontId="11" fillId="0" borderId="11" xfId="0" applyNumberFormat="1" applyFont="1" applyBorder="1" applyAlignment="1"/>
    <xf numFmtId="188" fontId="11" fillId="0" borderId="9" xfId="0" applyNumberFormat="1" applyFont="1" applyBorder="1" applyAlignment="1"/>
    <xf numFmtId="46" fontId="2" fillId="2" borderId="19" xfId="0" applyNumberFormat="1" applyFont="1" applyFill="1" applyBorder="1" applyAlignment="1"/>
    <xf numFmtId="0" fontId="1" fillId="5" borderId="23" xfId="0" applyFont="1" applyFill="1" applyBorder="1" applyAlignment="1">
      <alignment horizontal="center"/>
    </xf>
    <xf numFmtId="0" fontId="48" fillId="2" borderId="14" xfId="0" applyFont="1" applyFill="1" applyBorder="1" applyAlignment="1"/>
    <xf numFmtId="0" fontId="4" fillId="0" borderId="14" xfId="0" applyFont="1" applyBorder="1"/>
    <xf numFmtId="0" fontId="4" fillId="0" borderId="15" xfId="0" applyFont="1" applyBorder="1"/>
    <xf numFmtId="0" fontId="45" fillId="2" borderId="14" xfId="0" applyFont="1" applyFill="1" applyBorder="1" applyAlignment="1"/>
    <xf numFmtId="188" fontId="1" fillId="7" borderId="1" xfId="0" applyNumberFormat="1" applyFont="1" applyFill="1" applyBorder="1" applyAlignment="1">
      <alignment horizontal="center" wrapText="1"/>
    </xf>
    <xf numFmtId="0" fontId="4" fillId="0" borderId="3" xfId="0" applyFont="1" applyBorder="1"/>
    <xf numFmtId="0" fontId="1" fillId="11" borderId="8" xfId="0" applyFont="1" applyFill="1" applyBorder="1" applyAlignment="1"/>
    <xf numFmtId="0" fontId="4" fillId="0" borderId="10" xfId="0" applyFont="1" applyBorder="1"/>
    <xf numFmtId="0" fontId="4" fillId="0" borderId="9" xfId="0" applyFont="1" applyBorder="1"/>
    <xf numFmtId="0" fontId="1" fillId="10" borderId="8" xfId="0" applyFont="1" applyFill="1" applyBorder="1" applyAlignment="1"/>
    <xf numFmtId="0" fontId="1" fillId="17" borderId="1" xfId="0" applyFont="1" applyFill="1" applyBorder="1" applyAlignment="1"/>
    <xf numFmtId="0" fontId="4" fillId="0" borderId="2" xfId="0" applyFont="1" applyBorder="1"/>
    <xf numFmtId="0" fontId="1" fillId="18" borderId="14" xfId="0" applyFont="1" applyFill="1" applyBorder="1" applyAlignment="1"/>
    <xf numFmtId="187" fontId="41" fillId="2" borderId="10" xfId="0" applyNumberFormat="1" applyFont="1" applyFill="1" applyBorder="1" applyAlignment="1"/>
    <xf numFmtId="0" fontId="1" fillId="10" borderId="1" xfId="0" applyFont="1" applyFill="1" applyBorder="1" applyAlignment="1"/>
    <xf numFmtId="0" fontId="1" fillId="0" borderId="0" xfId="0" applyFont="1" applyAlignment="1">
      <alignment horizontal="center"/>
    </xf>
    <xf numFmtId="188" fontId="5" fillId="7" borderId="8" xfId="0" applyNumberFormat="1" applyFont="1" applyFill="1" applyBorder="1" applyAlignment="1">
      <alignment horizontal="center" wrapText="1"/>
    </xf>
    <xf numFmtId="188" fontId="5" fillId="8" borderId="10" xfId="0" applyNumberFormat="1" applyFont="1" applyFill="1" applyBorder="1" applyAlignment="1">
      <alignment horizontal="center"/>
    </xf>
    <xf numFmtId="187" fontId="3" fillId="3" borderId="1" xfId="0" applyNumberFormat="1" applyFont="1" applyFill="1" applyBorder="1" applyAlignment="1">
      <alignment horizontal="center"/>
    </xf>
    <xf numFmtId="187" fontId="3" fillId="4" borderId="2" xfId="0" applyNumberFormat="1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4" fillId="0" borderId="5" xfId="0" applyFont="1" applyBorder="1"/>
    <xf numFmtId="0" fontId="4" fillId="0" borderId="6" xfId="0" applyFont="1" applyBorder="1"/>
    <xf numFmtId="0" fontId="4" fillId="0" borderId="8" xfId="0" applyFont="1" applyBorder="1"/>
    <xf numFmtId="0" fontId="1" fillId="6" borderId="1" xfId="0" applyFont="1" applyFill="1" applyBorder="1" applyAlignment="1">
      <alignment horizontal="center"/>
    </xf>
    <xf numFmtId="188" fontId="1" fillId="8" borderId="1" xfId="0" applyNumberFormat="1" applyFont="1" applyFill="1" applyBorder="1" applyAlignment="1">
      <alignment horizontal="center"/>
    </xf>
    <xf numFmtId="0" fontId="29" fillId="2" borderId="14" xfId="0" applyFont="1" applyFill="1" applyBorder="1" applyAlignment="1"/>
    <xf numFmtId="0" fontId="21" fillId="2" borderId="14" xfId="0" applyFont="1" applyFill="1" applyBorder="1" applyAlignment="1"/>
    <xf numFmtId="187" fontId="21" fillId="2" borderId="14" xfId="0" applyNumberFormat="1" applyFont="1" applyFill="1" applyBorder="1" applyAlignment="1"/>
    <xf numFmtId="187" fontId="21" fillId="2" borderId="10" xfId="0" applyNumberFormat="1" applyFont="1" applyFill="1" applyBorder="1" applyAlignment="1"/>
    <xf numFmtId="0" fontId="25" fillId="10" borderId="1" xfId="0" applyFont="1" applyFill="1" applyBorder="1" applyAlignment="1"/>
    <xf numFmtId="0" fontId="25" fillId="10" borderId="8" xfId="0" applyFont="1" applyFill="1" applyBorder="1" applyAlignment="1"/>
    <xf numFmtId="187" fontId="3" fillId="3" borderId="8" xfId="0" applyNumberFormat="1" applyFont="1" applyFill="1" applyBorder="1" applyAlignment="1">
      <alignment horizontal="center"/>
    </xf>
    <xf numFmtId="187" fontId="3" fillId="4" borderId="10" xfId="0" applyNumberFormat="1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 vertical="top"/>
    </xf>
    <xf numFmtId="188" fontId="5" fillId="7" borderId="10" xfId="0" applyNumberFormat="1" applyFont="1" applyFill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57" fillId="0" borderId="10" xfId="0" applyFont="1" applyBorder="1"/>
    <xf numFmtId="0" fontId="5" fillId="11" borderId="8" xfId="0" applyFont="1" applyFill="1" applyBorder="1" applyAlignment="1"/>
    <xf numFmtId="0" fontId="6" fillId="10" borderId="8" xfId="0" applyFont="1" applyFill="1" applyBorder="1" applyAlignment="1"/>
    <xf numFmtId="0" fontId="5" fillId="17" borderId="8" xfId="0" applyFont="1" applyFill="1" applyBorder="1" applyAlignment="1"/>
    <xf numFmtId="0" fontId="5" fillId="18" borderId="14" xfId="0" applyFont="1" applyFill="1" applyBorder="1" applyAlignment="1"/>
    <xf numFmtId="0" fontId="3" fillId="5" borderId="22" xfId="0" applyFont="1" applyFill="1" applyBorder="1" applyAlignment="1">
      <alignment horizontal="center" vertical="top"/>
    </xf>
    <xf numFmtId="0" fontId="0" fillId="0" borderId="0" xfId="0" applyFont="1" applyAlignment="1"/>
    <xf numFmtId="0" fontId="4" fillId="0" borderId="23" xfId="0" applyFont="1" applyBorder="1"/>
    <xf numFmtId="0" fontId="5" fillId="6" borderId="10" xfId="0" applyFont="1" applyFill="1" applyBorder="1" applyAlignment="1">
      <alignment horizontal="center"/>
    </xf>
    <xf numFmtId="187" fontId="3" fillId="4" borderId="8" xfId="0" applyNumberFormat="1" applyFont="1" applyFill="1" applyBorder="1" applyAlignment="1">
      <alignment horizontal="center"/>
    </xf>
    <xf numFmtId="0" fontId="5" fillId="5" borderId="22" xfId="0" applyFont="1" applyFill="1" applyBorder="1" applyAlignment="1">
      <alignment horizontal="center"/>
    </xf>
    <xf numFmtId="0" fontId="60" fillId="0" borderId="10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  <pageSetUpPr fitToPage="1"/>
  </sheetPr>
  <dimension ref="A1:U788"/>
  <sheetViews>
    <sheetView tabSelected="1" view="pageBreakPreview" zoomScale="60" zoomScaleNormal="6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3" bestFit="1" customWidth="1"/>
    <col min="15" max="15" width="12.5703125" bestFit="1" customWidth="1"/>
    <col min="16" max="16" width="12" bestFit="1" customWidth="1"/>
    <col min="17" max="18" width="23" bestFit="1" customWidth="1"/>
    <col min="19" max="19" width="18.85546875" customWidth="1"/>
    <col min="20" max="20" width="10.7109375" bestFit="1" customWidth="1"/>
    <col min="21" max="21" width="12" bestFit="1" customWidth="1"/>
  </cols>
  <sheetData>
    <row r="1" spans="1:21" ht="15.75" customHeight="1" x14ac:dyDescent="0.3">
      <c r="A1" s="1357" t="s">
        <v>0</v>
      </c>
      <c r="B1" s="1357"/>
      <c r="C1" s="1357"/>
      <c r="D1" s="1357"/>
      <c r="E1" s="1357"/>
      <c r="F1" s="1357"/>
      <c r="G1" s="1357"/>
      <c r="H1" s="1357"/>
      <c r="I1" s="1357"/>
      <c r="J1" s="1357"/>
      <c r="K1" s="1357"/>
      <c r="L1" s="1357"/>
      <c r="M1" s="1357"/>
      <c r="N1" s="1357"/>
      <c r="O1" s="1357"/>
      <c r="P1" s="1357"/>
      <c r="Q1" s="1357"/>
      <c r="R1" s="1357"/>
      <c r="S1" s="1357"/>
      <c r="T1" s="1357"/>
      <c r="U1" s="1357"/>
    </row>
    <row r="2" spans="1:21" ht="15.75" customHeight="1" x14ac:dyDescent="0.3">
      <c r="A2" s="1357" t="s">
        <v>1</v>
      </c>
      <c r="B2" s="1357"/>
      <c r="C2" s="1357"/>
      <c r="D2" s="1357"/>
      <c r="E2" s="1357"/>
      <c r="F2" s="1357"/>
      <c r="G2" s="1357"/>
      <c r="H2" s="1357"/>
      <c r="I2" s="1357"/>
      <c r="J2" s="1357"/>
      <c r="K2" s="1357"/>
      <c r="L2" s="1357"/>
      <c r="M2" s="1357"/>
      <c r="N2" s="1357"/>
      <c r="O2" s="1357"/>
      <c r="P2" s="1357"/>
      <c r="Q2" s="1357"/>
      <c r="R2" s="1357"/>
      <c r="S2" s="1357"/>
      <c r="T2" s="1357"/>
      <c r="U2" s="1357"/>
    </row>
    <row r="3" spans="1:21" ht="15.75" customHeight="1" x14ac:dyDescent="0.3">
      <c r="A3" s="1357" t="s">
        <v>359</v>
      </c>
      <c r="B3" s="1357"/>
      <c r="C3" s="1357"/>
      <c r="D3" s="1357"/>
      <c r="E3" s="1357"/>
      <c r="F3" s="1357"/>
      <c r="G3" s="1357"/>
      <c r="H3" s="1357"/>
      <c r="I3" s="1357"/>
      <c r="J3" s="1357"/>
      <c r="K3" s="1357"/>
      <c r="L3" s="1357"/>
      <c r="M3" s="1357"/>
      <c r="N3" s="1357"/>
      <c r="O3" s="1357"/>
      <c r="P3" s="1357"/>
      <c r="Q3" s="1357"/>
      <c r="R3" s="1357"/>
      <c r="S3" s="1357"/>
      <c r="T3" s="1357"/>
      <c r="U3" s="1357"/>
    </row>
    <row r="4" spans="1:21" ht="15.75" customHeight="1" x14ac:dyDescent="0.3">
      <c r="A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ht="15.75" customHeight="1" x14ac:dyDescent="0.3">
      <c r="A5" s="2"/>
      <c r="B5" s="2"/>
      <c r="C5" s="2"/>
      <c r="D5" s="2"/>
      <c r="E5" s="2"/>
      <c r="F5" s="2"/>
      <c r="G5" s="2"/>
      <c r="H5" s="2"/>
      <c r="I5" s="2"/>
      <c r="J5" s="3"/>
      <c r="K5" s="4"/>
      <c r="L5" s="1360" t="s">
        <v>2</v>
      </c>
      <c r="M5" s="1353"/>
      <c r="N5" s="1353"/>
      <c r="O5" s="1353"/>
      <c r="P5" s="1347"/>
      <c r="Q5" s="1361" t="s">
        <v>3</v>
      </c>
      <c r="R5" s="1353"/>
      <c r="S5" s="1353"/>
      <c r="T5" s="1353"/>
      <c r="U5" s="1347"/>
    </row>
    <row r="6" spans="1:21" ht="15.75" customHeight="1" x14ac:dyDescent="0.3">
      <c r="A6" s="1362" t="s">
        <v>4</v>
      </c>
      <c r="B6" s="1363"/>
      <c r="C6" s="1363"/>
      <c r="D6" s="1363"/>
      <c r="E6" s="1363"/>
      <c r="F6" s="1363"/>
      <c r="G6" s="1364"/>
      <c r="H6" s="5" t="s">
        <v>5</v>
      </c>
      <c r="I6" s="1366" t="s">
        <v>6</v>
      </c>
      <c r="J6" s="1353"/>
      <c r="K6" s="1347"/>
      <c r="L6" s="1346" t="s">
        <v>7</v>
      </c>
      <c r="M6" s="1347"/>
      <c r="N6" s="1367" t="s">
        <v>8</v>
      </c>
      <c r="O6" s="1353"/>
      <c r="P6" s="1347"/>
      <c r="Q6" s="1358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6"/>
      <c r="I7" s="7" t="s">
        <v>9</v>
      </c>
      <c r="J7" s="8" t="s">
        <v>10</v>
      </c>
      <c r="K7" s="7" t="s">
        <v>11</v>
      </c>
      <c r="L7" s="9" t="s">
        <v>12</v>
      </c>
      <c r="M7" s="10" t="s">
        <v>13</v>
      </c>
      <c r="N7" s="11" t="s">
        <v>14</v>
      </c>
      <c r="O7" s="9" t="s">
        <v>15</v>
      </c>
      <c r="P7" s="10" t="s">
        <v>16</v>
      </c>
      <c r="Q7" s="12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5.75" hidden="1" customHeight="1" x14ac:dyDescent="0.3">
      <c r="A8" s="1356"/>
      <c r="B8" s="1353"/>
      <c r="C8" s="1353"/>
      <c r="D8" s="1353"/>
      <c r="E8" s="1353"/>
      <c r="F8" s="1353"/>
      <c r="G8" s="1347"/>
      <c r="H8" s="15"/>
      <c r="I8" s="16"/>
      <c r="J8" s="16"/>
      <c r="K8" s="17"/>
      <c r="L8" s="17"/>
      <c r="M8" s="17"/>
      <c r="N8" s="17"/>
      <c r="O8" s="17"/>
      <c r="P8" s="17"/>
      <c r="Q8" s="18"/>
      <c r="R8" s="19"/>
      <c r="S8" s="19"/>
      <c r="T8" s="19"/>
      <c r="U8" s="19"/>
    </row>
    <row r="9" spans="1:21" ht="15.75" hidden="1" customHeight="1" x14ac:dyDescent="0.3">
      <c r="A9" s="20"/>
      <c r="B9" s="21"/>
      <c r="C9" s="22"/>
      <c r="D9" s="23"/>
      <c r="E9" s="21"/>
      <c r="F9" s="21"/>
      <c r="G9" s="24"/>
      <c r="H9" s="25"/>
      <c r="I9" s="26"/>
      <c r="J9" s="26"/>
      <c r="K9" s="27"/>
      <c r="L9" s="28"/>
      <c r="M9" s="28"/>
      <c r="N9" s="28"/>
      <c r="O9" s="28"/>
      <c r="P9" s="28"/>
      <c r="Q9" s="29"/>
      <c r="R9" s="30"/>
      <c r="S9" s="30"/>
      <c r="T9" s="30"/>
      <c r="U9" s="30"/>
    </row>
    <row r="10" spans="1:21" ht="15.75" hidden="1" customHeight="1" x14ac:dyDescent="0.25">
      <c r="A10" s="20"/>
      <c r="B10" s="21"/>
      <c r="C10" s="21"/>
      <c r="D10" s="21"/>
      <c r="E10" s="31"/>
      <c r="F10" s="21"/>
      <c r="G10" s="24"/>
      <c r="H10" s="32"/>
      <c r="I10" s="26"/>
      <c r="J10" s="26"/>
      <c r="K10" s="27"/>
      <c r="L10" s="33"/>
      <c r="M10" s="33"/>
      <c r="N10" s="33"/>
      <c r="O10" s="33"/>
      <c r="P10" s="33"/>
      <c r="Q10" s="29"/>
      <c r="R10" s="30"/>
      <c r="S10" s="30"/>
      <c r="T10" s="30"/>
      <c r="U10" s="30"/>
    </row>
    <row r="11" spans="1:21" ht="15.75" hidden="1" customHeight="1" x14ac:dyDescent="0.25">
      <c r="A11" s="20"/>
      <c r="B11" s="21"/>
      <c r="C11" s="21"/>
      <c r="D11" s="21"/>
      <c r="E11" s="31"/>
      <c r="F11" s="21"/>
      <c r="G11" s="24"/>
      <c r="H11" s="32"/>
      <c r="I11" s="26"/>
      <c r="J11" s="26"/>
      <c r="K11" s="27"/>
      <c r="L11" s="33"/>
      <c r="M11" s="33"/>
      <c r="N11" s="33"/>
      <c r="O11" s="33"/>
      <c r="P11" s="33"/>
      <c r="Q11" s="29"/>
      <c r="R11" s="30"/>
      <c r="S11" s="30"/>
      <c r="T11" s="30"/>
      <c r="U11" s="30"/>
    </row>
    <row r="12" spans="1:21" ht="15.75" hidden="1" customHeight="1" x14ac:dyDescent="0.25">
      <c r="A12" s="20"/>
      <c r="B12" s="21"/>
      <c r="C12" s="21"/>
      <c r="D12" s="34"/>
      <c r="E12" s="21"/>
      <c r="F12" s="21"/>
      <c r="G12" s="24"/>
      <c r="H12" s="32"/>
      <c r="I12" s="26"/>
      <c r="J12" s="26"/>
      <c r="K12" s="27"/>
      <c r="L12" s="33"/>
      <c r="M12" s="33"/>
      <c r="N12" s="33"/>
      <c r="O12" s="33"/>
      <c r="P12" s="33"/>
      <c r="Q12" s="29"/>
      <c r="R12" s="30"/>
      <c r="S12" s="30"/>
      <c r="T12" s="30"/>
      <c r="U12" s="30"/>
    </row>
    <row r="13" spans="1:21" ht="15.75" hidden="1" customHeight="1" x14ac:dyDescent="0.25">
      <c r="A13" s="20"/>
      <c r="B13" s="21"/>
      <c r="C13" s="21"/>
      <c r="D13" s="21"/>
      <c r="E13" s="31"/>
      <c r="F13" s="21"/>
      <c r="G13" s="24"/>
      <c r="H13" s="32"/>
      <c r="I13" s="26"/>
      <c r="J13" s="26"/>
      <c r="K13" s="27"/>
      <c r="L13" s="33"/>
      <c r="M13" s="33"/>
      <c r="N13" s="33"/>
      <c r="O13" s="33"/>
      <c r="P13" s="33"/>
      <c r="Q13" s="29"/>
      <c r="R13" s="30"/>
      <c r="S13" s="30"/>
      <c r="T13" s="30"/>
      <c r="U13" s="30"/>
    </row>
    <row r="14" spans="1:21" ht="15.75" hidden="1" customHeight="1" x14ac:dyDescent="0.25">
      <c r="A14" s="20"/>
      <c r="B14" s="21"/>
      <c r="C14" s="21"/>
      <c r="D14" s="21"/>
      <c r="E14" s="31"/>
      <c r="F14" s="21"/>
      <c r="G14" s="24"/>
      <c r="H14" s="32"/>
      <c r="I14" s="26"/>
      <c r="J14" s="26"/>
      <c r="K14" s="27"/>
      <c r="L14" s="33"/>
      <c r="M14" s="33"/>
      <c r="N14" s="33"/>
      <c r="O14" s="33"/>
      <c r="P14" s="33"/>
      <c r="Q14" s="29"/>
      <c r="R14" s="30"/>
      <c r="S14" s="30"/>
      <c r="T14" s="30"/>
      <c r="U14" s="30"/>
    </row>
    <row r="15" spans="1:21" ht="15.75" hidden="1" customHeight="1" x14ac:dyDescent="0.25">
      <c r="A15" s="20"/>
      <c r="B15" s="21"/>
      <c r="C15" s="21"/>
      <c r="D15" s="34"/>
      <c r="E15" s="21"/>
      <c r="F15" s="21"/>
      <c r="G15" s="24"/>
      <c r="H15" s="32"/>
      <c r="I15" s="26"/>
      <c r="J15" s="26"/>
      <c r="K15" s="27"/>
      <c r="L15" s="33"/>
      <c r="M15" s="33"/>
      <c r="N15" s="33"/>
      <c r="O15" s="33"/>
      <c r="P15" s="33"/>
      <c r="Q15" s="29"/>
      <c r="R15" s="30"/>
      <c r="S15" s="30"/>
      <c r="T15" s="30"/>
      <c r="U15" s="30"/>
    </row>
    <row r="16" spans="1:21" ht="15.75" hidden="1" customHeight="1" x14ac:dyDescent="0.25">
      <c r="A16" s="20"/>
      <c r="B16" s="21"/>
      <c r="C16" s="21"/>
      <c r="D16" s="21"/>
      <c r="E16" s="31"/>
      <c r="F16" s="21"/>
      <c r="G16" s="24"/>
      <c r="H16" s="32"/>
      <c r="I16" s="26"/>
      <c r="J16" s="26"/>
      <c r="K16" s="27"/>
      <c r="L16" s="33"/>
      <c r="M16" s="33"/>
      <c r="N16" s="33"/>
      <c r="O16" s="33"/>
      <c r="P16" s="33"/>
      <c r="Q16" s="29"/>
      <c r="R16" s="30"/>
      <c r="S16" s="30"/>
      <c r="T16" s="30"/>
      <c r="U16" s="30"/>
    </row>
    <row r="17" spans="1:21" ht="15.75" hidden="1" customHeight="1" x14ac:dyDescent="0.25">
      <c r="A17" s="35"/>
      <c r="B17" s="36"/>
      <c r="C17" s="36"/>
      <c r="D17" s="36"/>
      <c r="E17" s="37"/>
      <c r="F17" s="36"/>
      <c r="G17" s="38"/>
      <c r="H17" s="39"/>
      <c r="I17" s="40"/>
      <c r="J17" s="40"/>
      <c r="K17" s="41"/>
      <c r="L17" s="42"/>
      <c r="M17" s="42"/>
      <c r="N17" s="42"/>
      <c r="O17" s="42"/>
      <c r="P17" s="42"/>
      <c r="Q17" s="18"/>
      <c r="R17" s="19"/>
      <c r="S17" s="19"/>
      <c r="T17" s="19"/>
      <c r="U17" s="19"/>
    </row>
    <row r="18" spans="1:21" ht="15.75" customHeight="1" x14ac:dyDescent="0.3">
      <c r="A18" s="1348" t="s">
        <v>17</v>
      </c>
      <c r="B18" s="1349"/>
      <c r="C18" s="1349"/>
      <c r="D18" s="1349"/>
      <c r="E18" s="1349"/>
      <c r="F18" s="1349"/>
      <c r="G18" s="1350"/>
      <c r="H18" s="43"/>
      <c r="I18" s="44"/>
      <c r="J18" s="44"/>
      <c r="K18" s="45"/>
      <c r="L18" s="45"/>
      <c r="M18" s="45"/>
      <c r="N18" s="45"/>
      <c r="O18" s="45"/>
      <c r="P18" s="45"/>
      <c r="Q18" s="46"/>
      <c r="R18" s="47"/>
      <c r="S18" s="47"/>
      <c r="T18" s="47"/>
      <c r="U18" s="47"/>
    </row>
    <row r="19" spans="1:21" ht="21.75" customHeight="1" x14ac:dyDescent="0.3">
      <c r="A19" s="48"/>
      <c r="B19" s="49"/>
      <c r="C19" s="50" t="s">
        <v>18</v>
      </c>
      <c r="D19" s="51" t="s">
        <v>19</v>
      </c>
      <c r="E19" s="49"/>
      <c r="F19" s="49"/>
      <c r="G19" s="52"/>
      <c r="H19" s="53" t="s">
        <v>14</v>
      </c>
      <c r="I19" s="54"/>
      <c r="J19" s="54"/>
      <c r="K19" s="55"/>
      <c r="L19" s="56">
        <f t="shared" ref="L19:N19" ca="1" si="0">L20+L21</f>
        <v>34548683</v>
      </c>
      <c r="M19" s="57">
        <f t="shared" ca="1" si="0"/>
        <v>35241530.07</v>
      </c>
      <c r="N19" s="57">
        <f t="shared" ca="1" si="0"/>
        <v>19964190.029999986</v>
      </c>
      <c r="O19" s="57">
        <f t="shared" ref="O19:O27" ca="1" si="1">IF(L19&gt;0,N19*100/L19,0)</f>
        <v>57.785676027071673</v>
      </c>
      <c r="P19" s="57">
        <f t="shared" ref="P19:P27" ca="1" si="2">IF(M19&gt;0,N19*100/M19,0)</f>
        <v>56.649611950290627</v>
      </c>
      <c r="Q19" s="58">
        <f t="shared" ref="Q19:S19" ca="1" si="3">Q20+Q21</f>
        <v>29376001.649999999</v>
      </c>
      <c r="R19" s="59">
        <f t="shared" ca="1" si="3"/>
        <v>28513497</v>
      </c>
      <c r="S19" s="59">
        <f t="shared" ca="1" si="3"/>
        <v>690843.55999999889</v>
      </c>
      <c r="T19" s="59">
        <f t="shared" ref="T19:T27" ca="1" si="4">IF(Q19&gt;0,S19*100/Q19,0)</f>
        <v>2.3517276729183427</v>
      </c>
      <c r="U19" s="59">
        <f t="shared" ref="U19:U27" ca="1" si="5">IF(R19&gt;0,S19*100/R19,0)</f>
        <v>2.4228650733370198</v>
      </c>
    </row>
    <row r="20" spans="1:21" ht="15.75" customHeight="1" x14ac:dyDescent="0.25">
      <c r="A20" s="48"/>
      <c r="B20" s="49"/>
      <c r="C20" s="49"/>
      <c r="D20" s="49"/>
      <c r="E20" s="60" t="s">
        <v>20</v>
      </c>
      <c r="F20" s="49"/>
      <c r="G20" s="52"/>
      <c r="H20" s="61" t="s">
        <v>14</v>
      </c>
      <c r="I20" s="54"/>
      <c r="J20" s="54"/>
      <c r="K20" s="55"/>
      <c r="L20" s="62">
        <f t="shared" ref="L20:N20" ca="1" si="6">L23+L26</f>
        <v>0</v>
      </c>
      <c r="M20" s="63">
        <f t="shared" ca="1" si="6"/>
        <v>0</v>
      </c>
      <c r="N20" s="63">
        <f t="shared" ca="1" si="6"/>
        <v>0</v>
      </c>
      <c r="O20" s="63">
        <f t="shared" ca="1" si="1"/>
        <v>0</v>
      </c>
      <c r="P20" s="63">
        <f t="shared" ca="1" si="2"/>
        <v>0</v>
      </c>
      <c r="Q20" s="62">
        <f t="shared" ref="Q20:S20" ca="1" si="7">Q23+Q26</f>
        <v>0</v>
      </c>
      <c r="R20" s="63">
        <f t="shared" ca="1" si="7"/>
        <v>0</v>
      </c>
      <c r="S20" s="63">
        <f t="shared" ca="1" si="7"/>
        <v>0</v>
      </c>
      <c r="T20" s="63">
        <f t="shared" ca="1" si="4"/>
        <v>0</v>
      </c>
      <c r="U20" s="63">
        <f t="shared" ca="1" si="5"/>
        <v>0</v>
      </c>
    </row>
    <row r="21" spans="1:21" ht="15.75" customHeight="1" x14ac:dyDescent="0.25">
      <c r="A21" s="48"/>
      <c r="B21" s="49"/>
      <c r="C21" s="49"/>
      <c r="D21" s="49"/>
      <c r="E21" s="60" t="s">
        <v>21</v>
      </c>
      <c r="F21" s="49"/>
      <c r="G21" s="52"/>
      <c r="H21" s="61" t="s">
        <v>14</v>
      </c>
      <c r="I21" s="54"/>
      <c r="J21" s="54"/>
      <c r="K21" s="55"/>
      <c r="L21" s="64">
        <f t="shared" ref="L21:N21" ca="1" si="8">L24+L27</f>
        <v>34548683</v>
      </c>
      <c r="M21" s="65">
        <f t="shared" ca="1" si="8"/>
        <v>35241530.07</v>
      </c>
      <c r="N21" s="65">
        <f t="shared" ca="1" si="8"/>
        <v>19964190.029999986</v>
      </c>
      <c r="O21" s="65">
        <f t="shared" ca="1" si="1"/>
        <v>57.785676027071673</v>
      </c>
      <c r="P21" s="65">
        <f t="shared" ca="1" si="2"/>
        <v>56.649611950290627</v>
      </c>
      <c r="Q21" s="64">
        <f t="shared" ref="Q21:S21" ca="1" si="9">Q24+Q27</f>
        <v>29376001.649999999</v>
      </c>
      <c r="R21" s="65">
        <f t="shared" ca="1" si="9"/>
        <v>28513497</v>
      </c>
      <c r="S21" s="65">
        <f t="shared" ca="1" si="9"/>
        <v>690843.55999999889</v>
      </c>
      <c r="T21" s="65">
        <f t="shared" ca="1" si="4"/>
        <v>2.3517276729183427</v>
      </c>
      <c r="U21" s="65">
        <f t="shared" ca="1" si="5"/>
        <v>2.4228650733370198</v>
      </c>
    </row>
    <row r="22" spans="1:21" ht="15.75" customHeight="1" x14ac:dyDescent="0.25">
      <c r="A22" s="66"/>
      <c r="B22" s="67"/>
      <c r="C22" s="67"/>
      <c r="D22" s="68" t="s">
        <v>22</v>
      </c>
      <c r="E22" s="67"/>
      <c r="F22" s="67"/>
      <c r="G22" s="69"/>
      <c r="H22" s="70" t="s">
        <v>14</v>
      </c>
      <c r="I22" s="71"/>
      <c r="J22" s="71"/>
      <c r="K22" s="72"/>
      <c r="L22" s="73">
        <f t="shared" ref="L22:N22" ca="1" si="10">L23+L24</f>
        <v>34548683</v>
      </c>
      <c r="M22" s="74">
        <f t="shared" ca="1" si="10"/>
        <v>35241530.07</v>
      </c>
      <c r="N22" s="74">
        <f t="shared" ca="1" si="10"/>
        <v>19964190.029999986</v>
      </c>
      <c r="O22" s="74">
        <f t="shared" ca="1" si="1"/>
        <v>57.785676027071673</v>
      </c>
      <c r="P22" s="74">
        <f t="shared" ca="1" si="2"/>
        <v>56.649611950290627</v>
      </c>
      <c r="Q22" s="73">
        <f t="shared" ref="Q22:S22" ca="1" si="11">Q23+Q24</f>
        <v>29376001.649999999</v>
      </c>
      <c r="R22" s="74">
        <f t="shared" ca="1" si="11"/>
        <v>28513497</v>
      </c>
      <c r="S22" s="74">
        <f t="shared" ca="1" si="11"/>
        <v>690843.55999999889</v>
      </c>
      <c r="T22" s="74">
        <f t="shared" ca="1" si="4"/>
        <v>2.3517276729183427</v>
      </c>
      <c r="U22" s="74">
        <f t="shared" ca="1" si="5"/>
        <v>2.4228650733370198</v>
      </c>
    </row>
    <row r="23" spans="1:21" ht="15.75" customHeight="1" x14ac:dyDescent="0.25">
      <c r="A23" s="66"/>
      <c r="B23" s="67"/>
      <c r="C23" s="67"/>
      <c r="D23" s="67"/>
      <c r="E23" s="75" t="s">
        <v>20</v>
      </c>
      <c r="F23" s="67"/>
      <c r="G23" s="69"/>
      <c r="H23" s="70" t="s">
        <v>14</v>
      </c>
      <c r="I23" s="71"/>
      <c r="J23" s="71"/>
      <c r="K23" s="72"/>
      <c r="L23" s="76">
        <f t="shared" ref="L23:N23" ca="1" si="12">L49+L64+L77+L99+L122+L144+L162+L191+L178+L271+L287+L308+L325+L338+L361+L380+L397+L418+L498+L518+L539+L560+L581+L604+L621+L647+L695+L719+L733+L764</f>
        <v>0</v>
      </c>
      <c r="M23" s="77">
        <f t="shared" ca="1" si="12"/>
        <v>0</v>
      </c>
      <c r="N23" s="77">
        <f t="shared" ca="1" si="12"/>
        <v>0</v>
      </c>
      <c r="O23" s="77">
        <f t="shared" ca="1" si="1"/>
        <v>0</v>
      </c>
      <c r="P23" s="77">
        <f t="shared" ca="1" si="2"/>
        <v>0</v>
      </c>
      <c r="Q23" s="76">
        <f t="shared" ref="Q23:S23" ca="1" si="13">Q49+Q64+Q77+Q99+Q122+Q144+Q162+Q191+Q178+Q271+Q287+Q308+Q325+Q338+Q361+Q380+Q397+Q418+Q498+Q518+Q539+Q560+Q581+Q604+Q621+Q647+Q695+Q719+Q733+Q764</f>
        <v>0</v>
      </c>
      <c r="R23" s="77">
        <f t="shared" ca="1" si="13"/>
        <v>0</v>
      </c>
      <c r="S23" s="77">
        <f t="shared" ca="1" si="13"/>
        <v>0</v>
      </c>
      <c r="T23" s="77">
        <f t="shared" ca="1" si="4"/>
        <v>0</v>
      </c>
      <c r="U23" s="77">
        <f t="shared" ca="1" si="5"/>
        <v>0</v>
      </c>
    </row>
    <row r="24" spans="1:21" ht="15.75" customHeight="1" x14ac:dyDescent="0.25">
      <c r="A24" s="66"/>
      <c r="B24" s="67"/>
      <c r="C24" s="67"/>
      <c r="D24" s="67"/>
      <c r="E24" s="75" t="s">
        <v>21</v>
      </c>
      <c r="F24" s="67"/>
      <c r="G24" s="69"/>
      <c r="H24" s="70" t="s">
        <v>14</v>
      </c>
      <c r="I24" s="71"/>
      <c r="J24" s="71"/>
      <c r="K24" s="72"/>
      <c r="L24" s="73">
        <f t="shared" ref="L24:N24" ca="1" si="14">L50+L65+L78+L100+L123+L145+L163+L192+L179+L272+L288+L309+L326+L339+L362+L381+L398+L419+L499+L519+L540+L561+L582+L605+L622+L648+L696+L720+L734+L765</f>
        <v>34548683</v>
      </c>
      <c r="M24" s="74">
        <f t="shared" ca="1" si="14"/>
        <v>35241530.07</v>
      </c>
      <c r="N24" s="74">
        <f t="shared" ca="1" si="14"/>
        <v>19964190.029999986</v>
      </c>
      <c r="O24" s="74">
        <f t="shared" ca="1" si="1"/>
        <v>57.785676027071673</v>
      </c>
      <c r="P24" s="74">
        <f t="shared" ca="1" si="2"/>
        <v>56.649611950290627</v>
      </c>
      <c r="Q24" s="73">
        <f t="shared" ref="Q24:S24" ca="1" si="15">Q50+Q65+Q78+Q100+Q123+Q145+Q163+Q192+Q179+Q272+Q288+Q309+Q326+Q339+Q362+Q381+Q398+Q419+Q499+Q519+Q540+Q561+Q582+Q605+Q622+Q648+Q696+Q720+Q734+Q765</f>
        <v>29376001.649999999</v>
      </c>
      <c r="R24" s="74">
        <f t="shared" ca="1" si="15"/>
        <v>28513497</v>
      </c>
      <c r="S24" s="74">
        <f t="shared" ca="1" si="15"/>
        <v>690843.55999999889</v>
      </c>
      <c r="T24" s="74">
        <f t="shared" ca="1" si="4"/>
        <v>2.3517276729183427</v>
      </c>
      <c r="U24" s="74">
        <f t="shared" ca="1" si="5"/>
        <v>2.4228650733370198</v>
      </c>
    </row>
    <row r="25" spans="1:21" ht="15.75" customHeight="1" x14ac:dyDescent="0.25">
      <c r="A25" s="66"/>
      <c r="B25" s="67"/>
      <c r="C25" s="67"/>
      <c r="D25" s="68" t="s">
        <v>23</v>
      </c>
      <c r="E25" s="67"/>
      <c r="F25" s="67"/>
      <c r="G25" s="69"/>
      <c r="H25" s="70" t="s">
        <v>14</v>
      </c>
      <c r="I25" s="71"/>
      <c r="J25" s="71"/>
      <c r="K25" s="72"/>
      <c r="L25" s="73">
        <f t="shared" ref="L25:N25" ca="1" si="16">L26+L27</f>
        <v>0</v>
      </c>
      <c r="M25" s="74">
        <f t="shared" ca="1" si="16"/>
        <v>0</v>
      </c>
      <c r="N25" s="74">
        <f t="shared" ca="1" si="16"/>
        <v>0</v>
      </c>
      <c r="O25" s="74">
        <f t="shared" ca="1" si="1"/>
        <v>0</v>
      </c>
      <c r="P25" s="74">
        <f t="shared" ca="1" si="2"/>
        <v>0</v>
      </c>
      <c r="Q25" s="73">
        <f t="shared" ref="Q25:S25" ca="1" si="17">Q26+Q27</f>
        <v>0</v>
      </c>
      <c r="R25" s="74">
        <f t="shared" ca="1" si="17"/>
        <v>0</v>
      </c>
      <c r="S25" s="74">
        <f t="shared" ca="1" si="17"/>
        <v>0</v>
      </c>
      <c r="T25" s="74">
        <f t="shared" ca="1" si="4"/>
        <v>0</v>
      </c>
      <c r="U25" s="74">
        <f t="shared" ca="1" si="5"/>
        <v>0</v>
      </c>
    </row>
    <row r="26" spans="1:21" ht="15.75" customHeight="1" x14ac:dyDescent="0.25">
      <c r="A26" s="66"/>
      <c r="B26" s="67"/>
      <c r="C26" s="67"/>
      <c r="D26" s="67"/>
      <c r="E26" s="75" t="s">
        <v>20</v>
      </c>
      <c r="F26" s="67"/>
      <c r="G26" s="69"/>
      <c r="H26" s="70" t="s">
        <v>14</v>
      </c>
      <c r="I26" s="71"/>
      <c r="J26" s="71"/>
      <c r="K26" s="72"/>
      <c r="L26" s="76">
        <f t="shared" ref="L26:N26" ca="1" si="18">L52+L67+L80+L102+L125+L147+L165+L194+L181+L274+L290+L311+L328+L341+L364+L383+L400+L421+L501+L521+L542+L563+L584+L607+L624+L650+L698+L722+L736+L767</f>
        <v>0</v>
      </c>
      <c r="M26" s="77">
        <f t="shared" ca="1" si="18"/>
        <v>0</v>
      </c>
      <c r="N26" s="77">
        <f t="shared" ca="1" si="18"/>
        <v>0</v>
      </c>
      <c r="O26" s="77">
        <f t="shared" ca="1" si="1"/>
        <v>0</v>
      </c>
      <c r="P26" s="77">
        <f t="shared" ca="1" si="2"/>
        <v>0</v>
      </c>
      <c r="Q26" s="76">
        <f t="shared" ref="Q26:S26" ca="1" si="19">Q52+Q67+Q80+Q102+Q125+Q147+Q165+Q194+Q181+Q274+Q290+Q311+Q328+Q341+Q364+Q383+Q400+Q421+Q501+Q521+Q542+Q563+Q584+Q607+Q624+Q650+Q698+Q722+Q736+Q767</f>
        <v>0</v>
      </c>
      <c r="R26" s="77">
        <f t="shared" ca="1" si="19"/>
        <v>0</v>
      </c>
      <c r="S26" s="77">
        <f t="shared" ca="1" si="19"/>
        <v>0</v>
      </c>
      <c r="T26" s="77">
        <f t="shared" ca="1" si="4"/>
        <v>0</v>
      </c>
      <c r="U26" s="77">
        <f t="shared" ca="1" si="5"/>
        <v>0</v>
      </c>
    </row>
    <row r="27" spans="1:21" ht="15.75" customHeight="1" x14ac:dyDescent="0.25">
      <c r="A27" s="66"/>
      <c r="B27" s="67"/>
      <c r="C27" s="67"/>
      <c r="D27" s="67"/>
      <c r="E27" s="75" t="s">
        <v>21</v>
      </c>
      <c r="F27" s="67"/>
      <c r="G27" s="69"/>
      <c r="H27" s="70" t="s">
        <v>14</v>
      </c>
      <c r="I27" s="71"/>
      <c r="J27" s="71"/>
      <c r="K27" s="72"/>
      <c r="L27" s="73">
        <f t="shared" ref="L27:N27" ca="1" si="20">L53+L68+L81+L103+L126+L148+L166+L195+L182+L275+L291+L312+L329+L342+L365+L384+L401+L422+L502+L522+L543+L564+L585+L608+L625+L651+L699+L723+L737+L768</f>
        <v>0</v>
      </c>
      <c r="M27" s="74">
        <f t="shared" ca="1" si="20"/>
        <v>0</v>
      </c>
      <c r="N27" s="74">
        <f t="shared" ca="1" si="20"/>
        <v>0</v>
      </c>
      <c r="O27" s="74">
        <f t="shared" ca="1" si="1"/>
        <v>0</v>
      </c>
      <c r="P27" s="74">
        <f t="shared" ca="1" si="2"/>
        <v>0</v>
      </c>
      <c r="Q27" s="76">
        <f t="shared" ref="Q27:S27" ca="1" si="21">Q53+Q68+Q81+Q103+Q126+Q148+Q166+Q195+Q182+Q275+Q291+Q312+Q329+Q342+Q365+Q384+Q401+Q422+Q502+Q522+Q543+Q564+Q585+Q608+Q625+Q651+Q699+Q723+Q737+Q768</f>
        <v>0</v>
      </c>
      <c r="R27" s="77">
        <f t="shared" ca="1" si="21"/>
        <v>0</v>
      </c>
      <c r="S27" s="77">
        <f t="shared" ca="1" si="21"/>
        <v>0</v>
      </c>
      <c r="T27" s="74">
        <f t="shared" ca="1" si="4"/>
        <v>0</v>
      </c>
      <c r="U27" s="74">
        <f t="shared" ca="1" si="5"/>
        <v>0</v>
      </c>
    </row>
    <row r="28" spans="1:21" ht="15.75" customHeight="1" x14ac:dyDescent="0.25">
      <c r="A28" s="78"/>
      <c r="B28" s="79"/>
      <c r="C28" s="79"/>
      <c r="D28" s="80" t="s">
        <v>24</v>
      </c>
      <c r="E28" s="79"/>
      <c r="F28" s="79"/>
      <c r="G28" s="81"/>
      <c r="H28" s="82" t="s">
        <v>14</v>
      </c>
      <c r="I28" s="83"/>
      <c r="J28" s="83"/>
      <c r="K28" s="84"/>
      <c r="L28" s="85"/>
      <c r="M28" s="85"/>
      <c r="N28" s="85"/>
      <c r="O28" s="85"/>
      <c r="P28" s="85"/>
      <c r="Q28" s="86"/>
      <c r="R28" s="87"/>
      <c r="S28" s="87"/>
      <c r="T28" s="87"/>
      <c r="U28" s="87"/>
    </row>
    <row r="29" spans="1:21" ht="15.75" customHeight="1" x14ac:dyDescent="0.25">
      <c r="A29" s="66"/>
      <c r="B29" s="67"/>
      <c r="C29" s="67"/>
      <c r="D29" s="67"/>
      <c r="E29" s="75" t="s">
        <v>20</v>
      </c>
      <c r="F29" s="67"/>
      <c r="G29" s="69"/>
      <c r="H29" s="70" t="s">
        <v>14</v>
      </c>
      <c r="I29" s="71"/>
      <c r="J29" s="71"/>
      <c r="K29" s="72"/>
      <c r="L29" s="88"/>
      <c r="M29" s="88"/>
      <c r="N29" s="88"/>
      <c r="O29" s="88"/>
      <c r="P29" s="88"/>
      <c r="Q29" s="86"/>
      <c r="R29" s="87"/>
      <c r="S29" s="87"/>
      <c r="T29" s="87"/>
      <c r="U29" s="87"/>
    </row>
    <row r="30" spans="1:21" ht="15.75" customHeight="1" x14ac:dyDescent="0.25">
      <c r="A30" s="89"/>
      <c r="B30" s="90"/>
      <c r="C30" s="90"/>
      <c r="D30" s="90"/>
      <c r="E30" s="91" t="s">
        <v>21</v>
      </c>
      <c r="F30" s="90"/>
      <c r="G30" s="92"/>
      <c r="H30" s="93" t="s">
        <v>14</v>
      </c>
      <c r="I30" s="94"/>
      <c r="J30" s="94"/>
      <c r="K30" s="95"/>
      <c r="L30" s="96"/>
      <c r="M30" s="96"/>
      <c r="N30" s="96"/>
      <c r="O30" s="96"/>
      <c r="P30" s="96"/>
      <c r="Q30" s="97"/>
      <c r="R30" s="98"/>
      <c r="S30" s="98"/>
      <c r="T30" s="98"/>
      <c r="U30" s="98"/>
    </row>
    <row r="31" spans="1:21" ht="15.75" hidden="1" customHeight="1" x14ac:dyDescent="0.3">
      <c r="A31" s="1351"/>
      <c r="B31" s="1349"/>
      <c r="C31" s="1349"/>
      <c r="D31" s="1349"/>
      <c r="E31" s="1349"/>
      <c r="F31" s="1349"/>
      <c r="G31" s="1350"/>
      <c r="H31" s="38"/>
      <c r="I31" s="40"/>
      <c r="J31" s="40"/>
      <c r="K31" s="41"/>
      <c r="L31" s="41"/>
      <c r="M31" s="41"/>
      <c r="N31" s="41"/>
      <c r="O31" s="41"/>
      <c r="P31" s="41"/>
      <c r="Q31" s="18"/>
      <c r="R31" s="19"/>
      <c r="S31" s="19"/>
      <c r="T31" s="19"/>
      <c r="U31" s="19"/>
    </row>
    <row r="32" spans="1:21" ht="15.75" hidden="1" customHeight="1" x14ac:dyDescent="0.3">
      <c r="A32" s="20"/>
      <c r="B32" s="21"/>
      <c r="C32" s="22"/>
      <c r="D32" s="23"/>
      <c r="E32" s="21"/>
      <c r="F32" s="21"/>
      <c r="G32" s="24"/>
      <c r="H32" s="25"/>
      <c r="I32" s="26"/>
      <c r="J32" s="26"/>
      <c r="K32" s="27"/>
      <c r="L32" s="28"/>
      <c r="M32" s="28"/>
      <c r="N32" s="28"/>
      <c r="O32" s="28"/>
      <c r="P32" s="28"/>
      <c r="Q32" s="29"/>
      <c r="R32" s="30"/>
      <c r="S32" s="30"/>
      <c r="T32" s="30"/>
      <c r="U32" s="30"/>
    </row>
    <row r="33" spans="1:21" ht="15.75" hidden="1" customHeight="1" x14ac:dyDescent="0.25">
      <c r="A33" s="20"/>
      <c r="B33" s="21"/>
      <c r="C33" s="21"/>
      <c r="D33" s="21"/>
      <c r="E33" s="31"/>
      <c r="F33" s="21"/>
      <c r="G33" s="24"/>
      <c r="H33" s="32"/>
      <c r="I33" s="26"/>
      <c r="J33" s="26"/>
      <c r="K33" s="27"/>
      <c r="L33" s="33"/>
      <c r="M33" s="33"/>
      <c r="N33" s="33"/>
      <c r="O33" s="33"/>
      <c r="P33" s="33"/>
      <c r="Q33" s="29"/>
      <c r="R33" s="30"/>
      <c r="S33" s="30"/>
      <c r="T33" s="30"/>
      <c r="U33" s="30"/>
    </row>
    <row r="34" spans="1:21" ht="15.75" hidden="1" customHeight="1" x14ac:dyDescent="0.25">
      <c r="A34" s="20"/>
      <c r="B34" s="21"/>
      <c r="C34" s="21"/>
      <c r="D34" s="21"/>
      <c r="E34" s="31"/>
      <c r="F34" s="21"/>
      <c r="G34" s="24"/>
      <c r="H34" s="32"/>
      <c r="I34" s="26"/>
      <c r="J34" s="26"/>
      <c r="K34" s="27"/>
      <c r="L34" s="33"/>
      <c r="M34" s="33"/>
      <c r="N34" s="33"/>
      <c r="O34" s="33"/>
      <c r="P34" s="33"/>
      <c r="Q34" s="29"/>
      <c r="R34" s="30"/>
      <c r="S34" s="30"/>
      <c r="T34" s="30"/>
      <c r="U34" s="30"/>
    </row>
    <row r="35" spans="1:21" ht="15.75" hidden="1" customHeight="1" x14ac:dyDescent="0.25">
      <c r="A35" s="20"/>
      <c r="B35" s="21"/>
      <c r="C35" s="21"/>
      <c r="D35" s="34"/>
      <c r="E35" s="21"/>
      <c r="F35" s="21"/>
      <c r="G35" s="24"/>
      <c r="H35" s="32"/>
      <c r="I35" s="26"/>
      <c r="J35" s="26"/>
      <c r="K35" s="27"/>
      <c r="L35" s="33"/>
      <c r="M35" s="33"/>
      <c r="N35" s="33"/>
      <c r="O35" s="33"/>
      <c r="P35" s="33"/>
      <c r="Q35" s="29"/>
      <c r="R35" s="30"/>
      <c r="S35" s="30"/>
      <c r="T35" s="30"/>
      <c r="U35" s="30"/>
    </row>
    <row r="36" spans="1:21" ht="15.75" hidden="1" customHeight="1" x14ac:dyDescent="0.25">
      <c r="A36" s="20"/>
      <c r="B36" s="21"/>
      <c r="C36" s="21"/>
      <c r="D36" s="21"/>
      <c r="E36" s="31"/>
      <c r="F36" s="21"/>
      <c r="G36" s="24"/>
      <c r="H36" s="32"/>
      <c r="I36" s="26"/>
      <c r="J36" s="26"/>
      <c r="K36" s="27"/>
      <c r="L36" s="33"/>
      <c r="M36" s="33"/>
      <c r="N36" s="33"/>
      <c r="O36" s="33"/>
      <c r="P36" s="33"/>
      <c r="Q36" s="29"/>
      <c r="R36" s="30"/>
      <c r="S36" s="30"/>
      <c r="T36" s="30"/>
      <c r="U36" s="30"/>
    </row>
    <row r="37" spans="1:21" ht="18.75" hidden="1" x14ac:dyDescent="0.25">
      <c r="A37" s="20"/>
      <c r="B37" s="21"/>
      <c r="C37" s="21"/>
      <c r="D37" s="21"/>
      <c r="E37" s="31"/>
      <c r="F37" s="21"/>
      <c r="G37" s="24"/>
      <c r="H37" s="32"/>
      <c r="I37" s="26"/>
      <c r="J37" s="26"/>
      <c r="K37" s="27"/>
      <c r="L37" s="33"/>
      <c r="M37" s="33"/>
      <c r="N37" s="33"/>
      <c r="O37" s="33"/>
      <c r="P37" s="33"/>
      <c r="Q37" s="29"/>
      <c r="R37" s="30"/>
      <c r="S37" s="30"/>
      <c r="T37" s="30"/>
      <c r="U37" s="30"/>
    </row>
    <row r="38" spans="1:21" ht="18.75" hidden="1" x14ac:dyDescent="0.25">
      <c r="A38" s="20"/>
      <c r="B38" s="21"/>
      <c r="C38" s="21"/>
      <c r="D38" s="34"/>
      <c r="E38" s="21"/>
      <c r="F38" s="21"/>
      <c r="G38" s="24"/>
      <c r="H38" s="32"/>
      <c r="I38" s="26"/>
      <c r="J38" s="26"/>
      <c r="K38" s="27"/>
      <c r="L38" s="33"/>
      <c r="M38" s="33"/>
      <c r="N38" s="33"/>
      <c r="O38" s="33"/>
      <c r="P38" s="33"/>
      <c r="Q38" s="29"/>
      <c r="R38" s="30"/>
      <c r="S38" s="30"/>
      <c r="T38" s="30"/>
      <c r="U38" s="30"/>
    </row>
    <row r="39" spans="1:21" ht="18.75" hidden="1" x14ac:dyDescent="0.25">
      <c r="A39" s="20"/>
      <c r="B39" s="21"/>
      <c r="C39" s="21"/>
      <c r="D39" s="21"/>
      <c r="E39" s="31"/>
      <c r="F39" s="21"/>
      <c r="G39" s="24"/>
      <c r="H39" s="32"/>
      <c r="I39" s="26"/>
      <c r="J39" s="26"/>
      <c r="K39" s="27"/>
      <c r="L39" s="33"/>
      <c r="M39" s="33"/>
      <c r="N39" s="33"/>
      <c r="O39" s="33"/>
      <c r="P39" s="33"/>
      <c r="Q39" s="29"/>
      <c r="R39" s="30"/>
      <c r="S39" s="30"/>
      <c r="T39" s="30"/>
      <c r="U39" s="30"/>
    </row>
    <row r="40" spans="1:21" ht="18.75" hidden="1" x14ac:dyDescent="0.25">
      <c r="A40" s="35"/>
      <c r="B40" s="36"/>
      <c r="C40" s="36"/>
      <c r="D40" s="36"/>
      <c r="E40" s="37"/>
      <c r="F40" s="36"/>
      <c r="G40" s="38"/>
      <c r="H40" s="39"/>
      <c r="I40" s="40"/>
      <c r="J40" s="40"/>
      <c r="K40" s="41"/>
      <c r="L40" s="42"/>
      <c r="M40" s="42"/>
      <c r="N40" s="42"/>
      <c r="O40" s="42"/>
      <c r="P40" s="42"/>
      <c r="Q40" s="18"/>
      <c r="R40" s="19"/>
      <c r="S40" s="19"/>
      <c r="T40" s="19"/>
      <c r="U40" s="19"/>
    </row>
    <row r="41" spans="1:21" ht="19.5" x14ac:dyDescent="0.3">
      <c r="A41" s="99" t="s">
        <v>25</v>
      </c>
      <c r="B41" s="100"/>
      <c r="C41" s="100"/>
      <c r="D41" s="100"/>
      <c r="E41" s="100"/>
      <c r="F41" s="100"/>
      <c r="G41" s="101"/>
      <c r="H41" s="101"/>
      <c r="I41" s="102"/>
      <c r="J41" s="102"/>
      <c r="K41" s="103"/>
      <c r="L41" s="104"/>
      <c r="M41" s="104"/>
      <c r="N41" s="104"/>
      <c r="O41" s="104"/>
      <c r="P41" s="104"/>
      <c r="Q41" s="104"/>
      <c r="R41" s="104"/>
      <c r="S41" s="104"/>
      <c r="T41" s="104"/>
      <c r="U41" s="104"/>
    </row>
    <row r="42" spans="1:21" ht="19.5" x14ac:dyDescent="0.3">
      <c r="A42" s="105" t="s">
        <v>26</v>
      </c>
      <c r="B42" s="106"/>
      <c r="C42" s="106"/>
      <c r="D42" s="106"/>
      <c r="E42" s="106"/>
      <c r="F42" s="106"/>
      <c r="G42" s="106"/>
      <c r="H42" s="106"/>
      <c r="I42" s="107"/>
      <c r="J42" s="107"/>
      <c r="K42" s="108"/>
      <c r="L42" s="108"/>
      <c r="M42" s="108"/>
      <c r="N42" s="108"/>
      <c r="O42" s="108"/>
      <c r="P42" s="109"/>
      <c r="Q42" s="108"/>
      <c r="R42" s="108"/>
      <c r="S42" s="108"/>
      <c r="T42" s="108"/>
      <c r="U42" s="109"/>
    </row>
    <row r="43" spans="1:21" ht="19.5" x14ac:dyDescent="0.3">
      <c r="A43" s="110"/>
      <c r="B43" s="111" t="s">
        <v>27</v>
      </c>
      <c r="C43" s="110"/>
      <c r="D43" s="110"/>
      <c r="E43" s="110"/>
      <c r="F43" s="110"/>
      <c r="G43" s="110"/>
      <c r="H43" s="112"/>
      <c r="I43" s="113"/>
      <c r="J43" s="113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</row>
    <row r="44" spans="1:21" ht="19.5" hidden="1" x14ac:dyDescent="0.3">
      <c r="A44" s="20"/>
      <c r="B44" s="21"/>
      <c r="C44" s="22"/>
      <c r="D44" s="23"/>
      <c r="E44" s="21"/>
      <c r="F44" s="21"/>
      <c r="G44" s="24"/>
      <c r="H44" s="25"/>
      <c r="I44" s="26"/>
      <c r="J44" s="26"/>
      <c r="K44" s="27"/>
      <c r="L44" s="28"/>
      <c r="M44" s="28"/>
      <c r="N44" s="28"/>
      <c r="O44" s="28"/>
      <c r="P44" s="28"/>
      <c r="Q44" s="28"/>
      <c r="R44" s="28"/>
      <c r="S44" s="28"/>
      <c r="T44" s="28"/>
      <c r="U44" s="28"/>
    </row>
    <row r="45" spans="1:21" ht="19.5" x14ac:dyDescent="0.3">
      <c r="A45" s="115"/>
      <c r="B45" s="116"/>
      <c r="C45" s="117" t="s">
        <v>18</v>
      </c>
      <c r="D45" s="118" t="s">
        <v>19</v>
      </c>
      <c r="E45" s="116"/>
      <c r="F45" s="116"/>
      <c r="G45" s="119"/>
      <c r="H45" s="120" t="s">
        <v>14</v>
      </c>
      <c r="I45" s="121"/>
      <c r="J45" s="121"/>
      <c r="K45" s="122"/>
      <c r="L45" s="123">
        <f t="shared" ref="L45:N45" ca="1" si="22">L46+L47</f>
        <v>5596748</v>
      </c>
      <c r="M45" s="124">
        <f t="shared" ca="1" si="22"/>
        <v>5728638.0700000003</v>
      </c>
      <c r="N45" s="124">
        <f t="shared" ca="1" si="22"/>
        <v>4033513.16</v>
      </c>
      <c r="O45" s="124">
        <f t="shared" ref="O45:O53" ca="1" si="23">IF(L45&gt;0,N45*100/L45,0)</f>
        <v>72.068872137891503</v>
      </c>
      <c r="P45" s="124">
        <f t="shared" ref="P45:P53" ca="1" si="24">IF(M45&gt;0,N45*100/M45,0)</f>
        <v>70.409635077539463</v>
      </c>
      <c r="Q45" s="124">
        <f t="shared" ref="Q45:S45" ca="1" si="25">Q46+Q47</f>
        <v>0</v>
      </c>
      <c r="R45" s="124">
        <f t="shared" ca="1" si="25"/>
        <v>0</v>
      </c>
      <c r="S45" s="124">
        <f t="shared" ca="1" si="25"/>
        <v>0</v>
      </c>
      <c r="T45" s="124">
        <f t="shared" ref="T45:T53" ca="1" si="26">IF(Q45&gt;0,S45*100/Q45,0)</f>
        <v>0</v>
      </c>
      <c r="U45" s="124">
        <f t="shared" ref="U45:U53" ca="1" si="27">IF(R45&gt;0,S45*100/R45,0)</f>
        <v>0</v>
      </c>
    </row>
    <row r="46" spans="1:21" ht="18.75" x14ac:dyDescent="0.25">
      <c r="A46" s="115"/>
      <c r="B46" s="116"/>
      <c r="C46" s="116"/>
      <c r="D46" s="116"/>
      <c r="E46" s="125" t="s">
        <v>20</v>
      </c>
      <c r="F46" s="116"/>
      <c r="G46" s="119"/>
      <c r="H46" s="126" t="s">
        <v>14</v>
      </c>
      <c r="I46" s="121"/>
      <c r="J46" s="121"/>
      <c r="K46" s="122"/>
      <c r="L46" s="127">
        <f t="shared" ref="L46:N46" si="28">L49+L52</f>
        <v>0</v>
      </c>
      <c r="M46" s="128">
        <f t="shared" si="28"/>
        <v>0</v>
      </c>
      <c r="N46" s="128">
        <f t="shared" si="28"/>
        <v>0</v>
      </c>
      <c r="O46" s="128">
        <f t="shared" si="23"/>
        <v>0</v>
      </c>
      <c r="P46" s="128">
        <f t="shared" si="24"/>
        <v>0</v>
      </c>
      <c r="Q46" s="128">
        <f t="shared" ref="Q46:S46" si="29">Q49+Q52</f>
        <v>0</v>
      </c>
      <c r="R46" s="128">
        <f t="shared" si="29"/>
        <v>0</v>
      </c>
      <c r="S46" s="128">
        <f t="shared" si="29"/>
        <v>0</v>
      </c>
      <c r="T46" s="128">
        <f t="shared" si="26"/>
        <v>0</v>
      </c>
      <c r="U46" s="128">
        <f t="shared" si="27"/>
        <v>0</v>
      </c>
    </row>
    <row r="47" spans="1:21" ht="18.75" x14ac:dyDescent="0.25">
      <c r="A47" s="115"/>
      <c r="B47" s="116"/>
      <c r="C47" s="116"/>
      <c r="D47" s="116"/>
      <c r="E47" s="125" t="s">
        <v>21</v>
      </c>
      <c r="F47" s="116"/>
      <c r="G47" s="119"/>
      <c r="H47" s="126" t="s">
        <v>14</v>
      </c>
      <c r="I47" s="121"/>
      <c r="J47" s="121"/>
      <c r="K47" s="122"/>
      <c r="L47" s="129">
        <f t="shared" ref="L47:N47" ca="1" si="30">L50+L53</f>
        <v>5596748</v>
      </c>
      <c r="M47" s="130">
        <f t="shared" ca="1" si="30"/>
        <v>5728638.0700000003</v>
      </c>
      <c r="N47" s="130">
        <f t="shared" ca="1" si="30"/>
        <v>4033513.16</v>
      </c>
      <c r="O47" s="130">
        <f t="shared" ca="1" si="23"/>
        <v>72.068872137891503</v>
      </c>
      <c r="P47" s="130">
        <f t="shared" ca="1" si="24"/>
        <v>70.409635077539463</v>
      </c>
      <c r="Q47" s="130">
        <f t="shared" ref="Q47:S47" ca="1" si="31">Q50+Q53</f>
        <v>0</v>
      </c>
      <c r="R47" s="130">
        <f t="shared" ca="1" si="31"/>
        <v>0</v>
      </c>
      <c r="S47" s="130">
        <f t="shared" ca="1" si="31"/>
        <v>0</v>
      </c>
      <c r="T47" s="130">
        <f t="shared" ca="1" si="26"/>
        <v>0</v>
      </c>
      <c r="U47" s="130">
        <f t="shared" ca="1" si="27"/>
        <v>0</v>
      </c>
    </row>
    <row r="48" spans="1:21" ht="18.75" x14ac:dyDescent="0.25">
      <c r="A48" s="66"/>
      <c r="B48" s="67"/>
      <c r="C48" s="67"/>
      <c r="D48" s="68" t="s">
        <v>22</v>
      </c>
      <c r="E48" s="67"/>
      <c r="F48" s="67"/>
      <c r="G48" s="69"/>
      <c r="H48" s="70" t="s">
        <v>14</v>
      </c>
      <c r="I48" s="71"/>
      <c r="J48" s="71"/>
      <c r="K48" s="72"/>
      <c r="L48" s="131">
        <f t="shared" ref="L48:N48" ca="1" si="32">L49+L50</f>
        <v>5596748</v>
      </c>
      <c r="M48" s="132">
        <f t="shared" ca="1" si="32"/>
        <v>5728638.0700000003</v>
      </c>
      <c r="N48" s="132">
        <f t="shared" ca="1" si="32"/>
        <v>4033513.16</v>
      </c>
      <c r="O48" s="132">
        <f t="shared" ca="1" si="23"/>
        <v>72.068872137891503</v>
      </c>
      <c r="P48" s="132">
        <f t="shared" ca="1" si="24"/>
        <v>70.409635077539463</v>
      </c>
      <c r="Q48" s="132">
        <f t="shared" ref="Q48:S48" ca="1" si="33">Q49+Q50</f>
        <v>0</v>
      </c>
      <c r="R48" s="132">
        <f t="shared" ca="1" si="33"/>
        <v>0</v>
      </c>
      <c r="S48" s="132">
        <f t="shared" ca="1" si="33"/>
        <v>0</v>
      </c>
      <c r="T48" s="132">
        <f t="shared" ca="1" si="26"/>
        <v>0</v>
      </c>
      <c r="U48" s="132">
        <f t="shared" ca="1" si="27"/>
        <v>0</v>
      </c>
    </row>
    <row r="49" spans="1:21" ht="18.75" x14ac:dyDescent="0.25">
      <c r="A49" s="66"/>
      <c r="B49" s="67"/>
      <c r="C49" s="67"/>
      <c r="D49" s="67"/>
      <c r="E49" s="75" t="s">
        <v>20</v>
      </c>
      <c r="F49" s="67"/>
      <c r="G49" s="69"/>
      <c r="H49" s="70" t="s">
        <v>14</v>
      </c>
      <c r="I49" s="71"/>
      <c r="J49" s="71"/>
      <c r="K49" s="72"/>
      <c r="L49" s="76">
        <v>0</v>
      </c>
      <c r="M49" s="77">
        <v>0</v>
      </c>
      <c r="N49" s="77">
        <v>0</v>
      </c>
      <c r="O49" s="133">
        <f t="shared" si="23"/>
        <v>0</v>
      </c>
      <c r="P49" s="133">
        <f t="shared" si="24"/>
        <v>0</v>
      </c>
      <c r="Q49" s="77">
        <v>0</v>
      </c>
      <c r="R49" s="77">
        <v>0</v>
      </c>
      <c r="S49" s="77">
        <v>0</v>
      </c>
      <c r="T49" s="133">
        <f t="shared" si="26"/>
        <v>0</v>
      </c>
      <c r="U49" s="133">
        <f t="shared" si="27"/>
        <v>0</v>
      </c>
    </row>
    <row r="50" spans="1:21" ht="18.75" x14ac:dyDescent="0.25">
      <c r="A50" s="66"/>
      <c r="B50" s="67"/>
      <c r="C50" s="67"/>
      <c r="D50" s="67"/>
      <c r="E50" s="75" t="s">
        <v>21</v>
      </c>
      <c r="F50" s="67"/>
      <c r="G50" s="69"/>
      <c r="H50" s="70" t="s">
        <v>14</v>
      </c>
      <c r="I50" s="71"/>
      <c r="J50" s="71"/>
      <c r="K50" s="72"/>
      <c r="L50" s="131">
        <f ca="1">IFERROR(__xludf.DUMMYFUNCTION("IMPORTRANGE(""https://docs.google.com/spreadsheets/d/13wPX838HrBrQMCywv1BsuMkt4PEKTChp52zj44s2izQ/edit?usp=sharing"",""กาญจนบุรี!L49"")+IMPORTRANGE(""https://docs.google.com/spreadsheets/d/1ddFKvqj1W1NEiWytbGlB1zMx_ykJDVtmfEQ-6-lIUBA/edit?usp=sharing"","""&amp;"จันทบุรี!L49"")+IMPORTRANGE(""https://docs.google.com/spreadsheets/d/1T1PQvRODqOBZk8BRht_U031fIS1beLA0Ub2CEytj2q0/edit?usp=sharing"",""ฉะเชิงเทรา!L49"")+IMPORTRANGE(""https://docs.google.com/spreadsheets/d/11tr1B-Bhyr79v2bkwVh5h_fR-PStkgjlZtkrZpYurG0/edit"&amp;"?usp=sharing"",""ชลบุรี!L49"")+IMPORTRANGE(""https://docs.google.com/spreadsheets/d/1hh-FVnSX0vozXhGluamEcS54Dw9_zqW0N7qJUWgJ0Sw/edit?usp=sharing"",""ชัยนาท!L49"")+IMPORTRANGE(""https://docs.google.com/spreadsheets/d/1jkqa6GXxSacMcY1eN8AHjMNJ_7dDXMJVRLDla"&amp;"FSOdPM/edit?usp=sharing"",""ตราด!L49"")+IMPORTRANGE(""https://docs.google.com/spreadsheets/d/18hSgUJ3VwClqi_qtULmmW3cLr0oe3OKaSYoKzdpTsYQ/edit?usp=sharing"",""นครนายก!L49"")+IMPORTRANGE(""https://docs.google.com/spreadsheets/d/1YTZo6WM2dQ6Ix6FSdnL5P7uVnVK"&amp;"u40sxZu975tgG10E/edit?usp=sharing"",""นครปฐม!L49"")+IMPORTRANGE(""https://docs.google.com/spreadsheets/d/1OYoGg4WDg5RIzwGeB10padOxJF9E_Vljuvvct_M7RDo/edit?usp=sharing"",""ปทุมธานี!L49"")+IMPORTRANGE(""https://docs.google.com/spreadsheets/d/1GbCIE4D4wk9FUo"&amp;"zzqk7SxfDMxDVBwVmI5zcaVUSzKAc/edit?usp=sharing"",""ประจวบคีรีขันธ์!L49"")+IMPORTRANGE(""https://docs.google.com/spreadsheets/d/1vVf6wykvW_lAyu7Yo9L4hUTqHqIeP_qcVuxCtosJEbg/edit?usp=sharing"",""ปราจีนบุรี!L49"")+IMPORTRANGE(""https://docs.google.com/spread"&amp;"sheets/d/1BIDqLLg5jk3v59G8NlR8rk5xfQDKne0sAvZHSj7TI6I/edit?usp=sharing"",""พระนครศรีอยุธยา!L49"")+IMPORTRANGE(""https://docs.google.com/spreadsheets/d/1YXvxf8Yu6_rV4hTBrwMqAcAnv6DfhUxh5emyM3CJp_w/edit?usp=sharing"",""เพชรบุรี!L49"")+IMPORTRANGE(""https://"&amp;"docs.google.com/spreadsheets/d/19KBlQQs7uwvsao6t2n-KvW3Ax8J8uRRfZPq1zPbXgKc/edit?usp=sharing"",""ระยอง!L49"")+IMPORTRANGE(""https://docs.google.com/spreadsheets/d/1jQ6P4QcrGM89YfqcC_PxOHGCMq5ezhucwJd8ci-NHng/edit?usp=sharing"",""ราชบุรี!L49"")+IMPORTRANGE"&amp;"(""https://docs.google.com/spreadsheets/d/1lufeA2cfFqM-elVq2hznhDzC6Pr7wkJ9ZG_sYNGCMCU/edit?usp=sharing"",""ลพบุรี!L49"")+IMPORTRANGE(""https://docs.google.com/spreadsheets/d/10oOiF7loTyfsTkbd4MpaIm0HQ9SwB7IYHdIUvt-U1Uc/edit?usp=sharing"",""สระแก้ว!L49"")"&amp;"+IMPORTRANGE(""https://docs.google.com/spreadsheets/d/1xmPlrr1QbdSIKvl1dWUl9K4PjAfSL9oeMr_37QVzcxc/edit?usp=sharing"",""สระบุรี!L49"")+IMPORTRANGE(""https://docs.google.com/spreadsheets/d/1j51vR6CYVGhABJpv6tkstgok82RLpXieLzW1yOY5rHw/edit?usp=sharing"",""ส"&amp;"ิงห์บุรี!L49"")+IMPORTRANGE(""https://docs.google.com/spreadsheets/d/1H1EalTWKUSzO4Z1-1CwzoDUaVffgrThEBe2sl74kKG0/edit?usp=sharing"",""สุพรรณบุรี!L49"")+IMPORTRANGE(""https://docs.google.com/spreadsheets/d/1BmIruG_sIrJLYao_Pdr7zVArWsfoBt2692TMi6x_854/edit"&amp;"?usp=sharing"",""อ่างทอง!L49"")"),5596748)</f>
        <v>5596748</v>
      </c>
      <c r="M50" s="132">
        <f ca="1">IFERROR(__xludf.DUMMYFUNCTION("IMPORTRANGE(""https://docs.google.com/spreadsheets/d/13wPX838HrBrQMCywv1BsuMkt4PEKTChp52zj44s2izQ/edit?usp=sharing"",""กาญจนบุรี!M49"")+IMPORTRANGE(""https://docs.google.com/spreadsheets/d/1ddFKvqj1W1NEiWytbGlB1zMx_ykJDVtmfEQ-6-lIUBA/edit?usp=sharing"","""&amp;"จันทบุรี!M49"")+IMPORTRANGE(""https://docs.google.com/spreadsheets/d/1T1PQvRODqOBZk8BRht_U031fIS1beLA0Ub2CEytj2q0/edit?usp=sharing"",""ฉะเชิงเทรา!M49"")+IMPORTRANGE(""https://docs.google.com/spreadsheets/d/11tr1B-Bhyr79v2bkwVh5h_fR-PStkgjlZtkrZpYurG0/edit"&amp;"?usp=sharing"",""ชลบุรี!M49"")+IMPORTRANGE(""https://docs.google.com/spreadsheets/d/1hh-FVnSX0vozXhGluamEcS54Dw9_zqW0N7qJUWgJ0Sw/edit?usp=sharing"",""ชัยนาท!M49"")+IMPORTRANGE(""https://docs.google.com/spreadsheets/d/1jkqa6GXxSacMcY1eN8AHjMNJ_7dDXMJVRLDla"&amp;"FSOdPM/edit?usp=sharing"",""ตราด!M49"")+IMPORTRANGE(""https://docs.google.com/spreadsheets/d/18hSgUJ3VwClqi_qtULmmW3cLr0oe3OKaSYoKzdpTsYQ/edit?usp=sharing"",""นครนายก!M49"")+IMPORTRANGE(""https://docs.google.com/spreadsheets/d/1YTZo6WM2dQ6Ix6FSdnL5P7uVnVK"&amp;"u40sxZu975tgG10E/edit?usp=sharing"",""นครปฐม!M49"")+IMPORTRANGE(""https://docs.google.com/spreadsheets/d/1OYoGg4WDg5RIzwGeB10padOxJF9E_Vljuvvct_M7RDo/edit?usp=sharing"",""ปทุมธานี!M49"")+IMPORTRANGE(""https://docs.google.com/spreadsheets/d/1GbCIE4D4wk9FUo"&amp;"zzqk7SxfDMxDVBwVmI5zcaVUSzKAc/edit?usp=sharing"",""ประจวบคีรีขันธ์!M49"")+IMPORTRANGE(""https://docs.google.com/spreadsheets/d/1vVf6wykvW_lAyu7Yo9L4hUTqHqIeP_qcVuxCtosJEbg/edit?usp=sharing"",""ปราจีนบุรี!M49"")+IMPORTRANGE(""https://docs.google.com/spread"&amp;"sheets/d/1BIDqLLg5jk3v59G8NlR8rk5xfQDKne0sAvZHSj7TI6I/edit?usp=sharing"",""พระนครศรีอยุธยา!M49"")+IMPORTRANGE(""https://docs.google.com/spreadsheets/d/1YXvxf8Yu6_rV4hTBrwMqAcAnv6DfhUxh5emyM3CJp_w/edit?usp=sharing"",""เพชรบุรี!M49"")+IMPORTRANGE(""https://"&amp;"docs.google.com/spreadsheets/d/19KBlQQs7uwvsao6t2n-KvW3Ax8J8uRRfZPq1zPbXgKc/edit?usp=sharing"",""ระยอง!M49"")+IMPORTRANGE(""https://docs.google.com/spreadsheets/d/1jQ6P4QcrGM89YfqcC_PxOHGCMq5ezhucwJd8ci-NHng/edit?usp=sharing"",""ราชบุรี!M49"")+IMPORTRANGE"&amp;"(""https://docs.google.com/spreadsheets/d/1lufeA2cfFqM-elVq2hznhDzC6Pr7wkJ9ZG_sYNGCMCU/edit?usp=sharing"",""ลพบุรี!M49"")+IMPORTRANGE(""https://docs.google.com/spreadsheets/d/10oOiF7loTyfsTkbd4MpaIm0HQ9SwB7IYHdIUvt-U1Uc/edit?usp=sharing"",""สระแก้ว!M49"")"&amp;"+IMPORTRANGE(""https://docs.google.com/spreadsheets/d/1xmPlrr1QbdSIKvl1dWUl9K4PjAfSL9oeMr_37QVzcxc/edit?usp=sharing"",""สระบุรี!M49"")+IMPORTRANGE(""https://docs.google.com/spreadsheets/d/1j51vR6CYVGhABJpv6tkstgok82RLpXieLzW1yOY5rHw/edit?usp=sharing"",""ส"&amp;"ิงห์บุรี!M49"")+IMPORTRANGE(""https://docs.google.com/spreadsheets/d/1H1EalTWKUSzO4Z1-1CwzoDUaVffgrThEBe2sl74kKG0/edit?usp=sharing"",""สุพรรณบุรี!M49"")+IMPORTRANGE(""https://docs.google.com/spreadsheets/d/1BmIruG_sIrJLYao_Pdr7zVArWsfoBt2692TMi6x_854/edit"&amp;"?usp=sharing"",""อ่างทอง!M49"")"),5728638.07)</f>
        <v>5728638.0700000003</v>
      </c>
      <c r="N50" s="132">
        <f ca="1">IFERROR(__xludf.DUMMYFUNCTION("IMPORTRANGE(""https://docs.google.com/spreadsheets/d/13wPX838HrBrQMCywv1BsuMkt4PEKTChp52zj44s2izQ/edit?usp=sharing"",""กาญจนบุรี!N49"")+IMPORTRANGE(""https://docs.google.com/spreadsheets/d/1ddFKvqj1W1NEiWytbGlB1zMx_ykJDVtmfEQ-6-lIUBA/edit?usp=sharing"","""&amp;"จันทบุรี!N49"")+IMPORTRANGE(""https://docs.google.com/spreadsheets/d/1T1PQvRODqOBZk8BRht_U031fIS1beLA0Ub2CEytj2q0/edit?usp=sharing"",""ฉะเชิงเทรา!N49"")+IMPORTRANGE(""https://docs.google.com/spreadsheets/d/11tr1B-Bhyr79v2bkwVh5h_fR-PStkgjlZtkrZpYurG0/edit"&amp;"?usp=sharing"",""ชลบุรี!N49"")+IMPORTRANGE(""https://docs.google.com/spreadsheets/d/1hh-FVnSX0vozXhGluamEcS54Dw9_zqW0N7qJUWgJ0Sw/edit?usp=sharing"",""ชัยนาท!N49"")+IMPORTRANGE(""https://docs.google.com/spreadsheets/d/1jkqa6GXxSacMcY1eN8AHjMNJ_7dDXMJVRLDla"&amp;"FSOdPM/edit?usp=sharing"",""ตราด!N49"")+IMPORTRANGE(""https://docs.google.com/spreadsheets/d/18hSgUJ3VwClqi_qtULmmW3cLr0oe3OKaSYoKzdpTsYQ/edit?usp=sharing"",""นครนายก!N49"")+IMPORTRANGE(""https://docs.google.com/spreadsheets/d/1YTZo6WM2dQ6Ix6FSdnL5P7uVnVK"&amp;"u40sxZu975tgG10E/edit?usp=sharing"",""นครปฐม!N49"")+IMPORTRANGE(""https://docs.google.com/spreadsheets/d/1OYoGg4WDg5RIzwGeB10padOxJF9E_Vljuvvct_M7RDo/edit?usp=sharing"",""ปทุมธานี!N49"")+IMPORTRANGE(""https://docs.google.com/spreadsheets/d/1GbCIE4D4wk9FUo"&amp;"zzqk7SxfDMxDVBwVmI5zcaVUSzKAc/edit?usp=sharing"",""ประจวบคีรีขันธ์!N49"")+IMPORTRANGE(""https://docs.google.com/spreadsheets/d/1vVf6wykvW_lAyu7Yo9L4hUTqHqIeP_qcVuxCtosJEbg/edit?usp=sharing"",""ปราจีนบุรี!N49"")+IMPORTRANGE(""https://docs.google.com/spread"&amp;"sheets/d/1BIDqLLg5jk3v59G8NlR8rk5xfQDKne0sAvZHSj7TI6I/edit?usp=sharing"",""พระนครศรีอยุธยา!N49"")+IMPORTRANGE(""https://docs.google.com/spreadsheets/d/1YXvxf8Yu6_rV4hTBrwMqAcAnv6DfhUxh5emyM3CJp_w/edit?usp=sharing"",""เพชรบุรี!N49"")+IMPORTRANGE(""https://"&amp;"docs.google.com/spreadsheets/d/19KBlQQs7uwvsao6t2n-KvW3Ax8J8uRRfZPq1zPbXgKc/edit?usp=sharing"",""ระยอง!N49"")+IMPORTRANGE(""https://docs.google.com/spreadsheets/d/1jQ6P4QcrGM89YfqcC_PxOHGCMq5ezhucwJd8ci-NHng/edit?usp=sharing"",""ราชบุรี!N49"")+IMPORTRANGE"&amp;"(""https://docs.google.com/spreadsheets/d/1lufeA2cfFqM-elVq2hznhDzC6Pr7wkJ9ZG_sYNGCMCU/edit?usp=sharing"",""ลพบุรี!N49"")+IMPORTRANGE(""https://docs.google.com/spreadsheets/d/10oOiF7loTyfsTkbd4MpaIm0HQ9SwB7IYHdIUvt-U1Uc/edit?usp=sharing"",""สระแก้ว!N49"")"&amp;"+IMPORTRANGE(""https://docs.google.com/spreadsheets/d/1xmPlrr1QbdSIKvl1dWUl9K4PjAfSL9oeMr_37QVzcxc/edit?usp=sharing"",""สระบุรี!N49"")+IMPORTRANGE(""https://docs.google.com/spreadsheets/d/1j51vR6CYVGhABJpv6tkstgok82RLpXieLzW1yOY5rHw/edit?usp=sharing"",""ส"&amp;"ิงห์บุรี!N49"")+IMPORTRANGE(""https://docs.google.com/spreadsheets/d/1H1EalTWKUSzO4Z1-1CwzoDUaVffgrThEBe2sl74kKG0/edit?usp=sharing"",""สุพรรณบุรี!N49"")+IMPORTRANGE(""https://docs.google.com/spreadsheets/d/1BmIruG_sIrJLYao_Pdr7zVArWsfoBt2692TMi6x_854/edit"&amp;"?usp=sharing"",""อ่างทอง!N49"")"),4033513.16)</f>
        <v>4033513.16</v>
      </c>
      <c r="O50" s="132">
        <f t="shared" ca="1" si="23"/>
        <v>72.068872137891503</v>
      </c>
      <c r="P50" s="132">
        <f t="shared" ca="1" si="24"/>
        <v>70.409635077539463</v>
      </c>
      <c r="Q50" s="74">
        <f ca="1">IFERROR(__xludf.DUMMYFUNCTION("IMPORTRANGE(""https://docs.google.com/spreadsheets/d/13wPX838HrBrQMCywv1BsuMkt4PEKTChp52zj44s2izQ/edit?usp=sharing"",""กาญจนบุรี!Q49"")+IMPORTRANGE(""https://docs.google.com/spreadsheets/d/1ddFKvqj1W1NEiWytbGlB1zMx_ykJDVtmfEQ-6-lIUBA/edit?usp=sharing"","""&amp;"จันทบุรี!Q49"")+IMPORTRANGE(""https://docs.google.com/spreadsheets/d/1T1PQvRODqOBZk8BRht_U031fIS1beLA0Ub2CEytj2q0/edit?usp=sharing"",""ฉะเชิงเทรา!Q49"")+IMPORTRANGE(""https://docs.google.com/spreadsheets/d/11tr1B-Bhyr79v2bkwVh5h_fR-PStkgjlZtkrZpYurG0/edit"&amp;"?usp=sharing"",""ชลบุรี!Q49"")+IMPORTRANGE(""https://docs.google.com/spreadsheets/d/1hh-FVnSX0vozXhGluamEcS54Dw9_zqW0N7qJUWgJ0Sw/edit?usp=sharing"",""ชัยนาท!Q49"")+IMPORTRANGE(""https://docs.google.com/spreadsheets/d/1jkqa6GXxSacMcY1eN8AHjMNJ_7dDXMJVRLDla"&amp;"FSOdPM/edit?usp=sharing"",""ตราด!Q49"")+IMPORTRANGE(""https://docs.google.com/spreadsheets/d/18hSgUJ3VwClqi_qtULmmW3cLr0oe3OKaSYoKzdpTsYQ/edit?usp=sharing"",""นครนายก!Q49"")+IMPORTRANGE(""https://docs.google.com/spreadsheets/d/1YTZo6WM2dQ6Ix6FSdnL5P7uVnVK"&amp;"u40sxZu975tgG10E/edit?usp=sharing"",""นครปฐม!Q49"")+IMPORTRANGE(""https://docs.google.com/spreadsheets/d/1OYoGg4WDg5RIzwGeB10padOxJF9E_Vljuvvct_M7RDo/edit?usp=sharing"",""ปทุมธานี!Q49"")+IMPORTRANGE(""https://docs.google.com/spreadsheets/d/1GbCIE4D4wk9FUo"&amp;"zzqk7SxfDMxDVBwVmI5zcaVUSzKAc/edit?usp=sharing"",""ประจวบคีรีขันธ์!Q49"")+IMPORTRANGE(""https://docs.google.com/spreadsheets/d/1vVf6wykvW_lAyu7Yo9L4hUTqHqIeP_qcVuxCtosJEbg/edit?usp=sharing"",""ปราจีนบุรี!Q49"")+IMPORTRANGE(""https://docs.google.com/spread"&amp;"sheets/d/1BIDqLLg5jk3v59G8NlR8rk5xfQDKne0sAvZHSj7TI6I/edit?usp=sharing"",""พระนครศรีอยุธยา!Q49"")+IMPORTRANGE(""https://docs.google.com/spreadsheets/d/1YXvxf8Yu6_rV4hTBrwMqAcAnv6DfhUxh5emyM3CJp_w/edit?usp=sharing"",""เพชรบุรี!Q49"")+IMPORTRANGE(""https://"&amp;"docs.google.com/spreadsheets/d/19KBlQQs7uwvsao6t2n-KvW3Ax8J8uRRfZPq1zPbXgKc/edit?usp=sharing"",""ระยอง!Q49"")+IMPORTRANGE(""https://docs.google.com/spreadsheets/d/1jQ6P4QcrGM89YfqcC_PxOHGCMq5ezhucwJd8ci-NHng/edit?usp=sharing"",""ราชบุรี!Q49"")+IMPORTRANGE"&amp;"(""https://docs.google.com/spreadsheets/d/1lufeA2cfFqM-elVq2hznhDzC6Pr7wkJ9ZG_sYNGCMCU/edit?usp=sharing"",""ลพบุรี!Q49"")+IMPORTRANGE(""https://docs.google.com/spreadsheets/d/10oOiF7loTyfsTkbd4MpaIm0HQ9SwB7IYHdIUvt-U1Uc/edit?usp=sharing"",""สระแก้ว!Q49"")"&amp;"+IMPORTRANGE(""https://docs.google.com/spreadsheets/d/1xmPlrr1QbdSIKvl1dWUl9K4PjAfSL9oeMr_37QVzcxc/edit?usp=sharing"",""สระบุรี!Q49"")+IMPORTRANGE(""https://docs.google.com/spreadsheets/d/1j51vR6CYVGhABJpv6tkstgok82RLpXieLzW1yOY5rHw/edit?usp=sharing"",""ส"&amp;"ิงห์บุรี!Q49"")+IMPORTRANGE(""https://docs.google.com/spreadsheets/d/1H1EalTWKUSzO4Z1-1CwzoDUaVffgrThEBe2sl74kKG0/edit?usp=sharing"",""สุพรรณบุรี!Q49"")+IMPORTRANGE(""https://docs.google.com/spreadsheets/d/1BmIruG_sIrJLYao_Pdr7zVArWsfoBt2692TMi6x_854/edit"&amp;"?usp=sharing"",""อ่างทอง!Q49"")"),0)</f>
        <v>0</v>
      </c>
      <c r="R50" s="74">
        <f ca="1">IFERROR(__xludf.DUMMYFUNCTION("IMPORTRANGE(""https://docs.google.com/spreadsheets/d/13wPX838HrBrQMCywv1BsuMkt4PEKTChp52zj44s2izQ/edit?usp=sharing"",""กาญจนบุรี!R49"")+IMPORTRANGE(""https://docs.google.com/spreadsheets/d/1ddFKvqj1W1NEiWytbGlB1zMx_ykJDVtmfEQ-6-lIUBA/edit?usp=sharing"","""&amp;"จันทบุรี!R49"")+IMPORTRANGE(""https://docs.google.com/spreadsheets/d/1T1PQvRODqOBZk8BRht_U031fIS1beLA0Ub2CEytj2q0/edit?usp=sharing"",""ฉะเชิงเทรา!R49"")+IMPORTRANGE(""https://docs.google.com/spreadsheets/d/11tr1B-Bhyr79v2bkwVh5h_fR-PStkgjlZtkrZpYurG0/edit"&amp;"?usp=sharing"",""ชลบุรี!R49"")+IMPORTRANGE(""https://docs.google.com/spreadsheets/d/1hh-FVnSX0vozXhGluamEcS54Dw9_zqW0N7qJUWgJ0Sw/edit?usp=sharing"",""ชัยนาท!R49"")+IMPORTRANGE(""https://docs.google.com/spreadsheets/d/1jkqa6GXxSacMcY1eN8AHjMNJ_7dDXMJVRLDla"&amp;"FSOdPM/edit?usp=sharing"",""ตราด!R49"")+IMPORTRANGE(""https://docs.google.com/spreadsheets/d/18hSgUJ3VwClqi_qtULmmW3cLr0oe3OKaSYoKzdpTsYQ/edit?usp=sharing"",""นครนายก!R49"")+IMPORTRANGE(""https://docs.google.com/spreadsheets/d/1YTZo6WM2dQ6Ix6FSdnL5P7uVnVK"&amp;"u40sxZu975tgG10E/edit?usp=sharing"",""นครปฐม!R49"")+IMPORTRANGE(""https://docs.google.com/spreadsheets/d/1OYoGg4WDg5RIzwGeB10padOxJF9E_Vljuvvct_M7RDo/edit?usp=sharing"",""ปทุมธานี!R49"")+IMPORTRANGE(""https://docs.google.com/spreadsheets/d/1GbCIE4D4wk9FUo"&amp;"zzqk7SxfDMxDVBwVmI5zcaVUSzKAc/edit?usp=sharing"",""ประจวบคีรีขันธ์!R49"")+IMPORTRANGE(""https://docs.google.com/spreadsheets/d/1vVf6wykvW_lAyu7Yo9L4hUTqHqIeP_qcVuxCtosJEbg/edit?usp=sharing"",""ปราจีนบุรี!R49"")+IMPORTRANGE(""https://docs.google.com/spread"&amp;"sheets/d/1BIDqLLg5jk3v59G8NlR8rk5xfQDKne0sAvZHSj7TI6I/edit?usp=sharing"",""พระนครศรีอยุธยา!R49"")+IMPORTRANGE(""https://docs.google.com/spreadsheets/d/1YXvxf8Yu6_rV4hTBrwMqAcAnv6DfhUxh5emyM3CJp_w/edit?usp=sharing"",""เพชรบุรี!R49"")+IMPORTRANGE(""https://"&amp;"docs.google.com/spreadsheets/d/19KBlQQs7uwvsao6t2n-KvW3Ax8J8uRRfZPq1zPbXgKc/edit?usp=sharing"",""ระยอง!R49"")+IMPORTRANGE(""https://docs.google.com/spreadsheets/d/1jQ6P4QcrGM89YfqcC_PxOHGCMq5ezhucwJd8ci-NHng/edit?usp=sharing"",""ราชบุรี!R49"")+IMPORTRANGE"&amp;"(""https://docs.google.com/spreadsheets/d/1lufeA2cfFqM-elVq2hznhDzC6Pr7wkJ9ZG_sYNGCMCU/edit?usp=sharing"",""ลพบุรี!R49"")+IMPORTRANGE(""https://docs.google.com/spreadsheets/d/10oOiF7loTyfsTkbd4MpaIm0HQ9SwB7IYHdIUvt-U1Uc/edit?usp=sharing"",""สระแก้ว!R49"")"&amp;"+IMPORTRANGE(""https://docs.google.com/spreadsheets/d/1xmPlrr1QbdSIKvl1dWUl9K4PjAfSL9oeMr_37QVzcxc/edit?usp=sharing"",""สระบุรี!R49"")+IMPORTRANGE(""https://docs.google.com/spreadsheets/d/1j51vR6CYVGhABJpv6tkstgok82RLpXieLzW1yOY5rHw/edit?usp=sharing"",""ส"&amp;"ิงห์บุรี!R49"")+IMPORTRANGE(""https://docs.google.com/spreadsheets/d/1H1EalTWKUSzO4Z1-1CwzoDUaVffgrThEBe2sl74kKG0/edit?usp=sharing"",""สุพรรณบุรี!R49"")+IMPORTRANGE(""https://docs.google.com/spreadsheets/d/1BmIruG_sIrJLYao_Pdr7zVArWsfoBt2692TMi6x_854/edit"&amp;"?usp=sharing"",""อ่างทอง!R49"")"),0)</f>
        <v>0</v>
      </c>
      <c r="S50" s="74">
        <f ca="1">IFERROR(__xludf.DUMMYFUNCTION("IMPORTRANGE(""https://docs.google.com/spreadsheets/d/13wPX838HrBrQMCywv1BsuMkt4PEKTChp52zj44s2izQ/edit?usp=sharing"",""กาญจนบุรี!S49"")+IMPORTRANGE(""https://docs.google.com/spreadsheets/d/1ddFKvqj1W1NEiWytbGlB1zMx_ykJDVtmfEQ-6-lIUBA/edit?usp=sharing"","""&amp;"จันทบุรี!S49"")+IMPORTRANGE(""https://docs.google.com/spreadsheets/d/1T1PQvRODqOBZk8BRht_U031fIS1beLA0Ub2CEytj2q0/edit?usp=sharing"",""ฉะเชิงเทรา!S49"")+IMPORTRANGE(""https://docs.google.com/spreadsheets/d/11tr1B-Bhyr79v2bkwVh5h_fR-PStkgjlZtkrZpYurG0/edit"&amp;"?usp=sharing"",""ชลบุรี!S49"")+IMPORTRANGE(""https://docs.google.com/spreadsheets/d/1hh-FVnSX0vozXhGluamEcS54Dw9_zqW0N7qJUWgJ0Sw/edit?usp=sharing"",""ชัยนาท!S49"")+IMPORTRANGE(""https://docs.google.com/spreadsheets/d/1jkqa6GXxSacMcY1eN8AHjMNJ_7dDXMJVRLDla"&amp;"FSOdPM/edit?usp=sharing"",""ตราด!S49"")+IMPORTRANGE(""https://docs.google.com/spreadsheets/d/18hSgUJ3VwClqi_qtULmmW3cLr0oe3OKaSYoKzdpTsYQ/edit?usp=sharing"",""นครนายก!S49"")+IMPORTRANGE(""https://docs.google.com/spreadsheets/d/1YTZo6WM2dQ6Ix6FSdnL5P7uVnVK"&amp;"u40sxZu975tgG10E/edit?usp=sharing"",""นครปฐม!S49"")+IMPORTRANGE(""https://docs.google.com/spreadsheets/d/1OYoGg4WDg5RIzwGeB10padOxJF9E_Vljuvvct_M7RDo/edit?usp=sharing"",""ปทุมธานี!S49"")+IMPORTRANGE(""https://docs.google.com/spreadsheets/d/1GbCIE4D4wk9FUo"&amp;"zzqk7SxfDMxDVBwVmI5zcaVUSzKAc/edit?usp=sharing"",""ประจวบคีรีขันธ์!S49"")+IMPORTRANGE(""https://docs.google.com/spreadsheets/d/1vVf6wykvW_lAyu7Yo9L4hUTqHqIeP_qcVuxCtosJEbg/edit?usp=sharing"",""ปราจีนบุรี!S49"")+IMPORTRANGE(""https://docs.google.com/spread"&amp;"sheets/d/1BIDqLLg5jk3v59G8NlR8rk5xfQDKne0sAvZHSj7TI6I/edit?usp=sharing"",""พระนครศรีอยุธยา!S49"")+IMPORTRANGE(""https://docs.google.com/spreadsheets/d/1YXvxf8Yu6_rV4hTBrwMqAcAnv6DfhUxh5emyM3CJp_w/edit?usp=sharing"",""เพชรบุรี!S49"")+IMPORTRANGE(""https://"&amp;"docs.google.com/spreadsheets/d/19KBlQQs7uwvsao6t2n-KvW3Ax8J8uRRfZPq1zPbXgKc/edit?usp=sharing"",""ระยอง!S49"")+IMPORTRANGE(""https://docs.google.com/spreadsheets/d/1jQ6P4QcrGM89YfqcC_PxOHGCMq5ezhucwJd8ci-NHng/edit?usp=sharing"",""ราชบุรี!S49"")+IMPORTRANGE"&amp;"(""https://docs.google.com/spreadsheets/d/1lufeA2cfFqM-elVq2hznhDzC6Pr7wkJ9ZG_sYNGCMCU/edit?usp=sharing"",""ลพบุรี!S49"")+IMPORTRANGE(""https://docs.google.com/spreadsheets/d/10oOiF7loTyfsTkbd4MpaIm0HQ9SwB7IYHdIUvt-U1Uc/edit?usp=sharing"",""สระแก้ว!S49"")"&amp;"+IMPORTRANGE(""https://docs.google.com/spreadsheets/d/1xmPlrr1QbdSIKvl1dWUl9K4PjAfSL9oeMr_37QVzcxc/edit?usp=sharing"",""สระบุรี!S49"")+IMPORTRANGE(""https://docs.google.com/spreadsheets/d/1j51vR6CYVGhABJpv6tkstgok82RLpXieLzW1yOY5rHw/edit?usp=sharing"",""ส"&amp;"ิงห์บุรี!S49"")+IMPORTRANGE(""https://docs.google.com/spreadsheets/d/1H1EalTWKUSzO4Z1-1CwzoDUaVffgrThEBe2sl74kKG0/edit?usp=sharing"",""สุพรรณบุรี!S49"")+IMPORTRANGE(""https://docs.google.com/spreadsheets/d/1BmIruG_sIrJLYao_Pdr7zVArWsfoBt2692TMi6x_854/edit"&amp;"?usp=sharing"",""อ่างทอง!S49"")"),0)</f>
        <v>0</v>
      </c>
      <c r="T50" s="132">
        <f t="shared" ca="1" si="26"/>
        <v>0</v>
      </c>
      <c r="U50" s="132">
        <f t="shared" ca="1" si="27"/>
        <v>0</v>
      </c>
    </row>
    <row r="51" spans="1:21" ht="18.75" x14ac:dyDescent="0.25">
      <c r="A51" s="66"/>
      <c r="B51" s="67"/>
      <c r="C51" s="67"/>
      <c r="D51" s="134" t="s">
        <v>23</v>
      </c>
      <c r="E51" s="67"/>
      <c r="F51" s="67"/>
      <c r="G51" s="69"/>
      <c r="H51" s="70" t="s">
        <v>14</v>
      </c>
      <c r="I51" s="71"/>
      <c r="J51" s="71"/>
      <c r="K51" s="72"/>
      <c r="L51" s="131">
        <f t="shared" ref="L51:N51" ca="1" si="34">L52+L53</f>
        <v>0</v>
      </c>
      <c r="M51" s="132">
        <f t="shared" ca="1" si="34"/>
        <v>0</v>
      </c>
      <c r="N51" s="132">
        <f t="shared" ca="1" si="34"/>
        <v>0</v>
      </c>
      <c r="O51" s="132">
        <f t="shared" ca="1" si="23"/>
        <v>0</v>
      </c>
      <c r="P51" s="132">
        <f t="shared" ca="1" si="24"/>
        <v>0</v>
      </c>
      <c r="Q51" s="132">
        <f t="shared" ref="Q51:S51" ca="1" si="35">Q52+Q53</f>
        <v>0</v>
      </c>
      <c r="R51" s="132">
        <f t="shared" ca="1" si="35"/>
        <v>0</v>
      </c>
      <c r="S51" s="132">
        <f t="shared" ca="1" si="35"/>
        <v>0</v>
      </c>
      <c r="T51" s="132">
        <f t="shared" ca="1" si="26"/>
        <v>0</v>
      </c>
      <c r="U51" s="132">
        <f t="shared" ca="1" si="27"/>
        <v>0</v>
      </c>
    </row>
    <row r="52" spans="1:21" ht="18.75" x14ac:dyDescent="0.25">
      <c r="A52" s="66"/>
      <c r="B52" s="67"/>
      <c r="C52" s="67"/>
      <c r="D52" s="67"/>
      <c r="E52" s="75" t="s">
        <v>20</v>
      </c>
      <c r="F52" s="67"/>
      <c r="G52" s="69"/>
      <c r="H52" s="70" t="s">
        <v>14</v>
      </c>
      <c r="I52" s="71"/>
      <c r="J52" s="71"/>
      <c r="K52" s="72"/>
      <c r="L52" s="76">
        <v>0</v>
      </c>
      <c r="M52" s="77">
        <v>0</v>
      </c>
      <c r="N52" s="77">
        <v>0</v>
      </c>
      <c r="O52" s="133">
        <f t="shared" si="23"/>
        <v>0</v>
      </c>
      <c r="P52" s="133">
        <f t="shared" si="24"/>
        <v>0</v>
      </c>
      <c r="Q52" s="77">
        <v>0</v>
      </c>
      <c r="R52" s="77">
        <v>0</v>
      </c>
      <c r="S52" s="77">
        <v>0</v>
      </c>
      <c r="T52" s="133">
        <f t="shared" si="26"/>
        <v>0</v>
      </c>
      <c r="U52" s="133">
        <f t="shared" si="27"/>
        <v>0</v>
      </c>
    </row>
    <row r="53" spans="1:21" ht="18.75" x14ac:dyDescent="0.25">
      <c r="A53" s="66"/>
      <c r="B53" s="67"/>
      <c r="C53" s="67"/>
      <c r="D53" s="67"/>
      <c r="E53" s="75" t="s">
        <v>21</v>
      </c>
      <c r="F53" s="67"/>
      <c r="G53" s="69"/>
      <c r="H53" s="70" t="s">
        <v>14</v>
      </c>
      <c r="I53" s="71"/>
      <c r="J53" s="71"/>
      <c r="K53" s="72"/>
      <c r="L53" s="131">
        <f ca="1">IFERROR(__xludf.DUMMYFUNCTION("IMPORTRANGE(""https://docs.google.com/spreadsheets/d/13wPX838HrBrQMCywv1BsuMkt4PEKTChp52zj44s2izQ/edit?usp=sharing"",""กาญจนบุรี!L52"")+IMPORTRANGE(""https://docs.google.com/spreadsheets/d/1ddFKvqj1W1NEiWytbGlB1zMx_ykJDVtmfEQ-6-lIUBA/edit?usp=sharing"","""&amp;"จันทบุรี!L52"")+IMPORTRANGE(""https://docs.google.com/spreadsheets/d/1T1PQvRODqOBZk8BRht_U031fIS1beLA0Ub2CEytj2q0/edit?usp=sharing"",""ฉะเชิงเทรา!L52"")+IMPORTRANGE(""https://docs.google.com/spreadsheets/d/11tr1B-Bhyr79v2bkwVh5h_fR-PStkgjlZtkrZpYurG0/edit"&amp;"?usp=sharing"",""ชลบุรี!L52"")+IMPORTRANGE(""https://docs.google.com/spreadsheets/d/1hh-FVnSX0vozXhGluamEcS54Dw9_zqW0N7qJUWgJ0Sw/edit?usp=sharing"",""ชัยนาท!L52"")+IMPORTRANGE(""https://docs.google.com/spreadsheets/d/1jkqa6GXxSacMcY1eN8AHjMNJ_7dDXMJVRLDla"&amp;"FSOdPM/edit?usp=sharing"",""ตราด!L52"")+IMPORTRANGE(""https://docs.google.com/spreadsheets/d/18hSgUJ3VwClqi_qtULmmW3cLr0oe3OKaSYoKzdpTsYQ/edit?usp=sharing"",""นครนายก!L52"")+IMPORTRANGE(""https://docs.google.com/spreadsheets/d/1YTZo6WM2dQ6Ix6FSdnL5P7uVnVK"&amp;"u40sxZu975tgG10E/edit?usp=sharing"",""นครปฐม!L52"")+IMPORTRANGE(""https://docs.google.com/spreadsheets/d/1OYoGg4WDg5RIzwGeB10padOxJF9E_Vljuvvct_M7RDo/edit?usp=sharing"",""ปทุมธานี!L52"")+IMPORTRANGE(""https://docs.google.com/spreadsheets/d/1GbCIE4D4wk9FUo"&amp;"zzqk7SxfDMxDVBwVmI5zcaVUSzKAc/edit?usp=sharing"",""ประจวบคีรีขันธ์!L52"")+IMPORTRANGE(""https://docs.google.com/spreadsheets/d/1vVf6wykvW_lAyu7Yo9L4hUTqHqIeP_qcVuxCtosJEbg/edit?usp=sharing"",""ปราจีนบุรี!L52"")+IMPORTRANGE(""https://docs.google.com/spread"&amp;"sheets/d/1BIDqLLg5jk3v59G8NlR8rk5xfQDKne0sAvZHSj7TI6I/edit?usp=sharing"",""พระนครศรีอยุธยา!L52"")+IMPORTRANGE(""https://docs.google.com/spreadsheets/d/1YXvxf8Yu6_rV4hTBrwMqAcAnv6DfhUxh5emyM3CJp_w/edit?usp=sharing"",""เพชรบุรี!L52"")+IMPORTRANGE(""https://"&amp;"docs.google.com/spreadsheets/d/19KBlQQs7uwvsao6t2n-KvW3Ax8J8uRRfZPq1zPbXgKc/edit?usp=sharing"",""ระยอง!L52"")+IMPORTRANGE(""https://docs.google.com/spreadsheets/d/1jQ6P4QcrGM89YfqcC_PxOHGCMq5ezhucwJd8ci-NHng/edit?usp=sharing"",""ราชบุรี!L52"")+IMPORTRANGE"&amp;"(""https://docs.google.com/spreadsheets/d/1lufeA2cfFqM-elVq2hznhDzC6Pr7wkJ9ZG_sYNGCMCU/edit?usp=sharing"",""ลพบุรี!L52"")+IMPORTRANGE(""https://docs.google.com/spreadsheets/d/10oOiF7loTyfsTkbd4MpaIm0HQ9SwB7IYHdIUvt-U1Uc/edit?usp=sharing"",""สระแก้ว!L52"")"&amp;"+IMPORTRANGE(""https://docs.google.com/spreadsheets/d/1xmPlrr1QbdSIKvl1dWUl9K4PjAfSL9oeMr_37QVzcxc/edit?usp=sharing"",""สระบุรี!L52"")+IMPORTRANGE(""https://docs.google.com/spreadsheets/d/1j51vR6CYVGhABJpv6tkstgok82RLpXieLzW1yOY5rHw/edit?usp=sharing"",""ส"&amp;"ิงห์บุรี!L52"")+IMPORTRANGE(""https://docs.google.com/spreadsheets/d/1H1EalTWKUSzO4Z1-1CwzoDUaVffgrThEBe2sl74kKG0/edit?usp=sharing"",""สุพรรณบุรี!L52"")+IMPORTRANGE(""https://docs.google.com/spreadsheets/d/1BmIruG_sIrJLYao_Pdr7zVArWsfoBt2692TMi6x_854/edit"&amp;"?usp=sharing"",""อ่างทอง!L52"")"),0)</f>
        <v>0</v>
      </c>
      <c r="M53" s="132">
        <f ca="1">IFERROR(__xludf.DUMMYFUNCTION("IMPORTRANGE(""https://docs.google.com/spreadsheets/d/13wPX838HrBrQMCywv1BsuMkt4PEKTChp52zj44s2izQ/edit?usp=sharing"",""กาญจนบุรี!M52"")+IMPORTRANGE(""https://docs.google.com/spreadsheets/d/1ddFKvqj1W1NEiWytbGlB1zMx_ykJDVtmfEQ-6-lIUBA/edit?usp=sharing"","""&amp;"จันทบุรี!M52"")+IMPORTRANGE(""https://docs.google.com/spreadsheets/d/1T1PQvRODqOBZk8BRht_U031fIS1beLA0Ub2CEytj2q0/edit?usp=sharing"",""ฉะเชิงเทรา!M52"")+IMPORTRANGE(""https://docs.google.com/spreadsheets/d/11tr1B-Bhyr79v2bkwVh5h_fR-PStkgjlZtkrZpYurG0/edit"&amp;"?usp=sharing"",""ชลบุรี!M52"")+IMPORTRANGE(""https://docs.google.com/spreadsheets/d/1hh-FVnSX0vozXhGluamEcS54Dw9_zqW0N7qJUWgJ0Sw/edit?usp=sharing"",""ชัยนาท!M52"")+IMPORTRANGE(""https://docs.google.com/spreadsheets/d/1jkqa6GXxSacMcY1eN8AHjMNJ_7dDXMJVRLDla"&amp;"FSOdPM/edit?usp=sharing"",""ตราด!M52"")+IMPORTRANGE(""https://docs.google.com/spreadsheets/d/18hSgUJ3VwClqi_qtULmmW3cLr0oe3OKaSYoKzdpTsYQ/edit?usp=sharing"",""นครนายก!M52"")+IMPORTRANGE(""https://docs.google.com/spreadsheets/d/1YTZo6WM2dQ6Ix6FSdnL5P7uVnVK"&amp;"u40sxZu975tgG10E/edit?usp=sharing"",""นครปฐม!M52"")+IMPORTRANGE(""https://docs.google.com/spreadsheets/d/1OYoGg4WDg5RIzwGeB10padOxJF9E_Vljuvvct_M7RDo/edit?usp=sharing"",""ปทุมธานี!M52"")+IMPORTRANGE(""https://docs.google.com/spreadsheets/d/1GbCIE4D4wk9FUo"&amp;"zzqk7SxfDMxDVBwVmI5zcaVUSzKAc/edit?usp=sharing"",""ประจวบคีรีขันธ์!M52"")+IMPORTRANGE(""https://docs.google.com/spreadsheets/d/1vVf6wykvW_lAyu7Yo9L4hUTqHqIeP_qcVuxCtosJEbg/edit?usp=sharing"",""ปราจีนบุรี!M52"")+IMPORTRANGE(""https://docs.google.com/spread"&amp;"sheets/d/1BIDqLLg5jk3v59G8NlR8rk5xfQDKne0sAvZHSj7TI6I/edit?usp=sharing"",""พระนครศรีอยุธยา!M52"")+IMPORTRANGE(""https://docs.google.com/spreadsheets/d/1YXvxf8Yu6_rV4hTBrwMqAcAnv6DfhUxh5emyM3CJp_w/edit?usp=sharing"",""เพชรบุรี!M52"")+IMPORTRANGE(""https://"&amp;"docs.google.com/spreadsheets/d/19KBlQQs7uwvsao6t2n-KvW3Ax8J8uRRfZPq1zPbXgKc/edit?usp=sharing"",""ระยอง!M52"")+IMPORTRANGE(""https://docs.google.com/spreadsheets/d/1jQ6P4QcrGM89YfqcC_PxOHGCMq5ezhucwJd8ci-NHng/edit?usp=sharing"",""ราชบุรี!M52"")+IMPORTRANGE"&amp;"(""https://docs.google.com/spreadsheets/d/1lufeA2cfFqM-elVq2hznhDzC6Pr7wkJ9ZG_sYNGCMCU/edit?usp=sharing"",""ลพบุรี!M52"")+IMPORTRANGE(""https://docs.google.com/spreadsheets/d/10oOiF7loTyfsTkbd4MpaIm0HQ9SwB7IYHdIUvt-U1Uc/edit?usp=sharing"",""สระแก้ว!M52"")"&amp;"+IMPORTRANGE(""https://docs.google.com/spreadsheets/d/1xmPlrr1QbdSIKvl1dWUl9K4PjAfSL9oeMr_37QVzcxc/edit?usp=sharing"",""สระบุรี!M52"")+IMPORTRANGE(""https://docs.google.com/spreadsheets/d/1j51vR6CYVGhABJpv6tkstgok82RLpXieLzW1yOY5rHw/edit?usp=sharing"",""ส"&amp;"ิงห์บุรี!M52"")+IMPORTRANGE(""https://docs.google.com/spreadsheets/d/1H1EalTWKUSzO4Z1-1CwzoDUaVffgrThEBe2sl74kKG0/edit?usp=sharing"",""สุพรรณบุรี!M52"")+IMPORTRANGE(""https://docs.google.com/spreadsheets/d/1BmIruG_sIrJLYao_Pdr7zVArWsfoBt2692TMi6x_854/edit"&amp;"?usp=sharing"",""อ่างทอง!M52"")"),0)</f>
        <v>0</v>
      </c>
      <c r="N53" s="132">
        <f ca="1">IFERROR(__xludf.DUMMYFUNCTION("IMPORTRANGE(""https://docs.google.com/spreadsheets/d/13wPX838HrBrQMCywv1BsuMkt4PEKTChp52zj44s2izQ/edit?usp=sharing"",""กาญจนบุรี!N52"")+IMPORTRANGE(""https://docs.google.com/spreadsheets/d/1ddFKvqj1W1NEiWytbGlB1zMx_ykJDVtmfEQ-6-lIUBA/edit?usp=sharing"","""&amp;"จันทบุรี!N52"")+IMPORTRANGE(""https://docs.google.com/spreadsheets/d/1T1PQvRODqOBZk8BRht_U031fIS1beLA0Ub2CEytj2q0/edit?usp=sharing"",""ฉะเชิงเทรา!N52"")+IMPORTRANGE(""https://docs.google.com/spreadsheets/d/11tr1B-Bhyr79v2bkwVh5h_fR-PStkgjlZtkrZpYurG0/edit"&amp;"?usp=sharing"",""ชลบุรี!N52"")+IMPORTRANGE(""https://docs.google.com/spreadsheets/d/1hh-FVnSX0vozXhGluamEcS54Dw9_zqW0N7qJUWgJ0Sw/edit?usp=sharing"",""ชัยนาท!N52"")+IMPORTRANGE(""https://docs.google.com/spreadsheets/d/1jkqa6GXxSacMcY1eN8AHjMNJ_7dDXMJVRLDla"&amp;"FSOdPM/edit?usp=sharing"",""ตราด!N52"")+IMPORTRANGE(""https://docs.google.com/spreadsheets/d/18hSgUJ3VwClqi_qtULmmW3cLr0oe3OKaSYoKzdpTsYQ/edit?usp=sharing"",""นครนายก!N52"")+IMPORTRANGE(""https://docs.google.com/spreadsheets/d/1YTZo6WM2dQ6Ix6FSdnL5P7uVnVK"&amp;"u40sxZu975tgG10E/edit?usp=sharing"",""นครปฐม!N52"")+IMPORTRANGE(""https://docs.google.com/spreadsheets/d/1OYoGg4WDg5RIzwGeB10padOxJF9E_Vljuvvct_M7RDo/edit?usp=sharing"",""ปทุมธานี!N52"")+IMPORTRANGE(""https://docs.google.com/spreadsheets/d/1GbCIE4D4wk9FUo"&amp;"zzqk7SxfDMxDVBwVmI5zcaVUSzKAc/edit?usp=sharing"",""ประจวบคีรีขันธ์!N52"")+IMPORTRANGE(""https://docs.google.com/spreadsheets/d/1vVf6wykvW_lAyu7Yo9L4hUTqHqIeP_qcVuxCtosJEbg/edit?usp=sharing"",""ปราจีนบุรี!N52"")+IMPORTRANGE(""https://docs.google.com/spread"&amp;"sheets/d/1BIDqLLg5jk3v59G8NlR8rk5xfQDKne0sAvZHSj7TI6I/edit?usp=sharing"",""พระนครศรีอยุธยา!N52"")+IMPORTRANGE(""https://docs.google.com/spreadsheets/d/1YXvxf8Yu6_rV4hTBrwMqAcAnv6DfhUxh5emyM3CJp_w/edit?usp=sharing"",""เพชรบุรี!N52"")+IMPORTRANGE(""https://"&amp;"docs.google.com/spreadsheets/d/19KBlQQs7uwvsao6t2n-KvW3Ax8J8uRRfZPq1zPbXgKc/edit?usp=sharing"",""ระยอง!N52"")+IMPORTRANGE(""https://docs.google.com/spreadsheets/d/1jQ6P4QcrGM89YfqcC_PxOHGCMq5ezhucwJd8ci-NHng/edit?usp=sharing"",""ราชบุรี!N52"")+IMPORTRANGE"&amp;"(""https://docs.google.com/spreadsheets/d/1lufeA2cfFqM-elVq2hznhDzC6Pr7wkJ9ZG_sYNGCMCU/edit?usp=sharing"",""ลพบุรี!N52"")+IMPORTRANGE(""https://docs.google.com/spreadsheets/d/10oOiF7loTyfsTkbd4MpaIm0HQ9SwB7IYHdIUvt-U1Uc/edit?usp=sharing"",""สระแก้ว!N52"")"&amp;"+IMPORTRANGE(""https://docs.google.com/spreadsheets/d/1xmPlrr1QbdSIKvl1dWUl9K4PjAfSL9oeMr_37QVzcxc/edit?usp=sharing"",""สระบุรี!N52"")+IMPORTRANGE(""https://docs.google.com/spreadsheets/d/1j51vR6CYVGhABJpv6tkstgok82RLpXieLzW1yOY5rHw/edit?usp=sharing"",""ส"&amp;"ิงห์บุรี!N52"")+IMPORTRANGE(""https://docs.google.com/spreadsheets/d/1H1EalTWKUSzO4Z1-1CwzoDUaVffgrThEBe2sl74kKG0/edit?usp=sharing"",""สุพรรณบุรี!N52"")+IMPORTRANGE(""https://docs.google.com/spreadsheets/d/1BmIruG_sIrJLYao_Pdr7zVArWsfoBt2692TMi6x_854/edit"&amp;"?usp=sharing"",""อ่างทอง!N52"")"),0)</f>
        <v>0</v>
      </c>
      <c r="O53" s="132">
        <f t="shared" ca="1" si="23"/>
        <v>0</v>
      </c>
      <c r="P53" s="132">
        <f t="shared" ca="1" si="24"/>
        <v>0</v>
      </c>
      <c r="Q53" s="74">
        <f ca="1">IFERROR(__xludf.DUMMYFUNCTION("IMPORTRANGE(""https://docs.google.com/spreadsheets/d/13wPX838HrBrQMCywv1BsuMkt4PEKTChp52zj44s2izQ/edit?usp=sharing"",""กาญจนบุรี!Q52"")+IMPORTRANGE(""https://docs.google.com/spreadsheets/d/1ddFKvqj1W1NEiWytbGlB1zMx_ykJDVtmfEQ-6-lIUBA/edit?usp=sharing"","""&amp;"จันทบุรี!Q52"")+IMPORTRANGE(""https://docs.google.com/spreadsheets/d/1T1PQvRODqOBZk8BRht_U031fIS1beLA0Ub2CEytj2q0/edit?usp=sharing"",""ฉะเชิงเทรา!Q52"")+IMPORTRANGE(""https://docs.google.com/spreadsheets/d/11tr1B-Bhyr79v2bkwVh5h_fR-PStkgjlZtkrZpYurG0/edit"&amp;"?usp=sharing"",""ชลบุรี!Q52"")+IMPORTRANGE(""https://docs.google.com/spreadsheets/d/1hh-FVnSX0vozXhGluamEcS54Dw9_zqW0N7qJUWgJ0Sw/edit?usp=sharing"",""ชัยนาท!Q52"")+IMPORTRANGE(""https://docs.google.com/spreadsheets/d/1jkqa6GXxSacMcY1eN8AHjMNJ_7dDXMJVRLDla"&amp;"FSOdPM/edit?usp=sharing"",""ตราด!Q52"")+IMPORTRANGE(""https://docs.google.com/spreadsheets/d/18hSgUJ3VwClqi_qtULmmW3cLr0oe3OKaSYoKzdpTsYQ/edit?usp=sharing"",""นครนายก!Q52"")+IMPORTRANGE(""https://docs.google.com/spreadsheets/d/1YTZo6WM2dQ6Ix6FSdnL5P7uVnVK"&amp;"u40sxZu975tgG10E/edit?usp=sharing"",""นครปฐม!Q52"")+IMPORTRANGE(""https://docs.google.com/spreadsheets/d/1OYoGg4WDg5RIzwGeB10padOxJF9E_Vljuvvct_M7RDo/edit?usp=sharing"",""ปทุมธานี!Q52"")+IMPORTRANGE(""https://docs.google.com/spreadsheets/d/1GbCIE4D4wk9FUo"&amp;"zzqk7SxfDMxDVBwVmI5zcaVUSzKAc/edit?usp=sharing"",""ประจวบคีรีขันธ์!Q52"")+IMPORTRANGE(""https://docs.google.com/spreadsheets/d/1vVf6wykvW_lAyu7Yo9L4hUTqHqIeP_qcVuxCtosJEbg/edit?usp=sharing"",""ปราจีนบุรี!Q52"")+IMPORTRANGE(""https://docs.google.com/spread"&amp;"sheets/d/1BIDqLLg5jk3v59G8NlR8rk5xfQDKne0sAvZHSj7TI6I/edit?usp=sharing"",""พระนครศรีอยุธยา!Q52"")+IMPORTRANGE(""https://docs.google.com/spreadsheets/d/1YXvxf8Yu6_rV4hTBrwMqAcAnv6DfhUxh5emyM3CJp_w/edit?usp=sharing"",""เพชรบุรี!Q52"")+IMPORTRANGE(""https://"&amp;"docs.google.com/spreadsheets/d/19KBlQQs7uwvsao6t2n-KvW3Ax8J8uRRfZPq1zPbXgKc/edit?usp=sharing"",""ระยอง!Q52"")+IMPORTRANGE(""https://docs.google.com/spreadsheets/d/1jQ6P4QcrGM89YfqcC_PxOHGCMq5ezhucwJd8ci-NHng/edit?usp=sharing"",""ราชบุรี!Q52"")+IMPORTRANGE"&amp;"(""https://docs.google.com/spreadsheets/d/1lufeA2cfFqM-elVq2hznhDzC6Pr7wkJ9ZG_sYNGCMCU/edit?usp=sharing"",""ลพบุรี!Q52"")+IMPORTRANGE(""https://docs.google.com/spreadsheets/d/10oOiF7loTyfsTkbd4MpaIm0HQ9SwB7IYHdIUvt-U1Uc/edit?usp=sharing"",""สระแก้ว!Q52"")"&amp;"+IMPORTRANGE(""https://docs.google.com/spreadsheets/d/1xmPlrr1QbdSIKvl1dWUl9K4PjAfSL9oeMr_37QVzcxc/edit?usp=sharing"",""สระบุรี!Q52"")+IMPORTRANGE(""https://docs.google.com/spreadsheets/d/1j51vR6CYVGhABJpv6tkstgok82RLpXieLzW1yOY5rHw/edit?usp=sharing"",""ส"&amp;"ิงห์บุรี!Q52"")+IMPORTRANGE(""https://docs.google.com/spreadsheets/d/1H1EalTWKUSzO4Z1-1CwzoDUaVffgrThEBe2sl74kKG0/edit?usp=sharing"",""สุพรรณบุรี!Q52"")+IMPORTRANGE(""https://docs.google.com/spreadsheets/d/1BmIruG_sIrJLYao_Pdr7zVArWsfoBt2692TMi6x_854/edit"&amp;"?usp=sharing"",""อ่างทอง!Q52"")"),0)</f>
        <v>0</v>
      </c>
      <c r="R53" s="74">
        <f ca="1">IFERROR(__xludf.DUMMYFUNCTION("IMPORTRANGE(""https://docs.google.com/spreadsheets/d/13wPX838HrBrQMCywv1BsuMkt4PEKTChp52zj44s2izQ/edit?usp=sharing"",""กาญจนบุรี!R52"")+IMPORTRANGE(""https://docs.google.com/spreadsheets/d/1ddFKvqj1W1NEiWytbGlB1zMx_ykJDVtmfEQ-6-lIUBA/edit?usp=sharing"","""&amp;"จันทบุรี!R52"")+IMPORTRANGE(""https://docs.google.com/spreadsheets/d/1T1PQvRODqOBZk8BRht_U031fIS1beLA0Ub2CEytj2q0/edit?usp=sharing"",""ฉะเชิงเทรา!R52"")+IMPORTRANGE(""https://docs.google.com/spreadsheets/d/11tr1B-Bhyr79v2bkwVh5h_fR-PStkgjlZtkrZpYurG0/edit"&amp;"?usp=sharing"",""ชลบุรี!R52"")+IMPORTRANGE(""https://docs.google.com/spreadsheets/d/1hh-FVnSX0vozXhGluamEcS54Dw9_zqW0N7qJUWgJ0Sw/edit?usp=sharing"",""ชัยนาท!R52"")+IMPORTRANGE(""https://docs.google.com/spreadsheets/d/1jkqa6GXxSacMcY1eN8AHjMNJ_7dDXMJVRLDla"&amp;"FSOdPM/edit?usp=sharing"",""ตราด!R52"")+IMPORTRANGE(""https://docs.google.com/spreadsheets/d/18hSgUJ3VwClqi_qtULmmW3cLr0oe3OKaSYoKzdpTsYQ/edit?usp=sharing"",""นครนายก!R52"")+IMPORTRANGE(""https://docs.google.com/spreadsheets/d/1YTZo6WM2dQ6Ix6FSdnL5P7uVnVK"&amp;"u40sxZu975tgG10E/edit?usp=sharing"",""นครปฐม!R52"")+IMPORTRANGE(""https://docs.google.com/spreadsheets/d/1OYoGg4WDg5RIzwGeB10padOxJF9E_Vljuvvct_M7RDo/edit?usp=sharing"",""ปทุมธานี!R52"")+IMPORTRANGE(""https://docs.google.com/spreadsheets/d/1GbCIE4D4wk9FUo"&amp;"zzqk7SxfDMxDVBwVmI5zcaVUSzKAc/edit?usp=sharing"",""ประจวบคีรีขันธ์!R52"")+IMPORTRANGE(""https://docs.google.com/spreadsheets/d/1vVf6wykvW_lAyu7Yo9L4hUTqHqIeP_qcVuxCtosJEbg/edit?usp=sharing"",""ปราจีนบุรี!R52"")+IMPORTRANGE(""https://docs.google.com/spread"&amp;"sheets/d/1BIDqLLg5jk3v59G8NlR8rk5xfQDKne0sAvZHSj7TI6I/edit?usp=sharing"",""พระนครศรีอยุธยา!R52"")+IMPORTRANGE(""https://docs.google.com/spreadsheets/d/1YXvxf8Yu6_rV4hTBrwMqAcAnv6DfhUxh5emyM3CJp_w/edit?usp=sharing"",""เพชรบุรี!R52"")+IMPORTRANGE(""https://"&amp;"docs.google.com/spreadsheets/d/19KBlQQs7uwvsao6t2n-KvW3Ax8J8uRRfZPq1zPbXgKc/edit?usp=sharing"",""ระยอง!R52"")+IMPORTRANGE(""https://docs.google.com/spreadsheets/d/1jQ6P4QcrGM89YfqcC_PxOHGCMq5ezhucwJd8ci-NHng/edit?usp=sharing"",""ราชบุรี!R52"")+IMPORTRANGE"&amp;"(""https://docs.google.com/spreadsheets/d/1lufeA2cfFqM-elVq2hznhDzC6Pr7wkJ9ZG_sYNGCMCU/edit?usp=sharing"",""ลพบุรี!R52"")+IMPORTRANGE(""https://docs.google.com/spreadsheets/d/10oOiF7loTyfsTkbd4MpaIm0HQ9SwB7IYHdIUvt-U1Uc/edit?usp=sharing"",""สระแก้ว!R52"")"&amp;"+IMPORTRANGE(""https://docs.google.com/spreadsheets/d/1xmPlrr1QbdSIKvl1dWUl9K4PjAfSL9oeMr_37QVzcxc/edit?usp=sharing"",""สระบุรี!R52"")+IMPORTRANGE(""https://docs.google.com/spreadsheets/d/1j51vR6CYVGhABJpv6tkstgok82RLpXieLzW1yOY5rHw/edit?usp=sharing"",""ส"&amp;"ิงห์บุรี!R52"")+IMPORTRANGE(""https://docs.google.com/spreadsheets/d/1H1EalTWKUSzO4Z1-1CwzoDUaVffgrThEBe2sl74kKG0/edit?usp=sharing"",""สุพรรณบุรี!R52"")+IMPORTRANGE(""https://docs.google.com/spreadsheets/d/1BmIruG_sIrJLYao_Pdr7zVArWsfoBt2692TMi6x_854/edit"&amp;"?usp=sharing"",""อ่างทอง!R52"")"),0)</f>
        <v>0</v>
      </c>
      <c r="S53" s="74">
        <f ca="1">IFERROR(__xludf.DUMMYFUNCTION("IMPORTRANGE(""https://docs.google.com/spreadsheets/d/13wPX838HrBrQMCywv1BsuMkt4PEKTChp52zj44s2izQ/edit?usp=sharing"",""กาญจนบุรี!S52"")+IMPORTRANGE(""https://docs.google.com/spreadsheets/d/1ddFKvqj1W1NEiWytbGlB1zMx_ykJDVtmfEQ-6-lIUBA/edit?usp=sharing"","""&amp;"จันทบุรี!S52"")+IMPORTRANGE(""https://docs.google.com/spreadsheets/d/1T1PQvRODqOBZk8BRht_U031fIS1beLA0Ub2CEytj2q0/edit?usp=sharing"",""ฉะเชิงเทรา!S52"")+IMPORTRANGE(""https://docs.google.com/spreadsheets/d/11tr1B-Bhyr79v2bkwVh5h_fR-PStkgjlZtkrZpYurG0/edit"&amp;"?usp=sharing"",""ชลบุรี!S52"")+IMPORTRANGE(""https://docs.google.com/spreadsheets/d/1hh-FVnSX0vozXhGluamEcS54Dw9_zqW0N7qJUWgJ0Sw/edit?usp=sharing"",""ชัยนาท!S52"")+IMPORTRANGE(""https://docs.google.com/spreadsheets/d/1jkqa6GXxSacMcY1eN8AHjMNJ_7dDXMJVRLDla"&amp;"FSOdPM/edit?usp=sharing"",""ตราด!S52"")+IMPORTRANGE(""https://docs.google.com/spreadsheets/d/18hSgUJ3VwClqi_qtULmmW3cLr0oe3OKaSYoKzdpTsYQ/edit?usp=sharing"",""นครนายก!S52"")+IMPORTRANGE(""https://docs.google.com/spreadsheets/d/1YTZo6WM2dQ6Ix6FSdnL5P7uVnVK"&amp;"u40sxZu975tgG10E/edit?usp=sharing"",""นครปฐม!S52"")+IMPORTRANGE(""https://docs.google.com/spreadsheets/d/1OYoGg4WDg5RIzwGeB10padOxJF9E_Vljuvvct_M7RDo/edit?usp=sharing"",""ปทุมธานี!S52"")+IMPORTRANGE(""https://docs.google.com/spreadsheets/d/1GbCIE4D4wk9FUo"&amp;"zzqk7SxfDMxDVBwVmI5zcaVUSzKAc/edit?usp=sharing"",""ประจวบคีรีขันธ์!S52"")+IMPORTRANGE(""https://docs.google.com/spreadsheets/d/1vVf6wykvW_lAyu7Yo9L4hUTqHqIeP_qcVuxCtosJEbg/edit?usp=sharing"",""ปราจีนบุรี!S52"")+IMPORTRANGE(""https://docs.google.com/spread"&amp;"sheets/d/1BIDqLLg5jk3v59G8NlR8rk5xfQDKne0sAvZHSj7TI6I/edit?usp=sharing"",""พระนครศรีอยุธยา!S52"")+IMPORTRANGE(""https://docs.google.com/spreadsheets/d/1YXvxf8Yu6_rV4hTBrwMqAcAnv6DfhUxh5emyM3CJp_w/edit?usp=sharing"",""เพชรบุรี!S52"")+IMPORTRANGE(""https://"&amp;"docs.google.com/spreadsheets/d/19KBlQQs7uwvsao6t2n-KvW3Ax8J8uRRfZPq1zPbXgKc/edit?usp=sharing"",""ระยอง!S52"")+IMPORTRANGE(""https://docs.google.com/spreadsheets/d/1jQ6P4QcrGM89YfqcC_PxOHGCMq5ezhucwJd8ci-NHng/edit?usp=sharing"",""ราชบุรี!S52"")+IMPORTRANGE"&amp;"(""https://docs.google.com/spreadsheets/d/1lufeA2cfFqM-elVq2hznhDzC6Pr7wkJ9ZG_sYNGCMCU/edit?usp=sharing"",""ลพบุรี!S52"")+IMPORTRANGE(""https://docs.google.com/spreadsheets/d/10oOiF7loTyfsTkbd4MpaIm0HQ9SwB7IYHdIUvt-U1Uc/edit?usp=sharing"",""สระแก้ว!S52"")"&amp;"+IMPORTRANGE(""https://docs.google.com/spreadsheets/d/1xmPlrr1QbdSIKvl1dWUl9K4PjAfSL9oeMr_37QVzcxc/edit?usp=sharing"",""สระบุรี!S52"")+IMPORTRANGE(""https://docs.google.com/spreadsheets/d/1j51vR6CYVGhABJpv6tkstgok82RLpXieLzW1yOY5rHw/edit?usp=sharing"",""ส"&amp;"ิงห์บุรี!S52"")+IMPORTRANGE(""https://docs.google.com/spreadsheets/d/1H1EalTWKUSzO4Z1-1CwzoDUaVffgrThEBe2sl74kKG0/edit?usp=sharing"",""สุพรรณบุรี!S52"")+IMPORTRANGE(""https://docs.google.com/spreadsheets/d/1BmIruG_sIrJLYao_Pdr7zVArWsfoBt2692TMi6x_854/edit"&amp;"?usp=sharing"",""อ่างทอง!S52"")"),0)</f>
        <v>0</v>
      </c>
      <c r="T53" s="132">
        <f t="shared" ca="1" si="26"/>
        <v>0</v>
      </c>
      <c r="U53" s="132">
        <f t="shared" ca="1" si="27"/>
        <v>0</v>
      </c>
    </row>
    <row r="54" spans="1:21" ht="18.75" x14ac:dyDescent="0.25">
      <c r="A54" s="78"/>
      <c r="B54" s="79"/>
      <c r="C54" s="79"/>
      <c r="D54" s="80" t="s">
        <v>24</v>
      </c>
      <c r="E54" s="79"/>
      <c r="F54" s="79"/>
      <c r="G54" s="81"/>
      <c r="H54" s="82" t="s">
        <v>14</v>
      </c>
      <c r="I54" s="83"/>
      <c r="J54" s="83"/>
      <c r="K54" s="84"/>
      <c r="L54" s="85"/>
      <c r="M54" s="85"/>
      <c r="N54" s="85"/>
      <c r="O54" s="85"/>
      <c r="P54" s="85"/>
      <c r="Q54" s="85"/>
      <c r="R54" s="85"/>
      <c r="S54" s="85"/>
      <c r="T54" s="85"/>
      <c r="U54" s="85"/>
    </row>
    <row r="55" spans="1:21" ht="18.75" x14ac:dyDescent="0.25">
      <c r="A55" s="66"/>
      <c r="B55" s="67"/>
      <c r="C55" s="67"/>
      <c r="D55" s="67"/>
      <c r="E55" s="75" t="s">
        <v>20</v>
      </c>
      <c r="F55" s="67"/>
      <c r="G55" s="69"/>
      <c r="H55" s="70" t="s">
        <v>14</v>
      </c>
      <c r="I55" s="71"/>
      <c r="J55" s="71"/>
      <c r="K55" s="72"/>
      <c r="L55" s="88"/>
      <c r="M55" s="88"/>
      <c r="N55" s="88"/>
      <c r="O55" s="88"/>
      <c r="P55" s="88"/>
      <c r="Q55" s="88"/>
      <c r="R55" s="88"/>
      <c r="S55" s="88"/>
      <c r="T55" s="88"/>
      <c r="U55" s="88"/>
    </row>
    <row r="56" spans="1:21" ht="18.75" x14ac:dyDescent="0.25">
      <c r="A56" s="89"/>
      <c r="B56" s="90"/>
      <c r="C56" s="90"/>
      <c r="D56" s="90"/>
      <c r="E56" s="91" t="s">
        <v>21</v>
      </c>
      <c r="F56" s="90"/>
      <c r="G56" s="92"/>
      <c r="H56" s="93" t="s">
        <v>14</v>
      </c>
      <c r="I56" s="94"/>
      <c r="J56" s="94"/>
      <c r="K56" s="95"/>
      <c r="L56" s="96"/>
      <c r="M56" s="96"/>
      <c r="N56" s="96"/>
      <c r="O56" s="96"/>
      <c r="P56" s="96"/>
      <c r="Q56" s="96"/>
      <c r="R56" s="96"/>
      <c r="S56" s="96"/>
      <c r="T56" s="96"/>
      <c r="U56" s="96"/>
    </row>
    <row r="57" spans="1:21" ht="19.5" x14ac:dyDescent="0.3">
      <c r="A57" s="1352" t="s">
        <v>28</v>
      </c>
      <c r="B57" s="1353"/>
      <c r="C57" s="1353"/>
      <c r="D57" s="1353"/>
      <c r="E57" s="1353"/>
      <c r="F57" s="1353"/>
      <c r="G57" s="1353"/>
      <c r="H57" s="135"/>
      <c r="I57" s="136"/>
      <c r="J57" s="136"/>
      <c r="K57" s="137"/>
      <c r="L57" s="137"/>
      <c r="M57" s="137"/>
      <c r="N57" s="137"/>
      <c r="O57" s="137"/>
      <c r="P57" s="138"/>
      <c r="Q57" s="139"/>
      <c r="R57" s="140"/>
      <c r="S57" s="140"/>
      <c r="T57" s="140"/>
      <c r="U57" s="141"/>
    </row>
    <row r="58" spans="1:21" ht="19.5" x14ac:dyDescent="0.3">
      <c r="A58" s="142"/>
      <c r="B58" s="1354" t="s">
        <v>29</v>
      </c>
      <c r="C58" s="1343"/>
      <c r="D58" s="1343"/>
      <c r="E58" s="1343"/>
      <c r="F58" s="1343"/>
      <c r="G58" s="1344"/>
      <c r="H58" s="143"/>
      <c r="I58" s="144"/>
      <c r="J58" s="144"/>
      <c r="K58" s="145"/>
      <c r="L58" s="145"/>
      <c r="M58" s="145"/>
      <c r="N58" s="145"/>
      <c r="O58" s="145"/>
      <c r="P58" s="145"/>
      <c r="Q58" s="146"/>
      <c r="R58" s="147"/>
      <c r="S58" s="147"/>
      <c r="T58" s="147"/>
      <c r="U58" s="147"/>
    </row>
    <row r="59" spans="1:21" ht="19.5" x14ac:dyDescent="0.3">
      <c r="A59" s="148"/>
      <c r="B59" s="149" t="s">
        <v>30</v>
      </c>
      <c r="C59" s="150"/>
      <c r="D59" s="150"/>
      <c r="E59" s="150"/>
      <c r="F59" s="150"/>
      <c r="G59" s="151"/>
      <c r="H59" s="151"/>
      <c r="I59" s="152"/>
      <c r="J59" s="152"/>
      <c r="K59" s="153"/>
      <c r="L59" s="153"/>
      <c r="M59" s="153"/>
      <c r="N59" s="153"/>
      <c r="O59" s="153"/>
      <c r="P59" s="153"/>
      <c r="Q59" s="154"/>
      <c r="R59" s="155"/>
      <c r="S59" s="155"/>
      <c r="T59" s="155"/>
      <c r="U59" s="155"/>
    </row>
    <row r="60" spans="1:21" ht="19.5" x14ac:dyDescent="0.3">
      <c r="A60" s="156"/>
      <c r="B60" s="157"/>
      <c r="C60" s="158" t="s">
        <v>18</v>
      </c>
      <c r="D60" s="159" t="s">
        <v>19</v>
      </c>
      <c r="E60" s="157"/>
      <c r="F60" s="157"/>
      <c r="G60" s="160"/>
      <c r="H60" s="161" t="s">
        <v>14</v>
      </c>
      <c r="I60" s="162"/>
      <c r="J60" s="162"/>
      <c r="K60" s="163"/>
      <c r="L60" s="164">
        <f t="shared" ref="L60:N60" ca="1" si="36">L61+L62</f>
        <v>9570900</v>
      </c>
      <c r="M60" s="164">
        <f t="shared" ca="1" si="36"/>
        <v>9788980</v>
      </c>
      <c r="N60" s="164">
        <f t="shared" ca="1" si="36"/>
        <v>7133252.7699999996</v>
      </c>
      <c r="O60" s="164">
        <f t="shared" ref="O60:O68" ca="1" si="37">IF(L60&gt;0,N60*100/L60,0)</f>
        <v>74.530637348629696</v>
      </c>
      <c r="P60" s="164">
        <f t="shared" ref="P60:P68" ca="1" si="38">IF(M60&gt;0,N60*100/M60,0)</f>
        <v>72.870235407570547</v>
      </c>
      <c r="Q60" s="165">
        <f t="shared" ref="Q60:S60" ca="1" si="39">Q61+Q62</f>
        <v>0</v>
      </c>
      <c r="R60" s="166">
        <f t="shared" ca="1" si="39"/>
        <v>0</v>
      </c>
      <c r="S60" s="166">
        <f t="shared" ca="1" si="39"/>
        <v>0</v>
      </c>
      <c r="T60" s="166">
        <f t="shared" ref="T60:T68" ca="1" si="40">IF(Q60&gt;0,S60*100/Q60,0)</f>
        <v>0</v>
      </c>
      <c r="U60" s="166">
        <f t="shared" ref="U60:U68" ca="1" si="41">IF(R60&gt;0,S60*100/R60,0)</f>
        <v>0</v>
      </c>
    </row>
    <row r="61" spans="1:21" ht="18.75" x14ac:dyDescent="0.25">
      <c r="A61" s="156"/>
      <c r="B61" s="157"/>
      <c r="C61" s="157"/>
      <c r="D61" s="157"/>
      <c r="E61" s="167" t="s">
        <v>20</v>
      </c>
      <c r="F61" s="157"/>
      <c r="G61" s="160"/>
      <c r="H61" s="168" t="s">
        <v>14</v>
      </c>
      <c r="I61" s="162"/>
      <c r="J61" s="162"/>
      <c r="K61" s="163"/>
      <c r="L61" s="169">
        <f t="shared" ref="L61:N61" ca="1" si="42">L64+L67</f>
        <v>0</v>
      </c>
      <c r="M61" s="169">
        <f t="shared" ca="1" si="42"/>
        <v>0</v>
      </c>
      <c r="N61" s="169">
        <f t="shared" ca="1" si="42"/>
        <v>0</v>
      </c>
      <c r="O61" s="169">
        <f t="shared" ca="1" si="37"/>
        <v>0</v>
      </c>
      <c r="P61" s="169">
        <f t="shared" ca="1" si="38"/>
        <v>0</v>
      </c>
      <c r="Q61" s="170">
        <f t="shared" ref="Q61:S61" ca="1" si="43">Q64+Q67</f>
        <v>0</v>
      </c>
      <c r="R61" s="171">
        <f t="shared" ca="1" si="43"/>
        <v>0</v>
      </c>
      <c r="S61" s="171">
        <f t="shared" ca="1" si="43"/>
        <v>0</v>
      </c>
      <c r="T61" s="171">
        <f t="shared" ca="1" si="40"/>
        <v>0</v>
      </c>
      <c r="U61" s="171">
        <f t="shared" ca="1" si="41"/>
        <v>0</v>
      </c>
    </row>
    <row r="62" spans="1:21" ht="18.75" x14ac:dyDescent="0.25">
      <c r="A62" s="156"/>
      <c r="B62" s="157"/>
      <c r="C62" s="157"/>
      <c r="D62" s="157"/>
      <c r="E62" s="167" t="s">
        <v>21</v>
      </c>
      <c r="F62" s="157"/>
      <c r="G62" s="160"/>
      <c r="H62" s="168" t="s">
        <v>14</v>
      </c>
      <c r="I62" s="162"/>
      <c r="J62" s="162"/>
      <c r="K62" s="163"/>
      <c r="L62" s="169">
        <f t="shared" ref="L62:N62" ca="1" si="44">L65+L68</f>
        <v>9570900</v>
      </c>
      <c r="M62" s="169">
        <f t="shared" ca="1" si="44"/>
        <v>9788980</v>
      </c>
      <c r="N62" s="169">
        <f t="shared" ca="1" si="44"/>
        <v>7133252.7699999996</v>
      </c>
      <c r="O62" s="169">
        <f t="shared" ca="1" si="37"/>
        <v>74.530637348629696</v>
      </c>
      <c r="P62" s="169">
        <f t="shared" ca="1" si="38"/>
        <v>72.870235407570547</v>
      </c>
      <c r="Q62" s="172">
        <f t="shared" ref="Q62:S62" ca="1" si="45">Q65+Q68</f>
        <v>0</v>
      </c>
      <c r="R62" s="173">
        <f t="shared" ca="1" si="45"/>
        <v>0</v>
      </c>
      <c r="S62" s="173">
        <f t="shared" ca="1" si="45"/>
        <v>0</v>
      </c>
      <c r="T62" s="173">
        <f t="shared" ca="1" si="40"/>
        <v>0</v>
      </c>
      <c r="U62" s="173">
        <f t="shared" ca="1" si="41"/>
        <v>0</v>
      </c>
    </row>
    <row r="63" spans="1:21" ht="18.75" x14ac:dyDescent="0.25">
      <c r="A63" s="66"/>
      <c r="B63" s="67"/>
      <c r="C63" s="67"/>
      <c r="D63" s="68" t="s">
        <v>22</v>
      </c>
      <c r="E63" s="67"/>
      <c r="F63" s="67"/>
      <c r="G63" s="69"/>
      <c r="H63" s="70" t="s">
        <v>14</v>
      </c>
      <c r="I63" s="71"/>
      <c r="J63" s="71"/>
      <c r="K63" s="72"/>
      <c r="L63" s="88">
        <f t="shared" ref="L63:N63" ca="1" si="46">L64+L65</f>
        <v>9570900</v>
      </c>
      <c r="M63" s="88">
        <f t="shared" ca="1" si="46"/>
        <v>9788980</v>
      </c>
      <c r="N63" s="88">
        <f t="shared" ca="1" si="46"/>
        <v>7133252.7699999996</v>
      </c>
      <c r="O63" s="88">
        <f t="shared" ca="1" si="37"/>
        <v>74.530637348629696</v>
      </c>
      <c r="P63" s="88">
        <f t="shared" ca="1" si="38"/>
        <v>72.870235407570547</v>
      </c>
      <c r="Q63" s="131">
        <f t="shared" ref="Q63:S63" ca="1" si="47">Q64+Q65</f>
        <v>0</v>
      </c>
      <c r="R63" s="132">
        <f t="shared" ca="1" si="47"/>
        <v>0</v>
      </c>
      <c r="S63" s="132">
        <f t="shared" ca="1" si="47"/>
        <v>0</v>
      </c>
      <c r="T63" s="132">
        <f t="shared" ca="1" si="40"/>
        <v>0</v>
      </c>
      <c r="U63" s="132">
        <f t="shared" ca="1" si="41"/>
        <v>0</v>
      </c>
    </row>
    <row r="64" spans="1:21" ht="18.75" x14ac:dyDescent="0.25">
      <c r="A64" s="66"/>
      <c r="B64" s="67"/>
      <c r="C64" s="67"/>
      <c r="D64" s="67"/>
      <c r="E64" s="75" t="s">
        <v>20</v>
      </c>
      <c r="F64" s="67"/>
      <c r="G64" s="69"/>
      <c r="H64" s="70" t="s">
        <v>14</v>
      </c>
      <c r="I64" s="71"/>
      <c r="J64" s="71"/>
      <c r="K64" s="72"/>
      <c r="L64" s="88">
        <f ca="1">IFERROR(__xludf.DUMMYFUNCTION("IMPORTRANGE(""https://docs.google.com/spreadsheets/d/13wPX838HrBrQMCywv1BsuMkt4PEKTChp52zj44s2izQ/edit?usp=sharing"",""กาญจนบุรี!L63"")+IMPORTRANGE(""https://docs.google.com/spreadsheets/d/1ddFKvqj1W1NEiWytbGlB1zMx_ykJDVtmfEQ-6-lIUBA/edit?usp=sharing"","""&amp;"จันทบุรี!L63"")+IMPORTRANGE(""https://docs.google.com/spreadsheets/d/1T1PQvRODqOBZk8BRht_U031fIS1beLA0Ub2CEytj2q0/edit?usp=sharing"",""ฉะเชิงเทรา!L63"")+IMPORTRANGE(""https://docs.google.com/spreadsheets/d/11tr1B-Bhyr79v2bkwVh5h_fR-PStkgjlZtkrZpYurG0/edit"&amp;"?usp=sharing"",""ชลบุรี!L63"")+IMPORTRANGE(""https://docs.google.com/spreadsheets/d/1hh-FVnSX0vozXhGluamEcS54Dw9_zqW0N7qJUWgJ0Sw/edit?usp=sharing"",""ชัยนาท!L63"")+IMPORTRANGE(""https://docs.google.com/spreadsheets/d/1jkqa6GXxSacMcY1eN8AHjMNJ_7dDXMJVRLDla"&amp;"FSOdPM/edit?usp=sharing"",""ตราด!L63"")+IMPORTRANGE(""https://docs.google.com/spreadsheets/d/18hSgUJ3VwClqi_qtULmmW3cLr0oe3OKaSYoKzdpTsYQ/edit?usp=sharing"",""นครนายก!L63"")+IMPORTRANGE(""https://docs.google.com/spreadsheets/d/1YTZo6WM2dQ6Ix6FSdnL5P7uVnVK"&amp;"u40sxZu975tgG10E/edit?usp=sharing"",""นครปฐม!L63"")+IMPORTRANGE(""https://docs.google.com/spreadsheets/d/1OYoGg4WDg5RIzwGeB10padOxJF9E_Vljuvvct_M7RDo/edit?usp=sharing"",""ปทุมธานี!L63"")+IMPORTRANGE(""https://docs.google.com/spreadsheets/d/1GbCIE4D4wk9FUo"&amp;"zzqk7SxfDMxDVBwVmI5zcaVUSzKAc/edit?usp=sharing"",""ประจวบคีรีขันธ์!L63"")+IMPORTRANGE(""https://docs.google.com/spreadsheets/d/1vVf6wykvW_lAyu7Yo9L4hUTqHqIeP_qcVuxCtosJEbg/edit?usp=sharing"",""ปราจีนบุรี!L63"")+IMPORTRANGE(""https://docs.google.com/spread"&amp;"sheets/d/1BIDqLLg5jk3v59G8NlR8rk5xfQDKne0sAvZHSj7TI6I/edit?usp=sharing"",""พระนครศรีอยุธยา!L63"")+IMPORTRANGE(""https://docs.google.com/spreadsheets/d/1YXvxf8Yu6_rV4hTBrwMqAcAnv6DfhUxh5emyM3CJp_w/edit?usp=sharing"",""เพชรบุรี!L63"")+IMPORTRANGE(""https://"&amp;"docs.google.com/spreadsheets/d/19KBlQQs7uwvsao6t2n-KvW3Ax8J8uRRfZPq1zPbXgKc/edit?usp=sharing"",""ระยอง!L63"")+IMPORTRANGE(""https://docs.google.com/spreadsheets/d/1jQ6P4QcrGM89YfqcC_PxOHGCMq5ezhucwJd8ci-NHng/edit?usp=sharing"",""ราชบุรี!L63"")+IMPORTRANGE"&amp;"(""https://docs.google.com/spreadsheets/d/1lufeA2cfFqM-elVq2hznhDzC6Pr7wkJ9ZG_sYNGCMCU/edit?usp=sharing"",""ลพบุรี!L63"")+IMPORTRANGE(""https://docs.google.com/spreadsheets/d/10oOiF7loTyfsTkbd4MpaIm0HQ9SwB7IYHdIUvt-U1Uc/edit?usp=sharing"",""สระแก้ว!L63"")"&amp;"+IMPORTRANGE(""https://docs.google.com/spreadsheets/d/1xmPlrr1QbdSIKvl1dWUl9K4PjAfSL9oeMr_37QVzcxc/edit?usp=sharing"",""สระบุรี!L63"")+IMPORTRANGE(""https://docs.google.com/spreadsheets/d/1j51vR6CYVGhABJpv6tkstgok82RLpXieLzW1yOY5rHw/edit?usp=sharing"",""ส"&amp;"ิงห์บุรี!L63"")+IMPORTRANGE(""https://docs.google.com/spreadsheets/d/1H1EalTWKUSzO4Z1-1CwzoDUaVffgrThEBe2sl74kKG0/edit?usp=sharing"",""สุพรรณบุรี!L63"")+IMPORTRANGE(""https://docs.google.com/spreadsheets/d/1BmIruG_sIrJLYao_Pdr7zVArWsfoBt2692TMi6x_854/edit"&amp;"?usp=sharing"",""อ่างทอง!L63"")"),0)</f>
        <v>0</v>
      </c>
      <c r="M64" s="88">
        <f ca="1">IFERROR(__xludf.DUMMYFUNCTION("IMPORTRANGE(""https://docs.google.com/spreadsheets/d/13wPX838HrBrQMCywv1BsuMkt4PEKTChp52zj44s2izQ/edit?usp=sharing"",""กาญจนบุรี!M63"")+IMPORTRANGE(""https://docs.google.com/spreadsheets/d/1ddFKvqj1W1NEiWytbGlB1zMx_ykJDVtmfEQ-6-lIUBA/edit?usp=sharing"","""&amp;"จันทบุรี!M63"")+IMPORTRANGE(""https://docs.google.com/spreadsheets/d/1T1PQvRODqOBZk8BRht_U031fIS1beLA0Ub2CEytj2q0/edit?usp=sharing"",""ฉะเชิงเทรา!M63"")+IMPORTRANGE(""https://docs.google.com/spreadsheets/d/11tr1B-Bhyr79v2bkwVh5h_fR-PStkgjlZtkrZpYurG0/edit"&amp;"?usp=sharing"",""ชลบุรี!M63"")+IMPORTRANGE(""https://docs.google.com/spreadsheets/d/1hh-FVnSX0vozXhGluamEcS54Dw9_zqW0N7qJUWgJ0Sw/edit?usp=sharing"",""ชัยนาท!M63"")+IMPORTRANGE(""https://docs.google.com/spreadsheets/d/1jkqa6GXxSacMcY1eN8AHjMNJ_7dDXMJVRLDla"&amp;"FSOdPM/edit?usp=sharing"",""ตราด!M63"")+IMPORTRANGE(""https://docs.google.com/spreadsheets/d/18hSgUJ3VwClqi_qtULmmW3cLr0oe3OKaSYoKzdpTsYQ/edit?usp=sharing"",""นครนายก!M63"")+IMPORTRANGE(""https://docs.google.com/spreadsheets/d/1YTZo6WM2dQ6Ix6FSdnL5P7uVnVK"&amp;"u40sxZu975tgG10E/edit?usp=sharing"",""นครปฐม!M63"")+IMPORTRANGE(""https://docs.google.com/spreadsheets/d/1OYoGg4WDg5RIzwGeB10padOxJF9E_Vljuvvct_M7RDo/edit?usp=sharing"",""ปทุมธานี!M63"")+IMPORTRANGE(""https://docs.google.com/spreadsheets/d/1GbCIE4D4wk9FUo"&amp;"zzqk7SxfDMxDVBwVmI5zcaVUSzKAc/edit?usp=sharing"",""ประจวบคีรีขันธ์!M63"")+IMPORTRANGE(""https://docs.google.com/spreadsheets/d/1vVf6wykvW_lAyu7Yo9L4hUTqHqIeP_qcVuxCtosJEbg/edit?usp=sharing"",""ปราจีนบุรี!M63"")+IMPORTRANGE(""https://docs.google.com/spread"&amp;"sheets/d/1BIDqLLg5jk3v59G8NlR8rk5xfQDKne0sAvZHSj7TI6I/edit?usp=sharing"",""พระนครศรีอยุธยา!M63"")+IMPORTRANGE(""https://docs.google.com/spreadsheets/d/1YXvxf8Yu6_rV4hTBrwMqAcAnv6DfhUxh5emyM3CJp_w/edit?usp=sharing"",""เพชรบุรี!M63"")+IMPORTRANGE(""https://"&amp;"docs.google.com/spreadsheets/d/19KBlQQs7uwvsao6t2n-KvW3Ax8J8uRRfZPq1zPbXgKc/edit?usp=sharing"",""ระยอง!M63"")+IMPORTRANGE(""https://docs.google.com/spreadsheets/d/1jQ6P4QcrGM89YfqcC_PxOHGCMq5ezhucwJd8ci-NHng/edit?usp=sharing"",""ราชบุรี!M63"")+IMPORTRANGE"&amp;"(""https://docs.google.com/spreadsheets/d/1lufeA2cfFqM-elVq2hznhDzC6Pr7wkJ9ZG_sYNGCMCU/edit?usp=sharing"",""ลพบุรี!M63"")+IMPORTRANGE(""https://docs.google.com/spreadsheets/d/10oOiF7loTyfsTkbd4MpaIm0HQ9SwB7IYHdIUvt-U1Uc/edit?usp=sharing"",""สระแก้ว!M63"")"&amp;"+IMPORTRANGE(""https://docs.google.com/spreadsheets/d/1xmPlrr1QbdSIKvl1dWUl9K4PjAfSL9oeMr_37QVzcxc/edit?usp=sharing"",""สระบุรี!M63"")+IMPORTRANGE(""https://docs.google.com/spreadsheets/d/1j51vR6CYVGhABJpv6tkstgok82RLpXieLzW1yOY5rHw/edit?usp=sharing"",""ส"&amp;"ิงห์บุรี!M63"")+IMPORTRANGE(""https://docs.google.com/spreadsheets/d/1H1EalTWKUSzO4Z1-1CwzoDUaVffgrThEBe2sl74kKG0/edit?usp=sharing"",""สุพรรณบุรี!M63"")+IMPORTRANGE(""https://docs.google.com/spreadsheets/d/1BmIruG_sIrJLYao_Pdr7zVArWsfoBt2692TMi6x_854/edit"&amp;"?usp=sharing"",""อ่างทอง!M63"")"),0)</f>
        <v>0</v>
      </c>
      <c r="N64" s="88">
        <f ca="1">IFERROR(__xludf.DUMMYFUNCTION("IMPORTRANGE(""https://docs.google.com/spreadsheets/d/13wPX838HrBrQMCywv1BsuMkt4PEKTChp52zj44s2izQ/edit?usp=sharing"",""กาญจนบุรี!N63"")+IMPORTRANGE(""https://docs.google.com/spreadsheets/d/1ddFKvqj1W1NEiWytbGlB1zMx_ykJDVtmfEQ-6-lIUBA/edit?usp=sharing"","""&amp;"จันทบุรี!N63"")+IMPORTRANGE(""https://docs.google.com/spreadsheets/d/1T1PQvRODqOBZk8BRht_U031fIS1beLA0Ub2CEytj2q0/edit?usp=sharing"",""ฉะเชิงเทรา!N63"")+IMPORTRANGE(""https://docs.google.com/spreadsheets/d/11tr1B-Bhyr79v2bkwVh5h_fR-PStkgjlZtkrZpYurG0/edit"&amp;"?usp=sharing"",""ชลบุรี!N63"")+IMPORTRANGE(""https://docs.google.com/spreadsheets/d/1hh-FVnSX0vozXhGluamEcS54Dw9_zqW0N7qJUWgJ0Sw/edit?usp=sharing"",""ชัยนาท!N63"")+IMPORTRANGE(""https://docs.google.com/spreadsheets/d/1jkqa6GXxSacMcY1eN8AHjMNJ_7dDXMJVRLDla"&amp;"FSOdPM/edit?usp=sharing"",""ตราด!N63"")+IMPORTRANGE(""https://docs.google.com/spreadsheets/d/18hSgUJ3VwClqi_qtULmmW3cLr0oe3OKaSYoKzdpTsYQ/edit?usp=sharing"",""นครนายก!N63"")+IMPORTRANGE(""https://docs.google.com/spreadsheets/d/1YTZo6WM2dQ6Ix6FSdnL5P7uVnVK"&amp;"u40sxZu975tgG10E/edit?usp=sharing"",""นครปฐม!N63"")+IMPORTRANGE(""https://docs.google.com/spreadsheets/d/1OYoGg4WDg5RIzwGeB10padOxJF9E_Vljuvvct_M7RDo/edit?usp=sharing"",""ปทุมธานี!N63"")+IMPORTRANGE(""https://docs.google.com/spreadsheets/d/1GbCIE4D4wk9FUo"&amp;"zzqk7SxfDMxDVBwVmI5zcaVUSzKAc/edit?usp=sharing"",""ประจวบคีรีขันธ์!N63"")+IMPORTRANGE(""https://docs.google.com/spreadsheets/d/1vVf6wykvW_lAyu7Yo9L4hUTqHqIeP_qcVuxCtosJEbg/edit?usp=sharing"",""ปราจีนบุรี!N63"")+IMPORTRANGE(""https://docs.google.com/spread"&amp;"sheets/d/1BIDqLLg5jk3v59G8NlR8rk5xfQDKne0sAvZHSj7TI6I/edit?usp=sharing"",""พระนครศรีอยุธยา!N63"")+IMPORTRANGE(""https://docs.google.com/spreadsheets/d/1YXvxf8Yu6_rV4hTBrwMqAcAnv6DfhUxh5emyM3CJp_w/edit?usp=sharing"",""เพชรบุรี!N63"")+IMPORTRANGE(""https://"&amp;"docs.google.com/spreadsheets/d/19KBlQQs7uwvsao6t2n-KvW3Ax8J8uRRfZPq1zPbXgKc/edit?usp=sharing"",""ระยอง!N63"")+IMPORTRANGE(""https://docs.google.com/spreadsheets/d/1jQ6P4QcrGM89YfqcC_PxOHGCMq5ezhucwJd8ci-NHng/edit?usp=sharing"",""ราชบุรี!N63"")+IMPORTRANGE"&amp;"(""https://docs.google.com/spreadsheets/d/1lufeA2cfFqM-elVq2hznhDzC6Pr7wkJ9ZG_sYNGCMCU/edit?usp=sharing"",""ลพบุรี!N63"")+IMPORTRANGE(""https://docs.google.com/spreadsheets/d/10oOiF7loTyfsTkbd4MpaIm0HQ9SwB7IYHdIUvt-U1Uc/edit?usp=sharing"",""สระแก้ว!N63"")"&amp;"+IMPORTRANGE(""https://docs.google.com/spreadsheets/d/1xmPlrr1QbdSIKvl1dWUl9K4PjAfSL9oeMr_37QVzcxc/edit?usp=sharing"",""สระบุรี!N63"")+IMPORTRANGE(""https://docs.google.com/spreadsheets/d/1j51vR6CYVGhABJpv6tkstgok82RLpXieLzW1yOY5rHw/edit?usp=sharing"",""ส"&amp;"ิงห์บุรี!N63"")+IMPORTRANGE(""https://docs.google.com/spreadsheets/d/1H1EalTWKUSzO4Z1-1CwzoDUaVffgrThEBe2sl74kKG0/edit?usp=sharing"",""สุพรรณบุรี!N63"")+IMPORTRANGE(""https://docs.google.com/spreadsheets/d/1BmIruG_sIrJLYao_Pdr7zVArWsfoBt2692TMi6x_854/edit"&amp;"?usp=sharing"",""อ่างทอง!N63"")"),0)</f>
        <v>0</v>
      </c>
      <c r="O64" s="88">
        <f t="shared" ca="1" si="37"/>
        <v>0</v>
      </c>
      <c r="P64" s="88">
        <f t="shared" ca="1" si="38"/>
        <v>0</v>
      </c>
      <c r="Q64" s="76">
        <f ca="1">IFERROR(__xludf.DUMMYFUNCTION("IMPORTRANGE(""https://docs.google.com/spreadsheets/d/13wPX838HrBrQMCywv1BsuMkt4PEKTChp52zj44s2izQ/edit?usp=sharing"",""กาญจนบุรี!Q63"")+IMPORTRANGE(""https://docs.google.com/spreadsheets/d/1ddFKvqj1W1NEiWytbGlB1zMx_ykJDVtmfEQ-6-lIUBA/edit?usp=sharing"","""&amp;"จันทบุรี!Q63"")+IMPORTRANGE(""https://docs.google.com/spreadsheets/d/1T1PQvRODqOBZk8BRht_U031fIS1beLA0Ub2CEytj2q0/edit?usp=sharing"",""ฉะเชิงเทรา!Q63"")+IMPORTRANGE(""https://docs.google.com/spreadsheets/d/11tr1B-Bhyr79v2bkwVh5h_fR-PStkgjlZtkrZpYurG0/edit"&amp;"?usp=sharing"",""ชลบุรี!Q63"")+IMPORTRANGE(""https://docs.google.com/spreadsheets/d/1hh-FVnSX0vozXhGluamEcS54Dw9_zqW0N7qJUWgJ0Sw/edit?usp=sharing"",""ชัยนาท!Q63"")+IMPORTRANGE(""https://docs.google.com/spreadsheets/d/1jkqa6GXxSacMcY1eN8AHjMNJ_7dDXMJVRLDla"&amp;"FSOdPM/edit?usp=sharing"",""ตราด!Q63"")+IMPORTRANGE(""https://docs.google.com/spreadsheets/d/18hSgUJ3VwClqi_qtULmmW3cLr0oe3OKaSYoKzdpTsYQ/edit?usp=sharing"",""นครนายก!Q63"")+IMPORTRANGE(""https://docs.google.com/spreadsheets/d/1YTZo6WM2dQ6Ix6FSdnL5P7uVnVK"&amp;"u40sxZu975tgG10E/edit?usp=sharing"",""นครปฐม!Q63"")+IMPORTRANGE(""https://docs.google.com/spreadsheets/d/1OYoGg4WDg5RIzwGeB10padOxJF9E_Vljuvvct_M7RDo/edit?usp=sharing"",""ปทุมธานี!Q63"")+IMPORTRANGE(""https://docs.google.com/spreadsheets/d/1GbCIE4D4wk9FUo"&amp;"zzqk7SxfDMxDVBwVmI5zcaVUSzKAc/edit?usp=sharing"",""ประจวบคีรีขันธ์!Q63"")+IMPORTRANGE(""https://docs.google.com/spreadsheets/d/1vVf6wykvW_lAyu7Yo9L4hUTqHqIeP_qcVuxCtosJEbg/edit?usp=sharing"",""ปราจีนบุรี!Q63"")+IMPORTRANGE(""https://docs.google.com/spread"&amp;"sheets/d/1BIDqLLg5jk3v59G8NlR8rk5xfQDKne0sAvZHSj7TI6I/edit?usp=sharing"",""พระนครศรีอยุธยา!Q63"")+IMPORTRANGE(""https://docs.google.com/spreadsheets/d/1YXvxf8Yu6_rV4hTBrwMqAcAnv6DfhUxh5emyM3CJp_w/edit?usp=sharing"",""เพชรบุรี!Q63"")+IMPORTRANGE(""https://"&amp;"docs.google.com/spreadsheets/d/19KBlQQs7uwvsao6t2n-KvW3Ax8J8uRRfZPq1zPbXgKc/edit?usp=sharing"",""ระยอง!Q63"")+IMPORTRANGE(""https://docs.google.com/spreadsheets/d/1jQ6P4QcrGM89YfqcC_PxOHGCMq5ezhucwJd8ci-NHng/edit?usp=sharing"",""ราชบุรี!Q63"")+IMPORTRANGE"&amp;"(""https://docs.google.com/spreadsheets/d/1lufeA2cfFqM-elVq2hznhDzC6Pr7wkJ9ZG_sYNGCMCU/edit?usp=sharing"",""ลพบุรี!Q63"")+IMPORTRANGE(""https://docs.google.com/spreadsheets/d/10oOiF7loTyfsTkbd4MpaIm0HQ9SwB7IYHdIUvt-U1Uc/edit?usp=sharing"",""สระแก้ว!Q63"")"&amp;"+IMPORTRANGE(""https://docs.google.com/spreadsheets/d/1xmPlrr1QbdSIKvl1dWUl9K4PjAfSL9oeMr_37QVzcxc/edit?usp=sharing"",""สระบุรี!Q63"")+IMPORTRANGE(""https://docs.google.com/spreadsheets/d/1j51vR6CYVGhABJpv6tkstgok82RLpXieLzW1yOY5rHw/edit?usp=sharing"",""ส"&amp;"ิงห์บุรี!Q63"")+IMPORTRANGE(""https://docs.google.com/spreadsheets/d/1H1EalTWKUSzO4Z1-1CwzoDUaVffgrThEBe2sl74kKG0/edit?usp=sharing"",""สุพรรณบุรี!Q63"")+IMPORTRANGE(""https://docs.google.com/spreadsheets/d/1BmIruG_sIrJLYao_Pdr7zVArWsfoBt2692TMi6x_854/edit"&amp;"?usp=sharing"",""อ่างทอง!Q63"")"),0)</f>
        <v>0</v>
      </c>
      <c r="R64" s="77">
        <f ca="1">IFERROR(__xludf.DUMMYFUNCTION("IMPORTRANGE(""https://docs.google.com/spreadsheets/d/13wPX838HrBrQMCywv1BsuMkt4PEKTChp52zj44s2izQ/edit?usp=sharing"",""กาญจนบุรี!R63"")+IMPORTRANGE(""https://docs.google.com/spreadsheets/d/1ddFKvqj1W1NEiWytbGlB1zMx_ykJDVtmfEQ-6-lIUBA/edit?usp=sharing"","""&amp;"จันทบุรี!R63"")+IMPORTRANGE(""https://docs.google.com/spreadsheets/d/1T1PQvRODqOBZk8BRht_U031fIS1beLA0Ub2CEytj2q0/edit?usp=sharing"",""ฉะเชิงเทรา!R63"")+IMPORTRANGE(""https://docs.google.com/spreadsheets/d/11tr1B-Bhyr79v2bkwVh5h_fR-PStkgjlZtkrZpYurG0/edit"&amp;"?usp=sharing"",""ชลบุรี!R63"")+IMPORTRANGE(""https://docs.google.com/spreadsheets/d/1hh-FVnSX0vozXhGluamEcS54Dw9_zqW0N7qJUWgJ0Sw/edit?usp=sharing"",""ชัยนาท!R63"")+IMPORTRANGE(""https://docs.google.com/spreadsheets/d/1jkqa6GXxSacMcY1eN8AHjMNJ_7dDXMJVRLDla"&amp;"FSOdPM/edit?usp=sharing"",""ตราด!R63"")+IMPORTRANGE(""https://docs.google.com/spreadsheets/d/18hSgUJ3VwClqi_qtULmmW3cLr0oe3OKaSYoKzdpTsYQ/edit?usp=sharing"",""นครนายก!R63"")+IMPORTRANGE(""https://docs.google.com/spreadsheets/d/1YTZo6WM2dQ6Ix6FSdnL5P7uVnVK"&amp;"u40sxZu975tgG10E/edit?usp=sharing"",""นครปฐม!R63"")+IMPORTRANGE(""https://docs.google.com/spreadsheets/d/1OYoGg4WDg5RIzwGeB10padOxJF9E_Vljuvvct_M7RDo/edit?usp=sharing"",""ปทุมธานี!R63"")+IMPORTRANGE(""https://docs.google.com/spreadsheets/d/1GbCIE4D4wk9FUo"&amp;"zzqk7SxfDMxDVBwVmI5zcaVUSzKAc/edit?usp=sharing"",""ประจวบคีรีขันธ์!R63"")+IMPORTRANGE(""https://docs.google.com/spreadsheets/d/1vVf6wykvW_lAyu7Yo9L4hUTqHqIeP_qcVuxCtosJEbg/edit?usp=sharing"",""ปราจีนบุรี!R63"")+IMPORTRANGE(""https://docs.google.com/spread"&amp;"sheets/d/1BIDqLLg5jk3v59G8NlR8rk5xfQDKne0sAvZHSj7TI6I/edit?usp=sharing"",""พระนครศรีอยุธยา!R63"")+IMPORTRANGE(""https://docs.google.com/spreadsheets/d/1YXvxf8Yu6_rV4hTBrwMqAcAnv6DfhUxh5emyM3CJp_w/edit?usp=sharing"",""เพชรบุรี!R63"")+IMPORTRANGE(""https://"&amp;"docs.google.com/spreadsheets/d/19KBlQQs7uwvsao6t2n-KvW3Ax8J8uRRfZPq1zPbXgKc/edit?usp=sharing"",""ระยอง!R63"")+IMPORTRANGE(""https://docs.google.com/spreadsheets/d/1jQ6P4QcrGM89YfqcC_PxOHGCMq5ezhucwJd8ci-NHng/edit?usp=sharing"",""ราชบุรี!R63"")+IMPORTRANGE"&amp;"(""https://docs.google.com/spreadsheets/d/1lufeA2cfFqM-elVq2hznhDzC6Pr7wkJ9ZG_sYNGCMCU/edit?usp=sharing"",""ลพบุรี!R63"")+IMPORTRANGE(""https://docs.google.com/spreadsheets/d/10oOiF7loTyfsTkbd4MpaIm0HQ9SwB7IYHdIUvt-U1Uc/edit?usp=sharing"",""สระแก้ว!R63"")"&amp;"+IMPORTRANGE(""https://docs.google.com/spreadsheets/d/1xmPlrr1QbdSIKvl1dWUl9K4PjAfSL9oeMr_37QVzcxc/edit?usp=sharing"",""สระบุรี!R63"")+IMPORTRANGE(""https://docs.google.com/spreadsheets/d/1j51vR6CYVGhABJpv6tkstgok82RLpXieLzW1yOY5rHw/edit?usp=sharing"",""ส"&amp;"ิงห์บุรี!R63"")+IMPORTRANGE(""https://docs.google.com/spreadsheets/d/1H1EalTWKUSzO4Z1-1CwzoDUaVffgrThEBe2sl74kKG0/edit?usp=sharing"",""สุพรรณบุรี!R63"")+IMPORTRANGE(""https://docs.google.com/spreadsheets/d/1BmIruG_sIrJLYao_Pdr7zVArWsfoBt2692TMi6x_854/edit"&amp;"?usp=sharing"",""อ่างทอง!R63"")"),0)</f>
        <v>0</v>
      </c>
      <c r="S64" s="77">
        <f ca="1">IFERROR(__xludf.DUMMYFUNCTION("IMPORTRANGE(""https://docs.google.com/spreadsheets/d/13wPX838HrBrQMCywv1BsuMkt4PEKTChp52zj44s2izQ/edit?usp=sharing"",""กาญจนบุรี!S63"")+IMPORTRANGE(""https://docs.google.com/spreadsheets/d/1ddFKvqj1W1NEiWytbGlB1zMx_ykJDVtmfEQ-6-lIUBA/edit?usp=sharing"","""&amp;"จันทบุรี!S63"")+IMPORTRANGE(""https://docs.google.com/spreadsheets/d/1T1PQvRODqOBZk8BRht_U031fIS1beLA0Ub2CEytj2q0/edit?usp=sharing"",""ฉะเชิงเทรา!S63"")+IMPORTRANGE(""https://docs.google.com/spreadsheets/d/11tr1B-Bhyr79v2bkwVh5h_fR-PStkgjlZtkrZpYurG0/edit"&amp;"?usp=sharing"",""ชลบุรี!S63"")+IMPORTRANGE(""https://docs.google.com/spreadsheets/d/1hh-FVnSX0vozXhGluamEcS54Dw9_zqW0N7qJUWgJ0Sw/edit?usp=sharing"",""ชัยนาท!S63"")+IMPORTRANGE(""https://docs.google.com/spreadsheets/d/1jkqa6GXxSacMcY1eN8AHjMNJ_7dDXMJVRLDla"&amp;"FSOdPM/edit?usp=sharing"",""ตราด!S63"")+IMPORTRANGE(""https://docs.google.com/spreadsheets/d/18hSgUJ3VwClqi_qtULmmW3cLr0oe3OKaSYoKzdpTsYQ/edit?usp=sharing"",""นครนายก!S63"")+IMPORTRANGE(""https://docs.google.com/spreadsheets/d/1YTZo6WM2dQ6Ix6FSdnL5P7uVnVK"&amp;"u40sxZu975tgG10E/edit?usp=sharing"",""นครปฐม!S63"")+IMPORTRANGE(""https://docs.google.com/spreadsheets/d/1OYoGg4WDg5RIzwGeB10padOxJF9E_Vljuvvct_M7RDo/edit?usp=sharing"",""ปทุมธานี!S63"")+IMPORTRANGE(""https://docs.google.com/spreadsheets/d/1GbCIE4D4wk9FUo"&amp;"zzqk7SxfDMxDVBwVmI5zcaVUSzKAc/edit?usp=sharing"",""ประจวบคีรีขันธ์!S63"")+IMPORTRANGE(""https://docs.google.com/spreadsheets/d/1vVf6wykvW_lAyu7Yo9L4hUTqHqIeP_qcVuxCtosJEbg/edit?usp=sharing"",""ปราจีนบุรี!S63"")+IMPORTRANGE(""https://docs.google.com/spread"&amp;"sheets/d/1BIDqLLg5jk3v59G8NlR8rk5xfQDKne0sAvZHSj7TI6I/edit?usp=sharing"",""พระนครศรีอยุธยา!S63"")+IMPORTRANGE(""https://docs.google.com/spreadsheets/d/1YXvxf8Yu6_rV4hTBrwMqAcAnv6DfhUxh5emyM3CJp_w/edit?usp=sharing"",""เพชรบุรี!S63"")+IMPORTRANGE(""https://"&amp;"docs.google.com/spreadsheets/d/19KBlQQs7uwvsao6t2n-KvW3Ax8J8uRRfZPq1zPbXgKc/edit?usp=sharing"",""ระยอง!S63"")+IMPORTRANGE(""https://docs.google.com/spreadsheets/d/1jQ6P4QcrGM89YfqcC_PxOHGCMq5ezhucwJd8ci-NHng/edit?usp=sharing"",""ราชบุรี!S63"")+IMPORTRANGE"&amp;"(""https://docs.google.com/spreadsheets/d/1lufeA2cfFqM-elVq2hznhDzC6Pr7wkJ9ZG_sYNGCMCU/edit?usp=sharing"",""ลพบุรี!S63"")+IMPORTRANGE(""https://docs.google.com/spreadsheets/d/10oOiF7loTyfsTkbd4MpaIm0HQ9SwB7IYHdIUvt-U1Uc/edit?usp=sharing"",""สระแก้ว!S63"")"&amp;"+IMPORTRANGE(""https://docs.google.com/spreadsheets/d/1xmPlrr1QbdSIKvl1dWUl9K4PjAfSL9oeMr_37QVzcxc/edit?usp=sharing"",""สระบุรี!S63"")+IMPORTRANGE(""https://docs.google.com/spreadsheets/d/1j51vR6CYVGhABJpv6tkstgok82RLpXieLzW1yOY5rHw/edit?usp=sharing"",""ส"&amp;"ิงห์บุรี!S63"")+IMPORTRANGE(""https://docs.google.com/spreadsheets/d/1H1EalTWKUSzO4Z1-1CwzoDUaVffgrThEBe2sl74kKG0/edit?usp=sharing"",""สุพรรณบุรี!S63"")+IMPORTRANGE(""https://docs.google.com/spreadsheets/d/1BmIruG_sIrJLYao_Pdr7zVArWsfoBt2692TMi6x_854/edit"&amp;"?usp=sharing"",""อ่างทอง!S63"")"),0)</f>
        <v>0</v>
      </c>
      <c r="T64" s="133">
        <f t="shared" ca="1" si="40"/>
        <v>0</v>
      </c>
      <c r="U64" s="133">
        <f t="shared" ca="1" si="41"/>
        <v>0</v>
      </c>
    </row>
    <row r="65" spans="1:21" ht="18.75" x14ac:dyDescent="0.25">
      <c r="A65" s="66"/>
      <c r="B65" s="67"/>
      <c r="C65" s="67"/>
      <c r="D65" s="67"/>
      <c r="E65" s="75" t="s">
        <v>21</v>
      </c>
      <c r="F65" s="67"/>
      <c r="G65" s="69"/>
      <c r="H65" s="70" t="s">
        <v>14</v>
      </c>
      <c r="I65" s="71"/>
      <c r="J65" s="71"/>
      <c r="K65" s="72"/>
      <c r="L65" s="88">
        <f ca="1">IFERROR(__xludf.DUMMYFUNCTION("IMPORTRANGE(""https://docs.google.com/spreadsheets/d/13wPX838HrBrQMCywv1BsuMkt4PEKTChp52zj44s2izQ/edit?usp=sharing"",""กาญจนบุรี!L64"")+IMPORTRANGE(""https://docs.google.com/spreadsheets/d/1ddFKvqj1W1NEiWytbGlB1zMx_ykJDVtmfEQ-6-lIUBA/edit?usp=sharing"","""&amp;"จันทบุรี!L64"")+IMPORTRANGE(""https://docs.google.com/spreadsheets/d/1T1PQvRODqOBZk8BRht_U031fIS1beLA0Ub2CEytj2q0/edit?usp=sharing"",""ฉะเชิงเทรา!L64"")+IMPORTRANGE(""https://docs.google.com/spreadsheets/d/11tr1B-Bhyr79v2bkwVh5h_fR-PStkgjlZtkrZpYurG0/edit"&amp;"?usp=sharing"",""ชลบุรี!L64"")+IMPORTRANGE(""https://docs.google.com/spreadsheets/d/1hh-FVnSX0vozXhGluamEcS54Dw9_zqW0N7qJUWgJ0Sw/edit?usp=sharing"",""ชัยนาท!L64"")+IMPORTRANGE(""https://docs.google.com/spreadsheets/d/1jkqa6GXxSacMcY1eN8AHjMNJ_7dDXMJVRLDla"&amp;"FSOdPM/edit?usp=sharing"",""ตราด!L64"")+IMPORTRANGE(""https://docs.google.com/spreadsheets/d/18hSgUJ3VwClqi_qtULmmW3cLr0oe3OKaSYoKzdpTsYQ/edit?usp=sharing"",""นครนายก!L64"")+IMPORTRANGE(""https://docs.google.com/spreadsheets/d/1YTZo6WM2dQ6Ix6FSdnL5P7uVnVK"&amp;"u40sxZu975tgG10E/edit?usp=sharing"",""นครปฐม!L64"")+IMPORTRANGE(""https://docs.google.com/spreadsheets/d/1OYoGg4WDg5RIzwGeB10padOxJF9E_Vljuvvct_M7RDo/edit?usp=sharing"",""ปทุมธานี!L64"")+IMPORTRANGE(""https://docs.google.com/spreadsheets/d/1GbCIE4D4wk9FUo"&amp;"zzqk7SxfDMxDVBwVmI5zcaVUSzKAc/edit?usp=sharing"",""ประจวบคีรีขันธ์!L64"")+IMPORTRANGE(""https://docs.google.com/spreadsheets/d/1vVf6wykvW_lAyu7Yo9L4hUTqHqIeP_qcVuxCtosJEbg/edit?usp=sharing"",""ปราจีนบุรี!L64"")+IMPORTRANGE(""https://docs.google.com/spread"&amp;"sheets/d/1BIDqLLg5jk3v59G8NlR8rk5xfQDKne0sAvZHSj7TI6I/edit?usp=sharing"",""พระนครศรีอยุธยา!L64"")+IMPORTRANGE(""https://docs.google.com/spreadsheets/d/1YXvxf8Yu6_rV4hTBrwMqAcAnv6DfhUxh5emyM3CJp_w/edit?usp=sharing"",""เพชรบุรี!L64"")+IMPORTRANGE(""https://"&amp;"docs.google.com/spreadsheets/d/19KBlQQs7uwvsao6t2n-KvW3Ax8J8uRRfZPq1zPbXgKc/edit?usp=sharing"",""ระยอง!L64"")+IMPORTRANGE(""https://docs.google.com/spreadsheets/d/1jQ6P4QcrGM89YfqcC_PxOHGCMq5ezhucwJd8ci-NHng/edit?usp=sharing"",""ราชบุรี!L64"")+IMPORTRANGE"&amp;"(""https://docs.google.com/spreadsheets/d/1lufeA2cfFqM-elVq2hznhDzC6Pr7wkJ9ZG_sYNGCMCU/edit?usp=sharing"",""ลพบุรี!L64"")+IMPORTRANGE(""https://docs.google.com/spreadsheets/d/10oOiF7loTyfsTkbd4MpaIm0HQ9SwB7IYHdIUvt-U1Uc/edit?usp=sharing"",""สระแก้ว!L64"")"&amp;"+IMPORTRANGE(""https://docs.google.com/spreadsheets/d/1xmPlrr1QbdSIKvl1dWUl9K4PjAfSL9oeMr_37QVzcxc/edit?usp=sharing"",""สระบุรี!L64"")+IMPORTRANGE(""https://docs.google.com/spreadsheets/d/1j51vR6CYVGhABJpv6tkstgok82RLpXieLzW1yOY5rHw/edit?usp=sharing"",""ส"&amp;"ิงห์บุรี!L64"")+IMPORTRANGE(""https://docs.google.com/spreadsheets/d/1H1EalTWKUSzO4Z1-1CwzoDUaVffgrThEBe2sl74kKG0/edit?usp=sharing"",""สุพรรณบุรี!L64"")+IMPORTRANGE(""https://docs.google.com/spreadsheets/d/1BmIruG_sIrJLYao_Pdr7zVArWsfoBt2692TMi6x_854/edit"&amp;"?usp=sharing"",""อ่างทอง!L64"")"),9570900)</f>
        <v>9570900</v>
      </c>
      <c r="M65" s="88">
        <f ca="1">IFERROR(__xludf.DUMMYFUNCTION("IMPORTRANGE(""https://docs.google.com/spreadsheets/d/13wPX838HrBrQMCywv1BsuMkt4PEKTChp52zj44s2izQ/edit?usp=sharing"",""กาญจนบุรี!M64"")+IMPORTRANGE(""https://docs.google.com/spreadsheets/d/1ddFKvqj1W1NEiWytbGlB1zMx_ykJDVtmfEQ-6-lIUBA/edit?usp=sharing"","""&amp;"จันทบุรี!M64"")+IMPORTRANGE(""https://docs.google.com/spreadsheets/d/1T1PQvRODqOBZk8BRht_U031fIS1beLA0Ub2CEytj2q0/edit?usp=sharing"",""ฉะเชิงเทรา!M64"")+IMPORTRANGE(""https://docs.google.com/spreadsheets/d/11tr1B-Bhyr79v2bkwVh5h_fR-PStkgjlZtkrZpYurG0/edit"&amp;"?usp=sharing"",""ชลบุรี!M64"")+IMPORTRANGE(""https://docs.google.com/spreadsheets/d/1hh-FVnSX0vozXhGluamEcS54Dw9_zqW0N7qJUWgJ0Sw/edit?usp=sharing"",""ชัยนาท!M64"")+IMPORTRANGE(""https://docs.google.com/spreadsheets/d/1jkqa6GXxSacMcY1eN8AHjMNJ_7dDXMJVRLDla"&amp;"FSOdPM/edit?usp=sharing"",""ตราด!M64"")+IMPORTRANGE(""https://docs.google.com/spreadsheets/d/18hSgUJ3VwClqi_qtULmmW3cLr0oe3OKaSYoKzdpTsYQ/edit?usp=sharing"",""นครนายก!M64"")+IMPORTRANGE(""https://docs.google.com/spreadsheets/d/1YTZo6WM2dQ6Ix6FSdnL5P7uVnVK"&amp;"u40sxZu975tgG10E/edit?usp=sharing"",""นครปฐม!M64"")+IMPORTRANGE(""https://docs.google.com/spreadsheets/d/1OYoGg4WDg5RIzwGeB10padOxJF9E_Vljuvvct_M7RDo/edit?usp=sharing"",""ปทุมธานี!M64"")+IMPORTRANGE(""https://docs.google.com/spreadsheets/d/1GbCIE4D4wk9FUo"&amp;"zzqk7SxfDMxDVBwVmI5zcaVUSzKAc/edit?usp=sharing"",""ประจวบคีรีขันธ์!M64"")+IMPORTRANGE(""https://docs.google.com/spreadsheets/d/1vVf6wykvW_lAyu7Yo9L4hUTqHqIeP_qcVuxCtosJEbg/edit?usp=sharing"",""ปราจีนบุรี!M64"")+IMPORTRANGE(""https://docs.google.com/spread"&amp;"sheets/d/1BIDqLLg5jk3v59G8NlR8rk5xfQDKne0sAvZHSj7TI6I/edit?usp=sharing"",""พระนครศรีอยุธยา!M64"")+IMPORTRANGE(""https://docs.google.com/spreadsheets/d/1YXvxf8Yu6_rV4hTBrwMqAcAnv6DfhUxh5emyM3CJp_w/edit?usp=sharing"",""เพชรบุรี!M64"")+IMPORTRANGE(""https://"&amp;"docs.google.com/spreadsheets/d/19KBlQQs7uwvsao6t2n-KvW3Ax8J8uRRfZPq1zPbXgKc/edit?usp=sharing"",""ระยอง!M64"")+IMPORTRANGE(""https://docs.google.com/spreadsheets/d/1jQ6P4QcrGM89YfqcC_PxOHGCMq5ezhucwJd8ci-NHng/edit?usp=sharing"",""ราชบุรี!M64"")+IMPORTRANGE"&amp;"(""https://docs.google.com/spreadsheets/d/1lufeA2cfFqM-elVq2hznhDzC6Pr7wkJ9ZG_sYNGCMCU/edit?usp=sharing"",""ลพบุรี!M64"")+IMPORTRANGE(""https://docs.google.com/spreadsheets/d/10oOiF7loTyfsTkbd4MpaIm0HQ9SwB7IYHdIUvt-U1Uc/edit?usp=sharing"",""สระแก้ว!M64"")"&amp;"+IMPORTRANGE(""https://docs.google.com/spreadsheets/d/1xmPlrr1QbdSIKvl1dWUl9K4PjAfSL9oeMr_37QVzcxc/edit?usp=sharing"",""สระบุรี!M64"")+IMPORTRANGE(""https://docs.google.com/spreadsheets/d/1j51vR6CYVGhABJpv6tkstgok82RLpXieLzW1yOY5rHw/edit?usp=sharing"",""ส"&amp;"ิงห์บุรี!M64"")+IMPORTRANGE(""https://docs.google.com/spreadsheets/d/1H1EalTWKUSzO4Z1-1CwzoDUaVffgrThEBe2sl74kKG0/edit?usp=sharing"",""สุพรรณบุรี!M64"")+IMPORTRANGE(""https://docs.google.com/spreadsheets/d/1BmIruG_sIrJLYao_Pdr7zVArWsfoBt2692TMi6x_854/edit"&amp;"?usp=sharing"",""อ่างทอง!M64"")"),9788980)</f>
        <v>9788980</v>
      </c>
      <c r="N65" s="88">
        <f ca="1">IFERROR(__xludf.DUMMYFUNCTION("IMPORTRANGE(""https://docs.google.com/spreadsheets/d/13wPX838HrBrQMCywv1BsuMkt4PEKTChp52zj44s2izQ/edit?usp=sharing"",""กาญจนบุรี!N64"")+IMPORTRANGE(""https://docs.google.com/spreadsheets/d/1ddFKvqj1W1NEiWytbGlB1zMx_ykJDVtmfEQ-6-lIUBA/edit?usp=sharing"","""&amp;"จันทบุรี!N64"")+IMPORTRANGE(""https://docs.google.com/spreadsheets/d/1T1PQvRODqOBZk8BRht_U031fIS1beLA0Ub2CEytj2q0/edit?usp=sharing"",""ฉะเชิงเทรา!N64"")+IMPORTRANGE(""https://docs.google.com/spreadsheets/d/11tr1B-Bhyr79v2bkwVh5h_fR-PStkgjlZtkrZpYurG0/edit"&amp;"?usp=sharing"",""ชลบุรี!N64"")+IMPORTRANGE(""https://docs.google.com/spreadsheets/d/1hh-FVnSX0vozXhGluamEcS54Dw9_zqW0N7qJUWgJ0Sw/edit?usp=sharing"",""ชัยนาท!N64"")+IMPORTRANGE(""https://docs.google.com/spreadsheets/d/1jkqa6GXxSacMcY1eN8AHjMNJ_7dDXMJVRLDla"&amp;"FSOdPM/edit?usp=sharing"",""ตราด!N64"")+IMPORTRANGE(""https://docs.google.com/spreadsheets/d/18hSgUJ3VwClqi_qtULmmW3cLr0oe3OKaSYoKzdpTsYQ/edit?usp=sharing"",""นครนายก!N64"")+IMPORTRANGE(""https://docs.google.com/spreadsheets/d/1YTZo6WM2dQ6Ix6FSdnL5P7uVnVK"&amp;"u40sxZu975tgG10E/edit?usp=sharing"",""นครปฐม!N64"")+IMPORTRANGE(""https://docs.google.com/spreadsheets/d/1OYoGg4WDg5RIzwGeB10padOxJF9E_Vljuvvct_M7RDo/edit?usp=sharing"",""ปทุมธานี!N64"")+IMPORTRANGE(""https://docs.google.com/spreadsheets/d/1GbCIE4D4wk9FUo"&amp;"zzqk7SxfDMxDVBwVmI5zcaVUSzKAc/edit?usp=sharing"",""ประจวบคีรีขันธ์!N64"")+IMPORTRANGE(""https://docs.google.com/spreadsheets/d/1vVf6wykvW_lAyu7Yo9L4hUTqHqIeP_qcVuxCtosJEbg/edit?usp=sharing"",""ปราจีนบุรี!N64"")+IMPORTRANGE(""https://docs.google.com/spread"&amp;"sheets/d/1BIDqLLg5jk3v59G8NlR8rk5xfQDKne0sAvZHSj7TI6I/edit?usp=sharing"",""พระนครศรีอยุธยา!N64"")+IMPORTRANGE(""https://docs.google.com/spreadsheets/d/1YXvxf8Yu6_rV4hTBrwMqAcAnv6DfhUxh5emyM3CJp_w/edit?usp=sharing"",""เพชรบุรี!N64"")+IMPORTRANGE(""https://"&amp;"docs.google.com/spreadsheets/d/19KBlQQs7uwvsao6t2n-KvW3Ax8J8uRRfZPq1zPbXgKc/edit?usp=sharing"",""ระยอง!N64"")+IMPORTRANGE(""https://docs.google.com/spreadsheets/d/1jQ6P4QcrGM89YfqcC_PxOHGCMq5ezhucwJd8ci-NHng/edit?usp=sharing"",""ราชบุรี!N64"")+IMPORTRANGE"&amp;"(""https://docs.google.com/spreadsheets/d/1lufeA2cfFqM-elVq2hznhDzC6Pr7wkJ9ZG_sYNGCMCU/edit?usp=sharing"",""ลพบุรี!N64"")+IMPORTRANGE(""https://docs.google.com/spreadsheets/d/10oOiF7loTyfsTkbd4MpaIm0HQ9SwB7IYHdIUvt-U1Uc/edit?usp=sharing"",""สระแก้ว!N64"")"&amp;"+IMPORTRANGE(""https://docs.google.com/spreadsheets/d/1xmPlrr1QbdSIKvl1dWUl9K4PjAfSL9oeMr_37QVzcxc/edit?usp=sharing"",""สระบุรี!N64"")+IMPORTRANGE(""https://docs.google.com/spreadsheets/d/1j51vR6CYVGhABJpv6tkstgok82RLpXieLzW1yOY5rHw/edit?usp=sharing"",""ส"&amp;"ิงห์บุรี!N64"")+IMPORTRANGE(""https://docs.google.com/spreadsheets/d/1H1EalTWKUSzO4Z1-1CwzoDUaVffgrThEBe2sl74kKG0/edit?usp=sharing"",""สุพรรณบุรี!N64"")+IMPORTRANGE(""https://docs.google.com/spreadsheets/d/1BmIruG_sIrJLYao_Pdr7zVArWsfoBt2692TMi6x_854/edit"&amp;"?usp=sharing"",""อ่างทอง!N64"")"),7133252.77)</f>
        <v>7133252.7699999996</v>
      </c>
      <c r="O65" s="88">
        <f t="shared" ca="1" si="37"/>
        <v>74.530637348629696</v>
      </c>
      <c r="P65" s="88">
        <f t="shared" ca="1" si="38"/>
        <v>72.870235407570547</v>
      </c>
      <c r="Q65" s="73">
        <f ca="1">IFERROR(__xludf.DUMMYFUNCTION("IMPORTRANGE(""https://docs.google.com/spreadsheets/d/13wPX838HrBrQMCywv1BsuMkt4PEKTChp52zj44s2izQ/edit?usp=sharing"",""กาญจนบุรี!Q64"")+IMPORTRANGE(""https://docs.google.com/spreadsheets/d/1ddFKvqj1W1NEiWytbGlB1zMx_ykJDVtmfEQ-6-lIUBA/edit?usp=sharing"","""&amp;"จันทบุรี!Q64"")+IMPORTRANGE(""https://docs.google.com/spreadsheets/d/1T1PQvRODqOBZk8BRht_U031fIS1beLA0Ub2CEytj2q0/edit?usp=sharing"",""ฉะเชิงเทรา!Q64"")+IMPORTRANGE(""https://docs.google.com/spreadsheets/d/11tr1B-Bhyr79v2bkwVh5h_fR-PStkgjlZtkrZpYurG0/edit"&amp;"?usp=sharing"",""ชลบุรี!Q64"")+IMPORTRANGE(""https://docs.google.com/spreadsheets/d/1hh-FVnSX0vozXhGluamEcS54Dw9_zqW0N7qJUWgJ0Sw/edit?usp=sharing"",""ชัยนาท!Q64"")+IMPORTRANGE(""https://docs.google.com/spreadsheets/d/1jkqa6GXxSacMcY1eN8AHjMNJ_7dDXMJVRLDla"&amp;"FSOdPM/edit?usp=sharing"",""ตราด!Q64"")+IMPORTRANGE(""https://docs.google.com/spreadsheets/d/18hSgUJ3VwClqi_qtULmmW3cLr0oe3OKaSYoKzdpTsYQ/edit?usp=sharing"",""นครนายก!Q64"")+IMPORTRANGE(""https://docs.google.com/spreadsheets/d/1YTZo6WM2dQ6Ix6FSdnL5P7uVnVK"&amp;"u40sxZu975tgG10E/edit?usp=sharing"",""นครปฐม!Q64"")+IMPORTRANGE(""https://docs.google.com/spreadsheets/d/1OYoGg4WDg5RIzwGeB10padOxJF9E_Vljuvvct_M7RDo/edit?usp=sharing"",""ปทุมธานี!Q64"")+IMPORTRANGE(""https://docs.google.com/spreadsheets/d/1GbCIE4D4wk9FUo"&amp;"zzqk7SxfDMxDVBwVmI5zcaVUSzKAc/edit?usp=sharing"",""ประจวบคีรีขันธ์!Q64"")+IMPORTRANGE(""https://docs.google.com/spreadsheets/d/1vVf6wykvW_lAyu7Yo9L4hUTqHqIeP_qcVuxCtosJEbg/edit?usp=sharing"",""ปราจีนบุรี!Q64"")+IMPORTRANGE(""https://docs.google.com/spread"&amp;"sheets/d/1BIDqLLg5jk3v59G8NlR8rk5xfQDKne0sAvZHSj7TI6I/edit?usp=sharing"",""พระนครศรีอยุธยา!Q64"")+IMPORTRANGE(""https://docs.google.com/spreadsheets/d/1YXvxf8Yu6_rV4hTBrwMqAcAnv6DfhUxh5emyM3CJp_w/edit?usp=sharing"",""เพชรบุรี!Q64"")+IMPORTRANGE(""https://"&amp;"docs.google.com/spreadsheets/d/19KBlQQs7uwvsao6t2n-KvW3Ax8J8uRRfZPq1zPbXgKc/edit?usp=sharing"",""ระยอง!Q64"")+IMPORTRANGE(""https://docs.google.com/spreadsheets/d/1jQ6P4QcrGM89YfqcC_PxOHGCMq5ezhucwJd8ci-NHng/edit?usp=sharing"",""ราชบุรี!Q64"")+IMPORTRANGE"&amp;"(""https://docs.google.com/spreadsheets/d/1lufeA2cfFqM-elVq2hznhDzC6Pr7wkJ9ZG_sYNGCMCU/edit?usp=sharing"",""ลพบุรี!Q64"")+IMPORTRANGE(""https://docs.google.com/spreadsheets/d/10oOiF7loTyfsTkbd4MpaIm0HQ9SwB7IYHdIUvt-U1Uc/edit?usp=sharing"",""สระแก้ว!Q64"")"&amp;"+IMPORTRANGE(""https://docs.google.com/spreadsheets/d/1xmPlrr1QbdSIKvl1dWUl9K4PjAfSL9oeMr_37QVzcxc/edit?usp=sharing"",""สระบุรี!Q64"")+IMPORTRANGE(""https://docs.google.com/spreadsheets/d/1j51vR6CYVGhABJpv6tkstgok82RLpXieLzW1yOY5rHw/edit?usp=sharing"",""ส"&amp;"ิงห์บุรี!Q64"")+IMPORTRANGE(""https://docs.google.com/spreadsheets/d/1H1EalTWKUSzO4Z1-1CwzoDUaVffgrThEBe2sl74kKG0/edit?usp=sharing"",""สุพรรณบุรี!Q64"")+IMPORTRANGE(""https://docs.google.com/spreadsheets/d/1BmIruG_sIrJLYao_Pdr7zVArWsfoBt2692TMi6x_854/edit"&amp;"?usp=sharing"",""อ่างทอง!Q64"")"),0)</f>
        <v>0</v>
      </c>
      <c r="R65" s="74">
        <f ca="1">IFERROR(__xludf.DUMMYFUNCTION("IMPORTRANGE(""https://docs.google.com/spreadsheets/d/13wPX838HrBrQMCywv1BsuMkt4PEKTChp52zj44s2izQ/edit?usp=sharing"",""กาญจนบุรี!R64"")+IMPORTRANGE(""https://docs.google.com/spreadsheets/d/1ddFKvqj1W1NEiWytbGlB1zMx_ykJDVtmfEQ-6-lIUBA/edit?usp=sharing"","""&amp;"จันทบุรี!R64"")+IMPORTRANGE(""https://docs.google.com/spreadsheets/d/1T1PQvRODqOBZk8BRht_U031fIS1beLA0Ub2CEytj2q0/edit?usp=sharing"",""ฉะเชิงเทรา!R64"")+IMPORTRANGE(""https://docs.google.com/spreadsheets/d/11tr1B-Bhyr79v2bkwVh5h_fR-PStkgjlZtkrZpYurG0/edit"&amp;"?usp=sharing"",""ชลบุรี!R64"")+IMPORTRANGE(""https://docs.google.com/spreadsheets/d/1hh-FVnSX0vozXhGluamEcS54Dw9_zqW0N7qJUWgJ0Sw/edit?usp=sharing"",""ชัยนาท!R64"")+IMPORTRANGE(""https://docs.google.com/spreadsheets/d/1jkqa6GXxSacMcY1eN8AHjMNJ_7dDXMJVRLDla"&amp;"FSOdPM/edit?usp=sharing"",""ตราด!R64"")+IMPORTRANGE(""https://docs.google.com/spreadsheets/d/18hSgUJ3VwClqi_qtULmmW3cLr0oe3OKaSYoKzdpTsYQ/edit?usp=sharing"",""นครนายก!R64"")+IMPORTRANGE(""https://docs.google.com/spreadsheets/d/1YTZo6WM2dQ6Ix6FSdnL5P7uVnVK"&amp;"u40sxZu975tgG10E/edit?usp=sharing"",""นครปฐม!R64"")+IMPORTRANGE(""https://docs.google.com/spreadsheets/d/1OYoGg4WDg5RIzwGeB10padOxJF9E_Vljuvvct_M7RDo/edit?usp=sharing"",""ปทุมธานี!R64"")+IMPORTRANGE(""https://docs.google.com/spreadsheets/d/1GbCIE4D4wk9FUo"&amp;"zzqk7SxfDMxDVBwVmI5zcaVUSzKAc/edit?usp=sharing"",""ประจวบคีรีขันธ์!R64"")+IMPORTRANGE(""https://docs.google.com/spreadsheets/d/1vVf6wykvW_lAyu7Yo9L4hUTqHqIeP_qcVuxCtosJEbg/edit?usp=sharing"",""ปราจีนบุรี!R64"")+IMPORTRANGE(""https://docs.google.com/spread"&amp;"sheets/d/1BIDqLLg5jk3v59G8NlR8rk5xfQDKne0sAvZHSj7TI6I/edit?usp=sharing"",""พระนครศรีอยุธยา!R64"")+IMPORTRANGE(""https://docs.google.com/spreadsheets/d/1YXvxf8Yu6_rV4hTBrwMqAcAnv6DfhUxh5emyM3CJp_w/edit?usp=sharing"",""เพชรบุรี!R64"")+IMPORTRANGE(""https://"&amp;"docs.google.com/spreadsheets/d/19KBlQQs7uwvsao6t2n-KvW3Ax8J8uRRfZPq1zPbXgKc/edit?usp=sharing"",""ระยอง!R64"")+IMPORTRANGE(""https://docs.google.com/spreadsheets/d/1jQ6P4QcrGM89YfqcC_PxOHGCMq5ezhucwJd8ci-NHng/edit?usp=sharing"",""ราชบุรี!R64"")+IMPORTRANGE"&amp;"(""https://docs.google.com/spreadsheets/d/1lufeA2cfFqM-elVq2hznhDzC6Pr7wkJ9ZG_sYNGCMCU/edit?usp=sharing"",""ลพบุรี!R64"")+IMPORTRANGE(""https://docs.google.com/spreadsheets/d/10oOiF7loTyfsTkbd4MpaIm0HQ9SwB7IYHdIUvt-U1Uc/edit?usp=sharing"",""สระแก้ว!R64"")"&amp;"+IMPORTRANGE(""https://docs.google.com/spreadsheets/d/1xmPlrr1QbdSIKvl1dWUl9K4PjAfSL9oeMr_37QVzcxc/edit?usp=sharing"",""สระบุรี!R64"")+IMPORTRANGE(""https://docs.google.com/spreadsheets/d/1j51vR6CYVGhABJpv6tkstgok82RLpXieLzW1yOY5rHw/edit?usp=sharing"",""ส"&amp;"ิงห์บุรี!R64"")+IMPORTRANGE(""https://docs.google.com/spreadsheets/d/1H1EalTWKUSzO4Z1-1CwzoDUaVffgrThEBe2sl74kKG0/edit?usp=sharing"",""สุพรรณบุรี!R64"")+IMPORTRANGE(""https://docs.google.com/spreadsheets/d/1BmIruG_sIrJLYao_Pdr7zVArWsfoBt2692TMi6x_854/edit"&amp;"?usp=sharing"",""อ่างทอง!R64"")"),0)</f>
        <v>0</v>
      </c>
      <c r="S65" s="74">
        <f ca="1">IFERROR(__xludf.DUMMYFUNCTION("IMPORTRANGE(""https://docs.google.com/spreadsheets/d/13wPX838HrBrQMCywv1BsuMkt4PEKTChp52zj44s2izQ/edit?usp=sharing"",""กาญจนบุรี!S64"")+IMPORTRANGE(""https://docs.google.com/spreadsheets/d/1ddFKvqj1W1NEiWytbGlB1zMx_ykJDVtmfEQ-6-lIUBA/edit?usp=sharing"","""&amp;"จันทบุรี!S64"")+IMPORTRANGE(""https://docs.google.com/spreadsheets/d/1T1PQvRODqOBZk8BRht_U031fIS1beLA0Ub2CEytj2q0/edit?usp=sharing"",""ฉะเชิงเทรา!S64"")+IMPORTRANGE(""https://docs.google.com/spreadsheets/d/11tr1B-Bhyr79v2bkwVh5h_fR-PStkgjlZtkrZpYurG0/edit"&amp;"?usp=sharing"",""ชลบุรี!S64"")+IMPORTRANGE(""https://docs.google.com/spreadsheets/d/1hh-FVnSX0vozXhGluamEcS54Dw9_zqW0N7qJUWgJ0Sw/edit?usp=sharing"",""ชัยนาท!S64"")+IMPORTRANGE(""https://docs.google.com/spreadsheets/d/1jkqa6GXxSacMcY1eN8AHjMNJ_7dDXMJVRLDla"&amp;"FSOdPM/edit?usp=sharing"",""ตราด!S64"")+IMPORTRANGE(""https://docs.google.com/spreadsheets/d/18hSgUJ3VwClqi_qtULmmW3cLr0oe3OKaSYoKzdpTsYQ/edit?usp=sharing"",""นครนายก!S64"")+IMPORTRANGE(""https://docs.google.com/spreadsheets/d/1YTZo6WM2dQ6Ix6FSdnL5P7uVnVK"&amp;"u40sxZu975tgG10E/edit?usp=sharing"",""นครปฐม!S64"")+IMPORTRANGE(""https://docs.google.com/spreadsheets/d/1OYoGg4WDg5RIzwGeB10padOxJF9E_Vljuvvct_M7RDo/edit?usp=sharing"",""ปทุมธานี!S64"")+IMPORTRANGE(""https://docs.google.com/spreadsheets/d/1GbCIE4D4wk9FUo"&amp;"zzqk7SxfDMxDVBwVmI5zcaVUSzKAc/edit?usp=sharing"",""ประจวบคีรีขันธ์!S64"")+IMPORTRANGE(""https://docs.google.com/spreadsheets/d/1vVf6wykvW_lAyu7Yo9L4hUTqHqIeP_qcVuxCtosJEbg/edit?usp=sharing"",""ปราจีนบุรี!S64"")+IMPORTRANGE(""https://docs.google.com/spread"&amp;"sheets/d/1BIDqLLg5jk3v59G8NlR8rk5xfQDKne0sAvZHSj7TI6I/edit?usp=sharing"",""พระนครศรีอยุธยา!S64"")+IMPORTRANGE(""https://docs.google.com/spreadsheets/d/1YXvxf8Yu6_rV4hTBrwMqAcAnv6DfhUxh5emyM3CJp_w/edit?usp=sharing"",""เพชรบุรี!S64"")+IMPORTRANGE(""https://"&amp;"docs.google.com/spreadsheets/d/19KBlQQs7uwvsao6t2n-KvW3Ax8J8uRRfZPq1zPbXgKc/edit?usp=sharing"",""ระยอง!S64"")+IMPORTRANGE(""https://docs.google.com/spreadsheets/d/1jQ6P4QcrGM89YfqcC_PxOHGCMq5ezhucwJd8ci-NHng/edit?usp=sharing"",""ราชบุรี!S64"")+IMPORTRANGE"&amp;"(""https://docs.google.com/spreadsheets/d/1lufeA2cfFqM-elVq2hznhDzC6Pr7wkJ9ZG_sYNGCMCU/edit?usp=sharing"",""ลพบุรี!S64"")+IMPORTRANGE(""https://docs.google.com/spreadsheets/d/10oOiF7loTyfsTkbd4MpaIm0HQ9SwB7IYHdIUvt-U1Uc/edit?usp=sharing"",""สระแก้ว!S64"")"&amp;"+IMPORTRANGE(""https://docs.google.com/spreadsheets/d/1xmPlrr1QbdSIKvl1dWUl9K4PjAfSL9oeMr_37QVzcxc/edit?usp=sharing"",""สระบุรี!S64"")+IMPORTRANGE(""https://docs.google.com/spreadsheets/d/1j51vR6CYVGhABJpv6tkstgok82RLpXieLzW1yOY5rHw/edit?usp=sharing"",""ส"&amp;"ิงห์บุรี!S64"")+IMPORTRANGE(""https://docs.google.com/spreadsheets/d/1H1EalTWKUSzO4Z1-1CwzoDUaVffgrThEBe2sl74kKG0/edit?usp=sharing"",""สุพรรณบุรี!S64"")+IMPORTRANGE(""https://docs.google.com/spreadsheets/d/1BmIruG_sIrJLYao_Pdr7zVArWsfoBt2692TMi6x_854/edit"&amp;"?usp=sharing"",""อ่างทอง!S64"")"),0)</f>
        <v>0</v>
      </c>
      <c r="T65" s="132">
        <f t="shared" ca="1" si="40"/>
        <v>0</v>
      </c>
      <c r="U65" s="132">
        <f t="shared" ca="1" si="41"/>
        <v>0</v>
      </c>
    </row>
    <row r="66" spans="1:21" ht="18.75" x14ac:dyDescent="0.25">
      <c r="A66" s="66"/>
      <c r="B66" s="67"/>
      <c r="C66" s="67"/>
      <c r="D66" s="68" t="s">
        <v>23</v>
      </c>
      <c r="E66" s="67"/>
      <c r="F66" s="67"/>
      <c r="G66" s="69"/>
      <c r="H66" s="70" t="s">
        <v>14</v>
      </c>
      <c r="I66" s="71"/>
      <c r="J66" s="71"/>
      <c r="K66" s="72"/>
      <c r="L66" s="88">
        <f t="shared" ref="L66:N66" ca="1" si="48">L67+L68</f>
        <v>0</v>
      </c>
      <c r="M66" s="88">
        <f t="shared" ca="1" si="48"/>
        <v>0</v>
      </c>
      <c r="N66" s="88">
        <f t="shared" ca="1" si="48"/>
        <v>0</v>
      </c>
      <c r="O66" s="88">
        <f t="shared" ca="1" si="37"/>
        <v>0</v>
      </c>
      <c r="P66" s="88">
        <f t="shared" ca="1" si="38"/>
        <v>0</v>
      </c>
      <c r="Q66" s="131">
        <f t="shared" ref="Q66:S66" ca="1" si="49">Q67+Q68</f>
        <v>0</v>
      </c>
      <c r="R66" s="132">
        <f t="shared" ca="1" si="49"/>
        <v>0</v>
      </c>
      <c r="S66" s="132">
        <f t="shared" ca="1" si="49"/>
        <v>0</v>
      </c>
      <c r="T66" s="132">
        <f t="shared" ca="1" si="40"/>
        <v>0</v>
      </c>
      <c r="U66" s="132">
        <f t="shared" ca="1" si="41"/>
        <v>0</v>
      </c>
    </row>
    <row r="67" spans="1:21" ht="18.75" x14ac:dyDescent="0.25">
      <c r="A67" s="66"/>
      <c r="B67" s="67"/>
      <c r="C67" s="67"/>
      <c r="D67" s="67"/>
      <c r="E67" s="75" t="s">
        <v>20</v>
      </c>
      <c r="F67" s="67"/>
      <c r="G67" s="69"/>
      <c r="H67" s="70" t="s">
        <v>14</v>
      </c>
      <c r="I67" s="71"/>
      <c r="J67" s="71"/>
      <c r="K67" s="72"/>
      <c r="L67" s="88">
        <f ca="1">IFERROR(__xludf.DUMMYFUNCTION("IMPORTRANGE(""https://docs.google.com/spreadsheets/d/13wPX838HrBrQMCywv1BsuMkt4PEKTChp52zj44s2izQ/edit?usp=sharing"",""กาญจนบุรี!L66"")+IMPORTRANGE(""https://docs.google.com/spreadsheets/d/1ddFKvqj1W1NEiWytbGlB1zMx_ykJDVtmfEQ-6-lIUBA/edit?usp=sharing"","""&amp;"จันทบุรี!L66"")+IMPORTRANGE(""https://docs.google.com/spreadsheets/d/1T1PQvRODqOBZk8BRht_U031fIS1beLA0Ub2CEytj2q0/edit?usp=sharing"",""ฉะเชิงเทรา!L66"")+IMPORTRANGE(""https://docs.google.com/spreadsheets/d/11tr1B-Bhyr79v2bkwVh5h_fR-PStkgjlZtkrZpYurG0/edit"&amp;"?usp=sharing"",""ชลบุรี!L66"")+IMPORTRANGE(""https://docs.google.com/spreadsheets/d/1hh-FVnSX0vozXhGluamEcS54Dw9_zqW0N7qJUWgJ0Sw/edit?usp=sharing"",""ชัยนาท!L66"")+IMPORTRANGE(""https://docs.google.com/spreadsheets/d/1jkqa6GXxSacMcY1eN8AHjMNJ_7dDXMJVRLDla"&amp;"FSOdPM/edit?usp=sharing"",""ตราด!L66"")+IMPORTRANGE(""https://docs.google.com/spreadsheets/d/18hSgUJ3VwClqi_qtULmmW3cLr0oe3OKaSYoKzdpTsYQ/edit?usp=sharing"",""นครนายก!L66"")+IMPORTRANGE(""https://docs.google.com/spreadsheets/d/1YTZo6WM2dQ6Ix6FSdnL5P7uVnVK"&amp;"u40sxZu975tgG10E/edit?usp=sharing"",""นครปฐม!L66"")+IMPORTRANGE(""https://docs.google.com/spreadsheets/d/1OYoGg4WDg5RIzwGeB10padOxJF9E_Vljuvvct_M7RDo/edit?usp=sharing"",""ปทุมธานี!L66"")+IMPORTRANGE(""https://docs.google.com/spreadsheets/d/1GbCIE4D4wk9FUo"&amp;"zzqk7SxfDMxDVBwVmI5zcaVUSzKAc/edit?usp=sharing"",""ประจวบคีรีขันธ์!L66"")+IMPORTRANGE(""https://docs.google.com/spreadsheets/d/1vVf6wykvW_lAyu7Yo9L4hUTqHqIeP_qcVuxCtosJEbg/edit?usp=sharing"",""ปราจีนบุรี!L66"")+IMPORTRANGE(""https://docs.google.com/spread"&amp;"sheets/d/1BIDqLLg5jk3v59G8NlR8rk5xfQDKne0sAvZHSj7TI6I/edit?usp=sharing"",""พระนครศรีอยุธยา!L66"")+IMPORTRANGE(""https://docs.google.com/spreadsheets/d/1YXvxf8Yu6_rV4hTBrwMqAcAnv6DfhUxh5emyM3CJp_w/edit?usp=sharing"",""เพชรบุรี!L66"")+IMPORTRANGE(""https://"&amp;"docs.google.com/spreadsheets/d/19KBlQQs7uwvsao6t2n-KvW3Ax8J8uRRfZPq1zPbXgKc/edit?usp=sharing"",""ระยอง!L66"")+IMPORTRANGE(""https://docs.google.com/spreadsheets/d/1jQ6P4QcrGM89YfqcC_PxOHGCMq5ezhucwJd8ci-NHng/edit?usp=sharing"",""ราชบุรี!L66"")+IMPORTRANGE"&amp;"(""https://docs.google.com/spreadsheets/d/1lufeA2cfFqM-elVq2hznhDzC6Pr7wkJ9ZG_sYNGCMCU/edit?usp=sharing"",""ลพบุรี!L66"")+IMPORTRANGE(""https://docs.google.com/spreadsheets/d/10oOiF7loTyfsTkbd4MpaIm0HQ9SwB7IYHdIUvt-U1Uc/edit?usp=sharing"",""สระแก้ว!L66"")"&amp;"+IMPORTRANGE(""https://docs.google.com/spreadsheets/d/1xmPlrr1QbdSIKvl1dWUl9K4PjAfSL9oeMr_37QVzcxc/edit?usp=sharing"",""สระบุรี!L66"")+IMPORTRANGE(""https://docs.google.com/spreadsheets/d/1j51vR6CYVGhABJpv6tkstgok82RLpXieLzW1yOY5rHw/edit?usp=sharing"",""ส"&amp;"ิงห์บุรี!L66"")+IMPORTRANGE(""https://docs.google.com/spreadsheets/d/1H1EalTWKUSzO4Z1-1CwzoDUaVffgrThEBe2sl74kKG0/edit?usp=sharing"",""สุพรรณบุรี!L66"")+IMPORTRANGE(""https://docs.google.com/spreadsheets/d/1BmIruG_sIrJLYao_Pdr7zVArWsfoBt2692TMi6x_854/edit"&amp;"?usp=sharing"",""อ่างทอง!L66"")"),0)</f>
        <v>0</v>
      </c>
      <c r="M67" s="88">
        <f ca="1">IFERROR(__xludf.DUMMYFUNCTION("IMPORTRANGE(""https://docs.google.com/spreadsheets/d/13wPX838HrBrQMCywv1BsuMkt4PEKTChp52zj44s2izQ/edit?usp=sharing"",""กาญจนบุรี!M66"")+IMPORTRANGE(""https://docs.google.com/spreadsheets/d/1ddFKvqj1W1NEiWytbGlB1zMx_ykJDVtmfEQ-6-lIUBA/edit?usp=sharing"","""&amp;"จันทบุรี!M66"")+IMPORTRANGE(""https://docs.google.com/spreadsheets/d/1T1PQvRODqOBZk8BRht_U031fIS1beLA0Ub2CEytj2q0/edit?usp=sharing"",""ฉะเชิงเทรา!M66"")+IMPORTRANGE(""https://docs.google.com/spreadsheets/d/11tr1B-Bhyr79v2bkwVh5h_fR-PStkgjlZtkrZpYurG0/edit"&amp;"?usp=sharing"",""ชลบุรี!M66"")+IMPORTRANGE(""https://docs.google.com/spreadsheets/d/1hh-FVnSX0vozXhGluamEcS54Dw9_zqW0N7qJUWgJ0Sw/edit?usp=sharing"",""ชัยนาท!M66"")+IMPORTRANGE(""https://docs.google.com/spreadsheets/d/1jkqa6GXxSacMcY1eN8AHjMNJ_7dDXMJVRLDla"&amp;"FSOdPM/edit?usp=sharing"",""ตราด!M66"")+IMPORTRANGE(""https://docs.google.com/spreadsheets/d/18hSgUJ3VwClqi_qtULmmW3cLr0oe3OKaSYoKzdpTsYQ/edit?usp=sharing"",""นครนายก!M66"")+IMPORTRANGE(""https://docs.google.com/spreadsheets/d/1YTZo6WM2dQ6Ix6FSdnL5P7uVnVK"&amp;"u40sxZu975tgG10E/edit?usp=sharing"",""นครปฐม!M66"")+IMPORTRANGE(""https://docs.google.com/spreadsheets/d/1OYoGg4WDg5RIzwGeB10padOxJF9E_Vljuvvct_M7RDo/edit?usp=sharing"",""ปทุมธานี!M66"")+IMPORTRANGE(""https://docs.google.com/spreadsheets/d/1GbCIE4D4wk9FUo"&amp;"zzqk7SxfDMxDVBwVmI5zcaVUSzKAc/edit?usp=sharing"",""ประจวบคีรีขันธ์!M66"")+IMPORTRANGE(""https://docs.google.com/spreadsheets/d/1vVf6wykvW_lAyu7Yo9L4hUTqHqIeP_qcVuxCtosJEbg/edit?usp=sharing"",""ปราจีนบุรี!M66"")+IMPORTRANGE(""https://docs.google.com/spread"&amp;"sheets/d/1BIDqLLg5jk3v59G8NlR8rk5xfQDKne0sAvZHSj7TI6I/edit?usp=sharing"",""พระนครศรีอยุธยา!M66"")+IMPORTRANGE(""https://docs.google.com/spreadsheets/d/1YXvxf8Yu6_rV4hTBrwMqAcAnv6DfhUxh5emyM3CJp_w/edit?usp=sharing"",""เพชรบุรี!M66"")+IMPORTRANGE(""https://"&amp;"docs.google.com/spreadsheets/d/19KBlQQs7uwvsao6t2n-KvW3Ax8J8uRRfZPq1zPbXgKc/edit?usp=sharing"",""ระยอง!M66"")+IMPORTRANGE(""https://docs.google.com/spreadsheets/d/1jQ6P4QcrGM89YfqcC_PxOHGCMq5ezhucwJd8ci-NHng/edit?usp=sharing"",""ราชบุรี!M66"")+IMPORTRANGE"&amp;"(""https://docs.google.com/spreadsheets/d/1lufeA2cfFqM-elVq2hznhDzC6Pr7wkJ9ZG_sYNGCMCU/edit?usp=sharing"",""ลพบุรี!M66"")+IMPORTRANGE(""https://docs.google.com/spreadsheets/d/10oOiF7loTyfsTkbd4MpaIm0HQ9SwB7IYHdIUvt-U1Uc/edit?usp=sharing"",""สระแก้ว!M66"")"&amp;"+IMPORTRANGE(""https://docs.google.com/spreadsheets/d/1xmPlrr1QbdSIKvl1dWUl9K4PjAfSL9oeMr_37QVzcxc/edit?usp=sharing"",""สระบุรี!M66"")+IMPORTRANGE(""https://docs.google.com/spreadsheets/d/1j51vR6CYVGhABJpv6tkstgok82RLpXieLzW1yOY5rHw/edit?usp=sharing"",""ส"&amp;"ิงห์บุรี!M66"")+IMPORTRANGE(""https://docs.google.com/spreadsheets/d/1H1EalTWKUSzO4Z1-1CwzoDUaVffgrThEBe2sl74kKG0/edit?usp=sharing"",""สุพรรณบุรี!M66"")+IMPORTRANGE(""https://docs.google.com/spreadsheets/d/1BmIruG_sIrJLYao_Pdr7zVArWsfoBt2692TMi6x_854/edit"&amp;"?usp=sharing"",""อ่างทอง!M66"")"),0)</f>
        <v>0</v>
      </c>
      <c r="N67" s="88">
        <f ca="1">IFERROR(__xludf.DUMMYFUNCTION("IMPORTRANGE(""https://docs.google.com/spreadsheets/d/13wPX838HrBrQMCywv1BsuMkt4PEKTChp52zj44s2izQ/edit?usp=sharing"",""กาญจนบุรี!N66"")+IMPORTRANGE(""https://docs.google.com/spreadsheets/d/1ddFKvqj1W1NEiWytbGlB1zMx_ykJDVtmfEQ-6-lIUBA/edit?usp=sharing"","""&amp;"จันทบุรี!N66"")+IMPORTRANGE(""https://docs.google.com/spreadsheets/d/1T1PQvRODqOBZk8BRht_U031fIS1beLA0Ub2CEytj2q0/edit?usp=sharing"",""ฉะเชิงเทรา!N66"")+IMPORTRANGE(""https://docs.google.com/spreadsheets/d/11tr1B-Bhyr79v2bkwVh5h_fR-PStkgjlZtkrZpYurG0/edit"&amp;"?usp=sharing"",""ชลบุรี!N66"")+IMPORTRANGE(""https://docs.google.com/spreadsheets/d/1hh-FVnSX0vozXhGluamEcS54Dw9_zqW0N7qJUWgJ0Sw/edit?usp=sharing"",""ชัยนาท!N66"")+IMPORTRANGE(""https://docs.google.com/spreadsheets/d/1jkqa6GXxSacMcY1eN8AHjMNJ_7dDXMJVRLDla"&amp;"FSOdPM/edit?usp=sharing"",""ตราด!N66"")+IMPORTRANGE(""https://docs.google.com/spreadsheets/d/18hSgUJ3VwClqi_qtULmmW3cLr0oe3OKaSYoKzdpTsYQ/edit?usp=sharing"",""นครนายก!N66"")+IMPORTRANGE(""https://docs.google.com/spreadsheets/d/1YTZo6WM2dQ6Ix6FSdnL5P7uVnVK"&amp;"u40sxZu975tgG10E/edit?usp=sharing"",""นครปฐม!N66"")+IMPORTRANGE(""https://docs.google.com/spreadsheets/d/1OYoGg4WDg5RIzwGeB10padOxJF9E_Vljuvvct_M7RDo/edit?usp=sharing"",""ปทุมธานี!N66"")+IMPORTRANGE(""https://docs.google.com/spreadsheets/d/1GbCIE4D4wk9FUo"&amp;"zzqk7SxfDMxDVBwVmI5zcaVUSzKAc/edit?usp=sharing"",""ประจวบคีรีขันธ์!N66"")+IMPORTRANGE(""https://docs.google.com/spreadsheets/d/1vVf6wykvW_lAyu7Yo9L4hUTqHqIeP_qcVuxCtosJEbg/edit?usp=sharing"",""ปราจีนบุรี!N66"")+IMPORTRANGE(""https://docs.google.com/spread"&amp;"sheets/d/1BIDqLLg5jk3v59G8NlR8rk5xfQDKne0sAvZHSj7TI6I/edit?usp=sharing"",""พระนครศรีอยุธยา!N66"")+IMPORTRANGE(""https://docs.google.com/spreadsheets/d/1YXvxf8Yu6_rV4hTBrwMqAcAnv6DfhUxh5emyM3CJp_w/edit?usp=sharing"",""เพชรบุรี!N66"")+IMPORTRANGE(""https://"&amp;"docs.google.com/spreadsheets/d/19KBlQQs7uwvsao6t2n-KvW3Ax8J8uRRfZPq1zPbXgKc/edit?usp=sharing"",""ระยอง!N66"")+IMPORTRANGE(""https://docs.google.com/spreadsheets/d/1jQ6P4QcrGM89YfqcC_PxOHGCMq5ezhucwJd8ci-NHng/edit?usp=sharing"",""ราชบุรี!N66"")+IMPORTRANGE"&amp;"(""https://docs.google.com/spreadsheets/d/1lufeA2cfFqM-elVq2hznhDzC6Pr7wkJ9ZG_sYNGCMCU/edit?usp=sharing"",""ลพบุรี!N66"")+IMPORTRANGE(""https://docs.google.com/spreadsheets/d/10oOiF7loTyfsTkbd4MpaIm0HQ9SwB7IYHdIUvt-U1Uc/edit?usp=sharing"",""สระแก้ว!N66"")"&amp;"+IMPORTRANGE(""https://docs.google.com/spreadsheets/d/1xmPlrr1QbdSIKvl1dWUl9K4PjAfSL9oeMr_37QVzcxc/edit?usp=sharing"",""สระบุรี!N66"")+IMPORTRANGE(""https://docs.google.com/spreadsheets/d/1j51vR6CYVGhABJpv6tkstgok82RLpXieLzW1yOY5rHw/edit?usp=sharing"",""ส"&amp;"ิงห์บุรี!N66"")+IMPORTRANGE(""https://docs.google.com/spreadsheets/d/1H1EalTWKUSzO4Z1-1CwzoDUaVffgrThEBe2sl74kKG0/edit?usp=sharing"",""สุพรรณบุรี!N66"")+IMPORTRANGE(""https://docs.google.com/spreadsheets/d/1BmIruG_sIrJLYao_Pdr7zVArWsfoBt2692TMi6x_854/edit"&amp;"?usp=sharing"",""อ่างทอง!N66"")"),0)</f>
        <v>0</v>
      </c>
      <c r="O67" s="88">
        <f t="shared" ca="1" si="37"/>
        <v>0</v>
      </c>
      <c r="P67" s="88">
        <f t="shared" ca="1" si="38"/>
        <v>0</v>
      </c>
      <c r="Q67" s="76">
        <f ca="1">IFERROR(__xludf.DUMMYFUNCTION("IMPORTRANGE(""https://docs.google.com/spreadsheets/d/13wPX838HrBrQMCywv1BsuMkt4PEKTChp52zj44s2izQ/edit?usp=sharing"",""กาญจนบุรี!Q66"")+IMPORTRANGE(""https://docs.google.com/spreadsheets/d/1ddFKvqj1W1NEiWytbGlB1zMx_ykJDVtmfEQ-6-lIUBA/edit?usp=sharing"","""&amp;"จันทบุรี!Q66"")+IMPORTRANGE(""https://docs.google.com/spreadsheets/d/1T1PQvRODqOBZk8BRht_U031fIS1beLA0Ub2CEytj2q0/edit?usp=sharing"",""ฉะเชิงเทรา!Q66"")+IMPORTRANGE(""https://docs.google.com/spreadsheets/d/11tr1B-Bhyr79v2bkwVh5h_fR-PStkgjlZtkrZpYurG0/edit"&amp;"?usp=sharing"",""ชลบุรี!Q66"")+IMPORTRANGE(""https://docs.google.com/spreadsheets/d/1hh-FVnSX0vozXhGluamEcS54Dw9_zqW0N7qJUWgJ0Sw/edit?usp=sharing"",""ชัยนาท!Q66"")+IMPORTRANGE(""https://docs.google.com/spreadsheets/d/1jkqa6GXxSacMcY1eN8AHjMNJ_7dDXMJVRLDla"&amp;"FSOdPM/edit?usp=sharing"",""ตราด!Q66"")+IMPORTRANGE(""https://docs.google.com/spreadsheets/d/18hSgUJ3VwClqi_qtULmmW3cLr0oe3OKaSYoKzdpTsYQ/edit?usp=sharing"",""นครนายก!Q66"")+IMPORTRANGE(""https://docs.google.com/spreadsheets/d/1YTZo6WM2dQ6Ix6FSdnL5P7uVnVK"&amp;"u40sxZu975tgG10E/edit?usp=sharing"",""นครปฐม!Q66"")+IMPORTRANGE(""https://docs.google.com/spreadsheets/d/1OYoGg4WDg5RIzwGeB10padOxJF9E_Vljuvvct_M7RDo/edit?usp=sharing"",""ปทุมธานี!Q66"")+IMPORTRANGE(""https://docs.google.com/spreadsheets/d/1GbCIE4D4wk9FUo"&amp;"zzqk7SxfDMxDVBwVmI5zcaVUSzKAc/edit?usp=sharing"",""ประจวบคีรีขันธ์!Q66"")+IMPORTRANGE(""https://docs.google.com/spreadsheets/d/1vVf6wykvW_lAyu7Yo9L4hUTqHqIeP_qcVuxCtosJEbg/edit?usp=sharing"",""ปราจีนบุรี!Q66"")+IMPORTRANGE(""https://docs.google.com/spread"&amp;"sheets/d/1BIDqLLg5jk3v59G8NlR8rk5xfQDKne0sAvZHSj7TI6I/edit?usp=sharing"",""พระนครศรีอยุธยา!Q66"")+IMPORTRANGE(""https://docs.google.com/spreadsheets/d/1YXvxf8Yu6_rV4hTBrwMqAcAnv6DfhUxh5emyM3CJp_w/edit?usp=sharing"",""เพชรบุรี!Q66"")+IMPORTRANGE(""https://"&amp;"docs.google.com/spreadsheets/d/19KBlQQs7uwvsao6t2n-KvW3Ax8J8uRRfZPq1zPbXgKc/edit?usp=sharing"",""ระยอง!Q66"")+IMPORTRANGE(""https://docs.google.com/spreadsheets/d/1jQ6P4QcrGM89YfqcC_PxOHGCMq5ezhucwJd8ci-NHng/edit?usp=sharing"",""ราชบุรี!Q66"")+IMPORTRANGE"&amp;"(""https://docs.google.com/spreadsheets/d/1lufeA2cfFqM-elVq2hznhDzC6Pr7wkJ9ZG_sYNGCMCU/edit?usp=sharing"",""ลพบุรี!Q66"")+IMPORTRANGE(""https://docs.google.com/spreadsheets/d/10oOiF7loTyfsTkbd4MpaIm0HQ9SwB7IYHdIUvt-U1Uc/edit?usp=sharing"",""สระแก้ว!Q66"")"&amp;"+IMPORTRANGE(""https://docs.google.com/spreadsheets/d/1xmPlrr1QbdSIKvl1dWUl9K4PjAfSL9oeMr_37QVzcxc/edit?usp=sharing"",""สระบุรี!Q66"")+IMPORTRANGE(""https://docs.google.com/spreadsheets/d/1j51vR6CYVGhABJpv6tkstgok82RLpXieLzW1yOY5rHw/edit?usp=sharing"",""ส"&amp;"ิงห์บุรี!Q66"")+IMPORTRANGE(""https://docs.google.com/spreadsheets/d/1H1EalTWKUSzO4Z1-1CwzoDUaVffgrThEBe2sl74kKG0/edit?usp=sharing"",""สุพรรณบุรี!Q66"")+IMPORTRANGE(""https://docs.google.com/spreadsheets/d/1BmIruG_sIrJLYao_Pdr7zVArWsfoBt2692TMi6x_854/edit"&amp;"?usp=sharing"",""อ่างทอง!Q66"")"),0)</f>
        <v>0</v>
      </c>
      <c r="R67" s="77">
        <f ca="1">IFERROR(__xludf.DUMMYFUNCTION("IMPORTRANGE(""https://docs.google.com/spreadsheets/d/13wPX838HrBrQMCywv1BsuMkt4PEKTChp52zj44s2izQ/edit?usp=sharing"",""กาญจนบุรี!R66"")+IMPORTRANGE(""https://docs.google.com/spreadsheets/d/1ddFKvqj1W1NEiWytbGlB1zMx_ykJDVtmfEQ-6-lIUBA/edit?usp=sharing"","""&amp;"จันทบุรี!R66"")+IMPORTRANGE(""https://docs.google.com/spreadsheets/d/1T1PQvRODqOBZk8BRht_U031fIS1beLA0Ub2CEytj2q0/edit?usp=sharing"",""ฉะเชิงเทรา!R66"")+IMPORTRANGE(""https://docs.google.com/spreadsheets/d/11tr1B-Bhyr79v2bkwVh5h_fR-PStkgjlZtkrZpYurG0/edit"&amp;"?usp=sharing"",""ชลบุรี!R66"")+IMPORTRANGE(""https://docs.google.com/spreadsheets/d/1hh-FVnSX0vozXhGluamEcS54Dw9_zqW0N7qJUWgJ0Sw/edit?usp=sharing"",""ชัยนาท!R66"")+IMPORTRANGE(""https://docs.google.com/spreadsheets/d/1jkqa6GXxSacMcY1eN8AHjMNJ_7dDXMJVRLDla"&amp;"FSOdPM/edit?usp=sharing"",""ตราด!R66"")+IMPORTRANGE(""https://docs.google.com/spreadsheets/d/18hSgUJ3VwClqi_qtULmmW3cLr0oe3OKaSYoKzdpTsYQ/edit?usp=sharing"",""นครนายก!R66"")+IMPORTRANGE(""https://docs.google.com/spreadsheets/d/1YTZo6WM2dQ6Ix6FSdnL5P7uVnVK"&amp;"u40sxZu975tgG10E/edit?usp=sharing"",""นครปฐม!R66"")+IMPORTRANGE(""https://docs.google.com/spreadsheets/d/1OYoGg4WDg5RIzwGeB10padOxJF9E_Vljuvvct_M7RDo/edit?usp=sharing"",""ปทุมธานี!R66"")+IMPORTRANGE(""https://docs.google.com/spreadsheets/d/1GbCIE4D4wk9FUo"&amp;"zzqk7SxfDMxDVBwVmI5zcaVUSzKAc/edit?usp=sharing"",""ประจวบคีรีขันธ์!R66"")+IMPORTRANGE(""https://docs.google.com/spreadsheets/d/1vVf6wykvW_lAyu7Yo9L4hUTqHqIeP_qcVuxCtosJEbg/edit?usp=sharing"",""ปราจีนบุรี!R66"")+IMPORTRANGE(""https://docs.google.com/spread"&amp;"sheets/d/1BIDqLLg5jk3v59G8NlR8rk5xfQDKne0sAvZHSj7TI6I/edit?usp=sharing"",""พระนครศรีอยุธยา!R66"")+IMPORTRANGE(""https://docs.google.com/spreadsheets/d/1YXvxf8Yu6_rV4hTBrwMqAcAnv6DfhUxh5emyM3CJp_w/edit?usp=sharing"",""เพชรบุรี!R66"")+IMPORTRANGE(""https://"&amp;"docs.google.com/spreadsheets/d/19KBlQQs7uwvsao6t2n-KvW3Ax8J8uRRfZPq1zPbXgKc/edit?usp=sharing"",""ระยอง!R66"")+IMPORTRANGE(""https://docs.google.com/spreadsheets/d/1jQ6P4QcrGM89YfqcC_PxOHGCMq5ezhucwJd8ci-NHng/edit?usp=sharing"",""ราชบุรี!R66"")+IMPORTRANGE"&amp;"(""https://docs.google.com/spreadsheets/d/1lufeA2cfFqM-elVq2hznhDzC6Pr7wkJ9ZG_sYNGCMCU/edit?usp=sharing"",""ลพบุรี!R66"")+IMPORTRANGE(""https://docs.google.com/spreadsheets/d/10oOiF7loTyfsTkbd4MpaIm0HQ9SwB7IYHdIUvt-U1Uc/edit?usp=sharing"",""สระแก้ว!R66"")"&amp;"+IMPORTRANGE(""https://docs.google.com/spreadsheets/d/1xmPlrr1QbdSIKvl1dWUl9K4PjAfSL9oeMr_37QVzcxc/edit?usp=sharing"",""สระบุรี!R66"")+IMPORTRANGE(""https://docs.google.com/spreadsheets/d/1j51vR6CYVGhABJpv6tkstgok82RLpXieLzW1yOY5rHw/edit?usp=sharing"",""ส"&amp;"ิงห์บุรี!R66"")+IMPORTRANGE(""https://docs.google.com/spreadsheets/d/1H1EalTWKUSzO4Z1-1CwzoDUaVffgrThEBe2sl74kKG0/edit?usp=sharing"",""สุพรรณบุรี!R66"")+IMPORTRANGE(""https://docs.google.com/spreadsheets/d/1BmIruG_sIrJLYao_Pdr7zVArWsfoBt2692TMi6x_854/edit"&amp;"?usp=sharing"",""อ่างทอง!R66"")"),0)</f>
        <v>0</v>
      </c>
      <c r="S67" s="77">
        <f ca="1">IFERROR(__xludf.DUMMYFUNCTION("IMPORTRANGE(""https://docs.google.com/spreadsheets/d/13wPX838HrBrQMCywv1BsuMkt4PEKTChp52zj44s2izQ/edit?usp=sharing"",""กาญจนบุรี!S66"")+IMPORTRANGE(""https://docs.google.com/spreadsheets/d/1ddFKvqj1W1NEiWytbGlB1zMx_ykJDVtmfEQ-6-lIUBA/edit?usp=sharing"","""&amp;"จันทบุรี!S66"")+IMPORTRANGE(""https://docs.google.com/spreadsheets/d/1T1PQvRODqOBZk8BRht_U031fIS1beLA0Ub2CEytj2q0/edit?usp=sharing"",""ฉะเชิงเทรา!S66"")+IMPORTRANGE(""https://docs.google.com/spreadsheets/d/11tr1B-Bhyr79v2bkwVh5h_fR-PStkgjlZtkrZpYurG0/edit"&amp;"?usp=sharing"",""ชลบุรี!S66"")+IMPORTRANGE(""https://docs.google.com/spreadsheets/d/1hh-FVnSX0vozXhGluamEcS54Dw9_zqW0N7qJUWgJ0Sw/edit?usp=sharing"",""ชัยนาท!S66"")+IMPORTRANGE(""https://docs.google.com/spreadsheets/d/1jkqa6GXxSacMcY1eN8AHjMNJ_7dDXMJVRLDla"&amp;"FSOdPM/edit?usp=sharing"",""ตราด!S66"")+IMPORTRANGE(""https://docs.google.com/spreadsheets/d/18hSgUJ3VwClqi_qtULmmW3cLr0oe3OKaSYoKzdpTsYQ/edit?usp=sharing"",""นครนายก!S66"")+IMPORTRANGE(""https://docs.google.com/spreadsheets/d/1YTZo6WM2dQ6Ix6FSdnL5P7uVnVK"&amp;"u40sxZu975tgG10E/edit?usp=sharing"",""นครปฐม!S66"")+IMPORTRANGE(""https://docs.google.com/spreadsheets/d/1OYoGg4WDg5RIzwGeB10padOxJF9E_Vljuvvct_M7RDo/edit?usp=sharing"",""ปทุมธานี!S66"")+IMPORTRANGE(""https://docs.google.com/spreadsheets/d/1GbCIE4D4wk9FUo"&amp;"zzqk7SxfDMxDVBwVmI5zcaVUSzKAc/edit?usp=sharing"",""ประจวบคีรีขันธ์!S66"")+IMPORTRANGE(""https://docs.google.com/spreadsheets/d/1vVf6wykvW_lAyu7Yo9L4hUTqHqIeP_qcVuxCtosJEbg/edit?usp=sharing"",""ปราจีนบุรี!S66"")+IMPORTRANGE(""https://docs.google.com/spread"&amp;"sheets/d/1BIDqLLg5jk3v59G8NlR8rk5xfQDKne0sAvZHSj7TI6I/edit?usp=sharing"",""พระนครศรีอยุธยา!S66"")+IMPORTRANGE(""https://docs.google.com/spreadsheets/d/1YXvxf8Yu6_rV4hTBrwMqAcAnv6DfhUxh5emyM3CJp_w/edit?usp=sharing"",""เพชรบุรี!S66"")+IMPORTRANGE(""https://"&amp;"docs.google.com/spreadsheets/d/19KBlQQs7uwvsao6t2n-KvW3Ax8J8uRRfZPq1zPbXgKc/edit?usp=sharing"",""ระยอง!S66"")+IMPORTRANGE(""https://docs.google.com/spreadsheets/d/1jQ6P4QcrGM89YfqcC_PxOHGCMq5ezhucwJd8ci-NHng/edit?usp=sharing"",""ราชบุรี!S66"")+IMPORTRANGE"&amp;"(""https://docs.google.com/spreadsheets/d/1lufeA2cfFqM-elVq2hznhDzC6Pr7wkJ9ZG_sYNGCMCU/edit?usp=sharing"",""ลพบุรี!S66"")+IMPORTRANGE(""https://docs.google.com/spreadsheets/d/10oOiF7loTyfsTkbd4MpaIm0HQ9SwB7IYHdIUvt-U1Uc/edit?usp=sharing"",""สระแก้ว!S66"")"&amp;"+IMPORTRANGE(""https://docs.google.com/spreadsheets/d/1xmPlrr1QbdSIKvl1dWUl9K4PjAfSL9oeMr_37QVzcxc/edit?usp=sharing"",""สระบุรี!S66"")+IMPORTRANGE(""https://docs.google.com/spreadsheets/d/1j51vR6CYVGhABJpv6tkstgok82RLpXieLzW1yOY5rHw/edit?usp=sharing"",""ส"&amp;"ิงห์บุรี!S66"")+IMPORTRANGE(""https://docs.google.com/spreadsheets/d/1H1EalTWKUSzO4Z1-1CwzoDUaVffgrThEBe2sl74kKG0/edit?usp=sharing"",""สุพรรณบุรี!S66"")+IMPORTRANGE(""https://docs.google.com/spreadsheets/d/1BmIruG_sIrJLYao_Pdr7zVArWsfoBt2692TMi6x_854/edit"&amp;"?usp=sharing"",""อ่างทอง!S66"")"),0)</f>
        <v>0</v>
      </c>
      <c r="T67" s="133">
        <f t="shared" ca="1" si="40"/>
        <v>0</v>
      </c>
      <c r="U67" s="133">
        <f t="shared" ca="1" si="41"/>
        <v>0</v>
      </c>
    </row>
    <row r="68" spans="1:21" ht="18.75" x14ac:dyDescent="0.25">
      <c r="A68" s="174"/>
      <c r="B68" s="2"/>
      <c r="C68" s="2"/>
      <c r="D68" s="2"/>
      <c r="E68" s="175" t="s">
        <v>21</v>
      </c>
      <c r="F68" s="2"/>
      <c r="G68" s="176"/>
      <c r="H68" s="177" t="s">
        <v>14</v>
      </c>
      <c r="I68" s="178"/>
      <c r="J68" s="178"/>
      <c r="K68" s="179"/>
      <c r="L68" s="180">
        <f ca="1">IFERROR(__xludf.DUMMYFUNCTION("IMPORTRANGE(""https://docs.google.com/spreadsheets/d/13wPX838HrBrQMCywv1BsuMkt4PEKTChp52zj44s2izQ/edit?usp=sharing"",""กาญจนบุรี!L67"")+IMPORTRANGE(""https://docs.google.com/spreadsheets/d/1ddFKvqj1W1NEiWytbGlB1zMx_ykJDVtmfEQ-6-lIUBA/edit?usp=sharing"","""&amp;"จันทบุรี!L67"")+IMPORTRANGE(""https://docs.google.com/spreadsheets/d/1T1PQvRODqOBZk8BRht_U031fIS1beLA0Ub2CEytj2q0/edit?usp=sharing"",""ฉะเชิงเทรา!L67"")+IMPORTRANGE(""https://docs.google.com/spreadsheets/d/11tr1B-Bhyr79v2bkwVh5h_fR-PStkgjlZtkrZpYurG0/edit"&amp;"?usp=sharing"",""ชลบุรี!L67"")+IMPORTRANGE(""https://docs.google.com/spreadsheets/d/1hh-FVnSX0vozXhGluamEcS54Dw9_zqW0N7qJUWgJ0Sw/edit?usp=sharing"",""ชัยนาท!L67"")+IMPORTRANGE(""https://docs.google.com/spreadsheets/d/1jkqa6GXxSacMcY1eN8AHjMNJ_7dDXMJVRLDla"&amp;"FSOdPM/edit?usp=sharing"",""ตราด!L67"")+IMPORTRANGE(""https://docs.google.com/spreadsheets/d/18hSgUJ3VwClqi_qtULmmW3cLr0oe3OKaSYoKzdpTsYQ/edit?usp=sharing"",""นครนายก!L67"")+IMPORTRANGE(""https://docs.google.com/spreadsheets/d/1YTZo6WM2dQ6Ix6FSdnL5P7uVnVK"&amp;"u40sxZu975tgG10E/edit?usp=sharing"",""นครปฐม!L67"")+IMPORTRANGE(""https://docs.google.com/spreadsheets/d/1OYoGg4WDg5RIzwGeB10padOxJF9E_Vljuvvct_M7RDo/edit?usp=sharing"",""ปทุมธานี!L67"")+IMPORTRANGE(""https://docs.google.com/spreadsheets/d/1GbCIE4D4wk9FUo"&amp;"zzqk7SxfDMxDVBwVmI5zcaVUSzKAc/edit?usp=sharing"",""ประจวบคีรีขันธ์!L67"")+IMPORTRANGE(""https://docs.google.com/spreadsheets/d/1vVf6wykvW_lAyu7Yo9L4hUTqHqIeP_qcVuxCtosJEbg/edit?usp=sharing"",""ปราจีนบุรี!L67"")+IMPORTRANGE(""https://docs.google.com/spread"&amp;"sheets/d/1BIDqLLg5jk3v59G8NlR8rk5xfQDKne0sAvZHSj7TI6I/edit?usp=sharing"",""พระนครศรีอยุธยา!L67"")+IMPORTRANGE(""https://docs.google.com/spreadsheets/d/1YXvxf8Yu6_rV4hTBrwMqAcAnv6DfhUxh5emyM3CJp_w/edit?usp=sharing"",""เพชรบุรี!L67"")+IMPORTRANGE(""https://"&amp;"docs.google.com/spreadsheets/d/19KBlQQs7uwvsao6t2n-KvW3Ax8J8uRRfZPq1zPbXgKc/edit?usp=sharing"",""ระยอง!L67"")+IMPORTRANGE(""https://docs.google.com/spreadsheets/d/1jQ6P4QcrGM89YfqcC_PxOHGCMq5ezhucwJd8ci-NHng/edit?usp=sharing"",""ราชบุรี!L67"")+IMPORTRANGE"&amp;"(""https://docs.google.com/spreadsheets/d/1lufeA2cfFqM-elVq2hznhDzC6Pr7wkJ9ZG_sYNGCMCU/edit?usp=sharing"",""ลพบุรี!L67"")+IMPORTRANGE(""https://docs.google.com/spreadsheets/d/10oOiF7loTyfsTkbd4MpaIm0HQ9SwB7IYHdIUvt-U1Uc/edit?usp=sharing"",""สระแก้ว!L67"")"&amp;"+IMPORTRANGE(""https://docs.google.com/spreadsheets/d/1xmPlrr1QbdSIKvl1dWUl9K4PjAfSL9oeMr_37QVzcxc/edit?usp=sharing"",""สระบุรี!L67"")+IMPORTRANGE(""https://docs.google.com/spreadsheets/d/1j51vR6CYVGhABJpv6tkstgok82RLpXieLzW1yOY5rHw/edit?usp=sharing"",""ส"&amp;"ิงห์บุรี!L67"")+IMPORTRANGE(""https://docs.google.com/spreadsheets/d/1H1EalTWKUSzO4Z1-1CwzoDUaVffgrThEBe2sl74kKG0/edit?usp=sharing"",""สุพรรณบุรี!L67"")+IMPORTRANGE(""https://docs.google.com/spreadsheets/d/1BmIruG_sIrJLYao_Pdr7zVArWsfoBt2692TMi6x_854/edit"&amp;"?usp=sharing"",""อ่างทอง!L67"")"),0)</f>
        <v>0</v>
      </c>
      <c r="M68" s="180">
        <f ca="1">IFERROR(__xludf.DUMMYFUNCTION("IMPORTRANGE(""https://docs.google.com/spreadsheets/d/13wPX838HrBrQMCywv1BsuMkt4PEKTChp52zj44s2izQ/edit?usp=sharing"",""กาญจนบุรี!M67"")+IMPORTRANGE(""https://docs.google.com/spreadsheets/d/1ddFKvqj1W1NEiWytbGlB1zMx_ykJDVtmfEQ-6-lIUBA/edit?usp=sharing"","""&amp;"จันทบุรี!M67"")+IMPORTRANGE(""https://docs.google.com/spreadsheets/d/1T1PQvRODqOBZk8BRht_U031fIS1beLA0Ub2CEytj2q0/edit?usp=sharing"",""ฉะเชิงเทรา!M67"")+IMPORTRANGE(""https://docs.google.com/spreadsheets/d/11tr1B-Bhyr79v2bkwVh5h_fR-PStkgjlZtkrZpYurG0/edit"&amp;"?usp=sharing"",""ชลบุรี!M67"")+IMPORTRANGE(""https://docs.google.com/spreadsheets/d/1hh-FVnSX0vozXhGluamEcS54Dw9_zqW0N7qJUWgJ0Sw/edit?usp=sharing"",""ชัยนาท!M67"")+IMPORTRANGE(""https://docs.google.com/spreadsheets/d/1jkqa6GXxSacMcY1eN8AHjMNJ_7dDXMJVRLDla"&amp;"FSOdPM/edit?usp=sharing"",""ตราด!M67"")+IMPORTRANGE(""https://docs.google.com/spreadsheets/d/18hSgUJ3VwClqi_qtULmmW3cLr0oe3OKaSYoKzdpTsYQ/edit?usp=sharing"",""นครนายก!M67"")+IMPORTRANGE(""https://docs.google.com/spreadsheets/d/1YTZo6WM2dQ6Ix6FSdnL5P7uVnVK"&amp;"u40sxZu975tgG10E/edit?usp=sharing"",""นครปฐม!M67"")+IMPORTRANGE(""https://docs.google.com/spreadsheets/d/1OYoGg4WDg5RIzwGeB10padOxJF9E_Vljuvvct_M7RDo/edit?usp=sharing"",""ปทุมธานี!M67"")+IMPORTRANGE(""https://docs.google.com/spreadsheets/d/1GbCIE4D4wk9FUo"&amp;"zzqk7SxfDMxDVBwVmI5zcaVUSzKAc/edit?usp=sharing"",""ประจวบคีรีขันธ์!M67"")+IMPORTRANGE(""https://docs.google.com/spreadsheets/d/1vVf6wykvW_lAyu7Yo9L4hUTqHqIeP_qcVuxCtosJEbg/edit?usp=sharing"",""ปราจีนบุรี!M67"")+IMPORTRANGE(""https://docs.google.com/spread"&amp;"sheets/d/1BIDqLLg5jk3v59G8NlR8rk5xfQDKne0sAvZHSj7TI6I/edit?usp=sharing"",""พระนครศรีอยุธยา!M67"")+IMPORTRANGE(""https://docs.google.com/spreadsheets/d/1YXvxf8Yu6_rV4hTBrwMqAcAnv6DfhUxh5emyM3CJp_w/edit?usp=sharing"",""เพชรบุรี!M67"")+IMPORTRANGE(""https://"&amp;"docs.google.com/spreadsheets/d/19KBlQQs7uwvsao6t2n-KvW3Ax8J8uRRfZPq1zPbXgKc/edit?usp=sharing"",""ระยอง!M67"")+IMPORTRANGE(""https://docs.google.com/spreadsheets/d/1jQ6P4QcrGM89YfqcC_PxOHGCMq5ezhucwJd8ci-NHng/edit?usp=sharing"",""ราชบุรี!M67"")+IMPORTRANGE"&amp;"(""https://docs.google.com/spreadsheets/d/1lufeA2cfFqM-elVq2hznhDzC6Pr7wkJ9ZG_sYNGCMCU/edit?usp=sharing"",""ลพบุรี!M67"")+IMPORTRANGE(""https://docs.google.com/spreadsheets/d/10oOiF7loTyfsTkbd4MpaIm0HQ9SwB7IYHdIUvt-U1Uc/edit?usp=sharing"",""สระแก้ว!M67"")"&amp;"+IMPORTRANGE(""https://docs.google.com/spreadsheets/d/1xmPlrr1QbdSIKvl1dWUl9K4PjAfSL9oeMr_37QVzcxc/edit?usp=sharing"",""สระบุรี!M67"")+IMPORTRANGE(""https://docs.google.com/spreadsheets/d/1j51vR6CYVGhABJpv6tkstgok82RLpXieLzW1yOY5rHw/edit?usp=sharing"",""ส"&amp;"ิงห์บุรี!M67"")+IMPORTRANGE(""https://docs.google.com/spreadsheets/d/1H1EalTWKUSzO4Z1-1CwzoDUaVffgrThEBe2sl74kKG0/edit?usp=sharing"",""สุพรรณบุรี!M67"")+IMPORTRANGE(""https://docs.google.com/spreadsheets/d/1BmIruG_sIrJLYao_Pdr7zVArWsfoBt2692TMi6x_854/edit"&amp;"?usp=sharing"",""อ่างทอง!M67"")"),0)</f>
        <v>0</v>
      </c>
      <c r="N68" s="180">
        <f ca="1">IFERROR(__xludf.DUMMYFUNCTION("IMPORTRANGE(""https://docs.google.com/spreadsheets/d/13wPX838HrBrQMCywv1BsuMkt4PEKTChp52zj44s2izQ/edit?usp=sharing"",""กาญจนบุรี!N67"")+IMPORTRANGE(""https://docs.google.com/spreadsheets/d/1ddFKvqj1W1NEiWytbGlB1zMx_ykJDVtmfEQ-6-lIUBA/edit?usp=sharing"","""&amp;"จันทบุรี!N67"")+IMPORTRANGE(""https://docs.google.com/spreadsheets/d/1T1PQvRODqOBZk8BRht_U031fIS1beLA0Ub2CEytj2q0/edit?usp=sharing"",""ฉะเชิงเทรา!N67"")+IMPORTRANGE(""https://docs.google.com/spreadsheets/d/11tr1B-Bhyr79v2bkwVh5h_fR-PStkgjlZtkrZpYurG0/edit"&amp;"?usp=sharing"",""ชลบุรี!N67"")+IMPORTRANGE(""https://docs.google.com/spreadsheets/d/1hh-FVnSX0vozXhGluamEcS54Dw9_zqW0N7qJUWgJ0Sw/edit?usp=sharing"",""ชัยนาท!N67"")+IMPORTRANGE(""https://docs.google.com/spreadsheets/d/1jkqa6GXxSacMcY1eN8AHjMNJ_7dDXMJVRLDla"&amp;"FSOdPM/edit?usp=sharing"",""ตราด!N67"")+IMPORTRANGE(""https://docs.google.com/spreadsheets/d/18hSgUJ3VwClqi_qtULmmW3cLr0oe3OKaSYoKzdpTsYQ/edit?usp=sharing"",""นครนายก!N67"")+IMPORTRANGE(""https://docs.google.com/spreadsheets/d/1YTZo6WM2dQ6Ix6FSdnL5P7uVnVK"&amp;"u40sxZu975tgG10E/edit?usp=sharing"",""นครปฐม!N67"")+IMPORTRANGE(""https://docs.google.com/spreadsheets/d/1OYoGg4WDg5RIzwGeB10padOxJF9E_Vljuvvct_M7RDo/edit?usp=sharing"",""ปทุมธานี!N67"")+IMPORTRANGE(""https://docs.google.com/spreadsheets/d/1GbCIE4D4wk9FUo"&amp;"zzqk7SxfDMxDVBwVmI5zcaVUSzKAc/edit?usp=sharing"",""ประจวบคีรีขันธ์!N67"")+IMPORTRANGE(""https://docs.google.com/spreadsheets/d/1vVf6wykvW_lAyu7Yo9L4hUTqHqIeP_qcVuxCtosJEbg/edit?usp=sharing"",""ปราจีนบุรี!N67"")+IMPORTRANGE(""https://docs.google.com/spread"&amp;"sheets/d/1BIDqLLg5jk3v59G8NlR8rk5xfQDKne0sAvZHSj7TI6I/edit?usp=sharing"",""พระนครศรีอยุธยา!N67"")+IMPORTRANGE(""https://docs.google.com/spreadsheets/d/1YXvxf8Yu6_rV4hTBrwMqAcAnv6DfhUxh5emyM3CJp_w/edit?usp=sharing"",""เพชรบุรี!N67"")+IMPORTRANGE(""https://"&amp;"docs.google.com/spreadsheets/d/19KBlQQs7uwvsao6t2n-KvW3Ax8J8uRRfZPq1zPbXgKc/edit?usp=sharing"",""ระยอง!N67"")+IMPORTRANGE(""https://docs.google.com/spreadsheets/d/1jQ6P4QcrGM89YfqcC_PxOHGCMq5ezhucwJd8ci-NHng/edit?usp=sharing"",""ราชบุรี!N67"")+IMPORTRANGE"&amp;"(""https://docs.google.com/spreadsheets/d/1lufeA2cfFqM-elVq2hznhDzC6Pr7wkJ9ZG_sYNGCMCU/edit?usp=sharing"",""ลพบุรี!N67"")+IMPORTRANGE(""https://docs.google.com/spreadsheets/d/10oOiF7loTyfsTkbd4MpaIm0HQ9SwB7IYHdIUvt-U1Uc/edit?usp=sharing"",""สระแก้ว!N67"")"&amp;"+IMPORTRANGE(""https://docs.google.com/spreadsheets/d/1xmPlrr1QbdSIKvl1dWUl9K4PjAfSL9oeMr_37QVzcxc/edit?usp=sharing"",""สระบุรี!N67"")+IMPORTRANGE(""https://docs.google.com/spreadsheets/d/1j51vR6CYVGhABJpv6tkstgok82RLpXieLzW1yOY5rHw/edit?usp=sharing"",""ส"&amp;"ิงห์บุรี!N67"")+IMPORTRANGE(""https://docs.google.com/spreadsheets/d/1H1EalTWKUSzO4Z1-1CwzoDUaVffgrThEBe2sl74kKG0/edit?usp=sharing"",""สุพรรณบุรี!N67"")+IMPORTRANGE(""https://docs.google.com/spreadsheets/d/1BmIruG_sIrJLYao_Pdr7zVArWsfoBt2692TMi6x_854/edit"&amp;"?usp=sharing"",""อ่างทอง!N67"")"),0)</f>
        <v>0</v>
      </c>
      <c r="O68" s="180">
        <f t="shared" ca="1" si="37"/>
        <v>0</v>
      </c>
      <c r="P68" s="180">
        <f t="shared" ca="1" si="38"/>
        <v>0</v>
      </c>
      <c r="Q68" s="181">
        <f ca="1">IFERROR(__xludf.DUMMYFUNCTION("IMPORTRANGE(""https://docs.google.com/spreadsheets/d/13wPX838HrBrQMCywv1BsuMkt4PEKTChp52zj44s2izQ/edit?usp=sharing"",""กาญจนบุรี!Q67"")+IMPORTRANGE(""https://docs.google.com/spreadsheets/d/1ddFKvqj1W1NEiWytbGlB1zMx_ykJDVtmfEQ-6-lIUBA/edit?usp=sharing"","""&amp;"จันทบุรี!Q67"")+IMPORTRANGE(""https://docs.google.com/spreadsheets/d/1T1PQvRODqOBZk8BRht_U031fIS1beLA0Ub2CEytj2q0/edit?usp=sharing"",""ฉะเชิงเทรา!Q67"")+IMPORTRANGE(""https://docs.google.com/spreadsheets/d/11tr1B-Bhyr79v2bkwVh5h_fR-PStkgjlZtkrZpYurG0/edit"&amp;"?usp=sharing"",""ชลบุรี!Q67"")+IMPORTRANGE(""https://docs.google.com/spreadsheets/d/1hh-FVnSX0vozXhGluamEcS54Dw9_zqW0N7qJUWgJ0Sw/edit?usp=sharing"",""ชัยนาท!Q67"")+IMPORTRANGE(""https://docs.google.com/spreadsheets/d/1jkqa6GXxSacMcY1eN8AHjMNJ_7dDXMJVRLDla"&amp;"FSOdPM/edit?usp=sharing"",""ตราด!Q67"")+IMPORTRANGE(""https://docs.google.com/spreadsheets/d/18hSgUJ3VwClqi_qtULmmW3cLr0oe3OKaSYoKzdpTsYQ/edit?usp=sharing"",""นครนายก!Q67"")+IMPORTRANGE(""https://docs.google.com/spreadsheets/d/1YTZo6WM2dQ6Ix6FSdnL5P7uVnVK"&amp;"u40sxZu975tgG10E/edit?usp=sharing"",""นครปฐม!Q67"")+IMPORTRANGE(""https://docs.google.com/spreadsheets/d/1OYoGg4WDg5RIzwGeB10padOxJF9E_Vljuvvct_M7RDo/edit?usp=sharing"",""ปทุมธานี!Q67"")+IMPORTRANGE(""https://docs.google.com/spreadsheets/d/1GbCIE4D4wk9FUo"&amp;"zzqk7SxfDMxDVBwVmI5zcaVUSzKAc/edit?usp=sharing"",""ประจวบคีรีขันธ์!Q67"")+IMPORTRANGE(""https://docs.google.com/spreadsheets/d/1vVf6wykvW_lAyu7Yo9L4hUTqHqIeP_qcVuxCtosJEbg/edit?usp=sharing"",""ปราจีนบุรี!Q67"")+IMPORTRANGE(""https://docs.google.com/spread"&amp;"sheets/d/1BIDqLLg5jk3v59G8NlR8rk5xfQDKne0sAvZHSj7TI6I/edit?usp=sharing"",""พระนครศรีอยุธยา!Q67"")+IMPORTRANGE(""https://docs.google.com/spreadsheets/d/1YXvxf8Yu6_rV4hTBrwMqAcAnv6DfhUxh5emyM3CJp_w/edit?usp=sharing"",""เพชรบุรี!Q67"")+IMPORTRANGE(""https://"&amp;"docs.google.com/spreadsheets/d/19KBlQQs7uwvsao6t2n-KvW3Ax8J8uRRfZPq1zPbXgKc/edit?usp=sharing"",""ระยอง!Q67"")+IMPORTRANGE(""https://docs.google.com/spreadsheets/d/1jQ6P4QcrGM89YfqcC_PxOHGCMq5ezhucwJd8ci-NHng/edit?usp=sharing"",""ราชบุรี!Q67"")+IMPORTRANGE"&amp;"(""https://docs.google.com/spreadsheets/d/1lufeA2cfFqM-elVq2hznhDzC6Pr7wkJ9ZG_sYNGCMCU/edit?usp=sharing"",""ลพบุรี!Q67"")+IMPORTRANGE(""https://docs.google.com/spreadsheets/d/10oOiF7loTyfsTkbd4MpaIm0HQ9SwB7IYHdIUvt-U1Uc/edit?usp=sharing"",""สระแก้ว!Q67"")"&amp;"+IMPORTRANGE(""https://docs.google.com/spreadsheets/d/1xmPlrr1QbdSIKvl1dWUl9K4PjAfSL9oeMr_37QVzcxc/edit?usp=sharing"",""สระบุรี!Q67"")+IMPORTRANGE(""https://docs.google.com/spreadsheets/d/1j51vR6CYVGhABJpv6tkstgok82RLpXieLzW1yOY5rHw/edit?usp=sharing"",""ส"&amp;"ิงห์บุรี!Q67"")+IMPORTRANGE(""https://docs.google.com/spreadsheets/d/1H1EalTWKUSzO4Z1-1CwzoDUaVffgrThEBe2sl74kKG0/edit?usp=sharing"",""สุพรรณบุรี!Q67"")+IMPORTRANGE(""https://docs.google.com/spreadsheets/d/1BmIruG_sIrJLYao_Pdr7zVArWsfoBt2692TMi6x_854/edit"&amp;"?usp=sharing"",""อ่างทอง!Q67"")"),0)</f>
        <v>0</v>
      </c>
      <c r="R68" s="182">
        <f ca="1">IFERROR(__xludf.DUMMYFUNCTION("IMPORTRANGE(""https://docs.google.com/spreadsheets/d/13wPX838HrBrQMCywv1BsuMkt4PEKTChp52zj44s2izQ/edit?usp=sharing"",""กาญจนบุรี!R67"")+IMPORTRANGE(""https://docs.google.com/spreadsheets/d/1ddFKvqj1W1NEiWytbGlB1zMx_ykJDVtmfEQ-6-lIUBA/edit?usp=sharing"","""&amp;"จันทบุรี!R67"")+IMPORTRANGE(""https://docs.google.com/spreadsheets/d/1T1PQvRODqOBZk8BRht_U031fIS1beLA0Ub2CEytj2q0/edit?usp=sharing"",""ฉะเชิงเทรา!R67"")+IMPORTRANGE(""https://docs.google.com/spreadsheets/d/11tr1B-Bhyr79v2bkwVh5h_fR-PStkgjlZtkrZpYurG0/edit"&amp;"?usp=sharing"",""ชลบุรี!R67"")+IMPORTRANGE(""https://docs.google.com/spreadsheets/d/1hh-FVnSX0vozXhGluamEcS54Dw9_zqW0N7qJUWgJ0Sw/edit?usp=sharing"",""ชัยนาท!R67"")+IMPORTRANGE(""https://docs.google.com/spreadsheets/d/1jkqa6GXxSacMcY1eN8AHjMNJ_7dDXMJVRLDla"&amp;"FSOdPM/edit?usp=sharing"",""ตราด!R67"")+IMPORTRANGE(""https://docs.google.com/spreadsheets/d/18hSgUJ3VwClqi_qtULmmW3cLr0oe3OKaSYoKzdpTsYQ/edit?usp=sharing"",""นครนายก!R67"")+IMPORTRANGE(""https://docs.google.com/spreadsheets/d/1YTZo6WM2dQ6Ix6FSdnL5P7uVnVK"&amp;"u40sxZu975tgG10E/edit?usp=sharing"",""นครปฐม!R67"")+IMPORTRANGE(""https://docs.google.com/spreadsheets/d/1OYoGg4WDg5RIzwGeB10padOxJF9E_Vljuvvct_M7RDo/edit?usp=sharing"",""ปทุมธานี!R67"")+IMPORTRANGE(""https://docs.google.com/spreadsheets/d/1GbCIE4D4wk9FUo"&amp;"zzqk7SxfDMxDVBwVmI5zcaVUSzKAc/edit?usp=sharing"",""ประจวบคีรีขันธ์!R67"")+IMPORTRANGE(""https://docs.google.com/spreadsheets/d/1vVf6wykvW_lAyu7Yo9L4hUTqHqIeP_qcVuxCtosJEbg/edit?usp=sharing"",""ปราจีนบุรี!R67"")+IMPORTRANGE(""https://docs.google.com/spread"&amp;"sheets/d/1BIDqLLg5jk3v59G8NlR8rk5xfQDKne0sAvZHSj7TI6I/edit?usp=sharing"",""พระนครศรีอยุธยา!R67"")+IMPORTRANGE(""https://docs.google.com/spreadsheets/d/1YXvxf8Yu6_rV4hTBrwMqAcAnv6DfhUxh5emyM3CJp_w/edit?usp=sharing"",""เพชรบุรี!R67"")+IMPORTRANGE(""https://"&amp;"docs.google.com/spreadsheets/d/19KBlQQs7uwvsao6t2n-KvW3Ax8J8uRRfZPq1zPbXgKc/edit?usp=sharing"",""ระยอง!R67"")+IMPORTRANGE(""https://docs.google.com/spreadsheets/d/1jQ6P4QcrGM89YfqcC_PxOHGCMq5ezhucwJd8ci-NHng/edit?usp=sharing"",""ราชบุรี!R67"")+IMPORTRANGE"&amp;"(""https://docs.google.com/spreadsheets/d/1lufeA2cfFqM-elVq2hznhDzC6Pr7wkJ9ZG_sYNGCMCU/edit?usp=sharing"",""ลพบุรี!R67"")+IMPORTRANGE(""https://docs.google.com/spreadsheets/d/10oOiF7loTyfsTkbd4MpaIm0HQ9SwB7IYHdIUvt-U1Uc/edit?usp=sharing"",""สระแก้ว!R67"")"&amp;"+IMPORTRANGE(""https://docs.google.com/spreadsheets/d/1xmPlrr1QbdSIKvl1dWUl9K4PjAfSL9oeMr_37QVzcxc/edit?usp=sharing"",""สระบุรี!R67"")+IMPORTRANGE(""https://docs.google.com/spreadsheets/d/1j51vR6CYVGhABJpv6tkstgok82RLpXieLzW1yOY5rHw/edit?usp=sharing"",""ส"&amp;"ิงห์บุรี!R67"")+IMPORTRANGE(""https://docs.google.com/spreadsheets/d/1H1EalTWKUSzO4Z1-1CwzoDUaVffgrThEBe2sl74kKG0/edit?usp=sharing"",""สุพรรณบุรี!R67"")+IMPORTRANGE(""https://docs.google.com/spreadsheets/d/1BmIruG_sIrJLYao_Pdr7zVArWsfoBt2692TMi6x_854/edit"&amp;"?usp=sharing"",""อ่างทอง!R67"")"),0)</f>
        <v>0</v>
      </c>
      <c r="S68" s="182">
        <f ca="1">IFERROR(__xludf.DUMMYFUNCTION("IMPORTRANGE(""https://docs.google.com/spreadsheets/d/13wPX838HrBrQMCywv1BsuMkt4PEKTChp52zj44s2izQ/edit?usp=sharing"",""กาญจนบุรี!S67"")+IMPORTRANGE(""https://docs.google.com/spreadsheets/d/1ddFKvqj1W1NEiWytbGlB1zMx_ykJDVtmfEQ-6-lIUBA/edit?usp=sharing"","""&amp;"จันทบุรี!S67"")+IMPORTRANGE(""https://docs.google.com/spreadsheets/d/1T1PQvRODqOBZk8BRht_U031fIS1beLA0Ub2CEytj2q0/edit?usp=sharing"",""ฉะเชิงเทรา!S67"")+IMPORTRANGE(""https://docs.google.com/spreadsheets/d/11tr1B-Bhyr79v2bkwVh5h_fR-PStkgjlZtkrZpYurG0/edit"&amp;"?usp=sharing"",""ชลบุรี!S67"")+IMPORTRANGE(""https://docs.google.com/spreadsheets/d/1hh-FVnSX0vozXhGluamEcS54Dw9_zqW0N7qJUWgJ0Sw/edit?usp=sharing"",""ชัยนาท!S67"")+IMPORTRANGE(""https://docs.google.com/spreadsheets/d/1jkqa6GXxSacMcY1eN8AHjMNJ_7dDXMJVRLDla"&amp;"FSOdPM/edit?usp=sharing"",""ตราด!S67"")+IMPORTRANGE(""https://docs.google.com/spreadsheets/d/18hSgUJ3VwClqi_qtULmmW3cLr0oe3OKaSYoKzdpTsYQ/edit?usp=sharing"",""นครนายก!S67"")+IMPORTRANGE(""https://docs.google.com/spreadsheets/d/1YTZo6WM2dQ6Ix6FSdnL5P7uVnVK"&amp;"u40sxZu975tgG10E/edit?usp=sharing"",""นครปฐม!S67"")+IMPORTRANGE(""https://docs.google.com/spreadsheets/d/1OYoGg4WDg5RIzwGeB10padOxJF9E_Vljuvvct_M7RDo/edit?usp=sharing"",""ปทุมธานี!S67"")+IMPORTRANGE(""https://docs.google.com/spreadsheets/d/1GbCIE4D4wk9FUo"&amp;"zzqk7SxfDMxDVBwVmI5zcaVUSzKAc/edit?usp=sharing"",""ประจวบคีรีขันธ์!S67"")+IMPORTRANGE(""https://docs.google.com/spreadsheets/d/1vVf6wykvW_lAyu7Yo9L4hUTqHqIeP_qcVuxCtosJEbg/edit?usp=sharing"",""ปราจีนบุรี!S67"")+IMPORTRANGE(""https://docs.google.com/spread"&amp;"sheets/d/1BIDqLLg5jk3v59G8NlR8rk5xfQDKne0sAvZHSj7TI6I/edit?usp=sharing"",""พระนครศรีอยุธยา!S67"")+IMPORTRANGE(""https://docs.google.com/spreadsheets/d/1YXvxf8Yu6_rV4hTBrwMqAcAnv6DfhUxh5emyM3CJp_w/edit?usp=sharing"",""เพชรบุรี!S67"")+IMPORTRANGE(""https://"&amp;"docs.google.com/spreadsheets/d/19KBlQQs7uwvsao6t2n-KvW3Ax8J8uRRfZPq1zPbXgKc/edit?usp=sharing"",""ระยอง!S67"")+IMPORTRANGE(""https://docs.google.com/spreadsheets/d/1jQ6P4QcrGM89YfqcC_PxOHGCMq5ezhucwJd8ci-NHng/edit?usp=sharing"",""ราชบุรี!S67"")+IMPORTRANGE"&amp;"(""https://docs.google.com/spreadsheets/d/1lufeA2cfFqM-elVq2hznhDzC6Pr7wkJ9ZG_sYNGCMCU/edit?usp=sharing"",""ลพบุรี!S67"")+IMPORTRANGE(""https://docs.google.com/spreadsheets/d/10oOiF7loTyfsTkbd4MpaIm0HQ9SwB7IYHdIUvt-U1Uc/edit?usp=sharing"",""สระแก้ว!S67"")"&amp;"+IMPORTRANGE(""https://docs.google.com/spreadsheets/d/1xmPlrr1QbdSIKvl1dWUl9K4PjAfSL9oeMr_37QVzcxc/edit?usp=sharing"",""สระบุรี!S67"")+IMPORTRANGE(""https://docs.google.com/spreadsheets/d/1j51vR6CYVGhABJpv6tkstgok82RLpXieLzW1yOY5rHw/edit?usp=sharing"",""ส"&amp;"ิงห์บุรี!S67"")+IMPORTRANGE(""https://docs.google.com/spreadsheets/d/1H1EalTWKUSzO4Z1-1CwzoDUaVffgrThEBe2sl74kKG0/edit?usp=sharing"",""สุพรรณบุรี!S67"")+IMPORTRANGE(""https://docs.google.com/spreadsheets/d/1BmIruG_sIrJLYao_Pdr7zVArWsfoBt2692TMi6x_854/edit"&amp;"?usp=sharing"",""อ่างทอง!S67"")"),0)</f>
        <v>0</v>
      </c>
      <c r="T68" s="183">
        <f t="shared" ca="1" si="40"/>
        <v>0</v>
      </c>
      <c r="U68" s="183">
        <f t="shared" ca="1" si="41"/>
        <v>0</v>
      </c>
    </row>
    <row r="69" spans="1:21" ht="19.5" x14ac:dyDescent="0.3">
      <c r="A69" s="184" t="s">
        <v>31</v>
      </c>
      <c r="B69" s="185"/>
      <c r="C69" s="185"/>
      <c r="D69" s="185"/>
      <c r="E69" s="186"/>
      <c r="F69" s="186"/>
      <c r="G69" s="186"/>
      <c r="H69" s="186"/>
      <c r="I69" s="187"/>
      <c r="J69" s="187"/>
      <c r="K69" s="188"/>
      <c r="L69" s="188"/>
      <c r="M69" s="188"/>
      <c r="N69" s="188"/>
      <c r="O69" s="188"/>
      <c r="P69" s="189"/>
      <c r="Q69" s="190"/>
      <c r="R69" s="191"/>
      <c r="S69" s="191"/>
      <c r="T69" s="191"/>
      <c r="U69" s="192"/>
    </row>
    <row r="70" spans="1:21" ht="19.5" x14ac:dyDescent="0.3">
      <c r="A70" s="193" t="s">
        <v>32</v>
      </c>
      <c r="B70" s="194"/>
      <c r="C70" s="195"/>
      <c r="D70" s="194"/>
      <c r="E70" s="194"/>
      <c r="F70" s="194"/>
      <c r="G70" s="196"/>
      <c r="H70" s="196"/>
      <c r="I70" s="197"/>
      <c r="J70" s="197"/>
      <c r="K70" s="198"/>
      <c r="L70" s="198"/>
      <c r="M70" s="198"/>
      <c r="N70" s="198"/>
      <c r="O70" s="198"/>
      <c r="P70" s="198"/>
      <c r="Q70" s="199"/>
      <c r="R70" s="200"/>
      <c r="S70" s="200"/>
      <c r="T70" s="200"/>
      <c r="U70" s="200"/>
    </row>
    <row r="71" spans="1:21" ht="19.5" x14ac:dyDescent="0.3">
      <c r="A71" s="201"/>
      <c r="B71" s="202" t="s">
        <v>33</v>
      </c>
      <c r="C71" s="49"/>
      <c r="D71" s="203"/>
      <c r="E71" s="49"/>
      <c r="F71" s="49"/>
      <c r="G71" s="52"/>
      <c r="H71" s="204" t="s">
        <v>34</v>
      </c>
      <c r="I71" s="205">
        <f t="shared" ref="I71:J71" ca="1" si="50">I83</f>
        <v>7</v>
      </c>
      <c r="J71" s="205">
        <f t="shared" ca="1" si="50"/>
        <v>0</v>
      </c>
      <c r="K71" s="206">
        <f t="shared" ref="K71:K72" ca="1" si="51">IF(I71&gt;0,J71*100/I71,0)</f>
        <v>0</v>
      </c>
      <c r="L71" s="55"/>
      <c r="M71" s="55"/>
      <c r="N71" s="55"/>
      <c r="O71" s="55"/>
      <c r="P71" s="55"/>
      <c r="Q71" s="207"/>
      <c r="R71" s="208"/>
      <c r="S71" s="208"/>
      <c r="T71" s="208"/>
      <c r="U71" s="208"/>
    </row>
    <row r="72" spans="1:21" ht="19.5" x14ac:dyDescent="0.3">
      <c r="A72" s="201"/>
      <c r="B72" s="49"/>
      <c r="C72" s="49"/>
      <c r="D72" s="203"/>
      <c r="E72" s="49"/>
      <c r="F72" s="49"/>
      <c r="G72" s="52"/>
      <c r="H72" s="204" t="s">
        <v>35</v>
      </c>
      <c r="I72" s="205">
        <f t="shared" ref="I72:J72" ca="1" si="52">I84</f>
        <v>304</v>
      </c>
      <c r="J72" s="205">
        <f t="shared" ca="1" si="52"/>
        <v>0</v>
      </c>
      <c r="K72" s="206">
        <f t="shared" ca="1" si="51"/>
        <v>0</v>
      </c>
      <c r="L72" s="55"/>
      <c r="M72" s="55"/>
      <c r="N72" s="55"/>
      <c r="O72" s="55"/>
      <c r="P72" s="55"/>
      <c r="Q72" s="207"/>
      <c r="R72" s="208"/>
      <c r="S72" s="208"/>
      <c r="T72" s="208"/>
      <c r="U72" s="208"/>
    </row>
    <row r="73" spans="1:21" ht="19.5" x14ac:dyDescent="0.3">
      <c r="A73" s="209"/>
      <c r="B73" s="67"/>
      <c r="C73" s="210" t="s">
        <v>18</v>
      </c>
      <c r="D73" s="211" t="s">
        <v>19</v>
      </c>
      <c r="E73" s="67"/>
      <c r="F73" s="67"/>
      <c r="G73" s="69"/>
      <c r="H73" s="212" t="s">
        <v>14</v>
      </c>
      <c r="I73" s="71"/>
      <c r="J73" s="71"/>
      <c r="K73" s="72"/>
      <c r="L73" s="213">
        <f t="shared" ref="L73:N73" ca="1" si="53">L74+L75</f>
        <v>1184300</v>
      </c>
      <c r="M73" s="213">
        <f t="shared" ca="1" si="53"/>
        <v>1184300</v>
      </c>
      <c r="N73" s="213">
        <f t="shared" ca="1" si="53"/>
        <v>451847.20999999897</v>
      </c>
      <c r="O73" s="213">
        <f t="shared" ref="O73:O81" ca="1" si="54">IF(L73&gt;0,N73*100/L73,0)</f>
        <v>38.153103943257534</v>
      </c>
      <c r="P73" s="213">
        <f t="shared" ref="P73:P81" ca="1" si="55">IF(M73&gt;0,N73*100/M73,0)</f>
        <v>38.153103943257534</v>
      </c>
      <c r="Q73" s="214">
        <f t="shared" ref="Q73:S73" ca="1" si="56">Q74+Q75</f>
        <v>4126260</v>
      </c>
      <c r="R73" s="215">
        <f t="shared" ca="1" si="56"/>
        <v>4126260</v>
      </c>
      <c r="S73" s="215">
        <f t="shared" ca="1" si="56"/>
        <v>0</v>
      </c>
      <c r="T73" s="215">
        <f t="shared" ref="T73:T81" ca="1" si="57">IF(Q73&gt;0,S73*100/Q73,0)</f>
        <v>0</v>
      </c>
      <c r="U73" s="215">
        <f t="shared" ref="U73:U81" ca="1" si="58">IF(R73&gt;0,S73*100/R73,0)</f>
        <v>0</v>
      </c>
    </row>
    <row r="74" spans="1:21" ht="18.75" x14ac:dyDescent="0.25">
      <c r="A74" s="209"/>
      <c r="B74" s="67"/>
      <c r="C74" s="67"/>
      <c r="D74" s="67"/>
      <c r="E74" s="75" t="s">
        <v>20</v>
      </c>
      <c r="F74" s="67"/>
      <c r="G74" s="69"/>
      <c r="H74" s="216" t="s">
        <v>14</v>
      </c>
      <c r="I74" s="71"/>
      <c r="J74" s="71"/>
      <c r="K74" s="72"/>
      <c r="L74" s="88">
        <f t="shared" ref="L74:N74" ca="1" si="59">L77+L80</f>
        <v>0</v>
      </c>
      <c r="M74" s="88">
        <f t="shared" ca="1" si="59"/>
        <v>0</v>
      </c>
      <c r="N74" s="88">
        <f t="shared" ca="1" si="59"/>
        <v>0</v>
      </c>
      <c r="O74" s="88">
        <f t="shared" ca="1" si="54"/>
        <v>0</v>
      </c>
      <c r="P74" s="88">
        <f t="shared" ca="1" si="55"/>
        <v>0</v>
      </c>
      <c r="Q74" s="217">
        <f t="shared" ref="Q74:S74" ca="1" si="60">Q77+Q80</f>
        <v>0</v>
      </c>
      <c r="R74" s="133">
        <f t="shared" ca="1" si="60"/>
        <v>0</v>
      </c>
      <c r="S74" s="133">
        <f t="shared" ca="1" si="60"/>
        <v>0</v>
      </c>
      <c r="T74" s="133">
        <f t="shared" ca="1" si="57"/>
        <v>0</v>
      </c>
      <c r="U74" s="133">
        <f t="shared" ca="1" si="58"/>
        <v>0</v>
      </c>
    </row>
    <row r="75" spans="1:21" ht="18.75" x14ac:dyDescent="0.25">
      <c r="A75" s="209"/>
      <c r="B75" s="67"/>
      <c r="C75" s="67"/>
      <c r="D75" s="67"/>
      <c r="E75" s="75" t="s">
        <v>21</v>
      </c>
      <c r="F75" s="67"/>
      <c r="G75" s="69"/>
      <c r="H75" s="216" t="s">
        <v>14</v>
      </c>
      <c r="I75" s="71"/>
      <c r="J75" s="71"/>
      <c r="K75" s="72"/>
      <c r="L75" s="88">
        <f t="shared" ref="L75:N75" ca="1" si="61">L78+L81</f>
        <v>1184300</v>
      </c>
      <c r="M75" s="88">
        <f t="shared" ca="1" si="61"/>
        <v>1184300</v>
      </c>
      <c r="N75" s="88">
        <f t="shared" ca="1" si="61"/>
        <v>451847.20999999897</v>
      </c>
      <c r="O75" s="88">
        <f t="shared" ca="1" si="54"/>
        <v>38.153103943257534</v>
      </c>
      <c r="P75" s="88">
        <f t="shared" ca="1" si="55"/>
        <v>38.153103943257534</v>
      </c>
      <c r="Q75" s="131">
        <f t="shared" ref="Q75:S75" ca="1" si="62">Q78+Q81</f>
        <v>4126260</v>
      </c>
      <c r="R75" s="132">
        <f t="shared" ca="1" si="62"/>
        <v>4126260</v>
      </c>
      <c r="S75" s="132">
        <f t="shared" ca="1" si="62"/>
        <v>0</v>
      </c>
      <c r="T75" s="132">
        <f t="shared" ca="1" si="57"/>
        <v>0</v>
      </c>
      <c r="U75" s="132">
        <f t="shared" ca="1" si="58"/>
        <v>0</v>
      </c>
    </row>
    <row r="76" spans="1:21" ht="18.75" x14ac:dyDescent="0.25">
      <c r="A76" s="209"/>
      <c r="B76" s="67"/>
      <c r="C76" s="67"/>
      <c r="D76" s="68" t="s">
        <v>22</v>
      </c>
      <c r="E76" s="67"/>
      <c r="F76" s="67"/>
      <c r="G76" s="69"/>
      <c r="H76" s="218" t="s">
        <v>14</v>
      </c>
      <c r="I76" s="219"/>
      <c r="J76" s="219"/>
      <c r="K76" s="220"/>
      <c r="L76" s="88">
        <f t="shared" ref="L76:N76" ca="1" si="63">L77+L78</f>
        <v>1184300</v>
      </c>
      <c r="M76" s="88">
        <f t="shared" ca="1" si="63"/>
        <v>1184300</v>
      </c>
      <c r="N76" s="88">
        <f t="shared" ca="1" si="63"/>
        <v>451847.20999999897</v>
      </c>
      <c r="O76" s="88">
        <f t="shared" ca="1" si="54"/>
        <v>38.153103943257534</v>
      </c>
      <c r="P76" s="88">
        <f t="shared" ca="1" si="55"/>
        <v>38.153103943257534</v>
      </c>
      <c r="Q76" s="131">
        <f t="shared" ref="Q76:S76" ca="1" si="64">Q77+Q78</f>
        <v>4126260</v>
      </c>
      <c r="R76" s="132">
        <f t="shared" ca="1" si="64"/>
        <v>4126260</v>
      </c>
      <c r="S76" s="132">
        <f t="shared" ca="1" si="64"/>
        <v>0</v>
      </c>
      <c r="T76" s="132">
        <f t="shared" ca="1" si="57"/>
        <v>0</v>
      </c>
      <c r="U76" s="132">
        <f t="shared" ca="1" si="58"/>
        <v>0</v>
      </c>
    </row>
    <row r="77" spans="1:21" ht="18.75" x14ac:dyDescent="0.25">
      <c r="A77" s="209"/>
      <c r="B77" s="67"/>
      <c r="C77" s="67"/>
      <c r="D77" s="67"/>
      <c r="E77" s="75" t="s">
        <v>36</v>
      </c>
      <c r="F77" s="67"/>
      <c r="G77" s="69"/>
      <c r="H77" s="218" t="s">
        <v>14</v>
      </c>
      <c r="I77" s="219"/>
      <c r="J77" s="219"/>
      <c r="K77" s="220"/>
      <c r="L77" s="88">
        <f ca="1">IFERROR(__xludf.DUMMYFUNCTION("IMPORTRANGE(""https://docs.google.com/spreadsheets/d/13wPX838HrBrQMCywv1BsuMkt4PEKTChp52zj44s2izQ/edit?usp=sharing"",""กาญจนบุรี!L76"")+IMPORTRANGE(""https://docs.google.com/spreadsheets/d/1ddFKvqj1W1NEiWytbGlB1zMx_ykJDVtmfEQ-6-lIUBA/edit?usp=sharing"","""&amp;"จันทบุรี!L76"")+IMPORTRANGE(""https://docs.google.com/spreadsheets/d/1T1PQvRODqOBZk8BRht_U031fIS1beLA0Ub2CEytj2q0/edit?usp=sharing"",""ฉะเชิงเทรา!L76"")+IMPORTRANGE(""https://docs.google.com/spreadsheets/d/11tr1B-Bhyr79v2bkwVh5h_fR-PStkgjlZtkrZpYurG0/edit"&amp;"?usp=sharing"",""ชลบุรี!L76"")+IMPORTRANGE(""https://docs.google.com/spreadsheets/d/1hh-FVnSX0vozXhGluamEcS54Dw9_zqW0N7qJUWgJ0Sw/edit?usp=sharing"",""ชัยนาท!L76"")+IMPORTRANGE(""https://docs.google.com/spreadsheets/d/1jkqa6GXxSacMcY1eN8AHjMNJ_7dDXMJVRLDla"&amp;"FSOdPM/edit?usp=sharing"",""ตราด!L76"")+IMPORTRANGE(""https://docs.google.com/spreadsheets/d/18hSgUJ3VwClqi_qtULmmW3cLr0oe3OKaSYoKzdpTsYQ/edit?usp=sharing"",""นครนายก!L76"")+IMPORTRANGE(""https://docs.google.com/spreadsheets/d/1YTZo6WM2dQ6Ix6FSdnL5P7uVnVK"&amp;"u40sxZu975tgG10E/edit?usp=sharing"",""นครปฐม!L76"")+IMPORTRANGE(""https://docs.google.com/spreadsheets/d/1OYoGg4WDg5RIzwGeB10padOxJF9E_Vljuvvct_M7RDo/edit?usp=sharing"",""ปทุมธานี!L76"")+IMPORTRANGE(""https://docs.google.com/spreadsheets/d/1GbCIE4D4wk9FUo"&amp;"zzqk7SxfDMxDVBwVmI5zcaVUSzKAc/edit?usp=sharing"",""ประจวบคีรีขันธ์!L76"")+IMPORTRANGE(""https://docs.google.com/spreadsheets/d/1vVf6wykvW_lAyu7Yo9L4hUTqHqIeP_qcVuxCtosJEbg/edit?usp=sharing"",""ปราจีนบุรี!L76"")+IMPORTRANGE(""https://docs.google.com/spread"&amp;"sheets/d/1BIDqLLg5jk3v59G8NlR8rk5xfQDKne0sAvZHSj7TI6I/edit?usp=sharing"",""พระนครศรีอยุธยา!L76"")+IMPORTRANGE(""https://docs.google.com/spreadsheets/d/1YXvxf8Yu6_rV4hTBrwMqAcAnv6DfhUxh5emyM3CJp_w/edit?usp=sharing"",""เพชรบุรี!L76"")+IMPORTRANGE(""https://"&amp;"docs.google.com/spreadsheets/d/19KBlQQs7uwvsao6t2n-KvW3Ax8J8uRRfZPq1zPbXgKc/edit?usp=sharing"",""ระยอง!L76"")+IMPORTRANGE(""https://docs.google.com/spreadsheets/d/1jQ6P4QcrGM89YfqcC_PxOHGCMq5ezhucwJd8ci-NHng/edit?usp=sharing"",""ราชบุรี!L76"")+IMPORTRANGE"&amp;"(""https://docs.google.com/spreadsheets/d/1lufeA2cfFqM-elVq2hznhDzC6Pr7wkJ9ZG_sYNGCMCU/edit?usp=sharing"",""ลพบุรี!L76"")+IMPORTRANGE(""https://docs.google.com/spreadsheets/d/10oOiF7loTyfsTkbd4MpaIm0HQ9SwB7IYHdIUvt-U1Uc/edit?usp=sharing"",""สระแก้ว!L76"")"&amp;"+IMPORTRANGE(""https://docs.google.com/spreadsheets/d/1xmPlrr1QbdSIKvl1dWUl9K4PjAfSL9oeMr_37QVzcxc/edit?usp=sharing"",""สระบุรี!L76"")+IMPORTRANGE(""https://docs.google.com/spreadsheets/d/1j51vR6CYVGhABJpv6tkstgok82RLpXieLzW1yOY5rHw/edit?usp=sharing"",""ส"&amp;"ิงห์บุรี!L76"")+IMPORTRANGE(""https://docs.google.com/spreadsheets/d/1H1EalTWKUSzO4Z1-1CwzoDUaVffgrThEBe2sl74kKG0/edit?usp=sharing"",""สุพรรณบุรี!L76"")+IMPORTRANGE(""https://docs.google.com/spreadsheets/d/1BmIruG_sIrJLYao_Pdr7zVArWsfoBt2692TMi6x_854/edit"&amp;"?usp=sharing"",""อ่างทอง!L76"")"),0)</f>
        <v>0</v>
      </c>
      <c r="M77" s="88">
        <f ca="1">IFERROR(__xludf.DUMMYFUNCTION("IMPORTRANGE(""https://docs.google.com/spreadsheets/d/13wPX838HrBrQMCywv1BsuMkt4PEKTChp52zj44s2izQ/edit?usp=sharing"",""กาญจนบุรี!M76"")+IMPORTRANGE(""https://docs.google.com/spreadsheets/d/1ddFKvqj1W1NEiWytbGlB1zMx_ykJDVtmfEQ-6-lIUBA/edit?usp=sharing"","""&amp;"จันทบุรี!M76"")+IMPORTRANGE(""https://docs.google.com/spreadsheets/d/1T1PQvRODqOBZk8BRht_U031fIS1beLA0Ub2CEytj2q0/edit?usp=sharing"",""ฉะเชิงเทรา!M76"")+IMPORTRANGE(""https://docs.google.com/spreadsheets/d/11tr1B-Bhyr79v2bkwVh5h_fR-PStkgjlZtkrZpYurG0/edit"&amp;"?usp=sharing"",""ชลบุรี!M76"")+IMPORTRANGE(""https://docs.google.com/spreadsheets/d/1hh-FVnSX0vozXhGluamEcS54Dw9_zqW0N7qJUWgJ0Sw/edit?usp=sharing"",""ชัยนาท!M76"")+IMPORTRANGE(""https://docs.google.com/spreadsheets/d/1jkqa6GXxSacMcY1eN8AHjMNJ_7dDXMJVRLDla"&amp;"FSOdPM/edit?usp=sharing"",""ตราด!M76"")+IMPORTRANGE(""https://docs.google.com/spreadsheets/d/18hSgUJ3VwClqi_qtULmmW3cLr0oe3OKaSYoKzdpTsYQ/edit?usp=sharing"",""นครนายก!M76"")+IMPORTRANGE(""https://docs.google.com/spreadsheets/d/1YTZo6WM2dQ6Ix6FSdnL5P7uVnVK"&amp;"u40sxZu975tgG10E/edit?usp=sharing"",""นครปฐม!M76"")+IMPORTRANGE(""https://docs.google.com/spreadsheets/d/1OYoGg4WDg5RIzwGeB10padOxJF9E_Vljuvvct_M7RDo/edit?usp=sharing"",""ปทุมธานี!M76"")+IMPORTRANGE(""https://docs.google.com/spreadsheets/d/1GbCIE4D4wk9FUo"&amp;"zzqk7SxfDMxDVBwVmI5zcaVUSzKAc/edit?usp=sharing"",""ประจวบคีรีขันธ์!M76"")+IMPORTRANGE(""https://docs.google.com/spreadsheets/d/1vVf6wykvW_lAyu7Yo9L4hUTqHqIeP_qcVuxCtosJEbg/edit?usp=sharing"",""ปราจีนบุรี!M76"")+IMPORTRANGE(""https://docs.google.com/spread"&amp;"sheets/d/1BIDqLLg5jk3v59G8NlR8rk5xfQDKne0sAvZHSj7TI6I/edit?usp=sharing"",""พระนครศรีอยุธยา!M76"")+IMPORTRANGE(""https://docs.google.com/spreadsheets/d/1YXvxf8Yu6_rV4hTBrwMqAcAnv6DfhUxh5emyM3CJp_w/edit?usp=sharing"",""เพชรบุรี!M76"")+IMPORTRANGE(""https://"&amp;"docs.google.com/spreadsheets/d/19KBlQQs7uwvsao6t2n-KvW3Ax8J8uRRfZPq1zPbXgKc/edit?usp=sharing"",""ระยอง!M76"")+IMPORTRANGE(""https://docs.google.com/spreadsheets/d/1jQ6P4QcrGM89YfqcC_PxOHGCMq5ezhucwJd8ci-NHng/edit?usp=sharing"",""ราชบุรี!M76"")+IMPORTRANGE"&amp;"(""https://docs.google.com/spreadsheets/d/1lufeA2cfFqM-elVq2hznhDzC6Pr7wkJ9ZG_sYNGCMCU/edit?usp=sharing"",""ลพบุรี!M76"")+IMPORTRANGE(""https://docs.google.com/spreadsheets/d/10oOiF7loTyfsTkbd4MpaIm0HQ9SwB7IYHdIUvt-U1Uc/edit?usp=sharing"",""สระแก้ว!M76"")"&amp;"+IMPORTRANGE(""https://docs.google.com/spreadsheets/d/1xmPlrr1QbdSIKvl1dWUl9K4PjAfSL9oeMr_37QVzcxc/edit?usp=sharing"",""สระบุรี!M76"")+IMPORTRANGE(""https://docs.google.com/spreadsheets/d/1j51vR6CYVGhABJpv6tkstgok82RLpXieLzW1yOY5rHw/edit?usp=sharing"",""ส"&amp;"ิงห์บุรี!M76"")+IMPORTRANGE(""https://docs.google.com/spreadsheets/d/1H1EalTWKUSzO4Z1-1CwzoDUaVffgrThEBe2sl74kKG0/edit?usp=sharing"",""สุพรรณบุรี!M76"")+IMPORTRANGE(""https://docs.google.com/spreadsheets/d/1BmIruG_sIrJLYao_Pdr7zVArWsfoBt2692TMi6x_854/edit"&amp;"?usp=sharing"",""อ่างทอง!M76"")"),0)</f>
        <v>0</v>
      </c>
      <c r="N77" s="88">
        <f ca="1">IFERROR(__xludf.DUMMYFUNCTION("IMPORTRANGE(""https://docs.google.com/spreadsheets/d/13wPX838HrBrQMCywv1BsuMkt4PEKTChp52zj44s2izQ/edit?usp=sharing"",""กาญจนบุรี!N76"")+IMPORTRANGE(""https://docs.google.com/spreadsheets/d/1ddFKvqj1W1NEiWytbGlB1zMx_ykJDVtmfEQ-6-lIUBA/edit?usp=sharing"","""&amp;"จันทบุรี!N76"")+IMPORTRANGE(""https://docs.google.com/spreadsheets/d/1T1PQvRODqOBZk8BRht_U031fIS1beLA0Ub2CEytj2q0/edit?usp=sharing"",""ฉะเชิงเทรา!N76"")+IMPORTRANGE(""https://docs.google.com/spreadsheets/d/11tr1B-Bhyr79v2bkwVh5h_fR-PStkgjlZtkrZpYurG0/edit"&amp;"?usp=sharing"",""ชลบุรี!N76"")+IMPORTRANGE(""https://docs.google.com/spreadsheets/d/1hh-FVnSX0vozXhGluamEcS54Dw9_zqW0N7qJUWgJ0Sw/edit?usp=sharing"",""ชัยนาท!N76"")+IMPORTRANGE(""https://docs.google.com/spreadsheets/d/1jkqa6GXxSacMcY1eN8AHjMNJ_7dDXMJVRLDla"&amp;"FSOdPM/edit?usp=sharing"",""ตราด!N76"")+IMPORTRANGE(""https://docs.google.com/spreadsheets/d/18hSgUJ3VwClqi_qtULmmW3cLr0oe3OKaSYoKzdpTsYQ/edit?usp=sharing"",""นครนายก!N76"")+IMPORTRANGE(""https://docs.google.com/spreadsheets/d/1YTZo6WM2dQ6Ix6FSdnL5P7uVnVK"&amp;"u40sxZu975tgG10E/edit?usp=sharing"",""นครปฐม!N76"")+IMPORTRANGE(""https://docs.google.com/spreadsheets/d/1OYoGg4WDg5RIzwGeB10padOxJF9E_Vljuvvct_M7RDo/edit?usp=sharing"",""ปทุมธานี!N76"")+IMPORTRANGE(""https://docs.google.com/spreadsheets/d/1GbCIE4D4wk9FUo"&amp;"zzqk7SxfDMxDVBwVmI5zcaVUSzKAc/edit?usp=sharing"",""ประจวบคีรีขันธ์!N76"")+IMPORTRANGE(""https://docs.google.com/spreadsheets/d/1vVf6wykvW_lAyu7Yo9L4hUTqHqIeP_qcVuxCtosJEbg/edit?usp=sharing"",""ปราจีนบุรี!N76"")+IMPORTRANGE(""https://docs.google.com/spread"&amp;"sheets/d/1BIDqLLg5jk3v59G8NlR8rk5xfQDKne0sAvZHSj7TI6I/edit?usp=sharing"",""พระนครศรีอยุธยา!N76"")+IMPORTRANGE(""https://docs.google.com/spreadsheets/d/1YXvxf8Yu6_rV4hTBrwMqAcAnv6DfhUxh5emyM3CJp_w/edit?usp=sharing"",""เพชรบุรี!N76"")+IMPORTRANGE(""https://"&amp;"docs.google.com/spreadsheets/d/19KBlQQs7uwvsao6t2n-KvW3Ax8J8uRRfZPq1zPbXgKc/edit?usp=sharing"",""ระยอง!N76"")+IMPORTRANGE(""https://docs.google.com/spreadsheets/d/1jQ6P4QcrGM89YfqcC_PxOHGCMq5ezhucwJd8ci-NHng/edit?usp=sharing"",""ราชบุรี!N76"")+IMPORTRANGE"&amp;"(""https://docs.google.com/spreadsheets/d/1lufeA2cfFqM-elVq2hznhDzC6Pr7wkJ9ZG_sYNGCMCU/edit?usp=sharing"",""ลพบุรี!N76"")+IMPORTRANGE(""https://docs.google.com/spreadsheets/d/10oOiF7loTyfsTkbd4MpaIm0HQ9SwB7IYHdIUvt-U1Uc/edit?usp=sharing"",""สระแก้ว!N76"")"&amp;"+IMPORTRANGE(""https://docs.google.com/spreadsheets/d/1xmPlrr1QbdSIKvl1dWUl9K4PjAfSL9oeMr_37QVzcxc/edit?usp=sharing"",""สระบุรี!N76"")+IMPORTRANGE(""https://docs.google.com/spreadsheets/d/1j51vR6CYVGhABJpv6tkstgok82RLpXieLzW1yOY5rHw/edit?usp=sharing"",""ส"&amp;"ิงห์บุรี!N76"")+IMPORTRANGE(""https://docs.google.com/spreadsheets/d/1H1EalTWKUSzO4Z1-1CwzoDUaVffgrThEBe2sl74kKG0/edit?usp=sharing"",""สุพรรณบุรี!N76"")+IMPORTRANGE(""https://docs.google.com/spreadsheets/d/1BmIruG_sIrJLYao_Pdr7zVArWsfoBt2692TMi6x_854/edit"&amp;"?usp=sharing"",""อ่างทอง!N76"")"),0)</f>
        <v>0</v>
      </c>
      <c r="O77" s="88">
        <f t="shared" ca="1" si="54"/>
        <v>0</v>
      </c>
      <c r="P77" s="88">
        <f t="shared" ca="1" si="55"/>
        <v>0</v>
      </c>
      <c r="Q77" s="76">
        <f ca="1">IFERROR(__xludf.DUMMYFUNCTION("IMPORTRANGE(""https://docs.google.com/spreadsheets/d/13wPX838HrBrQMCywv1BsuMkt4PEKTChp52zj44s2izQ/edit?usp=sharing"",""กาญจนบุรี!Q76"")+IMPORTRANGE(""https://docs.google.com/spreadsheets/d/1ddFKvqj1W1NEiWytbGlB1zMx_ykJDVtmfEQ-6-lIUBA/edit?usp=sharing"","""&amp;"จันทบุรี!Q76"")+IMPORTRANGE(""https://docs.google.com/spreadsheets/d/1T1PQvRODqOBZk8BRht_U031fIS1beLA0Ub2CEytj2q0/edit?usp=sharing"",""ฉะเชิงเทรา!Q76"")+IMPORTRANGE(""https://docs.google.com/spreadsheets/d/11tr1B-Bhyr79v2bkwVh5h_fR-PStkgjlZtkrZpYurG0/edit"&amp;"?usp=sharing"",""ชลบุรี!Q76"")+IMPORTRANGE(""https://docs.google.com/spreadsheets/d/1hh-FVnSX0vozXhGluamEcS54Dw9_zqW0N7qJUWgJ0Sw/edit?usp=sharing"",""ชัยนาท!Q76"")+IMPORTRANGE(""https://docs.google.com/spreadsheets/d/1jkqa6GXxSacMcY1eN8AHjMNJ_7dDXMJVRLDla"&amp;"FSOdPM/edit?usp=sharing"",""ตราด!Q76"")+IMPORTRANGE(""https://docs.google.com/spreadsheets/d/18hSgUJ3VwClqi_qtULmmW3cLr0oe3OKaSYoKzdpTsYQ/edit?usp=sharing"",""นครนายก!Q76"")+IMPORTRANGE(""https://docs.google.com/spreadsheets/d/1YTZo6WM2dQ6Ix6FSdnL5P7uVnVK"&amp;"u40sxZu975tgG10E/edit?usp=sharing"",""นครปฐม!Q76"")+IMPORTRANGE(""https://docs.google.com/spreadsheets/d/1OYoGg4WDg5RIzwGeB10padOxJF9E_Vljuvvct_M7RDo/edit?usp=sharing"",""ปทุมธานี!Q76"")+IMPORTRANGE(""https://docs.google.com/spreadsheets/d/1GbCIE4D4wk9FUo"&amp;"zzqk7SxfDMxDVBwVmI5zcaVUSzKAc/edit?usp=sharing"",""ประจวบคีรีขันธ์!Q76"")+IMPORTRANGE(""https://docs.google.com/spreadsheets/d/1vVf6wykvW_lAyu7Yo9L4hUTqHqIeP_qcVuxCtosJEbg/edit?usp=sharing"",""ปราจีนบุรี!Q76"")+IMPORTRANGE(""https://docs.google.com/spread"&amp;"sheets/d/1BIDqLLg5jk3v59G8NlR8rk5xfQDKne0sAvZHSj7TI6I/edit?usp=sharing"",""พระนครศรีอยุธยา!Q76"")+IMPORTRANGE(""https://docs.google.com/spreadsheets/d/1YXvxf8Yu6_rV4hTBrwMqAcAnv6DfhUxh5emyM3CJp_w/edit?usp=sharing"",""เพชรบุรี!Q76"")+IMPORTRANGE(""https://"&amp;"docs.google.com/spreadsheets/d/19KBlQQs7uwvsao6t2n-KvW3Ax8J8uRRfZPq1zPbXgKc/edit?usp=sharing"",""ระยอง!Q76"")+IMPORTRANGE(""https://docs.google.com/spreadsheets/d/1jQ6P4QcrGM89YfqcC_PxOHGCMq5ezhucwJd8ci-NHng/edit?usp=sharing"",""ราชบุรี!Q76"")+IMPORTRANGE"&amp;"(""https://docs.google.com/spreadsheets/d/1lufeA2cfFqM-elVq2hznhDzC6Pr7wkJ9ZG_sYNGCMCU/edit?usp=sharing"",""ลพบุรี!Q76"")+IMPORTRANGE(""https://docs.google.com/spreadsheets/d/10oOiF7loTyfsTkbd4MpaIm0HQ9SwB7IYHdIUvt-U1Uc/edit?usp=sharing"",""สระแก้ว!Q76"")"&amp;"+IMPORTRANGE(""https://docs.google.com/spreadsheets/d/1xmPlrr1QbdSIKvl1dWUl9K4PjAfSL9oeMr_37QVzcxc/edit?usp=sharing"",""สระบุรี!Q76"")+IMPORTRANGE(""https://docs.google.com/spreadsheets/d/1j51vR6CYVGhABJpv6tkstgok82RLpXieLzW1yOY5rHw/edit?usp=sharing"",""ส"&amp;"ิงห์บุรี!Q76"")+IMPORTRANGE(""https://docs.google.com/spreadsheets/d/1H1EalTWKUSzO4Z1-1CwzoDUaVffgrThEBe2sl74kKG0/edit?usp=sharing"",""สุพรรณบุรี!Q76"")+IMPORTRANGE(""https://docs.google.com/spreadsheets/d/1BmIruG_sIrJLYao_Pdr7zVArWsfoBt2692TMi6x_854/edit"&amp;"?usp=sharing"",""อ่างทอง!Q76"")"),0)</f>
        <v>0</v>
      </c>
      <c r="R77" s="77">
        <f ca="1">IFERROR(__xludf.DUMMYFUNCTION("IMPORTRANGE(""https://docs.google.com/spreadsheets/d/13wPX838HrBrQMCywv1BsuMkt4PEKTChp52zj44s2izQ/edit?usp=sharing"",""กาญจนบุรี!R76"")+IMPORTRANGE(""https://docs.google.com/spreadsheets/d/1ddFKvqj1W1NEiWytbGlB1zMx_ykJDVtmfEQ-6-lIUBA/edit?usp=sharing"","""&amp;"จันทบุรี!R76"")+IMPORTRANGE(""https://docs.google.com/spreadsheets/d/1T1PQvRODqOBZk8BRht_U031fIS1beLA0Ub2CEytj2q0/edit?usp=sharing"",""ฉะเชิงเทรา!R76"")+IMPORTRANGE(""https://docs.google.com/spreadsheets/d/11tr1B-Bhyr79v2bkwVh5h_fR-PStkgjlZtkrZpYurG0/edit"&amp;"?usp=sharing"",""ชลบุรี!R76"")+IMPORTRANGE(""https://docs.google.com/spreadsheets/d/1hh-FVnSX0vozXhGluamEcS54Dw9_zqW0N7qJUWgJ0Sw/edit?usp=sharing"",""ชัยนาท!R76"")+IMPORTRANGE(""https://docs.google.com/spreadsheets/d/1jkqa6GXxSacMcY1eN8AHjMNJ_7dDXMJVRLDla"&amp;"FSOdPM/edit?usp=sharing"",""ตราด!R76"")+IMPORTRANGE(""https://docs.google.com/spreadsheets/d/18hSgUJ3VwClqi_qtULmmW3cLr0oe3OKaSYoKzdpTsYQ/edit?usp=sharing"",""นครนายก!R76"")+IMPORTRANGE(""https://docs.google.com/spreadsheets/d/1YTZo6WM2dQ6Ix6FSdnL5P7uVnVK"&amp;"u40sxZu975tgG10E/edit?usp=sharing"",""นครปฐม!R76"")+IMPORTRANGE(""https://docs.google.com/spreadsheets/d/1OYoGg4WDg5RIzwGeB10padOxJF9E_Vljuvvct_M7RDo/edit?usp=sharing"",""ปทุมธานี!R76"")+IMPORTRANGE(""https://docs.google.com/spreadsheets/d/1GbCIE4D4wk9FUo"&amp;"zzqk7SxfDMxDVBwVmI5zcaVUSzKAc/edit?usp=sharing"",""ประจวบคีรีขันธ์!R76"")+IMPORTRANGE(""https://docs.google.com/spreadsheets/d/1vVf6wykvW_lAyu7Yo9L4hUTqHqIeP_qcVuxCtosJEbg/edit?usp=sharing"",""ปราจีนบุรี!R76"")+IMPORTRANGE(""https://docs.google.com/spread"&amp;"sheets/d/1BIDqLLg5jk3v59G8NlR8rk5xfQDKne0sAvZHSj7TI6I/edit?usp=sharing"",""พระนครศรีอยุธยา!R76"")+IMPORTRANGE(""https://docs.google.com/spreadsheets/d/1YXvxf8Yu6_rV4hTBrwMqAcAnv6DfhUxh5emyM3CJp_w/edit?usp=sharing"",""เพชรบุรี!R76"")+IMPORTRANGE(""https://"&amp;"docs.google.com/spreadsheets/d/19KBlQQs7uwvsao6t2n-KvW3Ax8J8uRRfZPq1zPbXgKc/edit?usp=sharing"",""ระยอง!R76"")+IMPORTRANGE(""https://docs.google.com/spreadsheets/d/1jQ6P4QcrGM89YfqcC_PxOHGCMq5ezhucwJd8ci-NHng/edit?usp=sharing"",""ราชบุรี!R76"")+IMPORTRANGE"&amp;"(""https://docs.google.com/spreadsheets/d/1lufeA2cfFqM-elVq2hznhDzC6Pr7wkJ9ZG_sYNGCMCU/edit?usp=sharing"",""ลพบุรี!R76"")+IMPORTRANGE(""https://docs.google.com/spreadsheets/d/10oOiF7loTyfsTkbd4MpaIm0HQ9SwB7IYHdIUvt-U1Uc/edit?usp=sharing"",""สระแก้ว!R76"")"&amp;"+IMPORTRANGE(""https://docs.google.com/spreadsheets/d/1xmPlrr1QbdSIKvl1dWUl9K4PjAfSL9oeMr_37QVzcxc/edit?usp=sharing"",""สระบุรี!R76"")+IMPORTRANGE(""https://docs.google.com/spreadsheets/d/1j51vR6CYVGhABJpv6tkstgok82RLpXieLzW1yOY5rHw/edit?usp=sharing"",""ส"&amp;"ิงห์บุรี!R76"")+IMPORTRANGE(""https://docs.google.com/spreadsheets/d/1H1EalTWKUSzO4Z1-1CwzoDUaVffgrThEBe2sl74kKG0/edit?usp=sharing"",""สุพรรณบุรี!R76"")+IMPORTRANGE(""https://docs.google.com/spreadsheets/d/1BmIruG_sIrJLYao_Pdr7zVArWsfoBt2692TMi6x_854/edit"&amp;"?usp=sharing"",""อ่างทอง!R76"")"),0)</f>
        <v>0</v>
      </c>
      <c r="S77" s="77">
        <f ca="1">IFERROR(__xludf.DUMMYFUNCTION("IMPORTRANGE(""https://docs.google.com/spreadsheets/d/13wPX838HrBrQMCywv1BsuMkt4PEKTChp52zj44s2izQ/edit?usp=sharing"",""กาญจนบุรี!S76"")+IMPORTRANGE(""https://docs.google.com/spreadsheets/d/1ddFKvqj1W1NEiWytbGlB1zMx_ykJDVtmfEQ-6-lIUBA/edit?usp=sharing"","""&amp;"จันทบุรี!S76"")+IMPORTRANGE(""https://docs.google.com/spreadsheets/d/1T1PQvRODqOBZk8BRht_U031fIS1beLA0Ub2CEytj2q0/edit?usp=sharing"",""ฉะเชิงเทรา!S76"")+IMPORTRANGE(""https://docs.google.com/spreadsheets/d/11tr1B-Bhyr79v2bkwVh5h_fR-PStkgjlZtkrZpYurG0/edit"&amp;"?usp=sharing"",""ชลบุรี!S76"")+IMPORTRANGE(""https://docs.google.com/spreadsheets/d/1hh-FVnSX0vozXhGluamEcS54Dw9_zqW0N7qJUWgJ0Sw/edit?usp=sharing"",""ชัยนาท!S76"")+IMPORTRANGE(""https://docs.google.com/spreadsheets/d/1jkqa6GXxSacMcY1eN8AHjMNJ_7dDXMJVRLDla"&amp;"FSOdPM/edit?usp=sharing"",""ตราด!S76"")+IMPORTRANGE(""https://docs.google.com/spreadsheets/d/18hSgUJ3VwClqi_qtULmmW3cLr0oe3OKaSYoKzdpTsYQ/edit?usp=sharing"",""นครนายก!S76"")+IMPORTRANGE(""https://docs.google.com/spreadsheets/d/1YTZo6WM2dQ6Ix6FSdnL5P7uVnVK"&amp;"u40sxZu975tgG10E/edit?usp=sharing"",""นครปฐม!S76"")+IMPORTRANGE(""https://docs.google.com/spreadsheets/d/1OYoGg4WDg5RIzwGeB10padOxJF9E_Vljuvvct_M7RDo/edit?usp=sharing"",""ปทุมธานี!S76"")+IMPORTRANGE(""https://docs.google.com/spreadsheets/d/1GbCIE4D4wk9FUo"&amp;"zzqk7SxfDMxDVBwVmI5zcaVUSzKAc/edit?usp=sharing"",""ประจวบคีรีขันธ์!S76"")+IMPORTRANGE(""https://docs.google.com/spreadsheets/d/1vVf6wykvW_lAyu7Yo9L4hUTqHqIeP_qcVuxCtosJEbg/edit?usp=sharing"",""ปราจีนบุรี!S76"")+IMPORTRANGE(""https://docs.google.com/spread"&amp;"sheets/d/1BIDqLLg5jk3v59G8NlR8rk5xfQDKne0sAvZHSj7TI6I/edit?usp=sharing"",""พระนครศรีอยุธยา!S76"")+IMPORTRANGE(""https://docs.google.com/spreadsheets/d/1YXvxf8Yu6_rV4hTBrwMqAcAnv6DfhUxh5emyM3CJp_w/edit?usp=sharing"",""เพชรบุรี!S76"")+IMPORTRANGE(""https://"&amp;"docs.google.com/spreadsheets/d/19KBlQQs7uwvsao6t2n-KvW3Ax8J8uRRfZPq1zPbXgKc/edit?usp=sharing"",""ระยอง!S76"")+IMPORTRANGE(""https://docs.google.com/spreadsheets/d/1jQ6P4QcrGM89YfqcC_PxOHGCMq5ezhucwJd8ci-NHng/edit?usp=sharing"",""ราชบุรี!S76"")+IMPORTRANGE"&amp;"(""https://docs.google.com/spreadsheets/d/1lufeA2cfFqM-elVq2hznhDzC6Pr7wkJ9ZG_sYNGCMCU/edit?usp=sharing"",""ลพบุรี!S76"")+IMPORTRANGE(""https://docs.google.com/spreadsheets/d/10oOiF7loTyfsTkbd4MpaIm0HQ9SwB7IYHdIUvt-U1Uc/edit?usp=sharing"",""สระแก้ว!S76"")"&amp;"+IMPORTRANGE(""https://docs.google.com/spreadsheets/d/1xmPlrr1QbdSIKvl1dWUl9K4PjAfSL9oeMr_37QVzcxc/edit?usp=sharing"",""สระบุรี!S76"")+IMPORTRANGE(""https://docs.google.com/spreadsheets/d/1j51vR6CYVGhABJpv6tkstgok82RLpXieLzW1yOY5rHw/edit?usp=sharing"",""ส"&amp;"ิงห์บุรี!S76"")+IMPORTRANGE(""https://docs.google.com/spreadsheets/d/1H1EalTWKUSzO4Z1-1CwzoDUaVffgrThEBe2sl74kKG0/edit?usp=sharing"",""สุพรรณบุรี!S76"")+IMPORTRANGE(""https://docs.google.com/spreadsheets/d/1BmIruG_sIrJLYao_Pdr7zVArWsfoBt2692TMi6x_854/edit"&amp;"?usp=sharing"",""อ่างทอง!S76"")"),0)</f>
        <v>0</v>
      </c>
      <c r="T77" s="133">
        <f t="shared" ca="1" si="57"/>
        <v>0</v>
      </c>
      <c r="U77" s="133">
        <f t="shared" ca="1" si="58"/>
        <v>0</v>
      </c>
    </row>
    <row r="78" spans="1:21" ht="18.75" x14ac:dyDescent="0.25">
      <c r="A78" s="209"/>
      <c r="B78" s="67"/>
      <c r="C78" s="67"/>
      <c r="D78" s="67"/>
      <c r="E78" s="75" t="s">
        <v>37</v>
      </c>
      <c r="F78" s="67"/>
      <c r="G78" s="69"/>
      <c r="H78" s="218" t="s">
        <v>14</v>
      </c>
      <c r="I78" s="219"/>
      <c r="J78" s="219"/>
      <c r="K78" s="220"/>
      <c r="L78" s="88">
        <f ca="1">IFERROR(__xludf.DUMMYFUNCTION("IMPORTRANGE(""https://docs.google.com/spreadsheets/d/13wPX838HrBrQMCywv1BsuMkt4PEKTChp52zj44s2izQ/edit?usp=sharing"",""กาญจนบุรี!L77"")+IMPORTRANGE(""https://docs.google.com/spreadsheets/d/1ddFKvqj1W1NEiWytbGlB1zMx_ykJDVtmfEQ-6-lIUBA/edit?usp=sharing"","""&amp;"จันทบุรี!L77"")+IMPORTRANGE(""https://docs.google.com/spreadsheets/d/1T1PQvRODqOBZk8BRht_U031fIS1beLA0Ub2CEytj2q0/edit?usp=sharing"",""ฉะเชิงเทรา!L77"")+IMPORTRANGE(""https://docs.google.com/spreadsheets/d/11tr1B-Bhyr79v2bkwVh5h_fR-PStkgjlZtkrZpYurG0/edit"&amp;"?usp=sharing"",""ชลบุรี!L77"")+IMPORTRANGE(""https://docs.google.com/spreadsheets/d/1hh-FVnSX0vozXhGluamEcS54Dw9_zqW0N7qJUWgJ0Sw/edit?usp=sharing"",""ชัยนาท!L77"")+IMPORTRANGE(""https://docs.google.com/spreadsheets/d/1jkqa6GXxSacMcY1eN8AHjMNJ_7dDXMJVRLDla"&amp;"FSOdPM/edit?usp=sharing"",""ตราด!L77"")+IMPORTRANGE(""https://docs.google.com/spreadsheets/d/18hSgUJ3VwClqi_qtULmmW3cLr0oe3OKaSYoKzdpTsYQ/edit?usp=sharing"",""นครนายก!L77"")+IMPORTRANGE(""https://docs.google.com/spreadsheets/d/1YTZo6WM2dQ6Ix6FSdnL5P7uVnVK"&amp;"u40sxZu975tgG10E/edit?usp=sharing"",""นครปฐม!L77"")+IMPORTRANGE(""https://docs.google.com/spreadsheets/d/1OYoGg4WDg5RIzwGeB10padOxJF9E_Vljuvvct_M7RDo/edit?usp=sharing"",""ปทุมธานี!L77"")+IMPORTRANGE(""https://docs.google.com/spreadsheets/d/1GbCIE4D4wk9FUo"&amp;"zzqk7SxfDMxDVBwVmI5zcaVUSzKAc/edit?usp=sharing"",""ประจวบคีรีขันธ์!L77"")+IMPORTRANGE(""https://docs.google.com/spreadsheets/d/1vVf6wykvW_lAyu7Yo9L4hUTqHqIeP_qcVuxCtosJEbg/edit?usp=sharing"",""ปราจีนบุรี!L77"")+IMPORTRANGE(""https://docs.google.com/spread"&amp;"sheets/d/1BIDqLLg5jk3v59G8NlR8rk5xfQDKne0sAvZHSj7TI6I/edit?usp=sharing"",""พระนครศรีอยุธยา!L77"")+IMPORTRANGE(""https://docs.google.com/spreadsheets/d/1YXvxf8Yu6_rV4hTBrwMqAcAnv6DfhUxh5emyM3CJp_w/edit?usp=sharing"",""เพชรบุรี!L77"")+IMPORTRANGE(""https://"&amp;"docs.google.com/spreadsheets/d/19KBlQQs7uwvsao6t2n-KvW3Ax8J8uRRfZPq1zPbXgKc/edit?usp=sharing"",""ระยอง!L77"")+IMPORTRANGE(""https://docs.google.com/spreadsheets/d/1jQ6P4QcrGM89YfqcC_PxOHGCMq5ezhucwJd8ci-NHng/edit?usp=sharing"",""ราชบุรี!L77"")+IMPORTRANGE"&amp;"(""https://docs.google.com/spreadsheets/d/1lufeA2cfFqM-elVq2hznhDzC6Pr7wkJ9ZG_sYNGCMCU/edit?usp=sharing"",""ลพบุรี!L77"")+IMPORTRANGE(""https://docs.google.com/spreadsheets/d/10oOiF7loTyfsTkbd4MpaIm0HQ9SwB7IYHdIUvt-U1Uc/edit?usp=sharing"",""สระแก้ว!L77"")"&amp;"+IMPORTRANGE(""https://docs.google.com/spreadsheets/d/1xmPlrr1QbdSIKvl1dWUl9K4PjAfSL9oeMr_37QVzcxc/edit?usp=sharing"",""สระบุรี!L77"")+IMPORTRANGE(""https://docs.google.com/spreadsheets/d/1j51vR6CYVGhABJpv6tkstgok82RLpXieLzW1yOY5rHw/edit?usp=sharing"",""ส"&amp;"ิงห์บุรี!L77"")+IMPORTRANGE(""https://docs.google.com/spreadsheets/d/1H1EalTWKUSzO4Z1-1CwzoDUaVffgrThEBe2sl74kKG0/edit?usp=sharing"",""สุพรรณบุรี!L77"")+IMPORTRANGE(""https://docs.google.com/spreadsheets/d/1BmIruG_sIrJLYao_Pdr7zVArWsfoBt2692TMi6x_854/edit"&amp;"?usp=sharing"",""อ่างทอง!L77"")"),1184300)</f>
        <v>1184300</v>
      </c>
      <c r="M78" s="88">
        <f ca="1">IFERROR(__xludf.DUMMYFUNCTION("IMPORTRANGE(""https://docs.google.com/spreadsheets/d/13wPX838HrBrQMCywv1BsuMkt4PEKTChp52zj44s2izQ/edit?usp=sharing"",""กาญจนบุรี!M77"")+IMPORTRANGE(""https://docs.google.com/spreadsheets/d/1ddFKvqj1W1NEiWytbGlB1zMx_ykJDVtmfEQ-6-lIUBA/edit?usp=sharing"","""&amp;"จันทบุรี!M77"")+IMPORTRANGE(""https://docs.google.com/spreadsheets/d/1T1PQvRODqOBZk8BRht_U031fIS1beLA0Ub2CEytj2q0/edit?usp=sharing"",""ฉะเชิงเทรา!M77"")+IMPORTRANGE(""https://docs.google.com/spreadsheets/d/11tr1B-Bhyr79v2bkwVh5h_fR-PStkgjlZtkrZpYurG0/edit"&amp;"?usp=sharing"",""ชลบุรี!M77"")+IMPORTRANGE(""https://docs.google.com/spreadsheets/d/1hh-FVnSX0vozXhGluamEcS54Dw9_zqW0N7qJUWgJ0Sw/edit?usp=sharing"",""ชัยนาท!M77"")+IMPORTRANGE(""https://docs.google.com/spreadsheets/d/1jkqa6GXxSacMcY1eN8AHjMNJ_7dDXMJVRLDla"&amp;"FSOdPM/edit?usp=sharing"",""ตราด!M77"")+IMPORTRANGE(""https://docs.google.com/spreadsheets/d/18hSgUJ3VwClqi_qtULmmW3cLr0oe3OKaSYoKzdpTsYQ/edit?usp=sharing"",""นครนายก!M77"")+IMPORTRANGE(""https://docs.google.com/spreadsheets/d/1YTZo6WM2dQ6Ix6FSdnL5P7uVnVK"&amp;"u40sxZu975tgG10E/edit?usp=sharing"",""นครปฐม!M77"")+IMPORTRANGE(""https://docs.google.com/spreadsheets/d/1OYoGg4WDg5RIzwGeB10padOxJF9E_Vljuvvct_M7RDo/edit?usp=sharing"",""ปทุมธานี!M77"")+IMPORTRANGE(""https://docs.google.com/spreadsheets/d/1GbCIE4D4wk9FUo"&amp;"zzqk7SxfDMxDVBwVmI5zcaVUSzKAc/edit?usp=sharing"",""ประจวบคีรีขันธ์!M77"")+IMPORTRANGE(""https://docs.google.com/spreadsheets/d/1vVf6wykvW_lAyu7Yo9L4hUTqHqIeP_qcVuxCtosJEbg/edit?usp=sharing"",""ปราจีนบุรี!M77"")+IMPORTRANGE(""https://docs.google.com/spread"&amp;"sheets/d/1BIDqLLg5jk3v59G8NlR8rk5xfQDKne0sAvZHSj7TI6I/edit?usp=sharing"",""พระนครศรีอยุธยา!M77"")+IMPORTRANGE(""https://docs.google.com/spreadsheets/d/1YXvxf8Yu6_rV4hTBrwMqAcAnv6DfhUxh5emyM3CJp_w/edit?usp=sharing"",""เพชรบุรี!M77"")+IMPORTRANGE(""https://"&amp;"docs.google.com/spreadsheets/d/19KBlQQs7uwvsao6t2n-KvW3Ax8J8uRRfZPq1zPbXgKc/edit?usp=sharing"",""ระยอง!M77"")+IMPORTRANGE(""https://docs.google.com/spreadsheets/d/1jQ6P4QcrGM89YfqcC_PxOHGCMq5ezhucwJd8ci-NHng/edit?usp=sharing"",""ราชบุรี!M77"")+IMPORTRANGE"&amp;"(""https://docs.google.com/spreadsheets/d/1lufeA2cfFqM-elVq2hznhDzC6Pr7wkJ9ZG_sYNGCMCU/edit?usp=sharing"",""ลพบุรี!M77"")+IMPORTRANGE(""https://docs.google.com/spreadsheets/d/10oOiF7loTyfsTkbd4MpaIm0HQ9SwB7IYHdIUvt-U1Uc/edit?usp=sharing"",""สระแก้ว!M77"")"&amp;"+IMPORTRANGE(""https://docs.google.com/spreadsheets/d/1xmPlrr1QbdSIKvl1dWUl9K4PjAfSL9oeMr_37QVzcxc/edit?usp=sharing"",""สระบุรี!M77"")+IMPORTRANGE(""https://docs.google.com/spreadsheets/d/1j51vR6CYVGhABJpv6tkstgok82RLpXieLzW1yOY5rHw/edit?usp=sharing"",""ส"&amp;"ิงห์บุรี!M77"")+IMPORTRANGE(""https://docs.google.com/spreadsheets/d/1H1EalTWKUSzO4Z1-1CwzoDUaVffgrThEBe2sl74kKG0/edit?usp=sharing"",""สุพรรณบุรี!M77"")+IMPORTRANGE(""https://docs.google.com/spreadsheets/d/1BmIruG_sIrJLYao_Pdr7zVArWsfoBt2692TMi6x_854/edit"&amp;"?usp=sharing"",""อ่างทอง!M77"")"),1184300)</f>
        <v>1184300</v>
      </c>
      <c r="N78" s="88">
        <f ca="1">IFERROR(__xludf.DUMMYFUNCTION("IMPORTRANGE(""https://docs.google.com/spreadsheets/d/13wPX838HrBrQMCywv1BsuMkt4PEKTChp52zj44s2izQ/edit?usp=sharing"",""กาญจนบุรี!N77"")+IMPORTRANGE(""https://docs.google.com/spreadsheets/d/1ddFKvqj1W1NEiWytbGlB1zMx_ykJDVtmfEQ-6-lIUBA/edit?usp=sharing"","""&amp;"จันทบุรี!N77"")+IMPORTRANGE(""https://docs.google.com/spreadsheets/d/1T1PQvRODqOBZk8BRht_U031fIS1beLA0Ub2CEytj2q0/edit?usp=sharing"",""ฉะเชิงเทรา!N77"")+IMPORTRANGE(""https://docs.google.com/spreadsheets/d/11tr1B-Bhyr79v2bkwVh5h_fR-PStkgjlZtkrZpYurG0/edit"&amp;"?usp=sharing"",""ชลบุรี!N77"")+IMPORTRANGE(""https://docs.google.com/spreadsheets/d/1hh-FVnSX0vozXhGluamEcS54Dw9_zqW0N7qJUWgJ0Sw/edit?usp=sharing"",""ชัยนาท!N77"")+IMPORTRANGE(""https://docs.google.com/spreadsheets/d/1jkqa6GXxSacMcY1eN8AHjMNJ_7dDXMJVRLDla"&amp;"FSOdPM/edit?usp=sharing"",""ตราด!N77"")+IMPORTRANGE(""https://docs.google.com/spreadsheets/d/18hSgUJ3VwClqi_qtULmmW3cLr0oe3OKaSYoKzdpTsYQ/edit?usp=sharing"",""นครนายก!N77"")+IMPORTRANGE(""https://docs.google.com/spreadsheets/d/1YTZo6WM2dQ6Ix6FSdnL5P7uVnVK"&amp;"u40sxZu975tgG10E/edit?usp=sharing"",""นครปฐม!N77"")+IMPORTRANGE(""https://docs.google.com/spreadsheets/d/1OYoGg4WDg5RIzwGeB10padOxJF9E_Vljuvvct_M7RDo/edit?usp=sharing"",""ปทุมธานี!N77"")+IMPORTRANGE(""https://docs.google.com/spreadsheets/d/1GbCIE4D4wk9FUo"&amp;"zzqk7SxfDMxDVBwVmI5zcaVUSzKAc/edit?usp=sharing"",""ประจวบคีรีขันธ์!N77"")+IMPORTRANGE(""https://docs.google.com/spreadsheets/d/1vVf6wykvW_lAyu7Yo9L4hUTqHqIeP_qcVuxCtosJEbg/edit?usp=sharing"",""ปราจีนบุรี!N77"")+IMPORTRANGE(""https://docs.google.com/spread"&amp;"sheets/d/1BIDqLLg5jk3v59G8NlR8rk5xfQDKne0sAvZHSj7TI6I/edit?usp=sharing"",""พระนครศรีอยุธยา!N77"")+IMPORTRANGE(""https://docs.google.com/spreadsheets/d/1YXvxf8Yu6_rV4hTBrwMqAcAnv6DfhUxh5emyM3CJp_w/edit?usp=sharing"",""เพชรบุรี!N77"")+IMPORTRANGE(""https://"&amp;"docs.google.com/spreadsheets/d/19KBlQQs7uwvsao6t2n-KvW3Ax8J8uRRfZPq1zPbXgKc/edit?usp=sharing"",""ระยอง!N77"")+IMPORTRANGE(""https://docs.google.com/spreadsheets/d/1jQ6P4QcrGM89YfqcC_PxOHGCMq5ezhucwJd8ci-NHng/edit?usp=sharing"",""ราชบุรี!N77"")+IMPORTRANGE"&amp;"(""https://docs.google.com/spreadsheets/d/1lufeA2cfFqM-elVq2hznhDzC6Pr7wkJ9ZG_sYNGCMCU/edit?usp=sharing"",""ลพบุรี!N77"")+IMPORTRANGE(""https://docs.google.com/spreadsheets/d/10oOiF7loTyfsTkbd4MpaIm0HQ9SwB7IYHdIUvt-U1Uc/edit?usp=sharing"",""สระแก้ว!N77"")"&amp;"+IMPORTRANGE(""https://docs.google.com/spreadsheets/d/1xmPlrr1QbdSIKvl1dWUl9K4PjAfSL9oeMr_37QVzcxc/edit?usp=sharing"",""สระบุรี!N77"")+IMPORTRANGE(""https://docs.google.com/spreadsheets/d/1j51vR6CYVGhABJpv6tkstgok82RLpXieLzW1yOY5rHw/edit?usp=sharing"",""ส"&amp;"ิงห์บุรี!N77"")+IMPORTRANGE(""https://docs.google.com/spreadsheets/d/1H1EalTWKUSzO4Z1-1CwzoDUaVffgrThEBe2sl74kKG0/edit?usp=sharing"",""สุพรรณบุรี!N77"")+IMPORTRANGE(""https://docs.google.com/spreadsheets/d/1BmIruG_sIrJLYao_Pdr7zVArWsfoBt2692TMi6x_854/edit"&amp;"?usp=sharing"",""อ่างทอง!N77"")"),451847.209999999)</f>
        <v>451847.20999999897</v>
      </c>
      <c r="O78" s="88">
        <f t="shared" ca="1" si="54"/>
        <v>38.153103943257534</v>
      </c>
      <c r="P78" s="88">
        <f t="shared" ca="1" si="55"/>
        <v>38.153103943257534</v>
      </c>
      <c r="Q78" s="131">
        <f ca="1">IFERROR(__xludf.DUMMYFUNCTION("IMPORTRANGE(""https://docs.google.com/spreadsheets/d/13wPX838HrBrQMCywv1BsuMkt4PEKTChp52zj44s2izQ/edit?usp=sharing"",""กาญจนบุรี!Q77"")+IMPORTRANGE(""https://docs.google.com/spreadsheets/d/1ddFKvqj1W1NEiWytbGlB1zMx_ykJDVtmfEQ-6-lIUBA/edit?usp=sharing"","""&amp;"จันทบุรี!Q77"")+IMPORTRANGE(""https://docs.google.com/spreadsheets/d/1T1PQvRODqOBZk8BRht_U031fIS1beLA0Ub2CEytj2q0/edit?usp=sharing"",""ฉะเชิงเทรา!Q77"")+IMPORTRANGE(""https://docs.google.com/spreadsheets/d/11tr1B-Bhyr79v2bkwVh5h_fR-PStkgjlZtkrZpYurG0/edit"&amp;"?usp=sharing"",""ชลบุรี!Q77"")+IMPORTRANGE(""https://docs.google.com/spreadsheets/d/1hh-FVnSX0vozXhGluamEcS54Dw9_zqW0N7qJUWgJ0Sw/edit?usp=sharing"",""ชัยนาท!Q77"")+IMPORTRANGE(""https://docs.google.com/spreadsheets/d/1jkqa6GXxSacMcY1eN8AHjMNJ_7dDXMJVRLDla"&amp;"FSOdPM/edit?usp=sharing"",""ตราด!Q77"")+IMPORTRANGE(""https://docs.google.com/spreadsheets/d/18hSgUJ3VwClqi_qtULmmW3cLr0oe3OKaSYoKzdpTsYQ/edit?usp=sharing"",""นครนายก!Q77"")+IMPORTRANGE(""https://docs.google.com/spreadsheets/d/1YTZo6WM2dQ6Ix6FSdnL5P7uVnVK"&amp;"u40sxZu975tgG10E/edit?usp=sharing"",""นครปฐม!Q77"")+IMPORTRANGE(""https://docs.google.com/spreadsheets/d/1OYoGg4WDg5RIzwGeB10padOxJF9E_Vljuvvct_M7RDo/edit?usp=sharing"",""ปทุมธานี!Q77"")+IMPORTRANGE(""https://docs.google.com/spreadsheets/d/1GbCIE4D4wk9FUo"&amp;"zzqk7SxfDMxDVBwVmI5zcaVUSzKAc/edit?usp=sharing"",""ประจวบคีรีขันธ์!Q77"")+IMPORTRANGE(""https://docs.google.com/spreadsheets/d/1vVf6wykvW_lAyu7Yo9L4hUTqHqIeP_qcVuxCtosJEbg/edit?usp=sharing"",""ปราจีนบุรี!Q77"")+IMPORTRANGE(""https://docs.google.com/spread"&amp;"sheets/d/1BIDqLLg5jk3v59G8NlR8rk5xfQDKne0sAvZHSj7TI6I/edit?usp=sharing"",""พระนครศรีอยุธยา!Q77"")+IMPORTRANGE(""https://docs.google.com/spreadsheets/d/1YXvxf8Yu6_rV4hTBrwMqAcAnv6DfhUxh5emyM3CJp_w/edit?usp=sharing"",""เพชรบุรี!Q77"")+IMPORTRANGE(""https://"&amp;"docs.google.com/spreadsheets/d/19KBlQQs7uwvsao6t2n-KvW3Ax8J8uRRfZPq1zPbXgKc/edit?usp=sharing"",""ระยอง!Q77"")+IMPORTRANGE(""https://docs.google.com/spreadsheets/d/1jQ6P4QcrGM89YfqcC_PxOHGCMq5ezhucwJd8ci-NHng/edit?usp=sharing"",""ราชบุรี!Q77"")+IMPORTRANGE"&amp;"(""https://docs.google.com/spreadsheets/d/1lufeA2cfFqM-elVq2hznhDzC6Pr7wkJ9ZG_sYNGCMCU/edit?usp=sharing"",""ลพบุรี!Q77"")+IMPORTRANGE(""https://docs.google.com/spreadsheets/d/10oOiF7loTyfsTkbd4MpaIm0HQ9SwB7IYHdIUvt-U1Uc/edit?usp=sharing"",""สระแก้ว!Q77"")"&amp;"+IMPORTRANGE(""https://docs.google.com/spreadsheets/d/1xmPlrr1QbdSIKvl1dWUl9K4PjAfSL9oeMr_37QVzcxc/edit?usp=sharing"",""สระบุรี!Q77"")+IMPORTRANGE(""https://docs.google.com/spreadsheets/d/1j51vR6CYVGhABJpv6tkstgok82RLpXieLzW1yOY5rHw/edit?usp=sharing"",""ส"&amp;"ิงห์บุรี!Q77"")+IMPORTRANGE(""https://docs.google.com/spreadsheets/d/1H1EalTWKUSzO4Z1-1CwzoDUaVffgrThEBe2sl74kKG0/edit?usp=sharing"",""สุพรรณบุรี!Q77"")+IMPORTRANGE(""https://docs.google.com/spreadsheets/d/1BmIruG_sIrJLYao_Pdr7zVArWsfoBt2692TMi6x_854/edit"&amp;"?usp=sharing"",""อ่างทอง!Q77"")"),4126260)</f>
        <v>4126260</v>
      </c>
      <c r="R78" s="132">
        <f ca="1">IFERROR(__xludf.DUMMYFUNCTION("IMPORTRANGE(""https://docs.google.com/spreadsheets/d/13wPX838HrBrQMCywv1BsuMkt4PEKTChp52zj44s2izQ/edit?usp=sharing"",""กาญจนบุรี!R77"")+IMPORTRANGE(""https://docs.google.com/spreadsheets/d/1ddFKvqj1W1NEiWytbGlB1zMx_ykJDVtmfEQ-6-lIUBA/edit?usp=sharing"","""&amp;"จันทบุรี!R77"")+IMPORTRANGE(""https://docs.google.com/spreadsheets/d/1T1PQvRODqOBZk8BRht_U031fIS1beLA0Ub2CEytj2q0/edit?usp=sharing"",""ฉะเชิงเทรา!R77"")+IMPORTRANGE(""https://docs.google.com/spreadsheets/d/11tr1B-Bhyr79v2bkwVh5h_fR-PStkgjlZtkrZpYurG0/edit"&amp;"?usp=sharing"",""ชลบุรี!R77"")+IMPORTRANGE(""https://docs.google.com/spreadsheets/d/1hh-FVnSX0vozXhGluamEcS54Dw9_zqW0N7qJUWgJ0Sw/edit?usp=sharing"",""ชัยนาท!R77"")+IMPORTRANGE(""https://docs.google.com/spreadsheets/d/1jkqa6GXxSacMcY1eN8AHjMNJ_7dDXMJVRLDla"&amp;"FSOdPM/edit?usp=sharing"",""ตราด!R77"")+IMPORTRANGE(""https://docs.google.com/spreadsheets/d/18hSgUJ3VwClqi_qtULmmW3cLr0oe3OKaSYoKzdpTsYQ/edit?usp=sharing"",""นครนายก!R77"")+IMPORTRANGE(""https://docs.google.com/spreadsheets/d/1YTZo6WM2dQ6Ix6FSdnL5P7uVnVK"&amp;"u40sxZu975tgG10E/edit?usp=sharing"",""นครปฐม!R77"")+IMPORTRANGE(""https://docs.google.com/spreadsheets/d/1OYoGg4WDg5RIzwGeB10padOxJF9E_Vljuvvct_M7RDo/edit?usp=sharing"",""ปทุมธานี!R77"")+IMPORTRANGE(""https://docs.google.com/spreadsheets/d/1GbCIE4D4wk9FUo"&amp;"zzqk7SxfDMxDVBwVmI5zcaVUSzKAc/edit?usp=sharing"",""ประจวบคีรีขันธ์!R77"")+IMPORTRANGE(""https://docs.google.com/spreadsheets/d/1vVf6wykvW_lAyu7Yo9L4hUTqHqIeP_qcVuxCtosJEbg/edit?usp=sharing"",""ปราจีนบุรี!R77"")+IMPORTRANGE(""https://docs.google.com/spread"&amp;"sheets/d/1BIDqLLg5jk3v59G8NlR8rk5xfQDKne0sAvZHSj7TI6I/edit?usp=sharing"",""พระนครศรีอยุธยา!R77"")+IMPORTRANGE(""https://docs.google.com/spreadsheets/d/1YXvxf8Yu6_rV4hTBrwMqAcAnv6DfhUxh5emyM3CJp_w/edit?usp=sharing"",""เพชรบุรี!R77"")+IMPORTRANGE(""https://"&amp;"docs.google.com/spreadsheets/d/19KBlQQs7uwvsao6t2n-KvW3Ax8J8uRRfZPq1zPbXgKc/edit?usp=sharing"",""ระยอง!R77"")+IMPORTRANGE(""https://docs.google.com/spreadsheets/d/1jQ6P4QcrGM89YfqcC_PxOHGCMq5ezhucwJd8ci-NHng/edit?usp=sharing"",""ราชบุรี!R77"")+IMPORTRANGE"&amp;"(""https://docs.google.com/spreadsheets/d/1lufeA2cfFqM-elVq2hznhDzC6Pr7wkJ9ZG_sYNGCMCU/edit?usp=sharing"",""ลพบุรี!R77"")+IMPORTRANGE(""https://docs.google.com/spreadsheets/d/10oOiF7loTyfsTkbd4MpaIm0HQ9SwB7IYHdIUvt-U1Uc/edit?usp=sharing"",""สระแก้ว!R77"")"&amp;"+IMPORTRANGE(""https://docs.google.com/spreadsheets/d/1xmPlrr1QbdSIKvl1dWUl9K4PjAfSL9oeMr_37QVzcxc/edit?usp=sharing"",""สระบุรี!R77"")+IMPORTRANGE(""https://docs.google.com/spreadsheets/d/1j51vR6CYVGhABJpv6tkstgok82RLpXieLzW1yOY5rHw/edit?usp=sharing"",""ส"&amp;"ิงห์บุรี!R77"")+IMPORTRANGE(""https://docs.google.com/spreadsheets/d/1H1EalTWKUSzO4Z1-1CwzoDUaVffgrThEBe2sl74kKG0/edit?usp=sharing"",""สุพรรณบุรี!R77"")+IMPORTRANGE(""https://docs.google.com/spreadsheets/d/1BmIruG_sIrJLYao_Pdr7zVArWsfoBt2692TMi6x_854/edit"&amp;"?usp=sharing"",""อ่างทอง!R77"")"),4126260)</f>
        <v>4126260</v>
      </c>
      <c r="S78" s="132">
        <f ca="1">IFERROR(__xludf.DUMMYFUNCTION("IMPORTRANGE(""https://docs.google.com/spreadsheets/d/13wPX838HrBrQMCywv1BsuMkt4PEKTChp52zj44s2izQ/edit?usp=sharing"",""กาญจนบุรี!S77"")+IMPORTRANGE(""https://docs.google.com/spreadsheets/d/1ddFKvqj1W1NEiWytbGlB1zMx_ykJDVtmfEQ-6-lIUBA/edit?usp=sharing"","""&amp;"จันทบุรี!S77"")+IMPORTRANGE(""https://docs.google.com/spreadsheets/d/1T1PQvRODqOBZk8BRht_U031fIS1beLA0Ub2CEytj2q0/edit?usp=sharing"",""ฉะเชิงเทรา!S77"")+IMPORTRANGE(""https://docs.google.com/spreadsheets/d/11tr1B-Bhyr79v2bkwVh5h_fR-PStkgjlZtkrZpYurG0/edit"&amp;"?usp=sharing"",""ชลบุรี!S77"")+IMPORTRANGE(""https://docs.google.com/spreadsheets/d/1hh-FVnSX0vozXhGluamEcS54Dw9_zqW0N7qJUWgJ0Sw/edit?usp=sharing"",""ชัยนาท!S77"")+IMPORTRANGE(""https://docs.google.com/spreadsheets/d/1jkqa6GXxSacMcY1eN8AHjMNJ_7dDXMJVRLDla"&amp;"FSOdPM/edit?usp=sharing"",""ตราด!S77"")+IMPORTRANGE(""https://docs.google.com/spreadsheets/d/18hSgUJ3VwClqi_qtULmmW3cLr0oe3OKaSYoKzdpTsYQ/edit?usp=sharing"",""นครนายก!S77"")+IMPORTRANGE(""https://docs.google.com/spreadsheets/d/1YTZo6WM2dQ6Ix6FSdnL5P7uVnVK"&amp;"u40sxZu975tgG10E/edit?usp=sharing"",""นครปฐม!S77"")+IMPORTRANGE(""https://docs.google.com/spreadsheets/d/1OYoGg4WDg5RIzwGeB10padOxJF9E_Vljuvvct_M7RDo/edit?usp=sharing"",""ปทุมธานี!S77"")+IMPORTRANGE(""https://docs.google.com/spreadsheets/d/1GbCIE4D4wk9FUo"&amp;"zzqk7SxfDMxDVBwVmI5zcaVUSzKAc/edit?usp=sharing"",""ประจวบคีรีขันธ์!S77"")+IMPORTRANGE(""https://docs.google.com/spreadsheets/d/1vVf6wykvW_lAyu7Yo9L4hUTqHqIeP_qcVuxCtosJEbg/edit?usp=sharing"",""ปราจีนบุรี!S77"")+IMPORTRANGE(""https://docs.google.com/spread"&amp;"sheets/d/1BIDqLLg5jk3v59G8NlR8rk5xfQDKne0sAvZHSj7TI6I/edit?usp=sharing"",""พระนครศรีอยุธยา!S77"")+IMPORTRANGE(""https://docs.google.com/spreadsheets/d/1YXvxf8Yu6_rV4hTBrwMqAcAnv6DfhUxh5emyM3CJp_w/edit?usp=sharing"",""เพชรบุรี!S77"")+IMPORTRANGE(""https://"&amp;"docs.google.com/spreadsheets/d/19KBlQQs7uwvsao6t2n-KvW3Ax8J8uRRfZPq1zPbXgKc/edit?usp=sharing"",""ระยอง!S77"")+IMPORTRANGE(""https://docs.google.com/spreadsheets/d/1jQ6P4QcrGM89YfqcC_PxOHGCMq5ezhucwJd8ci-NHng/edit?usp=sharing"",""ราชบุรี!S77"")+IMPORTRANGE"&amp;"(""https://docs.google.com/spreadsheets/d/1lufeA2cfFqM-elVq2hznhDzC6Pr7wkJ9ZG_sYNGCMCU/edit?usp=sharing"",""ลพบุรี!S77"")+IMPORTRANGE(""https://docs.google.com/spreadsheets/d/10oOiF7loTyfsTkbd4MpaIm0HQ9SwB7IYHdIUvt-U1Uc/edit?usp=sharing"",""สระแก้ว!S77"")"&amp;"+IMPORTRANGE(""https://docs.google.com/spreadsheets/d/1xmPlrr1QbdSIKvl1dWUl9K4PjAfSL9oeMr_37QVzcxc/edit?usp=sharing"",""สระบุรี!S77"")+IMPORTRANGE(""https://docs.google.com/spreadsheets/d/1j51vR6CYVGhABJpv6tkstgok82RLpXieLzW1yOY5rHw/edit?usp=sharing"",""ส"&amp;"ิงห์บุรี!S77"")+IMPORTRANGE(""https://docs.google.com/spreadsheets/d/1H1EalTWKUSzO4Z1-1CwzoDUaVffgrThEBe2sl74kKG0/edit?usp=sharing"",""สุพรรณบุรี!S77"")+IMPORTRANGE(""https://docs.google.com/spreadsheets/d/1BmIruG_sIrJLYao_Pdr7zVArWsfoBt2692TMi6x_854/edit"&amp;"?usp=sharing"",""อ่างทอง!S77"")"),0)</f>
        <v>0</v>
      </c>
      <c r="T78" s="132">
        <f t="shared" ca="1" si="57"/>
        <v>0</v>
      </c>
      <c r="U78" s="132">
        <f t="shared" ca="1" si="58"/>
        <v>0</v>
      </c>
    </row>
    <row r="79" spans="1:21" ht="18.75" x14ac:dyDescent="0.25">
      <c r="A79" s="209"/>
      <c r="B79" s="67"/>
      <c r="C79" s="67"/>
      <c r="D79" s="68" t="s">
        <v>23</v>
      </c>
      <c r="E79" s="67"/>
      <c r="F79" s="67"/>
      <c r="G79" s="69"/>
      <c r="H79" s="221" t="s">
        <v>14</v>
      </c>
      <c r="I79" s="219"/>
      <c r="J79" s="219"/>
      <c r="K79" s="220"/>
      <c r="L79" s="88">
        <f t="shared" ref="L79:N79" ca="1" si="65">L80+L81</f>
        <v>0</v>
      </c>
      <c r="M79" s="88">
        <f t="shared" ca="1" si="65"/>
        <v>0</v>
      </c>
      <c r="N79" s="88">
        <f t="shared" ca="1" si="65"/>
        <v>0</v>
      </c>
      <c r="O79" s="88">
        <f t="shared" ca="1" si="54"/>
        <v>0</v>
      </c>
      <c r="P79" s="88">
        <f t="shared" ca="1" si="55"/>
        <v>0</v>
      </c>
      <c r="Q79" s="131">
        <f t="shared" ref="Q79:S79" ca="1" si="66">Q80+Q81</f>
        <v>0</v>
      </c>
      <c r="R79" s="132">
        <f t="shared" ca="1" si="66"/>
        <v>0</v>
      </c>
      <c r="S79" s="132">
        <f t="shared" ca="1" si="66"/>
        <v>0</v>
      </c>
      <c r="T79" s="132">
        <f t="shared" ca="1" si="57"/>
        <v>0</v>
      </c>
      <c r="U79" s="132">
        <f t="shared" ca="1" si="58"/>
        <v>0</v>
      </c>
    </row>
    <row r="80" spans="1:21" ht="18.75" x14ac:dyDescent="0.25">
      <c r="A80" s="209"/>
      <c r="B80" s="67"/>
      <c r="C80" s="67"/>
      <c r="D80" s="67"/>
      <c r="E80" s="75" t="s">
        <v>20</v>
      </c>
      <c r="F80" s="67"/>
      <c r="G80" s="69"/>
      <c r="H80" s="218" t="s">
        <v>14</v>
      </c>
      <c r="I80" s="219"/>
      <c r="J80" s="219"/>
      <c r="K80" s="220"/>
      <c r="L80" s="88">
        <f ca="1">IFERROR(__xludf.DUMMYFUNCTION("IMPORTRANGE(""https://docs.google.com/spreadsheets/d/13wPX838HrBrQMCywv1BsuMkt4PEKTChp52zj44s2izQ/edit?usp=sharing"",""กาญจนบุรี!L79"")+IMPORTRANGE(""https://docs.google.com/spreadsheets/d/1ddFKvqj1W1NEiWytbGlB1zMx_ykJDVtmfEQ-6-lIUBA/edit?usp=sharing"","""&amp;"จันทบุรี!L79"")+IMPORTRANGE(""https://docs.google.com/spreadsheets/d/1T1PQvRODqOBZk8BRht_U031fIS1beLA0Ub2CEytj2q0/edit?usp=sharing"",""ฉะเชิงเทรา!L79"")+IMPORTRANGE(""https://docs.google.com/spreadsheets/d/11tr1B-Bhyr79v2bkwVh5h_fR-PStkgjlZtkrZpYurG0/edit"&amp;"?usp=sharing"",""ชลบุรี!L79"")+IMPORTRANGE(""https://docs.google.com/spreadsheets/d/1hh-FVnSX0vozXhGluamEcS54Dw9_zqW0N7qJUWgJ0Sw/edit?usp=sharing"",""ชัยนาท!L79"")+IMPORTRANGE(""https://docs.google.com/spreadsheets/d/1jkqa6GXxSacMcY1eN8AHjMNJ_7dDXMJVRLDla"&amp;"FSOdPM/edit?usp=sharing"",""ตราด!L79"")+IMPORTRANGE(""https://docs.google.com/spreadsheets/d/18hSgUJ3VwClqi_qtULmmW3cLr0oe3OKaSYoKzdpTsYQ/edit?usp=sharing"",""นครนายก!L79"")+IMPORTRANGE(""https://docs.google.com/spreadsheets/d/1YTZo6WM2dQ6Ix6FSdnL5P7uVnVK"&amp;"u40sxZu975tgG10E/edit?usp=sharing"",""นครปฐม!L79"")+IMPORTRANGE(""https://docs.google.com/spreadsheets/d/1OYoGg4WDg5RIzwGeB10padOxJF9E_Vljuvvct_M7RDo/edit?usp=sharing"",""ปทุมธานี!L79"")+IMPORTRANGE(""https://docs.google.com/spreadsheets/d/1GbCIE4D4wk9FUo"&amp;"zzqk7SxfDMxDVBwVmI5zcaVUSzKAc/edit?usp=sharing"",""ประจวบคีรีขันธ์!L79"")+IMPORTRANGE(""https://docs.google.com/spreadsheets/d/1vVf6wykvW_lAyu7Yo9L4hUTqHqIeP_qcVuxCtosJEbg/edit?usp=sharing"",""ปราจีนบุรี!L79"")+IMPORTRANGE(""https://docs.google.com/spread"&amp;"sheets/d/1BIDqLLg5jk3v59G8NlR8rk5xfQDKne0sAvZHSj7TI6I/edit?usp=sharing"",""พระนครศรีอยุธยา!L79"")+IMPORTRANGE(""https://docs.google.com/spreadsheets/d/1YXvxf8Yu6_rV4hTBrwMqAcAnv6DfhUxh5emyM3CJp_w/edit?usp=sharing"",""เพชรบุรี!L79"")+IMPORTRANGE(""https://"&amp;"docs.google.com/spreadsheets/d/19KBlQQs7uwvsao6t2n-KvW3Ax8J8uRRfZPq1zPbXgKc/edit?usp=sharing"",""ระยอง!L79"")+IMPORTRANGE(""https://docs.google.com/spreadsheets/d/1jQ6P4QcrGM89YfqcC_PxOHGCMq5ezhucwJd8ci-NHng/edit?usp=sharing"",""ราชบุรี!L79"")+IMPORTRANGE"&amp;"(""https://docs.google.com/spreadsheets/d/1lufeA2cfFqM-elVq2hznhDzC6Pr7wkJ9ZG_sYNGCMCU/edit?usp=sharing"",""ลพบุรี!L79"")+IMPORTRANGE(""https://docs.google.com/spreadsheets/d/10oOiF7loTyfsTkbd4MpaIm0HQ9SwB7IYHdIUvt-U1Uc/edit?usp=sharing"",""สระแก้ว!L79"")"&amp;"+IMPORTRANGE(""https://docs.google.com/spreadsheets/d/1xmPlrr1QbdSIKvl1dWUl9K4PjAfSL9oeMr_37QVzcxc/edit?usp=sharing"",""สระบุรี!L79"")+IMPORTRANGE(""https://docs.google.com/spreadsheets/d/1j51vR6CYVGhABJpv6tkstgok82RLpXieLzW1yOY5rHw/edit?usp=sharing"",""ส"&amp;"ิงห์บุรี!L79"")+IMPORTRANGE(""https://docs.google.com/spreadsheets/d/1H1EalTWKUSzO4Z1-1CwzoDUaVffgrThEBe2sl74kKG0/edit?usp=sharing"",""สุพรรณบุรี!L79"")+IMPORTRANGE(""https://docs.google.com/spreadsheets/d/1BmIruG_sIrJLYao_Pdr7zVArWsfoBt2692TMi6x_854/edit"&amp;"?usp=sharing"",""อ่างทอง!L79"")"),0)</f>
        <v>0</v>
      </c>
      <c r="M80" s="88">
        <f ca="1">IFERROR(__xludf.DUMMYFUNCTION("IMPORTRANGE(""https://docs.google.com/spreadsheets/d/13wPX838HrBrQMCywv1BsuMkt4PEKTChp52zj44s2izQ/edit?usp=sharing"",""กาญจนบุรี!M79"")+IMPORTRANGE(""https://docs.google.com/spreadsheets/d/1ddFKvqj1W1NEiWytbGlB1zMx_ykJDVtmfEQ-6-lIUBA/edit?usp=sharing"","""&amp;"จันทบุรี!M79"")+IMPORTRANGE(""https://docs.google.com/spreadsheets/d/1T1PQvRODqOBZk8BRht_U031fIS1beLA0Ub2CEytj2q0/edit?usp=sharing"",""ฉะเชิงเทรา!M79"")+IMPORTRANGE(""https://docs.google.com/spreadsheets/d/11tr1B-Bhyr79v2bkwVh5h_fR-PStkgjlZtkrZpYurG0/edit"&amp;"?usp=sharing"",""ชลบุรี!M79"")+IMPORTRANGE(""https://docs.google.com/spreadsheets/d/1hh-FVnSX0vozXhGluamEcS54Dw9_zqW0N7qJUWgJ0Sw/edit?usp=sharing"",""ชัยนาท!M79"")+IMPORTRANGE(""https://docs.google.com/spreadsheets/d/1jkqa6GXxSacMcY1eN8AHjMNJ_7dDXMJVRLDla"&amp;"FSOdPM/edit?usp=sharing"",""ตราด!M79"")+IMPORTRANGE(""https://docs.google.com/spreadsheets/d/18hSgUJ3VwClqi_qtULmmW3cLr0oe3OKaSYoKzdpTsYQ/edit?usp=sharing"",""นครนายก!M79"")+IMPORTRANGE(""https://docs.google.com/spreadsheets/d/1YTZo6WM2dQ6Ix6FSdnL5P7uVnVK"&amp;"u40sxZu975tgG10E/edit?usp=sharing"",""นครปฐม!M79"")+IMPORTRANGE(""https://docs.google.com/spreadsheets/d/1OYoGg4WDg5RIzwGeB10padOxJF9E_Vljuvvct_M7RDo/edit?usp=sharing"",""ปทุมธานี!M79"")+IMPORTRANGE(""https://docs.google.com/spreadsheets/d/1GbCIE4D4wk9FUo"&amp;"zzqk7SxfDMxDVBwVmI5zcaVUSzKAc/edit?usp=sharing"",""ประจวบคีรีขันธ์!M79"")+IMPORTRANGE(""https://docs.google.com/spreadsheets/d/1vVf6wykvW_lAyu7Yo9L4hUTqHqIeP_qcVuxCtosJEbg/edit?usp=sharing"",""ปราจีนบุรี!M79"")+IMPORTRANGE(""https://docs.google.com/spread"&amp;"sheets/d/1BIDqLLg5jk3v59G8NlR8rk5xfQDKne0sAvZHSj7TI6I/edit?usp=sharing"",""พระนครศรีอยุธยา!M79"")+IMPORTRANGE(""https://docs.google.com/spreadsheets/d/1YXvxf8Yu6_rV4hTBrwMqAcAnv6DfhUxh5emyM3CJp_w/edit?usp=sharing"",""เพชรบุรี!M79"")+IMPORTRANGE(""https://"&amp;"docs.google.com/spreadsheets/d/19KBlQQs7uwvsao6t2n-KvW3Ax8J8uRRfZPq1zPbXgKc/edit?usp=sharing"",""ระยอง!M79"")+IMPORTRANGE(""https://docs.google.com/spreadsheets/d/1jQ6P4QcrGM89YfqcC_PxOHGCMq5ezhucwJd8ci-NHng/edit?usp=sharing"",""ราชบุรี!M79"")+IMPORTRANGE"&amp;"(""https://docs.google.com/spreadsheets/d/1lufeA2cfFqM-elVq2hznhDzC6Pr7wkJ9ZG_sYNGCMCU/edit?usp=sharing"",""ลพบุรี!M79"")+IMPORTRANGE(""https://docs.google.com/spreadsheets/d/10oOiF7loTyfsTkbd4MpaIm0HQ9SwB7IYHdIUvt-U1Uc/edit?usp=sharing"",""สระแก้ว!M79"")"&amp;"+IMPORTRANGE(""https://docs.google.com/spreadsheets/d/1xmPlrr1QbdSIKvl1dWUl9K4PjAfSL9oeMr_37QVzcxc/edit?usp=sharing"",""สระบุรี!M79"")+IMPORTRANGE(""https://docs.google.com/spreadsheets/d/1j51vR6CYVGhABJpv6tkstgok82RLpXieLzW1yOY5rHw/edit?usp=sharing"",""ส"&amp;"ิงห์บุรี!M79"")+IMPORTRANGE(""https://docs.google.com/spreadsheets/d/1H1EalTWKUSzO4Z1-1CwzoDUaVffgrThEBe2sl74kKG0/edit?usp=sharing"",""สุพรรณบุรี!M79"")+IMPORTRANGE(""https://docs.google.com/spreadsheets/d/1BmIruG_sIrJLYao_Pdr7zVArWsfoBt2692TMi6x_854/edit"&amp;"?usp=sharing"",""อ่างทอง!M79"")"),0)</f>
        <v>0</v>
      </c>
      <c r="N80" s="88">
        <f ca="1">IFERROR(__xludf.DUMMYFUNCTION("IMPORTRANGE(""https://docs.google.com/spreadsheets/d/13wPX838HrBrQMCywv1BsuMkt4PEKTChp52zj44s2izQ/edit?usp=sharing"",""กาญจนบุรี!N79"")+IMPORTRANGE(""https://docs.google.com/spreadsheets/d/1ddFKvqj1W1NEiWytbGlB1zMx_ykJDVtmfEQ-6-lIUBA/edit?usp=sharing"","""&amp;"จันทบุรี!N79"")+IMPORTRANGE(""https://docs.google.com/spreadsheets/d/1T1PQvRODqOBZk8BRht_U031fIS1beLA0Ub2CEytj2q0/edit?usp=sharing"",""ฉะเชิงเทรา!N79"")+IMPORTRANGE(""https://docs.google.com/spreadsheets/d/11tr1B-Bhyr79v2bkwVh5h_fR-PStkgjlZtkrZpYurG0/edit"&amp;"?usp=sharing"",""ชลบุรี!N79"")+IMPORTRANGE(""https://docs.google.com/spreadsheets/d/1hh-FVnSX0vozXhGluamEcS54Dw9_zqW0N7qJUWgJ0Sw/edit?usp=sharing"",""ชัยนาท!N79"")+IMPORTRANGE(""https://docs.google.com/spreadsheets/d/1jkqa6GXxSacMcY1eN8AHjMNJ_7dDXMJVRLDla"&amp;"FSOdPM/edit?usp=sharing"",""ตราด!N79"")+IMPORTRANGE(""https://docs.google.com/spreadsheets/d/18hSgUJ3VwClqi_qtULmmW3cLr0oe3OKaSYoKzdpTsYQ/edit?usp=sharing"",""นครนายก!N79"")+IMPORTRANGE(""https://docs.google.com/spreadsheets/d/1YTZo6WM2dQ6Ix6FSdnL5P7uVnVK"&amp;"u40sxZu975tgG10E/edit?usp=sharing"",""นครปฐม!N79"")+IMPORTRANGE(""https://docs.google.com/spreadsheets/d/1OYoGg4WDg5RIzwGeB10padOxJF9E_Vljuvvct_M7RDo/edit?usp=sharing"",""ปทุมธานี!N79"")+IMPORTRANGE(""https://docs.google.com/spreadsheets/d/1GbCIE4D4wk9FUo"&amp;"zzqk7SxfDMxDVBwVmI5zcaVUSzKAc/edit?usp=sharing"",""ประจวบคีรีขันธ์!N79"")+IMPORTRANGE(""https://docs.google.com/spreadsheets/d/1vVf6wykvW_lAyu7Yo9L4hUTqHqIeP_qcVuxCtosJEbg/edit?usp=sharing"",""ปราจีนบุรี!N79"")+IMPORTRANGE(""https://docs.google.com/spread"&amp;"sheets/d/1BIDqLLg5jk3v59G8NlR8rk5xfQDKne0sAvZHSj7TI6I/edit?usp=sharing"",""พระนครศรีอยุธยา!N79"")+IMPORTRANGE(""https://docs.google.com/spreadsheets/d/1YXvxf8Yu6_rV4hTBrwMqAcAnv6DfhUxh5emyM3CJp_w/edit?usp=sharing"",""เพชรบุรี!N79"")+IMPORTRANGE(""https://"&amp;"docs.google.com/spreadsheets/d/19KBlQQs7uwvsao6t2n-KvW3Ax8J8uRRfZPq1zPbXgKc/edit?usp=sharing"",""ระยอง!N79"")+IMPORTRANGE(""https://docs.google.com/spreadsheets/d/1jQ6P4QcrGM89YfqcC_PxOHGCMq5ezhucwJd8ci-NHng/edit?usp=sharing"",""ราชบุรี!N79"")+IMPORTRANGE"&amp;"(""https://docs.google.com/spreadsheets/d/1lufeA2cfFqM-elVq2hznhDzC6Pr7wkJ9ZG_sYNGCMCU/edit?usp=sharing"",""ลพบุรี!N79"")+IMPORTRANGE(""https://docs.google.com/spreadsheets/d/10oOiF7loTyfsTkbd4MpaIm0HQ9SwB7IYHdIUvt-U1Uc/edit?usp=sharing"",""สระแก้ว!N79"")"&amp;"+IMPORTRANGE(""https://docs.google.com/spreadsheets/d/1xmPlrr1QbdSIKvl1dWUl9K4PjAfSL9oeMr_37QVzcxc/edit?usp=sharing"",""สระบุรี!N79"")+IMPORTRANGE(""https://docs.google.com/spreadsheets/d/1j51vR6CYVGhABJpv6tkstgok82RLpXieLzW1yOY5rHw/edit?usp=sharing"",""ส"&amp;"ิงห์บุรี!N79"")+IMPORTRANGE(""https://docs.google.com/spreadsheets/d/1H1EalTWKUSzO4Z1-1CwzoDUaVffgrThEBe2sl74kKG0/edit?usp=sharing"",""สุพรรณบุรี!N79"")+IMPORTRANGE(""https://docs.google.com/spreadsheets/d/1BmIruG_sIrJLYao_Pdr7zVArWsfoBt2692TMi6x_854/edit"&amp;"?usp=sharing"",""อ่างทอง!N79"")"),0)</f>
        <v>0</v>
      </c>
      <c r="O80" s="88">
        <f t="shared" ca="1" si="54"/>
        <v>0</v>
      </c>
      <c r="P80" s="88">
        <f t="shared" ca="1" si="55"/>
        <v>0</v>
      </c>
      <c r="Q80" s="76">
        <f ca="1">IFERROR(__xludf.DUMMYFUNCTION("IMPORTRANGE(""https://docs.google.com/spreadsheets/d/13wPX838HrBrQMCywv1BsuMkt4PEKTChp52zj44s2izQ/edit?usp=sharing"",""กาญจนบุรี!Q79"")+IMPORTRANGE(""https://docs.google.com/spreadsheets/d/1ddFKvqj1W1NEiWytbGlB1zMx_ykJDVtmfEQ-6-lIUBA/edit?usp=sharing"","""&amp;"จันทบุรี!Q79"")+IMPORTRANGE(""https://docs.google.com/spreadsheets/d/1T1PQvRODqOBZk8BRht_U031fIS1beLA0Ub2CEytj2q0/edit?usp=sharing"",""ฉะเชิงเทรา!Q79"")+IMPORTRANGE(""https://docs.google.com/spreadsheets/d/11tr1B-Bhyr79v2bkwVh5h_fR-PStkgjlZtkrZpYurG0/edit"&amp;"?usp=sharing"",""ชลบุรี!Q79"")+IMPORTRANGE(""https://docs.google.com/spreadsheets/d/1hh-FVnSX0vozXhGluamEcS54Dw9_zqW0N7qJUWgJ0Sw/edit?usp=sharing"",""ชัยนาท!Q79"")+IMPORTRANGE(""https://docs.google.com/spreadsheets/d/1jkqa6GXxSacMcY1eN8AHjMNJ_7dDXMJVRLDla"&amp;"FSOdPM/edit?usp=sharing"",""ตราด!Q79"")+IMPORTRANGE(""https://docs.google.com/spreadsheets/d/18hSgUJ3VwClqi_qtULmmW3cLr0oe3OKaSYoKzdpTsYQ/edit?usp=sharing"",""นครนายก!Q79"")+IMPORTRANGE(""https://docs.google.com/spreadsheets/d/1YTZo6WM2dQ6Ix6FSdnL5P7uVnVK"&amp;"u40sxZu975tgG10E/edit?usp=sharing"",""นครปฐม!Q79"")+IMPORTRANGE(""https://docs.google.com/spreadsheets/d/1OYoGg4WDg5RIzwGeB10padOxJF9E_Vljuvvct_M7RDo/edit?usp=sharing"",""ปทุมธานี!Q79"")+IMPORTRANGE(""https://docs.google.com/spreadsheets/d/1GbCIE4D4wk9FUo"&amp;"zzqk7SxfDMxDVBwVmI5zcaVUSzKAc/edit?usp=sharing"",""ประจวบคีรีขันธ์!Q79"")+IMPORTRANGE(""https://docs.google.com/spreadsheets/d/1vVf6wykvW_lAyu7Yo9L4hUTqHqIeP_qcVuxCtosJEbg/edit?usp=sharing"",""ปราจีนบุรี!Q79"")+IMPORTRANGE(""https://docs.google.com/spread"&amp;"sheets/d/1BIDqLLg5jk3v59G8NlR8rk5xfQDKne0sAvZHSj7TI6I/edit?usp=sharing"",""พระนครศรีอยุธยา!Q79"")+IMPORTRANGE(""https://docs.google.com/spreadsheets/d/1YXvxf8Yu6_rV4hTBrwMqAcAnv6DfhUxh5emyM3CJp_w/edit?usp=sharing"",""เพชรบุรี!Q79"")+IMPORTRANGE(""https://"&amp;"docs.google.com/spreadsheets/d/19KBlQQs7uwvsao6t2n-KvW3Ax8J8uRRfZPq1zPbXgKc/edit?usp=sharing"",""ระยอง!Q79"")+IMPORTRANGE(""https://docs.google.com/spreadsheets/d/1jQ6P4QcrGM89YfqcC_PxOHGCMq5ezhucwJd8ci-NHng/edit?usp=sharing"",""ราชบุรี!Q79"")+IMPORTRANGE"&amp;"(""https://docs.google.com/spreadsheets/d/1lufeA2cfFqM-elVq2hznhDzC6Pr7wkJ9ZG_sYNGCMCU/edit?usp=sharing"",""ลพบุรี!Q79"")+IMPORTRANGE(""https://docs.google.com/spreadsheets/d/10oOiF7loTyfsTkbd4MpaIm0HQ9SwB7IYHdIUvt-U1Uc/edit?usp=sharing"",""สระแก้ว!Q79"")"&amp;"+IMPORTRANGE(""https://docs.google.com/spreadsheets/d/1xmPlrr1QbdSIKvl1dWUl9K4PjAfSL9oeMr_37QVzcxc/edit?usp=sharing"",""สระบุรี!Q79"")+IMPORTRANGE(""https://docs.google.com/spreadsheets/d/1j51vR6CYVGhABJpv6tkstgok82RLpXieLzW1yOY5rHw/edit?usp=sharing"",""ส"&amp;"ิงห์บุรี!Q79"")+IMPORTRANGE(""https://docs.google.com/spreadsheets/d/1H1EalTWKUSzO4Z1-1CwzoDUaVffgrThEBe2sl74kKG0/edit?usp=sharing"",""สุพรรณบุรี!Q79"")+IMPORTRANGE(""https://docs.google.com/spreadsheets/d/1BmIruG_sIrJLYao_Pdr7zVArWsfoBt2692TMi6x_854/edit"&amp;"?usp=sharing"",""อ่างทอง!Q79"")"),0)</f>
        <v>0</v>
      </c>
      <c r="R80" s="74">
        <f ca="1">IFERROR(__xludf.DUMMYFUNCTION("IMPORTRANGE(""https://docs.google.com/spreadsheets/d/13wPX838HrBrQMCywv1BsuMkt4PEKTChp52zj44s2izQ/edit?usp=sharing"",""กาญจนบุรี!R79"")+IMPORTRANGE(""https://docs.google.com/spreadsheets/d/1ddFKvqj1W1NEiWytbGlB1zMx_ykJDVtmfEQ-6-lIUBA/edit?usp=sharing"","""&amp;"จันทบุรี!R79"")+IMPORTRANGE(""https://docs.google.com/spreadsheets/d/1T1PQvRODqOBZk8BRht_U031fIS1beLA0Ub2CEytj2q0/edit?usp=sharing"",""ฉะเชิงเทรา!R79"")+IMPORTRANGE(""https://docs.google.com/spreadsheets/d/11tr1B-Bhyr79v2bkwVh5h_fR-PStkgjlZtkrZpYurG0/edit"&amp;"?usp=sharing"",""ชลบุรี!R79"")+IMPORTRANGE(""https://docs.google.com/spreadsheets/d/1hh-FVnSX0vozXhGluamEcS54Dw9_zqW0N7qJUWgJ0Sw/edit?usp=sharing"",""ชัยนาท!R79"")+IMPORTRANGE(""https://docs.google.com/spreadsheets/d/1jkqa6GXxSacMcY1eN8AHjMNJ_7dDXMJVRLDla"&amp;"FSOdPM/edit?usp=sharing"",""ตราด!R79"")+IMPORTRANGE(""https://docs.google.com/spreadsheets/d/18hSgUJ3VwClqi_qtULmmW3cLr0oe3OKaSYoKzdpTsYQ/edit?usp=sharing"",""นครนายก!R79"")+IMPORTRANGE(""https://docs.google.com/spreadsheets/d/1YTZo6WM2dQ6Ix6FSdnL5P7uVnVK"&amp;"u40sxZu975tgG10E/edit?usp=sharing"",""นครปฐม!R79"")+IMPORTRANGE(""https://docs.google.com/spreadsheets/d/1OYoGg4WDg5RIzwGeB10padOxJF9E_Vljuvvct_M7RDo/edit?usp=sharing"",""ปทุมธานี!R79"")+IMPORTRANGE(""https://docs.google.com/spreadsheets/d/1GbCIE4D4wk9FUo"&amp;"zzqk7SxfDMxDVBwVmI5zcaVUSzKAc/edit?usp=sharing"",""ประจวบคีรีขันธ์!R79"")+IMPORTRANGE(""https://docs.google.com/spreadsheets/d/1vVf6wykvW_lAyu7Yo9L4hUTqHqIeP_qcVuxCtosJEbg/edit?usp=sharing"",""ปราจีนบุรี!R79"")+IMPORTRANGE(""https://docs.google.com/spread"&amp;"sheets/d/1BIDqLLg5jk3v59G8NlR8rk5xfQDKne0sAvZHSj7TI6I/edit?usp=sharing"",""พระนครศรีอยุธยา!R79"")+IMPORTRANGE(""https://docs.google.com/spreadsheets/d/1YXvxf8Yu6_rV4hTBrwMqAcAnv6DfhUxh5emyM3CJp_w/edit?usp=sharing"",""เพชรบุรี!R79"")+IMPORTRANGE(""https://"&amp;"docs.google.com/spreadsheets/d/19KBlQQs7uwvsao6t2n-KvW3Ax8J8uRRfZPq1zPbXgKc/edit?usp=sharing"",""ระยอง!R79"")+IMPORTRANGE(""https://docs.google.com/spreadsheets/d/1jQ6P4QcrGM89YfqcC_PxOHGCMq5ezhucwJd8ci-NHng/edit?usp=sharing"",""ราชบุรี!R79"")+IMPORTRANGE"&amp;"(""https://docs.google.com/spreadsheets/d/1lufeA2cfFqM-elVq2hznhDzC6Pr7wkJ9ZG_sYNGCMCU/edit?usp=sharing"",""ลพบุรี!R79"")+IMPORTRANGE(""https://docs.google.com/spreadsheets/d/10oOiF7loTyfsTkbd4MpaIm0HQ9SwB7IYHdIUvt-U1Uc/edit?usp=sharing"",""สระแก้ว!R79"")"&amp;"+IMPORTRANGE(""https://docs.google.com/spreadsheets/d/1xmPlrr1QbdSIKvl1dWUl9K4PjAfSL9oeMr_37QVzcxc/edit?usp=sharing"",""สระบุรี!R79"")+IMPORTRANGE(""https://docs.google.com/spreadsheets/d/1j51vR6CYVGhABJpv6tkstgok82RLpXieLzW1yOY5rHw/edit?usp=sharing"",""ส"&amp;"ิงห์บุรี!R79"")+IMPORTRANGE(""https://docs.google.com/spreadsheets/d/1H1EalTWKUSzO4Z1-1CwzoDUaVffgrThEBe2sl74kKG0/edit?usp=sharing"",""สุพรรณบุรี!R79"")+IMPORTRANGE(""https://docs.google.com/spreadsheets/d/1BmIruG_sIrJLYao_Pdr7zVArWsfoBt2692TMi6x_854/edit"&amp;"?usp=sharing"",""อ่างทอง!R79"")"),0)</f>
        <v>0</v>
      </c>
      <c r="S80" s="74">
        <f ca="1">IFERROR(__xludf.DUMMYFUNCTION("IMPORTRANGE(""https://docs.google.com/spreadsheets/d/13wPX838HrBrQMCywv1BsuMkt4PEKTChp52zj44s2izQ/edit?usp=sharing"",""กาญจนบุรี!S79"")+IMPORTRANGE(""https://docs.google.com/spreadsheets/d/1ddFKvqj1W1NEiWytbGlB1zMx_ykJDVtmfEQ-6-lIUBA/edit?usp=sharing"","""&amp;"จันทบุรี!S79"")+IMPORTRANGE(""https://docs.google.com/spreadsheets/d/1T1PQvRODqOBZk8BRht_U031fIS1beLA0Ub2CEytj2q0/edit?usp=sharing"",""ฉะเชิงเทรา!S79"")+IMPORTRANGE(""https://docs.google.com/spreadsheets/d/11tr1B-Bhyr79v2bkwVh5h_fR-PStkgjlZtkrZpYurG0/edit"&amp;"?usp=sharing"",""ชลบุรี!S79"")+IMPORTRANGE(""https://docs.google.com/spreadsheets/d/1hh-FVnSX0vozXhGluamEcS54Dw9_zqW0N7qJUWgJ0Sw/edit?usp=sharing"",""ชัยนาท!S79"")+IMPORTRANGE(""https://docs.google.com/spreadsheets/d/1jkqa6GXxSacMcY1eN8AHjMNJ_7dDXMJVRLDla"&amp;"FSOdPM/edit?usp=sharing"",""ตราด!S79"")+IMPORTRANGE(""https://docs.google.com/spreadsheets/d/18hSgUJ3VwClqi_qtULmmW3cLr0oe3OKaSYoKzdpTsYQ/edit?usp=sharing"",""นครนายก!S79"")+IMPORTRANGE(""https://docs.google.com/spreadsheets/d/1YTZo6WM2dQ6Ix6FSdnL5P7uVnVK"&amp;"u40sxZu975tgG10E/edit?usp=sharing"",""นครปฐม!S79"")+IMPORTRANGE(""https://docs.google.com/spreadsheets/d/1OYoGg4WDg5RIzwGeB10padOxJF9E_Vljuvvct_M7RDo/edit?usp=sharing"",""ปทุมธานี!S79"")+IMPORTRANGE(""https://docs.google.com/spreadsheets/d/1GbCIE4D4wk9FUo"&amp;"zzqk7SxfDMxDVBwVmI5zcaVUSzKAc/edit?usp=sharing"",""ประจวบคีรีขันธ์!S79"")+IMPORTRANGE(""https://docs.google.com/spreadsheets/d/1vVf6wykvW_lAyu7Yo9L4hUTqHqIeP_qcVuxCtosJEbg/edit?usp=sharing"",""ปราจีนบุรี!S79"")+IMPORTRANGE(""https://docs.google.com/spread"&amp;"sheets/d/1BIDqLLg5jk3v59G8NlR8rk5xfQDKne0sAvZHSj7TI6I/edit?usp=sharing"",""พระนครศรีอยุธยา!S79"")+IMPORTRANGE(""https://docs.google.com/spreadsheets/d/1YXvxf8Yu6_rV4hTBrwMqAcAnv6DfhUxh5emyM3CJp_w/edit?usp=sharing"",""เพชรบุรี!S79"")+IMPORTRANGE(""https://"&amp;"docs.google.com/spreadsheets/d/19KBlQQs7uwvsao6t2n-KvW3Ax8J8uRRfZPq1zPbXgKc/edit?usp=sharing"",""ระยอง!S79"")+IMPORTRANGE(""https://docs.google.com/spreadsheets/d/1jQ6P4QcrGM89YfqcC_PxOHGCMq5ezhucwJd8ci-NHng/edit?usp=sharing"",""ราชบุรี!S79"")+IMPORTRANGE"&amp;"(""https://docs.google.com/spreadsheets/d/1lufeA2cfFqM-elVq2hznhDzC6Pr7wkJ9ZG_sYNGCMCU/edit?usp=sharing"",""ลพบุรี!S79"")+IMPORTRANGE(""https://docs.google.com/spreadsheets/d/10oOiF7loTyfsTkbd4MpaIm0HQ9SwB7IYHdIUvt-U1Uc/edit?usp=sharing"",""สระแก้ว!S79"")"&amp;"+IMPORTRANGE(""https://docs.google.com/spreadsheets/d/1xmPlrr1QbdSIKvl1dWUl9K4PjAfSL9oeMr_37QVzcxc/edit?usp=sharing"",""สระบุรี!S79"")+IMPORTRANGE(""https://docs.google.com/spreadsheets/d/1j51vR6CYVGhABJpv6tkstgok82RLpXieLzW1yOY5rHw/edit?usp=sharing"",""ส"&amp;"ิงห์บุรี!S79"")+IMPORTRANGE(""https://docs.google.com/spreadsheets/d/1H1EalTWKUSzO4Z1-1CwzoDUaVffgrThEBe2sl74kKG0/edit?usp=sharing"",""สุพรรณบุรี!S79"")+IMPORTRANGE(""https://docs.google.com/spreadsheets/d/1BmIruG_sIrJLYao_Pdr7zVArWsfoBt2692TMi6x_854/edit"&amp;"?usp=sharing"",""อ่างทอง!S79"")"),0)</f>
        <v>0</v>
      </c>
      <c r="T80" s="133">
        <f t="shared" ca="1" si="57"/>
        <v>0</v>
      </c>
      <c r="U80" s="133">
        <f t="shared" ca="1" si="58"/>
        <v>0</v>
      </c>
    </row>
    <row r="81" spans="1:21" ht="18.75" x14ac:dyDescent="0.25">
      <c r="A81" s="209"/>
      <c r="B81" s="67"/>
      <c r="C81" s="67"/>
      <c r="D81" s="67"/>
      <c r="E81" s="75" t="s">
        <v>21</v>
      </c>
      <c r="F81" s="67"/>
      <c r="G81" s="69"/>
      <c r="H81" s="221" t="s">
        <v>14</v>
      </c>
      <c r="I81" s="219"/>
      <c r="J81" s="219"/>
      <c r="K81" s="220"/>
      <c r="L81" s="88">
        <f ca="1">IFERROR(__xludf.DUMMYFUNCTION("IMPORTRANGE(""https://docs.google.com/spreadsheets/d/13wPX838HrBrQMCywv1BsuMkt4PEKTChp52zj44s2izQ/edit?usp=sharing"",""กาญจนบุรี!L80"")+IMPORTRANGE(""https://docs.google.com/spreadsheets/d/1ddFKvqj1W1NEiWytbGlB1zMx_ykJDVtmfEQ-6-lIUBA/edit?usp=sharing"","""&amp;"จันทบุรี!L80"")+IMPORTRANGE(""https://docs.google.com/spreadsheets/d/1T1PQvRODqOBZk8BRht_U031fIS1beLA0Ub2CEytj2q0/edit?usp=sharing"",""ฉะเชิงเทรา!L80"")+IMPORTRANGE(""https://docs.google.com/spreadsheets/d/11tr1B-Bhyr79v2bkwVh5h_fR-PStkgjlZtkrZpYurG0/edit"&amp;"?usp=sharing"",""ชลบุรี!L80"")+IMPORTRANGE(""https://docs.google.com/spreadsheets/d/1hh-FVnSX0vozXhGluamEcS54Dw9_zqW0N7qJUWgJ0Sw/edit?usp=sharing"",""ชัยนาท!L80"")+IMPORTRANGE(""https://docs.google.com/spreadsheets/d/1jkqa6GXxSacMcY1eN8AHjMNJ_7dDXMJVRLDla"&amp;"FSOdPM/edit?usp=sharing"",""ตราด!L80"")+IMPORTRANGE(""https://docs.google.com/spreadsheets/d/18hSgUJ3VwClqi_qtULmmW3cLr0oe3OKaSYoKzdpTsYQ/edit?usp=sharing"",""นครนายก!L80"")+IMPORTRANGE(""https://docs.google.com/spreadsheets/d/1YTZo6WM2dQ6Ix6FSdnL5P7uVnVK"&amp;"u40sxZu975tgG10E/edit?usp=sharing"",""นครปฐม!L80"")+IMPORTRANGE(""https://docs.google.com/spreadsheets/d/1OYoGg4WDg5RIzwGeB10padOxJF9E_Vljuvvct_M7RDo/edit?usp=sharing"",""ปทุมธานี!L80"")+IMPORTRANGE(""https://docs.google.com/spreadsheets/d/1GbCIE4D4wk9FUo"&amp;"zzqk7SxfDMxDVBwVmI5zcaVUSzKAc/edit?usp=sharing"",""ประจวบคีรีขันธ์!L80"")+IMPORTRANGE(""https://docs.google.com/spreadsheets/d/1vVf6wykvW_lAyu7Yo9L4hUTqHqIeP_qcVuxCtosJEbg/edit?usp=sharing"",""ปราจีนบุรี!L80"")+IMPORTRANGE(""https://docs.google.com/spread"&amp;"sheets/d/1BIDqLLg5jk3v59G8NlR8rk5xfQDKne0sAvZHSj7TI6I/edit?usp=sharing"",""พระนครศรีอยุธยา!L80"")+IMPORTRANGE(""https://docs.google.com/spreadsheets/d/1YXvxf8Yu6_rV4hTBrwMqAcAnv6DfhUxh5emyM3CJp_w/edit?usp=sharing"",""เพชรบุรี!L80"")+IMPORTRANGE(""https://"&amp;"docs.google.com/spreadsheets/d/19KBlQQs7uwvsao6t2n-KvW3Ax8J8uRRfZPq1zPbXgKc/edit?usp=sharing"",""ระยอง!L80"")+IMPORTRANGE(""https://docs.google.com/spreadsheets/d/1jQ6P4QcrGM89YfqcC_PxOHGCMq5ezhucwJd8ci-NHng/edit?usp=sharing"",""ราชบุรี!L80"")+IMPORTRANGE"&amp;"(""https://docs.google.com/spreadsheets/d/1lufeA2cfFqM-elVq2hznhDzC6Pr7wkJ9ZG_sYNGCMCU/edit?usp=sharing"",""ลพบุรี!L80"")+IMPORTRANGE(""https://docs.google.com/spreadsheets/d/10oOiF7loTyfsTkbd4MpaIm0HQ9SwB7IYHdIUvt-U1Uc/edit?usp=sharing"",""สระแก้ว!L80"")"&amp;"+IMPORTRANGE(""https://docs.google.com/spreadsheets/d/1xmPlrr1QbdSIKvl1dWUl9K4PjAfSL9oeMr_37QVzcxc/edit?usp=sharing"",""สระบุรี!L80"")+IMPORTRANGE(""https://docs.google.com/spreadsheets/d/1j51vR6CYVGhABJpv6tkstgok82RLpXieLzW1yOY5rHw/edit?usp=sharing"",""ส"&amp;"ิงห์บุรี!L80"")+IMPORTRANGE(""https://docs.google.com/spreadsheets/d/1H1EalTWKUSzO4Z1-1CwzoDUaVffgrThEBe2sl74kKG0/edit?usp=sharing"",""สุพรรณบุรี!L80"")+IMPORTRANGE(""https://docs.google.com/spreadsheets/d/1BmIruG_sIrJLYao_Pdr7zVArWsfoBt2692TMi6x_854/edit"&amp;"?usp=sharing"",""อ่างทอง!L80"")"),0)</f>
        <v>0</v>
      </c>
      <c r="M81" s="88">
        <f ca="1">IFERROR(__xludf.DUMMYFUNCTION("IMPORTRANGE(""https://docs.google.com/spreadsheets/d/13wPX838HrBrQMCywv1BsuMkt4PEKTChp52zj44s2izQ/edit?usp=sharing"",""กาญจนบุรี!M80"")+IMPORTRANGE(""https://docs.google.com/spreadsheets/d/1ddFKvqj1W1NEiWytbGlB1zMx_ykJDVtmfEQ-6-lIUBA/edit?usp=sharing"","""&amp;"จันทบุรี!M80"")+IMPORTRANGE(""https://docs.google.com/spreadsheets/d/1T1PQvRODqOBZk8BRht_U031fIS1beLA0Ub2CEytj2q0/edit?usp=sharing"",""ฉะเชิงเทรา!M80"")+IMPORTRANGE(""https://docs.google.com/spreadsheets/d/11tr1B-Bhyr79v2bkwVh5h_fR-PStkgjlZtkrZpYurG0/edit"&amp;"?usp=sharing"",""ชลบุรี!M80"")+IMPORTRANGE(""https://docs.google.com/spreadsheets/d/1hh-FVnSX0vozXhGluamEcS54Dw9_zqW0N7qJUWgJ0Sw/edit?usp=sharing"",""ชัยนาท!M80"")+IMPORTRANGE(""https://docs.google.com/spreadsheets/d/1jkqa6GXxSacMcY1eN8AHjMNJ_7dDXMJVRLDla"&amp;"FSOdPM/edit?usp=sharing"",""ตราด!M80"")+IMPORTRANGE(""https://docs.google.com/spreadsheets/d/18hSgUJ3VwClqi_qtULmmW3cLr0oe3OKaSYoKzdpTsYQ/edit?usp=sharing"",""นครนายก!M80"")+IMPORTRANGE(""https://docs.google.com/spreadsheets/d/1YTZo6WM2dQ6Ix6FSdnL5P7uVnVK"&amp;"u40sxZu975tgG10E/edit?usp=sharing"",""นครปฐม!M80"")+IMPORTRANGE(""https://docs.google.com/spreadsheets/d/1OYoGg4WDg5RIzwGeB10padOxJF9E_Vljuvvct_M7RDo/edit?usp=sharing"",""ปทุมธานี!M80"")+IMPORTRANGE(""https://docs.google.com/spreadsheets/d/1GbCIE4D4wk9FUo"&amp;"zzqk7SxfDMxDVBwVmI5zcaVUSzKAc/edit?usp=sharing"",""ประจวบคีรีขันธ์!M80"")+IMPORTRANGE(""https://docs.google.com/spreadsheets/d/1vVf6wykvW_lAyu7Yo9L4hUTqHqIeP_qcVuxCtosJEbg/edit?usp=sharing"",""ปราจีนบุรี!M80"")+IMPORTRANGE(""https://docs.google.com/spread"&amp;"sheets/d/1BIDqLLg5jk3v59G8NlR8rk5xfQDKne0sAvZHSj7TI6I/edit?usp=sharing"",""พระนครศรีอยุธยา!M80"")+IMPORTRANGE(""https://docs.google.com/spreadsheets/d/1YXvxf8Yu6_rV4hTBrwMqAcAnv6DfhUxh5emyM3CJp_w/edit?usp=sharing"",""เพชรบุรี!M80"")+IMPORTRANGE(""https://"&amp;"docs.google.com/spreadsheets/d/19KBlQQs7uwvsao6t2n-KvW3Ax8J8uRRfZPq1zPbXgKc/edit?usp=sharing"",""ระยอง!M80"")+IMPORTRANGE(""https://docs.google.com/spreadsheets/d/1jQ6P4QcrGM89YfqcC_PxOHGCMq5ezhucwJd8ci-NHng/edit?usp=sharing"",""ราชบุรี!M80"")+IMPORTRANGE"&amp;"(""https://docs.google.com/spreadsheets/d/1lufeA2cfFqM-elVq2hznhDzC6Pr7wkJ9ZG_sYNGCMCU/edit?usp=sharing"",""ลพบุรี!M80"")+IMPORTRANGE(""https://docs.google.com/spreadsheets/d/10oOiF7loTyfsTkbd4MpaIm0HQ9SwB7IYHdIUvt-U1Uc/edit?usp=sharing"",""สระแก้ว!M80"")"&amp;"+IMPORTRANGE(""https://docs.google.com/spreadsheets/d/1xmPlrr1QbdSIKvl1dWUl9K4PjAfSL9oeMr_37QVzcxc/edit?usp=sharing"",""สระบุรี!M80"")+IMPORTRANGE(""https://docs.google.com/spreadsheets/d/1j51vR6CYVGhABJpv6tkstgok82RLpXieLzW1yOY5rHw/edit?usp=sharing"",""ส"&amp;"ิงห์บุรี!M80"")+IMPORTRANGE(""https://docs.google.com/spreadsheets/d/1H1EalTWKUSzO4Z1-1CwzoDUaVffgrThEBe2sl74kKG0/edit?usp=sharing"",""สุพรรณบุรี!M80"")+IMPORTRANGE(""https://docs.google.com/spreadsheets/d/1BmIruG_sIrJLYao_Pdr7zVArWsfoBt2692TMi6x_854/edit"&amp;"?usp=sharing"",""อ่างทอง!M80"")"),0)</f>
        <v>0</v>
      </c>
      <c r="N81" s="88">
        <f ca="1">IFERROR(__xludf.DUMMYFUNCTION("IMPORTRANGE(""https://docs.google.com/spreadsheets/d/13wPX838HrBrQMCywv1BsuMkt4PEKTChp52zj44s2izQ/edit?usp=sharing"",""กาญจนบุรี!N80"")+IMPORTRANGE(""https://docs.google.com/spreadsheets/d/1ddFKvqj1W1NEiWytbGlB1zMx_ykJDVtmfEQ-6-lIUBA/edit?usp=sharing"","""&amp;"จันทบุรี!N80"")+IMPORTRANGE(""https://docs.google.com/spreadsheets/d/1T1PQvRODqOBZk8BRht_U031fIS1beLA0Ub2CEytj2q0/edit?usp=sharing"",""ฉะเชิงเทรา!N80"")+IMPORTRANGE(""https://docs.google.com/spreadsheets/d/11tr1B-Bhyr79v2bkwVh5h_fR-PStkgjlZtkrZpYurG0/edit"&amp;"?usp=sharing"",""ชลบุรี!N80"")+IMPORTRANGE(""https://docs.google.com/spreadsheets/d/1hh-FVnSX0vozXhGluamEcS54Dw9_zqW0N7qJUWgJ0Sw/edit?usp=sharing"",""ชัยนาท!N80"")+IMPORTRANGE(""https://docs.google.com/spreadsheets/d/1jkqa6GXxSacMcY1eN8AHjMNJ_7dDXMJVRLDla"&amp;"FSOdPM/edit?usp=sharing"",""ตราด!N80"")+IMPORTRANGE(""https://docs.google.com/spreadsheets/d/18hSgUJ3VwClqi_qtULmmW3cLr0oe3OKaSYoKzdpTsYQ/edit?usp=sharing"",""นครนายก!N80"")+IMPORTRANGE(""https://docs.google.com/spreadsheets/d/1YTZo6WM2dQ6Ix6FSdnL5P7uVnVK"&amp;"u40sxZu975tgG10E/edit?usp=sharing"",""นครปฐม!N80"")+IMPORTRANGE(""https://docs.google.com/spreadsheets/d/1OYoGg4WDg5RIzwGeB10padOxJF9E_Vljuvvct_M7RDo/edit?usp=sharing"",""ปทุมธานี!N80"")+IMPORTRANGE(""https://docs.google.com/spreadsheets/d/1GbCIE4D4wk9FUo"&amp;"zzqk7SxfDMxDVBwVmI5zcaVUSzKAc/edit?usp=sharing"",""ประจวบคีรีขันธ์!N80"")+IMPORTRANGE(""https://docs.google.com/spreadsheets/d/1vVf6wykvW_lAyu7Yo9L4hUTqHqIeP_qcVuxCtosJEbg/edit?usp=sharing"",""ปราจีนบุรี!N80"")+IMPORTRANGE(""https://docs.google.com/spread"&amp;"sheets/d/1BIDqLLg5jk3v59G8NlR8rk5xfQDKne0sAvZHSj7TI6I/edit?usp=sharing"",""พระนครศรีอยุธยา!N80"")+IMPORTRANGE(""https://docs.google.com/spreadsheets/d/1YXvxf8Yu6_rV4hTBrwMqAcAnv6DfhUxh5emyM3CJp_w/edit?usp=sharing"",""เพชรบุรี!N80"")+IMPORTRANGE(""https://"&amp;"docs.google.com/spreadsheets/d/19KBlQQs7uwvsao6t2n-KvW3Ax8J8uRRfZPq1zPbXgKc/edit?usp=sharing"",""ระยอง!N80"")+IMPORTRANGE(""https://docs.google.com/spreadsheets/d/1jQ6P4QcrGM89YfqcC_PxOHGCMq5ezhucwJd8ci-NHng/edit?usp=sharing"",""ราชบุรี!N80"")+IMPORTRANGE"&amp;"(""https://docs.google.com/spreadsheets/d/1lufeA2cfFqM-elVq2hznhDzC6Pr7wkJ9ZG_sYNGCMCU/edit?usp=sharing"",""ลพบุรี!N80"")+IMPORTRANGE(""https://docs.google.com/spreadsheets/d/10oOiF7loTyfsTkbd4MpaIm0HQ9SwB7IYHdIUvt-U1Uc/edit?usp=sharing"",""สระแก้ว!N80"")"&amp;"+IMPORTRANGE(""https://docs.google.com/spreadsheets/d/1xmPlrr1QbdSIKvl1dWUl9K4PjAfSL9oeMr_37QVzcxc/edit?usp=sharing"",""สระบุรี!N80"")+IMPORTRANGE(""https://docs.google.com/spreadsheets/d/1j51vR6CYVGhABJpv6tkstgok82RLpXieLzW1yOY5rHw/edit?usp=sharing"",""ส"&amp;"ิงห์บุรี!N80"")+IMPORTRANGE(""https://docs.google.com/spreadsheets/d/1H1EalTWKUSzO4Z1-1CwzoDUaVffgrThEBe2sl74kKG0/edit?usp=sharing"",""สุพรรณบุรี!N80"")+IMPORTRANGE(""https://docs.google.com/spreadsheets/d/1BmIruG_sIrJLYao_Pdr7zVArWsfoBt2692TMi6x_854/edit"&amp;"?usp=sharing"",""อ่างทอง!N80"")"),0)</f>
        <v>0</v>
      </c>
      <c r="O81" s="88">
        <f t="shared" ca="1" si="54"/>
        <v>0</v>
      </c>
      <c r="P81" s="88">
        <f t="shared" ca="1" si="55"/>
        <v>0</v>
      </c>
      <c r="Q81" s="73">
        <f ca="1">IFERROR(__xludf.DUMMYFUNCTION("IMPORTRANGE(""https://docs.google.com/spreadsheets/d/13wPX838HrBrQMCywv1BsuMkt4PEKTChp52zj44s2izQ/edit?usp=sharing"",""กาญจนบุรี!Q80"")+IMPORTRANGE(""https://docs.google.com/spreadsheets/d/1ddFKvqj1W1NEiWytbGlB1zMx_ykJDVtmfEQ-6-lIUBA/edit?usp=sharing"","""&amp;"จันทบุรี!Q80"")+IMPORTRANGE(""https://docs.google.com/spreadsheets/d/1T1PQvRODqOBZk8BRht_U031fIS1beLA0Ub2CEytj2q0/edit?usp=sharing"",""ฉะเชิงเทรา!Q80"")+IMPORTRANGE(""https://docs.google.com/spreadsheets/d/11tr1B-Bhyr79v2bkwVh5h_fR-PStkgjlZtkrZpYurG0/edit"&amp;"?usp=sharing"",""ชลบุรี!Q80"")+IMPORTRANGE(""https://docs.google.com/spreadsheets/d/1hh-FVnSX0vozXhGluamEcS54Dw9_zqW0N7qJUWgJ0Sw/edit?usp=sharing"",""ชัยนาท!Q80"")+IMPORTRANGE(""https://docs.google.com/spreadsheets/d/1jkqa6GXxSacMcY1eN8AHjMNJ_7dDXMJVRLDla"&amp;"FSOdPM/edit?usp=sharing"",""ตราด!Q80"")+IMPORTRANGE(""https://docs.google.com/spreadsheets/d/18hSgUJ3VwClqi_qtULmmW3cLr0oe3OKaSYoKzdpTsYQ/edit?usp=sharing"",""นครนายก!Q80"")+IMPORTRANGE(""https://docs.google.com/spreadsheets/d/1YTZo6WM2dQ6Ix6FSdnL5P7uVnVK"&amp;"u40sxZu975tgG10E/edit?usp=sharing"",""นครปฐม!Q80"")+IMPORTRANGE(""https://docs.google.com/spreadsheets/d/1OYoGg4WDg5RIzwGeB10padOxJF9E_Vljuvvct_M7RDo/edit?usp=sharing"",""ปทุมธานี!Q80"")+IMPORTRANGE(""https://docs.google.com/spreadsheets/d/1GbCIE4D4wk9FUo"&amp;"zzqk7SxfDMxDVBwVmI5zcaVUSzKAc/edit?usp=sharing"",""ประจวบคีรีขันธ์!Q80"")+IMPORTRANGE(""https://docs.google.com/spreadsheets/d/1vVf6wykvW_lAyu7Yo9L4hUTqHqIeP_qcVuxCtosJEbg/edit?usp=sharing"",""ปราจีนบุรี!Q80"")+IMPORTRANGE(""https://docs.google.com/spread"&amp;"sheets/d/1BIDqLLg5jk3v59G8NlR8rk5xfQDKne0sAvZHSj7TI6I/edit?usp=sharing"",""พระนครศรีอยุธยา!Q80"")+IMPORTRANGE(""https://docs.google.com/spreadsheets/d/1YXvxf8Yu6_rV4hTBrwMqAcAnv6DfhUxh5emyM3CJp_w/edit?usp=sharing"",""เพชรบุรี!Q80"")+IMPORTRANGE(""https://"&amp;"docs.google.com/spreadsheets/d/19KBlQQs7uwvsao6t2n-KvW3Ax8J8uRRfZPq1zPbXgKc/edit?usp=sharing"",""ระยอง!Q80"")+IMPORTRANGE(""https://docs.google.com/spreadsheets/d/1jQ6P4QcrGM89YfqcC_PxOHGCMq5ezhucwJd8ci-NHng/edit?usp=sharing"",""ราชบุรี!Q80"")+IMPORTRANGE"&amp;"(""https://docs.google.com/spreadsheets/d/1lufeA2cfFqM-elVq2hznhDzC6Pr7wkJ9ZG_sYNGCMCU/edit?usp=sharing"",""ลพบุรี!Q80"")+IMPORTRANGE(""https://docs.google.com/spreadsheets/d/10oOiF7loTyfsTkbd4MpaIm0HQ9SwB7IYHdIUvt-U1Uc/edit?usp=sharing"",""สระแก้ว!Q80"")"&amp;"+IMPORTRANGE(""https://docs.google.com/spreadsheets/d/1xmPlrr1QbdSIKvl1dWUl9K4PjAfSL9oeMr_37QVzcxc/edit?usp=sharing"",""สระบุรี!Q80"")+IMPORTRANGE(""https://docs.google.com/spreadsheets/d/1j51vR6CYVGhABJpv6tkstgok82RLpXieLzW1yOY5rHw/edit?usp=sharing"",""ส"&amp;"ิงห์บุรี!Q80"")+IMPORTRANGE(""https://docs.google.com/spreadsheets/d/1H1EalTWKUSzO4Z1-1CwzoDUaVffgrThEBe2sl74kKG0/edit?usp=sharing"",""สุพรรณบุรี!Q80"")+IMPORTRANGE(""https://docs.google.com/spreadsheets/d/1BmIruG_sIrJLYao_Pdr7zVArWsfoBt2692TMi6x_854/edit"&amp;"?usp=sharing"",""อ่างทอง!Q80"")"),0)</f>
        <v>0</v>
      </c>
      <c r="R81" s="74">
        <f ca="1">IFERROR(__xludf.DUMMYFUNCTION("IMPORTRANGE(""https://docs.google.com/spreadsheets/d/13wPX838HrBrQMCywv1BsuMkt4PEKTChp52zj44s2izQ/edit?usp=sharing"",""กาญจนบุรี!R80"")+IMPORTRANGE(""https://docs.google.com/spreadsheets/d/1ddFKvqj1W1NEiWytbGlB1zMx_ykJDVtmfEQ-6-lIUBA/edit?usp=sharing"","""&amp;"จันทบุรี!R80"")+IMPORTRANGE(""https://docs.google.com/spreadsheets/d/1T1PQvRODqOBZk8BRht_U031fIS1beLA0Ub2CEytj2q0/edit?usp=sharing"",""ฉะเชิงเทรา!R80"")+IMPORTRANGE(""https://docs.google.com/spreadsheets/d/11tr1B-Bhyr79v2bkwVh5h_fR-PStkgjlZtkrZpYurG0/edit"&amp;"?usp=sharing"",""ชลบุรี!R80"")+IMPORTRANGE(""https://docs.google.com/spreadsheets/d/1hh-FVnSX0vozXhGluamEcS54Dw9_zqW0N7qJUWgJ0Sw/edit?usp=sharing"",""ชัยนาท!R80"")+IMPORTRANGE(""https://docs.google.com/spreadsheets/d/1jkqa6GXxSacMcY1eN8AHjMNJ_7dDXMJVRLDla"&amp;"FSOdPM/edit?usp=sharing"",""ตราด!R80"")+IMPORTRANGE(""https://docs.google.com/spreadsheets/d/18hSgUJ3VwClqi_qtULmmW3cLr0oe3OKaSYoKzdpTsYQ/edit?usp=sharing"",""นครนายก!R80"")+IMPORTRANGE(""https://docs.google.com/spreadsheets/d/1YTZo6WM2dQ6Ix6FSdnL5P7uVnVK"&amp;"u40sxZu975tgG10E/edit?usp=sharing"",""นครปฐม!R80"")+IMPORTRANGE(""https://docs.google.com/spreadsheets/d/1OYoGg4WDg5RIzwGeB10padOxJF9E_Vljuvvct_M7RDo/edit?usp=sharing"",""ปทุมธานี!R80"")+IMPORTRANGE(""https://docs.google.com/spreadsheets/d/1GbCIE4D4wk9FUo"&amp;"zzqk7SxfDMxDVBwVmI5zcaVUSzKAc/edit?usp=sharing"",""ประจวบคีรีขันธ์!R80"")+IMPORTRANGE(""https://docs.google.com/spreadsheets/d/1vVf6wykvW_lAyu7Yo9L4hUTqHqIeP_qcVuxCtosJEbg/edit?usp=sharing"",""ปราจีนบุรี!R80"")+IMPORTRANGE(""https://docs.google.com/spread"&amp;"sheets/d/1BIDqLLg5jk3v59G8NlR8rk5xfQDKne0sAvZHSj7TI6I/edit?usp=sharing"",""พระนครศรีอยุธยา!R80"")+IMPORTRANGE(""https://docs.google.com/spreadsheets/d/1YXvxf8Yu6_rV4hTBrwMqAcAnv6DfhUxh5emyM3CJp_w/edit?usp=sharing"",""เพชรบุรี!R80"")+IMPORTRANGE(""https://"&amp;"docs.google.com/spreadsheets/d/19KBlQQs7uwvsao6t2n-KvW3Ax8J8uRRfZPq1zPbXgKc/edit?usp=sharing"",""ระยอง!R80"")+IMPORTRANGE(""https://docs.google.com/spreadsheets/d/1jQ6P4QcrGM89YfqcC_PxOHGCMq5ezhucwJd8ci-NHng/edit?usp=sharing"",""ราชบุรี!R80"")+IMPORTRANGE"&amp;"(""https://docs.google.com/spreadsheets/d/1lufeA2cfFqM-elVq2hznhDzC6Pr7wkJ9ZG_sYNGCMCU/edit?usp=sharing"",""ลพบุรี!R80"")+IMPORTRANGE(""https://docs.google.com/spreadsheets/d/10oOiF7loTyfsTkbd4MpaIm0HQ9SwB7IYHdIUvt-U1Uc/edit?usp=sharing"",""สระแก้ว!R80"")"&amp;"+IMPORTRANGE(""https://docs.google.com/spreadsheets/d/1xmPlrr1QbdSIKvl1dWUl9K4PjAfSL9oeMr_37QVzcxc/edit?usp=sharing"",""สระบุรี!R80"")+IMPORTRANGE(""https://docs.google.com/spreadsheets/d/1j51vR6CYVGhABJpv6tkstgok82RLpXieLzW1yOY5rHw/edit?usp=sharing"",""ส"&amp;"ิงห์บุรี!R80"")+IMPORTRANGE(""https://docs.google.com/spreadsheets/d/1H1EalTWKUSzO4Z1-1CwzoDUaVffgrThEBe2sl74kKG0/edit?usp=sharing"",""สุพรรณบุรี!R80"")+IMPORTRANGE(""https://docs.google.com/spreadsheets/d/1BmIruG_sIrJLYao_Pdr7zVArWsfoBt2692TMi6x_854/edit"&amp;"?usp=sharing"",""อ่างทอง!R80"")"),0)</f>
        <v>0</v>
      </c>
      <c r="S81" s="74">
        <f ca="1">IFERROR(__xludf.DUMMYFUNCTION("IMPORTRANGE(""https://docs.google.com/spreadsheets/d/13wPX838HrBrQMCywv1BsuMkt4PEKTChp52zj44s2izQ/edit?usp=sharing"",""กาญจนบุรี!S80"")+IMPORTRANGE(""https://docs.google.com/spreadsheets/d/1ddFKvqj1W1NEiWytbGlB1zMx_ykJDVtmfEQ-6-lIUBA/edit?usp=sharing"","""&amp;"จันทบุรี!S80"")+IMPORTRANGE(""https://docs.google.com/spreadsheets/d/1T1PQvRODqOBZk8BRht_U031fIS1beLA0Ub2CEytj2q0/edit?usp=sharing"",""ฉะเชิงเทรา!S80"")+IMPORTRANGE(""https://docs.google.com/spreadsheets/d/11tr1B-Bhyr79v2bkwVh5h_fR-PStkgjlZtkrZpYurG0/edit"&amp;"?usp=sharing"",""ชลบุรี!S80"")+IMPORTRANGE(""https://docs.google.com/spreadsheets/d/1hh-FVnSX0vozXhGluamEcS54Dw9_zqW0N7qJUWgJ0Sw/edit?usp=sharing"",""ชัยนาท!S80"")+IMPORTRANGE(""https://docs.google.com/spreadsheets/d/1jkqa6GXxSacMcY1eN8AHjMNJ_7dDXMJVRLDla"&amp;"FSOdPM/edit?usp=sharing"",""ตราด!S80"")+IMPORTRANGE(""https://docs.google.com/spreadsheets/d/18hSgUJ3VwClqi_qtULmmW3cLr0oe3OKaSYoKzdpTsYQ/edit?usp=sharing"",""นครนายก!S80"")+IMPORTRANGE(""https://docs.google.com/spreadsheets/d/1YTZo6WM2dQ6Ix6FSdnL5P7uVnVK"&amp;"u40sxZu975tgG10E/edit?usp=sharing"",""นครปฐม!S80"")+IMPORTRANGE(""https://docs.google.com/spreadsheets/d/1OYoGg4WDg5RIzwGeB10padOxJF9E_Vljuvvct_M7RDo/edit?usp=sharing"",""ปทุมธานี!S80"")+IMPORTRANGE(""https://docs.google.com/spreadsheets/d/1GbCIE4D4wk9FUo"&amp;"zzqk7SxfDMxDVBwVmI5zcaVUSzKAc/edit?usp=sharing"",""ประจวบคีรีขันธ์!S80"")+IMPORTRANGE(""https://docs.google.com/spreadsheets/d/1vVf6wykvW_lAyu7Yo9L4hUTqHqIeP_qcVuxCtosJEbg/edit?usp=sharing"",""ปราจีนบุรี!S80"")+IMPORTRANGE(""https://docs.google.com/spread"&amp;"sheets/d/1BIDqLLg5jk3v59G8NlR8rk5xfQDKne0sAvZHSj7TI6I/edit?usp=sharing"",""พระนครศรีอยุธยา!S80"")+IMPORTRANGE(""https://docs.google.com/spreadsheets/d/1YXvxf8Yu6_rV4hTBrwMqAcAnv6DfhUxh5emyM3CJp_w/edit?usp=sharing"",""เพชรบุรี!S80"")+IMPORTRANGE(""https://"&amp;"docs.google.com/spreadsheets/d/19KBlQQs7uwvsao6t2n-KvW3Ax8J8uRRfZPq1zPbXgKc/edit?usp=sharing"",""ระยอง!S80"")+IMPORTRANGE(""https://docs.google.com/spreadsheets/d/1jQ6P4QcrGM89YfqcC_PxOHGCMq5ezhucwJd8ci-NHng/edit?usp=sharing"",""ราชบุรี!S80"")+IMPORTRANGE"&amp;"(""https://docs.google.com/spreadsheets/d/1lufeA2cfFqM-elVq2hznhDzC6Pr7wkJ9ZG_sYNGCMCU/edit?usp=sharing"",""ลพบุรี!S80"")+IMPORTRANGE(""https://docs.google.com/spreadsheets/d/10oOiF7loTyfsTkbd4MpaIm0HQ9SwB7IYHdIUvt-U1Uc/edit?usp=sharing"",""สระแก้ว!S80"")"&amp;"+IMPORTRANGE(""https://docs.google.com/spreadsheets/d/1xmPlrr1QbdSIKvl1dWUl9K4PjAfSL9oeMr_37QVzcxc/edit?usp=sharing"",""สระบุรี!S80"")+IMPORTRANGE(""https://docs.google.com/spreadsheets/d/1j51vR6CYVGhABJpv6tkstgok82RLpXieLzW1yOY5rHw/edit?usp=sharing"",""ส"&amp;"ิงห์บุรี!S80"")+IMPORTRANGE(""https://docs.google.com/spreadsheets/d/1H1EalTWKUSzO4Z1-1CwzoDUaVffgrThEBe2sl74kKG0/edit?usp=sharing"",""สุพรรณบุรี!S80"")+IMPORTRANGE(""https://docs.google.com/spreadsheets/d/1BmIruG_sIrJLYao_Pdr7zVArWsfoBt2692TMi6x_854/edit"&amp;"?usp=sharing"",""อ่างทอง!S80"")"),0)</f>
        <v>0</v>
      </c>
      <c r="T81" s="132">
        <f t="shared" ca="1" si="57"/>
        <v>0</v>
      </c>
      <c r="U81" s="132">
        <f t="shared" ca="1" si="58"/>
        <v>0</v>
      </c>
    </row>
    <row r="82" spans="1:21" ht="19.5" x14ac:dyDescent="0.3">
      <c r="A82" s="222"/>
      <c r="B82" s="223"/>
      <c r="C82" s="210" t="s">
        <v>18</v>
      </c>
      <c r="D82" s="224" t="s">
        <v>38</v>
      </c>
      <c r="E82" s="225"/>
      <c r="F82" s="225"/>
      <c r="G82" s="226"/>
      <c r="H82" s="227"/>
      <c r="I82" s="219"/>
      <c r="J82" s="219"/>
      <c r="K82" s="220"/>
      <c r="L82" s="220"/>
      <c r="M82" s="220"/>
      <c r="N82" s="220"/>
      <c r="O82" s="220"/>
      <c r="P82" s="220"/>
      <c r="Q82" s="228"/>
      <c r="R82" s="229"/>
      <c r="S82" s="229"/>
      <c r="T82" s="229"/>
      <c r="U82" s="229"/>
    </row>
    <row r="83" spans="1:21" ht="19.5" x14ac:dyDescent="0.3">
      <c r="A83" s="222"/>
      <c r="B83" s="223"/>
      <c r="C83" s="223"/>
      <c r="D83" s="230" t="s">
        <v>39</v>
      </c>
      <c r="E83" s="231"/>
      <c r="F83" s="231"/>
      <c r="G83" s="227"/>
      <c r="H83" s="232" t="s">
        <v>34</v>
      </c>
      <c r="I83" s="233">
        <f t="shared" ref="I83:J83" ca="1" si="67">I85+I87+I89</f>
        <v>7</v>
      </c>
      <c r="J83" s="233">
        <f t="shared" ca="1" si="67"/>
        <v>0</v>
      </c>
      <c r="K83" s="234">
        <f t="shared" ref="K83:K91" ca="1" si="68">IF(I83&gt;0,J83*100/I83,0)</f>
        <v>0</v>
      </c>
      <c r="L83" s="220"/>
      <c r="M83" s="220"/>
      <c r="N83" s="220"/>
      <c r="O83" s="220"/>
      <c r="P83" s="220"/>
      <c r="Q83" s="228"/>
      <c r="R83" s="229"/>
      <c r="S83" s="229"/>
      <c r="T83" s="229"/>
      <c r="U83" s="229"/>
    </row>
    <row r="84" spans="1:21" ht="19.5" x14ac:dyDescent="0.3">
      <c r="A84" s="222"/>
      <c r="B84" s="223"/>
      <c r="C84" s="223"/>
      <c r="D84" s="223"/>
      <c r="E84" s="231"/>
      <c r="F84" s="231"/>
      <c r="G84" s="227"/>
      <c r="H84" s="232" t="s">
        <v>35</v>
      </c>
      <c r="I84" s="235">
        <f t="shared" ref="I84:J84" ca="1" si="69">I86+I88+I90</f>
        <v>304</v>
      </c>
      <c r="J84" s="233">
        <f t="shared" ca="1" si="69"/>
        <v>0</v>
      </c>
      <c r="K84" s="234">
        <f t="shared" ca="1" si="68"/>
        <v>0</v>
      </c>
      <c r="L84" s="220"/>
      <c r="M84" s="220"/>
      <c r="N84" s="220"/>
      <c r="O84" s="220"/>
      <c r="P84" s="220"/>
      <c r="Q84" s="228"/>
      <c r="R84" s="229"/>
      <c r="S84" s="229"/>
      <c r="T84" s="229"/>
      <c r="U84" s="229"/>
    </row>
    <row r="85" spans="1:21" ht="18.75" x14ac:dyDescent="0.25">
      <c r="A85" s="222"/>
      <c r="B85" s="223"/>
      <c r="C85" s="223"/>
      <c r="D85" s="223"/>
      <c r="E85" s="236" t="s">
        <v>40</v>
      </c>
      <c r="F85" s="231"/>
      <c r="G85" s="227"/>
      <c r="H85" s="237" t="s">
        <v>34</v>
      </c>
      <c r="I85" s="238">
        <f ca="1">IFERROR(__xludf.DUMMYFUNCTION("IMPORTRANGE(""https://docs.google.com/spreadsheets/d/13wPX838HrBrQMCywv1BsuMkt4PEKTChp52zj44s2izQ/edit?usp=sharing"",""กาญจนบุรี!I84"")+IMPORTRANGE(""https://docs.google.com/spreadsheets/d/1ddFKvqj1W1NEiWytbGlB1zMx_ykJDVtmfEQ-6-lIUBA/edit?usp=sharing"","""&amp;"จันทบุรี!I84"")+IMPORTRANGE(""https://docs.google.com/spreadsheets/d/1T1PQvRODqOBZk8BRht_U031fIS1beLA0Ub2CEytj2q0/edit?usp=sharing"",""ฉะเชิงเทรา!I84"")+IMPORTRANGE(""https://docs.google.com/spreadsheets/d/11tr1B-Bhyr79v2bkwVh5h_fR-PStkgjlZtkrZpYurG0/edit"&amp;"?usp=sharing"",""ชลบุรี!I84"")+IMPORTRANGE(""https://docs.google.com/spreadsheets/d/1hh-FVnSX0vozXhGluamEcS54Dw9_zqW0N7qJUWgJ0Sw/edit?usp=sharing"",""ชัยนาท!I84"")+IMPORTRANGE(""https://docs.google.com/spreadsheets/d/1jkqa6GXxSacMcY1eN8AHjMNJ_7dDXMJVRLDla"&amp;"FSOdPM/edit?usp=sharing"",""ตราด!I84"")+IMPORTRANGE(""https://docs.google.com/spreadsheets/d/18hSgUJ3VwClqi_qtULmmW3cLr0oe3OKaSYoKzdpTsYQ/edit?usp=sharing"",""นครนายก!I84"")+IMPORTRANGE(""https://docs.google.com/spreadsheets/d/1YTZo6WM2dQ6Ix6FSdnL5P7uVnVK"&amp;"u40sxZu975tgG10E/edit?usp=sharing"",""นครปฐม!I84"")+IMPORTRANGE(""https://docs.google.com/spreadsheets/d/1OYoGg4WDg5RIzwGeB10padOxJF9E_Vljuvvct_M7RDo/edit?usp=sharing"",""ปทุมธานี!I84"")+IMPORTRANGE(""https://docs.google.com/spreadsheets/d/1GbCIE4D4wk9FUo"&amp;"zzqk7SxfDMxDVBwVmI5zcaVUSzKAc/edit?usp=sharing"",""ประจวบคีรีขันธ์!I84"")+IMPORTRANGE(""https://docs.google.com/spreadsheets/d/1vVf6wykvW_lAyu7Yo9L4hUTqHqIeP_qcVuxCtosJEbg/edit?usp=sharing"",""ปราจีนบุรี!I84"")+IMPORTRANGE(""https://docs.google.com/spread"&amp;"sheets/d/1BIDqLLg5jk3v59G8NlR8rk5xfQDKne0sAvZHSj7TI6I/edit?usp=sharing"",""พระนครศรีอยุธยา!I84"")+IMPORTRANGE(""https://docs.google.com/spreadsheets/d/1YXvxf8Yu6_rV4hTBrwMqAcAnv6DfhUxh5emyM3CJp_w/edit?usp=sharing"",""เพชรบุรี!I84"")+IMPORTRANGE(""https://"&amp;"docs.google.com/spreadsheets/d/19KBlQQs7uwvsao6t2n-KvW3Ax8J8uRRfZPq1zPbXgKc/edit?usp=sharing"",""ระยอง!I84"")+IMPORTRANGE(""https://docs.google.com/spreadsheets/d/1jQ6P4QcrGM89YfqcC_PxOHGCMq5ezhucwJd8ci-NHng/edit?usp=sharing"",""ราชบุรี!I84"")+IMPORTRANGE"&amp;"(""https://docs.google.com/spreadsheets/d/1lufeA2cfFqM-elVq2hznhDzC6Pr7wkJ9ZG_sYNGCMCU/edit?usp=sharing"",""ลพบุรี!I84"")+IMPORTRANGE(""https://docs.google.com/spreadsheets/d/10oOiF7loTyfsTkbd4MpaIm0HQ9SwB7IYHdIUvt-U1Uc/edit?usp=sharing"",""สระแก้ว!I84"")"&amp;"+IMPORTRANGE(""https://docs.google.com/spreadsheets/d/1xmPlrr1QbdSIKvl1dWUl9K4PjAfSL9oeMr_37QVzcxc/edit?usp=sharing"",""สระบุรี!I84"")+IMPORTRANGE(""https://docs.google.com/spreadsheets/d/1j51vR6CYVGhABJpv6tkstgok82RLpXieLzW1yOY5rHw/edit?usp=sharing"",""ส"&amp;"ิงห์บุรี!I84"")+IMPORTRANGE(""https://docs.google.com/spreadsheets/d/1H1EalTWKUSzO4Z1-1CwzoDUaVffgrThEBe2sl74kKG0/edit?usp=sharing"",""สุพรรณบุรี!I84"")+IMPORTRANGE(""https://docs.google.com/spreadsheets/d/1BmIruG_sIrJLYao_Pdr7zVArWsfoBt2692TMi6x_854/edit"&amp;"?usp=sharing"",""อ่างทอง!I84"")"),1)</f>
        <v>1</v>
      </c>
      <c r="J85" s="239">
        <f ca="1">IFERROR(__xludf.DUMMYFUNCTION("IMPORTRANGE(""https://docs.google.com/spreadsheets/d/13wPX838HrBrQMCywv1BsuMkt4PEKTChp52zj44s2izQ/edit?usp=sharing"",""กาญจนบุรี!J84"")+IMPORTRANGE(""https://docs.google.com/spreadsheets/d/1ddFKvqj1W1NEiWytbGlB1zMx_ykJDVtmfEQ-6-lIUBA/edit?usp=sharing"","""&amp;"จันทบุรี!J84"")+IMPORTRANGE(""https://docs.google.com/spreadsheets/d/1T1PQvRODqOBZk8BRht_U031fIS1beLA0Ub2CEytj2q0/edit?usp=sharing"",""ฉะเชิงเทรา!J84"")+IMPORTRANGE(""https://docs.google.com/spreadsheets/d/11tr1B-Bhyr79v2bkwVh5h_fR-PStkgjlZtkrZpYurG0/edit"&amp;"?usp=sharing"",""ชลบุรี!J84"")+IMPORTRANGE(""https://docs.google.com/spreadsheets/d/1hh-FVnSX0vozXhGluamEcS54Dw9_zqW0N7qJUWgJ0Sw/edit?usp=sharing"",""ชัยนาท!J84"")+IMPORTRANGE(""https://docs.google.com/spreadsheets/d/1jkqa6GXxSacMcY1eN8AHjMNJ_7dDXMJVRLDla"&amp;"FSOdPM/edit?usp=sharing"",""ตราด!J84"")+IMPORTRANGE(""https://docs.google.com/spreadsheets/d/18hSgUJ3VwClqi_qtULmmW3cLr0oe3OKaSYoKzdpTsYQ/edit?usp=sharing"",""นครนายก!J84"")+IMPORTRANGE(""https://docs.google.com/spreadsheets/d/1YTZo6WM2dQ6Ix6FSdnL5P7uVnVK"&amp;"u40sxZu975tgG10E/edit?usp=sharing"",""นครปฐม!J84"")+IMPORTRANGE(""https://docs.google.com/spreadsheets/d/1OYoGg4WDg5RIzwGeB10padOxJF9E_Vljuvvct_M7RDo/edit?usp=sharing"",""ปทุมธานี!J84"")+IMPORTRANGE(""https://docs.google.com/spreadsheets/d/1GbCIE4D4wk9FUo"&amp;"zzqk7SxfDMxDVBwVmI5zcaVUSzKAc/edit?usp=sharing"",""ประจวบคีรีขันธ์!J84"")+IMPORTRANGE(""https://docs.google.com/spreadsheets/d/1vVf6wykvW_lAyu7Yo9L4hUTqHqIeP_qcVuxCtosJEbg/edit?usp=sharing"",""ปราจีนบุรี!J84"")+IMPORTRANGE(""https://docs.google.com/spread"&amp;"sheets/d/1BIDqLLg5jk3v59G8NlR8rk5xfQDKne0sAvZHSj7TI6I/edit?usp=sharing"",""พระนครศรีอยุธยา!J84"")+IMPORTRANGE(""https://docs.google.com/spreadsheets/d/1YXvxf8Yu6_rV4hTBrwMqAcAnv6DfhUxh5emyM3CJp_w/edit?usp=sharing"",""เพชรบุรี!J84"")+IMPORTRANGE(""https://"&amp;"docs.google.com/spreadsheets/d/19KBlQQs7uwvsao6t2n-KvW3Ax8J8uRRfZPq1zPbXgKc/edit?usp=sharing"",""ระยอง!J84"")+IMPORTRANGE(""https://docs.google.com/spreadsheets/d/1jQ6P4QcrGM89YfqcC_PxOHGCMq5ezhucwJd8ci-NHng/edit?usp=sharing"",""ราชบุรี!J84"")+IMPORTRANGE"&amp;"(""https://docs.google.com/spreadsheets/d/1lufeA2cfFqM-elVq2hznhDzC6Pr7wkJ9ZG_sYNGCMCU/edit?usp=sharing"",""ลพบุรี!J84"")+IMPORTRANGE(""https://docs.google.com/spreadsheets/d/10oOiF7loTyfsTkbd4MpaIm0HQ9SwB7IYHdIUvt-U1Uc/edit?usp=sharing"",""สระแก้ว!J84"")"&amp;"+IMPORTRANGE(""https://docs.google.com/spreadsheets/d/1xmPlrr1QbdSIKvl1dWUl9K4PjAfSL9oeMr_37QVzcxc/edit?usp=sharing"",""สระบุรี!J84"")+IMPORTRANGE(""https://docs.google.com/spreadsheets/d/1j51vR6CYVGhABJpv6tkstgok82RLpXieLzW1yOY5rHw/edit?usp=sharing"",""ส"&amp;"ิงห์บุรี!J84"")+IMPORTRANGE(""https://docs.google.com/spreadsheets/d/1H1EalTWKUSzO4Z1-1CwzoDUaVffgrThEBe2sl74kKG0/edit?usp=sharing"",""สุพรรณบุรี!J84"")+IMPORTRANGE(""https://docs.google.com/spreadsheets/d/1BmIruG_sIrJLYao_Pdr7zVArWsfoBt2692TMi6x_854/edit"&amp;"?usp=sharing"",""อ่างทอง!J84"")"),0)</f>
        <v>0</v>
      </c>
      <c r="K85" s="240">
        <f t="shared" ca="1" si="68"/>
        <v>0</v>
      </c>
      <c r="L85" s="220"/>
      <c r="M85" s="220"/>
      <c r="N85" s="220"/>
      <c r="O85" s="220"/>
      <c r="P85" s="220"/>
      <c r="Q85" s="228"/>
      <c r="R85" s="229"/>
      <c r="S85" s="229"/>
      <c r="T85" s="229"/>
      <c r="U85" s="229"/>
    </row>
    <row r="86" spans="1:21" ht="18.75" x14ac:dyDescent="0.25">
      <c r="A86" s="222"/>
      <c r="B86" s="223"/>
      <c r="C86" s="223"/>
      <c r="D86" s="223"/>
      <c r="E86" s="231"/>
      <c r="F86" s="231"/>
      <c r="G86" s="227"/>
      <c r="H86" s="237" t="s">
        <v>35</v>
      </c>
      <c r="I86" s="241">
        <f ca="1">IFERROR(__xludf.DUMMYFUNCTION("IMPORTRANGE(""https://docs.google.com/spreadsheets/d/13wPX838HrBrQMCywv1BsuMkt4PEKTChp52zj44s2izQ/edit?usp=sharing"",""กาญจนบุรี!I85"")+IMPORTRANGE(""https://docs.google.com/spreadsheets/d/1ddFKvqj1W1NEiWytbGlB1zMx_ykJDVtmfEQ-6-lIUBA/edit?usp=sharing"","""&amp;"จันทบุรี!I85"")+IMPORTRANGE(""https://docs.google.com/spreadsheets/d/1T1PQvRODqOBZk8BRht_U031fIS1beLA0Ub2CEytj2q0/edit?usp=sharing"",""ฉะเชิงเทรา!I85"")+IMPORTRANGE(""https://docs.google.com/spreadsheets/d/11tr1B-Bhyr79v2bkwVh5h_fR-PStkgjlZtkrZpYurG0/edit"&amp;"?usp=sharing"",""ชลบุรี!I85"")+IMPORTRANGE(""https://docs.google.com/spreadsheets/d/1hh-FVnSX0vozXhGluamEcS54Dw9_zqW0N7qJUWgJ0Sw/edit?usp=sharing"",""ชัยนาท!I85"")+IMPORTRANGE(""https://docs.google.com/spreadsheets/d/1jkqa6GXxSacMcY1eN8AHjMNJ_7dDXMJVRLDla"&amp;"FSOdPM/edit?usp=sharing"",""ตราด!I85"")+IMPORTRANGE(""https://docs.google.com/spreadsheets/d/18hSgUJ3VwClqi_qtULmmW3cLr0oe3OKaSYoKzdpTsYQ/edit?usp=sharing"",""นครนายก!I85"")+IMPORTRANGE(""https://docs.google.com/spreadsheets/d/1YTZo6WM2dQ6Ix6FSdnL5P7uVnVK"&amp;"u40sxZu975tgG10E/edit?usp=sharing"",""นครปฐม!I85"")+IMPORTRANGE(""https://docs.google.com/spreadsheets/d/1OYoGg4WDg5RIzwGeB10padOxJF9E_Vljuvvct_M7RDo/edit?usp=sharing"",""ปทุมธานี!I85"")+IMPORTRANGE(""https://docs.google.com/spreadsheets/d/1GbCIE4D4wk9FUo"&amp;"zzqk7SxfDMxDVBwVmI5zcaVUSzKAc/edit?usp=sharing"",""ประจวบคีรีขันธ์!I85"")+IMPORTRANGE(""https://docs.google.com/spreadsheets/d/1vVf6wykvW_lAyu7Yo9L4hUTqHqIeP_qcVuxCtosJEbg/edit?usp=sharing"",""ปราจีนบุรี!I85"")+IMPORTRANGE(""https://docs.google.com/spread"&amp;"sheets/d/1BIDqLLg5jk3v59G8NlR8rk5xfQDKne0sAvZHSj7TI6I/edit?usp=sharing"",""พระนครศรีอยุธยา!I85"")+IMPORTRANGE(""https://docs.google.com/spreadsheets/d/1YXvxf8Yu6_rV4hTBrwMqAcAnv6DfhUxh5emyM3CJp_w/edit?usp=sharing"",""เพชรบุรี!I85"")+IMPORTRANGE(""https://"&amp;"docs.google.com/spreadsheets/d/19KBlQQs7uwvsao6t2n-KvW3Ax8J8uRRfZPq1zPbXgKc/edit?usp=sharing"",""ระยอง!I85"")+IMPORTRANGE(""https://docs.google.com/spreadsheets/d/1jQ6P4QcrGM89YfqcC_PxOHGCMq5ezhucwJd8ci-NHng/edit?usp=sharing"",""ราชบุรี!I85"")+IMPORTRANGE"&amp;"(""https://docs.google.com/spreadsheets/d/1lufeA2cfFqM-elVq2hznhDzC6Pr7wkJ9ZG_sYNGCMCU/edit?usp=sharing"",""ลพบุรี!I85"")+IMPORTRANGE(""https://docs.google.com/spreadsheets/d/10oOiF7loTyfsTkbd4MpaIm0HQ9SwB7IYHdIUvt-U1Uc/edit?usp=sharing"",""สระแก้ว!I85"")"&amp;"+IMPORTRANGE(""https://docs.google.com/spreadsheets/d/1xmPlrr1QbdSIKvl1dWUl9K4PjAfSL9oeMr_37QVzcxc/edit?usp=sharing"",""สระบุรี!I85"")+IMPORTRANGE(""https://docs.google.com/spreadsheets/d/1j51vR6CYVGhABJpv6tkstgok82RLpXieLzW1yOY5rHw/edit?usp=sharing"",""ส"&amp;"ิงห์บุรี!I85"")+IMPORTRANGE(""https://docs.google.com/spreadsheets/d/1H1EalTWKUSzO4Z1-1CwzoDUaVffgrThEBe2sl74kKG0/edit?usp=sharing"",""สุพรรณบุรี!I85"")+IMPORTRANGE(""https://docs.google.com/spreadsheets/d/1BmIruG_sIrJLYao_Pdr7zVArWsfoBt2692TMi6x_854/edit"&amp;"?usp=sharing"",""อ่างทอง!I85"")"),50)</f>
        <v>50</v>
      </c>
      <c r="J86" s="239">
        <f ca="1">IFERROR(__xludf.DUMMYFUNCTION("IMPORTRANGE(""https://docs.google.com/spreadsheets/d/13wPX838HrBrQMCywv1BsuMkt4PEKTChp52zj44s2izQ/edit?usp=sharing"",""กาญจนบุรี!J85"")+IMPORTRANGE(""https://docs.google.com/spreadsheets/d/1ddFKvqj1W1NEiWytbGlB1zMx_ykJDVtmfEQ-6-lIUBA/edit?usp=sharing"","""&amp;"จันทบุรี!J85"")+IMPORTRANGE(""https://docs.google.com/spreadsheets/d/1T1PQvRODqOBZk8BRht_U031fIS1beLA0Ub2CEytj2q0/edit?usp=sharing"",""ฉะเชิงเทรา!J85"")+IMPORTRANGE(""https://docs.google.com/spreadsheets/d/11tr1B-Bhyr79v2bkwVh5h_fR-PStkgjlZtkrZpYurG0/edit"&amp;"?usp=sharing"",""ชลบุรี!J85"")+IMPORTRANGE(""https://docs.google.com/spreadsheets/d/1hh-FVnSX0vozXhGluamEcS54Dw9_zqW0N7qJUWgJ0Sw/edit?usp=sharing"",""ชัยนาท!J85"")+IMPORTRANGE(""https://docs.google.com/spreadsheets/d/1jkqa6GXxSacMcY1eN8AHjMNJ_7dDXMJVRLDla"&amp;"FSOdPM/edit?usp=sharing"",""ตราด!J85"")+IMPORTRANGE(""https://docs.google.com/spreadsheets/d/18hSgUJ3VwClqi_qtULmmW3cLr0oe3OKaSYoKzdpTsYQ/edit?usp=sharing"",""นครนายก!J85"")+IMPORTRANGE(""https://docs.google.com/spreadsheets/d/1YTZo6WM2dQ6Ix6FSdnL5P7uVnVK"&amp;"u40sxZu975tgG10E/edit?usp=sharing"",""นครปฐม!J85"")+IMPORTRANGE(""https://docs.google.com/spreadsheets/d/1OYoGg4WDg5RIzwGeB10padOxJF9E_Vljuvvct_M7RDo/edit?usp=sharing"",""ปทุมธานี!J85"")+IMPORTRANGE(""https://docs.google.com/spreadsheets/d/1GbCIE4D4wk9FUo"&amp;"zzqk7SxfDMxDVBwVmI5zcaVUSzKAc/edit?usp=sharing"",""ประจวบคีรีขันธ์!J85"")+IMPORTRANGE(""https://docs.google.com/spreadsheets/d/1vVf6wykvW_lAyu7Yo9L4hUTqHqIeP_qcVuxCtosJEbg/edit?usp=sharing"",""ปราจีนบุรี!J85"")+IMPORTRANGE(""https://docs.google.com/spread"&amp;"sheets/d/1BIDqLLg5jk3v59G8NlR8rk5xfQDKne0sAvZHSj7TI6I/edit?usp=sharing"",""พระนครศรีอยุธยา!J85"")+IMPORTRANGE(""https://docs.google.com/spreadsheets/d/1YXvxf8Yu6_rV4hTBrwMqAcAnv6DfhUxh5emyM3CJp_w/edit?usp=sharing"",""เพชรบุรี!J85"")+IMPORTRANGE(""https://"&amp;"docs.google.com/spreadsheets/d/19KBlQQs7uwvsao6t2n-KvW3Ax8J8uRRfZPq1zPbXgKc/edit?usp=sharing"",""ระยอง!J85"")+IMPORTRANGE(""https://docs.google.com/spreadsheets/d/1jQ6P4QcrGM89YfqcC_PxOHGCMq5ezhucwJd8ci-NHng/edit?usp=sharing"",""ราชบุรี!J85"")+IMPORTRANGE"&amp;"(""https://docs.google.com/spreadsheets/d/1lufeA2cfFqM-elVq2hznhDzC6Pr7wkJ9ZG_sYNGCMCU/edit?usp=sharing"",""ลพบุรี!J85"")+IMPORTRANGE(""https://docs.google.com/spreadsheets/d/10oOiF7loTyfsTkbd4MpaIm0HQ9SwB7IYHdIUvt-U1Uc/edit?usp=sharing"",""สระแก้ว!J85"")"&amp;"+IMPORTRANGE(""https://docs.google.com/spreadsheets/d/1xmPlrr1QbdSIKvl1dWUl9K4PjAfSL9oeMr_37QVzcxc/edit?usp=sharing"",""สระบุรี!J85"")+IMPORTRANGE(""https://docs.google.com/spreadsheets/d/1j51vR6CYVGhABJpv6tkstgok82RLpXieLzW1yOY5rHw/edit?usp=sharing"",""ส"&amp;"ิงห์บุรี!J85"")+IMPORTRANGE(""https://docs.google.com/spreadsheets/d/1H1EalTWKUSzO4Z1-1CwzoDUaVffgrThEBe2sl74kKG0/edit?usp=sharing"",""สุพรรณบุรี!J85"")+IMPORTRANGE(""https://docs.google.com/spreadsheets/d/1BmIruG_sIrJLYao_Pdr7zVArWsfoBt2692TMi6x_854/edit"&amp;"?usp=sharing"",""อ่างทอง!J85"")"),0)</f>
        <v>0</v>
      </c>
      <c r="K86" s="240">
        <f t="shared" ca="1" si="68"/>
        <v>0</v>
      </c>
      <c r="L86" s="220"/>
      <c r="M86" s="220"/>
      <c r="N86" s="220"/>
      <c r="O86" s="220"/>
      <c r="P86" s="220"/>
      <c r="Q86" s="228"/>
      <c r="R86" s="229"/>
      <c r="S86" s="229"/>
      <c r="T86" s="229"/>
      <c r="U86" s="229"/>
    </row>
    <row r="87" spans="1:21" ht="18.75" x14ac:dyDescent="0.25">
      <c r="A87" s="222"/>
      <c r="B87" s="223"/>
      <c r="C87" s="223"/>
      <c r="D87" s="223"/>
      <c r="E87" s="236" t="s">
        <v>41</v>
      </c>
      <c r="F87" s="231"/>
      <c r="G87" s="227"/>
      <c r="H87" s="237" t="s">
        <v>34</v>
      </c>
      <c r="I87" s="241">
        <f ca="1">IFERROR(__xludf.DUMMYFUNCTION("IMPORTRANGE(""https://docs.google.com/spreadsheets/d/13wPX838HrBrQMCywv1BsuMkt4PEKTChp52zj44s2izQ/edit?usp=sharing"",""กาญจนบุรี!I86"")+IMPORTRANGE(""https://docs.google.com/spreadsheets/d/1ddFKvqj1W1NEiWytbGlB1zMx_ykJDVtmfEQ-6-lIUBA/edit?usp=sharing"","""&amp;"จันทบุรี!I86"")+IMPORTRANGE(""https://docs.google.com/spreadsheets/d/1T1PQvRODqOBZk8BRht_U031fIS1beLA0Ub2CEytj2q0/edit?usp=sharing"",""ฉะเชิงเทรา!I86"")+IMPORTRANGE(""https://docs.google.com/spreadsheets/d/11tr1B-Bhyr79v2bkwVh5h_fR-PStkgjlZtkrZpYurG0/edit"&amp;"?usp=sharing"",""ชลบุรี!I86"")+IMPORTRANGE(""https://docs.google.com/spreadsheets/d/1hh-FVnSX0vozXhGluamEcS54Dw9_zqW0N7qJUWgJ0Sw/edit?usp=sharing"",""ชัยนาท!I86"")+IMPORTRANGE(""https://docs.google.com/spreadsheets/d/1jkqa6GXxSacMcY1eN8AHjMNJ_7dDXMJVRLDla"&amp;"FSOdPM/edit?usp=sharing"",""ตราด!I86"")+IMPORTRANGE(""https://docs.google.com/spreadsheets/d/18hSgUJ3VwClqi_qtULmmW3cLr0oe3OKaSYoKzdpTsYQ/edit?usp=sharing"",""นครนายก!I86"")+IMPORTRANGE(""https://docs.google.com/spreadsheets/d/1YTZo6WM2dQ6Ix6FSdnL5P7uVnVK"&amp;"u40sxZu975tgG10E/edit?usp=sharing"",""นครปฐม!I86"")+IMPORTRANGE(""https://docs.google.com/spreadsheets/d/1OYoGg4WDg5RIzwGeB10padOxJF9E_Vljuvvct_M7RDo/edit?usp=sharing"",""ปทุมธานี!I86"")+IMPORTRANGE(""https://docs.google.com/spreadsheets/d/1GbCIE4D4wk9FUo"&amp;"zzqk7SxfDMxDVBwVmI5zcaVUSzKAc/edit?usp=sharing"",""ประจวบคีรีขันธ์!I86"")+IMPORTRANGE(""https://docs.google.com/spreadsheets/d/1vVf6wykvW_lAyu7Yo9L4hUTqHqIeP_qcVuxCtosJEbg/edit?usp=sharing"",""ปราจีนบุรี!I86"")+IMPORTRANGE(""https://docs.google.com/spread"&amp;"sheets/d/1BIDqLLg5jk3v59G8NlR8rk5xfQDKne0sAvZHSj7TI6I/edit?usp=sharing"",""พระนครศรีอยุธยา!I86"")+IMPORTRANGE(""https://docs.google.com/spreadsheets/d/1YXvxf8Yu6_rV4hTBrwMqAcAnv6DfhUxh5emyM3CJp_w/edit?usp=sharing"",""เพชรบุรี!I86"")+IMPORTRANGE(""https://"&amp;"docs.google.com/spreadsheets/d/19KBlQQs7uwvsao6t2n-KvW3Ax8J8uRRfZPq1zPbXgKc/edit?usp=sharing"",""ระยอง!I86"")+IMPORTRANGE(""https://docs.google.com/spreadsheets/d/1jQ6P4QcrGM89YfqcC_PxOHGCMq5ezhucwJd8ci-NHng/edit?usp=sharing"",""ราชบุรี!I86"")+IMPORTRANGE"&amp;"(""https://docs.google.com/spreadsheets/d/1lufeA2cfFqM-elVq2hznhDzC6Pr7wkJ9ZG_sYNGCMCU/edit?usp=sharing"",""ลพบุรี!I86"")+IMPORTRANGE(""https://docs.google.com/spreadsheets/d/10oOiF7loTyfsTkbd4MpaIm0HQ9SwB7IYHdIUvt-U1Uc/edit?usp=sharing"",""สระแก้ว!I86"")"&amp;"+IMPORTRANGE(""https://docs.google.com/spreadsheets/d/1xmPlrr1QbdSIKvl1dWUl9K4PjAfSL9oeMr_37QVzcxc/edit?usp=sharing"",""สระบุรี!I86"")+IMPORTRANGE(""https://docs.google.com/spreadsheets/d/1j51vR6CYVGhABJpv6tkstgok82RLpXieLzW1yOY5rHw/edit?usp=sharing"",""ส"&amp;"ิงห์บุรี!I86"")+IMPORTRANGE(""https://docs.google.com/spreadsheets/d/1H1EalTWKUSzO4Z1-1CwzoDUaVffgrThEBe2sl74kKG0/edit?usp=sharing"",""สุพรรณบุรี!I86"")+IMPORTRANGE(""https://docs.google.com/spreadsheets/d/1BmIruG_sIrJLYao_Pdr7zVArWsfoBt2692TMi6x_854/edit"&amp;"?usp=sharing"",""อ่างทอง!I86"")"),4)</f>
        <v>4</v>
      </c>
      <c r="J87" s="239">
        <f ca="1">IFERROR(__xludf.DUMMYFUNCTION("IMPORTRANGE(""https://docs.google.com/spreadsheets/d/13wPX838HrBrQMCywv1BsuMkt4PEKTChp52zj44s2izQ/edit?usp=sharing"",""กาญจนบุรี!J86"")+IMPORTRANGE(""https://docs.google.com/spreadsheets/d/1ddFKvqj1W1NEiWytbGlB1zMx_ykJDVtmfEQ-6-lIUBA/edit?usp=sharing"","""&amp;"จันทบุรี!J86"")+IMPORTRANGE(""https://docs.google.com/spreadsheets/d/1T1PQvRODqOBZk8BRht_U031fIS1beLA0Ub2CEytj2q0/edit?usp=sharing"",""ฉะเชิงเทรา!J86"")+IMPORTRANGE(""https://docs.google.com/spreadsheets/d/11tr1B-Bhyr79v2bkwVh5h_fR-PStkgjlZtkrZpYurG0/edit"&amp;"?usp=sharing"",""ชลบุรี!J86"")+IMPORTRANGE(""https://docs.google.com/spreadsheets/d/1hh-FVnSX0vozXhGluamEcS54Dw9_zqW0N7qJUWgJ0Sw/edit?usp=sharing"",""ชัยนาท!J86"")+IMPORTRANGE(""https://docs.google.com/spreadsheets/d/1jkqa6GXxSacMcY1eN8AHjMNJ_7dDXMJVRLDla"&amp;"FSOdPM/edit?usp=sharing"",""ตราด!J86"")+IMPORTRANGE(""https://docs.google.com/spreadsheets/d/18hSgUJ3VwClqi_qtULmmW3cLr0oe3OKaSYoKzdpTsYQ/edit?usp=sharing"",""นครนายก!J86"")+IMPORTRANGE(""https://docs.google.com/spreadsheets/d/1YTZo6WM2dQ6Ix6FSdnL5P7uVnVK"&amp;"u40sxZu975tgG10E/edit?usp=sharing"",""นครปฐม!J86"")+IMPORTRANGE(""https://docs.google.com/spreadsheets/d/1OYoGg4WDg5RIzwGeB10padOxJF9E_Vljuvvct_M7RDo/edit?usp=sharing"",""ปทุมธานี!J86"")+IMPORTRANGE(""https://docs.google.com/spreadsheets/d/1GbCIE4D4wk9FUo"&amp;"zzqk7SxfDMxDVBwVmI5zcaVUSzKAc/edit?usp=sharing"",""ประจวบคีรีขันธ์!J86"")+IMPORTRANGE(""https://docs.google.com/spreadsheets/d/1vVf6wykvW_lAyu7Yo9L4hUTqHqIeP_qcVuxCtosJEbg/edit?usp=sharing"",""ปราจีนบุรี!J86"")+IMPORTRANGE(""https://docs.google.com/spread"&amp;"sheets/d/1BIDqLLg5jk3v59G8NlR8rk5xfQDKne0sAvZHSj7TI6I/edit?usp=sharing"",""พระนครศรีอยุธยา!J86"")+IMPORTRANGE(""https://docs.google.com/spreadsheets/d/1YXvxf8Yu6_rV4hTBrwMqAcAnv6DfhUxh5emyM3CJp_w/edit?usp=sharing"",""เพชรบุรี!J86"")+IMPORTRANGE(""https://"&amp;"docs.google.com/spreadsheets/d/19KBlQQs7uwvsao6t2n-KvW3Ax8J8uRRfZPq1zPbXgKc/edit?usp=sharing"",""ระยอง!J86"")+IMPORTRANGE(""https://docs.google.com/spreadsheets/d/1jQ6P4QcrGM89YfqcC_PxOHGCMq5ezhucwJd8ci-NHng/edit?usp=sharing"",""ราชบุรี!J86"")+IMPORTRANGE"&amp;"(""https://docs.google.com/spreadsheets/d/1lufeA2cfFqM-elVq2hznhDzC6Pr7wkJ9ZG_sYNGCMCU/edit?usp=sharing"",""ลพบุรี!J86"")+IMPORTRANGE(""https://docs.google.com/spreadsheets/d/10oOiF7loTyfsTkbd4MpaIm0HQ9SwB7IYHdIUvt-U1Uc/edit?usp=sharing"",""สระแก้ว!J86"")"&amp;"+IMPORTRANGE(""https://docs.google.com/spreadsheets/d/1xmPlrr1QbdSIKvl1dWUl9K4PjAfSL9oeMr_37QVzcxc/edit?usp=sharing"",""สระบุรี!J86"")+IMPORTRANGE(""https://docs.google.com/spreadsheets/d/1j51vR6CYVGhABJpv6tkstgok82RLpXieLzW1yOY5rHw/edit?usp=sharing"",""ส"&amp;"ิงห์บุรี!J86"")+IMPORTRANGE(""https://docs.google.com/spreadsheets/d/1H1EalTWKUSzO4Z1-1CwzoDUaVffgrThEBe2sl74kKG0/edit?usp=sharing"",""สุพรรณบุรี!J86"")+IMPORTRANGE(""https://docs.google.com/spreadsheets/d/1BmIruG_sIrJLYao_Pdr7zVArWsfoBt2692TMi6x_854/edit"&amp;"?usp=sharing"",""อ่างทอง!J86"")"),0)</f>
        <v>0</v>
      </c>
      <c r="K87" s="240">
        <f t="shared" ca="1" si="68"/>
        <v>0</v>
      </c>
      <c r="L87" s="220"/>
      <c r="M87" s="220"/>
      <c r="N87" s="220"/>
      <c r="O87" s="220"/>
      <c r="P87" s="220"/>
      <c r="Q87" s="228"/>
      <c r="R87" s="229"/>
      <c r="S87" s="229"/>
      <c r="T87" s="229"/>
      <c r="U87" s="229"/>
    </row>
    <row r="88" spans="1:21" ht="18.75" x14ac:dyDescent="0.25">
      <c r="A88" s="222"/>
      <c r="B88" s="223"/>
      <c r="C88" s="223"/>
      <c r="D88" s="223"/>
      <c r="E88" s="231"/>
      <c r="F88" s="231"/>
      <c r="G88" s="227"/>
      <c r="H88" s="237" t="s">
        <v>35</v>
      </c>
      <c r="I88" s="241">
        <f ca="1">IFERROR(__xludf.DUMMYFUNCTION("IMPORTRANGE(""https://docs.google.com/spreadsheets/d/13wPX838HrBrQMCywv1BsuMkt4PEKTChp52zj44s2izQ/edit?usp=sharing"",""กาญจนบุรี!I87"")+IMPORTRANGE(""https://docs.google.com/spreadsheets/d/1ddFKvqj1W1NEiWytbGlB1zMx_ykJDVtmfEQ-6-lIUBA/edit?usp=sharing"","""&amp;"จันทบุรี!I87"")+IMPORTRANGE(""https://docs.google.com/spreadsheets/d/1T1PQvRODqOBZk8BRht_U031fIS1beLA0Ub2CEytj2q0/edit?usp=sharing"",""ฉะเชิงเทรา!I87"")+IMPORTRANGE(""https://docs.google.com/spreadsheets/d/11tr1B-Bhyr79v2bkwVh5h_fR-PStkgjlZtkrZpYurG0/edit"&amp;"?usp=sharing"",""ชลบุรี!I87"")+IMPORTRANGE(""https://docs.google.com/spreadsheets/d/1hh-FVnSX0vozXhGluamEcS54Dw9_zqW0N7qJUWgJ0Sw/edit?usp=sharing"",""ชัยนาท!I87"")+IMPORTRANGE(""https://docs.google.com/spreadsheets/d/1jkqa6GXxSacMcY1eN8AHjMNJ_7dDXMJVRLDla"&amp;"FSOdPM/edit?usp=sharing"",""ตราด!I87"")+IMPORTRANGE(""https://docs.google.com/spreadsheets/d/18hSgUJ3VwClqi_qtULmmW3cLr0oe3OKaSYoKzdpTsYQ/edit?usp=sharing"",""นครนายก!I87"")+IMPORTRANGE(""https://docs.google.com/spreadsheets/d/1YTZo6WM2dQ6Ix6FSdnL5P7uVnVK"&amp;"u40sxZu975tgG10E/edit?usp=sharing"",""นครปฐม!I87"")+IMPORTRANGE(""https://docs.google.com/spreadsheets/d/1OYoGg4WDg5RIzwGeB10padOxJF9E_Vljuvvct_M7RDo/edit?usp=sharing"",""ปทุมธานี!I87"")+IMPORTRANGE(""https://docs.google.com/spreadsheets/d/1GbCIE4D4wk9FUo"&amp;"zzqk7SxfDMxDVBwVmI5zcaVUSzKAc/edit?usp=sharing"",""ประจวบคีรีขันธ์!I87"")+IMPORTRANGE(""https://docs.google.com/spreadsheets/d/1vVf6wykvW_lAyu7Yo9L4hUTqHqIeP_qcVuxCtosJEbg/edit?usp=sharing"",""ปราจีนบุรี!I87"")+IMPORTRANGE(""https://docs.google.com/spread"&amp;"sheets/d/1BIDqLLg5jk3v59G8NlR8rk5xfQDKne0sAvZHSj7TI6I/edit?usp=sharing"",""พระนครศรีอยุธยา!I87"")+IMPORTRANGE(""https://docs.google.com/spreadsheets/d/1YXvxf8Yu6_rV4hTBrwMqAcAnv6DfhUxh5emyM3CJp_w/edit?usp=sharing"",""เพชรบุรี!I87"")+IMPORTRANGE(""https://"&amp;"docs.google.com/spreadsheets/d/19KBlQQs7uwvsao6t2n-KvW3Ax8J8uRRfZPq1zPbXgKc/edit?usp=sharing"",""ระยอง!I87"")+IMPORTRANGE(""https://docs.google.com/spreadsheets/d/1jQ6P4QcrGM89YfqcC_PxOHGCMq5ezhucwJd8ci-NHng/edit?usp=sharing"",""ราชบุรี!I87"")+IMPORTRANGE"&amp;"(""https://docs.google.com/spreadsheets/d/1lufeA2cfFqM-elVq2hznhDzC6Pr7wkJ9ZG_sYNGCMCU/edit?usp=sharing"",""ลพบุรี!I87"")+IMPORTRANGE(""https://docs.google.com/spreadsheets/d/10oOiF7loTyfsTkbd4MpaIm0HQ9SwB7IYHdIUvt-U1Uc/edit?usp=sharing"",""สระแก้ว!I87"")"&amp;"+IMPORTRANGE(""https://docs.google.com/spreadsheets/d/1xmPlrr1QbdSIKvl1dWUl9K4PjAfSL9oeMr_37QVzcxc/edit?usp=sharing"",""สระบุรี!I87"")+IMPORTRANGE(""https://docs.google.com/spreadsheets/d/1j51vR6CYVGhABJpv6tkstgok82RLpXieLzW1yOY5rHw/edit?usp=sharing"",""ส"&amp;"ิงห์บุรี!I87"")+IMPORTRANGE(""https://docs.google.com/spreadsheets/d/1H1EalTWKUSzO4Z1-1CwzoDUaVffgrThEBe2sl74kKG0/edit?usp=sharing"",""สุพรรณบุรี!I87"")+IMPORTRANGE(""https://docs.google.com/spreadsheets/d/1BmIruG_sIrJLYao_Pdr7zVArWsfoBt2692TMi6x_854/edit"&amp;"?usp=sharing"",""อ่างทอง!I87"")"),134)</f>
        <v>134</v>
      </c>
      <c r="J88" s="239">
        <f ca="1">IFERROR(__xludf.DUMMYFUNCTION("IMPORTRANGE(""https://docs.google.com/spreadsheets/d/13wPX838HrBrQMCywv1BsuMkt4PEKTChp52zj44s2izQ/edit?usp=sharing"",""กาญจนบุรี!J87"")+IMPORTRANGE(""https://docs.google.com/spreadsheets/d/1ddFKvqj1W1NEiWytbGlB1zMx_ykJDVtmfEQ-6-lIUBA/edit?usp=sharing"","""&amp;"จันทบุรี!J87"")+IMPORTRANGE(""https://docs.google.com/spreadsheets/d/1T1PQvRODqOBZk8BRht_U031fIS1beLA0Ub2CEytj2q0/edit?usp=sharing"",""ฉะเชิงเทรา!J87"")+IMPORTRANGE(""https://docs.google.com/spreadsheets/d/11tr1B-Bhyr79v2bkwVh5h_fR-PStkgjlZtkrZpYurG0/edit"&amp;"?usp=sharing"",""ชลบุรี!J87"")+IMPORTRANGE(""https://docs.google.com/spreadsheets/d/1hh-FVnSX0vozXhGluamEcS54Dw9_zqW0N7qJUWgJ0Sw/edit?usp=sharing"",""ชัยนาท!J87"")+IMPORTRANGE(""https://docs.google.com/spreadsheets/d/1jkqa6GXxSacMcY1eN8AHjMNJ_7dDXMJVRLDla"&amp;"FSOdPM/edit?usp=sharing"",""ตราด!J87"")+IMPORTRANGE(""https://docs.google.com/spreadsheets/d/18hSgUJ3VwClqi_qtULmmW3cLr0oe3OKaSYoKzdpTsYQ/edit?usp=sharing"",""นครนายก!J87"")+IMPORTRANGE(""https://docs.google.com/spreadsheets/d/1YTZo6WM2dQ6Ix6FSdnL5P7uVnVK"&amp;"u40sxZu975tgG10E/edit?usp=sharing"",""นครปฐม!J87"")+IMPORTRANGE(""https://docs.google.com/spreadsheets/d/1OYoGg4WDg5RIzwGeB10padOxJF9E_Vljuvvct_M7RDo/edit?usp=sharing"",""ปทุมธานี!J87"")+IMPORTRANGE(""https://docs.google.com/spreadsheets/d/1GbCIE4D4wk9FUo"&amp;"zzqk7SxfDMxDVBwVmI5zcaVUSzKAc/edit?usp=sharing"",""ประจวบคีรีขันธ์!J87"")+IMPORTRANGE(""https://docs.google.com/spreadsheets/d/1vVf6wykvW_lAyu7Yo9L4hUTqHqIeP_qcVuxCtosJEbg/edit?usp=sharing"",""ปราจีนบุรี!J87"")+IMPORTRANGE(""https://docs.google.com/spread"&amp;"sheets/d/1BIDqLLg5jk3v59G8NlR8rk5xfQDKne0sAvZHSj7TI6I/edit?usp=sharing"",""พระนครศรีอยุธยา!J87"")+IMPORTRANGE(""https://docs.google.com/spreadsheets/d/1YXvxf8Yu6_rV4hTBrwMqAcAnv6DfhUxh5emyM3CJp_w/edit?usp=sharing"",""เพชรบุรี!J87"")+IMPORTRANGE(""https://"&amp;"docs.google.com/spreadsheets/d/19KBlQQs7uwvsao6t2n-KvW3Ax8J8uRRfZPq1zPbXgKc/edit?usp=sharing"",""ระยอง!J87"")+IMPORTRANGE(""https://docs.google.com/spreadsheets/d/1jQ6P4QcrGM89YfqcC_PxOHGCMq5ezhucwJd8ci-NHng/edit?usp=sharing"",""ราชบุรี!J87"")+IMPORTRANGE"&amp;"(""https://docs.google.com/spreadsheets/d/1lufeA2cfFqM-elVq2hznhDzC6Pr7wkJ9ZG_sYNGCMCU/edit?usp=sharing"",""ลพบุรี!J87"")+IMPORTRANGE(""https://docs.google.com/spreadsheets/d/10oOiF7loTyfsTkbd4MpaIm0HQ9SwB7IYHdIUvt-U1Uc/edit?usp=sharing"",""สระแก้ว!J87"")"&amp;"+IMPORTRANGE(""https://docs.google.com/spreadsheets/d/1xmPlrr1QbdSIKvl1dWUl9K4PjAfSL9oeMr_37QVzcxc/edit?usp=sharing"",""สระบุรี!J87"")+IMPORTRANGE(""https://docs.google.com/spreadsheets/d/1j51vR6CYVGhABJpv6tkstgok82RLpXieLzW1yOY5rHw/edit?usp=sharing"",""ส"&amp;"ิงห์บุรี!J87"")+IMPORTRANGE(""https://docs.google.com/spreadsheets/d/1H1EalTWKUSzO4Z1-1CwzoDUaVffgrThEBe2sl74kKG0/edit?usp=sharing"",""สุพรรณบุรี!J87"")+IMPORTRANGE(""https://docs.google.com/spreadsheets/d/1BmIruG_sIrJLYao_Pdr7zVArWsfoBt2692TMi6x_854/edit"&amp;"?usp=sharing"",""อ่างทอง!J87"")"),0)</f>
        <v>0</v>
      </c>
      <c r="K88" s="240">
        <f t="shared" ca="1" si="68"/>
        <v>0</v>
      </c>
      <c r="L88" s="220"/>
      <c r="M88" s="220"/>
      <c r="N88" s="220"/>
      <c r="O88" s="220"/>
      <c r="P88" s="220"/>
      <c r="Q88" s="228"/>
      <c r="R88" s="229"/>
      <c r="S88" s="229"/>
      <c r="T88" s="229"/>
      <c r="U88" s="229"/>
    </row>
    <row r="89" spans="1:21" ht="18.75" x14ac:dyDescent="0.25">
      <c r="A89" s="222"/>
      <c r="B89" s="223"/>
      <c r="C89" s="223"/>
      <c r="D89" s="223"/>
      <c r="E89" s="236" t="s">
        <v>42</v>
      </c>
      <c r="F89" s="231"/>
      <c r="G89" s="227"/>
      <c r="H89" s="237" t="s">
        <v>34</v>
      </c>
      <c r="I89" s="241">
        <f ca="1">IFERROR(__xludf.DUMMYFUNCTION("IMPORTRANGE(""https://docs.google.com/spreadsheets/d/13wPX838HrBrQMCywv1BsuMkt4PEKTChp52zj44s2izQ/edit?usp=sharing"",""กาญจนบุรี!I88"")+IMPORTRANGE(""https://docs.google.com/spreadsheets/d/1ddFKvqj1W1NEiWytbGlB1zMx_ykJDVtmfEQ-6-lIUBA/edit?usp=sharing"","""&amp;"จันทบุรี!I88"")+IMPORTRANGE(""https://docs.google.com/spreadsheets/d/1T1PQvRODqOBZk8BRht_U031fIS1beLA0Ub2CEytj2q0/edit?usp=sharing"",""ฉะเชิงเทรา!I88"")+IMPORTRANGE(""https://docs.google.com/spreadsheets/d/11tr1B-Bhyr79v2bkwVh5h_fR-PStkgjlZtkrZpYurG0/edit"&amp;"?usp=sharing"",""ชลบุรี!I88"")+IMPORTRANGE(""https://docs.google.com/spreadsheets/d/1hh-FVnSX0vozXhGluamEcS54Dw9_zqW0N7qJUWgJ0Sw/edit?usp=sharing"",""ชัยนาท!I88"")+IMPORTRANGE(""https://docs.google.com/spreadsheets/d/1jkqa6GXxSacMcY1eN8AHjMNJ_7dDXMJVRLDla"&amp;"FSOdPM/edit?usp=sharing"",""ตราด!I88"")+IMPORTRANGE(""https://docs.google.com/spreadsheets/d/18hSgUJ3VwClqi_qtULmmW3cLr0oe3OKaSYoKzdpTsYQ/edit?usp=sharing"",""นครนายก!I88"")+IMPORTRANGE(""https://docs.google.com/spreadsheets/d/1YTZo6WM2dQ6Ix6FSdnL5P7uVnVK"&amp;"u40sxZu975tgG10E/edit?usp=sharing"",""นครปฐม!I88"")+IMPORTRANGE(""https://docs.google.com/spreadsheets/d/1OYoGg4WDg5RIzwGeB10padOxJF9E_Vljuvvct_M7RDo/edit?usp=sharing"",""ปทุมธานี!I88"")+IMPORTRANGE(""https://docs.google.com/spreadsheets/d/1GbCIE4D4wk9FUo"&amp;"zzqk7SxfDMxDVBwVmI5zcaVUSzKAc/edit?usp=sharing"",""ประจวบคีรีขันธ์!I88"")+IMPORTRANGE(""https://docs.google.com/spreadsheets/d/1vVf6wykvW_lAyu7Yo9L4hUTqHqIeP_qcVuxCtosJEbg/edit?usp=sharing"",""ปราจีนบุรี!I88"")+IMPORTRANGE(""https://docs.google.com/spread"&amp;"sheets/d/1BIDqLLg5jk3v59G8NlR8rk5xfQDKne0sAvZHSj7TI6I/edit?usp=sharing"",""พระนครศรีอยุธยา!I88"")+IMPORTRANGE(""https://docs.google.com/spreadsheets/d/1YXvxf8Yu6_rV4hTBrwMqAcAnv6DfhUxh5emyM3CJp_w/edit?usp=sharing"",""เพชรบุรี!I88"")+IMPORTRANGE(""https://"&amp;"docs.google.com/spreadsheets/d/19KBlQQs7uwvsao6t2n-KvW3Ax8J8uRRfZPq1zPbXgKc/edit?usp=sharing"",""ระยอง!I88"")+IMPORTRANGE(""https://docs.google.com/spreadsheets/d/1jQ6P4QcrGM89YfqcC_PxOHGCMq5ezhucwJd8ci-NHng/edit?usp=sharing"",""ราชบุรี!I88"")+IMPORTRANGE"&amp;"(""https://docs.google.com/spreadsheets/d/1lufeA2cfFqM-elVq2hznhDzC6Pr7wkJ9ZG_sYNGCMCU/edit?usp=sharing"",""ลพบุรี!I88"")+IMPORTRANGE(""https://docs.google.com/spreadsheets/d/10oOiF7loTyfsTkbd4MpaIm0HQ9SwB7IYHdIUvt-U1Uc/edit?usp=sharing"",""สระแก้ว!I88"")"&amp;"+IMPORTRANGE(""https://docs.google.com/spreadsheets/d/1xmPlrr1QbdSIKvl1dWUl9K4PjAfSL9oeMr_37QVzcxc/edit?usp=sharing"",""สระบุรี!I88"")+IMPORTRANGE(""https://docs.google.com/spreadsheets/d/1j51vR6CYVGhABJpv6tkstgok82RLpXieLzW1yOY5rHw/edit?usp=sharing"",""ส"&amp;"ิงห์บุรี!I88"")+IMPORTRANGE(""https://docs.google.com/spreadsheets/d/1H1EalTWKUSzO4Z1-1CwzoDUaVffgrThEBe2sl74kKG0/edit?usp=sharing"",""สุพรรณบุรี!I88"")+IMPORTRANGE(""https://docs.google.com/spreadsheets/d/1BmIruG_sIrJLYao_Pdr7zVArWsfoBt2692TMi6x_854/edit"&amp;"?usp=sharing"",""อ่างทอง!I88"")"),2)</f>
        <v>2</v>
      </c>
      <c r="J89" s="239">
        <f ca="1">IFERROR(__xludf.DUMMYFUNCTION("IMPORTRANGE(""https://docs.google.com/spreadsheets/d/13wPX838HrBrQMCywv1BsuMkt4PEKTChp52zj44s2izQ/edit?usp=sharing"",""กาญจนบุรี!J88"")+IMPORTRANGE(""https://docs.google.com/spreadsheets/d/1ddFKvqj1W1NEiWytbGlB1zMx_ykJDVtmfEQ-6-lIUBA/edit?usp=sharing"","""&amp;"จันทบุรี!J88"")+IMPORTRANGE(""https://docs.google.com/spreadsheets/d/1T1PQvRODqOBZk8BRht_U031fIS1beLA0Ub2CEytj2q0/edit?usp=sharing"",""ฉะเชิงเทรา!J88"")+IMPORTRANGE(""https://docs.google.com/spreadsheets/d/11tr1B-Bhyr79v2bkwVh5h_fR-PStkgjlZtkrZpYurG0/edit"&amp;"?usp=sharing"",""ชลบุรี!J88"")+IMPORTRANGE(""https://docs.google.com/spreadsheets/d/1hh-FVnSX0vozXhGluamEcS54Dw9_zqW0N7qJUWgJ0Sw/edit?usp=sharing"",""ชัยนาท!J88"")+IMPORTRANGE(""https://docs.google.com/spreadsheets/d/1jkqa6GXxSacMcY1eN8AHjMNJ_7dDXMJVRLDla"&amp;"FSOdPM/edit?usp=sharing"",""ตราด!J88"")+IMPORTRANGE(""https://docs.google.com/spreadsheets/d/18hSgUJ3VwClqi_qtULmmW3cLr0oe3OKaSYoKzdpTsYQ/edit?usp=sharing"",""นครนายก!J88"")+IMPORTRANGE(""https://docs.google.com/spreadsheets/d/1YTZo6WM2dQ6Ix6FSdnL5P7uVnVK"&amp;"u40sxZu975tgG10E/edit?usp=sharing"",""นครปฐม!J88"")+IMPORTRANGE(""https://docs.google.com/spreadsheets/d/1OYoGg4WDg5RIzwGeB10padOxJF9E_Vljuvvct_M7RDo/edit?usp=sharing"",""ปทุมธานี!J88"")+IMPORTRANGE(""https://docs.google.com/spreadsheets/d/1GbCIE4D4wk9FUo"&amp;"zzqk7SxfDMxDVBwVmI5zcaVUSzKAc/edit?usp=sharing"",""ประจวบคีรีขันธ์!J88"")+IMPORTRANGE(""https://docs.google.com/spreadsheets/d/1vVf6wykvW_lAyu7Yo9L4hUTqHqIeP_qcVuxCtosJEbg/edit?usp=sharing"",""ปราจีนบุรี!J88"")+IMPORTRANGE(""https://docs.google.com/spread"&amp;"sheets/d/1BIDqLLg5jk3v59G8NlR8rk5xfQDKne0sAvZHSj7TI6I/edit?usp=sharing"",""พระนครศรีอยุธยา!J88"")+IMPORTRANGE(""https://docs.google.com/spreadsheets/d/1YXvxf8Yu6_rV4hTBrwMqAcAnv6DfhUxh5emyM3CJp_w/edit?usp=sharing"",""เพชรบุรี!J88"")+IMPORTRANGE(""https://"&amp;"docs.google.com/spreadsheets/d/19KBlQQs7uwvsao6t2n-KvW3Ax8J8uRRfZPq1zPbXgKc/edit?usp=sharing"",""ระยอง!J88"")+IMPORTRANGE(""https://docs.google.com/spreadsheets/d/1jQ6P4QcrGM89YfqcC_PxOHGCMq5ezhucwJd8ci-NHng/edit?usp=sharing"",""ราชบุรี!J88"")+IMPORTRANGE"&amp;"(""https://docs.google.com/spreadsheets/d/1lufeA2cfFqM-elVq2hznhDzC6Pr7wkJ9ZG_sYNGCMCU/edit?usp=sharing"",""ลพบุรี!J88"")+IMPORTRANGE(""https://docs.google.com/spreadsheets/d/10oOiF7loTyfsTkbd4MpaIm0HQ9SwB7IYHdIUvt-U1Uc/edit?usp=sharing"",""สระแก้ว!J88"")"&amp;"+IMPORTRANGE(""https://docs.google.com/spreadsheets/d/1xmPlrr1QbdSIKvl1dWUl9K4PjAfSL9oeMr_37QVzcxc/edit?usp=sharing"",""สระบุรี!J88"")+IMPORTRANGE(""https://docs.google.com/spreadsheets/d/1j51vR6CYVGhABJpv6tkstgok82RLpXieLzW1yOY5rHw/edit?usp=sharing"",""ส"&amp;"ิงห์บุรี!J88"")+IMPORTRANGE(""https://docs.google.com/spreadsheets/d/1H1EalTWKUSzO4Z1-1CwzoDUaVffgrThEBe2sl74kKG0/edit?usp=sharing"",""สุพรรณบุรี!J88"")+IMPORTRANGE(""https://docs.google.com/spreadsheets/d/1BmIruG_sIrJLYao_Pdr7zVArWsfoBt2692TMi6x_854/edit"&amp;"?usp=sharing"",""อ่างทอง!J88"")"),0)</f>
        <v>0</v>
      </c>
      <c r="K89" s="240">
        <f t="shared" ca="1" si="68"/>
        <v>0</v>
      </c>
      <c r="L89" s="220"/>
      <c r="M89" s="220"/>
      <c r="N89" s="220"/>
      <c r="O89" s="220"/>
      <c r="P89" s="220"/>
      <c r="Q89" s="228"/>
      <c r="R89" s="229"/>
      <c r="S89" s="229"/>
      <c r="T89" s="229"/>
      <c r="U89" s="229"/>
    </row>
    <row r="90" spans="1:21" ht="18.75" x14ac:dyDescent="0.25">
      <c r="A90" s="222"/>
      <c r="B90" s="223"/>
      <c r="C90" s="223"/>
      <c r="D90" s="223"/>
      <c r="E90" s="231"/>
      <c r="F90" s="231"/>
      <c r="G90" s="227"/>
      <c r="H90" s="237" t="s">
        <v>35</v>
      </c>
      <c r="I90" s="241">
        <f ca="1">IFERROR(__xludf.DUMMYFUNCTION("IMPORTRANGE(""https://docs.google.com/spreadsheets/d/13wPX838HrBrQMCywv1BsuMkt4PEKTChp52zj44s2izQ/edit?usp=sharing"",""กาญจนบุรี!I89"")+IMPORTRANGE(""https://docs.google.com/spreadsheets/d/1ddFKvqj1W1NEiWytbGlB1zMx_ykJDVtmfEQ-6-lIUBA/edit?usp=sharing"","""&amp;"จันทบุรี!I89"")+IMPORTRANGE(""https://docs.google.com/spreadsheets/d/1T1PQvRODqOBZk8BRht_U031fIS1beLA0Ub2CEytj2q0/edit?usp=sharing"",""ฉะเชิงเทรา!I89"")+IMPORTRANGE(""https://docs.google.com/spreadsheets/d/11tr1B-Bhyr79v2bkwVh5h_fR-PStkgjlZtkrZpYurG0/edit"&amp;"?usp=sharing"",""ชลบุรี!I89"")+IMPORTRANGE(""https://docs.google.com/spreadsheets/d/1hh-FVnSX0vozXhGluamEcS54Dw9_zqW0N7qJUWgJ0Sw/edit?usp=sharing"",""ชัยนาท!I89"")+IMPORTRANGE(""https://docs.google.com/spreadsheets/d/1jkqa6GXxSacMcY1eN8AHjMNJ_7dDXMJVRLDla"&amp;"FSOdPM/edit?usp=sharing"",""ตราด!I89"")+IMPORTRANGE(""https://docs.google.com/spreadsheets/d/18hSgUJ3VwClqi_qtULmmW3cLr0oe3OKaSYoKzdpTsYQ/edit?usp=sharing"",""นครนายก!I89"")+IMPORTRANGE(""https://docs.google.com/spreadsheets/d/1YTZo6WM2dQ6Ix6FSdnL5P7uVnVK"&amp;"u40sxZu975tgG10E/edit?usp=sharing"",""นครปฐม!I89"")+IMPORTRANGE(""https://docs.google.com/spreadsheets/d/1OYoGg4WDg5RIzwGeB10padOxJF9E_Vljuvvct_M7RDo/edit?usp=sharing"",""ปทุมธานี!I89"")+IMPORTRANGE(""https://docs.google.com/spreadsheets/d/1GbCIE4D4wk9FUo"&amp;"zzqk7SxfDMxDVBwVmI5zcaVUSzKAc/edit?usp=sharing"",""ประจวบคีรีขันธ์!I89"")+IMPORTRANGE(""https://docs.google.com/spreadsheets/d/1vVf6wykvW_lAyu7Yo9L4hUTqHqIeP_qcVuxCtosJEbg/edit?usp=sharing"",""ปราจีนบุรี!I89"")+IMPORTRANGE(""https://docs.google.com/spread"&amp;"sheets/d/1BIDqLLg5jk3v59G8NlR8rk5xfQDKne0sAvZHSj7TI6I/edit?usp=sharing"",""พระนครศรีอยุธยา!I89"")+IMPORTRANGE(""https://docs.google.com/spreadsheets/d/1YXvxf8Yu6_rV4hTBrwMqAcAnv6DfhUxh5emyM3CJp_w/edit?usp=sharing"",""เพชรบุรี!I89"")+IMPORTRANGE(""https://"&amp;"docs.google.com/spreadsheets/d/19KBlQQs7uwvsao6t2n-KvW3Ax8J8uRRfZPq1zPbXgKc/edit?usp=sharing"",""ระยอง!I89"")+IMPORTRANGE(""https://docs.google.com/spreadsheets/d/1jQ6P4QcrGM89YfqcC_PxOHGCMq5ezhucwJd8ci-NHng/edit?usp=sharing"",""ราชบุรี!I89"")+IMPORTRANGE"&amp;"(""https://docs.google.com/spreadsheets/d/1lufeA2cfFqM-elVq2hznhDzC6Pr7wkJ9ZG_sYNGCMCU/edit?usp=sharing"",""ลพบุรี!I89"")+IMPORTRANGE(""https://docs.google.com/spreadsheets/d/10oOiF7loTyfsTkbd4MpaIm0HQ9SwB7IYHdIUvt-U1Uc/edit?usp=sharing"",""สระแก้ว!I89"")"&amp;"+IMPORTRANGE(""https://docs.google.com/spreadsheets/d/1xmPlrr1QbdSIKvl1dWUl9K4PjAfSL9oeMr_37QVzcxc/edit?usp=sharing"",""สระบุรี!I89"")+IMPORTRANGE(""https://docs.google.com/spreadsheets/d/1j51vR6CYVGhABJpv6tkstgok82RLpXieLzW1yOY5rHw/edit?usp=sharing"",""ส"&amp;"ิงห์บุรี!I89"")+IMPORTRANGE(""https://docs.google.com/spreadsheets/d/1H1EalTWKUSzO4Z1-1CwzoDUaVffgrThEBe2sl74kKG0/edit?usp=sharing"",""สุพรรณบุรี!I89"")+IMPORTRANGE(""https://docs.google.com/spreadsheets/d/1BmIruG_sIrJLYao_Pdr7zVArWsfoBt2692TMi6x_854/edit"&amp;"?usp=sharing"",""อ่างทอง!I89"")"),120)</f>
        <v>120</v>
      </c>
      <c r="J90" s="239">
        <f ca="1">IFERROR(__xludf.DUMMYFUNCTION("IMPORTRANGE(""https://docs.google.com/spreadsheets/d/13wPX838HrBrQMCywv1BsuMkt4PEKTChp52zj44s2izQ/edit?usp=sharing"",""กาญจนบุรี!J89"")+IMPORTRANGE(""https://docs.google.com/spreadsheets/d/1ddFKvqj1W1NEiWytbGlB1zMx_ykJDVtmfEQ-6-lIUBA/edit?usp=sharing"","""&amp;"จันทบุรี!J89"")+IMPORTRANGE(""https://docs.google.com/spreadsheets/d/1T1PQvRODqOBZk8BRht_U031fIS1beLA0Ub2CEytj2q0/edit?usp=sharing"",""ฉะเชิงเทรา!J89"")+IMPORTRANGE(""https://docs.google.com/spreadsheets/d/11tr1B-Bhyr79v2bkwVh5h_fR-PStkgjlZtkrZpYurG0/edit"&amp;"?usp=sharing"",""ชลบุรี!J89"")+IMPORTRANGE(""https://docs.google.com/spreadsheets/d/1hh-FVnSX0vozXhGluamEcS54Dw9_zqW0N7qJUWgJ0Sw/edit?usp=sharing"",""ชัยนาท!J89"")+IMPORTRANGE(""https://docs.google.com/spreadsheets/d/1jkqa6GXxSacMcY1eN8AHjMNJ_7dDXMJVRLDla"&amp;"FSOdPM/edit?usp=sharing"",""ตราด!J89"")+IMPORTRANGE(""https://docs.google.com/spreadsheets/d/18hSgUJ3VwClqi_qtULmmW3cLr0oe3OKaSYoKzdpTsYQ/edit?usp=sharing"",""นครนายก!J89"")+IMPORTRANGE(""https://docs.google.com/spreadsheets/d/1YTZo6WM2dQ6Ix6FSdnL5P7uVnVK"&amp;"u40sxZu975tgG10E/edit?usp=sharing"",""นครปฐม!J89"")+IMPORTRANGE(""https://docs.google.com/spreadsheets/d/1OYoGg4WDg5RIzwGeB10padOxJF9E_Vljuvvct_M7RDo/edit?usp=sharing"",""ปทุมธานี!J89"")+IMPORTRANGE(""https://docs.google.com/spreadsheets/d/1GbCIE4D4wk9FUo"&amp;"zzqk7SxfDMxDVBwVmI5zcaVUSzKAc/edit?usp=sharing"",""ประจวบคีรีขันธ์!J89"")+IMPORTRANGE(""https://docs.google.com/spreadsheets/d/1vVf6wykvW_lAyu7Yo9L4hUTqHqIeP_qcVuxCtosJEbg/edit?usp=sharing"",""ปราจีนบุรี!J89"")+IMPORTRANGE(""https://docs.google.com/spread"&amp;"sheets/d/1BIDqLLg5jk3v59G8NlR8rk5xfQDKne0sAvZHSj7TI6I/edit?usp=sharing"",""พระนครศรีอยุธยา!J89"")+IMPORTRANGE(""https://docs.google.com/spreadsheets/d/1YXvxf8Yu6_rV4hTBrwMqAcAnv6DfhUxh5emyM3CJp_w/edit?usp=sharing"",""เพชรบุรี!J89"")+IMPORTRANGE(""https://"&amp;"docs.google.com/spreadsheets/d/19KBlQQs7uwvsao6t2n-KvW3Ax8J8uRRfZPq1zPbXgKc/edit?usp=sharing"",""ระยอง!J89"")+IMPORTRANGE(""https://docs.google.com/spreadsheets/d/1jQ6P4QcrGM89YfqcC_PxOHGCMq5ezhucwJd8ci-NHng/edit?usp=sharing"",""ราชบุรี!J89"")+IMPORTRANGE"&amp;"(""https://docs.google.com/spreadsheets/d/1lufeA2cfFqM-elVq2hznhDzC6Pr7wkJ9ZG_sYNGCMCU/edit?usp=sharing"",""ลพบุรี!J89"")+IMPORTRANGE(""https://docs.google.com/spreadsheets/d/10oOiF7loTyfsTkbd4MpaIm0HQ9SwB7IYHdIUvt-U1Uc/edit?usp=sharing"",""สระแก้ว!J89"")"&amp;"+IMPORTRANGE(""https://docs.google.com/spreadsheets/d/1xmPlrr1QbdSIKvl1dWUl9K4PjAfSL9oeMr_37QVzcxc/edit?usp=sharing"",""สระบุรี!J89"")+IMPORTRANGE(""https://docs.google.com/spreadsheets/d/1j51vR6CYVGhABJpv6tkstgok82RLpXieLzW1yOY5rHw/edit?usp=sharing"",""ส"&amp;"ิงห์บุรี!J89"")+IMPORTRANGE(""https://docs.google.com/spreadsheets/d/1H1EalTWKUSzO4Z1-1CwzoDUaVffgrThEBe2sl74kKG0/edit?usp=sharing"",""สุพรรณบุรี!J89"")+IMPORTRANGE(""https://docs.google.com/spreadsheets/d/1BmIruG_sIrJLYao_Pdr7zVArWsfoBt2692TMi6x_854/edit"&amp;"?usp=sharing"",""อ่างทอง!J89"")"),0)</f>
        <v>0</v>
      </c>
      <c r="K90" s="240">
        <f t="shared" ca="1" si="68"/>
        <v>0</v>
      </c>
      <c r="L90" s="220"/>
      <c r="M90" s="220"/>
      <c r="N90" s="220"/>
      <c r="O90" s="220"/>
      <c r="P90" s="220"/>
      <c r="Q90" s="228"/>
      <c r="R90" s="229"/>
      <c r="S90" s="229"/>
      <c r="T90" s="229"/>
      <c r="U90" s="229"/>
    </row>
    <row r="91" spans="1:21" ht="18.75" x14ac:dyDescent="0.25">
      <c r="A91" s="222"/>
      <c r="B91" s="223"/>
      <c r="C91" s="223"/>
      <c r="D91" s="230" t="s">
        <v>43</v>
      </c>
      <c r="E91" s="231"/>
      <c r="F91" s="231"/>
      <c r="G91" s="227"/>
      <c r="H91" s="242" t="s">
        <v>34</v>
      </c>
      <c r="I91" s="241">
        <f ca="1">IFERROR(__xludf.DUMMYFUNCTION("IMPORTRANGE(""https://docs.google.com/spreadsheets/d/13wPX838HrBrQMCywv1BsuMkt4PEKTChp52zj44s2izQ/edit?usp=sharing"",""กาญจนบุรี!I90"")+IMPORTRANGE(""https://docs.google.com/spreadsheets/d/1ddFKvqj1W1NEiWytbGlB1zMx_ykJDVtmfEQ-6-lIUBA/edit?usp=sharing"","""&amp;"จันทบุรี!I90"")+IMPORTRANGE(""https://docs.google.com/spreadsheets/d/1T1PQvRODqOBZk8BRht_U031fIS1beLA0Ub2CEytj2q0/edit?usp=sharing"",""ฉะเชิงเทรา!I90"")+IMPORTRANGE(""https://docs.google.com/spreadsheets/d/11tr1B-Bhyr79v2bkwVh5h_fR-PStkgjlZtkrZpYurG0/edit"&amp;"?usp=sharing"",""ชลบุรี!I90"")+IMPORTRANGE(""https://docs.google.com/spreadsheets/d/1hh-FVnSX0vozXhGluamEcS54Dw9_zqW0N7qJUWgJ0Sw/edit?usp=sharing"",""ชัยนาท!I90"")+IMPORTRANGE(""https://docs.google.com/spreadsheets/d/1jkqa6GXxSacMcY1eN8AHjMNJ_7dDXMJVRLDla"&amp;"FSOdPM/edit?usp=sharing"",""ตราด!I90"")+IMPORTRANGE(""https://docs.google.com/spreadsheets/d/18hSgUJ3VwClqi_qtULmmW3cLr0oe3OKaSYoKzdpTsYQ/edit?usp=sharing"",""นครนายก!I90"")+IMPORTRANGE(""https://docs.google.com/spreadsheets/d/1YTZo6WM2dQ6Ix6FSdnL5P7uVnVK"&amp;"u40sxZu975tgG10E/edit?usp=sharing"",""นครปฐม!I90"")+IMPORTRANGE(""https://docs.google.com/spreadsheets/d/1OYoGg4WDg5RIzwGeB10padOxJF9E_Vljuvvct_M7RDo/edit?usp=sharing"",""ปทุมธานี!I90"")+IMPORTRANGE(""https://docs.google.com/spreadsheets/d/1GbCIE4D4wk9FUo"&amp;"zzqk7SxfDMxDVBwVmI5zcaVUSzKAc/edit?usp=sharing"",""ประจวบคีรีขันธ์!I90"")+IMPORTRANGE(""https://docs.google.com/spreadsheets/d/1vVf6wykvW_lAyu7Yo9L4hUTqHqIeP_qcVuxCtosJEbg/edit?usp=sharing"",""ปราจีนบุรี!I90"")+IMPORTRANGE(""https://docs.google.com/spread"&amp;"sheets/d/1BIDqLLg5jk3v59G8NlR8rk5xfQDKne0sAvZHSj7TI6I/edit?usp=sharing"",""พระนครศรีอยุธยา!I90"")+IMPORTRANGE(""https://docs.google.com/spreadsheets/d/1YXvxf8Yu6_rV4hTBrwMqAcAnv6DfhUxh5emyM3CJp_w/edit?usp=sharing"",""เพชรบุรี!I90"")+IMPORTRANGE(""https://"&amp;"docs.google.com/spreadsheets/d/19KBlQQs7uwvsao6t2n-KvW3Ax8J8uRRfZPq1zPbXgKc/edit?usp=sharing"",""ระยอง!I90"")+IMPORTRANGE(""https://docs.google.com/spreadsheets/d/1jQ6P4QcrGM89YfqcC_PxOHGCMq5ezhucwJd8ci-NHng/edit?usp=sharing"",""ราชบุรี!I90"")+IMPORTRANGE"&amp;"(""https://docs.google.com/spreadsheets/d/1lufeA2cfFqM-elVq2hznhDzC6Pr7wkJ9ZG_sYNGCMCU/edit?usp=sharing"",""ลพบุรี!I90"")+IMPORTRANGE(""https://docs.google.com/spreadsheets/d/10oOiF7loTyfsTkbd4MpaIm0HQ9SwB7IYHdIUvt-U1Uc/edit?usp=sharing"",""สระแก้ว!I90"")"&amp;"+IMPORTRANGE(""https://docs.google.com/spreadsheets/d/1xmPlrr1QbdSIKvl1dWUl9K4PjAfSL9oeMr_37QVzcxc/edit?usp=sharing"",""สระบุรี!I90"")+IMPORTRANGE(""https://docs.google.com/spreadsheets/d/1j51vR6CYVGhABJpv6tkstgok82RLpXieLzW1yOY5rHw/edit?usp=sharing"",""ส"&amp;"ิงห์บุรี!I90"")+IMPORTRANGE(""https://docs.google.com/spreadsheets/d/1H1EalTWKUSzO4Z1-1CwzoDUaVffgrThEBe2sl74kKG0/edit?usp=sharing"",""สุพรรณบุรี!I90"")+IMPORTRANGE(""https://docs.google.com/spreadsheets/d/1BmIruG_sIrJLYao_Pdr7zVArWsfoBt2692TMi6x_854/edit"&amp;"?usp=sharing"",""อ่างทอง!I90"")"),7)</f>
        <v>7</v>
      </c>
      <c r="J91" s="239">
        <f ca="1">IFERROR(__xludf.DUMMYFUNCTION("IMPORTRANGE(""https://docs.google.com/spreadsheets/d/13wPX838HrBrQMCywv1BsuMkt4PEKTChp52zj44s2izQ/edit?usp=sharing"",""กาญจนบุรี!J90"")+IMPORTRANGE(""https://docs.google.com/spreadsheets/d/1ddFKvqj1W1NEiWytbGlB1zMx_ykJDVtmfEQ-6-lIUBA/edit?usp=sharing"","""&amp;"จันทบุรี!J90"")+IMPORTRANGE(""https://docs.google.com/spreadsheets/d/1T1PQvRODqOBZk8BRht_U031fIS1beLA0Ub2CEytj2q0/edit?usp=sharing"",""ฉะเชิงเทรา!J90"")+IMPORTRANGE(""https://docs.google.com/spreadsheets/d/11tr1B-Bhyr79v2bkwVh5h_fR-PStkgjlZtkrZpYurG0/edit"&amp;"?usp=sharing"",""ชลบุรี!J90"")+IMPORTRANGE(""https://docs.google.com/spreadsheets/d/1hh-FVnSX0vozXhGluamEcS54Dw9_zqW0N7qJUWgJ0Sw/edit?usp=sharing"",""ชัยนาท!J90"")+IMPORTRANGE(""https://docs.google.com/spreadsheets/d/1jkqa6GXxSacMcY1eN8AHjMNJ_7dDXMJVRLDla"&amp;"FSOdPM/edit?usp=sharing"",""ตราด!J90"")+IMPORTRANGE(""https://docs.google.com/spreadsheets/d/18hSgUJ3VwClqi_qtULmmW3cLr0oe3OKaSYoKzdpTsYQ/edit?usp=sharing"",""นครนายก!J90"")+IMPORTRANGE(""https://docs.google.com/spreadsheets/d/1YTZo6WM2dQ6Ix6FSdnL5P7uVnVK"&amp;"u40sxZu975tgG10E/edit?usp=sharing"",""นครปฐม!J90"")+IMPORTRANGE(""https://docs.google.com/spreadsheets/d/1OYoGg4WDg5RIzwGeB10padOxJF9E_Vljuvvct_M7RDo/edit?usp=sharing"",""ปทุมธานี!J90"")+IMPORTRANGE(""https://docs.google.com/spreadsheets/d/1GbCIE4D4wk9FUo"&amp;"zzqk7SxfDMxDVBwVmI5zcaVUSzKAc/edit?usp=sharing"",""ประจวบคีรีขันธ์!J90"")+IMPORTRANGE(""https://docs.google.com/spreadsheets/d/1vVf6wykvW_lAyu7Yo9L4hUTqHqIeP_qcVuxCtosJEbg/edit?usp=sharing"",""ปราจีนบุรี!J90"")+IMPORTRANGE(""https://docs.google.com/spread"&amp;"sheets/d/1BIDqLLg5jk3v59G8NlR8rk5xfQDKne0sAvZHSj7TI6I/edit?usp=sharing"",""พระนครศรีอยุธยา!J90"")+IMPORTRANGE(""https://docs.google.com/spreadsheets/d/1YXvxf8Yu6_rV4hTBrwMqAcAnv6DfhUxh5emyM3CJp_w/edit?usp=sharing"",""เพชรบุรี!J90"")+IMPORTRANGE(""https://"&amp;"docs.google.com/spreadsheets/d/19KBlQQs7uwvsao6t2n-KvW3Ax8J8uRRfZPq1zPbXgKc/edit?usp=sharing"",""ระยอง!J90"")+IMPORTRANGE(""https://docs.google.com/spreadsheets/d/1jQ6P4QcrGM89YfqcC_PxOHGCMq5ezhucwJd8ci-NHng/edit?usp=sharing"",""ราชบุรี!J90"")+IMPORTRANGE"&amp;"(""https://docs.google.com/spreadsheets/d/1lufeA2cfFqM-elVq2hznhDzC6Pr7wkJ9ZG_sYNGCMCU/edit?usp=sharing"",""ลพบุรี!J90"")+IMPORTRANGE(""https://docs.google.com/spreadsheets/d/10oOiF7loTyfsTkbd4MpaIm0HQ9SwB7IYHdIUvt-U1Uc/edit?usp=sharing"",""สระแก้ว!J90"")"&amp;"+IMPORTRANGE(""https://docs.google.com/spreadsheets/d/1xmPlrr1QbdSIKvl1dWUl9K4PjAfSL9oeMr_37QVzcxc/edit?usp=sharing"",""สระบุรี!J90"")+IMPORTRANGE(""https://docs.google.com/spreadsheets/d/1j51vR6CYVGhABJpv6tkstgok82RLpXieLzW1yOY5rHw/edit?usp=sharing"",""ส"&amp;"ิงห์บุรี!J90"")+IMPORTRANGE(""https://docs.google.com/spreadsheets/d/1H1EalTWKUSzO4Z1-1CwzoDUaVffgrThEBe2sl74kKG0/edit?usp=sharing"",""สุพรรณบุรี!J90"")+IMPORTRANGE(""https://docs.google.com/spreadsheets/d/1BmIruG_sIrJLYao_Pdr7zVArWsfoBt2692TMi6x_854/edit"&amp;"?usp=sharing"",""อ่างทอง!J90"")"),0)</f>
        <v>0</v>
      </c>
      <c r="K91" s="240">
        <f t="shared" ca="1" si="68"/>
        <v>0</v>
      </c>
      <c r="L91" s="220"/>
      <c r="M91" s="220"/>
      <c r="N91" s="220"/>
      <c r="O91" s="220"/>
      <c r="P91" s="220"/>
      <c r="Q91" s="228"/>
      <c r="R91" s="229"/>
      <c r="S91" s="229"/>
      <c r="T91" s="229"/>
      <c r="U91" s="229"/>
    </row>
    <row r="92" spans="1:21" ht="19.5" x14ac:dyDescent="0.3">
      <c r="A92" s="243" t="s">
        <v>44</v>
      </c>
      <c r="B92" s="244"/>
      <c r="C92" s="245"/>
      <c r="D92" s="244"/>
      <c r="E92" s="244"/>
      <c r="F92" s="244"/>
      <c r="G92" s="246"/>
      <c r="H92" s="247"/>
      <c r="I92" s="248"/>
      <c r="J92" s="248"/>
      <c r="K92" s="249"/>
      <c r="L92" s="249"/>
      <c r="M92" s="249"/>
      <c r="N92" s="249"/>
      <c r="O92" s="249"/>
      <c r="P92" s="249"/>
      <c r="Q92" s="199"/>
      <c r="R92" s="200"/>
      <c r="S92" s="200"/>
      <c r="T92" s="200"/>
      <c r="U92" s="200"/>
    </row>
    <row r="93" spans="1:21" ht="19.5" x14ac:dyDescent="0.3">
      <c r="A93" s="250"/>
      <c r="B93" s="251" t="s">
        <v>45</v>
      </c>
      <c r="C93" s="252"/>
      <c r="D93" s="253"/>
      <c r="E93" s="252"/>
      <c r="F93" s="252"/>
      <c r="G93" s="254"/>
      <c r="H93" s="255" t="s">
        <v>46</v>
      </c>
      <c r="I93" s="256">
        <f t="shared" ref="I93:J93" ca="1" si="70">I109</f>
        <v>381</v>
      </c>
      <c r="J93" s="256">
        <f t="shared" ca="1" si="70"/>
        <v>0</v>
      </c>
      <c r="K93" s="59">
        <f t="shared" ref="K93:K94" ca="1" si="71">IF(I93&gt;0,J93*100/I93,0)</f>
        <v>0</v>
      </c>
      <c r="L93" s="208"/>
      <c r="M93" s="208"/>
      <c r="N93" s="208"/>
      <c r="O93" s="208"/>
      <c r="P93" s="208"/>
      <c r="Q93" s="207"/>
      <c r="R93" s="208"/>
      <c r="S93" s="208"/>
      <c r="T93" s="208"/>
      <c r="U93" s="208"/>
    </row>
    <row r="94" spans="1:21" ht="19.5" x14ac:dyDescent="0.3">
      <c r="A94" s="250"/>
      <c r="B94" s="252"/>
      <c r="C94" s="252"/>
      <c r="D94" s="253"/>
      <c r="E94" s="252"/>
      <c r="F94" s="252"/>
      <c r="G94" s="254"/>
      <c r="H94" s="255" t="s">
        <v>35</v>
      </c>
      <c r="I94" s="256">
        <f t="shared" ref="I94:J94" ca="1" si="72">I110</f>
        <v>127</v>
      </c>
      <c r="J94" s="256">
        <f t="shared" ca="1" si="72"/>
        <v>0</v>
      </c>
      <c r="K94" s="59">
        <f t="shared" ca="1" si="71"/>
        <v>0</v>
      </c>
      <c r="L94" s="208"/>
      <c r="M94" s="208"/>
      <c r="N94" s="208"/>
      <c r="O94" s="208"/>
      <c r="P94" s="208"/>
      <c r="Q94" s="207"/>
      <c r="R94" s="208"/>
      <c r="S94" s="208"/>
      <c r="T94" s="208"/>
      <c r="U94" s="208"/>
    </row>
    <row r="95" spans="1:21" ht="19.5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264">
        <f t="shared" ref="L95:N95" ca="1" si="73">L96+L97</f>
        <v>205600</v>
      </c>
      <c r="M95" s="264">
        <f t="shared" ca="1" si="73"/>
        <v>144420</v>
      </c>
      <c r="N95" s="264">
        <f t="shared" ca="1" si="73"/>
        <v>128065.5</v>
      </c>
      <c r="O95" s="264">
        <f t="shared" ref="O95:O103" ca="1" si="74">IF(L95&gt;0,N95*100/L95,0)</f>
        <v>62.288667315175097</v>
      </c>
      <c r="P95" s="264">
        <f t="shared" ref="P95:P103" ca="1" si="75">IF(M95&gt;0,N95*100/M95,0)</f>
        <v>88.675737432488575</v>
      </c>
      <c r="Q95" s="214">
        <f t="shared" ref="Q95:S95" ca="1" si="76">Q96+Q97</f>
        <v>985954</v>
      </c>
      <c r="R95" s="215">
        <f t="shared" ca="1" si="76"/>
        <v>985954</v>
      </c>
      <c r="S95" s="215">
        <f t="shared" ca="1" si="76"/>
        <v>28860</v>
      </c>
      <c r="T95" s="215">
        <f t="shared" ref="T95:T103" ca="1" si="77">IF(Q95&gt;0,S95*100/Q95,0)</f>
        <v>2.9271142467092783</v>
      </c>
      <c r="U95" s="215">
        <f t="shared" ref="U95:U103" ca="1" si="78">IF(R95&gt;0,S95*100/R95,0)</f>
        <v>2.9271142467092783</v>
      </c>
    </row>
    <row r="96" spans="1:21" ht="18.75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7">
        <f t="shared" ref="L96:N96" ca="1" si="79">L99+L102</f>
        <v>0</v>
      </c>
      <c r="M96" s="77">
        <f t="shared" ca="1" si="79"/>
        <v>0</v>
      </c>
      <c r="N96" s="77">
        <f t="shared" ca="1" si="79"/>
        <v>0</v>
      </c>
      <c r="O96" s="77">
        <f t="shared" ca="1" si="74"/>
        <v>0</v>
      </c>
      <c r="P96" s="77">
        <f t="shared" ca="1" si="75"/>
        <v>0</v>
      </c>
      <c r="Q96" s="217">
        <f t="shared" ref="Q96:S96" ca="1" si="80">Q99+Q102</f>
        <v>0</v>
      </c>
      <c r="R96" s="133">
        <f t="shared" ca="1" si="80"/>
        <v>0</v>
      </c>
      <c r="S96" s="133">
        <f t="shared" ca="1" si="80"/>
        <v>0</v>
      </c>
      <c r="T96" s="133">
        <f t="shared" ca="1" si="77"/>
        <v>0</v>
      </c>
      <c r="U96" s="133">
        <f t="shared" ca="1" si="78"/>
        <v>0</v>
      </c>
    </row>
    <row r="97" spans="1:21" ht="18.75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4">
        <f t="shared" ref="L97:N97" ca="1" si="81">L100+L103</f>
        <v>205600</v>
      </c>
      <c r="M97" s="74">
        <f t="shared" ca="1" si="81"/>
        <v>144420</v>
      </c>
      <c r="N97" s="74">
        <f t="shared" ca="1" si="81"/>
        <v>128065.5</v>
      </c>
      <c r="O97" s="74">
        <f t="shared" ca="1" si="74"/>
        <v>62.288667315175097</v>
      </c>
      <c r="P97" s="74">
        <f t="shared" ca="1" si="75"/>
        <v>88.675737432488575</v>
      </c>
      <c r="Q97" s="131">
        <f t="shared" ref="Q97:S97" ca="1" si="82">Q100+Q103</f>
        <v>985954</v>
      </c>
      <c r="R97" s="132">
        <f t="shared" ca="1" si="82"/>
        <v>985954</v>
      </c>
      <c r="S97" s="132">
        <f t="shared" ca="1" si="82"/>
        <v>28860</v>
      </c>
      <c r="T97" s="132">
        <f t="shared" ca="1" si="77"/>
        <v>2.9271142467092783</v>
      </c>
      <c r="U97" s="132">
        <f t="shared" ca="1" si="78"/>
        <v>2.9271142467092783</v>
      </c>
    </row>
    <row r="98" spans="1:21" ht="18.75" x14ac:dyDescent="0.25">
      <c r="A98" s="257"/>
      <c r="B98" s="269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4">
        <f t="shared" ref="L98:N98" ca="1" si="83">L99+L100</f>
        <v>205600</v>
      </c>
      <c r="M98" s="74">
        <f t="shared" ca="1" si="83"/>
        <v>144420</v>
      </c>
      <c r="N98" s="74">
        <f t="shared" ca="1" si="83"/>
        <v>128065.5</v>
      </c>
      <c r="O98" s="74">
        <f t="shared" ca="1" si="74"/>
        <v>62.288667315175097</v>
      </c>
      <c r="P98" s="74">
        <f t="shared" ca="1" si="75"/>
        <v>88.675737432488575</v>
      </c>
      <c r="Q98" s="131">
        <f t="shared" ref="Q98:S98" ca="1" si="84">Q99+Q100</f>
        <v>985954</v>
      </c>
      <c r="R98" s="132">
        <f t="shared" ca="1" si="84"/>
        <v>985954</v>
      </c>
      <c r="S98" s="132">
        <f t="shared" ca="1" si="84"/>
        <v>28860</v>
      </c>
      <c r="T98" s="132">
        <f t="shared" ca="1" si="77"/>
        <v>2.9271142467092783</v>
      </c>
      <c r="U98" s="132">
        <f t="shared" ca="1" si="78"/>
        <v>2.9271142467092783</v>
      </c>
    </row>
    <row r="99" spans="1:21" ht="18.75" x14ac:dyDescent="0.25">
      <c r="A99" s="257"/>
      <c r="B99" s="269"/>
      <c r="C99" s="269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7">
        <f ca="1">IFERROR(__xludf.DUMMYFUNCTION("IMPORTRANGE(""https://docs.google.com/spreadsheets/d/13wPX838HrBrQMCywv1BsuMkt4PEKTChp52zj44s2izQ/edit?usp=sharing"",""กาญจนบุรี!L98"")+IMPORTRANGE(""https://docs.google.com/spreadsheets/d/1ddFKvqj1W1NEiWytbGlB1zMx_ykJDVtmfEQ-6-lIUBA/edit?usp=sharing"","""&amp;"จันทบุรี!L98"")+IMPORTRANGE(""https://docs.google.com/spreadsheets/d/1T1PQvRODqOBZk8BRht_U031fIS1beLA0Ub2CEytj2q0/edit?usp=sharing"",""ฉะเชิงเทรา!L98"")+IMPORTRANGE(""https://docs.google.com/spreadsheets/d/11tr1B-Bhyr79v2bkwVh5h_fR-PStkgjlZtkrZpYurG0/edit"&amp;"?usp=sharing"",""ชลบุรี!L98"")+IMPORTRANGE(""https://docs.google.com/spreadsheets/d/1hh-FVnSX0vozXhGluamEcS54Dw9_zqW0N7qJUWgJ0Sw/edit?usp=sharing"",""ชัยนาท!L98"")+IMPORTRANGE(""https://docs.google.com/spreadsheets/d/1jkqa6GXxSacMcY1eN8AHjMNJ_7dDXMJVRLDla"&amp;"FSOdPM/edit?usp=sharing"",""ตราด!L98"")+IMPORTRANGE(""https://docs.google.com/spreadsheets/d/18hSgUJ3VwClqi_qtULmmW3cLr0oe3OKaSYoKzdpTsYQ/edit?usp=sharing"",""นครนายก!L98"")+IMPORTRANGE(""https://docs.google.com/spreadsheets/d/1YTZo6WM2dQ6Ix6FSdnL5P7uVnVK"&amp;"u40sxZu975tgG10E/edit?usp=sharing"",""นครปฐม!L98"")+IMPORTRANGE(""https://docs.google.com/spreadsheets/d/1OYoGg4WDg5RIzwGeB10padOxJF9E_Vljuvvct_M7RDo/edit?usp=sharing"",""ปทุมธานี!L98"")+IMPORTRANGE(""https://docs.google.com/spreadsheets/d/1GbCIE4D4wk9FUo"&amp;"zzqk7SxfDMxDVBwVmI5zcaVUSzKAc/edit?usp=sharing"",""ประจวบคีรีขันธ์!L98"")+IMPORTRANGE(""https://docs.google.com/spreadsheets/d/1vVf6wykvW_lAyu7Yo9L4hUTqHqIeP_qcVuxCtosJEbg/edit?usp=sharing"",""ปราจีนบุรี!L98"")+IMPORTRANGE(""https://docs.google.com/spread"&amp;"sheets/d/1BIDqLLg5jk3v59G8NlR8rk5xfQDKne0sAvZHSj7TI6I/edit?usp=sharing"",""พระนครศรีอยุธยา!L98"")+IMPORTRANGE(""https://docs.google.com/spreadsheets/d/1YXvxf8Yu6_rV4hTBrwMqAcAnv6DfhUxh5emyM3CJp_w/edit?usp=sharing"",""เพชรบุรี!L98"")+IMPORTRANGE(""https://"&amp;"docs.google.com/spreadsheets/d/19KBlQQs7uwvsao6t2n-KvW3Ax8J8uRRfZPq1zPbXgKc/edit?usp=sharing"",""ระยอง!L98"")+IMPORTRANGE(""https://docs.google.com/spreadsheets/d/1jQ6P4QcrGM89YfqcC_PxOHGCMq5ezhucwJd8ci-NHng/edit?usp=sharing"",""ราชบุรี!L98"")+IMPORTRANGE"&amp;"(""https://docs.google.com/spreadsheets/d/1lufeA2cfFqM-elVq2hznhDzC6Pr7wkJ9ZG_sYNGCMCU/edit?usp=sharing"",""ลพบุรี!L98"")+IMPORTRANGE(""https://docs.google.com/spreadsheets/d/10oOiF7loTyfsTkbd4MpaIm0HQ9SwB7IYHdIUvt-U1Uc/edit?usp=sharing"",""สระแก้ว!L98"")"&amp;"+IMPORTRANGE(""https://docs.google.com/spreadsheets/d/1xmPlrr1QbdSIKvl1dWUl9K4PjAfSL9oeMr_37QVzcxc/edit?usp=sharing"",""สระบุรี!L98"")+IMPORTRANGE(""https://docs.google.com/spreadsheets/d/1j51vR6CYVGhABJpv6tkstgok82RLpXieLzW1yOY5rHw/edit?usp=sharing"",""ส"&amp;"ิงห์บุรี!L98"")+IMPORTRANGE(""https://docs.google.com/spreadsheets/d/1H1EalTWKUSzO4Z1-1CwzoDUaVffgrThEBe2sl74kKG0/edit?usp=sharing"",""สุพรรณบุรี!L98"")+IMPORTRANGE(""https://docs.google.com/spreadsheets/d/1BmIruG_sIrJLYao_Pdr7zVArWsfoBt2692TMi6x_854/edit"&amp;"?usp=sharing"",""อ่างทอง!L98"")"),0)</f>
        <v>0</v>
      </c>
      <c r="M99" s="77">
        <f ca="1">IFERROR(__xludf.DUMMYFUNCTION("IMPORTRANGE(""https://docs.google.com/spreadsheets/d/13wPX838HrBrQMCywv1BsuMkt4PEKTChp52zj44s2izQ/edit?usp=sharing"",""กาญจนบุรี!M98"")+IMPORTRANGE(""https://docs.google.com/spreadsheets/d/1ddFKvqj1W1NEiWytbGlB1zMx_ykJDVtmfEQ-6-lIUBA/edit?usp=sharing"","""&amp;"จันทบุรี!M98"")+IMPORTRANGE(""https://docs.google.com/spreadsheets/d/1T1PQvRODqOBZk8BRht_U031fIS1beLA0Ub2CEytj2q0/edit?usp=sharing"",""ฉะเชิงเทรา!M98"")+IMPORTRANGE(""https://docs.google.com/spreadsheets/d/11tr1B-Bhyr79v2bkwVh5h_fR-PStkgjlZtkrZpYurG0/edit"&amp;"?usp=sharing"",""ชลบุรี!M98"")+IMPORTRANGE(""https://docs.google.com/spreadsheets/d/1hh-FVnSX0vozXhGluamEcS54Dw9_zqW0N7qJUWgJ0Sw/edit?usp=sharing"",""ชัยนาท!M98"")+IMPORTRANGE(""https://docs.google.com/spreadsheets/d/1jkqa6GXxSacMcY1eN8AHjMNJ_7dDXMJVRLDla"&amp;"FSOdPM/edit?usp=sharing"",""ตราด!M98"")+IMPORTRANGE(""https://docs.google.com/spreadsheets/d/18hSgUJ3VwClqi_qtULmmW3cLr0oe3OKaSYoKzdpTsYQ/edit?usp=sharing"",""นครนายก!M98"")+IMPORTRANGE(""https://docs.google.com/spreadsheets/d/1YTZo6WM2dQ6Ix6FSdnL5P7uVnVK"&amp;"u40sxZu975tgG10E/edit?usp=sharing"",""นครปฐม!M98"")+IMPORTRANGE(""https://docs.google.com/spreadsheets/d/1OYoGg4WDg5RIzwGeB10padOxJF9E_Vljuvvct_M7RDo/edit?usp=sharing"",""ปทุมธานี!M98"")+IMPORTRANGE(""https://docs.google.com/spreadsheets/d/1GbCIE4D4wk9FUo"&amp;"zzqk7SxfDMxDVBwVmI5zcaVUSzKAc/edit?usp=sharing"",""ประจวบคีรีขันธ์!M98"")+IMPORTRANGE(""https://docs.google.com/spreadsheets/d/1vVf6wykvW_lAyu7Yo9L4hUTqHqIeP_qcVuxCtosJEbg/edit?usp=sharing"",""ปราจีนบุรี!M98"")+IMPORTRANGE(""https://docs.google.com/spread"&amp;"sheets/d/1BIDqLLg5jk3v59G8NlR8rk5xfQDKne0sAvZHSj7TI6I/edit?usp=sharing"",""พระนครศรีอยุธยา!M98"")+IMPORTRANGE(""https://docs.google.com/spreadsheets/d/1YXvxf8Yu6_rV4hTBrwMqAcAnv6DfhUxh5emyM3CJp_w/edit?usp=sharing"",""เพชรบุรี!M98"")+IMPORTRANGE(""https://"&amp;"docs.google.com/spreadsheets/d/19KBlQQs7uwvsao6t2n-KvW3Ax8J8uRRfZPq1zPbXgKc/edit?usp=sharing"",""ระยอง!M98"")+IMPORTRANGE(""https://docs.google.com/spreadsheets/d/1jQ6P4QcrGM89YfqcC_PxOHGCMq5ezhucwJd8ci-NHng/edit?usp=sharing"",""ราชบุรี!M98"")+IMPORTRANGE"&amp;"(""https://docs.google.com/spreadsheets/d/1lufeA2cfFqM-elVq2hznhDzC6Pr7wkJ9ZG_sYNGCMCU/edit?usp=sharing"",""ลพบุรี!M98"")+IMPORTRANGE(""https://docs.google.com/spreadsheets/d/10oOiF7loTyfsTkbd4MpaIm0HQ9SwB7IYHdIUvt-U1Uc/edit?usp=sharing"",""สระแก้ว!M98"")"&amp;"+IMPORTRANGE(""https://docs.google.com/spreadsheets/d/1xmPlrr1QbdSIKvl1dWUl9K4PjAfSL9oeMr_37QVzcxc/edit?usp=sharing"",""สระบุรี!M98"")+IMPORTRANGE(""https://docs.google.com/spreadsheets/d/1j51vR6CYVGhABJpv6tkstgok82RLpXieLzW1yOY5rHw/edit?usp=sharing"",""ส"&amp;"ิงห์บุรี!M98"")+IMPORTRANGE(""https://docs.google.com/spreadsheets/d/1H1EalTWKUSzO4Z1-1CwzoDUaVffgrThEBe2sl74kKG0/edit?usp=sharing"",""สุพรรณบุรี!M98"")+IMPORTRANGE(""https://docs.google.com/spreadsheets/d/1BmIruG_sIrJLYao_Pdr7zVArWsfoBt2692TMi6x_854/edit"&amp;"?usp=sharing"",""อ่างทอง!M98"")"),0)</f>
        <v>0</v>
      </c>
      <c r="N99" s="77">
        <f ca="1">IFERROR(__xludf.DUMMYFUNCTION("IMPORTRANGE(""https://docs.google.com/spreadsheets/d/13wPX838HrBrQMCywv1BsuMkt4PEKTChp52zj44s2izQ/edit?usp=sharing"",""กาญจนบุรี!N98"")+IMPORTRANGE(""https://docs.google.com/spreadsheets/d/1ddFKvqj1W1NEiWytbGlB1zMx_ykJDVtmfEQ-6-lIUBA/edit?usp=sharing"","""&amp;"จันทบุรี!N98"")+IMPORTRANGE(""https://docs.google.com/spreadsheets/d/1T1PQvRODqOBZk8BRht_U031fIS1beLA0Ub2CEytj2q0/edit?usp=sharing"",""ฉะเชิงเทรา!N98"")+IMPORTRANGE(""https://docs.google.com/spreadsheets/d/11tr1B-Bhyr79v2bkwVh5h_fR-PStkgjlZtkrZpYurG0/edit"&amp;"?usp=sharing"",""ชลบุรี!N98"")+IMPORTRANGE(""https://docs.google.com/spreadsheets/d/1hh-FVnSX0vozXhGluamEcS54Dw9_zqW0N7qJUWgJ0Sw/edit?usp=sharing"",""ชัยนาท!N98"")+IMPORTRANGE(""https://docs.google.com/spreadsheets/d/1jkqa6GXxSacMcY1eN8AHjMNJ_7dDXMJVRLDla"&amp;"FSOdPM/edit?usp=sharing"",""ตราด!N98"")+IMPORTRANGE(""https://docs.google.com/spreadsheets/d/18hSgUJ3VwClqi_qtULmmW3cLr0oe3OKaSYoKzdpTsYQ/edit?usp=sharing"",""นครนายก!N98"")+IMPORTRANGE(""https://docs.google.com/spreadsheets/d/1YTZo6WM2dQ6Ix6FSdnL5P7uVnVK"&amp;"u40sxZu975tgG10E/edit?usp=sharing"",""นครปฐม!N98"")+IMPORTRANGE(""https://docs.google.com/spreadsheets/d/1OYoGg4WDg5RIzwGeB10padOxJF9E_Vljuvvct_M7RDo/edit?usp=sharing"",""ปทุมธานี!N98"")+IMPORTRANGE(""https://docs.google.com/spreadsheets/d/1GbCIE4D4wk9FUo"&amp;"zzqk7SxfDMxDVBwVmI5zcaVUSzKAc/edit?usp=sharing"",""ประจวบคีรีขันธ์!N98"")+IMPORTRANGE(""https://docs.google.com/spreadsheets/d/1vVf6wykvW_lAyu7Yo9L4hUTqHqIeP_qcVuxCtosJEbg/edit?usp=sharing"",""ปราจีนบุรี!N98"")+IMPORTRANGE(""https://docs.google.com/spread"&amp;"sheets/d/1BIDqLLg5jk3v59G8NlR8rk5xfQDKne0sAvZHSj7TI6I/edit?usp=sharing"",""พระนครศรีอยุธยา!N98"")+IMPORTRANGE(""https://docs.google.com/spreadsheets/d/1YXvxf8Yu6_rV4hTBrwMqAcAnv6DfhUxh5emyM3CJp_w/edit?usp=sharing"",""เพชรบุรี!N98"")+IMPORTRANGE(""https://"&amp;"docs.google.com/spreadsheets/d/19KBlQQs7uwvsao6t2n-KvW3Ax8J8uRRfZPq1zPbXgKc/edit?usp=sharing"",""ระยอง!N98"")+IMPORTRANGE(""https://docs.google.com/spreadsheets/d/1jQ6P4QcrGM89YfqcC_PxOHGCMq5ezhucwJd8ci-NHng/edit?usp=sharing"",""ราชบุรี!N98"")+IMPORTRANGE"&amp;"(""https://docs.google.com/spreadsheets/d/1lufeA2cfFqM-elVq2hznhDzC6Pr7wkJ9ZG_sYNGCMCU/edit?usp=sharing"",""ลพบุรี!N98"")+IMPORTRANGE(""https://docs.google.com/spreadsheets/d/10oOiF7loTyfsTkbd4MpaIm0HQ9SwB7IYHdIUvt-U1Uc/edit?usp=sharing"",""สระแก้ว!N98"")"&amp;"+IMPORTRANGE(""https://docs.google.com/spreadsheets/d/1xmPlrr1QbdSIKvl1dWUl9K4PjAfSL9oeMr_37QVzcxc/edit?usp=sharing"",""สระบุรี!N98"")+IMPORTRANGE(""https://docs.google.com/spreadsheets/d/1j51vR6CYVGhABJpv6tkstgok82RLpXieLzW1yOY5rHw/edit?usp=sharing"",""ส"&amp;"ิงห์บุรี!N98"")+IMPORTRANGE(""https://docs.google.com/spreadsheets/d/1H1EalTWKUSzO4Z1-1CwzoDUaVffgrThEBe2sl74kKG0/edit?usp=sharing"",""สุพรรณบุรี!N98"")+IMPORTRANGE(""https://docs.google.com/spreadsheets/d/1BmIruG_sIrJLYao_Pdr7zVArWsfoBt2692TMi6x_854/edit"&amp;"?usp=sharing"",""อ่างทอง!N98"")"),0)</f>
        <v>0</v>
      </c>
      <c r="O99" s="77">
        <f t="shared" ca="1" si="74"/>
        <v>0</v>
      </c>
      <c r="P99" s="77">
        <f t="shared" ca="1" si="75"/>
        <v>0</v>
      </c>
      <c r="Q99" s="76">
        <f ca="1">IFERROR(__xludf.DUMMYFUNCTION("IMPORTRANGE(""https://docs.google.com/spreadsheets/d/13wPX838HrBrQMCywv1BsuMkt4PEKTChp52zj44s2izQ/edit?usp=sharing"",""กาญจนบุรี!Q98"")+IMPORTRANGE(""https://docs.google.com/spreadsheets/d/1ddFKvqj1W1NEiWytbGlB1zMx_ykJDVtmfEQ-6-lIUBA/edit?usp=sharing"","""&amp;"จันทบุรี!Q98"")+IMPORTRANGE(""https://docs.google.com/spreadsheets/d/1T1PQvRODqOBZk8BRht_U031fIS1beLA0Ub2CEytj2q0/edit?usp=sharing"",""ฉะเชิงเทรา!Q98"")+IMPORTRANGE(""https://docs.google.com/spreadsheets/d/11tr1B-Bhyr79v2bkwVh5h_fR-PStkgjlZtkrZpYurG0/edit"&amp;"?usp=sharing"",""ชลบุรี!Q98"")+IMPORTRANGE(""https://docs.google.com/spreadsheets/d/1hh-FVnSX0vozXhGluamEcS54Dw9_zqW0N7qJUWgJ0Sw/edit?usp=sharing"",""ชัยนาท!Q98"")+IMPORTRANGE(""https://docs.google.com/spreadsheets/d/1jkqa6GXxSacMcY1eN8AHjMNJ_7dDXMJVRLDla"&amp;"FSOdPM/edit?usp=sharing"",""ตราด!Q98"")+IMPORTRANGE(""https://docs.google.com/spreadsheets/d/18hSgUJ3VwClqi_qtULmmW3cLr0oe3OKaSYoKzdpTsYQ/edit?usp=sharing"",""นครนายก!Q98"")+IMPORTRANGE(""https://docs.google.com/spreadsheets/d/1YTZo6WM2dQ6Ix6FSdnL5P7uVnVK"&amp;"u40sxZu975tgG10E/edit?usp=sharing"",""นครปฐม!Q98"")+IMPORTRANGE(""https://docs.google.com/spreadsheets/d/1OYoGg4WDg5RIzwGeB10padOxJF9E_Vljuvvct_M7RDo/edit?usp=sharing"",""ปทุมธานี!Q98"")+IMPORTRANGE(""https://docs.google.com/spreadsheets/d/1GbCIE4D4wk9FUo"&amp;"zzqk7SxfDMxDVBwVmI5zcaVUSzKAc/edit?usp=sharing"",""ประจวบคีรีขันธ์!Q98"")+IMPORTRANGE(""https://docs.google.com/spreadsheets/d/1vVf6wykvW_lAyu7Yo9L4hUTqHqIeP_qcVuxCtosJEbg/edit?usp=sharing"",""ปราจีนบุรี!Q98"")+IMPORTRANGE(""https://docs.google.com/spread"&amp;"sheets/d/1BIDqLLg5jk3v59G8NlR8rk5xfQDKne0sAvZHSj7TI6I/edit?usp=sharing"",""พระนครศรีอยุธยา!Q98"")+IMPORTRANGE(""https://docs.google.com/spreadsheets/d/1YXvxf8Yu6_rV4hTBrwMqAcAnv6DfhUxh5emyM3CJp_w/edit?usp=sharing"",""เพชรบุรี!Q98"")+IMPORTRANGE(""https://"&amp;"docs.google.com/spreadsheets/d/19KBlQQs7uwvsao6t2n-KvW3Ax8J8uRRfZPq1zPbXgKc/edit?usp=sharing"",""ระยอง!Q98"")+IMPORTRANGE(""https://docs.google.com/spreadsheets/d/1jQ6P4QcrGM89YfqcC_PxOHGCMq5ezhucwJd8ci-NHng/edit?usp=sharing"",""ราชบุรี!Q98"")+IMPORTRANGE"&amp;"(""https://docs.google.com/spreadsheets/d/1lufeA2cfFqM-elVq2hznhDzC6Pr7wkJ9ZG_sYNGCMCU/edit?usp=sharing"",""ลพบุรี!Q98"")+IMPORTRANGE(""https://docs.google.com/spreadsheets/d/10oOiF7loTyfsTkbd4MpaIm0HQ9SwB7IYHdIUvt-U1Uc/edit?usp=sharing"",""สระแก้ว!Q98"")"&amp;"+IMPORTRANGE(""https://docs.google.com/spreadsheets/d/1xmPlrr1QbdSIKvl1dWUl9K4PjAfSL9oeMr_37QVzcxc/edit?usp=sharing"",""สระบุรี!Q98"")+IMPORTRANGE(""https://docs.google.com/spreadsheets/d/1j51vR6CYVGhABJpv6tkstgok82RLpXieLzW1yOY5rHw/edit?usp=sharing"",""ส"&amp;"ิงห์บุรี!Q98"")+IMPORTRANGE(""https://docs.google.com/spreadsheets/d/1H1EalTWKUSzO4Z1-1CwzoDUaVffgrThEBe2sl74kKG0/edit?usp=sharing"",""สุพรรณบุรี!Q98"")+IMPORTRANGE(""https://docs.google.com/spreadsheets/d/1BmIruG_sIrJLYao_Pdr7zVArWsfoBt2692TMi6x_854/edit"&amp;"?usp=sharing"",""อ่างทอง!Q98"")"),0)</f>
        <v>0</v>
      </c>
      <c r="R99" s="77">
        <f ca="1">IFERROR(__xludf.DUMMYFUNCTION("IMPORTRANGE(""https://docs.google.com/spreadsheets/d/13wPX838HrBrQMCywv1BsuMkt4PEKTChp52zj44s2izQ/edit?usp=sharing"",""กาญจนบุรี!R98"")+IMPORTRANGE(""https://docs.google.com/spreadsheets/d/1ddFKvqj1W1NEiWytbGlB1zMx_ykJDVtmfEQ-6-lIUBA/edit?usp=sharing"","""&amp;"จันทบุรี!R98"")+IMPORTRANGE(""https://docs.google.com/spreadsheets/d/1T1PQvRODqOBZk8BRht_U031fIS1beLA0Ub2CEytj2q0/edit?usp=sharing"",""ฉะเชิงเทรา!R98"")+IMPORTRANGE(""https://docs.google.com/spreadsheets/d/11tr1B-Bhyr79v2bkwVh5h_fR-PStkgjlZtkrZpYurG0/edit"&amp;"?usp=sharing"",""ชลบุรี!R98"")+IMPORTRANGE(""https://docs.google.com/spreadsheets/d/1hh-FVnSX0vozXhGluamEcS54Dw9_zqW0N7qJUWgJ0Sw/edit?usp=sharing"",""ชัยนาท!R98"")+IMPORTRANGE(""https://docs.google.com/spreadsheets/d/1jkqa6GXxSacMcY1eN8AHjMNJ_7dDXMJVRLDla"&amp;"FSOdPM/edit?usp=sharing"",""ตราด!R98"")+IMPORTRANGE(""https://docs.google.com/spreadsheets/d/18hSgUJ3VwClqi_qtULmmW3cLr0oe3OKaSYoKzdpTsYQ/edit?usp=sharing"",""นครนายก!R98"")+IMPORTRANGE(""https://docs.google.com/spreadsheets/d/1YTZo6WM2dQ6Ix6FSdnL5P7uVnVK"&amp;"u40sxZu975tgG10E/edit?usp=sharing"",""นครปฐม!R98"")+IMPORTRANGE(""https://docs.google.com/spreadsheets/d/1OYoGg4WDg5RIzwGeB10padOxJF9E_Vljuvvct_M7RDo/edit?usp=sharing"",""ปทุมธานี!R98"")+IMPORTRANGE(""https://docs.google.com/spreadsheets/d/1GbCIE4D4wk9FUo"&amp;"zzqk7SxfDMxDVBwVmI5zcaVUSzKAc/edit?usp=sharing"",""ประจวบคีรีขันธ์!R98"")+IMPORTRANGE(""https://docs.google.com/spreadsheets/d/1vVf6wykvW_lAyu7Yo9L4hUTqHqIeP_qcVuxCtosJEbg/edit?usp=sharing"",""ปราจีนบุรี!R98"")+IMPORTRANGE(""https://docs.google.com/spread"&amp;"sheets/d/1BIDqLLg5jk3v59G8NlR8rk5xfQDKne0sAvZHSj7TI6I/edit?usp=sharing"",""พระนครศรีอยุธยา!R98"")+IMPORTRANGE(""https://docs.google.com/spreadsheets/d/1YXvxf8Yu6_rV4hTBrwMqAcAnv6DfhUxh5emyM3CJp_w/edit?usp=sharing"",""เพชรบุรี!R98"")+IMPORTRANGE(""https://"&amp;"docs.google.com/spreadsheets/d/19KBlQQs7uwvsao6t2n-KvW3Ax8J8uRRfZPq1zPbXgKc/edit?usp=sharing"",""ระยอง!R98"")+IMPORTRANGE(""https://docs.google.com/spreadsheets/d/1jQ6P4QcrGM89YfqcC_PxOHGCMq5ezhucwJd8ci-NHng/edit?usp=sharing"",""ราชบุรี!R98"")+IMPORTRANGE"&amp;"(""https://docs.google.com/spreadsheets/d/1lufeA2cfFqM-elVq2hznhDzC6Pr7wkJ9ZG_sYNGCMCU/edit?usp=sharing"",""ลพบุรี!R98"")+IMPORTRANGE(""https://docs.google.com/spreadsheets/d/10oOiF7loTyfsTkbd4MpaIm0HQ9SwB7IYHdIUvt-U1Uc/edit?usp=sharing"",""สระแก้ว!R98"")"&amp;"+IMPORTRANGE(""https://docs.google.com/spreadsheets/d/1xmPlrr1QbdSIKvl1dWUl9K4PjAfSL9oeMr_37QVzcxc/edit?usp=sharing"",""สระบุรี!R98"")+IMPORTRANGE(""https://docs.google.com/spreadsheets/d/1j51vR6CYVGhABJpv6tkstgok82RLpXieLzW1yOY5rHw/edit?usp=sharing"",""ส"&amp;"ิงห์บุรี!R98"")+IMPORTRANGE(""https://docs.google.com/spreadsheets/d/1H1EalTWKUSzO4Z1-1CwzoDUaVffgrThEBe2sl74kKG0/edit?usp=sharing"",""สุพรรณบุรี!R98"")+IMPORTRANGE(""https://docs.google.com/spreadsheets/d/1BmIruG_sIrJLYao_Pdr7zVArWsfoBt2692TMi6x_854/edit"&amp;"?usp=sharing"",""อ่างทอง!R98"")"),0)</f>
        <v>0</v>
      </c>
      <c r="S99" s="77">
        <f ca="1">IFERROR(__xludf.DUMMYFUNCTION("IMPORTRANGE(""https://docs.google.com/spreadsheets/d/13wPX838HrBrQMCywv1BsuMkt4PEKTChp52zj44s2izQ/edit?usp=sharing"",""กาญจนบุรี!S98"")+IMPORTRANGE(""https://docs.google.com/spreadsheets/d/1ddFKvqj1W1NEiWytbGlB1zMx_ykJDVtmfEQ-6-lIUBA/edit?usp=sharing"","""&amp;"จันทบุรี!S98"")+IMPORTRANGE(""https://docs.google.com/spreadsheets/d/1T1PQvRODqOBZk8BRht_U031fIS1beLA0Ub2CEytj2q0/edit?usp=sharing"",""ฉะเชิงเทรา!S98"")+IMPORTRANGE(""https://docs.google.com/spreadsheets/d/11tr1B-Bhyr79v2bkwVh5h_fR-PStkgjlZtkrZpYurG0/edit"&amp;"?usp=sharing"",""ชลบุรี!S98"")+IMPORTRANGE(""https://docs.google.com/spreadsheets/d/1hh-FVnSX0vozXhGluamEcS54Dw9_zqW0N7qJUWgJ0Sw/edit?usp=sharing"",""ชัยนาท!S98"")+IMPORTRANGE(""https://docs.google.com/spreadsheets/d/1jkqa6GXxSacMcY1eN8AHjMNJ_7dDXMJVRLDla"&amp;"FSOdPM/edit?usp=sharing"",""ตราด!S98"")+IMPORTRANGE(""https://docs.google.com/spreadsheets/d/18hSgUJ3VwClqi_qtULmmW3cLr0oe3OKaSYoKzdpTsYQ/edit?usp=sharing"",""นครนายก!S98"")+IMPORTRANGE(""https://docs.google.com/spreadsheets/d/1YTZo6WM2dQ6Ix6FSdnL5P7uVnVK"&amp;"u40sxZu975tgG10E/edit?usp=sharing"",""นครปฐม!S98"")+IMPORTRANGE(""https://docs.google.com/spreadsheets/d/1OYoGg4WDg5RIzwGeB10padOxJF9E_Vljuvvct_M7RDo/edit?usp=sharing"",""ปทุมธานี!S98"")+IMPORTRANGE(""https://docs.google.com/spreadsheets/d/1GbCIE4D4wk9FUo"&amp;"zzqk7SxfDMxDVBwVmI5zcaVUSzKAc/edit?usp=sharing"",""ประจวบคีรีขันธ์!S98"")+IMPORTRANGE(""https://docs.google.com/spreadsheets/d/1vVf6wykvW_lAyu7Yo9L4hUTqHqIeP_qcVuxCtosJEbg/edit?usp=sharing"",""ปราจีนบุรี!S98"")+IMPORTRANGE(""https://docs.google.com/spread"&amp;"sheets/d/1BIDqLLg5jk3v59G8NlR8rk5xfQDKne0sAvZHSj7TI6I/edit?usp=sharing"",""พระนครศรีอยุธยา!S98"")+IMPORTRANGE(""https://docs.google.com/spreadsheets/d/1YXvxf8Yu6_rV4hTBrwMqAcAnv6DfhUxh5emyM3CJp_w/edit?usp=sharing"",""เพชรบุรี!S98"")+IMPORTRANGE(""https://"&amp;"docs.google.com/spreadsheets/d/19KBlQQs7uwvsao6t2n-KvW3Ax8J8uRRfZPq1zPbXgKc/edit?usp=sharing"",""ระยอง!S98"")+IMPORTRANGE(""https://docs.google.com/spreadsheets/d/1jQ6P4QcrGM89YfqcC_PxOHGCMq5ezhucwJd8ci-NHng/edit?usp=sharing"",""ราชบุรี!S98"")+IMPORTRANGE"&amp;"(""https://docs.google.com/spreadsheets/d/1lufeA2cfFqM-elVq2hznhDzC6Pr7wkJ9ZG_sYNGCMCU/edit?usp=sharing"",""ลพบุรี!S98"")+IMPORTRANGE(""https://docs.google.com/spreadsheets/d/10oOiF7loTyfsTkbd4MpaIm0HQ9SwB7IYHdIUvt-U1Uc/edit?usp=sharing"",""สระแก้ว!S98"")"&amp;"+IMPORTRANGE(""https://docs.google.com/spreadsheets/d/1xmPlrr1QbdSIKvl1dWUl9K4PjAfSL9oeMr_37QVzcxc/edit?usp=sharing"",""สระบุรี!S98"")+IMPORTRANGE(""https://docs.google.com/spreadsheets/d/1j51vR6CYVGhABJpv6tkstgok82RLpXieLzW1yOY5rHw/edit?usp=sharing"",""ส"&amp;"ิงห์บุรี!S98"")+IMPORTRANGE(""https://docs.google.com/spreadsheets/d/1H1EalTWKUSzO4Z1-1CwzoDUaVffgrThEBe2sl74kKG0/edit?usp=sharing"",""สุพรรณบุรี!S98"")+IMPORTRANGE(""https://docs.google.com/spreadsheets/d/1BmIruG_sIrJLYao_Pdr7zVArWsfoBt2692TMi6x_854/edit"&amp;"?usp=sharing"",""อ่างทอง!S98"")"),0)</f>
        <v>0</v>
      </c>
      <c r="T99" s="133">
        <f t="shared" ca="1" si="77"/>
        <v>0</v>
      </c>
      <c r="U99" s="133">
        <f t="shared" ca="1" si="78"/>
        <v>0</v>
      </c>
    </row>
    <row r="100" spans="1:21" ht="18.75" x14ac:dyDescent="0.25">
      <c r="A100" s="257"/>
      <c r="B100" s="269"/>
      <c r="C100" s="269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4">
        <f ca="1">IFERROR(__xludf.DUMMYFUNCTION("IMPORTRANGE(""https://docs.google.com/spreadsheets/d/13wPX838HrBrQMCywv1BsuMkt4PEKTChp52zj44s2izQ/edit?usp=sharing"",""กาญจนบุรี!L99"")+IMPORTRANGE(""https://docs.google.com/spreadsheets/d/1ddFKvqj1W1NEiWytbGlB1zMx_ykJDVtmfEQ-6-lIUBA/edit?usp=sharing"","""&amp;"จันทบุรี!L99"")+IMPORTRANGE(""https://docs.google.com/spreadsheets/d/1T1PQvRODqOBZk8BRht_U031fIS1beLA0Ub2CEytj2q0/edit?usp=sharing"",""ฉะเชิงเทรา!L99"")+IMPORTRANGE(""https://docs.google.com/spreadsheets/d/11tr1B-Bhyr79v2bkwVh5h_fR-PStkgjlZtkrZpYurG0/edit"&amp;"?usp=sharing"",""ชลบุรี!L99"")+IMPORTRANGE(""https://docs.google.com/spreadsheets/d/1hh-FVnSX0vozXhGluamEcS54Dw9_zqW0N7qJUWgJ0Sw/edit?usp=sharing"",""ชัยนาท!L99"")+IMPORTRANGE(""https://docs.google.com/spreadsheets/d/1jkqa6GXxSacMcY1eN8AHjMNJ_7dDXMJVRLDla"&amp;"FSOdPM/edit?usp=sharing"",""ตราด!L99"")+IMPORTRANGE(""https://docs.google.com/spreadsheets/d/18hSgUJ3VwClqi_qtULmmW3cLr0oe3OKaSYoKzdpTsYQ/edit?usp=sharing"",""นครนายก!L99"")+IMPORTRANGE(""https://docs.google.com/spreadsheets/d/1YTZo6WM2dQ6Ix6FSdnL5P7uVnVK"&amp;"u40sxZu975tgG10E/edit?usp=sharing"",""นครปฐม!L99"")+IMPORTRANGE(""https://docs.google.com/spreadsheets/d/1OYoGg4WDg5RIzwGeB10padOxJF9E_Vljuvvct_M7RDo/edit?usp=sharing"",""ปทุมธานี!L99"")+IMPORTRANGE(""https://docs.google.com/spreadsheets/d/1GbCIE4D4wk9FUo"&amp;"zzqk7SxfDMxDVBwVmI5zcaVUSzKAc/edit?usp=sharing"",""ประจวบคีรีขันธ์!L99"")+IMPORTRANGE(""https://docs.google.com/spreadsheets/d/1vVf6wykvW_lAyu7Yo9L4hUTqHqIeP_qcVuxCtosJEbg/edit?usp=sharing"",""ปราจีนบุรี!L99"")+IMPORTRANGE(""https://docs.google.com/spread"&amp;"sheets/d/1BIDqLLg5jk3v59G8NlR8rk5xfQDKne0sAvZHSj7TI6I/edit?usp=sharing"",""พระนครศรีอยุธยา!L99"")+IMPORTRANGE(""https://docs.google.com/spreadsheets/d/1YXvxf8Yu6_rV4hTBrwMqAcAnv6DfhUxh5emyM3CJp_w/edit?usp=sharing"",""เพชรบุรี!L99"")+IMPORTRANGE(""https://"&amp;"docs.google.com/spreadsheets/d/19KBlQQs7uwvsao6t2n-KvW3Ax8J8uRRfZPq1zPbXgKc/edit?usp=sharing"",""ระยอง!L99"")+IMPORTRANGE(""https://docs.google.com/spreadsheets/d/1jQ6P4QcrGM89YfqcC_PxOHGCMq5ezhucwJd8ci-NHng/edit?usp=sharing"",""ราชบุรี!L99"")+IMPORTRANGE"&amp;"(""https://docs.google.com/spreadsheets/d/1lufeA2cfFqM-elVq2hznhDzC6Pr7wkJ9ZG_sYNGCMCU/edit?usp=sharing"",""ลพบุรี!L99"")+IMPORTRANGE(""https://docs.google.com/spreadsheets/d/10oOiF7loTyfsTkbd4MpaIm0HQ9SwB7IYHdIUvt-U1Uc/edit?usp=sharing"",""สระแก้ว!L99"")"&amp;"+IMPORTRANGE(""https://docs.google.com/spreadsheets/d/1xmPlrr1QbdSIKvl1dWUl9K4PjAfSL9oeMr_37QVzcxc/edit?usp=sharing"",""สระบุรี!L99"")+IMPORTRANGE(""https://docs.google.com/spreadsheets/d/1j51vR6CYVGhABJpv6tkstgok82RLpXieLzW1yOY5rHw/edit?usp=sharing"",""ส"&amp;"ิงห์บุรี!L99"")+IMPORTRANGE(""https://docs.google.com/spreadsheets/d/1H1EalTWKUSzO4Z1-1CwzoDUaVffgrThEBe2sl74kKG0/edit?usp=sharing"",""สุพรรณบุรี!L99"")+IMPORTRANGE(""https://docs.google.com/spreadsheets/d/1BmIruG_sIrJLYao_Pdr7zVArWsfoBt2692TMi6x_854/edit"&amp;"?usp=sharing"",""อ่างทอง!L99"")"),205600)</f>
        <v>205600</v>
      </c>
      <c r="M100" s="74">
        <f ca="1">IFERROR(__xludf.DUMMYFUNCTION("IMPORTRANGE(""https://docs.google.com/spreadsheets/d/13wPX838HrBrQMCywv1BsuMkt4PEKTChp52zj44s2izQ/edit?usp=sharing"",""กาญจนบุรี!M99"")+IMPORTRANGE(""https://docs.google.com/spreadsheets/d/1ddFKvqj1W1NEiWytbGlB1zMx_ykJDVtmfEQ-6-lIUBA/edit?usp=sharing"","""&amp;"จันทบุรี!M99"")+IMPORTRANGE(""https://docs.google.com/spreadsheets/d/1T1PQvRODqOBZk8BRht_U031fIS1beLA0Ub2CEytj2q0/edit?usp=sharing"",""ฉะเชิงเทรา!M99"")+IMPORTRANGE(""https://docs.google.com/spreadsheets/d/11tr1B-Bhyr79v2bkwVh5h_fR-PStkgjlZtkrZpYurG0/edit"&amp;"?usp=sharing"",""ชลบุรี!M99"")+IMPORTRANGE(""https://docs.google.com/spreadsheets/d/1hh-FVnSX0vozXhGluamEcS54Dw9_zqW0N7qJUWgJ0Sw/edit?usp=sharing"",""ชัยนาท!M99"")+IMPORTRANGE(""https://docs.google.com/spreadsheets/d/1jkqa6GXxSacMcY1eN8AHjMNJ_7dDXMJVRLDla"&amp;"FSOdPM/edit?usp=sharing"",""ตราด!M99"")+IMPORTRANGE(""https://docs.google.com/spreadsheets/d/18hSgUJ3VwClqi_qtULmmW3cLr0oe3OKaSYoKzdpTsYQ/edit?usp=sharing"",""นครนายก!M99"")+IMPORTRANGE(""https://docs.google.com/spreadsheets/d/1YTZo6WM2dQ6Ix6FSdnL5P7uVnVK"&amp;"u40sxZu975tgG10E/edit?usp=sharing"",""นครปฐม!M99"")+IMPORTRANGE(""https://docs.google.com/spreadsheets/d/1OYoGg4WDg5RIzwGeB10padOxJF9E_Vljuvvct_M7RDo/edit?usp=sharing"",""ปทุมธานี!M99"")+IMPORTRANGE(""https://docs.google.com/spreadsheets/d/1GbCIE4D4wk9FUo"&amp;"zzqk7SxfDMxDVBwVmI5zcaVUSzKAc/edit?usp=sharing"",""ประจวบคีรีขันธ์!M99"")+IMPORTRANGE(""https://docs.google.com/spreadsheets/d/1vVf6wykvW_lAyu7Yo9L4hUTqHqIeP_qcVuxCtosJEbg/edit?usp=sharing"",""ปราจีนบุรี!M99"")+IMPORTRANGE(""https://docs.google.com/spread"&amp;"sheets/d/1BIDqLLg5jk3v59G8NlR8rk5xfQDKne0sAvZHSj7TI6I/edit?usp=sharing"",""พระนครศรีอยุธยา!M99"")+IMPORTRANGE(""https://docs.google.com/spreadsheets/d/1YXvxf8Yu6_rV4hTBrwMqAcAnv6DfhUxh5emyM3CJp_w/edit?usp=sharing"",""เพชรบุรี!M99"")+IMPORTRANGE(""https://"&amp;"docs.google.com/spreadsheets/d/19KBlQQs7uwvsao6t2n-KvW3Ax8J8uRRfZPq1zPbXgKc/edit?usp=sharing"",""ระยอง!M99"")+IMPORTRANGE(""https://docs.google.com/spreadsheets/d/1jQ6P4QcrGM89YfqcC_PxOHGCMq5ezhucwJd8ci-NHng/edit?usp=sharing"",""ราชบุรี!M99"")+IMPORTRANGE"&amp;"(""https://docs.google.com/spreadsheets/d/1lufeA2cfFqM-elVq2hznhDzC6Pr7wkJ9ZG_sYNGCMCU/edit?usp=sharing"",""ลพบุรี!M99"")+IMPORTRANGE(""https://docs.google.com/spreadsheets/d/10oOiF7loTyfsTkbd4MpaIm0HQ9SwB7IYHdIUvt-U1Uc/edit?usp=sharing"",""สระแก้ว!M99"")"&amp;"+IMPORTRANGE(""https://docs.google.com/spreadsheets/d/1xmPlrr1QbdSIKvl1dWUl9K4PjAfSL9oeMr_37QVzcxc/edit?usp=sharing"",""สระบุรี!M99"")+IMPORTRANGE(""https://docs.google.com/spreadsheets/d/1j51vR6CYVGhABJpv6tkstgok82RLpXieLzW1yOY5rHw/edit?usp=sharing"",""ส"&amp;"ิงห์บุรี!M99"")+IMPORTRANGE(""https://docs.google.com/spreadsheets/d/1H1EalTWKUSzO4Z1-1CwzoDUaVffgrThEBe2sl74kKG0/edit?usp=sharing"",""สุพรรณบุรี!M99"")+IMPORTRANGE(""https://docs.google.com/spreadsheets/d/1BmIruG_sIrJLYao_Pdr7zVArWsfoBt2692TMi6x_854/edit"&amp;"?usp=sharing"",""อ่างทอง!M99"")"),144420)</f>
        <v>144420</v>
      </c>
      <c r="N100" s="74">
        <f ca="1">IFERROR(__xludf.DUMMYFUNCTION("IMPORTRANGE(""https://docs.google.com/spreadsheets/d/13wPX838HrBrQMCywv1BsuMkt4PEKTChp52zj44s2izQ/edit?usp=sharing"",""กาญจนบุรี!N99"")+IMPORTRANGE(""https://docs.google.com/spreadsheets/d/1ddFKvqj1W1NEiWytbGlB1zMx_ykJDVtmfEQ-6-lIUBA/edit?usp=sharing"","""&amp;"จันทบุรี!N99"")+IMPORTRANGE(""https://docs.google.com/spreadsheets/d/1T1PQvRODqOBZk8BRht_U031fIS1beLA0Ub2CEytj2q0/edit?usp=sharing"",""ฉะเชิงเทรา!N99"")+IMPORTRANGE(""https://docs.google.com/spreadsheets/d/11tr1B-Bhyr79v2bkwVh5h_fR-PStkgjlZtkrZpYurG0/edit"&amp;"?usp=sharing"",""ชลบุรี!N99"")+IMPORTRANGE(""https://docs.google.com/spreadsheets/d/1hh-FVnSX0vozXhGluamEcS54Dw9_zqW0N7qJUWgJ0Sw/edit?usp=sharing"",""ชัยนาท!N99"")+IMPORTRANGE(""https://docs.google.com/spreadsheets/d/1jkqa6GXxSacMcY1eN8AHjMNJ_7dDXMJVRLDla"&amp;"FSOdPM/edit?usp=sharing"",""ตราด!N99"")+IMPORTRANGE(""https://docs.google.com/spreadsheets/d/18hSgUJ3VwClqi_qtULmmW3cLr0oe3OKaSYoKzdpTsYQ/edit?usp=sharing"",""นครนายก!N99"")+IMPORTRANGE(""https://docs.google.com/spreadsheets/d/1YTZo6WM2dQ6Ix6FSdnL5P7uVnVK"&amp;"u40sxZu975tgG10E/edit?usp=sharing"",""นครปฐม!N99"")+IMPORTRANGE(""https://docs.google.com/spreadsheets/d/1OYoGg4WDg5RIzwGeB10padOxJF9E_Vljuvvct_M7RDo/edit?usp=sharing"",""ปทุมธานี!N99"")+IMPORTRANGE(""https://docs.google.com/spreadsheets/d/1GbCIE4D4wk9FUo"&amp;"zzqk7SxfDMxDVBwVmI5zcaVUSzKAc/edit?usp=sharing"",""ประจวบคีรีขันธ์!N99"")+IMPORTRANGE(""https://docs.google.com/spreadsheets/d/1vVf6wykvW_lAyu7Yo9L4hUTqHqIeP_qcVuxCtosJEbg/edit?usp=sharing"",""ปราจีนบุรี!N99"")+IMPORTRANGE(""https://docs.google.com/spread"&amp;"sheets/d/1BIDqLLg5jk3v59G8NlR8rk5xfQDKne0sAvZHSj7TI6I/edit?usp=sharing"",""พระนครศรีอยุธยา!N99"")+IMPORTRANGE(""https://docs.google.com/spreadsheets/d/1YXvxf8Yu6_rV4hTBrwMqAcAnv6DfhUxh5emyM3CJp_w/edit?usp=sharing"",""เพชรบุรี!N99"")+IMPORTRANGE(""https://"&amp;"docs.google.com/spreadsheets/d/19KBlQQs7uwvsao6t2n-KvW3Ax8J8uRRfZPq1zPbXgKc/edit?usp=sharing"",""ระยอง!N99"")+IMPORTRANGE(""https://docs.google.com/spreadsheets/d/1jQ6P4QcrGM89YfqcC_PxOHGCMq5ezhucwJd8ci-NHng/edit?usp=sharing"",""ราชบุรี!N99"")+IMPORTRANGE"&amp;"(""https://docs.google.com/spreadsheets/d/1lufeA2cfFqM-elVq2hznhDzC6Pr7wkJ9ZG_sYNGCMCU/edit?usp=sharing"",""ลพบุรี!N99"")+IMPORTRANGE(""https://docs.google.com/spreadsheets/d/10oOiF7loTyfsTkbd4MpaIm0HQ9SwB7IYHdIUvt-U1Uc/edit?usp=sharing"",""สระแก้ว!N99"")"&amp;"+IMPORTRANGE(""https://docs.google.com/spreadsheets/d/1xmPlrr1QbdSIKvl1dWUl9K4PjAfSL9oeMr_37QVzcxc/edit?usp=sharing"",""สระบุรี!N99"")+IMPORTRANGE(""https://docs.google.com/spreadsheets/d/1j51vR6CYVGhABJpv6tkstgok82RLpXieLzW1yOY5rHw/edit?usp=sharing"",""ส"&amp;"ิงห์บุรี!N99"")+IMPORTRANGE(""https://docs.google.com/spreadsheets/d/1H1EalTWKUSzO4Z1-1CwzoDUaVffgrThEBe2sl74kKG0/edit?usp=sharing"",""สุพรรณบุรี!N99"")+IMPORTRANGE(""https://docs.google.com/spreadsheets/d/1BmIruG_sIrJLYao_Pdr7zVArWsfoBt2692TMi6x_854/edit"&amp;"?usp=sharing"",""อ่างทอง!N99"")"),128065.5)</f>
        <v>128065.5</v>
      </c>
      <c r="O100" s="74">
        <f t="shared" ca="1" si="74"/>
        <v>62.288667315175097</v>
      </c>
      <c r="P100" s="74">
        <f t="shared" ca="1" si="75"/>
        <v>88.675737432488575</v>
      </c>
      <c r="Q100" s="131">
        <f ca="1">IFERROR(__xludf.DUMMYFUNCTION("IMPORTRANGE(""https://docs.google.com/spreadsheets/d/13wPX838HrBrQMCywv1BsuMkt4PEKTChp52zj44s2izQ/edit?usp=sharing"",""กาญจนบุรี!Q99"")+IMPORTRANGE(""https://docs.google.com/spreadsheets/d/1ddFKvqj1W1NEiWytbGlB1zMx_ykJDVtmfEQ-6-lIUBA/edit?usp=sharing"","""&amp;"จันทบุรี!Q99"")+IMPORTRANGE(""https://docs.google.com/spreadsheets/d/1T1PQvRODqOBZk8BRht_U031fIS1beLA0Ub2CEytj2q0/edit?usp=sharing"",""ฉะเชิงเทรา!Q99"")+IMPORTRANGE(""https://docs.google.com/spreadsheets/d/11tr1B-Bhyr79v2bkwVh5h_fR-PStkgjlZtkrZpYurG0/edit"&amp;"?usp=sharing"",""ชลบุรี!Q99"")+IMPORTRANGE(""https://docs.google.com/spreadsheets/d/1hh-FVnSX0vozXhGluamEcS54Dw9_zqW0N7qJUWgJ0Sw/edit?usp=sharing"",""ชัยนาท!Q99"")+IMPORTRANGE(""https://docs.google.com/spreadsheets/d/1jkqa6GXxSacMcY1eN8AHjMNJ_7dDXMJVRLDla"&amp;"FSOdPM/edit?usp=sharing"",""ตราด!Q99"")+IMPORTRANGE(""https://docs.google.com/spreadsheets/d/18hSgUJ3VwClqi_qtULmmW3cLr0oe3OKaSYoKzdpTsYQ/edit?usp=sharing"",""นครนายก!Q99"")+IMPORTRANGE(""https://docs.google.com/spreadsheets/d/1YTZo6WM2dQ6Ix6FSdnL5P7uVnVK"&amp;"u40sxZu975tgG10E/edit?usp=sharing"",""นครปฐม!Q99"")+IMPORTRANGE(""https://docs.google.com/spreadsheets/d/1OYoGg4WDg5RIzwGeB10padOxJF9E_Vljuvvct_M7RDo/edit?usp=sharing"",""ปทุมธานี!Q99"")+IMPORTRANGE(""https://docs.google.com/spreadsheets/d/1GbCIE4D4wk9FUo"&amp;"zzqk7SxfDMxDVBwVmI5zcaVUSzKAc/edit?usp=sharing"",""ประจวบคีรีขันธ์!Q99"")+IMPORTRANGE(""https://docs.google.com/spreadsheets/d/1vVf6wykvW_lAyu7Yo9L4hUTqHqIeP_qcVuxCtosJEbg/edit?usp=sharing"",""ปราจีนบุรี!Q99"")+IMPORTRANGE(""https://docs.google.com/spread"&amp;"sheets/d/1BIDqLLg5jk3v59G8NlR8rk5xfQDKne0sAvZHSj7TI6I/edit?usp=sharing"",""พระนครศรีอยุธยา!Q99"")+IMPORTRANGE(""https://docs.google.com/spreadsheets/d/1YXvxf8Yu6_rV4hTBrwMqAcAnv6DfhUxh5emyM3CJp_w/edit?usp=sharing"",""เพชรบุรี!Q99"")+IMPORTRANGE(""https://"&amp;"docs.google.com/spreadsheets/d/19KBlQQs7uwvsao6t2n-KvW3Ax8J8uRRfZPq1zPbXgKc/edit?usp=sharing"",""ระยอง!Q99"")+IMPORTRANGE(""https://docs.google.com/spreadsheets/d/1jQ6P4QcrGM89YfqcC_PxOHGCMq5ezhucwJd8ci-NHng/edit?usp=sharing"",""ราชบุรี!Q99"")+IMPORTRANGE"&amp;"(""https://docs.google.com/spreadsheets/d/1lufeA2cfFqM-elVq2hznhDzC6Pr7wkJ9ZG_sYNGCMCU/edit?usp=sharing"",""ลพบุรี!Q99"")+IMPORTRANGE(""https://docs.google.com/spreadsheets/d/10oOiF7loTyfsTkbd4MpaIm0HQ9SwB7IYHdIUvt-U1Uc/edit?usp=sharing"",""สระแก้ว!Q99"")"&amp;"+IMPORTRANGE(""https://docs.google.com/spreadsheets/d/1xmPlrr1QbdSIKvl1dWUl9K4PjAfSL9oeMr_37QVzcxc/edit?usp=sharing"",""สระบุรี!Q99"")+IMPORTRANGE(""https://docs.google.com/spreadsheets/d/1j51vR6CYVGhABJpv6tkstgok82RLpXieLzW1yOY5rHw/edit?usp=sharing"",""ส"&amp;"ิงห์บุรี!Q99"")+IMPORTRANGE(""https://docs.google.com/spreadsheets/d/1H1EalTWKUSzO4Z1-1CwzoDUaVffgrThEBe2sl74kKG0/edit?usp=sharing"",""สุพรรณบุรี!Q99"")+IMPORTRANGE(""https://docs.google.com/spreadsheets/d/1BmIruG_sIrJLYao_Pdr7zVArWsfoBt2692TMi6x_854/edit"&amp;"?usp=sharing"",""อ่างทอง!Q99"")"),985954)</f>
        <v>985954</v>
      </c>
      <c r="R100" s="132">
        <f ca="1">IFERROR(__xludf.DUMMYFUNCTION("IMPORTRANGE(""https://docs.google.com/spreadsheets/d/13wPX838HrBrQMCywv1BsuMkt4PEKTChp52zj44s2izQ/edit?usp=sharing"",""กาญจนบุรี!R99"")+IMPORTRANGE(""https://docs.google.com/spreadsheets/d/1ddFKvqj1W1NEiWytbGlB1zMx_ykJDVtmfEQ-6-lIUBA/edit?usp=sharing"","""&amp;"จันทบุรี!R99"")+IMPORTRANGE(""https://docs.google.com/spreadsheets/d/1T1PQvRODqOBZk8BRht_U031fIS1beLA0Ub2CEytj2q0/edit?usp=sharing"",""ฉะเชิงเทรา!R99"")+IMPORTRANGE(""https://docs.google.com/spreadsheets/d/11tr1B-Bhyr79v2bkwVh5h_fR-PStkgjlZtkrZpYurG0/edit"&amp;"?usp=sharing"",""ชลบุรี!R99"")+IMPORTRANGE(""https://docs.google.com/spreadsheets/d/1hh-FVnSX0vozXhGluamEcS54Dw9_zqW0N7qJUWgJ0Sw/edit?usp=sharing"",""ชัยนาท!R99"")+IMPORTRANGE(""https://docs.google.com/spreadsheets/d/1jkqa6GXxSacMcY1eN8AHjMNJ_7dDXMJVRLDla"&amp;"FSOdPM/edit?usp=sharing"",""ตราด!R99"")+IMPORTRANGE(""https://docs.google.com/spreadsheets/d/18hSgUJ3VwClqi_qtULmmW3cLr0oe3OKaSYoKzdpTsYQ/edit?usp=sharing"",""นครนายก!R99"")+IMPORTRANGE(""https://docs.google.com/spreadsheets/d/1YTZo6WM2dQ6Ix6FSdnL5P7uVnVK"&amp;"u40sxZu975tgG10E/edit?usp=sharing"",""นครปฐม!R99"")+IMPORTRANGE(""https://docs.google.com/spreadsheets/d/1OYoGg4WDg5RIzwGeB10padOxJF9E_Vljuvvct_M7RDo/edit?usp=sharing"",""ปทุมธานี!R99"")+IMPORTRANGE(""https://docs.google.com/spreadsheets/d/1GbCIE4D4wk9FUo"&amp;"zzqk7SxfDMxDVBwVmI5zcaVUSzKAc/edit?usp=sharing"",""ประจวบคีรีขันธ์!R99"")+IMPORTRANGE(""https://docs.google.com/spreadsheets/d/1vVf6wykvW_lAyu7Yo9L4hUTqHqIeP_qcVuxCtosJEbg/edit?usp=sharing"",""ปราจีนบุรี!R99"")+IMPORTRANGE(""https://docs.google.com/spread"&amp;"sheets/d/1BIDqLLg5jk3v59G8NlR8rk5xfQDKne0sAvZHSj7TI6I/edit?usp=sharing"",""พระนครศรีอยุธยา!R99"")+IMPORTRANGE(""https://docs.google.com/spreadsheets/d/1YXvxf8Yu6_rV4hTBrwMqAcAnv6DfhUxh5emyM3CJp_w/edit?usp=sharing"",""เพชรบุรี!R99"")+IMPORTRANGE(""https://"&amp;"docs.google.com/spreadsheets/d/19KBlQQs7uwvsao6t2n-KvW3Ax8J8uRRfZPq1zPbXgKc/edit?usp=sharing"",""ระยอง!R99"")+IMPORTRANGE(""https://docs.google.com/spreadsheets/d/1jQ6P4QcrGM89YfqcC_PxOHGCMq5ezhucwJd8ci-NHng/edit?usp=sharing"",""ราชบุรี!R99"")+IMPORTRANGE"&amp;"(""https://docs.google.com/spreadsheets/d/1lufeA2cfFqM-elVq2hznhDzC6Pr7wkJ9ZG_sYNGCMCU/edit?usp=sharing"",""ลพบุรี!R99"")+IMPORTRANGE(""https://docs.google.com/spreadsheets/d/10oOiF7loTyfsTkbd4MpaIm0HQ9SwB7IYHdIUvt-U1Uc/edit?usp=sharing"",""สระแก้ว!R99"")"&amp;"+IMPORTRANGE(""https://docs.google.com/spreadsheets/d/1xmPlrr1QbdSIKvl1dWUl9K4PjAfSL9oeMr_37QVzcxc/edit?usp=sharing"",""สระบุรี!R99"")+IMPORTRANGE(""https://docs.google.com/spreadsheets/d/1j51vR6CYVGhABJpv6tkstgok82RLpXieLzW1yOY5rHw/edit?usp=sharing"",""ส"&amp;"ิงห์บุรี!R99"")+IMPORTRANGE(""https://docs.google.com/spreadsheets/d/1H1EalTWKUSzO4Z1-1CwzoDUaVffgrThEBe2sl74kKG0/edit?usp=sharing"",""สุพรรณบุรี!R99"")+IMPORTRANGE(""https://docs.google.com/spreadsheets/d/1BmIruG_sIrJLYao_Pdr7zVArWsfoBt2692TMi6x_854/edit"&amp;"?usp=sharing"",""อ่างทอง!R99"")"),985954)</f>
        <v>985954</v>
      </c>
      <c r="S100" s="132">
        <f ca="1">IFERROR(__xludf.DUMMYFUNCTION("IMPORTRANGE(""https://docs.google.com/spreadsheets/d/13wPX838HrBrQMCywv1BsuMkt4PEKTChp52zj44s2izQ/edit?usp=sharing"",""กาญจนบุรี!S99"")+IMPORTRANGE(""https://docs.google.com/spreadsheets/d/1ddFKvqj1W1NEiWytbGlB1zMx_ykJDVtmfEQ-6-lIUBA/edit?usp=sharing"","""&amp;"จันทบุรี!S99"")+IMPORTRANGE(""https://docs.google.com/spreadsheets/d/1T1PQvRODqOBZk8BRht_U031fIS1beLA0Ub2CEytj2q0/edit?usp=sharing"",""ฉะเชิงเทรา!S99"")+IMPORTRANGE(""https://docs.google.com/spreadsheets/d/11tr1B-Bhyr79v2bkwVh5h_fR-PStkgjlZtkrZpYurG0/edit"&amp;"?usp=sharing"",""ชลบุรี!S99"")+IMPORTRANGE(""https://docs.google.com/spreadsheets/d/1hh-FVnSX0vozXhGluamEcS54Dw9_zqW0N7qJUWgJ0Sw/edit?usp=sharing"",""ชัยนาท!S99"")+IMPORTRANGE(""https://docs.google.com/spreadsheets/d/1jkqa6GXxSacMcY1eN8AHjMNJ_7dDXMJVRLDla"&amp;"FSOdPM/edit?usp=sharing"",""ตราด!S99"")+IMPORTRANGE(""https://docs.google.com/spreadsheets/d/18hSgUJ3VwClqi_qtULmmW3cLr0oe3OKaSYoKzdpTsYQ/edit?usp=sharing"",""นครนายก!S99"")+IMPORTRANGE(""https://docs.google.com/spreadsheets/d/1YTZo6WM2dQ6Ix6FSdnL5P7uVnVK"&amp;"u40sxZu975tgG10E/edit?usp=sharing"",""นครปฐม!S99"")+IMPORTRANGE(""https://docs.google.com/spreadsheets/d/1OYoGg4WDg5RIzwGeB10padOxJF9E_Vljuvvct_M7RDo/edit?usp=sharing"",""ปทุมธานี!S99"")+IMPORTRANGE(""https://docs.google.com/spreadsheets/d/1GbCIE4D4wk9FUo"&amp;"zzqk7SxfDMxDVBwVmI5zcaVUSzKAc/edit?usp=sharing"",""ประจวบคีรีขันธ์!S99"")+IMPORTRANGE(""https://docs.google.com/spreadsheets/d/1vVf6wykvW_lAyu7Yo9L4hUTqHqIeP_qcVuxCtosJEbg/edit?usp=sharing"",""ปราจีนบุรี!S99"")+IMPORTRANGE(""https://docs.google.com/spread"&amp;"sheets/d/1BIDqLLg5jk3v59G8NlR8rk5xfQDKne0sAvZHSj7TI6I/edit?usp=sharing"",""พระนครศรีอยุธยา!S99"")+IMPORTRANGE(""https://docs.google.com/spreadsheets/d/1YXvxf8Yu6_rV4hTBrwMqAcAnv6DfhUxh5emyM3CJp_w/edit?usp=sharing"",""เพชรบุรี!S99"")+IMPORTRANGE(""https://"&amp;"docs.google.com/spreadsheets/d/19KBlQQs7uwvsao6t2n-KvW3Ax8J8uRRfZPq1zPbXgKc/edit?usp=sharing"",""ระยอง!S99"")+IMPORTRANGE(""https://docs.google.com/spreadsheets/d/1jQ6P4QcrGM89YfqcC_PxOHGCMq5ezhucwJd8ci-NHng/edit?usp=sharing"",""ราชบุรี!S99"")+IMPORTRANGE"&amp;"(""https://docs.google.com/spreadsheets/d/1lufeA2cfFqM-elVq2hznhDzC6Pr7wkJ9ZG_sYNGCMCU/edit?usp=sharing"",""ลพบุรี!S99"")+IMPORTRANGE(""https://docs.google.com/spreadsheets/d/10oOiF7loTyfsTkbd4MpaIm0HQ9SwB7IYHdIUvt-U1Uc/edit?usp=sharing"",""สระแก้ว!S99"")"&amp;"+IMPORTRANGE(""https://docs.google.com/spreadsheets/d/1xmPlrr1QbdSIKvl1dWUl9K4PjAfSL9oeMr_37QVzcxc/edit?usp=sharing"",""สระบุรี!S99"")+IMPORTRANGE(""https://docs.google.com/spreadsheets/d/1j51vR6CYVGhABJpv6tkstgok82RLpXieLzW1yOY5rHw/edit?usp=sharing"",""ส"&amp;"ิงห์บุรี!S99"")+IMPORTRANGE(""https://docs.google.com/spreadsheets/d/1H1EalTWKUSzO4Z1-1CwzoDUaVffgrThEBe2sl74kKG0/edit?usp=sharing"",""สุพรรณบุรี!S99"")+IMPORTRANGE(""https://docs.google.com/spreadsheets/d/1BmIruG_sIrJLYao_Pdr7zVArWsfoBt2692TMi6x_854/edit"&amp;"?usp=sharing"",""อ่างทอง!S99"")"),28860)</f>
        <v>28860</v>
      </c>
      <c r="T100" s="132">
        <f t="shared" ca="1" si="77"/>
        <v>2.9271142467092783</v>
      </c>
      <c r="U100" s="132">
        <f t="shared" ca="1" si="78"/>
        <v>2.9271142467092783</v>
      </c>
    </row>
    <row r="101" spans="1:21" ht="18.75" x14ac:dyDescent="0.25">
      <c r="A101" s="257"/>
      <c r="B101" s="269"/>
      <c r="C101" s="269"/>
      <c r="D101" s="274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4">
        <f t="shared" ref="L101:N101" ca="1" si="85">L102+L103</f>
        <v>0</v>
      </c>
      <c r="M101" s="74">
        <f t="shared" ca="1" si="85"/>
        <v>0</v>
      </c>
      <c r="N101" s="74">
        <f t="shared" ca="1" si="85"/>
        <v>0</v>
      </c>
      <c r="O101" s="74">
        <f t="shared" ca="1" si="74"/>
        <v>0</v>
      </c>
      <c r="P101" s="74">
        <f t="shared" ca="1" si="75"/>
        <v>0</v>
      </c>
      <c r="Q101" s="131">
        <f t="shared" ref="Q101:S101" ca="1" si="86">Q102+Q103</f>
        <v>0</v>
      </c>
      <c r="R101" s="132">
        <f t="shared" ca="1" si="86"/>
        <v>0</v>
      </c>
      <c r="S101" s="132">
        <f t="shared" ca="1" si="86"/>
        <v>0</v>
      </c>
      <c r="T101" s="132">
        <f t="shared" ca="1" si="77"/>
        <v>0</v>
      </c>
      <c r="U101" s="132">
        <f t="shared" ca="1" si="78"/>
        <v>0</v>
      </c>
    </row>
    <row r="102" spans="1:21" ht="18.75" x14ac:dyDescent="0.25">
      <c r="A102" s="257"/>
      <c r="B102" s="269"/>
      <c r="C102" s="269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7">
        <f ca="1">IFERROR(__xludf.DUMMYFUNCTION("IMPORTRANGE(""https://docs.google.com/spreadsheets/d/13wPX838HrBrQMCywv1BsuMkt4PEKTChp52zj44s2izQ/edit?usp=sharing"",""กาญจนบุรี!L101"")+IMPORTRANGE(""https://docs.google.com/spreadsheets/d/1ddFKvqj1W1NEiWytbGlB1zMx_ykJDVtmfEQ-6-lIUBA/edit?usp=sharing"","&amp;"""จันทบุรี!L101"")+IMPORTRANGE(""https://docs.google.com/spreadsheets/d/1T1PQvRODqOBZk8BRht_U031fIS1beLA0Ub2CEytj2q0/edit?usp=sharing"",""ฉะเชิงเทรา!L101"")+IMPORTRANGE(""https://docs.google.com/spreadsheets/d/11tr1B-Bhyr79v2bkwVh5h_fR-PStkgjlZtkrZpYurG0/"&amp;"edit?usp=sharing"",""ชลบุรี!L101"")+IMPORTRANGE(""https://docs.google.com/spreadsheets/d/1hh-FVnSX0vozXhGluamEcS54Dw9_zqW0N7qJUWgJ0Sw/edit?usp=sharing"",""ชัยนาท!L101"")+IMPORTRANGE(""https://docs.google.com/spreadsheets/d/1jkqa6GXxSacMcY1eN8AHjMNJ_7dDXMJ"&amp;"VRLDlaFSOdPM/edit?usp=sharing"",""ตราด!L101"")+IMPORTRANGE(""https://docs.google.com/spreadsheets/d/18hSgUJ3VwClqi_qtULmmW3cLr0oe3OKaSYoKzdpTsYQ/edit?usp=sharing"",""นครนายก!L101"")+IMPORTRANGE(""https://docs.google.com/spreadsheets/d/1YTZo6WM2dQ6Ix6FSdnL"&amp;"5P7uVnVKu40sxZu975tgG10E/edit?usp=sharing"",""นครปฐม!L101"")+IMPORTRANGE(""https://docs.google.com/spreadsheets/d/1OYoGg4WDg5RIzwGeB10padOxJF9E_Vljuvvct_M7RDo/edit?usp=sharing"",""ปทุมธานี!L101"")+IMPORTRANGE(""https://docs.google.com/spreadsheets/d/1GbCI"&amp;"E4D4wk9FUozzqk7SxfDMxDVBwVmI5zcaVUSzKAc/edit?usp=sharing"",""ประจวบคีรีขันธ์!L101"")+IMPORTRANGE(""https://docs.google.com/spreadsheets/d/1vVf6wykvW_lAyu7Yo9L4hUTqHqIeP_qcVuxCtosJEbg/edit?usp=sharing"",""ปราจีนบุรี!L101"")+IMPORTRANGE(""https://docs.googl"&amp;"e.com/spreadsheets/d/1BIDqLLg5jk3v59G8NlR8rk5xfQDKne0sAvZHSj7TI6I/edit?usp=sharing"",""พระนครศรีอยุธยา!L101"")+IMPORTRANGE(""https://docs.google.com/spreadsheets/d/1YXvxf8Yu6_rV4hTBrwMqAcAnv6DfhUxh5emyM3CJp_w/edit?usp=sharing"",""เพชรบุรี!L101"")+IMPORTRA"&amp;"NGE(""https://docs.google.com/spreadsheets/d/19KBlQQs7uwvsao6t2n-KvW3Ax8J8uRRfZPq1zPbXgKc/edit?usp=sharing"",""ระยอง!L101"")+IMPORTRANGE(""https://docs.google.com/spreadsheets/d/1jQ6P4QcrGM89YfqcC_PxOHGCMq5ezhucwJd8ci-NHng/edit?usp=sharing"",""ราชบุรี!L10"&amp;"1"")+IMPORTRANGE(""https://docs.google.com/spreadsheets/d/1lufeA2cfFqM-elVq2hznhDzC6Pr7wkJ9ZG_sYNGCMCU/edit?usp=sharing"",""ลพบุรี!L101"")+IMPORTRANGE(""https://docs.google.com/spreadsheets/d/10oOiF7loTyfsTkbd4MpaIm0HQ9SwB7IYHdIUvt-U1Uc/edit?usp=sharing"""&amp;",""สระแก้ว!L101"")+IMPORTRANGE(""https://docs.google.com/spreadsheets/d/1xmPlrr1QbdSIKvl1dWUl9K4PjAfSL9oeMr_37QVzcxc/edit?usp=sharing"",""สระบุรี!L101"")+IMPORTRANGE(""https://docs.google.com/spreadsheets/d/1j51vR6CYVGhABJpv6tkstgok82RLpXieLzW1yOY5rHw/edi"&amp;"t?usp=sharing"",""สิงห์บุรี!L101"")+IMPORTRANGE(""https://docs.google.com/spreadsheets/d/1H1EalTWKUSzO4Z1-1CwzoDUaVffgrThEBe2sl74kKG0/edit?usp=sharing"",""สุพรรณบุรี!L101"")+IMPORTRANGE(""https://docs.google.com/spreadsheets/d/1BmIruG_sIrJLYao_Pdr7zVArWsf"&amp;"oBt2692TMi6x_854/edit?usp=sharing"",""อ่างทอง!L101"")"),0)</f>
        <v>0</v>
      </c>
      <c r="M102" s="77">
        <f ca="1">IFERROR(__xludf.DUMMYFUNCTION("IMPORTRANGE(""https://docs.google.com/spreadsheets/d/13wPX838HrBrQMCywv1BsuMkt4PEKTChp52zj44s2izQ/edit?usp=sharing"",""กาญจนบุรี!M101"")+IMPORTRANGE(""https://docs.google.com/spreadsheets/d/1ddFKvqj1W1NEiWytbGlB1zMx_ykJDVtmfEQ-6-lIUBA/edit?usp=sharing"","&amp;"""จันทบุรี!M101"")+IMPORTRANGE(""https://docs.google.com/spreadsheets/d/1T1PQvRODqOBZk8BRht_U031fIS1beLA0Ub2CEytj2q0/edit?usp=sharing"",""ฉะเชิงเทรา!M101"")+IMPORTRANGE(""https://docs.google.com/spreadsheets/d/11tr1B-Bhyr79v2bkwVh5h_fR-PStkgjlZtkrZpYurG0/"&amp;"edit?usp=sharing"",""ชลบุรี!M101"")+IMPORTRANGE(""https://docs.google.com/spreadsheets/d/1hh-FVnSX0vozXhGluamEcS54Dw9_zqW0N7qJUWgJ0Sw/edit?usp=sharing"",""ชัยนาท!M101"")+IMPORTRANGE(""https://docs.google.com/spreadsheets/d/1jkqa6GXxSacMcY1eN8AHjMNJ_7dDXMJ"&amp;"VRLDlaFSOdPM/edit?usp=sharing"",""ตราด!M101"")+IMPORTRANGE(""https://docs.google.com/spreadsheets/d/18hSgUJ3VwClqi_qtULmmW3cLr0oe3OKaSYoKzdpTsYQ/edit?usp=sharing"",""นครนายก!M101"")+IMPORTRANGE(""https://docs.google.com/spreadsheets/d/1YTZo6WM2dQ6Ix6FSdnL"&amp;"5P7uVnVKu40sxZu975tgG10E/edit?usp=sharing"",""นครปฐม!M101"")+IMPORTRANGE(""https://docs.google.com/spreadsheets/d/1OYoGg4WDg5RIzwGeB10padOxJF9E_Vljuvvct_M7RDo/edit?usp=sharing"",""ปทุมธานี!M101"")+IMPORTRANGE(""https://docs.google.com/spreadsheets/d/1GbCI"&amp;"E4D4wk9FUozzqk7SxfDMxDVBwVmI5zcaVUSzKAc/edit?usp=sharing"",""ประจวบคีรีขันธ์!M101"")+IMPORTRANGE(""https://docs.google.com/spreadsheets/d/1vVf6wykvW_lAyu7Yo9L4hUTqHqIeP_qcVuxCtosJEbg/edit?usp=sharing"",""ปราจีนบุรี!M101"")+IMPORTRANGE(""https://docs.googl"&amp;"e.com/spreadsheets/d/1BIDqLLg5jk3v59G8NlR8rk5xfQDKne0sAvZHSj7TI6I/edit?usp=sharing"",""พระนครศรีอยุธยา!M101"")+IMPORTRANGE(""https://docs.google.com/spreadsheets/d/1YXvxf8Yu6_rV4hTBrwMqAcAnv6DfhUxh5emyM3CJp_w/edit?usp=sharing"",""เพชรบุรี!M101"")+IMPORTRA"&amp;"NGE(""https://docs.google.com/spreadsheets/d/19KBlQQs7uwvsao6t2n-KvW3Ax8J8uRRfZPq1zPbXgKc/edit?usp=sharing"",""ระยอง!M101"")+IMPORTRANGE(""https://docs.google.com/spreadsheets/d/1jQ6P4QcrGM89YfqcC_PxOHGCMq5ezhucwJd8ci-NHng/edit?usp=sharing"",""ราชบุรี!M10"&amp;"1"")+IMPORTRANGE(""https://docs.google.com/spreadsheets/d/1lufeA2cfFqM-elVq2hznhDzC6Pr7wkJ9ZG_sYNGCMCU/edit?usp=sharing"",""ลพบุรี!M101"")+IMPORTRANGE(""https://docs.google.com/spreadsheets/d/10oOiF7loTyfsTkbd4MpaIm0HQ9SwB7IYHdIUvt-U1Uc/edit?usp=sharing"""&amp;",""สระแก้ว!M101"")+IMPORTRANGE(""https://docs.google.com/spreadsheets/d/1xmPlrr1QbdSIKvl1dWUl9K4PjAfSL9oeMr_37QVzcxc/edit?usp=sharing"",""สระบุรี!M101"")+IMPORTRANGE(""https://docs.google.com/spreadsheets/d/1j51vR6CYVGhABJpv6tkstgok82RLpXieLzW1yOY5rHw/edi"&amp;"t?usp=sharing"",""สิงห์บุรี!M101"")+IMPORTRANGE(""https://docs.google.com/spreadsheets/d/1H1EalTWKUSzO4Z1-1CwzoDUaVffgrThEBe2sl74kKG0/edit?usp=sharing"",""สุพรรณบุรี!M101"")+IMPORTRANGE(""https://docs.google.com/spreadsheets/d/1BmIruG_sIrJLYao_Pdr7zVArWsf"&amp;"oBt2692TMi6x_854/edit?usp=sharing"",""อ่างทอง!M101"")"),0)</f>
        <v>0</v>
      </c>
      <c r="N102" s="77">
        <f ca="1">IFERROR(__xludf.DUMMYFUNCTION("IMPORTRANGE(""https://docs.google.com/spreadsheets/d/13wPX838HrBrQMCywv1BsuMkt4PEKTChp52zj44s2izQ/edit?usp=sharing"",""กาญจนบุรี!N101"")+IMPORTRANGE(""https://docs.google.com/spreadsheets/d/1ddFKvqj1W1NEiWytbGlB1zMx_ykJDVtmfEQ-6-lIUBA/edit?usp=sharing"","&amp;"""จันทบุรี!N101"")+IMPORTRANGE(""https://docs.google.com/spreadsheets/d/1T1PQvRODqOBZk8BRht_U031fIS1beLA0Ub2CEytj2q0/edit?usp=sharing"",""ฉะเชิงเทรา!N101"")+IMPORTRANGE(""https://docs.google.com/spreadsheets/d/11tr1B-Bhyr79v2bkwVh5h_fR-PStkgjlZtkrZpYurG0/"&amp;"edit?usp=sharing"",""ชลบุรี!N101"")+IMPORTRANGE(""https://docs.google.com/spreadsheets/d/1hh-FVnSX0vozXhGluamEcS54Dw9_zqW0N7qJUWgJ0Sw/edit?usp=sharing"",""ชัยนาท!N101"")+IMPORTRANGE(""https://docs.google.com/spreadsheets/d/1jkqa6GXxSacMcY1eN8AHjMNJ_7dDXMJ"&amp;"VRLDlaFSOdPM/edit?usp=sharing"",""ตราด!N101"")+IMPORTRANGE(""https://docs.google.com/spreadsheets/d/18hSgUJ3VwClqi_qtULmmW3cLr0oe3OKaSYoKzdpTsYQ/edit?usp=sharing"",""นครนายก!N101"")+IMPORTRANGE(""https://docs.google.com/spreadsheets/d/1YTZo6WM2dQ6Ix6FSdnL"&amp;"5P7uVnVKu40sxZu975tgG10E/edit?usp=sharing"",""นครปฐม!N101"")+IMPORTRANGE(""https://docs.google.com/spreadsheets/d/1OYoGg4WDg5RIzwGeB10padOxJF9E_Vljuvvct_M7RDo/edit?usp=sharing"",""ปทุมธานี!N101"")+IMPORTRANGE(""https://docs.google.com/spreadsheets/d/1GbCI"&amp;"E4D4wk9FUozzqk7SxfDMxDVBwVmI5zcaVUSzKAc/edit?usp=sharing"",""ประจวบคีรีขันธ์!N101"")+IMPORTRANGE(""https://docs.google.com/spreadsheets/d/1vVf6wykvW_lAyu7Yo9L4hUTqHqIeP_qcVuxCtosJEbg/edit?usp=sharing"",""ปราจีนบุรี!N101"")+IMPORTRANGE(""https://docs.googl"&amp;"e.com/spreadsheets/d/1BIDqLLg5jk3v59G8NlR8rk5xfQDKne0sAvZHSj7TI6I/edit?usp=sharing"",""พระนครศรีอยุธยา!N101"")+IMPORTRANGE(""https://docs.google.com/spreadsheets/d/1YXvxf8Yu6_rV4hTBrwMqAcAnv6DfhUxh5emyM3CJp_w/edit?usp=sharing"",""เพชรบุรี!N101"")+IMPORTRA"&amp;"NGE(""https://docs.google.com/spreadsheets/d/19KBlQQs7uwvsao6t2n-KvW3Ax8J8uRRfZPq1zPbXgKc/edit?usp=sharing"",""ระยอง!N101"")+IMPORTRANGE(""https://docs.google.com/spreadsheets/d/1jQ6P4QcrGM89YfqcC_PxOHGCMq5ezhucwJd8ci-NHng/edit?usp=sharing"",""ราชบุรี!N10"&amp;"1"")+IMPORTRANGE(""https://docs.google.com/spreadsheets/d/1lufeA2cfFqM-elVq2hznhDzC6Pr7wkJ9ZG_sYNGCMCU/edit?usp=sharing"",""ลพบุรี!N101"")+IMPORTRANGE(""https://docs.google.com/spreadsheets/d/10oOiF7loTyfsTkbd4MpaIm0HQ9SwB7IYHdIUvt-U1Uc/edit?usp=sharing"""&amp;",""สระแก้ว!N101"")+IMPORTRANGE(""https://docs.google.com/spreadsheets/d/1xmPlrr1QbdSIKvl1dWUl9K4PjAfSL9oeMr_37QVzcxc/edit?usp=sharing"",""สระบุรี!N101"")+IMPORTRANGE(""https://docs.google.com/spreadsheets/d/1j51vR6CYVGhABJpv6tkstgok82RLpXieLzW1yOY5rHw/edi"&amp;"t?usp=sharing"",""สิงห์บุรี!N101"")+IMPORTRANGE(""https://docs.google.com/spreadsheets/d/1H1EalTWKUSzO4Z1-1CwzoDUaVffgrThEBe2sl74kKG0/edit?usp=sharing"",""สุพรรณบุรี!N101"")+IMPORTRANGE(""https://docs.google.com/spreadsheets/d/1BmIruG_sIrJLYao_Pdr7zVArWsf"&amp;"oBt2692TMi6x_854/edit?usp=sharing"",""อ่างทอง!N101"")"),0)</f>
        <v>0</v>
      </c>
      <c r="O102" s="77">
        <f t="shared" ca="1" si="74"/>
        <v>0</v>
      </c>
      <c r="P102" s="77">
        <f t="shared" ca="1" si="75"/>
        <v>0</v>
      </c>
      <c r="Q102" s="76">
        <f ca="1">IFERROR(__xludf.DUMMYFUNCTION("IMPORTRANGE(""https://docs.google.com/spreadsheets/d/13wPX838HrBrQMCywv1BsuMkt4PEKTChp52zj44s2izQ/edit?usp=sharing"",""กาญจนบุรี!Q101"")+IMPORTRANGE(""https://docs.google.com/spreadsheets/d/1ddFKvqj1W1NEiWytbGlB1zMx_ykJDVtmfEQ-6-lIUBA/edit?usp=sharing"","&amp;"""จันทบุรี!Q101"")+IMPORTRANGE(""https://docs.google.com/spreadsheets/d/1T1PQvRODqOBZk8BRht_U031fIS1beLA0Ub2CEytj2q0/edit?usp=sharing"",""ฉะเชิงเทรา!Q101"")+IMPORTRANGE(""https://docs.google.com/spreadsheets/d/11tr1B-Bhyr79v2bkwVh5h_fR-PStkgjlZtkrZpYurG0/"&amp;"edit?usp=sharing"",""ชลบุรี!Q101"")+IMPORTRANGE(""https://docs.google.com/spreadsheets/d/1hh-FVnSX0vozXhGluamEcS54Dw9_zqW0N7qJUWgJ0Sw/edit?usp=sharing"",""ชัยนาท!Q101"")+IMPORTRANGE(""https://docs.google.com/spreadsheets/d/1jkqa6GXxSacMcY1eN8AHjMNJ_7dDXMJ"&amp;"VRLDlaFSOdPM/edit?usp=sharing"",""ตราด!Q101"")+IMPORTRANGE(""https://docs.google.com/spreadsheets/d/18hSgUJ3VwClqi_qtULmmW3cLr0oe3OKaSYoKzdpTsYQ/edit?usp=sharing"",""นครนายก!Q101"")+IMPORTRANGE(""https://docs.google.com/spreadsheets/d/1YTZo6WM2dQ6Ix6FSdnL"&amp;"5P7uVnVKu40sxZu975tgG10E/edit?usp=sharing"",""นครปฐม!Q101"")+IMPORTRANGE(""https://docs.google.com/spreadsheets/d/1OYoGg4WDg5RIzwGeB10padOxJF9E_Vljuvvct_M7RDo/edit?usp=sharing"",""ปทุมธานี!Q101"")+IMPORTRANGE(""https://docs.google.com/spreadsheets/d/1GbCI"&amp;"E4D4wk9FUozzqk7SxfDMxDVBwVmI5zcaVUSzKAc/edit?usp=sharing"",""ประจวบคีรีขันธ์!Q101"")+IMPORTRANGE(""https://docs.google.com/spreadsheets/d/1vVf6wykvW_lAyu7Yo9L4hUTqHqIeP_qcVuxCtosJEbg/edit?usp=sharing"",""ปราจีนบุรี!Q101"")+IMPORTRANGE(""https://docs.googl"&amp;"e.com/spreadsheets/d/1BIDqLLg5jk3v59G8NlR8rk5xfQDKne0sAvZHSj7TI6I/edit?usp=sharing"",""พระนครศรีอยุธยา!Q101"")+IMPORTRANGE(""https://docs.google.com/spreadsheets/d/1YXvxf8Yu6_rV4hTBrwMqAcAnv6DfhUxh5emyM3CJp_w/edit?usp=sharing"",""เพชรบุรี!Q101"")+IMPORTRA"&amp;"NGE(""https://docs.google.com/spreadsheets/d/19KBlQQs7uwvsao6t2n-KvW3Ax8J8uRRfZPq1zPbXgKc/edit?usp=sharing"",""ระยอง!Q101"")+IMPORTRANGE(""https://docs.google.com/spreadsheets/d/1jQ6P4QcrGM89YfqcC_PxOHGCMq5ezhucwJd8ci-NHng/edit?usp=sharing"",""ราชบุรี!Q10"&amp;"1"")+IMPORTRANGE(""https://docs.google.com/spreadsheets/d/1lufeA2cfFqM-elVq2hznhDzC6Pr7wkJ9ZG_sYNGCMCU/edit?usp=sharing"",""ลพบุรี!Q101"")+IMPORTRANGE(""https://docs.google.com/spreadsheets/d/10oOiF7loTyfsTkbd4MpaIm0HQ9SwB7IYHdIUvt-U1Uc/edit?usp=sharing"""&amp;",""สระแก้ว!Q101"")+IMPORTRANGE(""https://docs.google.com/spreadsheets/d/1xmPlrr1QbdSIKvl1dWUl9K4PjAfSL9oeMr_37QVzcxc/edit?usp=sharing"",""สระบุรี!Q101"")+IMPORTRANGE(""https://docs.google.com/spreadsheets/d/1j51vR6CYVGhABJpv6tkstgok82RLpXieLzW1yOY5rHw/edi"&amp;"t?usp=sharing"",""สิงห์บุรี!Q101"")+IMPORTRANGE(""https://docs.google.com/spreadsheets/d/1H1EalTWKUSzO4Z1-1CwzoDUaVffgrThEBe2sl74kKG0/edit?usp=sharing"",""สุพรรณบุรี!Q101"")+IMPORTRANGE(""https://docs.google.com/spreadsheets/d/1BmIruG_sIrJLYao_Pdr7zVArWsf"&amp;"oBt2692TMi6x_854/edit?usp=sharing"",""อ่างทอง!Q101"")"),0)</f>
        <v>0</v>
      </c>
      <c r="R102" s="77">
        <f ca="1">IFERROR(__xludf.DUMMYFUNCTION("IMPORTRANGE(""https://docs.google.com/spreadsheets/d/13wPX838HrBrQMCywv1BsuMkt4PEKTChp52zj44s2izQ/edit?usp=sharing"",""กาญจนบุรี!R101"")+IMPORTRANGE(""https://docs.google.com/spreadsheets/d/1ddFKvqj1W1NEiWytbGlB1zMx_ykJDVtmfEQ-6-lIUBA/edit?usp=sharing"","&amp;"""จันทบุรี!R101"")+IMPORTRANGE(""https://docs.google.com/spreadsheets/d/1T1PQvRODqOBZk8BRht_U031fIS1beLA0Ub2CEytj2q0/edit?usp=sharing"",""ฉะเชิงเทรา!R101"")+IMPORTRANGE(""https://docs.google.com/spreadsheets/d/11tr1B-Bhyr79v2bkwVh5h_fR-PStkgjlZtkrZpYurG0/"&amp;"edit?usp=sharing"",""ชลบุรี!R101"")+IMPORTRANGE(""https://docs.google.com/spreadsheets/d/1hh-FVnSX0vozXhGluamEcS54Dw9_zqW0N7qJUWgJ0Sw/edit?usp=sharing"",""ชัยนาท!R101"")+IMPORTRANGE(""https://docs.google.com/spreadsheets/d/1jkqa6GXxSacMcY1eN8AHjMNJ_7dDXMJ"&amp;"VRLDlaFSOdPM/edit?usp=sharing"",""ตราด!R101"")+IMPORTRANGE(""https://docs.google.com/spreadsheets/d/18hSgUJ3VwClqi_qtULmmW3cLr0oe3OKaSYoKzdpTsYQ/edit?usp=sharing"",""นครนายก!R101"")+IMPORTRANGE(""https://docs.google.com/spreadsheets/d/1YTZo6WM2dQ6Ix6FSdnL"&amp;"5P7uVnVKu40sxZu975tgG10E/edit?usp=sharing"",""นครปฐม!R101"")+IMPORTRANGE(""https://docs.google.com/spreadsheets/d/1OYoGg4WDg5RIzwGeB10padOxJF9E_Vljuvvct_M7RDo/edit?usp=sharing"",""ปทุมธานี!R101"")+IMPORTRANGE(""https://docs.google.com/spreadsheets/d/1GbCI"&amp;"E4D4wk9FUozzqk7SxfDMxDVBwVmI5zcaVUSzKAc/edit?usp=sharing"",""ประจวบคีรีขันธ์!R101"")+IMPORTRANGE(""https://docs.google.com/spreadsheets/d/1vVf6wykvW_lAyu7Yo9L4hUTqHqIeP_qcVuxCtosJEbg/edit?usp=sharing"",""ปราจีนบุรี!R101"")+IMPORTRANGE(""https://docs.googl"&amp;"e.com/spreadsheets/d/1BIDqLLg5jk3v59G8NlR8rk5xfQDKne0sAvZHSj7TI6I/edit?usp=sharing"",""พระนครศรีอยุธยา!R101"")+IMPORTRANGE(""https://docs.google.com/spreadsheets/d/1YXvxf8Yu6_rV4hTBrwMqAcAnv6DfhUxh5emyM3CJp_w/edit?usp=sharing"",""เพชรบุรี!R101"")+IMPORTRA"&amp;"NGE(""https://docs.google.com/spreadsheets/d/19KBlQQs7uwvsao6t2n-KvW3Ax8J8uRRfZPq1zPbXgKc/edit?usp=sharing"",""ระยอง!R101"")+IMPORTRANGE(""https://docs.google.com/spreadsheets/d/1jQ6P4QcrGM89YfqcC_PxOHGCMq5ezhucwJd8ci-NHng/edit?usp=sharing"",""ราชบุรี!R10"&amp;"1"")+IMPORTRANGE(""https://docs.google.com/spreadsheets/d/1lufeA2cfFqM-elVq2hznhDzC6Pr7wkJ9ZG_sYNGCMCU/edit?usp=sharing"",""ลพบุรี!R101"")+IMPORTRANGE(""https://docs.google.com/spreadsheets/d/10oOiF7loTyfsTkbd4MpaIm0HQ9SwB7IYHdIUvt-U1Uc/edit?usp=sharing"""&amp;",""สระแก้ว!R101"")+IMPORTRANGE(""https://docs.google.com/spreadsheets/d/1xmPlrr1QbdSIKvl1dWUl9K4PjAfSL9oeMr_37QVzcxc/edit?usp=sharing"",""สระบุรี!R101"")+IMPORTRANGE(""https://docs.google.com/spreadsheets/d/1j51vR6CYVGhABJpv6tkstgok82RLpXieLzW1yOY5rHw/edi"&amp;"t?usp=sharing"",""สิงห์บุรี!R101"")+IMPORTRANGE(""https://docs.google.com/spreadsheets/d/1H1EalTWKUSzO4Z1-1CwzoDUaVffgrThEBe2sl74kKG0/edit?usp=sharing"",""สุพรรณบุรี!R101"")+IMPORTRANGE(""https://docs.google.com/spreadsheets/d/1BmIruG_sIrJLYao_Pdr7zVArWsf"&amp;"oBt2692TMi6x_854/edit?usp=sharing"",""อ่างทอง!R101"")"),0)</f>
        <v>0</v>
      </c>
      <c r="S102" s="77">
        <f ca="1">IFERROR(__xludf.DUMMYFUNCTION("IMPORTRANGE(""https://docs.google.com/spreadsheets/d/13wPX838HrBrQMCywv1BsuMkt4PEKTChp52zj44s2izQ/edit?usp=sharing"",""กาญจนบุรี!S101"")+IMPORTRANGE(""https://docs.google.com/spreadsheets/d/1ddFKvqj1W1NEiWytbGlB1zMx_ykJDVtmfEQ-6-lIUBA/edit?usp=sharing"","&amp;"""จันทบุรี!S101"")+IMPORTRANGE(""https://docs.google.com/spreadsheets/d/1T1PQvRODqOBZk8BRht_U031fIS1beLA0Ub2CEytj2q0/edit?usp=sharing"",""ฉะเชิงเทรา!S101"")+IMPORTRANGE(""https://docs.google.com/spreadsheets/d/11tr1B-Bhyr79v2bkwVh5h_fR-PStkgjlZtkrZpYurG0/"&amp;"edit?usp=sharing"",""ชลบุรี!S101"")+IMPORTRANGE(""https://docs.google.com/spreadsheets/d/1hh-FVnSX0vozXhGluamEcS54Dw9_zqW0N7qJUWgJ0Sw/edit?usp=sharing"",""ชัยนาท!S101"")+IMPORTRANGE(""https://docs.google.com/spreadsheets/d/1jkqa6GXxSacMcY1eN8AHjMNJ_7dDXMJ"&amp;"VRLDlaFSOdPM/edit?usp=sharing"",""ตราด!S101"")+IMPORTRANGE(""https://docs.google.com/spreadsheets/d/18hSgUJ3VwClqi_qtULmmW3cLr0oe3OKaSYoKzdpTsYQ/edit?usp=sharing"",""นครนายก!S101"")+IMPORTRANGE(""https://docs.google.com/spreadsheets/d/1YTZo6WM2dQ6Ix6FSdnL"&amp;"5P7uVnVKu40sxZu975tgG10E/edit?usp=sharing"",""นครปฐม!S101"")+IMPORTRANGE(""https://docs.google.com/spreadsheets/d/1OYoGg4WDg5RIzwGeB10padOxJF9E_Vljuvvct_M7RDo/edit?usp=sharing"",""ปทุมธานี!S101"")+IMPORTRANGE(""https://docs.google.com/spreadsheets/d/1GbCI"&amp;"E4D4wk9FUozzqk7SxfDMxDVBwVmI5zcaVUSzKAc/edit?usp=sharing"",""ประจวบคีรีขันธ์!S101"")+IMPORTRANGE(""https://docs.google.com/spreadsheets/d/1vVf6wykvW_lAyu7Yo9L4hUTqHqIeP_qcVuxCtosJEbg/edit?usp=sharing"",""ปราจีนบุรี!S101"")+IMPORTRANGE(""https://docs.googl"&amp;"e.com/spreadsheets/d/1BIDqLLg5jk3v59G8NlR8rk5xfQDKne0sAvZHSj7TI6I/edit?usp=sharing"",""พระนครศรีอยุธยา!S101"")+IMPORTRANGE(""https://docs.google.com/spreadsheets/d/1YXvxf8Yu6_rV4hTBrwMqAcAnv6DfhUxh5emyM3CJp_w/edit?usp=sharing"",""เพชรบุรี!S101"")+IMPORTRA"&amp;"NGE(""https://docs.google.com/spreadsheets/d/19KBlQQs7uwvsao6t2n-KvW3Ax8J8uRRfZPq1zPbXgKc/edit?usp=sharing"",""ระยอง!S101"")+IMPORTRANGE(""https://docs.google.com/spreadsheets/d/1jQ6P4QcrGM89YfqcC_PxOHGCMq5ezhucwJd8ci-NHng/edit?usp=sharing"",""ราชบุรี!S10"&amp;"1"")+IMPORTRANGE(""https://docs.google.com/spreadsheets/d/1lufeA2cfFqM-elVq2hznhDzC6Pr7wkJ9ZG_sYNGCMCU/edit?usp=sharing"",""ลพบุรี!S101"")+IMPORTRANGE(""https://docs.google.com/spreadsheets/d/10oOiF7loTyfsTkbd4MpaIm0HQ9SwB7IYHdIUvt-U1Uc/edit?usp=sharing"""&amp;",""สระแก้ว!S101"")+IMPORTRANGE(""https://docs.google.com/spreadsheets/d/1xmPlrr1QbdSIKvl1dWUl9K4PjAfSL9oeMr_37QVzcxc/edit?usp=sharing"",""สระบุรี!S101"")+IMPORTRANGE(""https://docs.google.com/spreadsheets/d/1j51vR6CYVGhABJpv6tkstgok82RLpXieLzW1yOY5rHw/edi"&amp;"t?usp=sharing"",""สิงห์บุรี!S101"")+IMPORTRANGE(""https://docs.google.com/spreadsheets/d/1H1EalTWKUSzO4Z1-1CwzoDUaVffgrThEBe2sl74kKG0/edit?usp=sharing"",""สุพรรณบุรี!S101"")+IMPORTRANGE(""https://docs.google.com/spreadsheets/d/1BmIruG_sIrJLYao_Pdr7zVArWsf"&amp;"oBt2692TMi6x_854/edit?usp=sharing"",""อ่างทอง!S101"")"),0)</f>
        <v>0</v>
      </c>
      <c r="T102" s="133">
        <f t="shared" ca="1" si="77"/>
        <v>0</v>
      </c>
      <c r="U102" s="133">
        <f t="shared" ca="1" si="78"/>
        <v>0</v>
      </c>
    </row>
    <row r="103" spans="1:21" ht="18.75" x14ac:dyDescent="0.25">
      <c r="A103" s="257"/>
      <c r="B103" s="269"/>
      <c r="C103" s="269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4">
        <f ca="1">IFERROR(__xludf.DUMMYFUNCTION("IMPORTRANGE(""https://docs.google.com/spreadsheets/d/13wPX838HrBrQMCywv1BsuMkt4PEKTChp52zj44s2izQ/edit?usp=sharing"",""กาญจนบุรี!L102"")+IMPORTRANGE(""https://docs.google.com/spreadsheets/d/1ddFKvqj1W1NEiWytbGlB1zMx_ykJDVtmfEQ-6-lIUBA/edit?usp=sharing"","&amp;"""จันทบุรี!L102"")+IMPORTRANGE(""https://docs.google.com/spreadsheets/d/1T1PQvRODqOBZk8BRht_U031fIS1beLA0Ub2CEytj2q0/edit?usp=sharing"",""ฉะเชิงเทรา!L102"")+IMPORTRANGE(""https://docs.google.com/spreadsheets/d/11tr1B-Bhyr79v2bkwVh5h_fR-PStkgjlZtkrZpYurG0/"&amp;"edit?usp=sharing"",""ชลบุรี!L102"")+IMPORTRANGE(""https://docs.google.com/spreadsheets/d/1hh-FVnSX0vozXhGluamEcS54Dw9_zqW0N7qJUWgJ0Sw/edit?usp=sharing"",""ชัยนาท!L102"")+IMPORTRANGE(""https://docs.google.com/spreadsheets/d/1jkqa6GXxSacMcY1eN8AHjMNJ_7dDXMJ"&amp;"VRLDlaFSOdPM/edit?usp=sharing"",""ตราด!L102"")+IMPORTRANGE(""https://docs.google.com/spreadsheets/d/18hSgUJ3VwClqi_qtULmmW3cLr0oe3OKaSYoKzdpTsYQ/edit?usp=sharing"",""นครนายก!L102"")+IMPORTRANGE(""https://docs.google.com/spreadsheets/d/1YTZo6WM2dQ6Ix6FSdnL"&amp;"5P7uVnVKu40sxZu975tgG10E/edit?usp=sharing"",""นครปฐม!L102"")+IMPORTRANGE(""https://docs.google.com/spreadsheets/d/1OYoGg4WDg5RIzwGeB10padOxJF9E_Vljuvvct_M7RDo/edit?usp=sharing"",""ปทุมธานี!L102"")+IMPORTRANGE(""https://docs.google.com/spreadsheets/d/1GbCI"&amp;"E4D4wk9FUozzqk7SxfDMxDVBwVmI5zcaVUSzKAc/edit?usp=sharing"",""ประจวบคีรีขันธ์!L102"")+IMPORTRANGE(""https://docs.google.com/spreadsheets/d/1vVf6wykvW_lAyu7Yo9L4hUTqHqIeP_qcVuxCtosJEbg/edit?usp=sharing"",""ปราจีนบุรี!L102"")+IMPORTRANGE(""https://docs.googl"&amp;"e.com/spreadsheets/d/1BIDqLLg5jk3v59G8NlR8rk5xfQDKne0sAvZHSj7TI6I/edit?usp=sharing"",""พระนครศรีอยุธยา!L102"")+IMPORTRANGE(""https://docs.google.com/spreadsheets/d/1YXvxf8Yu6_rV4hTBrwMqAcAnv6DfhUxh5emyM3CJp_w/edit?usp=sharing"",""เพชรบุรี!L102"")+IMPORTRA"&amp;"NGE(""https://docs.google.com/spreadsheets/d/19KBlQQs7uwvsao6t2n-KvW3Ax8J8uRRfZPq1zPbXgKc/edit?usp=sharing"",""ระยอง!L102"")+IMPORTRANGE(""https://docs.google.com/spreadsheets/d/1jQ6P4QcrGM89YfqcC_PxOHGCMq5ezhucwJd8ci-NHng/edit?usp=sharing"",""ราชบุรี!L10"&amp;"2"")+IMPORTRANGE(""https://docs.google.com/spreadsheets/d/1lufeA2cfFqM-elVq2hznhDzC6Pr7wkJ9ZG_sYNGCMCU/edit?usp=sharing"",""ลพบุรี!L102"")+IMPORTRANGE(""https://docs.google.com/spreadsheets/d/10oOiF7loTyfsTkbd4MpaIm0HQ9SwB7IYHdIUvt-U1Uc/edit?usp=sharing"""&amp;",""สระแก้ว!L102"")+IMPORTRANGE(""https://docs.google.com/spreadsheets/d/1xmPlrr1QbdSIKvl1dWUl9K4PjAfSL9oeMr_37QVzcxc/edit?usp=sharing"",""สระบุรี!L102"")+IMPORTRANGE(""https://docs.google.com/spreadsheets/d/1j51vR6CYVGhABJpv6tkstgok82RLpXieLzW1yOY5rHw/edi"&amp;"t?usp=sharing"",""สิงห์บุรี!L102"")+IMPORTRANGE(""https://docs.google.com/spreadsheets/d/1H1EalTWKUSzO4Z1-1CwzoDUaVffgrThEBe2sl74kKG0/edit?usp=sharing"",""สุพรรณบุรี!L102"")+IMPORTRANGE(""https://docs.google.com/spreadsheets/d/1BmIruG_sIrJLYao_Pdr7zVArWsf"&amp;"oBt2692TMi6x_854/edit?usp=sharing"",""อ่างทอง!L102"")"),0)</f>
        <v>0</v>
      </c>
      <c r="M103" s="74">
        <f ca="1">IFERROR(__xludf.DUMMYFUNCTION("IMPORTRANGE(""https://docs.google.com/spreadsheets/d/13wPX838HrBrQMCywv1BsuMkt4PEKTChp52zj44s2izQ/edit?usp=sharing"",""กาญจนบุรี!M102"")+IMPORTRANGE(""https://docs.google.com/spreadsheets/d/1ddFKvqj1W1NEiWytbGlB1zMx_ykJDVtmfEQ-6-lIUBA/edit?usp=sharing"","&amp;"""จันทบุรี!M102"")+IMPORTRANGE(""https://docs.google.com/spreadsheets/d/1T1PQvRODqOBZk8BRht_U031fIS1beLA0Ub2CEytj2q0/edit?usp=sharing"",""ฉะเชิงเทรา!M102"")+IMPORTRANGE(""https://docs.google.com/spreadsheets/d/11tr1B-Bhyr79v2bkwVh5h_fR-PStkgjlZtkrZpYurG0/"&amp;"edit?usp=sharing"",""ชลบุรี!M102"")+IMPORTRANGE(""https://docs.google.com/spreadsheets/d/1hh-FVnSX0vozXhGluamEcS54Dw9_zqW0N7qJUWgJ0Sw/edit?usp=sharing"",""ชัยนาท!M102"")+IMPORTRANGE(""https://docs.google.com/spreadsheets/d/1jkqa6GXxSacMcY1eN8AHjMNJ_7dDXMJ"&amp;"VRLDlaFSOdPM/edit?usp=sharing"",""ตราด!M102"")+IMPORTRANGE(""https://docs.google.com/spreadsheets/d/18hSgUJ3VwClqi_qtULmmW3cLr0oe3OKaSYoKzdpTsYQ/edit?usp=sharing"",""นครนายก!M102"")+IMPORTRANGE(""https://docs.google.com/spreadsheets/d/1YTZo6WM2dQ6Ix6FSdnL"&amp;"5P7uVnVKu40sxZu975tgG10E/edit?usp=sharing"",""นครปฐม!M102"")+IMPORTRANGE(""https://docs.google.com/spreadsheets/d/1OYoGg4WDg5RIzwGeB10padOxJF9E_Vljuvvct_M7RDo/edit?usp=sharing"",""ปทุมธานี!M102"")+IMPORTRANGE(""https://docs.google.com/spreadsheets/d/1GbCI"&amp;"E4D4wk9FUozzqk7SxfDMxDVBwVmI5zcaVUSzKAc/edit?usp=sharing"",""ประจวบคีรีขันธ์!M102"")+IMPORTRANGE(""https://docs.google.com/spreadsheets/d/1vVf6wykvW_lAyu7Yo9L4hUTqHqIeP_qcVuxCtosJEbg/edit?usp=sharing"",""ปราจีนบุรี!M102"")+IMPORTRANGE(""https://docs.googl"&amp;"e.com/spreadsheets/d/1BIDqLLg5jk3v59G8NlR8rk5xfQDKne0sAvZHSj7TI6I/edit?usp=sharing"",""พระนครศรีอยุธยา!M102"")+IMPORTRANGE(""https://docs.google.com/spreadsheets/d/1YXvxf8Yu6_rV4hTBrwMqAcAnv6DfhUxh5emyM3CJp_w/edit?usp=sharing"",""เพชรบุรี!M102"")+IMPORTRA"&amp;"NGE(""https://docs.google.com/spreadsheets/d/19KBlQQs7uwvsao6t2n-KvW3Ax8J8uRRfZPq1zPbXgKc/edit?usp=sharing"",""ระยอง!M102"")+IMPORTRANGE(""https://docs.google.com/spreadsheets/d/1jQ6P4QcrGM89YfqcC_PxOHGCMq5ezhucwJd8ci-NHng/edit?usp=sharing"",""ราชบุรี!M10"&amp;"2"")+IMPORTRANGE(""https://docs.google.com/spreadsheets/d/1lufeA2cfFqM-elVq2hznhDzC6Pr7wkJ9ZG_sYNGCMCU/edit?usp=sharing"",""ลพบุรี!M102"")+IMPORTRANGE(""https://docs.google.com/spreadsheets/d/10oOiF7loTyfsTkbd4MpaIm0HQ9SwB7IYHdIUvt-U1Uc/edit?usp=sharing"""&amp;",""สระแก้ว!M102"")+IMPORTRANGE(""https://docs.google.com/spreadsheets/d/1xmPlrr1QbdSIKvl1dWUl9K4PjAfSL9oeMr_37QVzcxc/edit?usp=sharing"",""สระบุรี!M102"")+IMPORTRANGE(""https://docs.google.com/spreadsheets/d/1j51vR6CYVGhABJpv6tkstgok82RLpXieLzW1yOY5rHw/edi"&amp;"t?usp=sharing"",""สิงห์บุรี!M102"")+IMPORTRANGE(""https://docs.google.com/spreadsheets/d/1H1EalTWKUSzO4Z1-1CwzoDUaVffgrThEBe2sl74kKG0/edit?usp=sharing"",""สุพรรณบุรี!M102"")+IMPORTRANGE(""https://docs.google.com/spreadsheets/d/1BmIruG_sIrJLYao_Pdr7zVArWsf"&amp;"oBt2692TMi6x_854/edit?usp=sharing"",""อ่างทอง!M102"")"),0)</f>
        <v>0</v>
      </c>
      <c r="N103" s="74">
        <f ca="1">IFERROR(__xludf.DUMMYFUNCTION("IMPORTRANGE(""https://docs.google.com/spreadsheets/d/13wPX838HrBrQMCywv1BsuMkt4PEKTChp52zj44s2izQ/edit?usp=sharing"",""กาญจนบุรี!N102"")+IMPORTRANGE(""https://docs.google.com/spreadsheets/d/1ddFKvqj1W1NEiWytbGlB1zMx_ykJDVtmfEQ-6-lIUBA/edit?usp=sharing"","&amp;"""จันทบุรี!N102"")+IMPORTRANGE(""https://docs.google.com/spreadsheets/d/1T1PQvRODqOBZk8BRht_U031fIS1beLA0Ub2CEytj2q0/edit?usp=sharing"",""ฉะเชิงเทรา!N102"")+IMPORTRANGE(""https://docs.google.com/spreadsheets/d/11tr1B-Bhyr79v2bkwVh5h_fR-PStkgjlZtkrZpYurG0/"&amp;"edit?usp=sharing"",""ชลบุรี!N102"")+IMPORTRANGE(""https://docs.google.com/spreadsheets/d/1hh-FVnSX0vozXhGluamEcS54Dw9_zqW0N7qJUWgJ0Sw/edit?usp=sharing"",""ชัยนาท!N102"")+IMPORTRANGE(""https://docs.google.com/spreadsheets/d/1jkqa6GXxSacMcY1eN8AHjMNJ_7dDXMJ"&amp;"VRLDlaFSOdPM/edit?usp=sharing"",""ตราด!N102"")+IMPORTRANGE(""https://docs.google.com/spreadsheets/d/18hSgUJ3VwClqi_qtULmmW3cLr0oe3OKaSYoKzdpTsYQ/edit?usp=sharing"",""นครนายก!N102"")+IMPORTRANGE(""https://docs.google.com/spreadsheets/d/1YTZo6WM2dQ6Ix6FSdnL"&amp;"5P7uVnVKu40sxZu975tgG10E/edit?usp=sharing"",""นครปฐม!N102"")+IMPORTRANGE(""https://docs.google.com/spreadsheets/d/1OYoGg4WDg5RIzwGeB10padOxJF9E_Vljuvvct_M7RDo/edit?usp=sharing"",""ปทุมธานี!N102"")+IMPORTRANGE(""https://docs.google.com/spreadsheets/d/1GbCI"&amp;"E4D4wk9FUozzqk7SxfDMxDVBwVmI5zcaVUSzKAc/edit?usp=sharing"",""ประจวบคีรีขันธ์!N102"")+IMPORTRANGE(""https://docs.google.com/spreadsheets/d/1vVf6wykvW_lAyu7Yo9L4hUTqHqIeP_qcVuxCtosJEbg/edit?usp=sharing"",""ปราจีนบุรี!N102"")+IMPORTRANGE(""https://docs.googl"&amp;"e.com/spreadsheets/d/1BIDqLLg5jk3v59G8NlR8rk5xfQDKne0sAvZHSj7TI6I/edit?usp=sharing"",""พระนครศรีอยุธยา!N102"")+IMPORTRANGE(""https://docs.google.com/spreadsheets/d/1YXvxf8Yu6_rV4hTBrwMqAcAnv6DfhUxh5emyM3CJp_w/edit?usp=sharing"",""เพชรบุรี!N102"")+IMPORTRA"&amp;"NGE(""https://docs.google.com/spreadsheets/d/19KBlQQs7uwvsao6t2n-KvW3Ax8J8uRRfZPq1zPbXgKc/edit?usp=sharing"",""ระยอง!N102"")+IMPORTRANGE(""https://docs.google.com/spreadsheets/d/1jQ6P4QcrGM89YfqcC_PxOHGCMq5ezhucwJd8ci-NHng/edit?usp=sharing"",""ราชบุรี!N10"&amp;"2"")+IMPORTRANGE(""https://docs.google.com/spreadsheets/d/1lufeA2cfFqM-elVq2hznhDzC6Pr7wkJ9ZG_sYNGCMCU/edit?usp=sharing"",""ลพบุรี!N102"")+IMPORTRANGE(""https://docs.google.com/spreadsheets/d/10oOiF7loTyfsTkbd4MpaIm0HQ9SwB7IYHdIUvt-U1Uc/edit?usp=sharing"""&amp;",""สระแก้ว!N102"")+IMPORTRANGE(""https://docs.google.com/spreadsheets/d/1xmPlrr1QbdSIKvl1dWUl9K4PjAfSL9oeMr_37QVzcxc/edit?usp=sharing"",""สระบุรี!N102"")+IMPORTRANGE(""https://docs.google.com/spreadsheets/d/1j51vR6CYVGhABJpv6tkstgok82RLpXieLzW1yOY5rHw/edi"&amp;"t?usp=sharing"",""สิงห์บุรี!N102"")+IMPORTRANGE(""https://docs.google.com/spreadsheets/d/1H1EalTWKUSzO4Z1-1CwzoDUaVffgrThEBe2sl74kKG0/edit?usp=sharing"",""สุพรรณบุรี!N102"")+IMPORTRANGE(""https://docs.google.com/spreadsheets/d/1BmIruG_sIrJLYao_Pdr7zVArWsf"&amp;"oBt2692TMi6x_854/edit?usp=sharing"",""อ่างทอง!N102"")"),0)</f>
        <v>0</v>
      </c>
      <c r="O103" s="74">
        <f t="shared" ca="1" si="74"/>
        <v>0</v>
      </c>
      <c r="P103" s="74">
        <f t="shared" ca="1" si="75"/>
        <v>0</v>
      </c>
      <c r="Q103" s="73">
        <f ca="1">IFERROR(__xludf.DUMMYFUNCTION("IMPORTRANGE(""https://docs.google.com/spreadsheets/d/13wPX838HrBrQMCywv1BsuMkt4PEKTChp52zj44s2izQ/edit?usp=sharing"",""กาญจนบุรี!Q102"")+IMPORTRANGE(""https://docs.google.com/spreadsheets/d/1ddFKvqj1W1NEiWytbGlB1zMx_ykJDVtmfEQ-6-lIUBA/edit?usp=sharing"","&amp;"""จันทบุรี!Q102"")+IMPORTRANGE(""https://docs.google.com/spreadsheets/d/1T1PQvRODqOBZk8BRht_U031fIS1beLA0Ub2CEytj2q0/edit?usp=sharing"",""ฉะเชิงเทรา!Q102"")+IMPORTRANGE(""https://docs.google.com/spreadsheets/d/11tr1B-Bhyr79v2bkwVh5h_fR-PStkgjlZtkrZpYurG0/"&amp;"edit?usp=sharing"",""ชลบุรี!Q102"")+IMPORTRANGE(""https://docs.google.com/spreadsheets/d/1hh-FVnSX0vozXhGluamEcS54Dw9_zqW0N7qJUWgJ0Sw/edit?usp=sharing"",""ชัยนาท!Q102"")+IMPORTRANGE(""https://docs.google.com/spreadsheets/d/1jkqa6GXxSacMcY1eN8AHjMNJ_7dDXMJ"&amp;"VRLDlaFSOdPM/edit?usp=sharing"",""ตราด!Q102"")+IMPORTRANGE(""https://docs.google.com/spreadsheets/d/18hSgUJ3VwClqi_qtULmmW3cLr0oe3OKaSYoKzdpTsYQ/edit?usp=sharing"",""นครนายก!Q102"")+IMPORTRANGE(""https://docs.google.com/spreadsheets/d/1YTZo6WM2dQ6Ix6FSdnL"&amp;"5P7uVnVKu40sxZu975tgG10E/edit?usp=sharing"",""นครปฐม!Q102"")+IMPORTRANGE(""https://docs.google.com/spreadsheets/d/1OYoGg4WDg5RIzwGeB10padOxJF9E_Vljuvvct_M7RDo/edit?usp=sharing"",""ปทุมธานี!Q102"")+IMPORTRANGE(""https://docs.google.com/spreadsheets/d/1GbCI"&amp;"E4D4wk9FUozzqk7SxfDMxDVBwVmI5zcaVUSzKAc/edit?usp=sharing"",""ประจวบคีรีขันธ์!Q102"")+IMPORTRANGE(""https://docs.google.com/spreadsheets/d/1vVf6wykvW_lAyu7Yo9L4hUTqHqIeP_qcVuxCtosJEbg/edit?usp=sharing"",""ปราจีนบุรี!Q102"")+IMPORTRANGE(""https://docs.googl"&amp;"e.com/spreadsheets/d/1BIDqLLg5jk3v59G8NlR8rk5xfQDKne0sAvZHSj7TI6I/edit?usp=sharing"",""พระนครศรีอยุธยา!Q102"")+IMPORTRANGE(""https://docs.google.com/spreadsheets/d/1YXvxf8Yu6_rV4hTBrwMqAcAnv6DfhUxh5emyM3CJp_w/edit?usp=sharing"",""เพชรบุรี!Q102"")+IMPORTRA"&amp;"NGE(""https://docs.google.com/spreadsheets/d/19KBlQQs7uwvsao6t2n-KvW3Ax8J8uRRfZPq1zPbXgKc/edit?usp=sharing"",""ระยอง!Q102"")+IMPORTRANGE(""https://docs.google.com/spreadsheets/d/1jQ6P4QcrGM89YfqcC_PxOHGCMq5ezhucwJd8ci-NHng/edit?usp=sharing"",""ราชบุรี!Q10"&amp;"2"")+IMPORTRANGE(""https://docs.google.com/spreadsheets/d/1lufeA2cfFqM-elVq2hznhDzC6Pr7wkJ9ZG_sYNGCMCU/edit?usp=sharing"",""ลพบุรี!Q102"")+IMPORTRANGE(""https://docs.google.com/spreadsheets/d/10oOiF7loTyfsTkbd4MpaIm0HQ9SwB7IYHdIUvt-U1Uc/edit?usp=sharing"""&amp;",""สระแก้ว!Q102"")+IMPORTRANGE(""https://docs.google.com/spreadsheets/d/1xmPlrr1QbdSIKvl1dWUl9K4PjAfSL9oeMr_37QVzcxc/edit?usp=sharing"",""สระบุรี!Q102"")+IMPORTRANGE(""https://docs.google.com/spreadsheets/d/1j51vR6CYVGhABJpv6tkstgok82RLpXieLzW1yOY5rHw/edi"&amp;"t?usp=sharing"",""สิงห์บุรี!Q102"")+IMPORTRANGE(""https://docs.google.com/spreadsheets/d/1H1EalTWKUSzO4Z1-1CwzoDUaVffgrThEBe2sl74kKG0/edit?usp=sharing"",""สุพรรณบุรี!Q102"")+IMPORTRANGE(""https://docs.google.com/spreadsheets/d/1BmIruG_sIrJLYao_Pdr7zVArWsf"&amp;"oBt2692TMi6x_854/edit?usp=sharing"",""อ่างทอง!Q102"")"),0)</f>
        <v>0</v>
      </c>
      <c r="R103" s="74">
        <f ca="1">IFERROR(__xludf.DUMMYFUNCTION("IMPORTRANGE(""https://docs.google.com/spreadsheets/d/13wPX838HrBrQMCywv1BsuMkt4PEKTChp52zj44s2izQ/edit?usp=sharing"",""กาญจนบุรี!R102"")+IMPORTRANGE(""https://docs.google.com/spreadsheets/d/1ddFKvqj1W1NEiWytbGlB1zMx_ykJDVtmfEQ-6-lIUBA/edit?usp=sharing"","&amp;"""จันทบุรี!R102"")+IMPORTRANGE(""https://docs.google.com/spreadsheets/d/1T1PQvRODqOBZk8BRht_U031fIS1beLA0Ub2CEytj2q0/edit?usp=sharing"",""ฉะเชิงเทรา!R102"")+IMPORTRANGE(""https://docs.google.com/spreadsheets/d/11tr1B-Bhyr79v2bkwVh5h_fR-PStkgjlZtkrZpYurG0/"&amp;"edit?usp=sharing"",""ชลบุรี!R102"")+IMPORTRANGE(""https://docs.google.com/spreadsheets/d/1hh-FVnSX0vozXhGluamEcS54Dw9_zqW0N7qJUWgJ0Sw/edit?usp=sharing"",""ชัยนาท!R102"")+IMPORTRANGE(""https://docs.google.com/spreadsheets/d/1jkqa6GXxSacMcY1eN8AHjMNJ_7dDXMJ"&amp;"VRLDlaFSOdPM/edit?usp=sharing"",""ตราด!R102"")+IMPORTRANGE(""https://docs.google.com/spreadsheets/d/18hSgUJ3VwClqi_qtULmmW3cLr0oe3OKaSYoKzdpTsYQ/edit?usp=sharing"",""นครนายก!R102"")+IMPORTRANGE(""https://docs.google.com/spreadsheets/d/1YTZo6WM2dQ6Ix6FSdnL"&amp;"5P7uVnVKu40sxZu975tgG10E/edit?usp=sharing"",""นครปฐม!R102"")+IMPORTRANGE(""https://docs.google.com/spreadsheets/d/1OYoGg4WDg5RIzwGeB10padOxJF9E_Vljuvvct_M7RDo/edit?usp=sharing"",""ปทุมธานี!R102"")+IMPORTRANGE(""https://docs.google.com/spreadsheets/d/1GbCI"&amp;"E4D4wk9FUozzqk7SxfDMxDVBwVmI5zcaVUSzKAc/edit?usp=sharing"",""ประจวบคีรีขันธ์!R102"")+IMPORTRANGE(""https://docs.google.com/spreadsheets/d/1vVf6wykvW_lAyu7Yo9L4hUTqHqIeP_qcVuxCtosJEbg/edit?usp=sharing"",""ปราจีนบุรี!R102"")+IMPORTRANGE(""https://docs.googl"&amp;"e.com/spreadsheets/d/1BIDqLLg5jk3v59G8NlR8rk5xfQDKne0sAvZHSj7TI6I/edit?usp=sharing"",""พระนครศรีอยุธยา!R102"")+IMPORTRANGE(""https://docs.google.com/spreadsheets/d/1YXvxf8Yu6_rV4hTBrwMqAcAnv6DfhUxh5emyM3CJp_w/edit?usp=sharing"",""เพชรบุรี!R102"")+IMPORTRA"&amp;"NGE(""https://docs.google.com/spreadsheets/d/19KBlQQs7uwvsao6t2n-KvW3Ax8J8uRRfZPq1zPbXgKc/edit?usp=sharing"",""ระยอง!R102"")+IMPORTRANGE(""https://docs.google.com/spreadsheets/d/1jQ6P4QcrGM89YfqcC_PxOHGCMq5ezhucwJd8ci-NHng/edit?usp=sharing"",""ราชบุรี!R10"&amp;"2"")+IMPORTRANGE(""https://docs.google.com/spreadsheets/d/1lufeA2cfFqM-elVq2hznhDzC6Pr7wkJ9ZG_sYNGCMCU/edit?usp=sharing"",""ลพบุรี!R102"")+IMPORTRANGE(""https://docs.google.com/spreadsheets/d/10oOiF7loTyfsTkbd4MpaIm0HQ9SwB7IYHdIUvt-U1Uc/edit?usp=sharing"""&amp;",""สระแก้ว!R102"")+IMPORTRANGE(""https://docs.google.com/spreadsheets/d/1xmPlrr1QbdSIKvl1dWUl9K4PjAfSL9oeMr_37QVzcxc/edit?usp=sharing"",""สระบุรี!R102"")+IMPORTRANGE(""https://docs.google.com/spreadsheets/d/1j51vR6CYVGhABJpv6tkstgok82RLpXieLzW1yOY5rHw/edi"&amp;"t?usp=sharing"",""สิงห์บุรี!R102"")+IMPORTRANGE(""https://docs.google.com/spreadsheets/d/1H1EalTWKUSzO4Z1-1CwzoDUaVffgrThEBe2sl74kKG0/edit?usp=sharing"",""สุพรรณบุรี!R102"")+IMPORTRANGE(""https://docs.google.com/spreadsheets/d/1BmIruG_sIrJLYao_Pdr7zVArWsf"&amp;"oBt2692TMi6x_854/edit?usp=sharing"",""อ่างทอง!R102"")"),0)</f>
        <v>0</v>
      </c>
      <c r="S103" s="74">
        <f ca="1">IFERROR(__xludf.DUMMYFUNCTION("IMPORTRANGE(""https://docs.google.com/spreadsheets/d/13wPX838HrBrQMCywv1BsuMkt4PEKTChp52zj44s2izQ/edit?usp=sharing"",""กาญจนบุรี!S102"")+IMPORTRANGE(""https://docs.google.com/spreadsheets/d/1ddFKvqj1W1NEiWytbGlB1zMx_ykJDVtmfEQ-6-lIUBA/edit?usp=sharing"","&amp;"""จันทบุรี!S102"")+IMPORTRANGE(""https://docs.google.com/spreadsheets/d/1T1PQvRODqOBZk8BRht_U031fIS1beLA0Ub2CEytj2q0/edit?usp=sharing"",""ฉะเชิงเทรา!S102"")+IMPORTRANGE(""https://docs.google.com/spreadsheets/d/11tr1B-Bhyr79v2bkwVh5h_fR-PStkgjlZtkrZpYurG0/"&amp;"edit?usp=sharing"",""ชลบุรี!S102"")+IMPORTRANGE(""https://docs.google.com/spreadsheets/d/1hh-FVnSX0vozXhGluamEcS54Dw9_zqW0N7qJUWgJ0Sw/edit?usp=sharing"",""ชัยนาท!S102"")+IMPORTRANGE(""https://docs.google.com/spreadsheets/d/1jkqa6GXxSacMcY1eN8AHjMNJ_7dDXMJ"&amp;"VRLDlaFSOdPM/edit?usp=sharing"",""ตราด!S102"")+IMPORTRANGE(""https://docs.google.com/spreadsheets/d/18hSgUJ3VwClqi_qtULmmW3cLr0oe3OKaSYoKzdpTsYQ/edit?usp=sharing"",""นครนายก!S102"")+IMPORTRANGE(""https://docs.google.com/spreadsheets/d/1YTZo6WM2dQ6Ix6FSdnL"&amp;"5P7uVnVKu40sxZu975tgG10E/edit?usp=sharing"",""นครปฐม!S102"")+IMPORTRANGE(""https://docs.google.com/spreadsheets/d/1OYoGg4WDg5RIzwGeB10padOxJF9E_Vljuvvct_M7RDo/edit?usp=sharing"",""ปทุมธานี!S102"")+IMPORTRANGE(""https://docs.google.com/spreadsheets/d/1GbCI"&amp;"E4D4wk9FUozzqk7SxfDMxDVBwVmI5zcaVUSzKAc/edit?usp=sharing"",""ประจวบคีรีขันธ์!S102"")+IMPORTRANGE(""https://docs.google.com/spreadsheets/d/1vVf6wykvW_lAyu7Yo9L4hUTqHqIeP_qcVuxCtosJEbg/edit?usp=sharing"",""ปราจีนบุรี!S102"")+IMPORTRANGE(""https://docs.googl"&amp;"e.com/spreadsheets/d/1BIDqLLg5jk3v59G8NlR8rk5xfQDKne0sAvZHSj7TI6I/edit?usp=sharing"",""พระนครศรีอยุธยา!S102"")+IMPORTRANGE(""https://docs.google.com/spreadsheets/d/1YXvxf8Yu6_rV4hTBrwMqAcAnv6DfhUxh5emyM3CJp_w/edit?usp=sharing"",""เพชรบุรี!S102"")+IMPORTRA"&amp;"NGE(""https://docs.google.com/spreadsheets/d/19KBlQQs7uwvsao6t2n-KvW3Ax8J8uRRfZPq1zPbXgKc/edit?usp=sharing"",""ระยอง!S102"")+IMPORTRANGE(""https://docs.google.com/spreadsheets/d/1jQ6P4QcrGM89YfqcC_PxOHGCMq5ezhucwJd8ci-NHng/edit?usp=sharing"",""ราชบุรี!S10"&amp;"2"")+IMPORTRANGE(""https://docs.google.com/spreadsheets/d/1lufeA2cfFqM-elVq2hznhDzC6Pr7wkJ9ZG_sYNGCMCU/edit?usp=sharing"",""ลพบุรี!S102"")+IMPORTRANGE(""https://docs.google.com/spreadsheets/d/10oOiF7loTyfsTkbd4MpaIm0HQ9SwB7IYHdIUvt-U1Uc/edit?usp=sharing"""&amp;",""สระแก้ว!S102"")+IMPORTRANGE(""https://docs.google.com/spreadsheets/d/1xmPlrr1QbdSIKvl1dWUl9K4PjAfSL9oeMr_37QVzcxc/edit?usp=sharing"",""สระบุรี!S102"")+IMPORTRANGE(""https://docs.google.com/spreadsheets/d/1j51vR6CYVGhABJpv6tkstgok82RLpXieLzW1yOY5rHw/edi"&amp;"t?usp=sharing"",""สิงห์บุรี!S102"")+IMPORTRANGE(""https://docs.google.com/spreadsheets/d/1H1EalTWKUSzO4Z1-1CwzoDUaVffgrThEBe2sl74kKG0/edit?usp=sharing"",""สุพรรณบุรี!S102"")+IMPORTRANGE(""https://docs.google.com/spreadsheets/d/1BmIruG_sIrJLYao_Pdr7zVArWsf"&amp;"oBt2692TMi6x_854/edit?usp=sharing"",""อ่างทอง!S102"")"),0)</f>
        <v>0</v>
      </c>
      <c r="T103" s="132">
        <f t="shared" ca="1" si="77"/>
        <v>0</v>
      </c>
      <c r="U103" s="132">
        <f t="shared" ca="1" si="78"/>
        <v>0</v>
      </c>
    </row>
    <row r="104" spans="1:21" ht="19.5" x14ac:dyDescent="0.3">
      <c r="A104" s="276"/>
      <c r="B104" s="277"/>
      <c r="C104" s="278" t="s">
        <v>18</v>
      </c>
      <c r="D104" s="279" t="s">
        <v>38</v>
      </c>
      <c r="E104" s="280"/>
      <c r="F104" s="280"/>
      <c r="G104" s="281"/>
      <c r="H104" s="282"/>
      <c r="I104" s="272"/>
      <c r="J104" s="263"/>
      <c r="K104" s="87"/>
      <c r="L104" s="87"/>
      <c r="M104" s="87"/>
      <c r="N104" s="87"/>
      <c r="O104" s="229"/>
      <c r="P104" s="229"/>
      <c r="Q104" s="86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30"/>
      <c r="M105" s="30"/>
      <c r="N105" s="30"/>
      <c r="O105" s="30"/>
      <c r="P105" s="30"/>
      <c r="Q105" s="29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30"/>
      <c r="M106" s="30"/>
      <c r="N106" s="30"/>
      <c r="O106" s="30"/>
      <c r="P106" s="30"/>
      <c r="Q106" s="29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30"/>
      <c r="M107" s="30"/>
      <c r="N107" s="30"/>
      <c r="O107" s="30"/>
      <c r="P107" s="30"/>
      <c r="Q107" s="29"/>
      <c r="R107" s="30"/>
      <c r="S107" s="30"/>
      <c r="T107" s="30"/>
      <c r="U107" s="30"/>
    </row>
    <row r="108" spans="1:21" ht="19.5" x14ac:dyDescent="0.3">
      <c r="A108" s="276"/>
      <c r="B108" s="277"/>
      <c r="C108" s="277"/>
      <c r="D108" s="288" t="s">
        <v>47</v>
      </c>
      <c r="E108" s="289"/>
      <c r="F108" s="290"/>
      <c r="G108" s="282"/>
      <c r="H108" s="261"/>
      <c r="I108" s="263"/>
      <c r="J108" s="263"/>
      <c r="K108" s="87"/>
      <c r="L108" s="87"/>
      <c r="M108" s="87"/>
      <c r="N108" s="87"/>
      <c r="O108" s="229"/>
      <c r="P108" s="229"/>
      <c r="Q108" s="86"/>
      <c r="R108" s="87"/>
      <c r="S108" s="87"/>
      <c r="T108" s="229"/>
      <c r="U108" s="229"/>
    </row>
    <row r="109" spans="1:21" ht="18.75" x14ac:dyDescent="0.25">
      <c r="A109" s="276"/>
      <c r="B109" s="277"/>
      <c r="C109" s="277"/>
      <c r="D109" s="291" t="s">
        <v>48</v>
      </c>
      <c r="E109" s="290"/>
      <c r="F109" s="290"/>
      <c r="G109" s="282"/>
      <c r="H109" s="292" t="s">
        <v>46</v>
      </c>
      <c r="I109" s="293">
        <f ca="1">IFERROR(__xludf.DUMMYFUNCTION("IMPORTRANGE(""https://docs.google.com/spreadsheets/d/13wPX838HrBrQMCywv1BsuMkt4PEKTChp52zj44s2izQ/edit?usp=sharing"",""กาญจนบุรี!I108"")+IMPORTRANGE(""https://docs.google.com/spreadsheets/d/1ddFKvqj1W1NEiWytbGlB1zMx_ykJDVtmfEQ-6-lIUBA/edit?usp=sharing"","&amp;"""จันทบุรี!I108"")+IMPORTRANGE(""https://docs.google.com/spreadsheets/d/1T1PQvRODqOBZk8BRht_U031fIS1beLA0Ub2CEytj2q0/edit?usp=sharing"",""ฉะเชิงเทรา!I108"")+IMPORTRANGE(""https://docs.google.com/spreadsheets/d/11tr1B-Bhyr79v2bkwVh5h_fR-PStkgjlZtkrZpYurG0/"&amp;"edit?usp=sharing"",""ชลบุรี!I108"")+IMPORTRANGE(""https://docs.google.com/spreadsheets/d/1hh-FVnSX0vozXhGluamEcS54Dw9_zqW0N7qJUWgJ0Sw/edit?usp=sharing"",""ชัยนาท!I108"")+IMPORTRANGE(""https://docs.google.com/spreadsheets/d/1jkqa6GXxSacMcY1eN8AHjMNJ_7dDXMJ"&amp;"VRLDlaFSOdPM/edit?usp=sharing"",""ตราด!I108"")+IMPORTRANGE(""https://docs.google.com/spreadsheets/d/18hSgUJ3VwClqi_qtULmmW3cLr0oe3OKaSYoKzdpTsYQ/edit?usp=sharing"",""นครนายก!I108"")+IMPORTRANGE(""https://docs.google.com/spreadsheets/d/1YTZo6WM2dQ6Ix6FSdnL"&amp;"5P7uVnVKu40sxZu975tgG10E/edit?usp=sharing"",""นครปฐม!I108"")+IMPORTRANGE(""https://docs.google.com/spreadsheets/d/1OYoGg4WDg5RIzwGeB10padOxJF9E_Vljuvvct_M7RDo/edit?usp=sharing"",""ปทุมธานี!I108"")+IMPORTRANGE(""https://docs.google.com/spreadsheets/d/1GbCI"&amp;"E4D4wk9FUozzqk7SxfDMxDVBwVmI5zcaVUSzKAc/edit?usp=sharing"",""ประจวบคีรีขันธ์!I108"")+IMPORTRANGE(""https://docs.google.com/spreadsheets/d/1vVf6wykvW_lAyu7Yo9L4hUTqHqIeP_qcVuxCtosJEbg/edit?usp=sharing"",""ปราจีนบุรี!I108"")+IMPORTRANGE(""https://docs.googl"&amp;"e.com/spreadsheets/d/1BIDqLLg5jk3v59G8NlR8rk5xfQDKne0sAvZHSj7TI6I/edit?usp=sharing"",""พระนครศรีอยุธยา!I108"")+IMPORTRANGE(""https://docs.google.com/spreadsheets/d/1YXvxf8Yu6_rV4hTBrwMqAcAnv6DfhUxh5emyM3CJp_w/edit?usp=sharing"",""เพชรบุรี!I108"")+IMPORTRA"&amp;"NGE(""https://docs.google.com/spreadsheets/d/19KBlQQs7uwvsao6t2n-KvW3Ax8J8uRRfZPq1zPbXgKc/edit?usp=sharing"",""ระยอง!I108"")+IMPORTRANGE(""https://docs.google.com/spreadsheets/d/1jQ6P4QcrGM89YfqcC_PxOHGCMq5ezhucwJd8ci-NHng/edit?usp=sharing"",""ราชบุรี!I10"&amp;"8"")+IMPORTRANGE(""https://docs.google.com/spreadsheets/d/1lufeA2cfFqM-elVq2hznhDzC6Pr7wkJ9ZG_sYNGCMCU/edit?usp=sharing"",""ลพบุรี!I108"")+IMPORTRANGE(""https://docs.google.com/spreadsheets/d/10oOiF7loTyfsTkbd4MpaIm0HQ9SwB7IYHdIUvt-U1Uc/edit?usp=sharing"""&amp;",""สระแก้ว!I108"")+IMPORTRANGE(""https://docs.google.com/spreadsheets/d/1xmPlrr1QbdSIKvl1dWUl9K4PjAfSL9oeMr_37QVzcxc/edit?usp=sharing"",""สระบุรี!I108"")+IMPORTRANGE(""https://docs.google.com/spreadsheets/d/1j51vR6CYVGhABJpv6tkstgok82RLpXieLzW1yOY5rHw/edi"&amp;"t?usp=sharing"",""สิงห์บุรี!I108"")+IMPORTRANGE(""https://docs.google.com/spreadsheets/d/1H1EalTWKUSzO4Z1-1CwzoDUaVffgrThEBe2sl74kKG0/edit?usp=sharing"",""สุพรรณบุรี!I108"")+IMPORTRANGE(""https://docs.google.com/spreadsheets/d/1BmIruG_sIrJLYao_Pdr7zVArWsf"&amp;"oBt2692TMi6x_854/edit?usp=sharing"",""อ่างทอง!I108"")"),381)</f>
        <v>381</v>
      </c>
      <c r="J109" s="294">
        <f ca="1">IFERROR(__xludf.DUMMYFUNCTION("IMPORTRANGE(""https://docs.google.com/spreadsheets/d/13wPX838HrBrQMCywv1BsuMkt4PEKTChp52zj44s2izQ/edit?usp=sharing"",""กาญจนบุรี!J108"")+IMPORTRANGE(""https://docs.google.com/spreadsheets/d/1ddFKvqj1W1NEiWytbGlB1zMx_ykJDVtmfEQ-6-lIUBA/edit?usp=sharing"","&amp;"""จันทบุรี!J108"")+IMPORTRANGE(""https://docs.google.com/spreadsheets/d/1T1PQvRODqOBZk8BRht_U031fIS1beLA0Ub2CEytj2q0/edit?usp=sharing"",""ฉะเชิงเทรา!J108"")+IMPORTRANGE(""https://docs.google.com/spreadsheets/d/11tr1B-Bhyr79v2bkwVh5h_fR-PStkgjlZtkrZpYurG0/"&amp;"edit?usp=sharing"",""ชลบุรี!J108"")+IMPORTRANGE(""https://docs.google.com/spreadsheets/d/1hh-FVnSX0vozXhGluamEcS54Dw9_zqW0N7qJUWgJ0Sw/edit?usp=sharing"",""ชัยนาท!J108"")+IMPORTRANGE(""https://docs.google.com/spreadsheets/d/1jkqa6GXxSacMcY1eN8AHjMNJ_7dDXMJ"&amp;"VRLDlaFSOdPM/edit?usp=sharing"",""ตราด!J108"")+IMPORTRANGE(""https://docs.google.com/spreadsheets/d/18hSgUJ3VwClqi_qtULmmW3cLr0oe3OKaSYoKzdpTsYQ/edit?usp=sharing"",""นครนายก!J108"")+IMPORTRANGE(""https://docs.google.com/spreadsheets/d/1YTZo6WM2dQ6Ix6FSdnL"&amp;"5P7uVnVKu40sxZu975tgG10E/edit?usp=sharing"",""นครปฐม!J108"")+IMPORTRANGE(""https://docs.google.com/spreadsheets/d/1OYoGg4WDg5RIzwGeB10padOxJF9E_Vljuvvct_M7RDo/edit?usp=sharing"",""ปทุมธานี!J108"")+IMPORTRANGE(""https://docs.google.com/spreadsheets/d/1GbCI"&amp;"E4D4wk9FUozzqk7SxfDMxDVBwVmI5zcaVUSzKAc/edit?usp=sharing"",""ประจวบคีรีขันธ์!J108"")+IMPORTRANGE(""https://docs.google.com/spreadsheets/d/1vVf6wykvW_lAyu7Yo9L4hUTqHqIeP_qcVuxCtosJEbg/edit?usp=sharing"",""ปราจีนบุรี!J108"")+IMPORTRANGE(""https://docs.googl"&amp;"e.com/spreadsheets/d/1BIDqLLg5jk3v59G8NlR8rk5xfQDKne0sAvZHSj7TI6I/edit?usp=sharing"",""พระนครศรีอยุธยา!J108"")+IMPORTRANGE(""https://docs.google.com/spreadsheets/d/1YXvxf8Yu6_rV4hTBrwMqAcAnv6DfhUxh5emyM3CJp_w/edit?usp=sharing"",""เพชรบุรี!J108"")+IMPORTRA"&amp;"NGE(""https://docs.google.com/spreadsheets/d/19KBlQQs7uwvsao6t2n-KvW3Ax8J8uRRfZPq1zPbXgKc/edit?usp=sharing"",""ระยอง!J108"")+IMPORTRANGE(""https://docs.google.com/spreadsheets/d/1jQ6P4QcrGM89YfqcC_PxOHGCMq5ezhucwJd8ci-NHng/edit?usp=sharing"",""ราชบุรี!J10"&amp;"8"")+IMPORTRANGE(""https://docs.google.com/spreadsheets/d/1lufeA2cfFqM-elVq2hznhDzC6Pr7wkJ9ZG_sYNGCMCU/edit?usp=sharing"",""ลพบุรี!J108"")+IMPORTRANGE(""https://docs.google.com/spreadsheets/d/10oOiF7loTyfsTkbd4MpaIm0HQ9SwB7IYHdIUvt-U1Uc/edit?usp=sharing"""&amp;",""สระแก้ว!J108"")+IMPORTRANGE(""https://docs.google.com/spreadsheets/d/1xmPlrr1QbdSIKvl1dWUl9K4PjAfSL9oeMr_37QVzcxc/edit?usp=sharing"",""สระบุรี!J108"")+IMPORTRANGE(""https://docs.google.com/spreadsheets/d/1j51vR6CYVGhABJpv6tkstgok82RLpXieLzW1yOY5rHw/edi"&amp;"t?usp=sharing"",""สิงห์บุรี!J108"")+IMPORTRANGE(""https://docs.google.com/spreadsheets/d/1H1EalTWKUSzO4Z1-1CwzoDUaVffgrThEBe2sl74kKG0/edit?usp=sharing"",""สุพรรณบุรี!J108"")+IMPORTRANGE(""https://docs.google.com/spreadsheets/d/1BmIruG_sIrJLYao_Pdr7zVArWsf"&amp;"oBt2692TMi6x_854/edit?usp=sharing"",""อ่างทอง!J108"")"),0)</f>
        <v>0</v>
      </c>
      <c r="K109" s="74">
        <f t="shared" ref="K109:K110" ca="1" si="87">IF(I109&gt;0,J109*100/I109,0)</f>
        <v>0</v>
      </c>
      <c r="L109" s="87"/>
      <c r="M109" s="87"/>
      <c r="N109" s="87"/>
      <c r="O109" s="229"/>
      <c r="P109" s="229"/>
      <c r="Q109" s="86"/>
      <c r="R109" s="87"/>
      <c r="S109" s="87"/>
      <c r="T109" s="229"/>
      <c r="U109" s="229"/>
    </row>
    <row r="110" spans="1:21" ht="18.75" x14ac:dyDescent="0.25">
      <c r="A110" s="276"/>
      <c r="B110" s="277"/>
      <c r="C110" s="277"/>
      <c r="D110" s="295" t="s">
        <v>49</v>
      </c>
      <c r="E110" s="296"/>
      <c r="F110" s="290"/>
      <c r="G110" s="282"/>
      <c r="H110" s="292" t="s">
        <v>35</v>
      </c>
      <c r="I110" s="293">
        <f ca="1">IFERROR(__xludf.DUMMYFUNCTION("IMPORTRANGE(""https://docs.google.com/spreadsheets/d/13wPX838HrBrQMCywv1BsuMkt4PEKTChp52zj44s2izQ/edit?usp=sharing"",""กาญจนบุรี!I109"")+IMPORTRANGE(""https://docs.google.com/spreadsheets/d/1ddFKvqj1W1NEiWytbGlB1zMx_ykJDVtmfEQ-6-lIUBA/edit?usp=sharing"","&amp;"""จันทบุรี!I109"")+IMPORTRANGE(""https://docs.google.com/spreadsheets/d/1T1PQvRODqOBZk8BRht_U031fIS1beLA0Ub2CEytj2q0/edit?usp=sharing"",""ฉะเชิงเทรา!I109"")+IMPORTRANGE(""https://docs.google.com/spreadsheets/d/11tr1B-Bhyr79v2bkwVh5h_fR-PStkgjlZtkrZpYurG0/"&amp;"edit?usp=sharing"",""ชลบุรี!I109"")+IMPORTRANGE(""https://docs.google.com/spreadsheets/d/1hh-FVnSX0vozXhGluamEcS54Dw9_zqW0N7qJUWgJ0Sw/edit?usp=sharing"",""ชัยนาท!I109"")+IMPORTRANGE(""https://docs.google.com/spreadsheets/d/1jkqa6GXxSacMcY1eN8AHjMNJ_7dDXMJ"&amp;"VRLDlaFSOdPM/edit?usp=sharing"",""ตราด!I109"")+IMPORTRANGE(""https://docs.google.com/spreadsheets/d/18hSgUJ3VwClqi_qtULmmW3cLr0oe3OKaSYoKzdpTsYQ/edit?usp=sharing"",""นครนายก!I109"")+IMPORTRANGE(""https://docs.google.com/spreadsheets/d/1YTZo6WM2dQ6Ix6FSdnL"&amp;"5P7uVnVKu40sxZu975tgG10E/edit?usp=sharing"",""นครปฐม!I109"")+IMPORTRANGE(""https://docs.google.com/spreadsheets/d/1OYoGg4WDg5RIzwGeB10padOxJF9E_Vljuvvct_M7RDo/edit?usp=sharing"",""ปทุมธานี!I109"")+IMPORTRANGE(""https://docs.google.com/spreadsheets/d/1GbCI"&amp;"E4D4wk9FUozzqk7SxfDMxDVBwVmI5zcaVUSzKAc/edit?usp=sharing"",""ประจวบคีรีขันธ์!I109"")+IMPORTRANGE(""https://docs.google.com/spreadsheets/d/1vVf6wykvW_lAyu7Yo9L4hUTqHqIeP_qcVuxCtosJEbg/edit?usp=sharing"",""ปราจีนบุรี!I109"")+IMPORTRANGE(""https://docs.googl"&amp;"e.com/spreadsheets/d/1BIDqLLg5jk3v59G8NlR8rk5xfQDKne0sAvZHSj7TI6I/edit?usp=sharing"",""พระนครศรีอยุธยา!I109"")+IMPORTRANGE(""https://docs.google.com/spreadsheets/d/1YXvxf8Yu6_rV4hTBrwMqAcAnv6DfhUxh5emyM3CJp_w/edit?usp=sharing"",""เพชรบุรี!I109"")+IMPORTRA"&amp;"NGE(""https://docs.google.com/spreadsheets/d/19KBlQQs7uwvsao6t2n-KvW3Ax8J8uRRfZPq1zPbXgKc/edit?usp=sharing"",""ระยอง!I109"")+IMPORTRANGE(""https://docs.google.com/spreadsheets/d/1jQ6P4QcrGM89YfqcC_PxOHGCMq5ezhucwJd8ci-NHng/edit?usp=sharing"",""ราชบุรี!I10"&amp;"9"")+IMPORTRANGE(""https://docs.google.com/spreadsheets/d/1lufeA2cfFqM-elVq2hznhDzC6Pr7wkJ9ZG_sYNGCMCU/edit?usp=sharing"",""ลพบุรี!I109"")+IMPORTRANGE(""https://docs.google.com/spreadsheets/d/10oOiF7loTyfsTkbd4MpaIm0HQ9SwB7IYHdIUvt-U1Uc/edit?usp=sharing"""&amp;",""สระแก้ว!I109"")+IMPORTRANGE(""https://docs.google.com/spreadsheets/d/1xmPlrr1QbdSIKvl1dWUl9K4PjAfSL9oeMr_37QVzcxc/edit?usp=sharing"",""สระบุรี!I109"")+IMPORTRANGE(""https://docs.google.com/spreadsheets/d/1j51vR6CYVGhABJpv6tkstgok82RLpXieLzW1yOY5rHw/edi"&amp;"t?usp=sharing"",""สิงห์บุรี!I109"")+IMPORTRANGE(""https://docs.google.com/spreadsheets/d/1H1EalTWKUSzO4Z1-1CwzoDUaVffgrThEBe2sl74kKG0/edit?usp=sharing"",""สุพรรณบุรี!I109"")+IMPORTRANGE(""https://docs.google.com/spreadsheets/d/1BmIruG_sIrJLYao_Pdr7zVArWsf"&amp;"oBt2692TMi6x_854/edit?usp=sharing"",""อ่างทอง!I109"")"),127)</f>
        <v>127</v>
      </c>
      <c r="J110" s="294">
        <f ca="1">IFERROR(__xludf.DUMMYFUNCTION("IMPORTRANGE(""https://docs.google.com/spreadsheets/d/13wPX838HrBrQMCywv1BsuMkt4PEKTChp52zj44s2izQ/edit?usp=sharing"",""กาญจนบุรี!J109"")+IMPORTRANGE(""https://docs.google.com/spreadsheets/d/1ddFKvqj1W1NEiWytbGlB1zMx_ykJDVtmfEQ-6-lIUBA/edit?usp=sharing"","&amp;"""จันทบุรี!J109"")+IMPORTRANGE(""https://docs.google.com/spreadsheets/d/1T1PQvRODqOBZk8BRht_U031fIS1beLA0Ub2CEytj2q0/edit?usp=sharing"",""ฉะเชิงเทรา!J109"")+IMPORTRANGE(""https://docs.google.com/spreadsheets/d/11tr1B-Bhyr79v2bkwVh5h_fR-PStkgjlZtkrZpYurG0/"&amp;"edit?usp=sharing"",""ชลบุรี!J109"")+IMPORTRANGE(""https://docs.google.com/spreadsheets/d/1hh-FVnSX0vozXhGluamEcS54Dw9_zqW0N7qJUWgJ0Sw/edit?usp=sharing"",""ชัยนาท!J109"")+IMPORTRANGE(""https://docs.google.com/spreadsheets/d/1jkqa6GXxSacMcY1eN8AHjMNJ_7dDXMJ"&amp;"VRLDlaFSOdPM/edit?usp=sharing"",""ตราด!J109"")+IMPORTRANGE(""https://docs.google.com/spreadsheets/d/18hSgUJ3VwClqi_qtULmmW3cLr0oe3OKaSYoKzdpTsYQ/edit?usp=sharing"",""นครนายก!J109"")+IMPORTRANGE(""https://docs.google.com/spreadsheets/d/1YTZo6WM2dQ6Ix6FSdnL"&amp;"5P7uVnVKu40sxZu975tgG10E/edit?usp=sharing"",""นครปฐม!J109"")+IMPORTRANGE(""https://docs.google.com/spreadsheets/d/1OYoGg4WDg5RIzwGeB10padOxJF9E_Vljuvvct_M7RDo/edit?usp=sharing"",""ปทุมธานี!J109"")+IMPORTRANGE(""https://docs.google.com/spreadsheets/d/1GbCI"&amp;"E4D4wk9FUozzqk7SxfDMxDVBwVmI5zcaVUSzKAc/edit?usp=sharing"",""ประจวบคีรีขันธ์!J109"")+IMPORTRANGE(""https://docs.google.com/spreadsheets/d/1vVf6wykvW_lAyu7Yo9L4hUTqHqIeP_qcVuxCtosJEbg/edit?usp=sharing"",""ปราจีนบุรี!J109"")+IMPORTRANGE(""https://docs.googl"&amp;"e.com/spreadsheets/d/1BIDqLLg5jk3v59G8NlR8rk5xfQDKne0sAvZHSj7TI6I/edit?usp=sharing"",""พระนครศรีอยุธยา!J109"")+IMPORTRANGE(""https://docs.google.com/spreadsheets/d/1YXvxf8Yu6_rV4hTBrwMqAcAnv6DfhUxh5emyM3CJp_w/edit?usp=sharing"",""เพชรบุรี!J109"")+IMPORTRA"&amp;"NGE(""https://docs.google.com/spreadsheets/d/19KBlQQs7uwvsao6t2n-KvW3Ax8J8uRRfZPq1zPbXgKc/edit?usp=sharing"",""ระยอง!J109"")+IMPORTRANGE(""https://docs.google.com/spreadsheets/d/1jQ6P4QcrGM89YfqcC_PxOHGCMq5ezhucwJd8ci-NHng/edit?usp=sharing"",""ราชบุรี!J10"&amp;"9"")+IMPORTRANGE(""https://docs.google.com/spreadsheets/d/1lufeA2cfFqM-elVq2hznhDzC6Pr7wkJ9ZG_sYNGCMCU/edit?usp=sharing"",""ลพบุรี!J109"")+IMPORTRANGE(""https://docs.google.com/spreadsheets/d/10oOiF7loTyfsTkbd4MpaIm0HQ9SwB7IYHdIUvt-U1Uc/edit?usp=sharing"""&amp;",""สระแก้ว!J109"")+IMPORTRANGE(""https://docs.google.com/spreadsheets/d/1xmPlrr1QbdSIKvl1dWUl9K4PjAfSL9oeMr_37QVzcxc/edit?usp=sharing"",""สระบุรี!J109"")+IMPORTRANGE(""https://docs.google.com/spreadsheets/d/1j51vR6CYVGhABJpv6tkstgok82RLpXieLzW1yOY5rHw/edi"&amp;"t?usp=sharing"",""สิงห์บุรี!J109"")+IMPORTRANGE(""https://docs.google.com/spreadsheets/d/1H1EalTWKUSzO4Z1-1CwzoDUaVffgrThEBe2sl74kKG0/edit?usp=sharing"",""สุพรรณบุรี!J109"")+IMPORTRANGE(""https://docs.google.com/spreadsheets/d/1BmIruG_sIrJLYao_Pdr7zVArWsf"&amp;"oBt2692TMi6x_854/edit?usp=sharing"",""อ่างทอง!J109"")"),0)</f>
        <v>0</v>
      </c>
      <c r="K110" s="74">
        <f t="shared" ca="1" si="87"/>
        <v>0</v>
      </c>
      <c r="L110" s="87"/>
      <c r="M110" s="87"/>
      <c r="N110" s="87"/>
      <c r="O110" s="229"/>
      <c r="P110" s="229"/>
      <c r="Q110" s="86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30"/>
      <c r="M111" s="30"/>
      <c r="N111" s="30"/>
      <c r="O111" s="30"/>
      <c r="P111" s="30"/>
      <c r="Q111" s="29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30"/>
      <c r="M112" s="30"/>
      <c r="N112" s="30"/>
      <c r="O112" s="30"/>
      <c r="P112" s="30"/>
      <c r="Q112" s="29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4"/>
      <c r="E113" s="285"/>
      <c r="F113" s="285"/>
      <c r="G113" s="286"/>
      <c r="H113" s="286"/>
      <c r="I113" s="287"/>
      <c r="J113" s="287"/>
      <c r="K113" s="30"/>
      <c r="L113" s="30"/>
      <c r="M113" s="30"/>
      <c r="N113" s="30"/>
      <c r="O113" s="30"/>
      <c r="P113" s="30"/>
      <c r="Q113" s="29"/>
      <c r="R113" s="30"/>
      <c r="S113" s="30"/>
      <c r="T113" s="30"/>
      <c r="U113" s="30"/>
    </row>
    <row r="114" spans="1:21" ht="18.75" x14ac:dyDescent="0.25">
      <c r="A114" s="276"/>
      <c r="B114" s="277"/>
      <c r="C114" s="277"/>
      <c r="D114" s="291" t="s">
        <v>50</v>
      </c>
      <c r="E114" s="290"/>
      <c r="F114" s="290"/>
      <c r="G114" s="282"/>
      <c r="H114" s="297" t="s">
        <v>46</v>
      </c>
      <c r="I114" s="298">
        <f ca="1">IFERROR(__xludf.DUMMYFUNCTION("IMPORTRANGE(""https://docs.google.com/spreadsheets/d/13wPX838HrBrQMCywv1BsuMkt4PEKTChp52zj44s2izQ/edit?usp=sharing"",""กาญจนบุรี!I113"")+IMPORTRANGE(""https://docs.google.com/spreadsheets/d/1ddFKvqj1W1NEiWytbGlB1zMx_ykJDVtmfEQ-6-lIUBA/edit?usp=sharing"","&amp;"""จันทบุรี!I113"")+IMPORTRANGE(""https://docs.google.com/spreadsheets/d/1T1PQvRODqOBZk8BRht_U031fIS1beLA0Ub2CEytj2q0/edit?usp=sharing"",""ฉะเชิงเทรา!I113"")+IMPORTRANGE(""https://docs.google.com/spreadsheets/d/11tr1B-Bhyr79v2bkwVh5h_fR-PStkgjlZtkrZpYurG0/"&amp;"edit?usp=sharing"",""ชลบุรี!I113"")+IMPORTRANGE(""https://docs.google.com/spreadsheets/d/1hh-FVnSX0vozXhGluamEcS54Dw9_zqW0N7qJUWgJ0Sw/edit?usp=sharing"",""ชัยนาท!I113"")+IMPORTRANGE(""https://docs.google.com/spreadsheets/d/1jkqa6GXxSacMcY1eN8AHjMNJ_7dDXMJ"&amp;"VRLDlaFSOdPM/edit?usp=sharing"",""ตราด!I113"")+IMPORTRANGE(""https://docs.google.com/spreadsheets/d/18hSgUJ3VwClqi_qtULmmW3cLr0oe3OKaSYoKzdpTsYQ/edit?usp=sharing"",""นครนายก!I113"")+IMPORTRANGE(""https://docs.google.com/spreadsheets/d/1YTZo6WM2dQ6Ix6FSdnL"&amp;"5P7uVnVKu40sxZu975tgG10E/edit?usp=sharing"",""นครปฐม!I113"")+IMPORTRANGE(""https://docs.google.com/spreadsheets/d/1OYoGg4WDg5RIzwGeB10padOxJF9E_Vljuvvct_M7RDo/edit?usp=sharing"",""ปทุมธานี!I113"")+IMPORTRANGE(""https://docs.google.com/spreadsheets/d/1GbCI"&amp;"E4D4wk9FUozzqk7SxfDMxDVBwVmI5zcaVUSzKAc/edit?usp=sharing"",""ประจวบคีรีขันธ์!I113"")+IMPORTRANGE(""https://docs.google.com/spreadsheets/d/1vVf6wykvW_lAyu7Yo9L4hUTqHqIeP_qcVuxCtosJEbg/edit?usp=sharing"",""ปราจีนบุรี!I113"")+IMPORTRANGE(""https://docs.googl"&amp;"e.com/spreadsheets/d/1BIDqLLg5jk3v59G8NlR8rk5xfQDKne0sAvZHSj7TI6I/edit?usp=sharing"",""พระนครศรีอยุธยา!I113"")+IMPORTRANGE(""https://docs.google.com/spreadsheets/d/1YXvxf8Yu6_rV4hTBrwMqAcAnv6DfhUxh5emyM3CJp_w/edit?usp=sharing"",""เพชรบุรี!I113"")+IMPORTRA"&amp;"NGE(""https://docs.google.com/spreadsheets/d/19KBlQQs7uwvsao6t2n-KvW3Ax8J8uRRfZPq1zPbXgKc/edit?usp=sharing"",""ระยอง!I113"")+IMPORTRANGE(""https://docs.google.com/spreadsheets/d/1jQ6P4QcrGM89YfqcC_PxOHGCMq5ezhucwJd8ci-NHng/edit?usp=sharing"",""ราชบุรี!I11"&amp;"3"")+IMPORTRANGE(""https://docs.google.com/spreadsheets/d/1lufeA2cfFqM-elVq2hznhDzC6Pr7wkJ9ZG_sYNGCMCU/edit?usp=sharing"",""ลพบุรี!I113"")+IMPORTRANGE(""https://docs.google.com/spreadsheets/d/10oOiF7loTyfsTkbd4MpaIm0HQ9SwB7IYHdIUvt-U1Uc/edit?usp=sharing"""&amp;",""สระแก้ว!I113"")+IMPORTRANGE(""https://docs.google.com/spreadsheets/d/1xmPlrr1QbdSIKvl1dWUl9K4PjAfSL9oeMr_37QVzcxc/edit?usp=sharing"",""สระบุรี!I113"")+IMPORTRANGE(""https://docs.google.com/spreadsheets/d/1j51vR6CYVGhABJpv6tkstgok82RLpXieLzW1yOY5rHw/edi"&amp;"t?usp=sharing"",""สิงห์บุรี!I113"")+IMPORTRANGE(""https://docs.google.com/spreadsheets/d/1H1EalTWKUSzO4Z1-1CwzoDUaVffgrThEBe2sl74kKG0/edit?usp=sharing"",""สุพรรณบุรี!I113"")+IMPORTRANGE(""https://docs.google.com/spreadsheets/d/1BmIruG_sIrJLYao_Pdr7zVArWsf"&amp;"oBt2692TMi6x_854/edit?usp=sharing"",""อ่างทอง!I113"")"),0)</f>
        <v>0</v>
      </c>
      <c r="J114" s="294">
        <f ca="1">IFERROR(__xludf.DUMMYFUNCTION("IMPORTRANGE(""https://docs.google.com/spreadsheets/d/13wPX838HrBrQMCywv1BsuMkt4PEKTChp52zj44s2izQ/edit?usp=sharing"",""กาญจนบุรี!J113"")+IMPORTRANGE(""https://docs.google.com/spreadsheets/d/1ddFKvqj1W1NEiWytbGlB1zMx_ykJDVtmfEQ-6-lIUBA/edit?usp=sharing"","&amp;"""จันทบุรี!J113"")+IMPORTRANGE(""https://docs.google.com/spreadsheets/d/1T1PQvRODqOBZk8BRht_U031fIS1beLA0Ub2CEytj2q0/edit?usp=sharing"",""ฉะเชิงเทรา!J113"")+IMPORTRANGE(""https://docs.google.com/spreadsheets/d/11tr1B-Bhyr79v2bkwVh5h_fR-PStkgjlZtkrZpYurG0/"&amp;"edit?usp=sharing"",""ชลบุรี!J113"")+IMPORTRANGE(""https://docs.google.com/spreadsheets/d/1hh-FVnSX0vozXhGluamEcS54Dw9_zqW0N7qJUWgJ0Sw/edit?usp=sharing"",""ชัยนาท!J113"")+IMPORTRANGE(""https://docs.google.com/spreadsheets/d/1jkqa6GXxSacMcY1eN8AHjMNJ_7dDXMJ"&amp;"VRLDlaFSOdPM/edit?usp=sharing"",""ตราด!J113"")+IMPORTRANGE(""https://docs.google.com/spreadsheets/d/18hSgUJ3VwClqi_qtULmmW3cLr0oe3OKaSYoKzdpTsYQ/edit?usp=sharing"",""นครนายก!J113"")+IMPORTRANGE(""https://docs.google.com/spreadsheets/d/1YTZo6WM2dQ6Ix6FSdnL"&amp;"5P7uVnVKu40sxZu975tgG10E/edit?usp=sharing"",""นครปฐม!J113"")+IMPORTRANGE(""https://docs.google.com/spreadsheets/d/1OYoGg4WDg5RIzwGeB10padOxJF9E_Vljuvvct_M7RDo/edit?usp=sharing"",""ปทุมธานี!J113"")+IMPORTRANGE(""https://docs.google.com/spreadsheets/d/1GbCI"&amp;"E4D4wk9FUozzqk7SxfDMxDVBwVmI5zcaVUSzKAc/edit?usp=sharing"",""ประจวบคีรีขันธ์!J113"")+IMPORTRANGE(""https://docs.google.com/spreadsheets/d/1vVf6wykvW_lAyu7Yo9L4hUTqHqIeP_qcVuxCtosJEbg/edit?usp=sharing"",""ปราจีนบุรี!J113"")+IMPORTRANGE(""https://docs.googl"&amp;"e.com/spreadsheets/d/1BIDqLLg5jk3v59G8NlR8rk5xfQDKne0sAvZHSj7TI6I/edit?usp=sharing"",""พระนครศรีอยุธยา!J113"")+IMPORTRANGE(""https://docs.google.com/spreadsheets/d/1YXvxf8Yu6_rV4hTBrwMqAcAnv6DfhUxh5emyM3CJp_w/edit?usp=sharing"",""เพชรบุรี!J113"")+IMPORTRA"&amp;"NGE(""https://docs.google.com/spreadsheets/d/19KBlQQs7uwvsao6t2n-KvW3Ax8J8uRRfZPq1zPbXgKc/edit?usp=sharing"",""ระยอง!J113"")+IMPORTRANGE(""https://docs.google.com/spreadsheets/d/1jQ6P4QcrGM89YfqcC_PxOHGCMq5ezhucwJd8ci-NHng/edit?usp=sharing"",""ราชบุรี!J11"&amp;"3"")+IMPORTRANGE(""https://docs.google.com/spreadsheets/d/1lufeA2cfFqM-elVq2hznhDzC6Pr7wkJ9ZG_sYNGCMCU/edit?usp=sharing"",""ลพบุรี!J113"")+IMPORTRANGE(""https://docs.google.com/spreadsheets/d/10oOiF7loTyfsTkbd4MpaIm0HQ9SwB7IYHdIUvt-U1Uc/edit?usp=sharing"""&amp;",""สระแก้ว!J113"")+IMPORTRANGE(""https://docs.google.com/spreadsheets/d/1xmPlrr1QbdSIKvl1dWUl9K4PjAfSL9oeMr_37QVzcxc/edit?usp=sharing"",""สระบุรี!J113"")+IMPORTRANGE(""https://docs.google.com/spreadsheets/d/1j51vR6CYVGhABJpv6tkstgok82RLpXieLzW1yOY5rHw/edi"&amp;"t?usp=sharing"",""สิงห์บุรี!J113"")+IMPORTRANGE(""https://docs.google.com/spreadsheets/d/1H1EalTWKUSzO4Z1-1CwzoDUaVffgrThEBe2sl74kKG0/edit?usp=sharing"",""สุพรรณบุรี!J113"")+IMPORTRANGE(""https://docs.google.com/spreadsheets/d/1BmIruG_sIrJLYao_Pdr7zVArWsf"&amp;"oBt2692TMi6x_854/edit?usp=sharing"",""อ่างทอง!J113"")"),0)</f>
        <v>0</v>
      </c>
      <c r="K114" s="74">
        <f t="shared" ref="K114:K115" ca="1" si="88">IF(I114&gt;0,J114*100/I114,0)</f>
        <v>0</v>
      </c>
      <c r="L114" s="87"/>
      <c r="M114" s="87"/>
      <c r="N114" s="87"/>
      <c r="O114" s="229"/>
      <c r="P114" s="229"/>
      <c r="Q114" s="86"/>
      <c r="R114" s="87"/>
      <c r="S114" s="87"/>
      <c r="T114" s="229"/>
      <c r="U114" s="229"/>
    </row>
    <row r="115" spans="1:21" ht="18.75" x14ac:dyDescent="0.25">
      <c r="A115" s="276"/>
      <c r="B115" s="277"/>
      <c r="C115" s="277"/>
      <c r="D115" s="291"/>
      <c r="E115" s="290"/>
      <c r="F115" s="290"/>
      <c r="G115" s="282"/>
      <c r="H115" s="299" t="s">
        <v>35</v>
      </c>
      <c r="I115" s="298">
        <f ca="1">IFERROR(__xludf.DUMMYFUNCTION("IMPORTRANGE(""https://docs.google.com/spreadsheets/d/13wPX838HrBrQMCywv1BsuMkt4PEKTChp52zj44s2izQ/edit?usp=sharing"",""กาญจนบุรี!I114"")+IMPORTRANGE(""https://docs.google.com/spreadsheets/d/1ddFKvqj1W1NEiWytbGlB1zMx_ykJDVtmfEQ-6-lIUBA/edit?usp=sharing"","&amp;"""จันทบุรี!I114"")+IMPORTRANGE(""https://docs.google.com/spreadsheets/d/1T1PQvRODqOBZk8BRht_U031fIS1beLA0Ub2CEytj2q0/edit?usp=sharing"",""ฉะเชิงเทรา!I114"")+IMPORTRANGE(""https://docs.google.com/spreadsheets/d/11tr1B-Bhyr79v2bkwVh5h_fR-PStkgjlZtkrZpYurG0/"&amp;"edit?usp=sharing"",""ชลบุรี!I114"")+IMPORTRANGE(""https://docs.google.com/spreadsheets/d/1hh-FVnSX0vozXhGluamEcS54Dw9_zqW0N7qJUWgJ0Sw/edit?usp=sharing"",""ชัยนาท!I114"")+IMPORTRANGE(""https://docs.google.com/spreadsheets/d/1jkqa6GXxSacMcY1eN8AHjMNJ_7dDXMJ"&amp;"VRLDlaFSOdPM/edit?usp=sharing"",""ตราด!I114"")+IMPORTRANGE(""https://docs.google.com/spreadsheets/d/18hSgUJ3VwClqi_qtULmmW3cLr0oe3OKaSYoKzdpTsYQ/edit?usp=sharing"",""นครนายก!I114"")+IMPORTRANGE(""https://docs.google.com/spreadsheets/d/1YTZo6WM2dQ6Ix6FSdnL"&amp;"5P7uVnVKu40sxZu975tgG10E/edit?usp=sharing"",""นครปฐม!I114"")+IMPORTRANGE(""https://docs.google.com/spreadsheets/d/1OYoGg4WDg5RIzwGeB10padOxJF9E_Vljuvvct_M7RDo/edit?usp=sharing"",""ปทุมธานี!I114"")+IMPORTRANGE(""https://docs.google.com/spreadsheets/d/1GbCI"&amp;"E4D4wk9FUozzqk7SxfDMxDVBwVmI5zcaVUSzKAc/edit?usp=sharing"",""ประจวบคีรีขันธ์!I114"")+IMPORTRANGE(""https://docs.google.com/spreadsheets/d/1vVf6wykvW_lAyu7Yo9L4hUTqHqIeP_qcVuxCtosJEbg/edit?usp=sharing"",""ปราจีนบุรี!I114"")+IMPORTRANGE(""https://docs.googl"&amp;"e.com/spreadsheets/d/1BIDqLLg5jk3v59G8NlR8rk5xfQDKne0sAvZHSj7TI6I/edit?usp=sharing"",""พระนครศรีอยุธยา!I114"")+IMPORTRANGE(""https://docs.google.com/spreadsheets/d/1YXvxf8Yu6_rV4hTBrwMqAcAnv6DfhUxh5emyM3CJp_w/edit?usp=sharing"",""เพชรบุรี!I114"")+IMPORTRA"&amp;"NGE(""https://docs.google.com/spreadsheets/d/19KBlQQs7uwvsao6t2n-KvW3Ax8J8uRRfZPq1zPbXgKc/edit?usp=sharing"",""ระยอง!I114"")+IMPORTRANGE(""https://docs.google.com/spreadsheets/d/1jQ6P4QcrGM89YfqcC_PxOHGCMq5ezhucwJd8ci-NHng/edit?usp=sharing"",""ราชบุรี!I11"&amp;"4"")+IMPORTRANGE(""https://docs.google.com/spreadsheets/d/1lufeA2cfFqM-elVq2hznhDzC6Pr7wkJ9ZG_sYNGCMCU/edit?usp=sharing"",""ลพบุรี!I114"")+IMPORTRANGE(""https://docs.google.com/spreadsheets/d/10oOiF7loTyfsTkbd4MpaIm0HQ9SwB7IYHdIUvt-U1Uc/edit?usp=sharing"""&amp;",""สระแก้ว!I114"")+IMPORTRANGE(""https://docs.google.com/spreadsheets/d/1xmPlrr1QbdSIKvl1dWUl9K4PjAfSL9oeMr_37QVzcxc/edit?usp=sharing"",""สระบุรี!I114"")+IMPORTRANGE(""https://docs.google.com/spreadsheets/d/1j51vR6CYVGhABJpv6tkstgok82RLpXieLzW1yOY5rHw/edi"&amp;"t?usp=sharing"",""สิงห์บุรี!I114"")+IMPORTRANGE(""https://docs.google.com/spreadsheets/d/1H1EalTWKUSzO4Z1-1CwzoDUaVffgrThEBe2sl74kKG0/edit?usp=sharing"",""สุพรรณบุรี!I114"")+IMPORTRANGE(""https://docs.google.com/spreadsheets/d/1BmIruG_sIrJLYao_Pdr7zVArWsf"&amp;"oBt2692TMi6x_854/edit?usp=sharing"",""อ่างทอง!I114"")"),127)</f>
        <v>127</v>
      </c>
      <c r="J115" s="294">
        <f ca="1">IFERROR(__xludf.DUMMYFUNCTION("IMPORTRANGE(""https://docs.google.com/spreadsheets/d/13wPX838HrBrQMCywv1BsuMkt4PEKTChp52zj44s2izQ/edit?usp=sharing"",""กาญจนบุรี!J114"")+IMPORTRANGE(""https://docs.google.com/spreadsheets/d/1ddFKvqj1W1NEiWytbGlB1zMx_ykJDVtmfEQ-6-lIUBA/edit?usp=sharing"","&amp;"""จันทบุรี!J114"")+IMPORTRANGE(""https://docs.google.com/spreadsheets/d/1T1PQvRODqOBZk8BRht_U031fIS1beLA0Ub2CEytj2q0/edit?usp=sharing"",""ฉะเชิงเทรา!J114"")+IMPORTRANGE(""https://docs.google.com/spreadsheets/d/11tr1B-Bhyr79v2bkwVh5h_fR-PStkgjlZtkrZpYurG0/"&amp;"edit?usp=sharing"",""ชลบุรี!J114"")+IMPORTRANGE(""https://docs.google.com/spreadsheets/d/1hh-FVnSX0vozXhGluamEcS54Dw9_zqW0N7qJUWgJ0Sw/edit?usp=sharing"",""ชัยนาท!J114"")+IMPORTRANGE(""https://docs.google.com/spreadsheets/d/1jkqa6GXxSacMcY1eN8AHjMNJ_7dDXMJ"&amp;"VRLDlaFSOdPM/edit?usp=sharing"",""ตราด!J114"")+IMPORTRANGE(""https://docs.google.com/spreadsheets/d/18hSgUJ3VwClqi_qtULmmW3cLr0oe3OKaSYoKzdpTsYQ/edit?usp=sharing"",""นครนายก!J114"")+IMPORTRANGE(""https://docs.google.com/spreadsheets/d/1YTZo6WM2dQ6Ix6FSdnL"&amp;"5P7uVnVKu40sxZu975tgG10E/edit?usp=sharing"",""นครปฐม!J114"")+IMPORTRANGE(""https://docs.google.com/spreadsheets/d/1OYoGg4WDg5RIzwGeB10padOxJF9E_Vljuvvct_M7RDo/edit?usp=sharing"",""ปทุมธานี!J114"")+IMPORTRANGE(""https://docs.google.com/spreadsheets/d/1GbCI"&amp;"E4D4wk9FUozzqk7SxfDMxDVBwVmI5zcaVUSzKAc/edit?usp=sharing"",""ประจวบคีรีขันธ์!J114"")+IMPORTRANGE(""https://docs.google.com/spreadsheets/d/1vVf6wykvW_lAyu7Yo9L4hUTqHqIeP_qcVuxCtosJEbg/edit?usp=sharing"",""ปราจีนบุรี!J114"")+IMPORTRANGE(""https://docs.googl"&amp;"e.com/spreadsheets/d/1BIDqLLg5jk3v59G8NlR8rk5xfQDKne0sAvZHSj7TI6I/edit?usp=sharing"",""พระนครศรีอยุธยา!J114"")+IMPORTRANGE(""https://docs.google.com/spreadsheets/d/1YXvxf8Yu6_rV4hTBrwMqAcAnv6DfhUxh5emyM3CJp_w/edit?usp=sharing"",""เพชรบุรี!J114"")+IMPORTRA"&amp;"NGE(""https://docs.google.com/spreadsheets/d/19KBlQQs7uwvsao6t2n-KvW3Ax8J8uRRfZPq1zPbXgKc/edit?usp=sharing"",""ระยอง!J114"")+IMPORTRANGE(""https://docs.google.com/spreadsheets/d/1jQ6P4QcrGM89YfqcC_PxOHGCMq5ezhucwJd8ci-NHng/edit?usp=sharing"",""ราชบุรี!J11"&amp;"4"")+IMPORTRANGE(""https://docs.google.com/spreadsheets/d/1lufeA2cfFqM-elVq2hznhDzC6Pr7wkJ9ZG_sYNGCMCU/edit?usp=sharing"",""ลพบุรี!J114"")+IMPORTRANGE(""https://docs.google.com/spreadsheets/d/10oOiF7loTyfsTkbd4MpaIm0HQ9SwB7IYHdIUvt-U1Uc/edit?usp=sharing"""&amp;",""สระแก้ว!J114"")+IMPORTRANGE(""https://docs.google.com/spreadsheets/d/1xmPlrr1QbdSIKvl1dWUl9K4PjAfSL9oeMr_37QVzcxc/edit?usp=sharing"",""สระบุรี!J114"")+IMPORTRANGE(""https://docs.google.com/spreadsheets/d/1j51vR6CYVGhABJpv6tkstgok82RLpXieLzW1yOY5rHw/edi"&amp;"t?usp=sharing"",""สิงห์บุรี!J114"")+IMPORTRANGE(""https://docs.google.com/spreadsheets/d/1H1EalTWKUSzO4Z1-1CwzoDUaVffgrThEBe2sl74kKG0/edit?usp=sharing"",""สุพรรณบุรี!J114"")+IMPORTRANGE(""https://docs.google.com/spreadsheets/d/1BmIruG_sIrJLYao_Pdr7zVArWsf"&amp;"oBt2692TMi6x_854/edit?usp=sharing"",""อ่างทอง!J114"")"),0)</f>
        <v>0</v>
      </c>
      <c r="K115" s="74">
        <f t="shared" ca="1" si="88"/>
        <v>0</v>
      </c>
      <c r="L115" s="87"/>
      <c r="M115" s="87"/>
      <c r="N115" s="87"/>
      <c r="O115" s="229"/>
      <c r="P115" s="229"/>
      <c r="Q115" s="86"/>
      <c r="R115" s="87"/>
      <c r="S115" s="87"/>
      <c r="T115" s="229"/>
      <c r="U115" s="229"/>
    </row>
    <row r="116" spans="1:21" ht="19.5" x14ac:dyDescent="0.3">
      <c r="A116" s="243" t="s">
        <v>51</v>
      </c>
      <c r="B116" s="245"/>
      <c r="C116" s="300"/>
      <c r="D116" s="244"/>
      <c r="E116" s="244"/>
      <c r="F116" s="244"/>
      <c r="G116" s="244"/>
      <c r="H116" s="245"/>
      <c r="I116" s="301"/>
      <c r="J116" s="301"/>
      <c r="K116" s="302"/>
      <c r="L116" s="249"/>
      <c r="M116" s="249"/>
      <c r="N116" s="249"/>
      <c r="O116" s="249"/>
      <c r="P116" s="249"/>
      <c r="Q116" s="199"/>
      <c r="R116" s="200"/>
      <c r="S116" s="200"/>
      <c r="T116" s="200"/>
      <c r="U116" s="200"/>
    </row>
    <row r="117" spans="1:21" ht="19.5" x14ac:dyDescent="0.3">
      <c r="A117" s="250"/>
      <c r="B117" s="303" t="s">
        <v>52</v>
      </c>
      <c r="C117" s="304"/>
      <c r="D117" s="253"/>
      <c r="E117" s="252"/>
      <c r="F117" s="252"/>
      <c r="G117" s="254"/>
      <c r="H117" s="305" t="s">
        <v>35</v>
      </c>
      <c r="I117" s="256">
        <f t="shared" ref="I117:J117" ca="1" si="89">I128</f>
        <v>421</v>
      </c>
      <c r="J117" s="256">
        <f t="shared" ca="1" si="89"/>
        <v>90</v>
      </c>
      <c r="K117" s="59">
        <f ca="1">IF(I117&gt;0,J117*100/I117,0)</f>
        <v>21.377672209026127</v>
      </c>
      <c r="L117" s="208"/>
      <c r="M117" s="208"/>
      <c r="N117" s="208"/>
      <c r="O117" s="208"/>
      <c r="P117" s="208"/>
      <c r="Q117" s="207"/>
      <c r="R117" s="208"/>
      <c r="S117" s="208"/>
      <c r="T117" s="208"/>
      <c r="U117" s="208"/>
    </row>
    <row r="118" spans="1:21" ht="19.5" x14ac:dyDescent="0.3">
      <c r="A118" s="257"/>
      <c r="B118" s="269"/>
      <c r="C118" s="278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264">
        <f t="shared" ref="L118:N118" ca="1" si="90">L119+L120</f>
        <v>0</v>
      </c>
      <c r="M118" s="264">
        <f t="shared" ca="1" si="90"/>
        <v>0</v>
      </c>
      <c r="N118" s="264">
        <f t="shared" ca="1" si="90"/>
        <v>0</v>
      </c>
      <c r="O118" s="264">
        <f t="shared" ref="O118:O126" ca="1" si="91">IF(L118&gt;0,N118*100/L118,0)</f>
        <v>0</v>
      </c>
      <c r="P118" s="264">
        <f t="shared" ref="P118:P126" ca="1" si="92">IF(M118&gt;0,N118*100/M118,0)</f>
        <v>0</v>
      </c>
      <c r="Q118" s="214">
        <f t="shared" ref="Q118:S118" ca="1" si="93">Q119+Q120</f>
        <v>4203090</v>
      </c>
      <c r="R118" s="215">
        <f t="shared" ca="1" si="93"/>
        <v>4203090</v>
      </c>
      <c r="S118" s="215">
        <f t="shared" ca="1" si="93"/>
        <v>375721.83999999898</v>
      </c>
      <c r="T118" s="215">
        <f t="shared" ref="T118:T126" ca="1" si="94">IF(Q118&gt;0,S118*100/Q118,0)</f>
        <v>8.9391814117708392</v>
      </c>
      <c r="U118" s="215">
        <f t="shared" ref="U118:U126" ca="1" si="95">IF(R118&gt;0,S118*100/R118,0)</f>
        <v>8.9391814117708392</v>
      </c>
    </row>
    <row r="119" spans="1:21" ht="18.75" x14ac:dyDescent="0.25">
      <c r="A119" s="257"/>
      <c r="B119" s="269"/>
      <c r="C119" s="269"/>
      <c r="D119" s="269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7">
        <f t="shared" ref="L119:N119" ca="1" si="96">L122+L125</f>
        <v>0</v>
      </c>
      <c r="M119" s="77">
        <f t="shared" ca="1" si="96"/>
        <v>0</v>
      </c>
      <c r="N119" s="77">
        <f t="shared" ca="1" si="96"/>
        <v>0</v>
      </c>
      <c r="O119" s="77">
        <f t="shared" ca="1" si="91"/>
        <v>0</v>
      </c>
      <c r="P119" s="77">
        <f t="shared" ca="1" si="92"/>
        <v>0</v>
      </c>
      <c r="Q119" s="217">
        <f t="shared" ref="Q119:S119" ca="1" si="97">Q122+Q125</f>
        <v>0</v>
      </c>
      <c r="R119" s="133">
        <f t="shared" ca="1" si="97"/>
        <v>0</v>
      </c>
      <c r="S119" s="133">
        <f t="shared" ca="1" si="97"/>
        <v>0</v>
      </c>
      <c r="T119" s="133">
        <f t="shared" ca="1" si="94"/>
        <v>0</v>
      </c>
      <c r="U119" s="133">
        <f t="shared" ca="1" si="95"/>
        <v>0</v>
      </c>
    </row>
    <row r="120" spans="1:21" ht="18.75" x14ac:dyDescent="0.25">
      <c r="A120" s="257"/>
      <c r="B120" s="269"/>
      <c r="C120" s="269"/>
      <c r="D120" s="269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4">
        <f t="shared" ref="L120:N120" ca="1" si="98">L123+L126</f>
        <v>0</v>
      </c>
      <c r="M120" s="74">
        <f t="shared" ca="1" si="98"/>
        <v>0</v>
      </c>
      <c r="N120" s="74">
        <f t="shared" ca="1" si="98"/>
        <v>0</v>
      </c>
      <c r="O120" s="74">
        <f t="shared" ca="1" si="91"/>
        <v>0</v>
      </c>
      <c r="P120" s="74">
        <f t="shared" ca="1" si="92"/>
        <v>0</v>
      </c>
      <c r="Q120" s="131">
        <f t="shared" ref="Q120:S120" ca="1" si="99">Q123+Q126</f>
        <v>4203090</v>
      </c>
      <c r="R120" s="132">
        <f t="shared" ca="1" si="99"/>
        <v>4203090</v>
      </c>
      <c r="S120" s="132">
        <f t="shared" ca="1" si="99"/>
        <v>375721.83999999898</v>
      </c>
      <c r="T120" s="132">
        <f t="shared" ca="1" si="94"/>
        <v>8.9391814117708392</v>
      </c>
      <c r="U120" s="132">
        <f t="shared" ca="1" si="95"/>
        <v>8.9391814117708392</v>
      </c>
    </row>
    <row r="121" spans="1:21" ht="18.75" x14ac:dyDescent="0.25">
      <c r="A121" s="257"/>
      <c r="B121" s="269"/>
      <c r="C121" s="306"/>
      <c r="D121" s="274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4">
        <f t="shared" ref="L121:N121" ca="1" si="100">L122+L123</f>
        <v>0</v>
      </c>
      <c r="M121" s="74">
        <f t="shared" ca="1" si="100"/>
        <v>0</v>
      </c>
      <c r="N121" s="74">
        <f t="shared" ca="1" si="100"/>
        <v>0</v>
      </c>
      <c r="O121" s="74">
        <f t="shared" ca="1" si="91"/>
        <v>0</v>
      </c>
      <c r="P121" s="74">
        <f t="shared" ca="1" si="92"/>
        <v>0</v>
      </c>
      <c r="Q121" s="131">
        <f t="shared" ref="Q121:S121" ca="1" si="101">Q122+Q123</f>
        <v>4203090</v>
      </c>
      <c r="R121" s="132">
        <f t="shared" ca="1" si="101"/>
        <v>4203090</v>
      </c>
      <c r="S121" s="132">
        <f t="shared" ca="1" si="101"/>
        <v>375721.83999999898</v>
      </c>
      <c r="T121" s="132">
        <f t="shared" ca="1" si="94"/>
        <v>8.9391814117708392</v>
      </c>
      <c r="U121" s="132">
        <f t="shared" ca="1" si="95"/>
        <v>8.9391814117708392</v>
      </c>
    </row>
    <row r="122" spans="1:21" ht="18.75" x14ac:dyDescent="0.25">
      <c r="A122" s="257"/>
      <c r="B122" s="269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7">
        <f ca="1">IFERROR(__xludf.DUMMYFUNCTION("IMPORTRANGE(""https://docs.google.com/spreadsheets/d/13wPX838HrBrQMCywv1BsuMkt4PEKTChp52zj44s2izQ/edit?usp=sharing"",""กาญจนบุรี!L121"")+IMPORTRANGE(""https://docs.google.com/spreadsheets/d/1ddFKvqj1W1NEiWytbGlB1zMx_ykJDVtmfEQ-6-lIUBA/edit?usp=sharing"","&amp;"""จันทบุรี!L121"")+IMPORTRANGE(""https://docs.google.com/spreadsheets/d/1T1PQvRODqOBZk8BRht_U031fIS1beLA0Ub2CEytj2q0/edit?usp=sharing"",""ฉะเชิงเทรา!L121"")+IMPORTRANGE(""https://docs.google.com/spreadsheets/d/11tr1B-Bhyr79v2bkwVh5h_fR-PStkgjlZtkrZpYurG0/"&amp;"edit?usp=sharing"",""ชลบุรี!L121"")+IMPORTRANGE(""https://docs.google.com/spreadsheets/d/1hh-FVnSX0vozXhGluamEcS54Dw9_zqW0N7qJUWgJ0Sw/edit?usp=sharing"",""ชัยนาท!L121"")+IMPORTRANGE(""https://docs.google.com/spreadsheets/d/1jkqa6GXxSacMcY1eN8AHjMNJ_7dDXMJ"&amp;"VRLDlaFSOdPM/edit?usp=sharing"",""ตราด!L121"")+IMPORTRANGE(""https://docs.google.com/spreadsheets/d/18hSgUJ3VwClqi_qtULmmW3cLr0oe3OKaSYoKzdpTsYQ/edit?usp=sharing"",""นครนายก!L121"")+IMPORTRANGE(""https://docs.google.com/spreadsheets/d/1YTZo6WM2dQ6Ix6FSdnL"&amp;"5P7uVnVKu40sxZu975tgG10E/edit?usp=sharing"",""นครปฐม!L121"")+IMPORTRANGE(""https://docs.google.com/spreadsheets/d/1OYoGg4WDg5RIzwGeB10padOxJF9E_Vljuvvct_M7RDo/edit?usp=sharing"",""ปทุมธานี!L121"")+IMPORTRANGE(""https://docs.google.com/spreadsheets/d/1GbCI"&amp;"E4D4wk9FUozzqk7SxfDMxDVBwVmI5zcaVUSzKAc/edit?usp=sharing"",""ประจวบคีรีขันธ์!L121"")+IMPORTRANGE(""https://docs.google.com/spreadsheets/d/1vVf6wykvW_lAyu7Yo9L4hUTqHqIeP_qcVuxCtosJEbg/edit?usp=sharing"",""ปราจีนบุรี!L121"")+IMPORTRANGE(""https://docs.googl"&amp;"e.com/spreadsheets/d/1BIDqLLg5jk3v59G8NlR8rk5xfQDKne0sAvZHSj7TI6I/edit?usp=sharing"",""พระนครศรีอยุธยา!L121"")+IMPORTRANGE(""https://docs.google.com/spreadsheets/d/1YXvxf8Yu6_rV4hTBrwMqAcAnv6DfhUxh5emyM3CJp_w/edit?usp=sharing"",""เพชรบุรี!L121"")+IMPORTRA"&amp;"NGE(""https://docs.google.com/spreadsheets/d/19KBlQQs7uwvsao6t2n-KvW3Ax8J8uRRfZPq1zPbXgKc/edit?usp=sharing"",""ระยอง!L121"")+IMPORTRANGE(""https://docs.google.com/spreadsheets/d/1jQ6P4QcrGM89YfqcC_PxOHGCMq5ezhucwJd8ci-NHng/edit?usp=sharing"",""ราชบุรี!L12"&amp;"1"")+IMPORTRANGE(""https://docs.google.com/spreadsheets/d/1lufeA2cfFqM-elVq2hznhDzC6Pr7wkJ9ZG_sYNGCMCU/edit?usp=sharing"",""ลพบุรี!L121"")+IMPORTRANGE(""https://docs.google.com/spreadsheets/d/10oOiF7loTyfsTkbd4MpaIm0HQ9SwB7IYHdIUvt-U1Uc/edit?usp=sharing"""&amp;",""สระแก้ว!L121"")+IMPORTRANGE(""https://docs.google.com/spreadsheets/d/1xmPlrr1QbdSIKvl1dWUl9K4PjAfSL9oeMr_37QVzcxc/edit?usp=sharing"",""สระบุรี!L121"")+IMPORTRANGE(""https://docs.google.com/spreadsheets/d/1j51vR6CYVGhABJpv6tkstgok82RLpXieLzW1yOY5rHw/edi"&amp;"t?usp=sharing"",""สิงห์บุรี!L121"")+IMPORTRANGE(""https://docs.google.com/spreadsheets/d/1H1EalTWKUSzO4Z1-1CwzoDUaVffgrThEBe2sl74kKG0/edit?usp=sharing"",""สุพรรณบุรี!L121"")+IMPORTRANGE(""https://docs.google.com/spreadsheets/d/1BmIruG_sIrJLYao_Pdr7zVArWsf"&amp;"oBt2692TMi6x_854/edit?usp=sharing"",""อ่างทอง!L121"")"),0)</f>
        <v>0</v>
      </c>
      <c r="M122" s="77">
        <f ca="1">IFERROR(__xludf.DUMMYFUNCTION("IMPORTRANGE(""https://docs.google.com/spreadsheets/d/13wPX838HrBrQMCywv1BsuMkt4PEKTChp52zj44s2izQ/edit?usp=sharing"",""กาญจนบุรี!M121"")+IMPORTRANGE(""https://docs.google.com/spreadsheets/d/1ddFKvqj1W1NEiWytbGlB1zMx_ykJDVtmfEQ-6-lIUBA/edit?usp=sharing"","&amp;"""จันทบุรี!M121"")+IMPORTRANGE(""https://docs.google.com/spreadsheets/d/1T1PQvRODqOBZk8BRht_U031fIS1beLA0Ub2CEytj2q0/edit?usp=sharing"",""ฉะเชิงเทรา!M121"")+IMPORTRANGE(""https://docs.google.com/spreadsheets/d/11tr1B-Bhyr79v2bkwVh5h_fR-PStkgjlZtkrZpYurG0/"&amp;"edit?usp=sharing"",""ชลบุรี!M121"")+IMPORTRANGE(""https://docs.google.com/spreadsheets/d/1hh-FVnSX0vozXhGluamEcS54Dw9_zqW0N7qJUWgJ0Sw/edit?usp=sharing"",""ชัยนาท!M121"")+IMPORTRANGE(""https://docs.google.com/spreadsheets/d/1jkqa6GXxSacMcY1eN8AHjMNJ_7dDXMJ"&amp;"VRLDlaFSOdPM/edit?usp=sharing"",""ตราด!M121"")+IMPORTRANGE(""https://docs.google.com/spreadsheets/d/18hSgUJ3VwClqi_qtULmmW3cLr0oe3OKaSYoKzdpTsYQ/edit?usp=sharing"",""นครนายก!M121"")+IMPORTRANGE(""https://docs.google.com/spreadsheets/d/1YTZo6WM2dQ6Ix6FSdnL"&amp;"5P7uVnVKu40sxZu975tgG10E/edit?usp=sharing"",""นครปฐม!M121"")+IMPORTRANGE(""https://docs.google.com/spreadsheets/d/1OYoGg4WDg5RIzwGeB10padOxJF9E_Vljuvvct_M7RDo/edit?usp=sharing"",""ปทุมธานี!M121"")+IMPORTRANGE(""https://docs.google.com/spreadsheets/d/1GbCI"&amp;"E4D4wk9FUozzqk7SxfDMxDVBwVmI5zcaVUSzKAc/edit?usp=sharing"",""ประจวบคีรีขันธ์!M121"")+IMPORTRANGE(""https://docs.google.com/spreadsheets/d/1vVf6wykvW_lAyu7Yo9L4hUTqHqIeP_qcVuxCtosJEbg/edit?usp=sharing"",""ปราจีนบุรี!M121"")+IMPORTRANGE(""https://docs.googl"&amp;"e.com/spreadsheets/d/1BIDqLLg5jk3v59G8NlR8rk5xfQDKne0sAvZHSj7TI6I/edit?usp=sharing"",""พระนครศรีอยุธยา!M121"")+IMPORTRANGE(""https://docs.google.com/spreadsheets/d/1YXvxf8Yu6_rV4hTBrwMqAcAnv6DfhUxh5emyM3CJp_w/edit?usp=sharing"",""เพชรบุรี!M121"")+IMPORTRA"&amp;"NGE(""https://docs.google.com/spreadsheets/d/19KBlQQs7uwvsao6t2n-KvW3Ax8J8uRRfZPq1zPbXgKc/edit?usp=sharing"",""ระยอง!M121"")+IMPORTRANGE(""https://docs.google.com/spreadsheets/d/1jQ6P4QcrGM89YfqcC_PxOHGCMq5ezhucwJd8ci-NHng/edit?usp=sharing"",""ราชบุรี!M12"&amp;"1"")+IMPORTRANGE(""https://docs.google.com/spreadsheets/d/1lufeA2cfFqM-elVq2hznhDzC6Pr7wkJ9ZG_sYNGCMCU/edit?usp=sharing"",""ลพบุรี!M121"")+IMPORTRANGE(""https://docs.google.com/spreadsheets/d/10oOiF7loTyfsTkbd4MpaIm0HQ9SwB7IYHdIUvt-U1Uc/edit?usp=sharing"""&amp;",""สระแก้ว!M121"")+IMPORTRANGE(""https://docs.google.com/spreadsheets/d/1xmPlrr1QbdSIKvl1dWUl9K4PjAfSL9oeMr_37QVzcxc/edit?usp=sharing"",""สระบุรี!M121"")+IMPORTRANGE(""https://docs.google.com/spreadsheets/d/1j51vR6CYVGhABJpv6tkstgok82RLpXieLzW1yOY5rHw/edi"&amp;"t?usp=sharing"",""สิงห์บุรี!M121"")+IMPORTRANGE(""https://docs.google.com/spreadsheets/d/1H1EalTWKUSzO4Z1-1CwzoDUaVffgrThEBe2sl74kKG0/edit?usp=sharing"",""สุพรรณบุรี!M121"")+IMPORTRANGE(""https://docs.google.com/spreadsheets/d/1BmIruG_sIrJLYao_Pdr7zVArWsf"&amp;"oBt2692TMi6x_854/edit?usp=sharing"",""อ่างทอง!M121"")"),0)</f>
        <v>0</v>
      </c>
      <c r="N122" s="77">
        <f ca="1">IFERROR(__xludf.DUMMYFUNCTION("IMPORTRANGE(""https://docs.google.com/spreadsheets/d/13wPX838HrBrQMCywv1BsuMkt4PEKTChp52zj44s2izQ/edit?usp=sharing"",""กาญจนบุรี!N121"")+IMPORTRANGE(""https://docs.google.com/spreadsheets/d/1ddFKvqj1W1NEiWytbGlB1zMx_ykJDVtmfEQ-6-lIUBA/edit?usp=sharing"","&amp;"""จันทบุรี!N121"")+IMPORTRANGE(""https://docs.google.com/spreadsheets/d/1T1PQvRODqOBZk8BRht_U031fIS1beLA0Ub2CEytj2q0/edit?usp=sharing"",""ฉะเชิงเทรา!N121"")+IMPORTRANGE(""https://docs.google.com/spreadsheets/d/11tr1B-Bhyr79v2bkwVh5h_fR-PStkgjlZtkrZpYurG0/"&amp;"edit?usp=sharing"",""ชลบุรี!N121"")+IMPORTRANGE(""https://docs.google.com/spreadsheets/d/1hh-FVnSX0vozXhGluamEcS54Dw9_zqW0N7qJUWgJ0Sw/edit?usp=sharing"",""ชัยนาท!N121"")+IMPORTRANGE(""https://docs.google.com/spreadsheets/d/1jkqa6GXxSacMcY1eN8AHjMNJ_7dDXMJ"&amp;"VRLDlaFSOdPM/edit?usp=sharing"",""ตราด!N121"")+IMPORTRANGE(""https://docs.google.com/spreadsheets/d/18hSgUJ3VwClqi_qtULmmW3cLr0oe3OKaSYoKzdpTsYQ/edit?usp=sharing"",""นครนายก!N121"")+IMPORTRANGE(""https://docs.google.com/spreadsheets/d/1YTZo6WM2dQ6Ix6FSdnL"&amp;"5P7uVnVKu40sxZu975tgG10E/edit?usp=sharing"",""นครปฐม!N121"")+IMPORTRANGE(""https://docs.google.com/spreadsheets/d/1OYoGg4WDg5RIzwGeB10padOxJF9E_Vljuvvct_M7RDo/edit?usp=sharing"",""ปทุมธานี!N121"")+IMPORTRANGE(""https://docs.google.com/spreadsheets/d/1GbCI"&amp;"E4D4wk9FUozzqk7SxfDMxDVBwVmI5zcaVUSzKAc/edit?usp=sharing"",""ประจวบคีรีขันธ์!N121"")+IMPORTRANGE(""https://docs.google.com/spreadsheets/d/1vVf6wykvW_lAyu7Yo9L4hUTqHqIeP_qcVuxCtosJEbg/edit?usp=sharing"",""ปราจีนบุรี!N121"")+IMPORTRANGE(""https://docs.googl"&amp;"e.com/spreadsheets/d/1BIDqLLg5jk3v59G8NlR8rk5xfQDKne0sAvZHSj7TI6I/edit?usp=sharing"",""พระนครศรีอยุธยา!N121"")+IMPORTRANGE(""https://docs.google.com/spreadsheets/d/1YXvxf8Yu6_rV4hTBrwMqAcAnv6DfhUxh5emyM3CJp_w/edit?usp=sharing"",""เพชรบุรี!N121"")+IMPORTRA"&amp;"NGE(""https://docs.google.com/spreadsheets/d/19KBlQQs7uwvsao6t2n-KvW3Ax8J8uRRfZPq1zPbXgKc/edit?usp=sharing"",""ระยอง!N121"")+IMPORTRANGE(""https://docs.google.com/spreadsheets/d/1jQ6P4QcrGM89YfqcC_PxOHGCMq5ezhucwJd8ci-NHng/edit?usp=sharing"",""ราชบุรี!N12"&amp;"1"")+IMPORTRANGE(""https://docs.google.com/spreadsheets/d/1lufeA2cfFqM-elVq2hznhDzC6Pr7wkJ9ZG_sYNGCMCU/edit?usp=sharing"",""ลพบุรี!N121"")+IMPORTRANGE(""https://docs.google.com/spreadsheets/d/10oOiF7loTyfsTkbd4MpaIm0HQ9SwB7IYHdIUvt-U1Uc/edit?usp=sharing"""&amp;",""สระแก้ว!N121"")+IMPORTRANGE(""https://docs.google.com/spreadsheets/d/1xmPlrr1QbdSIKvl1dWUl9K4PjAfSL9oeMr_37QVzcxc/edit?usp=sharing"",""สระบุรี!N121"")+IMPORTRANGE(""https://docs.google.com/spreadsheets/d/1j51vR6CYVGhABJpv6tkstgok82RLpXieLzW1yOY5rHw/edi"&amp;"t?usp=sharing"",""สิงห์บุรี!N121"")+IMPORTRANGE(""https://docs.google.com/spreadsheets/d/1H1EalTWKUSzO4Z1-1CwzoDUaVffgrThEBe2sl74kKG0/edit?usp=sharing"",""สุพรรณบุรี!N121"")+IMPORTRANGE(""https://docs.google.com/spreadsheets/d/1BmIruG_sIrJLYao_Pdr7zVArWsf"&amp;"oBt2692TMi6x_854/edit?usp=sharing"",""อ่างทอง!N121"")"),0)</f>
        <v>0</v>
      </c>
      <c r="O122" s="77">
        <f t="shared" ca="1" si="91"/>
        <v>0</v>
      </c>
      <c r="P122" s="77">
        <f t="shared" ca="1" si="92"/>
        <v>0</v>
      </c>
      <c r="Q122" s="76">
        <f ca="1">IFERROR(__xludf.DUMMYFUNCTION("IMPORTRANGE(""https://docs.google.com/spreadsheets/d/13wPX838HrBrQMCywv1BsuMkt4PEKTChp52zj44s2izQ/edit?usp=sharing"",""กาญจนบุรี!Q121"")+IMPORTRANGE(""https://docs.google.com/spreadsheets/d/1ddFKvqj1W1NEiWytbGlB1zMx_ykJDVtmfEQ-6-lIUBA/edit?usp=sharing"","&amp;"""จันทบุรี!Q121"")+IMPORTRANGE(""https://docs.google.com/spreadsheets/d/1T1PQvRODqOBZk8BRht_U031fIS1beLA0Ub2CEytj2q0/edit?usp=sharing"",""ฉะเชิงเทรา!Q121"")+IMPORTRANGE(""https://docs.google.com/spreadsheets/d/11tr1B-Bhyr79v2bkwVh5h_fR-PStkgjlZtkrZpYurG0/"&amp;"edit?usp=sharing"",""ชลบุรี!Q121"")+IMPORTRANGE(""https://docs.google.com/spreadsheets/d/1hh-FVnSX0vozXhGluamEcS54Dw9_zqW0N7qJUWgJ0Sw/edit?usp=sharing"",""ชัยนาท!Q121"")+IMPORTRANGE(""https://docs.google.com/spreadsheets/d/1jkqa6GXxSacMcY1eN8AHjMNJ_7dDXMJ"&amp;"VRLDlaFSOdPM/edit?usp=sharing"",""ตราด!Q121"")+IMPORTRANGE(""https://docs.google.com/spreadsheets/d/18hSgUJ3VwClqi_qtULmmW3cLr0oe3OKaSYoKzdpTsYQ/edit?usp=sharing"",""นครนายก!Q121"")+IMPORTRANGE(""https://docs.google.com/spreadsheets/d/1YTZo6WM2dQ6Ix6FSdnL"&amp;"5P7uVnVKu40sxZu975tgG10E/edit?usp=sharing"",""นครปฐม!Q121"")+IMPORTRANGE(""https://docs.google.com/spreadsheets/d/1OYoGg4WDg5RIzwGeB10padOxJF9E_Vljuvvct_M7RDo/edit?usp=sharing"",""ปทุมธานี!Q121"")+IMPORTRANGE(""https://docs.google.com/spreadsheets/d/1GbCI"&amp;"E4D4wk9FUozzqk7SxfDMxDVBwVmI5zcaVUSzKAc/edit?usp=sharing"",""ประจวบคีรีขันธ์!Q121"")+IMPORTRANGE(""https://docs.google.com/spreadsheets/d/1vVf6wykvW_lAyu7Yo9L4hUTqHqIeP_qcVuxCtosJEbg/edit?usp=sharing"",""ปราจีนบุรี!Q121"")+IMPORTRANGE(""https://docs.googl"&amp;"e.com/spreadsheets/d/1BIDqLLg5jk3v59G8NlR8rk5xfQDKne0sAvZHSj7TI6I/edit?usp=sharing"",""พระนครศรีอยุธยา!Q121"")+IMPORTRANGE(""https://docs.google.com/spreadsheets/d/1YXvxf8Yu6_rV4hTBrwMqAcAnv6DfhUxh5emyM3CJp_w/edit?usp=sharing"",""เพชรบุรี!Q121"")+IMPORTRA"&amp;"NGE(""https://docs.google.com/spreadsheets/d/19KBlQQs7uwvsao6t2n-KvW3Ax8J8uRRfZPq1zPbXgKc/edit?usp=sharing"",""ระยอง!Q121"")+IMPORTRANGE(""https://docs.google.com/spreadsheets/d/1jQ6P4QcrGM89YfqcC_PxOHGCMq5ezhucwJd8ci-NHng/edit?usp=sharing"",""ราชบุรี!Q12"&amp;"1"")+IMPORTRANGE(""https://docs.google.com/spreadsheets/d/1lufeA2cfFqM-elVq2hznhDzC6Pr7wkJ9ZG_sYNGCMCU/edit?usp=sharing"",""ลพบุรี!Q121"")+IMPORTRANGE(""https://docs.google.com/spreadsheets/d/10oOiF7loTyfsTkbd4MpaIm0HQ9SwB7IYHdIUvt-U1Uc/edit?usp=sharing"""&amp;",""สระแก้ว!Q121"")+IMPORTRANGE(""https://docs.google.com/spreadsheets/d/1xmPlrr1QbdSIKvl1dWUl9K4PjAfSL9oeMr_37QVzcxc/edit?usp=sharing"",""สระบุรี!Q121"")+IMPORTRANGE(""https://docs.google.com/spreadsheets/d/1j51vR6CYVGhABJpv6tkstgok82RLpXieLzW1yOY5rHw/edi"&amp;"t?usp=sharing"",""สิงห์บุรี!Q121"")+IMPORTRANGE(""https://docs.google.com/spreadsheets/d/1H1EalTWKUSzO4Z1-1CwzoDUaVffgrThEBe2sl74kKG0/edit?usp=sharing"",""สุพรรณบุรี!Q121"")+IMPORTRANGE(""https://docs.google.com/spreadsheets/d/1BmIruG_sIrJLYao_Pdr7zVArWsf"&amp;"oBt2692TMi6x_854/edit?usp=sharing"",""อ่างทอง!Q121"")"),0)</f>
        <v>0</v>
      </c>
      <c r="R122" s="77">
        <f ca="1">IFERROR(__xludf.DUMMYFUNCTION("IMPORTRANGE(""https://docs.google.com/spreadsheets/d/13wPX838HrBrQMCywv1BsuMkt4PEKTChp52zj44s2izQ/edit?usp=sharing"",""กาญจนบุรี!R121"")+IMPORTRANGE(""https://docs.google.com/spreadsheets/d/1ddFKvqj1W1NEiWytbGlB1zMx_ykJDVtmfEQ-6-lIUBA/edit?usp=sharing"","&amp;"""จันทบุรี!R121"")+IMPORTRANGE(""https://docs.google.com/spreadsheets/d/1T1PQvRODqOBZk8BRht_U031fIS1beLA0Ub2CEytj2q0/edit?usp=sharing"",""ฉะเชิงเทรา!R121"")+IMPORTRANGE(""https://docs.google.com/spreadsheets/d/11tr1B-Bhyr79v2bkwVh5h_fR-PStkgjlZtkrZpYurG0/"&amp;"edit?usp=sharing"",""ชลบุรี!R121"")+IMPORTRANGE(""https://docs.google.com/spreadsheets/d/1hh-FVnSX0vozXhGluamEcS54Dw9_zqW0N7qJUWgJ0Sw/edit?usp=sharing"",""ชัยนาท!R121"")+IMPORTRANGE(""https://docs.google.com/spreadsheets/d/1jkqa6GXxSacMcY1eN8AHjMNJ_7dDXMJ"&amp;"VRLDlaFSOdPM/edit?usp=sharing"",""ตราด!R121"")+IMPORTRANGE(""https://docs.google.com/spreadsheets/d/18hSgUJ3VwClqi_qtULmmW3cLr0oe3OKaSYoKzdpTsYQ/edit?usp=sharing"",""นครนายก!R121"")+IMPORTRANGE(""https://docs.google.com/spreadsheets/d/1YTZo6WM2dQ6Ix6FSdnL"&amp;"5P7uVnVKu40sxZu975tgG10E/edit?usp=sharing"",""นครปฐม!R121"")+IMPORTRANGE(""https://docs.google.com/spreadsheets/d/1OYoGg4WDg5RIzwGeB10padOxJF9E_Vljuvvct_M7RDo/edit?usp=sharing"",""ปทุมธานี!R121"")+IMPORTRANGE(""https://docs.google.com/spreadsheets/d/1GbCI"&amp;"E4D4wk9FUozzqk7SxfDMxDVBwVmI5zcaVUSzKAc/edit?usp=sharing"",""ประจวบคีรีขันธ์!R121"")+IMPORTRANGE(""https://docs.google.com/spreadsheets/d/1vVf6wykvW_lAyu7Yo9L4hUTqHqIeP_qcVuxCtosJEbg/edit?usp=sharing"",""ปราจีนบุรี!R121"")+IMPORTRANGE(""https://docs.googl"&amp;"e.com/spreadsheets/d/1BIDqLLg5jk3v59G8NlR8rk5xfQDKne0sAvZHSj7TI6I/edit?usp=sharing"",""พระนครศรีอยุธยา!R121"")+IMPORTRANGE(""https://docs.google.com/spreadsheets/d/1YXvxf8Yu6_rV4hTBrwMqAcAnv6DfhUxh5emyM3CJp_w/edit?usp=sharing"",""เพชรบุรี!R121"")+IMPORTRA"&amp;"NGE(""https://docs.google.com/spreadsheets/d/19KBlQQs7uwvsao6t2n-KvW3Ax8J8uRRfZPq1zPbXgKc/edit?usp=sharing"",""ระยอง!R121"")+IMPORTRANGE(""https://docs.google.com/spreadsheets/d/1jQ6P4QcrGM89YfqcC_PxOHGCMq5ezhucwJd8ci-NHng/edit?usp=sharing"",""ราชบุรี!R12"&amp;"1"")+IMPORTRANGE(""https://docs.google.com/spreadsheets/d/1lufeA2cfFqM-elVq2hznhDzC6Pr7wkJ9ZG_sYNGCMCU/edit?usp=sharing"",""ลพบุรี!R121"")+IMPORTRANGE(""https://docs.google.com/spreadsheets/d/10oOiF7loTyfsTkbd4MpaIm0HQ9SwB7IYHdIUvt-U1Uc/edit?usp=sharing"""&amp;",""สระแก้ว!R121"")+IMPORTRANGE(""https://docs.google.com/spreadsheets/d/1xmPlrr1QbdSIKvl1dWUl9K4PjAfSL9oeMr_37QVzcxc/edit?usp=sharing"",""สระบุรี!R121"")+IMPORTRANGE(""https://docs.google.com/spreadsheets/d/1j51vR6CYVGhABJpv6tkstgok82RLpXieLzW1yOY5rHw/edi"&amp;"t?usp=sharing"",""สิงห์บุรี!R121"")+IMPORTRANGE(""https://docs.google.com/spreadsheets/d/1H1EalTWKUSzO4Z1-1CwzoDUaVffgrThEBe2sl74kKG0/edit?usp=sharing"",""สุพรรณบุรี!R121"")+IMPORTRANGE(""https://docs.google.com/spreadsheets/d/1BmIruG_sIrJLYao_Pdr7zVArWsf"&amp;"oBt2692TMi6x_854/edit?usp=sharing"",""อ่างทอง!R121"")"),0)</f>
        <v>0</v>
      </c>
      <c r="S122" s="77">
        <f ca="1">IFERROR(__xludf.DUMMYFUNCTION("IMPORTRANGE(""https://docs.google.com/spreadsheets/d/13wPX838HrBrQMCywv1BsuMkt4PEKTChp52zj44s2izQ/edit?usp=sharing"",""กาญจนบุรี!S121"")+IMPORTRANGE(""https://docs.google.com/spreadsheets/d/1ddFKvqj1W1NEiWytbGlB1zMx_ykJDVtmfEQ-6-lIUBA/edit?usp=sharing"","&amp;"""จันทบุรี!S121"")+IMPORTRANGE(""https://docs.google.com/spreadsheets/d/1T1PQvRODqOBZk8BRht_U031fIS1beLA0Ub2CEytj2q0/edit?usp=sharing"",""ฉะเชิงเทรา!S121"")+IMPORTRANGE(""https://docs.google.com/spreadsheets/d/11tr1B-Bhyr79v2bkwVh5h_fR-PStkgjlZtkrZpYurG0/"&amp;"edit?usp=sharing"",""ชลบุรี!S121"")+IMPORTRANGE(""https://docs.google.com/spreadsheets/d/1hh-FVnSX0vozXhGluamEcS54Dw9_zqW0N7qJUWgJ0Sw/edit?usp=sharing"",""ชัยนาท!S121"")+IMPORTRANGE(""https://docs.google.com/spreadsheets/d/1jkqa6GXxSacMcY1eN8AHjMNJ_7dDXMJ"&amp;"VRLDlaFSOdPM/edit?usp=sharing"",""ตราด!S121"")+IMPORTRANGE(""https://docs.google.com/spreadsheets/d/18hSgUJ3VwClqi_qtULmmW3cLr0oe3OKaSYoKzdpTsYQ/edit?usp=sharing"",""นครนายก!S121"")+IMPORTRANGE(""https://docs.google.com/spreadsheets/d/1YTZo6WM2dQ6Ix6FSdnL"&amp;"5P7uVnVKu40sxZu975tgG10E/edit?usp=sharing"",""นครปฐม!S121"")+IMPORTRANGE(""https://docs.google.com/spreadsheets/d/1OYoGg4WDg5RIzwGeB10padOxJF9E_Vljuvvct_M7RDo/edit?usp=sharing"",""ปทุมธานี!S121"")+IMPORTRANGE(""https://docs.google.com/spreadsheets/d/1GbCI"&amp;"E4D4wk9FUozzqk7SxfDMxDVBwVmI5zcaVUSzKAc/edit?usp=sharing"",""ประจวบคีรีขันธ์!S121"")+IMPORTRANGE(""https://docs.google.com/spreadsheets/d/1vVf6wykvW_lAyu7Yo9L4hUTqHqIeP_qcVuxCtosJEbg/edit?usp=sharing"",""ปราจีนบุรี!S121"")+IMPORTRANGE(""https://docs.googl"&amp;"e.com/spreadsheets/d/1BIDqLLg5jk3v59G8NlR8rk5xfQDKne0sAvZHSj7TI6I/edit?usp=sharing"",""พระนครศรีอยุธยา!S121"")+IMPORTRANGE(""https://docs.google.com/spreadsheets/d/1YXvxf8Yu6_rV4hTBrwMqAcAnv6DfhUxh5emyM3CJp_w/edit?usp=sharing"",""เพชรบุรี!S121"")+IMPORTRA"&amp;"NGE(""https://docs.google.com/spreadsheets/d/19KBlQQs7uwvsao6t2n-KvW3Ax8J8uRRfZPq1zPbXgKc/edit?usp=sharing"",""ระยอง!S121"")+IMPORTRANGE(""https://docs.google.com/spreadsheets/d/1jQ6P4QcrGM89YfqcC_PxOHGCMq5ezhucwJd8ci-NHng/edit?usp=sharing"",""ราชบุรี!S12"&amp;"1"")+IMPORTRANGE(""https://docs.google.com/spreadsheets/d/1lufeA2cfFqM-elVq2hznhDzC6Pr7wkJ9ZG_sYNGCMCU/edit?usp=sharing"",""ลพบุรี!S121"")+IMPORTRANGE(""https://docs.google.com/spreadsheets/d/10oOiF7loTyfsTkbd4MpaIm0HQ9SwB7IYHdIUvt-U1Uc/edit?usp=sharing"""&amp;",""สระแก้ว!S121"")+IMPORTRANGE(""https://docs.google.com/spreadsheets/d/1xmPlrr1QbdSIKvl1dWUl9K4PjAfSL9oeMr_37QVzcxc/edit?usp=sharing"",""สระบุรี!S121"")+IMPORTRANGE(""https://docs.google.com/spreadsheets/d/1j51vR6CYVGhABJpv6tkstgok82RLpXieLzW1yOY5rHw/edi"&amp;"t?usp=sharing"",""สิงห์บุรี!S121"")+IMPORTRANGE(""https://docs.google.com/spreadsheets/d/1H1EalTWKUSzO4Z1-1CwzoDUaVffgrThEBe2sl74kKG0/edit?usp=sharing"",""สุพรรณบุรี!S121"")+IMPORTRANGE(""https://docs.google.com/spreadsheets/d/1BmIruG_sIrJLYao_Pdr7zVArWsf"&amp;"oBt2692TMi6x_854/edit?usp=sharing"",""อ่างทอง!S121"")"),0)</f>
        <v>0</v>
      </c>
      <c r="T122" s="133">
        <f t="shared" ca="1" si="94"/>
        <v>0</v>
      </c>
      <c r="U122" s="133">
        <f t="shared" ca="1" si="95"/>
        <v>0</v>
      </c>
    </row>
    <row r="123" spans="1:21" ht="18.75" x14ac:dyDescent="0.25">
      <c r="A123" s="257"/>
      <c r="B123" s="269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4">
        <f ca="1">IFERROR(__xludf.DUMMYFUNCTION("IMPORTRANGE(""https://docs.google.com/spreadsheets/d/13wPX838HrBrQMCywv1BsuMkt4PEKTChp52zj44s2izQ/edit?usp=sharing"",""กาญจนบุรี!L122"")+IMPORTRANGE(""https://docs.google.com/spreadsheets/d/1ddFKvqj1W1NEiWytbGlB1zMx_ykJDVtmfEQ-6-lIUBA/edit?usp=sharing"","&amp;"""จันทบุรี!L122"")+IMPORTRANGE(""https://docs.google.com/spreadsheets/d/1T1PQvRODqOBZk8BRht_U031fIS1beLA0Ub2CEytj2q0/edit?usp=sharing"",""ฉะเชิงเทรา!L122"")+IMPORTRANGE(""https://docs.google.com/spreadsheets/d/11tr1B-Bhyr79v2bkwVh5h_fR-PStkgjlZtkrZpYurG0/"&amp;"edit?usp=sharing"",""ชลบุรี!L122"")+IMPORTRANGE(""https://docs.google.com/spreadsheets/d/1hh-FVnSX0vozXhGluamEcS54Dw9_zqW0N7qJUWgJ0Sw/edit?usp=sharing"",""ชัยนาท!L122"")+IMPORTRANGE(""https://docs.google.com/spreadsheets/d/1jkqa6GXxSacMcY1eN8AHjMNJ_7dDXMJ"&amp;"VRLDlaFSOdPM/edit?usp=sharing"",""ตราด!L122"")+IMPORTRANGE(""https://docs.google.com/spreadsheets/d/18hSgUJ3VwClqi_qtULmmW3cLr0oe3OKaSYoKzdpTsYQ/edit?usp=sharing"",""นครนายก!L122"")+IMPORTRANGE(""https://docs.google.com/spreadsheets/d/1YTZo6WM2dQ6Ix6FSdnL"&amp;"5P7uVnVKu40sxZu975tgG10E/edit?usp=sharing"",""นครปฐม!L122"")+IMPORTRANGE(""https://docs.google.com/spreadsheets/d/1OYoGg4WDg5RIzwGeB10padOxJF9E_Vljuvvct_M7RDo/edit?usp=sharing"",""ปทุมธานี!L122"")+IMPORTRANGE(""https://docs.google.com/spreadsheets/d/1GbCI"&amp;"E4D4wk9FUozzqk7SxfDMxDVBwVmI5zcaVUSzKAc/edit?usp=sharing"",""ประจวบคีรีขันธ์!L122"")+IMPORTRANGE(""https://docs.google.com/spreadsheets/d/1vVf6wykvW_lAyu7Yo9L4hUTqHqIeP_qcVuxCtosJEbg/edit?usp=sharing"",""ปราจีนบุรี!L122"")+IMPORTRANGE(""https://docs.googl"&amp;"e.com/spreadsheets/d/1BIDqLLg5jk3v59G8NlR8rk5xfQDKne0sAvZHSj7TI6I/edit?usp=sharing"",""พระนครศรีอยุธยา!L122"")+IMPORTRANGE(""https://docs.google.com/spreadsheets/d/1YXvxf8Yu6_rV4hTBrwMqAcAnv6DfhUxh5emyM3CJp_w/edit?usp=sharing"",""เพชรบุรี!L122"")+IMPORTRA"&amp;"NGE(""https://docs.google.com/spreadsheets/d/19KBlQQs7uwvsao6t2n-KvW3Ax8J8uRRfZPq1zPbXgKc/edit?usp=sharing"",""ระยอง!L122"")+IMPORTRANGE(""https://docs.google.com/spreadsheets/d/1jQ6P4QcrGM89YfqcC_PxOHGCMq5ezhucwJd8ci-NHng/edit?usp=sharing"",""ราชบุรี!L12"&amp;"2"")+IMPORTRANGE(""https://docs.google.com/spreadsheets/d/1lufeA2cfFqM-elVq2hznhDzC6Pr7wkJ9ZG_sYNGCMCU/edit?usp=sharing"",""ลพบุรี!L122"")+IMPORTRANGE(""https://docs.google.com/spreadsheets/d/10oOiF7loTyfsTkbd4MpaIm0HQ9SwB7IYHdIUvt-U1Uc/edit?usp=sharing"""&amp;",""สระแก้ว!L122"")+IMPORTRANGE(""https://docs.google.com/spreadsheets/d/1xmPlrr1QbdSIKvl1dWUl9K4PjAfSL9oeMr_37QVzcxc/edit?usp=sharing"",""สระบุรี!L122"")+IMPORTRANGE(""https://docs.google.com/spreadsheets/d/1j51vR6CYVGhABJpv6tkstgok82RLpXieLzW1yOY5rHw/edi"&amp;"t?usp=sharing"",""สิงห์บุรี!L122"")+IMPORTRANGE(""https://docs.google.com/spreadsheets/d/1H1EalTWKUSzO4Z1-1CwzoDUaVffgrThEBe2sl74kKG0/edit?usp=sharing"",""สุพรรณบุรี!L122"")+IMPORTRANGE(""https://docs.google.com/spreadsheets/d/1BmIruG_sIrJLYao_Pdr7zVArWsf"&amp;"oBt2692TMi6x_854/edit?usp=sharing"",""อ่างทอง!L122"")"),0)</f>
        <v>0</v>
      </c>
      <c r="M123" s="74">
        <f ca="1">IFERROR(__xludf.DUMMYFUNCTION("IMPORTRANGE(""https://docs.google.com/spreadsheets/d/13wPX838HrBrQMCywv1BsuMkt4PEKTChp52zj44s2izQ/edit?usp=sharing"",""กาญจนบุรี!M122"")+IMPORTRANGE(""https://docs.google.com/spreadsheets/d/1ddFKvqj1W1NEiWytbGlB1zMx_ykJDVtmfEQ-6-lIUBA/edit?usp=sharing"","&amp;"""จันทบุรี!M122"")+IMPORTRANGE(""https://docs.google.com/spreadsheets/d/1T1PQvRODqOBZk8BRht_U031fIS1beLA0Ub2CEytj2q0/edit?usp=sharing"",""ฉะเชิงเทรา!M122"")+IMPORTRANGE(""https://docs.google.com/spreadsheets/d/11tr1B-Bhyr79v2bkwVh5h_fR-PStkgjlZtkrZpYurG0/"&amp;"edit?usp=sharing"",""ชลบุรี!M122"")+IMPORTRANGE(""https://docs.google.com/spreadsheets/d/1hh-FVnSX0vozXhGluamEcS54Dw9_zqW0N7qJUWgJ0Sw/edit?usp=sharing"",""ชัยนาท!M122"")+IMPORTRANGE(""https://docs.google.com/spreadsheets/d/1jkqa6GXxSacMcY1eN8AHjMNJ_7dDXMJ"&amp;"VRLDlaFSOdPM/edit?usp=sharing"",""ตราด!M122"")+IMPORTRANGE(""https://docs.google.com/spreadsheets/d/18hSgUJ3VwClqi_qtULmmW3cLr0oe3OKaSYoKzdpTsYQ/edit?usp=sharing"",""นครนายก!M122"")+IMPORTRANGE(""https://docs.google.com/spreadsheets/d/1YTZo6WM2dQ6Ix6FSdnL"&amp;"5P7uVnVKu40sxZu975tgG10E/edit?usp=sharing"",""นครปฐม!M122"")+IMPORTRANGE(""https://docs.google.com/spreadsheets/d/1OYoGg4WDg5RIzwGeB10padOxJF9E_Vljuvvct_M7RDo/edit?usp=sharing"",""ปทุมธานี!M122"")+IMPORTRANGE(""https://docs.google.com/spreadsheets/d/1GbCI"&amp;"E4D4wk9FUozzqk7SxfDMxDVBwVmI5zcaVUSzKAc/edit?usp=sharing"",""ประจวบคีรีขันธ์!M122"")+IMPORTRANGE(""https://docs.google.com/spreadsheets/d/1vVf6wykvW_lAyu7Yo9L4hUTqHqIeP_qcVuxCtosJEbg/edit?usp=sharing"",""ปราจีนบุรี!M122"")+IMPORTRANGE(""https://docs.googl"&amp;"e.com/spreadsheets/d/1BIDqLLg5jk3v59G8NlR8rk5xfQDKne0sAvZHSj7TI6I/edit?usp=sharing"",""พระนครศรีอยุธยา!M122"")+IMPORTRANGE(""https://docs.google.com/spreadsheets/d/1YXvxf8Yu6_rV4hTBrwMqAcAnv6DfhUxh5emyM3CJp_w/edit?usp=sharing"",""เพชรบุรี!M122"")+IMPORTRA"&amp;"NGE(""https://docs.google.com/spreadsheets/d/19KBlQQs7uwvsao6t2n-KvW3Ax8J8uRRfZPq1zPbXgKc/edit?usp=sharing"",""ระยอง!M122"")+IMPORTRANGE(""https://docs.google.com/spreadsheets/d/1jQ6P4QcrGM89YfqcC_PxOHGCMq5ezhucwJd8ci-NHng/edit?usp=sharing"",""ราชบุรี!M12"&amp;"2"")+IMPORTRANGE(""https://docs.google.com/spreadsheets/d/1lufeA2cfFqM-elVq2hznhDzC6Pr7wkJ9ZG_sYNGCMCU/edit?usp=sharing"",""ลพบุรี!M122"")+IMPORTRANGE(""https://docs.google.com/spreadsheets/d/10oOiF7loTyfsTkbd4MpaIm0HQ9SwB7IYHdIUvt-U1Uc/edit?usp=sharing"""&amp;",""สระแก้ว!M122"")+IMPORTRANGE(""https://docs.google.com/spreadsheets/d/1xmPlrr1QbdSIKvl1dWUl9K4PjAfSL9oeMr_37QVzcxc/edit?usp=sharing"",""สระบุรี!M122"")+IMPORTRANGE(""https://docs.google.com/spreadsheets/d/1j51vR6CYVGhABJpv6tkstgok82RLpXieLzW1yOY5rHw/edi"&amp;"t?usp=sharing"",""สิงห์บุรี!M122"")+IMPORTRANGE(""https://docs.google.com/spreadsheets/d/1H1EalTWKUSzO4Z1-1CwzoDUaVffgrThEBe2sl74kKG0/edit?usp=sharing"",""สุพรรณบุรี!M122"")+IMPORTRANGE(""https://docs.google.com/spreadsheets/d/1BmIruG_sIrJLYao_Pdr7zVArWsf"&amp;"oBt2692TMi6x_854/edit?usp=sharing"",""อ่างทอง!M122"")"),0)</f>
        <v>0</v>
      </c>
      <c r="N123" s="74">
        <f ca="1">IFERROR(__xludf.DUMMYFUNCTION("IMPORTRANGE(""https://docs.google.com/spreadsheets/d/13wPX838HrBrQMCywv1BsuMkt4PEKTChp52zj44s2izQ/edit?usp=sharing"",""กาญจนบุรี!N122"")+IMPORTRANGE(""https://docs.google.com/spreadsheets/d/1ddFKvqj1W1NEiWytbGlB1zMx_ykJDVtmfEQ-6-lIUBA/edit?usp=sharing"","&amp;"""จันทบุรี!N122"")+IMPORTRANGE(""https://docs.google.com/spreadsheets/d/1T1PQvRODqOBZk8BRht_U031fIS1beLA0Ub2CEytj2q0/edit?usp=sharing"",""ฉะเชิงเทรา!N122"")+IMPORTRANGE(""https://docs.google.com/spreadsheets/d/11tr1B-Bhyr79v2bkwVh5h_fR-PStkgjlZtkrZpYurG0/"&amp;"edit?usp=sharing"",""ชลบุรี!N122"")+IMPORTRANGE(""https://docs.google.com/spreadsheets/d/1hh-FVnSX0vozXhGluamEcS54Dw9_zqW0N7qJUWgJ0Sw/edit?usp=sharing"",""ชัยนาท!N122"")+IMPORTRANGE(""https://docs.google.com/spreadsheets/d/1jkqa6GXxSacMcY1eN8AHjMNJ_7dDXMJ"&amp;"VRLDlaFSOdPM/edit?usp=sharing"",""ตราด!N122"")+IMPORTRANGE(""https://docs.google.com/spreadsheets/d/18hSgUJ3VwClqi_qtULmmW3cLr0oe3OKaSYoKzdpTsYQ/edit?usp=sharing"",""นครนายก!N122"")+IMPORTRANGE(""https://docs.google.com/spreadsheets/d/1YTZo6WM2dQ6Ix6FSdnL"&amp;"5P7uVnVKu40sxZu975tgG10E/edit?usp=sharing"",""นครปฐม!N122"")+IMPORTRANGE(""https://docs.google.com/spreadsheets/d/1OYoGg4WDg5RIzwGeB10padOxJF9E_Vljuvvct_M7RDo/edit?usp=sharing"",""ปทุมธานี!N122"")+IMPORTRANGE(""https://docs.google.com/spreadsheets/d/1GbCI"&amp;"E4D4wk9FUozzqk7SxfDMxDVBwVmI5zcaVUSzKAc/edit?usp=sharing"",""ประจวบคีรีขันธ์!N122"")+IMPORTRANGE(""https://docs.google.com/spreadsheets/d/1vVf6wykvW_lAyu7Yo9L4hUTqHqIeP_qcVuxCtosJEbg/edit?usp=sharing"",""ปราจีนบุรี!N122"")+IMPORTRANGE(""https://docs.googl"&amp;"e.com/spreadsheets/d/1BIDqLLg5jk3v59G8NlR8rk5xfQDKne0sAvZHSj7TI6I/edit?usp=sharing"",""พระนครศรีอยุธยา!N122"")+IMPORTRANGE(""https://docs.google.com/spreadsheets/d/1YXvxf8Yu6_rV4hTBrwMqAcAnv6DfhUxh5emyM3CJp_w/edit?usp=sharing"",""เพชรบุรี!N122"")+IMPORTRA"&amp;"NGE(""https://docs.google.com/spreadsheets/d/19KBlQQs7uwvsao6t2n-KvW3Ax8J8uRRfZPq1zPbXgKc/edit?usp=sharing"",""ระยอง!N122"")+IMPORTRANGE(""https://docs.google.com/spreadsheets/d/1jQ6P4QcrGM89YfqcC_PxOHGCMq5ezhucwJd8ci-NHng/edit?usp=sharing"",""ราชบุรี!N12"&amp;"2"")+IMPORTRANGE(""https://docs.google.com/spreadsheets/d/1lufeA2cfFqM-elVq2hznhDzC6Pr7wkJ9ZG_sYNGCMCU/edit?usp=sharing"",""ลพบุรี!N122"")+IMPORTRANGE(""https://docs.google.com/spreadsheets/d/10oOiF7loTyfsTkbd4MpaIm0HQ9SwB7IYHdIUvt-U1Uc/edit?usp=sharing"""&amp;",""สระแก้ว!N122"")+IMPORTRANGE(""https://docs.google.com/spreadsheets/d/1xmPlrr1QbdSIKvl1dWUl9K4PjAfSL9oeMr_37QVzcxc/edit?usp=sharing"",""สระบุรี!N122"")+IMPORTRANGE(""https://docs.google.com/spreadsheets/d/1j51vR6CYVGhABJpv6tkstgok82RLpXieLzW1yOY5rHw/edi"&amp;"t?usp=sharing"",""สิงห์บุรี!N122"")+IMPORTRANGE(""https://docs.google.com/spreadsheets/d/1H1EalTWKUSzO4Z1-1CwzoDUaVffgrThEBe2sl74kKG0/edit?usp=sharing"",""สุพรรณบุรี!N122"")+IMPORTRANGE(""https://docs.google.com/spreadsheets/d/1BmIruG_sIrJLYao_Pdr7zVArWsf"&amp;"oBt2692TMi6x_854/edit?usp=sharing"",""อ่างทอง!N122"")"),0)</f>
        <v>0</v>
      </c>
      <c r="O123" s="74">
        <f t="shared" ca="1" si="91"/>
        <v>0</v>
      </c>
      <c r="P123" s="74">
        <f t="shared" ca="1" si="92"/>
        <v>0</v>
      </c>
      <c r="Q123" s="131">
        <f ca="1">IFERROR(__xludf.DUMMYFUNCTION("IMPORTRANGE(""https://docs.google.com/spreadsheets/d/13wPX838HrBrQMCywv1BsuMkt4PEKTChp52zj44s2izQ/edit?usp=sharing"",""กาญจนบุรี!Q122"")+IMPORTRANGE(""https://docs.google.com/spreadsheets/d/1ddFKvqj1W1NEiWytbGlB1zMx_ykJDVtmfEQ-6-lIUBA/edit?usp=sharing"","&amp;"""จันทบุรี!Q122"")+IMPORTRANGE(""https://docs.google.com/spreadsheets/d/1T1PQvRODqOBZk8BRht_U031fIS1beLA0Ub2CEytj2q0/edit?usp=sharing"",""ฉะเชิงเทรา!Q122"")+IMPORTRANGE(""https://docs.google.com/spreadsheets/d/11tr1B-Bhyr79v2bkwVh5h_fR-PStkgjlZtkrZpYurG0/"&amp;"edit?usp=sharing"",""ชลบุรี!Q122"")+IMPORTRANGE(""https://docs.google.com/spreadsheets/d/1hh-FVnSX0vozXhGluamEcS54Dw9_zqW0N7qJUWgJ0Sw/edit?usp=sharing"",""ชัยนาท!Q122"")+IMPORTRANGE(""https://docs.google.com/spreadsheets/d/1jkqa6GXxSacMcY1eN8AHjMNJ_7dDXMJ"&amp;"VRLDlaFSOdPM/edit?usp=sharing"",""ตราด!Q122"")+IMPORTRANGE(""https://docs.google.com/spreadsheets/d/18hSgUJ3VwClqi_qtULmmW3cLr0oe3OKaSYoKzdpTsYQ/edit?usp=sharing"",""นครนายก!Q122"")+IMPORTRANGE(""https://docs.google.com/spreadsheets/d/1YTZo6WM2dQ6Ix6FSdnL"&amp;"5P7uVnVKu40sxZu975tgG10E/edit?usp=sharing"",""นครปฐม!Q122"")+IMPORTRANGE(""https://docs.google.com/spreadsheets/d/1OYoGg4WDg5RIzwGeB10padOxJF9E_Vljuvvct_M7RDo/edit?usp=sharing"",""ปทุมธานี!Q122"")+IMPORTRANGE(""https://docs.google.com/spreadsheets/d/1GbCI"&amp;"E4D4wk9FUozzqk7SxfDMxDVBwVmI5zcaVUSzKAc/edit?usp=sharing"",""ประจวบคีรีขันธ์!Q122"")+IMPORTRANGE(""https://docs.google.com/spreadsheets/d/1vVf6wykvW_lAyu7Yo9L4hUTqHqIeP_qcVuxCtosJEbg/edit?usp=sharing"",""ปราจีนบุรี!Q122"")+IMPORTRANGE(""https://docs.googl"&amp;"e.com/spreadsheets/d/1BIDqLLg5jk3v59G8NlR8rk5xfQDKne0sAvZHSj7TI6I/edit?usp=sharing"",""พระนครศรีอยุธยา!Q122"")+IMPORTRANGE(""https://docs.google.com/spreadsheets/d/1YXvxf8Yu6_rV4hTBrwMqAcAnv6DfhUxh5emyM3CJp_w/edit?usp=sharing"",""เพชรบุรี!Q122"")+IMPORTRA"&amp;"NGE(""https://docs.google.com/spreadsheets/d/19KBlQQs7uwvsao6t2n-KvW3Ax8J8uRRfZPq1zPbXgKc/edit?usp=sharing"",""ระยอง!Q122"")+IMPORTRANGE(""https://docs.google.com/spreadsheets/d/1jQ6P4QcrGM89YfqcC_PxOHGCMq5ezhucwJd8ci-NHng/edit?usp=sharing"",""ราชบุรี!Q12"&amp;"2"")+IMPORTRANGE(""https://docs.google.com/spreadsheets/d/1lufeA2cfFqM-elVq2hznhDzC6Pr7wkJ9ZG_sYNGCMCU/edit?usp=sharing"",""ลพบุรี!Q122"")+IMPORTRANGE(""https://docs.google.com/spreadsheets/d/10oOiF7loTyfsTkbd4MpaIm0HQ9SwB7IYHdIUvt-U1Uc/edit?usp=sharing"""&amp;",""สระแก้ว!Q122"")+IMPORTRANGE(""https://docs.google.com/spreadsheets/d/1xmPlrr1QbdSIKvl1dWUl9K4PjAfSL9oeMr_37QVzcxc/edit?usp=sharing"",""สระบุรี!Q122"")+IMPORTRANGE(""https://docs.google.com/spreadsheets/d/1j51vR6CYVGhABJpv6tkstgok82RLpXieLzW1yOY5rHw/edi"&amp;"t?usp=sharing"",""สิงห์บุรี!Q122"")+IMPORTRANGE(""https://docs.google.com/spreadsheets/d/1H1EalTWKUSzO4Z1-1CwzoDUaVffgrThEBe2sl74kKG0/edit?usp=sharing"",""สุพรรณบุรี!Q122"")+IMPORTRANGE(""https://docs.google.com/spreadsheets/d/1BmIruG_sIrJLYao_Pdr7zVArWsf"&amp;"oBt2692TMi6x_854/edit?usp=sharing"",""อ่างทอง!Q122"")"),4203090)</f>
        <v>4203090</v>
      </c>
      <c r="R123" s="132">
        <f ca="1">IFERROR(__xludf.DUMMYFUNCTION("IMPORTRANGE(""https://docs.google.com/spreadsheets/d/13wPX838HrBrQMCywv1BsuMkt4PEKTChp52zj44s2izQ/edit?usp=sharing"",""กาญจนบุรี!R122"")+IMPORTRANGE(""https://docs.google.com/spreadsheets/d/1ddFKvqj1W1NEiWytbGlB1zMx_ykJDVtmfEQ-6-lIUBA/edit?usp=sharing"","&amp;"""จันทบุรี!R122"")+IMPORTRANGE(""https://docs.google.com/spreadsheets/d/1T1PQvRODqOBZk8BRht_U031fIS1beLA0Ub2CEytj2q0/edit?usp=sharing"",""ฉะเชิงเทรา!R122"")+IMPORTRANGE(""https://docs.google.com/spreadsheets/d/11tr1B-Bhyr79v2bkwVh5h_fR-PStkgjlZtkrZpYurG0/"&amp;"edit?usp=sharing"",""ชลบุรี!R122"")+IMPORTRANGE(""https://docs.google.com/spreadsheets/d/1hh-FVnSX0vozXhGluamEcS54Dw9_zqW0N7qJUWgJ0Sw/edit?usp=sharing"",""ชัยนาท!R122"")+IMPORTRANGE(""https://docs.google.com/spreadsheets/d/1jkqa6GXxSacMcY1eN8AHjMNJ_7dDXMJ"&amp;"VRLDlaFSOdPM/edit?usp=sharing"",""ตราด!R122"")+IMPORTRANGE(""https://docs.google.com/spreadsheets/d/18hSgUJ3VwClqi_qtULmmW3cLr0oe3OKaSYoKzdpTsYQ/edit?usp=sharing"",""นครนายก!R122"")+IMPORTRANGE(""https://docs.google.com/spreadsheets/d/1YTZo6WM2dQ6Ix6FSdnL"&amp;"5P7uVnVKu40sxZu975tgG10E/edit?usp=sharing"",""นครปฐม!R122"")+IMPORTRANGE(""https://docs.google.com/spreadsheets/d/1OYoGg4WDg5RIzwGeB10padOxJF9E_Vljuvvct_M7RDo/edit?usp=sharing"",""ปทุมธานี!R122"")+IMPORTRANGE(""https://docs.google.com/spreadsheets/d/1GbCI"&amp;"E4D4wk9FUozzqk7SxfDMxDVBwVmI5zcaVUSzKAc/edit?usp=sharing"",""ประจวบคีรีขันธ์!R122"")+IMPORTRANGE(""https://docs.google.com/spreadsheets/d/1vVf6wykvW_lAyu7Yo9L4hUTqHqIeP_qcVuxCtosJEbg/edit?usp=sharing"",""ปราจีนบุรี!R122"")+IMPORTRANGE(""https://docs.googl"&amp;"e.com/spreadsheets/d/1BIDqLLg5jk3v59G8NlR8rk5xfQDKne0sAvZHSj7TI6I/edit?usp=sharing"",""พระนครศรีอยุธยา!R122"")+IMPORTRANGE(""https://docs.google.com/spreadsheets/d/1YXvxf8Yu6_rV4hTBrwMqAcAnv6DfhUxh5emyM3CJp_w/edit?usp=sharing"",""เพชรบุรี!R122"")+IMPORTRA"&amp;"NGE(""https://docs.google.com/spreadsheets/d/19KBlQQs7uwvsao6t2n-KvW3Ax8J8uRRfZPq1zPbXgKc/edit?usp=sharing"",""ระยอง!R122"")+IMPORTRANGE(""https://docs.google.com/spreadsheets/d/1jQ6P4QcrGM89YfqcC_PxOHGCMq5ezhucwJd8ci-NHng/edit?usp=sharing"",""ราชบุรี!R12"&amp;"2"")+IMPORTRANGE(""https://docs.google.com/spreadsheets/d/1lufeA2cfFqM-elVq2hznhDzC6Pr7wkJ9ZG_sYNGCMCU/edit?usp=sharing"",""ลพบุรี!R122"")+IMPORTRANGE(""https://docs.google.com/spreadsheets/d/10oOiF7loTyfsTkbd4MpaIm0HQ9SwB7IYHdIUvt-U1Uc/edit?usp=sharing"""&amp;",""สระแก้ว!R122"")+IMPORTRANGE(""https://docs.google.com/spreadsheets/d/1xmPlrr1QbdSIKvl1dWUl9K4PjAfSL9oeMr_37QVzcxc/edit?usp=sharing"",""สระบุรี!R122"")+IMPORTRANGE(""https://docs.google.com/spreadsheets/d/1j51vR6CYVGhABJpv6tkstgok82RLpXieLzW1yOY5rHw/edi"&amp;"t?usp=sharing"",""สิงห์บุรี!R122"")+IMPORTRANGE(""https://docs.google.com/spreadsheets/d/1H1EalTWKUSzO4Z1-1CwzoDUaVffgrThEBe2sl74kKG0/edit?usp=sharing"",""สุพรรณบุรี!R122"")+IMPORTRANGE(""https://docs.google.com/spreadsheets/d/1BmIruG_sIrJLYao_Pdr7zVArWsf"&amp;"oBt2692TMi6x_854/edit?usp=sharing"",""อ่างทอง!R122"")"),4203090)</f>
        <v>4203090</v>
      </c>
      <c r="S123" s="132">
        <f ca="1">IFERROR(__xludf.DUMMYFUNCTION("IMPORTRANGE(""https://docs.google.com/spreadsheets/d/13wPX838HrBrQMCywv1BsuMkt4PEKTChp52zj44s2izQ/edit?usp=sharing"",""กาญจนบุรี!S122"")+IMPORTRANGE(""https://docs.google.com/spreadsheets/d/1ddFKvqj1W1NEiWytbGlB1zMx_ykJDVtmfEQ-6-lIUBA/edit?usp=sharing"","&amp;"""จันทบุรี!S122"")+IMPORTRANGE(""https://docs.google.com/spreadsheets/d/1T1PQvRODqOBZk8BRht_U031fIS1beLA0Ub2CEytj2q0/edit?usp=sharing"",""ฉะเชิงเทรา!S122"")+IMPORTRANGE(""https://docs.google.com/spreadsheets/d/11tr1B-Bhyr79v2bkwVh5h_fR-PStkgjlZtkrZpYurG0/"&amp;"edit?usp=sharing"",""ชลบุรี!S122"")+IMPORTRANGE(""https://docs.google.com/spreadsheets/d/1hh-FVnSX0vozXhGluamEcS54Dw9_zqW0N7qJUWgJ0Sw/edit?usp=sharing"",""ชัยนาท!S122"")+IMPORTRANGE(""https://docs.google.com/spreadsheets/d/1jkqa6GXxSacMcY1eN8AHjMNJ_7dDXMJ"&amp;"VRLDlaFSOdPM/edit?usp=sharing"",""ตราด!S122"")+IMPORTRANGE(""https://docs.google.com/spreadsheets/d/18hSgUJ3VwClqi_qtULmmW3cLr0oe3OKaSYoKzdpTsYQ/edit?usp=sharing"",""นครนายก!S122"")+IMPORTRANGE(""https://docs.google.com/spreadsheets/d/1YTZo6WM2dQ6Ix6FSdnL"&amp;"5P7uVnVKu40sxZu975tgG10E/edit?usp=sharing"",""นครปฐม!S122"")+IMPORTRANGE(""https://docs.google.com/spreadsheets/d/1OYoGg4WDg5RIzwGeB10padOxJF9E_Vljuvvct_M7RDo/edit?usp=sharing"",""ปทุมธานี!S122"")+IMPORTRANGE(""https://docs.google.com/spreadsheets/d/1GbCI"&amp;"E4D4wk9FUozzqk7SxfDMxDVBwVmI5zcaVUSzKAc/edit?usp=sharing"",""ประจวบคีรีขันธ์!S122"")+IMPORTRANGE(""https://docs.google.com/spreadsheets/d/1vVf6wykvW_lAyu7Yo9L4hUTqHqIeP_qcVuxCtosJEbg/edit?usp=sharing"",""ปราจีนบุรี!S122"")+IMPORTRANGE(""https://docs.googl"&amp;"e.com/spreadsheets/d/1BIDqLLg5jk3v59G8NlR8rk5xfQDKne0sAvZHSj7TI6I/edit?usp=sharing"",""พระนครศรีอยุธยา!S122"")+IMPORTRANGE(""https://docs.google.com/spreadsheets/d/1YXvxf8Yu6_rV4hTBrwMqAcAnv6DfhUxh5emyM3CJp_w/edit?usp=sharing"",""เพชรบุรี!S122"")+IMPORTRA"&amp;"NGE(""https://docs.google.com/spreadsheets/d/19KBlQQs7uwvsao6t2n-KvW3Ax8J8uRRfZPq1zPbXgKc/edit?usp=sharing"",""ระยอง!S122"")+IMPORTRANGE(""https://docs.google.com/spreadsheets/d/1jQ6P4QcrGM89YfqcC_PxOHGCMq5ezhucwJd8ci-NHng/edit?usp=sharing"",""ราชบุรี!S12"&amp;"2"")+IMPORTRANGE(""https://docs.google.com/spreadsheets/d/1lufeA2cfFqM-elVq2hznhDzC6Pr7wkJ9ZG_sYNGCMCU/edit?usp=sharing"",""ลพบุรี!S122"")+IMPORTRANGE(""https://docs.google.com/spreadsheets/d/10oOiF7loTyfsTkbd4MpaIm0HQ9SwB7IYHdIUvt-U1Uc/edit?usp=sharing"""&amp;",""สระแก้ว!S122"")+IMPORTRANGE(""https://docs.google.com/spreadsheets/d/1xmPlrr1QbdSIKvl1dWUl9K4PjAfSL9oeMr_37QVzcxc/edit?usp=sharing"",""สระบุรี!S122"")+IMPORTRANGE(""https://docs.google.com/spreadsheets/d/1j51vR6CYVGhABJpv6tkstgok82RLpXieLzW1yOY5rHw/edi"&amp;"t?usp=sharing"",""สิงห์บุรี!S122"")+IMPORTRANGE(""https://docs.google.com/spreadsheets/d/1H1EalTWKUSzO4Z1-1CwzoDUaVffgrThEBe2sl74kKG0/edit?usp=sharing"",""สุพรรณบุรี!S122"")+IMPORTRANGE(""https://docs.google.com/spreadsheets/d/1BmIruG_sIrJLYao_Pdr7zVArWsf"&amp;"oBt2692TMi6x_854/edit?usp=sharing"",""อ่างทอง!S122"")"),375721.839999999)</f>
        <v>375721.83999999898</v>
      </c>
      <c r="T123" s="132">
        <f t="shared" ca="1" si="94"/>
        <v>8.9391814117708392</v>
      </c>
      <c r="U123" s="132">
        <f t="shared" ca="1" si="95"/>
        <v>8.9391814117708392</v>
      </c>
    </row>
    <row r="124" spans="1:21" ht="18.75" x14ac:dyDescent="0.25">
      <c r="A124" s="257"/>
      <c r="B124" s="258"/>
      <c r="C124" s="306"/>
      <c r="D124" s="274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4">
        <f t="shared" ref="L124:N124" ca="1" si="102">L125+L126</f>
        <v>0</v>
      </c>
      <c r="M124" s="74">
        <f t="shared" ca="1" si="102"/>
        <v>0</v>
      </c>
      <c r="N124" s="74">
        <f t="shared" ca="1" si="102"/>
        <v>0</v>
      </c>
      <c r="O124" s="74">
        <f t="shared" ca="1" si="91"/>
        <v>0</v>
      </c>
      <c r="P124" s="74">
        <f t="shared" ca="1" si="92"/>
        <v>0</v>
      </c>
      <c r="Q124" s="131">
        <f t="shared" ref="Q124:S124" ca="1" si="103">Q125+Q126</f>
        <v>0</v>
      </c>
      <c r="R124" s="132">
        <f t="shared" ca="1" si="103"/>
        <v>0</v>
      </c>
      <c r="S124" s="132">
        <f t="shared" ca="1" si="103"/>
        <v>0</v>
      </c>
      <c r="T124" s="132">
        <f t="shared" ca="1" si="94"/>
        <v>0</v>
      </c>
      <c r="U124" s="132">
        <f t="shared" ca="1" si="95"/>
        <v>0</v>
      </c>
    </row>
    <row r="125" spans="1:21" ht="18.75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7">
        <f ca="1">IFERROR(__xludf.DUMMYFUNCTION("IMPORTRANGE(""https://docs.google.com/spreadsheets/d/13wPX838HrBrQMCywv1BsuMkt4PEKTChp52zj44s2izQ/edit?usp=sharing"",""กาญจนบุรี!L124"")+IMPORTRANGE(""https://docs.google.com/spreadsheets/d/1ddFKvqj1W1NEiWytbGlB1zMx_ykJDVtmfEQ-6-lIUBA/edit?usp=sharing"","&amp;"""จันทบุรี!L124"")+IMPORTRANGE(""https://docs.google.com/spreadsheets/d/1T1PQvRODqOBZk8BRht_U031fIS1beLA0Ub2CEytj2q0/edit?usp=sharing"",""ฉะเชิงเทรา!L124"")+IMPORTRANGE(""https://docs.google.com/spreadsheets/d/11tr1B-Bhyr79v2bkwVh5h_fR-PStkgjlZtkrZpYurG0/"&amp;"edit?usp=sharing"",""ชลบุรี!L124"")+IMPORTRANGE(""https://docs.google.com/spreadsheets/d/1hh-FVnSX0vozXhGluamEcS54Dw9_zqW0N7qJUWgJ0Sw/edit?usp=sharing"",""ชัยนาท!L124"")+IMPORTRANGE(""https://docs.google.com/spreadsheets/d/1jkqa6GXxSacMcY1eN8AHjMNJ_7dDXMJ"&amp;"VRLDlaFSOdPM/edit?usp=sharing"",""ตราด!L124"")+IMPORTRANGE(""https://docs.google.com/spreadsheets/d/18hSgUJ3VwClqi_qtULmmW3cLr0oe3OKaSYoKzdpTsYQ/edit?usp=sharing"",""นครนายก!L124"")+IMPORTRANGE(""https://docs.google.com/spreadsheets/d/1YTZo6WM2dQ6Ix6FSdnL"&amp;"5P7uVnVKu40sxZu975tgG10E/edit?usp=sharing"",""นครปฐม!L124"")+IMPORTRANGE(""https://docs.google.com/spreadsheets/d/1OYoGg4WDg5RIzwGeB10padOxJF9E_Vljuvvct_M7RDo/edit?usp=sharing"",""ปทุมธานี!L124"")+IMPORTRANGE(""https://docs.google.com/spreadsheets/d/1GbCI"&amp;"E4D4wk9FUozzqk7SxfDMxDVBwVmI5zcaVUSzKAc/edit?usp=sharing"",""ประจวบคีรีขันธ์!L124"")+IMPORTRANGE(""https://docs.google.com/spreadsheets/d/1vVf6wykvW_lAyu7Yo9L4hUTqHqIeP_qcVuxCtosJEbg/edit?usp=sharing"",""ปราจีนบุรี!L124"")+IMPORTRANGE(""https://docs.googl"&amp;"e.com/spreadsheets/d/1BIDqLLg5jk3v59G8NlR8rk5xfQDKne0sAvZHSj7TI6I/edit?usp=sharing"",""พระนครศรีอยุธยา!L124"")+IMPORTRANGE(""https://docs.google.com/spreadsheets/d/1YXvxf8Yu6_rV4hTBrwMqAcAnv6DfhUxh5emyM3CJp_w/edit?usp=sharing"",""เพชรบุรี!L124"")+IMPORTRA"&amp;"NGE(""https://docs.google.com/spreadsheets/d/19KBlQQs7uwvsao6t2n-KvW3Ax8J8uRRfZPq1zPbXgKc/edit?usp=sharing"",""ระยอง!L124"")+IMPORTRANGE(""https://docs.google.com/spreadsheets/d/1jQ6P4QcrGM89YfqcC_PxOHGCMq5ezhucwJd8ci-NHng/edit?usp=sharing"",""ราชบุรี!L12"&amp;"4"")+IMPORTRANGE(""https://docs.google.com/spreadsheets/d/1lufeA2cfFqM-elVq2hznhDzC6Pr7wkJ9ZG_sYNGCMCU/edit?usp=sharing"",""ลพบุรี!L124"")+IMPORTRANGE(""https://docs.google.com/spreadsheets/d/10oOiF7loTyfsTkbd4MpaIm0HQ9SwB7IYHdIUvt-U1Uc/edit?usp=sharing"""&amp;",""สระแก้ว!L124"")+IMPORTRANGE(""https://docs.google.com/spreadsheets/d/1xmPlrr1QbdSIKvl1dWUl9K4PjAfSL9oeMr_37QVzcxc/edit?usp=sharing"",""สระบุรี!L124"")+IMPORTRANGE(""https://docs.google.com/spreadsheets/d/1j51vR6CYVGhABJpv6tkstgok82RLpXieLzW1yOY5rHw/edi"&amp;"t?usp=sharing"",""สิงห์บุรี!L124"")+IMPORTRANGE(""https://docs.google.com/spreadsheets/d/1H1EalTWKUSzO4Z1-1CwzoDUaVffgrThEBe2sl74kKG0/edit?usp=sharing"",""สุพรรณบุรี!L124"")+IMPORTRANGE(""https://docs.google.com/spreadsheets/d/1BmIruG_sIrJLYao_Pdr7zVArWsf"&amp;"oBt2692TMi6x_854/edit?usp=sharing"",""อ่างทอง!L124"")"),0)</f>
        <v>0</v>
      </c>
      <c r="M125" s="77">
        <f ca="1">IFERROR(__xludf.DUMMYFUNCTION("IMPORTRANGE(""https://docs.google.com/spreadsheets/d/13wPX838HrBrQMCywv1BsuMkt4PEKTChp52zj44s2izQ/edit?usp=sharing"",""กาญจนบุรี!M124"")+IMPORTRANGE(""https://docs.google.com/spreadsheets/d/1ddFKvqj1W1NEiWytbGlB1zMx_ykJDVtmfEQ-6-lIUBA/edit?usp=sharing"","&amp;"""จันทบุรี!M124"")+IMPORTRANGE(""https://docs.google.com/spreadsheets/d/1T1PQvRODqOBZk8BRht_U031fIS1beLA0Ub2CEytj2q0/edit?usp=sharing"",""ฉะเชิงเทรา!M124"")+IMPORTRANGE(""https://docs.google.com/spreadsheets/d/11tr1B-Bhyr79v2bkwVh5h_fR-PStkgjlZtkrZpYurG0/"&amp;"edit?usp=sharing"",""ชลบุรี!M124"")+IMPORTRANGE(""https://docs.google.com/spreadsheets/d/1hh-FVnSX0vozXhGluamEcS54Dw9_zqW0N7qJUWgJ0Sw/edit?usp=sharing"",""ชัยนาท!M124"")+IMPORTRANGE(""https://docs.google.com/spreadsheets/d/1jkqa6GXxSacMcY1eN8AHjMNJ_7dDXMJ"&amp;"VRLDlaFSOdPM/edit?usp=sharing"",""ตราด!M124"")+IMPORTRANGE(""https://docs.google.com/spreadsheets/d/18hSgUJ3VwClqi_qtULmmW3cLr0oe3OKaSYoKzdpTsYQ/edit?usp=sharing"",""นครนายก!M124"")+IMPORTRANGE(""https://docs.google.com/spreadsheets/d/1YTZo6WM2dQ6Ix6FSdnL"&amp;"5P7uVnVKu40sxZu975tgG10E/edit?usp=sharing"",""นครปฐม!M124"")+IMPORTRANGE(""https://docs.google.com/spreadsheets/d/1OYoGg4WDg5RIzwGeB10padOxJF9E_Vljuvvct_M7RDo/edit?usp=sharing"",""ปทุมธานี!M124"")+IMPORTRANGE(""https://docs.google.com/spreadsheets/d/1GbCI"&amp;"E4D4wk9FUozzqk7SxfDMxDVBwVmI5zcaVUSzKAc/edit?usp=sharing"",""ประจวบคีรีขันธ์!M124"")+IMPORTRANGE(""https://docs.google.com/spreadsheets/d/1vVf6wykvW_lAyu7Yo9L4hUTqHqIeP_qcVuxCtosJEbg/edit?usp=sharing"",""ปราจีนบุรี!M124"")+IMPORTRANGE(""https://docs.googl"&amp;"e.com/spreadsheets/d/1BIDqLLg5jk3v59G8NlR8rk5xfQDKne0sAvZHSj7TI6I/edit?usp=sharing"",""พระนครศรีอยุธยา!M124"")+IMPORTRANGE(""https://docs.google.com/spreadsheets/d/1YXvxf8Yu6_rV4hTBrwMqAcAnv6DfhUxh5emyM3CJp_w/edit?usp=sharing"",""เพชรบุรี!M124"")+IMPORTRA"&amp;"NGE(""https://docs.google.com/spreadsheets/d/19KBlQQs7uwvsao6t2n-KvW3Ax8J8uRRfZPq1zPbXgKc/edit?usp=sharing"",""ระยอง!M124"")+IMPORTRANGE(""https://docs.google.com/spreadsheets/d/1jQ6P4QcrGM89YfqcC_PxOHGCMq5ezhucwJd8ci-NHng/edit?usp=sharing"",""ราชบุรี!M12"&amp;"4"")+IMPORTRANGE(""https://docs.google.com/spreadsheets/d/1lufeA2cfFqM-elVq2hznhDzC6Pr7wkJ9ZG_sYNGCMCU/edit?usp=sharing"",""ลพบุรี!M124"")+IMPORTRANGE(""https://docs.google.com/spreadsheets/d/10oOiF7loTyfsTkbd4MpaIm0HQ9SwB7IYHdIUvt-U1Uc/edit?usp=sharing"""&amp;",""สระแก้ว!M124"")+IMPORTRANGE(""https://docs.google.com/spreadsheets/d/1xmPlrr1QbdSIKvl1dWUl9K4PjAfSL9oeMr_37QVzcxc/edit?usp=sharing"",""สระบุรี!M124"")+IMPORTRANGE(""https://docs.google.com/spreadsheets/d/1j51vR6CYVGhABJpv6tkstgok82RLpXieLzW1yOY5rHw/edi"&amp;"t?usp=sharing"",""สิงห์บุรี!M124"")+IMPORTRANGE(""https://docs.google.com/spreadsheets/d/1H1EalTWKUSzO4Z1-1CwzoDUaVffgrThEBe2sl74kKG0/edit?usp=sharing"",""สุพรรณบุรี!M124"")+IMPORTRANGE(""https://docs.google.com/spreadsheets/d/1BmIruG_sIrJLYao_Pdr7zVArWsf"&amp;"oBt2692TMi6x_854/edit?usp=sharing"",""อ่างทอง!M124"")"),0)</f>
        <v>0</v>
      </c>
      <c r="N125" s="77">
        <f ca="1">IFERROR(__xludf.DUMMYFUNCTION("IMPORTRANGE(""https://docs.google.com/spreadsheets/d/13wPX838HrBrQMCywv1BsuMkt4PEKTChp52zj44s2izQ/edit?usp=sharing"",""กาญจนบุรี!N124"")+IMPORTRANGE(""https://docs.google.com/spreadsheets/d/1ddFKvqj1W1NEiWytbGlB1zMx_ykJDVtmfEQ-6-lIUBA/edit?usp=sharing"","&amp;"""จันทบุรี!N124"")+IMPORTRANGE(""https://docs.google.com/spreadsheets/d/1T1PQvRODqOBZk8BRht_U031fIS1beLA0Ub2CEytj2q0/edit?usp=sharing"",""ฉะเชิงเทรา!N124"")+IMPORTRANGE(""https://docs.google.com/spreadsheets/d/11tr1B-Bhyr79v2bkwVh5h_fR-PStkgjlZtkrZpYurG0/"&amp;"edit?usp=sharing"",""ชลบุรี!N124"")+IMPORTRANGE(""https://docs.google.com/spreadsheets/d/1hh-FVnSX0vozXhGluamEcS54Dw9_zqW0N7qJUWgJ0Sw/edit?usp=sharing"",""ชัยนาท!N124"")+IMPORTRANGE(""https://docs.google.com/spreadsheets/d/1jkqa6GXxSacMcY1eN8AHjMNJ_7dDXMJ"&amp;"VRLDlaFSOdPM/edit?usp=sharing"",""ตราด!N124"")+IMPORTRANGE(""https://docs.google.com/spreadsheets/d/18hSgUJ3VwClqi_qtULmmW3cLr0oe3OKaSYoKzdpTsYQ/edit?usp=sharing"",""นครนายก!N124"")+IMPORTRANGE(""https://docs.google.com/spreadsheets/d/1YTZo6WM2dQ6Ix6FSdnL"&amp;"5P7uVnVKu40sxZu975tgG10E/edit?usp=sharing"",""นครปฐม!N124"")+IMPORTRANGE(""https://docs.google.com/spreadsheets/d/1OYoGg4WDg5RIzwGeB10padOxJF9E_Vljuvvct_M7RDo/edit?usp=sharing"",""ปทุมธานี!N124"")+IMPORTRANGE(""https://docs.google.com/spreadsheets/d/1GbCI"&amp;"E4D4wk9FUozzqk7SxfDMxDVBwVmI5zcaVUSzKAc/edit?usp=sharing"",""ประจวบคีรีขันธ์!N124"")+IMPORTRANGE(""https://docs.google.com/spreadsheets/d/1vVf6wykvW_lAyu7Yo9L4hUTqHqIeP_qcVuxCtosJEbg/edit?usp=sharing"",""ปราจีนบุรี!N124"")+IMPORTRANGE(""https://docs.googl"&amp;"e.com/spreadsheets/d/1BIDqLLg5jk3v59G8NlR8rk5xfQDKne0sAvZHSj7TI6I/edit?usp=sharing"",""พระนครศรีอยุธยา!N124"")+IMPORTRANGE(""https://docs.google.com/spreadsheets/d/1YXvxf8Yu6_rV4hTBrwMqAcAnv6DfhUxh5emyM3CJp_w/edit?usp=sharing"",""เพชรบุรี!N124"")+IMPORTRA"&amp;"NGE(""https://docs.google.com/spreadsheets/d/19KBlQQs7uwvsao6t2n-KvW3Ax8J8uRRfZPq1zPbXgKc/edit?usp=sharing"",""ระยอง!N124"")+IMPORTRANGE(""https://docs.google.com/spreadsheets/d/1jQ6P4QcrGM89YfqcC_PxOHGCMq5ezhucwJd8ci-NHng/edit?usp=sharing"",""ราชบุรี!N12"&amp;"4"")+IMPORTRANGE(""https://docs.google.com/spreadsheets/d/1lufeA2cfFqM-elVq2hznhDzC6Pr7wkJ9ZG_sYNGCMCU/edit?usp=sharing"",""ลพบุรี!N124"")+IMPORTRANGE(""https://docs.google.com/spreadsheets/d/10oOiF7loTyfsTkbd4MpaIm0HQ9SwB7IYHdIUvt-U1Uc/edit?usp=sharing"""&amp;",""สระแก้ว!N124"")+IMPORTRANGE(""https://docs.google.com/spreadsheets/d/1xmPlrr1QbdSIKvl1dWUl9K4PjAfSL9oeMr_37QVzcxc/edit?usp=sharing"",""สระบุรี!N124"")+IMPORTRANGE(""https://docs.google.com/spreadsheets/d/1j51vR6CYVGhABJpv6tkstgok82RLpXieLzW1yOY5rHw/edi"&amp;"t?usp=sharing"",""สิงห์บุรี!N124"")+IMPORTRANGE(""https://docs.google.com/spreadsheets/d/1H1EalTWKUSzO4Z1-1CwzoDUaVffgrThEBe2sl74kKG0/edit?usp=sharing"",""สุพรรณบุรี!N124"")+IMPORTRANGE(""https://docs.google.com/spreadsheets/d/1BmIruG_sIrJLYao_Pdr7zVArWsf"&amp;"oBt2692TMi6x_854/edit?usp=sharing"",""อ่างทอง!N124"")"),0)</f>
        <v>0</v>
      </c>
      <c r="O125" s="77">
        <f t="shared" ca="1" si="91"/>
        <v>0</v>
      </c>
      <c r="P125" s="77">
        <f t="shared" ca="1" si="92"/>
        <v>0</v>
      </c>
      <c r="Q125" s="76">
        <f ca="1">IFERROR(__xludf.DUMMYFUNCTION("IMPORTRANGE(""https://docs.google.com/spreadsheets/d/13wPX838HrBrQMCywv1BsuMkt4PEKTChp52zj44s2izQ/edit?usp=sharing"",""กาญจนบุรี!Q124"")+IMPORTRANGE(""https://docs.google.com/spreadsheets/d/1ddFKvqj1W1NEiWytbGlB1zMx_ykJDVtmfEQ-6-lIUBA/edit?usp=sharing"","&amp;"""จันทบุรี!Q124"")+IMPORTRANGE(""https://docs.google.com/spreadsheets/d/1T1PQvRODqOBZk8BRht_U031fIS1beLA0Ub2CEytj2q0/edit?usp=sharing"",""ฉะเชิงเทรา!Q124"")+IMPORTRANGE(""https://docs.google.com/spreadsheets/d/11tr1B-Bhyr79v2bkwVh5h_fR-PStkgjlZtkrZpYurG0/"&amp;"edit?usp=sharing"",""ชลบุรี!Q124"")+IMPORTRANGE(""https://docs.google.com/spreadsheets/d/1hh-FVnSX0vozXhGluamEcS54Dw9_zqW0N7qJUWgJ0Sw/edit?usp=sharing"",""ชัยนาท!Q124"")+IMPORTRANGE(""https://docs.google.com/spreadsheets/d/1jkqa6GXxSacMcY1eN8AHjMNJ_7dDXMJ"&amp;"VRLDlaFSOdPM/edit?usp=sharing"",""ตราด!Q124"")+IMPORTRANGE(""https://docs.google.com/spreadsheets/d/18hSgUJ3VwClqi_qtULmmW3cLr0oe3OKaSYoKzdpTsYQ/edit?usp=sharing"",""นครนายก!Q124"")+IMPORTRANGE(""https://docs.google.com/spreadsheets/d/1YTZo6WM2dQ6Ix6FSdnL"&amp;"5P7uVnVKu40sxZu975tgG10E/edit?usp=sharing"",""นครปฐม!Q124"")+IMPORTRANGE(""https://docs.google.com/spreadsheets/d/1OYoGg4WDg5RIzwGeB10padOxJF9E_Vljuvvct_M7RDo/edit?usp=sharing"",""ปทุมธานี!Q124"")+IMPORTRANGE(""https://docs.google.com/spreadsheets/d/1GbCI"&amp;"E4D4wk9FUozzqk7SxfDMxDVBwVmI5zcaVUSzKAc/edit?usp=sharing"",""ประจวบคีรีขันธ์!Q124"")+IMPORTRANGE(""https://docs.google.com/spreadsheets/d/1vVf6wykvW_lAyu7Yo9L4hUTqHqIeP_qcVuxCtosJEbg/edit?usp=sharing"",""ปราจีนบุรี!Q124"")+IMPORTRANGE(""https://docs.googl"&amp;"e.com/spreadsheets/d/1BIDqLLg5jk3v59G8NlR8rk5xfQDKne0sAvZHSj7TI6I/edit?usp=sharing"",""พระนครศรีอยุธยา!Q124"")+IMPORTRANGE(""https://docs.google.com/spreadsheets/d/1YXvxf8Yu6_rV4hTBrwMqAcAnv6DfhUxh5emyM3CJp_w/edit?usp=sharing"",""เพชรบุรี!Q124"")+IMPORTRA"&amp;"NGE(""https://docs.google.com/spreadsheets/d/19KBlQQs7uwvsao6t2n-KvW3Ax8J8uRRfZPq1zPbXgKc/edit?usp=sharing"",""ระยอง!Q124"")+IMPORTRANGE(""https://docs.google.com/spreadsheets/d/1jQ6P4QcrGM89YfqcC_PxOHGCMq5ezhucwJd8ci-NHng/edit?usp=sharing"",""ราชบุรี!Q12"&amp;"4"")+IMPORTRANGE(""https://docs.google.com/spreadsheets/d/1lufeA2cfFqM-elVq2hznhDzC6Pr7wkJ9ZG_sYNGCMCU/edit?usp=sharing"",""ลพบุรี!Q124"")+IMPORTRANGE(""https://docs.google.com/spreadsheets/d/10oOiF7loTyfsTkbd4MpaIm0HQ9SwB7IYHdIUvt-U1Uc/edit?usp=sharing"""&amp;",""สระแก้ว!Q124"")+IMPORTRANGE(""https://docs.google.com/spreadsheets/d/1xmPlrr1QbdSIKvl1dWUl9K4PjAfSL9oeMr_37QVzcxc/edit?usp=sharing"",""สระบุรี!Q124"")+IMPORTRANGE(""https://docs.google.com/spreadsheets/d/1j51vR6CYVGhABJpv6tkstgok82RLpXieLzW1yOY5rHw/edi"&amp;"t?usp=sharing"",""สิงห์บุรี!Q124"")+IMPORTRANGE(""https://docs.google.com/spreadsheets/d/1H1EalTWKUSzO4Z1-1CwzoDUaVffgrThEBe2sl74kKG0/edit?usp=sharing"",""สุพรรณบุรี!Q124"")+IMPORTRANGE(""https://docs.google.com/spreadsheets/d/1BmIruG_sIrJLYao_Pdr7zVArWsf"&amp;"oBt2692TMi6x_854/edit?usp=sharing"",""อ่างทอง!Q124"")"),0)</f>
        <v>0</v>
      </c>
      <c r="R125" s="77">
        <f ca="1">IFERROR(__xludf.DUMMYFUNCTION("IMPORTRANGE(""https://docs.google.com/spreadsheets/d/13wPX838HrBrQMCywv1BsuMkt4PEKTChp52zj44s2izQ/edit?usp=sharing"",""กาญจนบุรี!R124"")+IMPORTRANGE(""https://docs.google.com/spreadsheets/d/1ddFKvqj1W1NEiWytbGlB1zMx_ykJDVtmfEQ-6-lIUBA/edit?usp=sharing"","&amp;"""จันทบุรี!R124"")+IMPORTRANGE(""https://docs.google.com/spreadsheets/d/1T1PQvRODqOBZk8BRht_U031fIS1beLA0Ub2CEytj2q0/edit?usp=sharing"",""ฉะเชิงเทรา!R124"")+IMPORTRANGE(""https://docs.google.com/spreadsheets/d/11tr1B-Bhyr79v2bkwVh5h_fR-PStkgjlZtkrZpYurG0/"&amp;"edit?usp=sharing"",""ชลบุรี!R124"")+IMPORTRANGE(""https://docs.google.com/spreadsheets/d/1hh-FVnSX0vozXhGluamEcS54Dw9_zqW0N7qJUWgJ0Sw/edit?usp=sharing"",""ชัยนาท!R124"")+IMPORTRANGE(""https://docs.google.com/spreadsheets/d/1jkqa6GXxSacMcY1eN8AHjMNJ_7dDXMJ"&amp;"VRLDlaFSOdPM/edit?usp=sharing"",""ตราด!R124"")+IMPORTRANGE(""https://docs.google.com/spreadsheets/d/18hSgUJ3VwClqi_qtULmmW3cLr0oe3OKaSYoKzdpTsYQ/edit?usp=sharing"",""นครนายก!R124"")+IMPORTRANGE(""https://docs.google.com/spreadsheets/d/1YTZo6WM2dQ6Ix6FSdnL"&amp;"5P7uVnVKu40sxZu975tgG10E/edit?usp=sharing"",""นครปฐม!R124"")+IMPORTRANGE(""https://docs.google.com/spreadsheets/d/1OYoGg4WDg5RIzwGeB10padOxJF9E_Vljuvvct_M7RDo/edit?usp=sharing"",""ปทุมธานี!R124"")+IMPORTRANGE(""https://docs.google.com/spreadsheets/d/1GbCI"&amp;"E4D4wk9FUozzqk7SxfDMxDVBwVmI5zcaVUSzKAc/edit?usp=sharing"",""ประจวบคีรีขันธ์!R124"")+IMPORTRANGE(""https://docs.google.com/spreadsheets/d/1vVf6wykvW_lAyu7Yo9L4hUTqHqIeP_qcVuxCtosJEbg/edit?usp=sharing"",""ปราจีนบุรี!R124"")+IMPORTRANGE(""https://docs.googl"&amp;"e.com/spreadsheets/d/1BIDqLLg5jk3v59G8NlR8rk5xfQDKne0sAvZHSj7TI6I/edit?usp=sharing"",""พระนครศรีอยุธยา!R124"")+IMPORTRANGE(""https://docs.google.com/spreadsheets/d/1YXvxf8Yu6_rV4hTBrwMqAcAnv6DfhUxh5emyM3CJp_w/edit?usp=sharing"",""เพชรบุรี!R124"")+IMPORTRA"&amp;"NGE(""https://docs.google.com/spreadsheets/d/19KBlQQs7uwvsao6t2n-KvW3Ax8J8uRRfZPq1zPbXgKc/edit?usp=sharing"",""ระยอง!R124"")+IMPORTRANGE(""https://docs.google.com/spreadsheets/d/1jQ6P4QcrGM89YfqcC_PxOHGCMq5ezhucwJd8ci-NHng/edit?usp=sharing"",""ราชบุรี!R12"&amp;"4"")+IMPORTRANGE(""https://docs.google.com/spreadsheets/d/1lufeA2cfFqM-elVq2hznhDzC6Pr7wkJ9ZG_sYNGCMCU/edit?usp=sharing"",""ลพบุรี!R124"")+IMPORTRANGE(""https://docs.google.com/spreadsheets/d/10oOiF7loTyfsTkbd4MpaIm0HQ9SwB7IYHdIUvt-U1Uc/edit?usp=sharing"""&amp;",""สระแก้ว!R124"")+IMPORTRANGE(""https://docs.google.com/spreadsheets/d/1xmPlrr1QbdSIKvl1dWUl9K4PjAfSL9oeMr_37QVzcxc/edit?usp=sharing"",""สระบุรี!R124"")+IMPORTRANGE(""https://docs.google.com/spreadsheets/d/1j51vR6CYVGhABJpv6tkstgok82RLpXieLzW1yOY5rHw/edi"&amp;"t?usp=sharing"",""สิงห์บุรี!R124"")+IMPORTRANGE(""https://docs.google.com/spreadsheets/d/1H1EalTWKUSzO4Z1-1CwzoDUaVffgrThEBe2sl74kKG0/edit?usp=sharing"",""สุพรรณบุรี!R124"")+IMPORTRANGE(""https://docs.google.com/spreadsheets/d/1BmIruG_sIrJLYao_Pdr7zVArWsf"&amp;"oBt2692TMi6x_854/edit?usp=sharing"",""อ่างทอง!R124"")"),0)</f>
        <v>0</v>
      </c>
      <c r="S125" s="77">
        <f ca="1">IFERROR(__xludf.DUMMYFUNCTION("IMPORTRANGE(""https://docs.google.com/spreadsheets/d/13wPX838HrBrQMCywv1BsuMkt4PEKTChp52zj44s2izQ/edit?usp=sharing"",""กาญจนบุรี!S124"")+IMPORTRANGE(""https://docs.google.com/spreadsheets/d/1ddFKvqj1W1NEiWytbGlB1zMx_ykJDVtmfEQ-6-lIUBA/edit?usp=sharing"","&amp;"""จันทบุรี!S124"")+IMPORTRANGE(""https://docs.google.com/spreadsheets/d/1T1PQvRODqOBZk8BRht_U031fIS1beLA0Ub2CEytj2q0/edit?usp=sharing"",""ฉะเชิงเทรา!S124"")+IMPORTRANGE(""https://docs.google.com/spreadsheets/d/11tr1B-Bhyr79v2bkwVh5h_fR-PStkgjlZtkrZpYurG0/"&amp;"edit?usp=sharing"",""ชลบุรี!S124"")+IMPORTRANGE(""https://docs.google.com/spreadsheets/d/1hh-FVnSX0vozXhGluamEcS54Dw9_zqW0N7qJUWgJ0Sw/edit?usp=sharing"",""ชัยนาท!S124"")+IMPORTRANGE(""https://docs.google.com/spreadsheets/d/1jkqa6GXxSacMcY1eN8AHjMNJ_7dDXMJ"&amp;"VRLDlaFSOdPM/edit?usp=sharing"",""ตราด!S124"")+IMPORTRANGE(""https://docs.google.com/spreadsheets/d/18hSgUJ3VwClqi_qtULmmW3cLr0oe3OKaSYoKzdpTsYQ/edit?usp=sharing"",""นครนายก!S124"")+IMPORTRANGE(""https://docs.google.com/spreadsheets/d/1YTZo6WM2dQ6Ix6FSdnL"&amp;"5P7uVnVKu40sxZu975tgG10E/edit?usp=sharing"",""นครปฐม!S124"")+IMPORTRANGE(""https://docs.google.com/spreadsheets/d/1OYoGg4WDg5RIzwGeB10padOxJF9E_Vljuvvct_M7RDo/edit?usp=sharing"",""ปทุมธานี!S124"")+IMPORTRANGE(""https://docs.google.com/spreadsheets/d/1GbCI"&amp;"E4D4wk9FUozzqk7SxfDMxDVBwVmI5zcaVUSzKAc/edit?usp=sharing"",""ประจวบคีรีขันธ์!S124"")+IMPORTRANGE(""https://docs.google.com/spreadsheets/d/1vVf6wykvW_lAyu7Yo9L4hUTqHqIeP_qcVuxCtosJEbg/edit?usp=sharing"",""ปราจีนบุรี!S124"")+IMPORTRANGE(""https://docs.googl"&amp;"e.com/spreadsheets/d/1BIDqLLg5jk3v59G8NlR8rk5xfQDKne0sAvZHSj7TI6I/edit?usp=sharing"",""พระนครศรีอยุธยา!S124"")+IMPORTRANGE(""https://docs.google.com/spreadsheets/d/1YXvxf8Yu6_rV4hTBrwMqAcAnv6DfhUxh5emyM3CJp_w/edit?usp=sharing"",""เพชรบุรี!S124"")+IMPORTRA"&amp;"NGE(""https://docs.google.com/spreadsheets/d/19KBlQQs7uwvsao6t2n-KvW3Ax8J8uRRfZPq1zPbXgKc/edit?usp=sharing"",""ระยอง!S124"")+IMPORTRANGE(""https://docs.google.com/spreadsheets/d/1jQ6P4QcrGM89YfqcC_PxOHGCMq5ezhucwJd8ci-NHng/edit?usp=sharing"",""ราชบุรี!S12"&amp;"4"")+IMPORTRANGE(""https://docs.google.com/spreadsheets/d/1lufeA2cfFqM-elVq2hznhDzC6Pr7wkJ9ZG_sYNGCMCU/edit?usp=sharing"",""ลพบุรี!S124"")+IMPORTRANGE(""https://docs.google.com/spreadsheets/d/10oOiF7loTyfsTkbd4MpaIm0HQ9SwB7IYHdIUvt-U1Uc/edit?usp=sharing"""&amp;",""สระแก้ว!S124"")+IMPORTRANGE(""https://docs.google.com/spreadsheets/d/1xmPlrr1QbdSIKvl1dWUl9K4PjAfSL9oeMr_37QVzcxc/edit?usp=sharing"",""สระบุรี!S124"")+IMPORTRANGE(""https://docs.google.com/spreadsheets/d/1j51vR6CYVGhABJpv6tkstgok82RLpXieLzW1yOY5rHw/edi"&amp;"t?usp=sharing"",""สิงห์บุรี!S124"")+IMPORTRANGE(""https://docs.google.com/spreadsheets/d/1H1EalTWKUSzO4Z1-1CwzoDUaVffgrThEBe2sl74kKG0/edit?usp=sharing"",""สุพรรณบุรี!S124"")+IMPORTRANGE(""https://docs.google.com/spreadsheets/d/1BmIruG_sIrJLYao_Pdr7zVArWsf"&amp;"oBt2692TMi6x_854/edit?usp=sharing"",""อ่างทอง!S124"")"),0)</f>
        <v>0</v>
      </c>
      <c r="T125" s="133">
        <f t="shared" ca="1" si="94"/>
        <v>0</v>
      </c>
      <c r="U125" s="133">
        <f t="shared" ca="1" si="95"/>
        <v>0</v>
      </c>
    </row>
    <row r="126" spans="1:21" ht="18.75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4">
        <f ca="1">IFERROR(__xludf.DUMMYFUNCTION("IMPORTRANGE(""https://docs.google.com/spreadsheets/d/13wPX838HrBrQMCywv1BsuMkt4PEKTChp52zj44s2izQ/edit?usp=sharing"",""กาญจนบุรี!L125"")+IMPORTRANGE(""https://docs.google.com/spreadsheets/d/1ddFKvqj1W1NEiWytbGlB1zMx_ykJDVtmfEQ-6-lIUBA/edit?usp=sharing"","&amp;"""จันทบุรี!L125"")+IMPORTRANGE(""https://docs.google.com/spreadsheets/d/1T1PQvRODqOBZk8BRht_U031fIS1beLA0Ub2CEytj2q0/edit?usp=sharing"",""ฉะเชิงเทรา!L125"")+IMPORTRANGE(""https://docs.google.com/spreadsheets/d/11tr1B-Bhyr79v2bkwVh5h_fR-PStkgjlZtkrZpYurG0/"&amp;"edit?usp=sharing"",""ชลบุรี!L125"")+IMPORTRANGE(""https://docs.google.com/spreadsheets/d/1hh-FVnSX0vozXhGluamEcS54Dw9_zqW0N7qJUWgJ0Sw/edit?usp=sharing"",""ชัยนาท!L125"")+IMPORTRANGE(""https://docs.google.com/spreadsheets/d/1jkqa6GXxSacMcY1eN8AHjMNJ_7dDXMJ"&amp;"VRLDlaFSOdPM/edit?usp=sharing"",""ตราด!L125"")+IMPORTRANGE(""https://docs.google.com/spreadsheets/d/18hSgUJ3VwClqi_qtULmmW3cLr0oe3OKaSYoKzdpTsYQ/edit?usp=sharing"",""นครนายก!L125"")+IMPORTRANGE(""https://docs.google.com/spreadsheets/d/1YTZo6WM2dQ6Ix6FSdnL"&amp;"5P7uVnVKu40sxZu975tgG10E/edit?usp=sharing"",""นครปฐม!L125"")+IMPORTRANGE(""https://docs.google.com/spreadsheets/d/1OYoGg4WDg5RIzwGeB10padOxJF9E_Vljuvvct_M7RDo/edit?usp=sharing"",""ปทุมธานี!L125"")+IMPORTRANGE(""https://docs.google.com/spreadsheets/d/1GbCI"&amp;"E4D4wk9FUozzqk7SxfDMxDVBwVmI5zcaVUSzKAc/edit?usp=sharing"",""ประจวบคีรีขันธ์!L125"")+IMPORTRANGE(""https://docs.google.com/spreadsheets/d/1vVf6wykvW_lAyu7Yo9L4hUTqHqIeP_qcVuxCtosJEbg/edit?usp=sharing"",""ปราจีนบุรี!L125"")+IMPORTRANGE(""https://docs.googl"&amp;"e.com/spreadsheets/d/1BIDqLLg5jk3v59G8NlR8rk5xfQDKne0sAvZHSj7TI6I/edit?usp=sharing"",""พระนครศรีอยุธยา!L125"")+IMPORTRANGE(""https://docs.google.com/spreadsheets/d/1YXvxf8Yu6_rV4hTBrwMqAcAnv6DfhUxh5emyM3CJp_w/edit?usp=sharing"",""เพชรบุรี!L125"")+IMPORTRA"&amp;"NGE(""https://docs.google.com/spreadsheets/d/19KBlQQs7uwvsao6t2n-KvW3Ax8J8uRRfZPq1zPbXgKc/edit?usp=sharing"",""ระยอง!L125"")+IMPORTRANGE(""https://docs.google.com/spreadsheets/d/1jQ6P4QcrGM89YfqcC_PxOHGCMq5ezhucwJd8ci-NHng/edit?usp=sharing"",""ราชบุรี!L12"&amp;"5"")+IMPORTRANGE(""https://docs.google.com/spreadsheets/d/1lufeA2cfFqM-elVq2hznhDzC6Pr7wkJ9ZG_sYNGCMCU/edit?usp=sharing"",""ลพบุรี!L125"")+IMPORTRANGE(""https://docs.google.com/spreadsheets/d/10oOiF7loTyfsTkbd4MpaIm0HQ9SwB7IYHdIUvt-U1Uc/edit?usp=sharing"""&amp;",""สระแก้ว!L125"")+IMPORTRANGE(""https://docs.google.com/spreadsheets/d/1xmPlrr1QbdSIKvl1dWUl9K4PjAfSL9oeMr_37QVzcxc/edit?usp=sharing"",""สระบุรี!L125"")+IMPORTRANGE(""https://docs.google.com/spreadsheets/d/1j51vR6CYVGhABJpv6tkstgok82RLpXieLzW1yOY5rHw/edi"&amp;"t?usp=sharing"",""สิงห์บุรี!L125"")+IMPORTRANGE(""https://docs.google.com/spreadsheets/d/1H1EalTWKUSzO4Z1-1CwzoDUaVffgrThEBe2sl74kKG0/edit?usp=sharing"",""สุพรรณบุรี!L125"")+IMPORTRANGE(""https://docs.google.com/spreadsheets/d/1BmIruG_sIrJLYao_Pdr7zVArWsf"&amp;"oBt2692TMi6x_854/edit?usp=sharing"",""อ่างทอง!L125"")"),0)</f>
        <v>0</v>
      </c>
      <c r="M126" s="74">
        <f ca="1">IFERROR(__xludf.DUMMYFUNCTION("IMPORTRANGE(""https://docs.google.com/spreadsheets/d/13wPX838HrBrQMCywv1BsuMkt4PEKTChp52zj44s2izQ/edit?usp=sharing"",""กาญจนบุรี!M125"")+IMPORTRANGE(""https://docs.google.com/spreadsheets/d/1ddFKvqj1W1NEiWytbGlB1zMx_ykJDVtmfEQ-6-lIUBA/edit?usp=sharing"","&amp;"""จันทบุรี!M125"")+IMPORTRANGE(""https://docs.google.com/spreadsheets/d/1T1PQvRODqOBZk8BRht_U031fIS1beLA0Ub2CEytj2q0/edit?usp=sharing"",""ฉะเชิงเทรา!M125"")+IMPORTRANGE(""https://docs.google.com/spreadsheets/d/11tr1B-Bhyr79v2bkwVh5h_fR-PStkgjlZtkrZpYurG0/"&amp;"edit?usp=sharing"",""ชลบุรี!M125"")+IMPORTRANGE(""https://docs.google.com/spreadsheets/d/1hh-FVnSX0vozXhGluamEcS54Dw9_zqW0N7qJUWgJ0Sw/edit?usp=sharing"",""ชัยนาท!M125"")+IMPORTRANGE(""https://docs.google.com/spreadsheets/d/1jkqa6GXxSacMcY1eN8AHjMNJ_7dDXMJ"&amp;"VRLDlaFSOdPM/edit?usp=sharing"",""ตราด!M125"")+IMPORTRANGE(""https://docs.google.com/spreadsheets/d/18hSgUJ3VwClqi_qtULmmW3cLr0oe3OKaSYoKzdpTsYQ/edit?usp=sharing"",""นครนายก!M125"")+IMPORTRANGE(""https://docs.google.com/spreadsheets/d/1YTZo6WM2dQ6Ix6FSdnL"&amp;"5P7uVnVKu40sxZu975tgG10E/edit?usp=sharing"",""นครปฐม!M125"")+IMPORTRANGE(""https://docs.google.com/spreadsheets/d/1OYoGg4WDg5RIzwGeB10padOxJF9E_Vljuvvct_M7RDo/edit?usp=sharing"",""ปทุมธานี!M125"")+IMPORTRANGE(""https://docs.google.com/spreadsheets/d/1GbCI"&amp;"E4D4wk9FUozzqk7SxfDMxDVBwVmI5zcaVUSzKAc/edit?usp=sharing"",""ประจวบคีรีขันธ์!M125"")+IMPORTRANGE(""https://docs.google.com/spreadsheets/d/1vVf6wykvW_lAyu7Yo9L4hUTqHqIeP_qcVuxCtosJEbg/edit?usp=sharing"",""ปราจีนบุรี!M125"")+IMPORTRANGE(""https://docs.googl"&amp;"e.com/spreadsheets/d/1BIDqLLg5jk3v59G8NlR8rk5xfQDKne0sAvZHSj7TI6I/edit?usp=sharing"",""พระนครศรีอยุธยา!M125"")+IMPORTRANGE(""https://docs.google.com/spreadsheets/d/1YXvxf8Yu6_rV4hTBrwMqAcAnv6DfhUxh5emyM3CJp_w/edit?usp=sharing"",""เพชรบุรี!M125"")+IMPORTRA"&amp;"NGE(""https://docs.google.com/spreadsheets/d/19KBlQQs7uwvsao6t2n-KvW3Ax8J8uRRfZPq1zPbXgKc/edit?usp=sharing"",""ระยอง!M125"")+IMPORTRANGE(""https://docs.google.com/spreadsheets/d/1jQ6P4QcrGM89YfqcC_PxOHGCMq5ezhucwJd8ci-NHng/edit?usp=sharing"",""ราชบุรี!M12"&amp;"5"")+IMPORTRANGE(""https://docs.google.com/spreadsheets/d/1lufeA2cfFqM-elVq2hznhDzC6Pr7wkJ9ZG_sYNGCMCU/edit?usp=sharing"",""ลพบุรี!M125"")+IMPORTRANGE(""https://docs.google.com/spreadsheets/d/10oOiF7loTyfsTkbd4MpaIm0HQ9SwB7IYHdIUvt-U1Uc/edit?usp=sharing"""&amp;",""สระแก้ว!M125"")+IMPORTRANGE(""https://docs.google.com/spreadsheets/d/1xmPlrr1QbdSIKvl1dWUl9K4PjAfSL9oeMr_37QVzcxc/edit?usp=sharing"",""สระบุรี!M125"")+IMPORTRANGE(""https://docs.google.com/spreadsheets/d/1j51vR6CYVGhABJpv6tkstgok82RLpXieLzW1yOY5rHw/edi"&amp;"t?usp=sharing"",""สิงห์บุรี!M125"")+IMPORTRANGE(""https://docs.google.com/spreadsheets/d/1H1EalTWKUSzO4Z1-1CwzoDUaVffgrThEBe2sl74kKG0/edit?usp=sharing"",""สุพรรณบุรี!M125"")+IMPORTRANGE(""https://docs.google.com/spreadsheets/d/1BmIruG_sIrJLYao_Pdr7zVArWsf"&amp;"oBt2692TMi6x_854/edit?usp=sharing"",""อ่างทอง!M125"")"),0)</f>
        <v>0</v>
      </c>
      <c r="N126" s="74">
        <f ca="1">IFERROR(__xludf.DUMMYFUNCTION("IMPORTRANGE(""https://docs.google.com/spreadsheets/d/13wPX838HrBrQMCywv1BsuMkt4PEKTChp52zj44s2izQ/edit?usp=sharing"",""กาญจนบุรี!N125"")+IMPORTRANGE(""https://docs.google.com/spreadsheets/d/1ddFKvqj1W1NEiWytbGlB1zMx_ykJDVtmfEQ-6-lIUBA/edit?usp=sharing"","&amp;"""จันทบุรี!N125"")+IMPORTRANGE(""https://docs.google.com/spreadsheets/d/1T1PQvRODqOBZk8BRht_U031fIS1beLA0Ub2CEytj2q0/edit?usp=sharing"",""ฉะเชิงเทรา!N125"")+IMPORTRANGE(""https://docs.google.com/spreadsheets/d/11tr1B-Bhyr79v2bkwVh5h_fR-PStkgjlZtkrZpYurG0/"&amp;"edit?usp=sharing"",""ชลบุรี!N125"")+IMPORTRANGE(""https://docs.google.com/spreadsheets/d/1hh-FVnSX0vozXhGluamEcS54Dw9_zqW0N7qJUWgJ0Sw/edit?usp=sharing"",""ชัยนาท!N125"")+IMPORTRANGE(""https://docs.google.com/spreadsheets/d/1jkqa6GXxSacMcY1eN8AHjMNJ_7dDXMJ"&amp;"VRLDlaFSOdPM/edit?usp=sharing"",""ตราด!N125"")+IMPORTRANGE(""https://docs.google.com/spreadsheets/d/18hSgUJ3VwClqi_qtULmmW3cLr0oe3OKaSYoKzdpTsYQ/edit?usp=sharing"",""นครนายก!N125"")+IMPORTRANGE(""https://docs.google.com/spreadsheets/d/1YTZo6WM2dQ6Ix6FSdnL"&amp;"5P7uVnVKu40sxZu975tgG10E/edit?usp=sharing"",""นครปฐม!N125"")+IMPORTRANGE(""https://docs.google.com/spreadsheets/d/1OYoGg4WDg5RIzwGeB10padOxJF9E_Vljuvvct_M7RDo/edit?usp=sharing"",""ปทุมธานี!N125"")+IMPORTRANGE(""https://docs.google.com/spreadsheets/d/1GbCI"&amp;"E4D4wk9FUozzqk7SxfDMxDVBwVmI5zcaVUSzKAc/edit?usp=sharing"",""ประจวบคีรีขันธ์!N125"")+IMPORTRANGE(""https://docs.google.com/spreadsheets/d/1vVf6wykvW_lAyu7Yo9L4hUTqHqIeP_qcVuxCtosJEbg/edit?usp=sharing"",""ปราจีนบุรี!N125"")+IMPORTRANGE(""https://docs.googl"&amp;"e.com/spreadsheets/d/1BIDqLLg5jk3v59G8NlR8rk5xfQDKne0sAvZHSj7TI6I/edit?usp=sharing"",""พระนครศรีอยุธยา!N125"")+IMPORTRANGE(""https://docs.google.com/spreadsheets/d/1YXvxf8Yu6_rV4hTBrwMqAcAnv6DfhUxh5emyM3CJp_w/edit?usp=sharing"",""เพชรบุรี!N125"")+IMPORTRA"&amp;"NGE(""https://docs.google.com/spreadsheets/d/19KBlQQs7uwvsao6t2n-KvW3Ax8J8uRRfZPq1zPbXgKc/edit?usp=sharing"",""ระยอง!N125"")+IMPORTRANGE(""https://docs.google.com/spreadsheets/d/1jQ6P4QcrGM89YfqcC_PxOHGCMq5ezhucwJd8ci-NHng/edit?usp=sharing"",""ราชบุรี!N12"&amp;"5"")+IMPORTRANGE(""https://docs.google.com/spreadsheets/d/1lufeA2cfFqM-elVq2hznhDzC6Pr7wkJ9ZG_sYNGCMCU/edit?usp=sharing"",""ลพบุรี!N125"")+IMPORTRANGE(""https://docs.google.com/spreadsheets/d/10oOiF7loTyfsTkbd4MpaIm0HQ9SwB7IYHdIUvt-U1Uc/edit?usp=sharing"""&amp;",""สระแก้ว!N125"")+IMPORTRANGE(""https://docs.google.com/spreadsheets/d/1xmPlrr1QbdSIKvl1dWUl9K4PjAfSL9oeMr_37QVzcxc/edit?usp=sharing"",""สระบุรี!N125"")+IMPORTRANGE(""https://docs.google.com/spreadsheets/d/1j51vR6CYVGhABJpv6tkstgok82RLpXieLzW1yOY5rHw/edi"&amp;"t?usp=sharing"",""สิงห์บุรี!N125"")+IMPORTRANGE(""https://docs.google.com/spreadsheets/d/1H1EalTWKUSzO4Z1-1CwzoDUaVffgrThEBe2sl74kKG0/edit?usp=sharing"",""สุพรรณบุรี!N125"")+IMPORTRANGE(""https://docs.google.com/spreadsheets/d/1BmIruG_sIrJLYao_Pdr7zVArWsf"&amp;"oBt2692TMi6x_854/edit?usp=sharing"",""อ่างทอง!N125"")"),0)</f>
        <v>0</v>
      </c>
      <c r="O126" s="74">
        <f t="shared" ca="1" si="91"/>
        <v>0</v>
      </c>
      <c r="P126" s="74">
        <f t="shared" ca="1" si="92"/>
        <v>0</v>
      </c>
      <c r="Q126" s="73">
        <f ca="1">IFERROR(__xludf.DUMMYFUNCTION("IMPORTRANGE(""https://docs.google.com/spreadsheets/d/13wPX838HrBrQMCywv1BsuMkt4PEKTChp52zj44s2izQ/edit?usp=sharing"",""กาญจนบุรี!Q125"")+IMPORTRANGE(""https://docs.google.com/spreadsheets/d/1ddFKvqj1W1NEiWytbGlB1zMx_ykJDVtmfEQ-6-lIUBA/edit?usp=sharing"","&amp;"""จันทบุรี!Q125"")+IMPORTRANGE(""https://docs.google.com/spreadsheets/d/1T1PQvRODqOBZk8BRht_U031fIS1beLA0Ub2CEytj2q0/edit?usp=sharing"",""ฉะเชิงเทรา!Q125"")+IMPORTRANGE(""https://docs.google.com/spreadsheets/d/11tr1B-Bhyr79v2bkwVh5h_fR-PStkgjlZtkrZpYurG0/"&amp;"edit?usp=sharing"",""ชลบุรี!Q125"")+IMPORTRANGE(""https://docs.google.com/spreadsheets/d/1hh-FVnSX0vozXhGluamEcS54Dw9_zqW0N7qJUWgJ0Sw/edit?usp=sharing"",""ชัยนาท!Q125"")+IMPORTRANGE(""https://docs.google.com/spreadsheets/d/1jkqa6GXxSacMcY1eN8AHjMNJ_7dDXMJ"&amp;"VRLDlaFSOdPM/edit?usp=sharing"",""ตราด!Q125"")+IMPORTRANGE(""https://docs.google.com/spreadsheets/d/18hSgUJ3VwClqi_qtULmmW3cLr0oe3OKaSYoKzdpTsYQ/edit?usp=sharing"",""นครนายก!Q125"")+IMPORTRANGE(""https://docs.google.com/spreadsheets/d/1YTZo6WM2dQ6Ix6FSdnL"&amp;"5P7uVnVKu40sxZu975tgG10E/edit?usp=sharing"",""นครปฐม!Q125"")+IMPORTRANGE(""https://docs.google.com/spreadsheets/d/1OYoGg4WDg5RIzwGeB10padOxJF9E_Vljuvvct_M7RDo/edit?usp=sharing"",""ปทุมธานี!Q125"")+IMPORTRANGE(""https://docs.google.com/spreadsheets/d/1GbCI"&amp;"E4D4wk9FUozzqk7SxfDMxDVBwVmI5zcaVUSzKAc/edit?usp=sharing"",""ประจวบคีรีขันธ์!Q125"")+IMPORTRANGE(""https://docs.google.com/spreadsheets/d/1vVf6wykvW_lAyu7Yo9L4hUTqHqIeP_qcVuxCtosJEbg/edit?usp=sharing"",""ปราจีนบุรี!Q125"")+IMPORTRANGE(""https://docs.googl"&amp;"e.com/spreadsheets/d/1BIDqLLg5jk3v59G8NlR8rk5xfQDKne0sAvZHSj7TI6I/edit?usp=sharing"",""พระนครศรีอยุธยา!Q125"")+IMPORTRANGE(""https://docs.google.com/spreadsheets/d/1YXvxf8Yu6_rV4hTBrwMqAcAnv6DfhUxh5emyM3CJp_w/edit?usp=sharing"",""เพชรบุรี!Q125"")+IMPORTRA"&amp;"NGE(""https://docs.google.com/spreadsheets/d/19KBlQQs7uwvsao6t2n-KvW3Ax8J8uRRfZPq1zPbXgKc/edit?usp=sharing"",""ระยอง!Q125"")+IMPORTRANGE(""https://docs.google.com/spreadsheets/d/1jQ6P4QcrGM89YfqcC_PxOHGCMq5ezhucwJd8ci-NHng/edit?usp=sharing"",""ราชบุรี!Q12"&amp;"5"")+IMPORTRANGE(""https://docs.google.com/spreadsheets/d/1lufeA2cfFqM-elVq2hznhDzC6Pr7wkJ9ZG_sYNGCMCU/edit?usp=sharing"",""ลพบุรี!Q125"")+IMPORTRANGE(""https://docs.google.com/spreadsheets/d/10oOiF7loTyfsTkbd4MpaIm0HQ9SwB7IYHdIUvt-U1Uc/edit?usp=sharing"""&amp;",""สระแก้ว!Q125"")+IMPORTRANGE(""https://docs.google.com/spreadsheets/d/1xmPlrr1QbdSIKvl1dWUl9K4PjAfSL9oeMr_37QVzcxc/edit?usp=sharing"",""สระบุรี!Q125"")+IMPORTRANGE(""https://docs.google.com/spreadsheets/d/1j51vR6CYVGhABJpv6tkstgok82RLpXieLzW1yOY5rHw/edi"&amp;"t?usp=sharing"",""สิงห์บุรี!Q125"")+IMPORTRANGE(""https://docs.google.com/spreadsheets/d/1H1EalTWKUSzO4Z1-1CwzoDUaVffgrThEBe2sl74kKG0/edit?usp=sharing"",""สุพรรณบุรี!Q125"")+IMPORTRANGE(""https://docs.google.com/spreadsheets/d/1BmIruG_sIrJLYao_Pdr7zVArWsf"&amp;"oBt2692TMi6x_854/edit?usp=sharing"",""อ่างทอง!Q125"")"),0)</f>
        <v>0</v>
      </c>
      <c r="R126" s="74">
        <f ca="1">IFERROR(__xludf.DUMMYFUNCTION("IMPORTRANGE(""https://docs.google.com/spreadsheets/d/13wPX838HrBrQMCywv1BsuMkt4PEKTChp52zj44s2izQ/edit?usp=sharing"",""กาญจนบุรี!R125"")+IMPORTRANGE(""https://docs.google.com/spreadsheets/d/1ddFKvqj1W1NEiWytbGlB1zMx_ykJDVtmfEQ-6-lIUBA/edit?usp=sharing"","&amp;"""จันทบุรี!R125"")+IMPORTRANGE(""https://docs.google.com/spreadsheets/d/1T1PQvRODqOBZk8BRht_U031fIS1beLA0Ub2CEytj2q0/edit?usp=sharing"",""ฉะเชิงเทรา!R125"")+IMPORTRANGE(""https://docs.google.com/spreadsheets/d/11tr1B-Bhyr79v2bkwVh5h_fR-PStkgjlZtkrZpYurG0/"&amp;"edit?usp=sharing"",""ชลบุรี!R125"")+IMPORTRANGE(""https://docs.google.com/spreadsheets/d/1hh-FVnSX0vozXhGluamEcS54Dw9_zqW0N7qJUWgJ0Sw/edit?usp=sharing"",""ชัยนาท!R125"")+IMPORTRANGE(""https://docs.google.com/spreadsheets/d/1jkqa6GXxSacMcY1eN8AHjMNJ_7dDXMJ"&amp;"VRLDlaFSOdPM/edit?usp=sharing"",""ตราด!R125"")+IMPORTRANGE(""https://docs.google.com/spreadsheets/d/18hSgUJ3VwClqi_qtULmmW3cLr0oe3OKaSYoKzdpTsYQ/edit?usp=sharing"",""นครนายก!R125"")+IMPORTRANGE(""https://docs.google.com/spreadsheets/d/1YTZo6WM2dQ6Ix6FSdnL"&amp;"5P7uVnVKu40sxZu975tgG10E/edit?usp=sharing"",""นครปฐม!R125"")+IMPORTRANGE(""https://docs.google.com/spreadsheets/d/1OYoGg4WDg5RIzwGeB10padOxJF9E_Vljuvvct_M7RDo/edit?usp=sharing"",""ปทุมธานี!R125"")+IMPORTRANGE(""https://docs.google.com/spreadsheets/d/1GbCI"&amp;"E4D4wk9FUozzqk7SxfDMxDVBwVmI5zcaVUSzKAc/edit?usp=sharing"",""ประจวบคีรีขันธ์!R125"")+IMPORTRANGE(""https://docs.google.com/spreadsheets/d/1vVf6wykvW_lAyu7Yo9L4hUTqHqIeP_qcVuxCtosJEbg/edit?usp=sharing"",""ปราจีนบุรี!R125"")+IMPORTRANGE(""https://docs.googl"&amp;"e.com/spreadsheets/d/1BIDqLLg5jk3v59G8NlR8rk5xfQDKne0sAvZHSj7TI6I/edit?usp=sharing"",""พระนครศรีอยุธยา!R125"")+IMPORTRANGE(""https://docs.google.com/spreadsheets/d/1YXvxf8Yu6_rV4hTBrwMqAcAnv6DfhUxh5emyM3CJp_w/edit?usp=sharing"",""เพชรบุรี!R125"")+IMPORTRA"&amp;"NGE(""https://docs.google.com/spreadsheets/d/19KBlQQs7uwvsao6t2n-KvW3Ax8J8uRRfZPq1zPbXgKc/edit?usp=sharing"",""ระยอง!R125"")+IMPORTRANGE(""https://docs.google.com/spreadsheets/d/1jQ6P4QcrGM89YfqcC_PxOHGCMq5ezhucwJd8ci-NHng/edit?usp=sharing"",""ราชบุรี!R12"&amp;"5"")+IMPORTRANGE(""https://docs.google.com/spreadsheets/d/1lufeA2cfFqM-elVq2hznhDzC6Pr7wkJ9ZG_sYNGCMCU/edit?usp=sharing"",""ลพบุรี!R125"")+IMPORTRANGE(""https://docs.google.com/spreadsheets/d/10oOiF7loTyfsTkbd4MpaIm0HQ9SwB7IYHdIUvt-U1Uc/edit?usp=sharing"""&amp;",""สระแก้ว!R125"")+IMPORTRANGE(""https://docs.google.com/spreadsheets/d/1xmPlrr1QbdSIKvl1dWUl9K4PjAfSL9oeMr_37QVzcxc/edit?usp=sharing"",""สระบุรี!R125"")+IMPORTRANGE(""https://docs.google.com/spreadsheets/d/1j51vR6CYVGhABJpv6tkstgok82RLpXieLzW1yOY5rHw/edi"&amp;"t?usp=sharing"",""สิงห์บุรี!R125"")+IMPORTRANGE(""https://docs.google.com/spreadsheets/d/1H1EalTWKUSzO4Z1-1CwzoDUaVffgrThEBe2sl74kKG0/edit?usp=sharing"",""สุพรรณบุรี!R125"")+IMPORTRANGE(""https://docs.google.com/spreadsheets/d/1BmIruG_sIrJLYao_Pdr7zVArWsf"&amp;"oBt2692TMi6x_854/edit?usp=sharing"",""อ่างทอง!R125"")"),0)</f>
        <v>0</v>
      </c>
      <c r="S126" s="74">
        <f ca="1">IFERROR(__xludf.DUMMYFUNCTION("IMPORTRANGE(""https://docs.google.com/spreadsheets/d/13wPX838HrBrQMCywv1BsuMkt4PEKTChp52zj44s2izQ/edit?usp=sharing"",""กาญจนบุรี!S125"")+IMPORTRANGE(""https://docs.google.com/spreadsheets/d/1ddFKvqj1W1NEiWytbGlB1zMx_ykJDVtmfEQ-6-lIUBA/edit?usp=sharing"","&amp;"""จันทบุรี!S125"")+IMPORTRANGE(""https://docs.google.com/spreadsheets/d/1T1PQvRODqOBZk8BRht_U031fIS1beLA0Ub2CEytj2q0/edit?usp=sharing"",""ฉะเชิงเทรา!S125"")+IMPORTRANGE(""https://docs.google.com/spreadsheets/d/11tr1B-Bhyr79v2bkwVh5h_fR-PStkgjlZtkrZpYurG0/"&amp;"edit?usp=sharing"",""ชลบุรี!S125"")+IMPORTRANGE(""https://docs.google.com/spreadsheets/d/1hh-FVnSX0vozXhGluamEcS54Dw9_zqW0N7qJUWgJ0Sw/edit?usp=sharing"",""ชัยนาท!S125"")+IMPORTRANGE(""https://docs.google.com/spreadsheets/d/1jkqa6GXxSacMcY1eN8AHjMNJ_7dDXMJ"&amp;"VRLDlaFSOdPM/edit?usp=sharing"",""ตราด!S125"")+IMPORTRANGE(""https://docs.google.com/spreadsheets/d/18hSgUJ3VwClqi_qtULmmW3cLr0oe3OKaSYoKzdpTsYQ/edit?usp=sharing"",""นครนายก!S125"")+IMPORTRANGE(""https://docs.google.com/spreadsheets/d/1YTZo6WM2dQ6Ix6FSdnL"&amp;"5P7uVnVKu40sxZu975tgG10E/edit?usp=sharing"",""นครปฐม!S125"")+IMPORTRANGE(""https://docs.google.com/spreadsheets/d/1OYoGg4WDg5RIzwGeB10padOxJF9E_Vljuvvct_M7RDo/edit?usp=sharing"",""ปทุมธานี!S125"")+IMPORTRANGE(""https://docs.google.com/spreadsheets/d/1GbCI"&amp;"E4D4wk9FUozzqk7SxfDMxDVBwVmI5zcaVUSzKAc/edit?usp=sharing"",""ประจวบคีรีขันธ์!S125"")+IMPORTRANGE(""https://docs.google.com/spreadsheets/d/1vVf6wykvW_lAyu7Yo9L4hUTqHqIeP_qcVuxCtosJEbg/edit?usp=sharing"",""ปราจีนบุรี!S125"")+IMPORTRANGE(""https://docs.googl"&amp;"e.com/spreadsheets/d/1BIDqLLg5jk3v59G8NlR8rk5xfQDKne0sAvZHSj7TI6I/edit?usp=sharing"",""พระนครศรีอยุธยา!S125"")+IMPORTRANGE(""https://docs.google.com/spreadsheets/d/1YXvxf8Yu6_rV4hTBrwMqAcAnv6DfhUxh5emyM3CJp_w/edit?usp=sharing"",""เพชรบุรี!S125"")+IMPORTRA"&amp;"NGE(""https://docs.google.com/spreadsheets/d/19KBlQQs7uwvsao6t2n-KvW3Ax8J8uRRfZPq1zPbXgKc/edit?usp=sharing"",""ระยอง!S125"")+IMPORTRANGE(""https://docs.google.com/spreadsheets/d/1jQ6P4QcrGM89YfqcC_PxOHGCMq5ezhucwJd8ci-NHng/edit?usp=sharing"",""ราชบุรี!S12"&amp;"5"")+IMPORTRANGE(""https://docs.google.com/spreadsheets/d/1lufeA2cfFqM-elVq2hznhDzC6Pr7wkJ9ZG_sYNGCMCU/edit?usp=sharing"",""ลพบุรี!S125"")+IMPORTRANGE(""https://docs.google.com/spreadsheets/d/10oOiF7loTyfsTkbd4MpaIm0HQ9SwB7IYHdIUvt-U1Uc/edit?usp=sharing"""&amp;",""สระแก้ว!S125"")+IMPORTRANGE(""https://docs.google.com/spreadsheets/d/1xmPlrr1QbdSIKvl1dWUl9K4PjAfSL9oeMr_37QVzcxc/edit?usp=sharing"",""สระบุรี!S125"")+IMPORTRANGE(""https://docs.google.com/spreadsheets/d/1j51vR6CYVGhABJpv6tkstgok82RLpXieLzW1yOY5rHw/edi"&amp;"t?usp=sharing"",""สิงห์บุรี!S125"")+IMPORTRANGE(""https://docs.google.com/spreadsheets/d/1H1EalTWKUSzO4Z1-1CwzoDUaVffgrThEBe2sl74kKG0/edit?usp=sharing"",""สุพรรณบุรี!S125"")+IMPORTRANGE(""https://docs.google.com/spreadsheets/d/1BmIruG_sIrJLYao_Pdr7zVArWsf"&amp;"oBt2692TMi6x_854/edit?usp=sharing"",""อ่างทอง!S125"")"),0)</f>
        <v>0</v>
      </c>
      <c r="T126" s="132">
        <f t="shared" ca="1" si="94"/>
        <v>0</v>
      </c>
      <c r="U126" s="132">
        <f t="shared" ca="1" si="95"/>
        <v>0</v>
      </c>
    </row>
    <row r="127" spans="1:21" ht="19.5" x14ac:dyDescent="0.3">
      <c r="A127" s="276"/>
      <c r="B127" s="277"/>
      <c r="C127" s="309" t="s">
        <v>18</v>
      </c>
      <c r="D127" s="279" t="s">
        <v>38</v>
      </c>
      <c r="E127" s="280"/>
      <c r="F127" s="280"/>
      <c r="G127" s="281"/>
      <c r="H127" s="310"/>
      <c r="I127" s="263"/>
      <c r="J127" s="263"/>
      <c r="K127" s="87"/>
      <c r="L127" s="87"/>
      <c r="M127" s="87"/>
      <c r="N127" s="87"/>
      <c r="O127" s="87"/>
      <c r="P127" s="87"/>
      <c r="Q127" s="86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1" t="s">
        <v>53</v>
      </c>
      <c r="E128" s="290"/>
      <c r="F128" s="290"/>
      <c r="G128" s="282"/>
      <c r="H128" s="268" t="s">
        <v>35</v>
      </c>
      <c r="I128" s="293">
        <f ca="1">IFERROR(__xludf.DUMMYFUNCTION("IMPORTRANGE(""https://docs.google.com/spreadsheets/d/13wPX838HrBrQMCywv1BsuMkt4PEKTChp52zj44s2izQ/edit?usp=sharing"",""กาญจนบุรี!I127"")+IMPORTRANGE(""https://docs.google.com/spreadsheets/d/1ddFKvqj1W1NEiWytbGlB1zMx_ykJDVtmfEQ-6-lIUBA/edit?usp=sharing"","&amp;"""จันทบุรี!I127"")+IMPORTRANGE(""https://docs.google.com/spreadsheets/d/1T1PQvRODqOBZk8BRht_U031fIS1beLA0Ub2CEytj2q0/edit?usp=sharing"",""ฉะเชิงเทรา!I127"")+IMPORTRANGE(""https://docs.google.com/spreadsheets/d/11tr1B-Bhyr79v2bkwVh5h_fR-PStkgjlZtkrZpYurG0/"&amp;"edit?usp=sharing"",""ชลบุรี!I127"")+IMPORTRANGE(""https://docs.google.com/spreadsheets/d/1hh-FVnSX0vozXhGluamEcS54Dw9_zqW0N7qJUWgJ0Sw/edit?usp=sharing"",""ชัยนาท!I127"")+IMPORTRANGE(""https://docs.google.com/spreadsheets/d/1jkqa6GXxSacMcY1eN8AHjMNJ_7dDXMJ"&amp;"VRLDlaFSOdPM/edit?usp=sharing"",""ตราด!I127"")+IMPORTRANGE(""https://docs.google.com/spreadsheets/d/18hSgUJ3VwClqi_qtULmmW3cLr0oe3OKaSYoKzdpTsYQ/edit?usp=sharing"",""นครนายก!I127"")+IMPORTRANGE(""https://docs.google.com/spreadsheets/d/1YTZo6WM2dQ6Ix6FSdnL"&amp;"5P7uVnVKu40sxZu975tgG10E/edit?usp=sharing"",""นครปฐม!I127"")+IMPORTRANGE(""https://docs.google.com/spreadsheets/d/1OYoGg4WDg5RIzwGeB10padOxJF9E_Vljuvvct_M7RDo/edit?usp=sharing"",""ปทุมธานี!I127"")+IMPORTRANGE(""https://docs.google.com/spreadsheets/d/1GbCI"&amp;"E4D4wk9FUozzqk7SxfDMxDVBwVmI5zcaVUSzKAc/edit?usp=sharing"",""ประจวบคีรีขันธ์!I127"")+IMPORTRANGE(""https://docs.google.com/spreadsheets/d/1vVf6wykvW_lAyu7Yo9L4hUTqHqIeP_qcVuxCtosJEbg/edit?usp=sharing"",""ปราจีนบุรี!I127"")+IMPORTRANGE(""https://docs.googl"&amp;"e.com/spreadsheets/d/1BIDqLLg5jk3v59G8NlR8rk5xfQDKne0sAvZHSj7TI6I/edit?usp=sharing"",""พระนครศรีอยุธยา!I127"")+IMPORTRANGE(""https://docs.google.com/spreadsheets/d/1YXvxf8Yu6_rV4hTBrwMqAcAnv6DfhUxh5emyM3CJp_w/edit?usp=sharing"",""เพชรบุรี!I127"")+IMPORTRA"&amp;"NGE(""https://docs.google.com/spreadsheets/d/19KBlQQs7uwvsao6t2n-KvW3Ax8J8uRRfZPq1zPbXgKc/edit?usp=sharing"",""ระยอง!I127"")+IMPORTRANGE(""https://docs.google.com/spreadsheets/d/1jQ6P4QcrGM89YfqcC_PxOHGCMq5ezhucwJd8ci-NHng/edit?usp=sharing"",""ราชบุรี!I12"&amp;"7"")+IMPORTRANGE(""https://docs.google.com/spreadsheets/d/1lufeA2cfFqM-elVq2hznhDzC6Pr7wkJ9ZG_sYNGCMCU/edit?usp=sharing"",""ลพบุรี!I127"")+IMPORTRANGE(""https://docs.google.com/spreadsheets/d/10oOiF7loTyfsTkbd4MpaIm0HQ9SwB7IYHdIUvt-U1Uc/edit?usp=sharing"""&amp;",""สระแก้ว!I127"")+IMPORTRANGE(""https://docs.google.com/spreadsheets/d/1xmPlrr1QbdSIKvl1dWUl9K4PjAfSL9oeMr_37QVzcxc/edit?usp=sharing"",""สระบุรี!I127"")+IMPORTRANGE(""https://docs.google.com/spreadsheets/d/1j51vR6CYVGhABJpv6tkstgok82RLpXieLzW1yOY5rHw/edi"&amp;"t?usp=sharing"",""สิงห์บุรี!I127"")+IMPORTRANGE(""https://docs.google.com/spreadsheets/d/1H1EalTWKUSzO4Z1-1CwzoDUaVffgrThEBe2sl74kKG0/edit?usp=sharing"",""สุพรรณบุรี!I127"")+IMPORTRANGE(""https://docs.google.com/spreadsheets/d/1BmIruG_sIrJLYao_Pdr7zVArWsf"&amp;"oBt2692TMi6x_854/edit?usp=sharing"",""อ่างทอง!I127"")"),421)</f>
        <v>421</v>
      </c>
      <c r="J128" s="294">
        <f ca="1">IFERROR(__xludf.DUMMYFUNCTION("IMPORTRANGE(""https://docs.google.com/spreadsheets/d/13wPX838HrBrQMCywv1BsuMkt4PEKTChp52zj44s2izQ/edit?usp=sharing"",""กาญจนบุรี!J127"")+IMPORTRANGE(""https://docs.google.com/spreadsheets/d/1ddFKvqj1W1NEiWytbGlB1zMx_ykJDVtmfEQ-6-lIUBA/edit?usp=sharing"","&amp;"""จันทบุรี!J127"")+IMPORTRANGE(""https://docs.google.com/spreadsheets/d/1T1PQvRODqOBZk8BRht_U031fIS1beLA0Ub2CEytj2q0/edit?usp=sharing"",""ฉะเชิงเทรา!J127"")+IMPORTRANGE(""https://docs.google.com/spreadsheets/d/11tr1B-Bhyr79v2bkwVh5h_fR-PStkgjlZtkrZpYurG0/"&amp;"edit?usp=sharing"",""ชลบุรี!J127"")+IMPORTRANGE(""https://docs.google.com/spreadsheets/d/1hh-FVnSX0vozXhGluamEcS54Dw9_zqW0N7qJUWgJ0Sw/edit?usp=sharing"",""ชัยนาท!J127"")+IMPORTRANGE(""https://docs.google.com/spreadsheets/d/1jkqa6GXxSacMcY1eN8AHjMNJ_7dDXMJ"&amp;"VRLDlaFSOdPM/edit?usp=sharing"",""ตราด!J127"")+IMPORTRANGE(""https://docs.google.com/spreadsheets/d/18hSgUJ3VwClqi_qtULmmW3cLr0oe3OKaSYoKzdpTsYQ/edit?usp=sharing"",""นครนายก!J127"")+IMPORTRANGE(""https://docs.google.com/spreadsheets/d/1YTZo6WM2dQ6Ix6FSdnL"&amp;"5P7uVnVKu40sxZu975tgG10E/edit?usp=sharing"",""นครปฐม!J127"")+IMPORTRANGE(""https://docs.google.com/spreadsheets/d/1OYoGg4WDg5RIzwGeB10padOxJF9E_Vljuvvct_M7RDo/edit?usp=sharing"",""ปทุมธานี!J127"")+IMPORTRANGE(""https://docs.google.com/spreadsheets/d/1GbCI"&amp;"E4D4wk9FUozzqk7SxfDMxDVBwVmI5zcaVUSzKAc/edit?usp=sharing"",""ประจวบคีรีขันธ์!J127"")+IMPORTRANGE(""https://docs.google.com/spreadsheets/d/1vVf6wykvW_lAyu7Yo9L4hUTqHqIeP_qcVuxCtosJEbg/edit?usp=sharing"",""ปราจีนบุรี!J127"")+IMPORTRANGE(""https://docs.googl"&amp;"e.com/spreadsheets/d/1BIDqLLg5jk3v59G8NlR8rk5xfQDKne0sAvZHSj7TI6I/edit?usp=sharing"",""พระนครศรีอยุธยา!J127"")+IMPORTRANGE(""https://docs.google.com/spreadsheets/d/1YXvxf8Yu6_rV4hTBrwMqAcAnv6DfhUxh5emyM3CJp_w/edit?usp=sharing"",""เพชรบุรี!J127"")+IMPORTRA"&amp;"NGE(""https://docs.google.com/spreadsheets/d/19KBlQQs7uwvsao6t2n-KvW3Ax8J8uRRfZPq1zPbXgKc/edit?usp=sharing"",""ระยอง!J127"")+IMPORTRANGE(""https://docs.google.com/spreadsheets/d/1jQ6P4QcrGM89YfqcC_PxOHGCMq5ezhucwJd8ci-NHng/edit?usp=sharing"",""ราชบุรี!J12"&amp;"7"")+IMPORTRANGE(""https://docs.google.com/spreadsheets/d/1lufeA2cfFqM-elVq2hznhDzC6Pr7wkJ9ZG_sYNGCMCU/edit?usp=sharing"",""ลพบุรี!J127"")+IMPORTRANGE(""https://docs.google.com/spreadsheets/d/10oOiF7loTyfsTkbd4MpaIm0HQ9SwB7IYHdIUvt-U1Uc/edit?usp=sharing"""&amp;",""สระแก้ว!J127"")+IMPORTRANGE(""https://docs.google.com/spreadsheets/d/1xmPlrr1QbdSIKvl1dWUl9K4PjAfSL9oeMr_37QVzcxc/edit?usp=sharing"",""สระบุรี!J127"")+IMPORTRANGE(""https://docs.google.com/spreadsheets/d/1j51vR6CYVGhABJpv6tkstgok82RLpXieLzW1yOY5rHw/edi"&amp;"t?usp=sharing"",""สิงห์บุรี!J127"")+IMPORTRANGE(""https://docs.google.com/spreadsheets/d/1H1EalTWKUSzO4Z1-1CwzoDUaVffgrThEBe2sl74kKG0/edit?usp=sharing"",""สุพรรณบุรี!J127"")+IMPORTRANGE(""https://docs.google.com/spreadsheets/d/1BmIruG_sIrJLYao_Pdr7zVArWsf"&amp;"oBt2692TMi6x_854/edit?usp=sharing"",""อ่างทอง!J127"")"),90)</f>
        <v>90</v>
      </c>
      <c r="K128" s="74">
        <f t="shared" ref="K128:K131" ca="1" si="104">IF(I128&gt;0,J128*100/I128,0)</f>
        <v>21.377672209026127</v>
      </c>
      <c r="L128" s="87"/>
      <c r="M128" s="87"/>
      <c r="N128" s="87"/>
      <c r="O128" s="87"/>
      <c r="P128" s="87"/>
      <c r="Q128" s="86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0"/>
      <c r="E129" s="290"/>
      <c r="F129" s="290"/>
      <c r="G129" s="282"/>
      <c r="H129" s="268" t="s">
        <v>54</v>
      </c>
      <c r="I129" s="293">
        <f ca="1">IFERROR(__xludf.DUMMYFUNCTION("IMPORTRANGE(""https://docs.google.com/spreadsheets/d/13wPX838HrBrQMCywv1BsuMkt4PEKTChp52zj44s2izQ/edit?usp=sharing"",""กาญจนบุรี!I128"")+IMPORTRANGE(""https://docs.google.com/spreadsheets/d/1ddFKvqj1W1NEiWytbGlB1zMx_ykJDVtmfEQ-6-lIUBA/edit?usp=sharing"","&amp;"""จันทบุรี!I128"")+IMPORTRANGE(""https://docs.google.com/spreadsheets/d/1T1PQvRODqOBZk8BRht_U031fIS1beLA0Ub2CEytj2q0/edit?usp=sharing"",""ฉะเชิงเทรา!I128"")+IMPORTRANGE(""https://docs.google.com/spreadsheets/d/11tr1B-Bhyr79v2bkwVh5h_fR-PStkgjlZtkrZpYurG0/"&amp;"edit?usp=sharing"",""ชลบุรี!I128"")+IMPORTRANGE(""https://docs.google.com/spreadsheets/d/1hh-FVnSX0vozXhGluamEcS54Dw9_zqW0N7qJUWgJ0Sw/edit?usp=sharing"",""ชัยนาท!I128"")+IMPORTRANGE(""https://docs.google.com/spreadsheets/d/1jkqa6GXxSacMcY1eN8AHjMNJ_7dDXMJ"&amp;"VRLDlaFSOdPM/edit?usp=sharing"",""ตราด!I128"")+IMPORTRANGE(""https://docs.google.com/spreadsheets/d/18hSgUJ3VwClqi_qtULmmW3cLr0oe3OKaSYoKzdpTsYQ/edit?usp=sharing"",""นครนายก!I128"")+IMPORTRANGE(""https://docs.google.com/spreadsheets/d/1YTZo6WM2dQ6Ix6FSdnL"&amp;"5P7uVnVKu40sxZu975tgG10E/edit?usp=sharing"",""นครปฐม!I128"")+IMPORTRANGE(""https://docs.google.com/spreadsheets/d/1OYoGg4WDg5RIzwGeB10padOxJF9E_Vljuvvct_M7RDo/edit?usp=sharing"",""ปทุมธานี!I128"")+IMPORTRANGE(""https://docs.google.com/spreadsheets/d/1GbCI"&amp;"E4D4wk9FUozzqk7SxfDMxDVBwVmI5zcaVUSzKAc/edit?usp=sharing"",""ประจวบคีรีขันธ์!I128"")+IMPORTRANGE(""https://docs.google.com/spreadsheets/d/1vVf6wykvW_lAyu7Yo9L4hUTqHqIeP_qcVuxCtosJEbg/edit?usp=sharing"",""ปราจีนบุรี!I128"")+IMPORTRANGE(""https://docs.googl"&amp;"e.com/spreadsheets/d/1BIDqLLg5jk3v59G8NlR8rk5xfQDKne0sAvZHSj7TI6I/edit?usp=sharing"",""พระนครศรีอยุธยา!I128"")+IMPORTRANGE(""https://docs.google.com/spreadsheets/d/1YXvxf8Yu6_rV4hTBrwMqAcAnv6DfhUxh5emyM3CJp_w/edit?usp=sharing"",""เพชรบุรี!I128"")+IMPORTRA"&amp;"NGE(""https://docs.google.com/spreadsheets/d/19KBlQQs7uwvsao6t2n-KvW3Ax8J8uRRfZPq1zPbXgKc/edit?usp=sharing"",""ระยอง!I128"")+IMPORTRANGE(""https://docs.google.com/spreadsheets/d/1jQ6P4QcrGM89YfqcC_PxOHGCMq5ezhucwJd8ci-NHng/edit?usp=sharing"",""ราชบุรี!I12"&amp;"8"")+IMPORTRANGE(""https://docs.google.com/spreadsheets/d/1lufeA2cfFqM-elVq2hznhDzC6Pr7wkJ9ZG_sYNGCMCU/edit?usp=sharing"",""ลพบุรี!I128"")+IMPORTRANGE(""https://docs.google.com/spreadsheets/d/10oOiF7loTyfsTkbd4MpaIm0HQ9SwB7IYHdIUvt-U1Uc/edit?usp=sharing"""&amp;",""สระแก้ว!I128"")+IMPORTRANGE(""https://docs.google.com/spreadsheets/d/1xmPlrr1QbdSIKvl1dWUl9K4PjAfSL9oeMr_37QVzcxc/edit?usp=sharing"",""สระบุรี!I128"")+IMPORTRANGE(""https://docs.google.com/spreadsheets/d/1j51vR6CYVGhABJpv6tkstgok82RLpXieLzW1yOY5rHw/edi"&amp;"t?usp=sharing"",""สิงห์บุรี!I128"")+IMPORTRANGE(""https://docs.google.com/spreadsheets/d/1H1EalTWKUSzO4Z1-1CwzoDUaVffgrThEBe2sl74kKG0/edit?usp=sharing"",""สุพรรณบุรี!I128"")+IMPORTRANGE(""https://docs.google.com/spreadsheets/d/1BmIruG_sIrJLYao_Pdr7zVArWsf"&amp;"oBt2692TMi6x_854/edit?usp=sharing"",""อ่างทอง!I128"")"),0)</f>
        <v>0</v>
      </c>
      <c r="J129" s="294">
        <f ca="1">IFERROR(__xludf.DUMMYFUNCTION("IMPORTRANGE(""https://docs.google.com/spreadsheets/d/13wPX838HrBrQMCywv1BsuMkt4PEKTChp52zj44s2izQ/edit?usp=sharing"",""กาญจนบุรี!J128"")+IMPORTRANGE(""https://docs.google.com/spreadsheets/d/1ddFKvqj1W1NEiWytbGlB1zMx_ykJDVtmfEQ-6-lIUBA/edit?usp=sharing"","&amp;"""จันทบุรี!J128"")+IMPORTRANGE(""https://docs.google.com/spreadsheets/d/1T1PQvRODqOBZk8BRht_U031fIS1beLA0Ub2CEytj2q0/edit?usp=sharing"",""ฉะเชิงเทรา!J128"")+IMPORTRANGE(""https://docs.google.com/spreadsheets/d/11tr1B-Bhyr79v2bkwVh5h_fR-PStkgjlZtkrZpYurG0/"&amp;"edit?usp=sharing"",""ชลบุรี!J128"")+IMPORTRANGE(""https://docs.google.com/spreadsheets/d/1hh-FVnSX0vozXhGluamEcS54Dw9_zqW0N7qJUWgJ0Sw/edit?usp=sharing"",""ชัยนาท!J128"")+IMPORTRANGE(""https://docs.google.com/spreadsheets/d/1jkqa6GXxSacMcY1eN8AHjMNJ_7dDXMJ"&amp;"VRLDlaFSOdPM/edit?usp=sharing"",""ตราด!J128"")+IMPORTRANGE(""https://docs.google.com/spreadsheets/d/18hSgUJ3VwClqi_qtULmmW3cLr0oe3OKaSYoKzdpTsYQ/edit?usp=sharing"",""นครนายก!J128"")+IMPORTRANGE(""https://docs.google.com/spreadsheets/d/1YTZo6WM2dQ6Ix6FSdnL"&amp;"5P7uVnVKu40sxZu975tgG10E/edit?usp=sharing"",""นครปฐม!J128"")+IMPORTRANGE(""https://docs.google.com/spreadsheets/d/1OYoGg4WDg5RIzwGeB10padOxJF9E_Vljuvvct_M7RDo/edit?usp=sharing"",""ปทุมธานี!J128"")+IMPORTRANGE(""https://docs.google.com/spreadsheets/d/1GbCI"&amp;"E4D4wk9FUozzqk7SxfDMxDVBwVmI5zcaVUSzKAc/edit?usp=sharing"",""ประจวบคีรีขันธ์!J128"")+IMPORTRANGE(""https://docs.google.com/spreadsheets/d/1vVf6wykvW_lAyu7Yo9L4hUTqHqIeP_qcVuxCtosJEbg/edit?usp=sharing"",""ปราจีนบุรี!J128"")+IMPORTRANGE(""https://docs.googl"&amp;"e.com/spreadsheets/d/1BIDqLLg5jk3v59G8NlR8rk5xfQDKne0sAvZHSj7TI6I/edit?usp=sharing"",""พระนครศรีอยุธยา!J128"")+IMPORTRANGE(""https://docs.google.com/spreadsheets/d/1YXvxf8Yu6_rV4hTBrwMqAcAnv6DfhUxh5emyM3CJp_w/edit?usp=sharing"",""เพชรบุรี!J128"")+IMPORTRA"&amp;"NGE(""https://docs.google.com/spreadsheets/d/19KBlQQs7uwvsao6t2n-KvW3Ax8J8uRRfZPq1zPbXgKc/edit?usp=sharing"",""ระยอง!J128"")+IMPORTRANGE(""https://docs.google.com/spreadsheets/d/1jQ6P4QcrGM89YfqcC_PxOHGCMq5ezhucwJd8ci-NHng/edit?usp=sharing"",""ราชบุรี!J12"&amp;"8"")+IMPORTRANGE(""https://docs.google.com/spreadsheets/d/1lufeA2cfFqM-elVq2hznhDzC6Pr7wkJ9ZG_sYNGCMCU/edit?usp=sharing"",""ลพบุรี!J128"")+IMPORTRANGE(""https://docs.google.com/spreadsheets/d/10oOiF7loTyfsTkbd4MpaIm0HQ9SwB7IYHdIUvt-U1Uc/edit?usp=sharing"""&amp;",""สระแก้ว!J128"")+IMPORTRANGE(""https://docs.google.com/spreadsheets/d/1xmPlrr1QbdSIKvl1dWUl9K4PjAfSL9oeMr_37QVzcxc/edit?usp=sharing"",""สระบุรี!J128"")+IMPORTRANGE(""https://docs.google.com/spreadsheets/d/1j51vR6CYVGhABJpv6tkstgok82RLpXieLzW1yOY5rHw/edi"&amp;"t?usp=sharing"",""สิงห์บุรี!J128"")+IMPORTRANGE(""https://docs.google.com/spreadsheets/d/1H1EalTWKUSzO4Z1-1CwzoDUaVffgrThEBe2sl74kKG0/edit?usp=sharing"",""สุพรรณบุรี!J128"")+IMPORTRANGE(""https://docs.google.com/spreadsheets/d/1BmIruG_sIrJLYao_Pdr7zVArWsf"&amp;"oBt2692TMi6x_854/edit?usp=sharing"",""อ่างทอง!J128"")"),3)</f>
        <v>3</v>
      </c>
      <c r="K129" s="74">
        <f t="shared" ca="1" si="104"/>
        <v>0</v>
      </c>
      <c r="L129" s="87"/>
      <c r="M129" s="87"/>
      <c r="N129" s="87"/>
      <c r="O129" s="87"/>
      <c r="P129" s="87"/>
      <c r="Q129" s="86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291" t="s">
        <v>55</v>
      </c>
      <c r="E130" s="290"/>
      <c r="F130" s="290"/>
      <c r="G130" s="282"/>
      <c r="H130" s="268" t="s">
        <v>35</v>
      </c>
      <c r="I130" s="293">
        <f ca="1">IFERROR(__xludf.DUMMYFUNCTION("IMPORTRANGE(""https://docs.google.com/spreadsheets/d/13wPX838HrBrQMCywv1BsuMkt4PEKTChp52zj44s2izQ/edit?usp=sharing"",""กาญจนบุรี!I129"")+IMPORTRANGE(""https://docs.google.com/spreadsheets/d/1ddFKvqj1W1NEiWytbGlB1zMx_ykJDVtmfEQ-6-lIUBA/edit?usp=sharing"","&amp;"""จันทบุรี!I129"")+IMPORTRANGE(""https://docs.google.com/spreadsheets/d/1T1PQvRODqOBZk8BRht_U031fIS1beLA0Ub2CEytj2q0/edit?usp=sharing"",""ฉะเชิงเทรา!I129"")+IMPORTRANGE(""https://docs.google.com/spreadsheets/d/11tr1B-Bhyr79v2bkwVh5h_fR-PStkgjlZtkrZpYurG0/"&amp;"edit?usp=sharing"",""ชลบุรี!I129"")+IMPORTRANGE(""https://docs.google.com/spreadsheets/d/1hh-FVnSX0vozXhGluamEcS54Dw9_zqW0N7qJUWgJ0Sw/edit?usp=sharing"",""ชัยนาท!I129"")+IMPORTRANGE(""https://docs.google.com/spreadsheets/d/1jkqa6GXxSacMcY1eN8AHjMNJ_7dDXMJ"&amp;"VRLDlaFSOdPM/edit?usp=sharing"",""ตราด!I129"")+IMPORTRANGE(""https://docs.google.com/spreadsheets/d/18hSgUJ3VwClqi_qtULmmW3cLr0oe3OKaSYoKzdpTsYQ/edit?usp=sharing"",""นครนายก!I129"")+IMPORTRANGE(""https://docs.google.com/spreadsheets/d/1YTZo6WM2dQ6Ix6FSdnL"&amp;"5P7uVnVKu40sxZu975tgG10E/edit?usp=sharing"",""นครปฐม!I129"")+IMPORTRANGE(""https://docs.google.com/spreadsheets/d/1OYoGg4WDg5RIzwGeB10padOxJF9E_Vljuvvct_M7RDo/edit?usp=sharing"",""ปทุมธานี!I129"")+IMPORTRANGE(""https://docs.google.com/spreadsheets/d/1GbCI"&amp;"E4D4wk9FUozzqk7SxfDMxDVBwVmI5zcaVUSzKAc/edit?usp=sharing"",""ประจวบคีรีขันธ์!I129"")+IMPORTRANGE(""https://docs.google.com/spreadsheets/d/1vVf6wykvW_lAyu7Yo9L4hUTqHqIeP_qcVuxCtosJEbg/edit?usp=sharing"",""ปราจีนบุรี!I129"")+IMPORTRANGE(""https://docs.googl"&amp;"e.com/spreadsheets/d/1BIDqLLg5jk3v59G8NlR8rk5xfQDKne0sAvZHSj7TI6I/edit?usp=sharing"",""พระนครศรีอยุธยา!I129"")+IMPORTRANGE(""https://docs.google.com/spreadsheets/d/1YXvxf8Yu6_rV4hTBrwMqAcAnv6DfhUxh5emyM3CJp_w/edit?usp=sharing"",""เพชรบุรี!I129"")+IMPORTRA"&amp;"NGE(""https://docs.google.com/spreadsheets/d/19KBlQQs7uwvsao6t2n-KvW3Ax8J8uRRfZPq1zPbXgKc/edit?usp=sharing"",""ระยอง!I129"")+IMPORTRANGE(""https://docs.google.com/spreadsheets/d/1jQ6P4QcrGM89YfqcC_PxOHGCMq5ezhucwJd8ci-NHng/edit?usp=sharing"",""ราชบุรี!I12"&amp;"9"")+IMPORTRANGE(""https://docs.google.com/spreadsheets/d/1lufeA2cfFqM-elVq2hznhDzC6Pr7wkJ9ZG_sYNGCMCU/edit?usp=sharing"",""ลพบุรี!I129"")+IMPORTRANGE(""https://docs.google.com/spreadsheets/d/10oOiF7loTyfsTkbd4MpaIm0HQ9SwB7IYHdIUvt-U1Uc/edit?usp=sharing"""&amp;",""สระแก้ว!I129"")+IMPORTRANGE(""https://docs.google.com/spreadsheets/d/1xmPlrr1QbdSIKvl1dWUl9K4PjAfSL9oeMr_37QVzcxc/edit?usp=sharing"",""สระบุรี!I129"")+IMPORTRANGE(""https://docs.google.com/spreadsheets/d/1j51vR6CYVGhABJpv6tkstgok82RLpXieLzW1yOY5rHw/edi"&amp;"t?usp=sharing"",""สิงห์บุรี!I129"")+IMPORTRANGE(""https://docs.google.com/spreadsheets/d/1H1EalTWKUSzO4Z1-1CwzoDUaVffgrThEBe2sl74kKG0/edit?usp=sharing"",""สุพรรณบุรี!I129"")+IMPORTRANGE(""https://docs.google.com/spreadsheets/d/1BmIruG_sIrJLYao_Pdr7zVArWsf"&amp;"oBt2692TMi6x_854/edit?usp=sharing"",""อ่างทอง!I129"")"),356)</f>
        <v>356</v>
      </c>
      <c r="J130" s="294">
        <f ca="1">IFERROR(__xludf.DUMMYFUNCTION("IMPORTRANGE(""https://docs.google.com/spreadsheets/d/13wPX838HrBrQMCywv1BsuMkt4PEKTChp52zj44s2izQ/edit?usp=sharing"",""กาญจนบุรี!J129"")+IMPORTRANGE(""https://docs.google.com/spreadsheets/d/1ddFKvqj1W1NEiWytbGlB1zMx_ykJDVtmfEQ-6-lIUBA/edit?usp=sharing"","&amp;"""จันทบุรี!J129"")+IMPORTRANGE(""https://docs.google.com/spreadsheets/d/1T1PQvRODqOBZk8BRht_U031fIS1beLA0Ub2CEytj2q0/edit?usp=sharing"",""ฉะเชิงเทรา!J129"")+IMPORTRANGE(""https://docs.google.com/spreadsheets/d/11tr1B-Bhyr79v2bkwVh5h_fR-PStkgjlZtkrZpYurG0/"&amp;"edit?usp=sharing"",""ชลบุรี!J129"")+IMPORTRANGE(""https://docs.google.com/spreadsheets/d/1hh-FVnSX0vozXhGluamEcS54Dw9_zqW0N7qJUWgJ0Sw/edit?usp=sharing"",""ชัยนาท!J129"")+IMPORTRANGE(""https://docs.google.com/spreadsheets/d/1jkqa6GXxSacMcY1eN8AHjMNJ_7dDXMJ"&amp;"VRLDlaFSOdPM/edit?usp=sharing"",""ตราด!J129"")+IMPORTRANGE(""https://docs.google.com/spreadsheets/d/18hSgUJ3VwClqi_qtULmmW3cLr0oe3OKaSYoKzdpTsYQ/edit?usp=sharing"",""นครนายก!J129"")+IMPORTRANGE(""https://docs.google.com/spreadsheets/d/1YTZo6WM2dQ6Ix6FSdnL"&amp;"5P7uVnVKu40sxZu975tgG10E/edit?usp=sharing"",""นครปฐม!J129"")+IMPORTRANGE(""https://docs.google.com/spreadsheets/d/1OYoGg4WDg5RIzwGeB10padOxJF9E_Vljuvvct_M7RDo/edit?usp=sharing"",""ปทุมธานี!J129"")+IMPORTRANGE(""https://docs.google.com/spreadsheets/d/1GbCI"&amp;"E4D4wk9FUozzqk7SxfDMxDVBwVmI5zcaVUSzKAc/edit?usp=sharing"",""ประจวบคีรีขันธ์!J129"")+IMPORTRANGE(""https://docs.google.com/spreadsheets/d/1vVf6wykvW_lAyu7Yo9L4hUTqHqIeP_qcVuxCtosJEbg/edit?usp=sharing"",""ปราจีนบุรี!J129"")+IMPORTRANGE(""https://docs.googl"&amp;"e.com/spreadsheets/d/1BIDqLLg5jk3v59G8NlR8rk5xfQDKne0sAvZHSj7TI6I/edit?usp=sharing"",""พระนครศรีอยุธยา!J129"")+IMPORTRANGE(""https://docs.google.com/spreadsheets/d/1YXvxf8Yu6_rV4hTBrwMqAcAnv6DfhUxh5emyM3CJp_w/edit?usp=sharing"",""เพชรบุรี!J129"")+IMPORTRA"&amp;"NGE(""https://docs.google.com/spreadsheets/d/19KBlQQs7uwvsao6t2n-KvW3Ax8J8uRRfZPq1zPbXgKc/edit?usp=sharing"",""ระยอง!J129"")+IMPORTRANGE(""https://docs.google.com/spreadsheets/d/1jQ6P4QcrGM89YfqcC_PxOHGCMq5ezhucwJd8ci-NHng/edit?usp=sharing"",""ราชบุรี!J12"&amp;"9"")+IMPORTRANGE(""https://docs.google.com/spreadsheets/d/1lufeA2cfFqM-elVq2hznhDzC6Pr7wkJ9ZG_sYNGCMCU/edit?usp=sharing"",""ลพบุรี!J129"")+IMPORTRANGE(""https://docs.google.com/spreadsheets/d/10oOiF7loTyfsTkbd4MpaIm0HQ9SwB7IYHdIUvt-U1Uc/edit?usp=sharing"""&amp;",""สระแก้ว!J129"")+IMPORTRANGE(""https://docs.google.com/spreadsheets/d/1xmPlrr1QbdSIKvl1dWUl9K4PjAfSL9oeMr_37QVzcxc/edit?usp=sharing"",""สระบุรี!J129"")+IMPORTRANGE(""https://docs.google.com/spreadsheets/d/1j51vR6CYVGhABJpv6tkstgok82RLpXieLzW1yOY5rHw/edi"&amp;"t?usp=sharing"",""สิงห์บุรี!J129"")+IMPORTRANGE(""https://docs.google.com/spreadsheets/d/1H1EalTWKUSzO4Z1-1CwzoDUaVffgrThEBe2sl74kKG0/edit?usp=sharing"",""สุพรรณบุรี!J129"")+IMPORTRANGE(""https://docs.google.com/spreadsheets/d/1BmIruG_sIrJLYao_Pdr7zVArWsf"&amp;"oBt2692TMi6x_854/edit?usp=sharing"",""อ่างทอง!J129"")"),80)</f>
        <v>80</v>
      </c>
      <c r="K130" s="74">
        <f t="shared" ca="1" si="104"/>
        <v>22.471910112359552</v>
      </c>
      <c r="L130" s="87"/>
      <c r="M130" s="87"/>
      <c r="N130" s="87"/>
      <c r="O130" s="87"/>
      <c r="P130" s="87"/>
      <c r="Q130" s="86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90"/>
      <c r="E131" s="290"/>
      <c r="F131" s="290"/>
      <c r="G131" s="282"/>
      <c r="H131" s="268" t="s">
        <v>54</v>
      </c>
      <c r="I131" s="293">
        <f ca="1">IFERROR(__xludf.DUMMYFUNCTION("IMPORTRANGE(""https://docs.google.com/spreadsheets/d/13wPX838HrBrQMCywv1BsuMkt4PEKTChp52zj44s2izQ/edit?usp=sharing"",""กาญจนบุรี!I130"")+IMPORTRANGE(""https://docs.google.com/spreadsheets/d/1ddFKvqj1W1NEiWytbGlB1zMx_ykJDVtmfEQ-6-lIUBA/edit?usp=sharing"","&amp;"""จันทบุรี!I130"")+IMPORTRANGE(""https://docs.google.com/spreadsheets/d/1T1PQvRODqOBZk8BRht_U031fIS1beLA0Ub2CEytj2q0/edit?usp=sharing"",""ฉะเชิงเทรา!I130"")+IMPORTRANGE(""https://docs.google.com/spreadsheets/d/11tr1B-Bhyr79v2bkwVh5h_fR-PStkgjlZtkrZpYurG0/"&amp;"edit?usp=sharing"",""ชลบุรี!I130"")+IMPORTRANGE(""https://docs.google.com/spreadsheets/d/1hh-FVnSX0vozXhGluamEcS54Dw9_zqW0N7qJUWgJ0Sw/edit?usp=sharing"",""ชัยนาท!I130"")+IMPORTRANGE(""https://docs.google.com/spreadsheets/d/1jkqa6GXxSacMcY1eN8AHjMNJ_7dDXMJ"&amp;"VRLDlaFSOdPM/edit?usp=sharing"",""ตราด!I130"")+IMPORTRANGE(""https://docs.google.com/spreadsheets/d/18hSgUJ3VwClqi_qtULmmW3cLr0oe3OKaSYoKzdpTsYQ/edit?usp=sharing"",""นครนายก!I130"")+IMPORTRANGE(""https://docs.google.com/spreadsheets/d/1YTZo6WM2dQ6Ix6FSdnL"&amp;"5P7uVnVKu40sxZu975tgG10E/edit?usp=sharing"",""นครปฐม!I130"")+IMPORTRANGE(""https://docs.google.com/spreadsheets/d/1OYoGg4WDg5RIzwGeB10padOxJF9E_Vljuvvct_M7RDo/edit?usp=sharing"",""ปทุมธานี!I130"")+IMPORTRANGE(""https://docs.google.com/spreadsheets/d/1GbCI"&amp;"E4D4wk9FUozzqk7SxfDMxDVBwVmI5zcaVUSzKAc/edit?usp=sharing"",""ประจวบคีรีขันธ์!I130"")+IMPORTRANGE(""https://docs.google.com/spreadsheets/d/1vVf6wykvW_lAyu7Yo9L4hUTqHqIeP_qcVuxCtosJEbg/edit?usp=sharing"",""ปราจีนบุรี!I130"")+IMPORTRANGE(""https://docs.googl"&amp;"e.com/spreadsheets/d/1BIDqLLg5jk3v59G8NlR8rk5xfQDKne0sAvZHSj7TI6I/edit?usp=sharing"",""พระนครศรีอยุธยา!I130"")+IMPORTRANGE(""https://docs.google.com/spreadsheets/d/1YXvxf8Yu6_rV4hTBrwMqAcAnv6DfhUxh5emyM3CJp_w/edit?usp=sharing"",""เพชรบุรี!I130"")+IMPORTRA"&amp;"NGE(""https://docs.google.com/spreadsheets/d/19KBlQQs7uwvsao6t2n-KvW3Ax8J8uRRfZPq1zPbXgKc/edit?usp=sharing"",""ระยอง!I130"")+IMPORTRANGE(""https://docs.google.com/spreadsheets/d/1jQ6P4QcrGM89YfqcC_PxOHGCMq5ezhucwJd8ci-NHng/edit?usp=sharing"",""ราชบุรี!I13"&amp;"0"")+IMPORTRANGE(""https://docs.google.com/spreadsheets/d/1lufeA2cfFqM-elVq2hznhDzC6Pr7wkJ9ZG_sYNGCMCU/edit?usp=sharing"",""ลพบุรี!I130"")+IMPORTRANGE(""https://docs.google.com/spreadsheets/d/10oOiF7loTyfsTkbd4MpaIm0HQ9SwB7IYHdIUvt-U1Uc/edit?usp=sharing"""&amp;",""สระแก้ว!I130"")+IMPORTRANGE(""https://docs.google.com/spreadsheets/d/1xmPlrr1QbdSIKvl1dWUl9K4PjAfSL9oeMr_37QVzcxc/edit?usp=sharing"",""สระบุรี!I130"")+IMPORTRANGE(""https://docs.google.com/spreadsheets/d/1j51vR6CYVGhABJpv6tkstgok82RLpXieLzW1yOY5rHw/edi"&amp;"t?usp=sharing"",""สิงห์บุรี!I130"")+IMPORTRANGE(""https://docs.google.com/spreadsheets/d/1H1EalTWKUSzO4Z1-1CwzoDUaVffgrThEBe2sl74kKG0/edit?usp=sharing"",""สุพรรณบุรี!I130"")+IMPORTRANGE(""https://docs.google.com/spreadsheets/d/1BmIruG_sIrJLYao_Pdr7zVArWsf"&amp;"oBt2692TMi6x_854/edit?usp=sharing"",""อ่างทอง!I130"")"),0)</f>
        <v>0</v>
      </c>
      <c r="J131" s="294">
        <f ca="1">IFERROR(__xludf.DUMMYFUNCTION("IMPORTRANGE(""https://docs.google.com/spreadsheets/d/13wPX838HrBrQMCywv1BsuMkt4PEKTChp52zj44s2izQ/edit?usp=sharing"",""กาญจนบุรี!J130"")+IMPORTRANGE(""https://docs.google.com/spreadsheets/d/1ddFKvqj1W1NEiWytbGlB1zMx_ykJDVtmfEQ-6-lIUBA/edit?usp=sharing"","&amp;"""จันทบุรี!J130"")+IMPORTRANGE(""https://docs.google.com/spreadsheets/d/1T1PQvRODqOBZk8BRht_U031fIS1beLA0Ub2CEytj2q0/edit?usp=sharing"",""ฉะเชิงเทรา!J130"")+IMPORTRANGE(""https://docs.google.com/spreadsheets/d/11tr1B-Bhyr79v2bkwVh5h_fR-PStkgjlZtkrZpYurG0/"&amp;"edit?usp=sharing"",""ชลบุรี!J130"")+IMPORTRANGE(""https://docs.google.com/spreadsheets/d/1hh-FVnSX0vozXhGluamEcS54Dw9_zqW0N7qJUWgJ0Sw/edit?usp=sharing"",""ชัยนาท!J130"")+IMPORTRANGE(""https://docs.google.com/spreadsheets/d/1jkqa6GXxSacMcY1eN8AHjMNJ_7dDXMJ"&amp;"VRLDlaFSOdPM/edit?usp=sharing"",""ตราด!J130"")+IMPORTRANGE(""https://docs.google.com/spreadsheets/d/18hSgUJ3VwClqi_qtULmmW3cLr0oe3OKaSYoKzdpTsYQ/edit?usp=sharing"",""นครนายก!J130"")+IMPORTRANGE(""https://docs.google.com/spreadsheets/d/1YTZo6WM2dQ6Ix6FSdnL"&amp;"5P7uVnVKu40sxZu975tgG10E/edit?usp=sharing"",""นครปฐม!J130"")+IMPORTRANGE(""https://docs.google.com/spreadsheets/d/1OYoGg4WDg5RIzwGeB10padOxJF9E_Vljuvvct_M7RDo/edit?usp=sharing"",""ปทุมธานี!J130"")+IMPORTRANGE(""https://docs.google.com/spreadsheets/d/1GbCI"&amp;"E4D4wk9FUozzqk7SxfDMxDVBwVmI5zcaVUSzKAc/edit?usp=sharing"",""ประจวบคีรีขันธ์!J130"")+IMPORTRANGE(""https://docs.google.com/spreadsheets/d/1vVf6wykvW_lAyu7Yo9L4hUTqHqIeP_qcVuxCtosJEbg/edit?usp=sharing"",""ปราจีนบุรี!J130"")+IMPORTRANGE(""https://docs.googl"&amp;"e.com/spreadsheets/d/1BIDqLLg5jk3v59G8NlR8rk5xfQDKne0sAvZHSj7TI6I/edit?usp=sharing"",""พระนครศรีอยุธยา!J130"")+IMPORTRANGE(""https://docs.google.com/spreadsheets/d/1YXvxf8Yu6_rV4hTBrwMqAcAnv6DfhUxh5emyM3CJp_w/edit?usp=sharing"",""เพชรบุรี!J130"")+IMPORTRA"&amp;"NGE(""https://docs.google.com/spreadsheets/d/19KBlQQs7uwvsao6t2n-KvW3Ax8J8uRRfZPq1zPbXgKc/edit?usp=sharing"",""ระยอง!J130"")+IMPORTRANGE(""https://docs.google.com/spreadsheets/d/1jQ6P4QcrGM89YfqcC_PxOHGCMq5ezhucwJd8ci-NHng/edit?usp=sharing"",""ราชบุรี!J13"&amp;"0"")+IMPORTRANGE(""https://docs.google.com/spreadsheets/d/1lufeA2cfFqM-elVq2hznhDzC6Pr7wkJ9ZG_sYNGCMCU/edit?usp=sharing"",""ลพบุรี!J130"")+IMPORTRANGE(""https://docs.google.com/spreadsheets/d/10oOiF7loTyfsTkbd4MpaIm0HQ9SwB7IYHdIUvt-U1Uc/edit?usp=sharing"""&amp;",""สระแก้ว!J130"")+IMPORTRANGE(""https://docs.google.com/spreadsheets/d/1xmPlrr1QbdSIKvl1dWUl9K4PjAfSL9oeMr_37QVzcxc/edit?usp=sharing"",""สระบุรี!J130"")+IMPORTRANGE(""https://docs.google.com/spreadsheets/d/1j51vR6CYVGhABJpv6tkstgok82RLpXieLzW1yOY5rHw/edi"&amp;"t?usp=sharing"",""สิงห์บุรี!J130"")+IMPORTRANGE(""https://docs.google.com/spreadsheets/d/1H1EalTWKUSzO4Z1-1CwzoDUaVffgrThEBe2sl74kKG0/edit?usp=sharing"",""สุพรรณบุรี!J130"")+IMPORTRANGE(""https://docs.google.com/spreadsheets/d/1BmIruG_sIrJLYao_Pdr7zVArWsf"&amp;"oBt2692TMi6x_854/edit?usp=sharing"",""อ่างทอง!J130"")"),2)</f>
        <v>2</v>
      </c>
      <c r="K131" s="74">
        <f t="shared" ca="1" si="104"/>
        <v>0</v>
      </c>
      <c r="L131" s="87"/>
      <c r="M131" s="87"/>
      <c r="N131" s="87"/>
      <c r="O131" s="87"/>
      <c r="P131" s="87"/>
      <c r="Q131" s="86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311" t="s">
        <v>56</v>
      </c>
      <c r="E132" s="290"/>
      <c r="F132" s="290"/>
      <c r="G132" s="282"/>
      <c r="H132" s="266" t="s">
        <v>35</v>
      </c>
      <c r="I132" s="263"/>
      <c r="J132" s="263"/>
      <c r="K132" s="87"/>
      <c r="L132" s="87"/>
      <c r="M132" s="87"/>
      <c r="N132" s="87"/>
      <c r="O132" s="87"/>
      <c r="P132" s="87"/>
      <c r="Q132" s="86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311" t="s">
        <v>57</v>
      </c>
      <c r="E133" s="290"/>
      <c r="F133" s="290"/>
      <c r="G133" s="282"/>
      <c r="H133" s="312"/>
      <c r="I133" s="263"/>
      <c r="J133" s="263"/>
      <c r="K133" s="87"/>
      <c r="L133" s="87"/>
      <c r="M133" s="87"/>
      <c r="N133" s="87"/>
      <c r="O133" s="87"/>
      <c r="P133" s="87"/>
      <c r="Q133" s="86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30"/>
      <c r="M134" s="30"/>
      <c r="N134" s="30"/>
      <c r="O134" s="30"/>
      <c r="P134" s="30"/>
      <c r="Q134" s="29"/>
      <c r="R134" s="30"/>
      <c r="S134" s="30"/>
      <c r="T134" s="30"/>
      <c r="U134" s="30"/>
    </row>
    <row r="135" spans="1:21" ht="19.5" x14ac:dyDescent="0.3">
      <c r="A135" s="193" t="s">
        <v>58</v>
      </c>
      <c r="B135" s="194"/>
      <c r="C135" s="314"/>
      <c r="D135" s="194"/>
      <c r="E135" s="194"/>
      <c r="F135" s="194"/>
      <c r="G135" s="194"/>
      <c r="H135" s="194"/>
      <c r="I135" s="315"/>
      <c r="J135" s="315"/>
      <c r="K135" s="316"/>
      <c r="L135" s="198"/>
      <c r="M135" s="198"/>
      <c r="N135" s="198"/>
      <c r="O135" s="198"/>
      <c r="P135" s="198"/>
      <c r="Q135" s="199"/>
      <c r="R135" s="200"/>
      <c r="S135" s="200"/>
      <c r="T135" s="200"/>
      <c r="U135" s="200"/>
    </row>
    <row r="136" spans="1:21" ht="19.5" x14ac:dyDescent="0.3">
      <c r="A136" s="201"/>
      <c r="B136" s="202" t="s">
        <v>59</v>
      </c>
      <c r="C136" s="317"/>
      <c r="D136" s="203"/>
      <c r="E136" s="49"/>
      <c r="F136" s="49"/>
      <c r="G136" s="49"/>
      <c r="H136" s="49"/>
      <c r="I136" s="54"/>
      <c r="J136" s="54"/>
      <c r="K136" s="55"/>
      <c r="L136" s="55"/>
      <c r="M136" s="55"/>
      <c r="N136" s="55"/>
      <c r="O136" s="55"/>
      <c r="P136" s="55"/>
      <c r="Q136" s="207"/>
      <c r="R136" s="208"/>
      <c r="S136" s="208"/>
      <c r="T136" s="208"/>
      <c r="U136" s="208"/>
    </row>
    <row r="137" spans="1:21" ht="19.5" x14ac:dyDescent="0.3">
      <c r="A137" s="201"/>
      <c r="B137" s="49"/>
      <c r="C137" s="318" t="s">
        <v>60</v>
      </c>
      <c r="D137" s="203"/>
      <c r="E137" s="49"/>
      <c r="F137" s="49"/>
      <c r="G137" s="52"/>
      <c r="H137" s="204" t="s">
        <v>61</v>
      </c>
      <c r="I137" s="205">
        <f t="shared" ref="I137:J137" ca="1" si="105">I155</f>
        <v>5</v>
      </c>
      <c r="J137" s="205">
        <f t="shared" ca="1" si="105"/>
        <v>0</v>
      </c>
      <c r="K137" s="206">
        <f t="shared" ref="K137:K139" ca="1" si="106">IF(I137&gt;0,J137*100/I137,0)</f>
        <v>0</v>
      </c>
      <c r="L137" s="55"/>
      <c r="M137" s="55"/>
      <c r="N137" s="55"/>
      <c r="O137" s="55"/>
      <c r="P137" s="55"/>
      <c r="Q137" s="207"/>
      <c r="R137" s="208"/>
      <c r="S137" s="208"/>
      <c r="T137" s="208"/>
      <c r="U137" s="208"/>
    </row>
    <row r="138" spans="1:21" ht="19.5" x14ac:dyDescent="0.3">
      <c r="A138" s="201"/>
      <c r="B138" s="49"/>
      <c r="C138" s="318" t="s">
        <v>62</v>
      </c>
      <c r="D138" s="203"/>
      <c r="E138" s="49"/>
      <c r="F138" s="49"/>
      <c r="G138" s="52"/>
      <c r="H138" s="204" t="s">
        <v>35</v>
      </c>
      <c r="I138" s="205">
        <f t="shared" ref="I138:J138" ca="1" si="107">I153</f>
        <v>180</v>
      </c>
      <c r="J138" s="205">
        <f t="shared" ca="1" si="107"/>
        <v>30</v>
      </c>
      <c r="K138" s="206">
        <f t="shared" ca="1" si="106"/>
        <v>16.666666666666668</v>
      </c>
      <c r="L138" s="55"/>
      <c r="M138" s="55"/>
      <c r="N138" s="55"/>
      <c r="O138" s="55"/>
      <c r="P138" s="55"/>
      <c r="Q138" s="207"/>
      <c r="R138" s="208"/>
      <c r="S138" s="208"/>
      <c r="T138" s="208"/>
      <c r="U138" s="208"/>
    </row>
    <row r="139" spans="1:21" ht="19.5" x14ac:dyDescent="0.3">
      <c r="A139" s="201"/>
      <c r="B139" s="49"/>
      <c r="C139" s="318"/>
      <c r="D139" s="203"/>
      <c r="E139" s="49"/>
      <c r="F139" s="49"/>
      <c r="G139" s="52"/>
      <c r="H139" s="319" t="s">
        <v>54</v>
      </c>
      <c r="I139" s="205">
        <f t="shared" ref="I139:J139" ca="1" si="108">I154</f>
        <v>18</v>
      </c>
      <c r="J139" s="205">
        <f t="shared" ca="1" si="108"/>
        <v>3</v>
      </c>
      <c r="K139" s="206">
        <f t="shared" ca="1" si="106"/>
        <v>16.666666666666668</v>
      </c>
      <c r="L139" s="55"/>
      <c r="M139" s="55"/>
      <c r="N139" s="55"/>
      <c r="O139" s="55"/>
      <c r="P139" s="55"/>
      <c r="Q139" s="207"/>
      <c r="R139" s="208"/>
      <c r="S139" s="208"/>
      <c r="T139" s="208"/>
      <c r="U139" s="208"/>
    </row>
    <row r="140" spans="1:21" ht="19.5" x14ac:dyDescent="0.3">
      <c r="A140" s="209"/>
      <c r="B140" s="67"/>
      <c r="C140" s="210" t="s">
        <v>18</v>
      </c>
      <c r="D140" s="211" t="s">
        <v>19</v>
      </c>
      <c r="E140" s="67"/>
      <c r="F140" s="67"/>
      <c r="G140" s="69"/>
      <c r="H140" s="212" t="s">
        <v>14</v>
      </c>
      <c r="I140" s="71"/>
      <c r="J140" s="71"/>
      <c r="K140" s="72"/>
      <c r="L140" s="213">
        <f t="shared" ref="L140:N140" ca="1" si="109">L141+L142</f>
        <v>791100</v>
      </c>
      <c r="M140" s="213">
        <f t="shared" ca="1" si="109"/>
        <v>756100</v>
      </c>
      <c r="N140" s="213">
        <f t="shared" ca="1" si="109"/>
        <v>247811.36</v>
      </c>
      <c r="O140" s="213">
        <f t="shared" ref="O140:O148" ca="1" si="110">IF(L140&gt;0,N140*100/L140,0)</f>
        <v>31.324909619517129</v>
      </c>
      <c r="P140" s="213">
        <f t="shared" ref="P140:P148" ca="1" si="111">IF(M140&gt;0,N140*100/M140,0)</f>
        <v>32.774945113080278</v>
      </c>
      <c r="Q140" s="214">
        <f t="shared" ref="Q140:S140" ca="1" si="112">Q141+Q142</f>
        <v>0</v>
      </c>
      <c r="R140" s="215">
        <f t="shared" ca="1" si="112"/>
        <v>0</v>
      </c>
      <c r="S140" s="215">
        <f t="shared" ca="1" si="112"/>
        <v>0</v>
      </c>
      <c r="T140" s="215">
        <f t="shared" ref="T140:T148" ca="1" si="113">IF(Q140&gt;0,S140*100/Q140,0)</f>
        <v>0</v>
      </c>
      <c r="U140" s="215">
        <f t="shared" ref="U140:U148" ca="1" si="114">IF(R140&gt;0,S140*100/R140,0)</f>
        <v>0</v>
      </c>
    </row>
    <row r="141" spans="1:21" ht="18.75" x14ac:dyDescent="0.25">
      <c r="A141" s="209"/>
      <c r="B141" s="67"/>
      <c r="C141" s="67"/>
      <c r="D141" s="67"/>
      <c r="E141" s="75" t="s">
        <v>20</v>
      </c>
      <c r="F141" s="67"/>
      <c r="G141" s="69"/>
      <c r="H141" s="216" t="s">
        <v>14</v>
      </c>
      <c r="I141" s="71"/>
      <c r="J141" s="71"/>
      <c r="K141" s="72"/>
      <c r="L141" s="88">
        <f t="shared" ref="L141:N141" ca="1" si="115">L144+L147</f>
        <v>0</v>
      </c>
      <c r="M141" s="88">
        <f t="shared" ca="1" si="115"/>
        <v>0</v>
      </c>
      <c r="N141" s="88">
        <f t="shared" ca="1" si="115"/>
        <v>0</v>
      </c>
      <c r="O141" s="88">
        <f t="shared" ca="1" si="110"/>
        <v>0</v>
      </c>
      <c r="P141" s="88">
        <f t="shared" ca="1" si="111"/>
        <v>0</v>
      </c>
      <c r="Q141" s="217">
        <f t="shared" ref="Q141:S141" ca="1" si="116">Q144+Q147</f>
        <v>0</v>
      </c>
      <c r="R141" s="133">
        <f t="shared" ca="1" si="116"/>
        <v>0</v>
      </c>
      <c r="S141" s="133">
        <f t="shared" ca="1" si="116"/>
        <v>0</v>
      </c>
      <c r="T141" s="133">
        <f t="shared" ca="1" si="113"/>
        <v>0</v>
      </c>
      <c r="U141" s="133">
        <f t="shared" ca="1" si="114"/>
        <v>0</v>
      </c>
    </row>
    <row r="142" spans="1:21" ht="18.75" x14ac:dyDescent="0.25">
      <c r="A142" s="209"/>
      <c r="B142" s="67"/>
      <c r="C142" s="67"/>
      <c r="D142" s="67"/>
      <c r="E142" s="75" t="s">
        <v>21</v>
      </c>
      <c r="F142" s="67"/>
      <c r="G142" s="69"/>
      <c r="H142" s="216" t="s">
        <v>14</v>
      </c>
      <c r="I142" s="71"/>
      <c r="J142" s="71"/>
      <c r="K142" s="72"/>
      <c r="L142" s="88">
        <f t="shared" ref="L142:N142" ca="1" si="117">L145+L148</f>
        <v>791100</v>
      </c>
      <c r="M142" s="88">
        <f t="shared" ca="1" si="117"/>
        <v>756100</v>
      </c>
      <c r="N142" s="88">
        <f t="shared" ca="1" si="117"/>
        <v>247811.36</v>
      </c>
      <c r="O142" s="88">
        <f t="shared" ca="1" si="110"/>
        <v>31.324909619517129</v>
      </c>
      <c r="P142" s="88">
        <f t="shared" ca="1" si="111"/>
        <v>32.774945113080278</v>
      </c>
      <c r="Q142" s="131">
        <f t="shared" ref="Q142:S142" ca="1" si="118">Q145+Q148</f>
        <v>0</v>
      </c>
      <c r="R142" s="132">
        <f t="shared" ca="1" si="118"/>
        <v>0</v>
      </c>
      <c r="S142" s="132">
        <f t="shared" ca="1" si="118"/>
        <v>0</v>
      </c>
      <c r="T142" s="132">
        <f t="shared" ca="1" si="113"/>
        <v>0</v>
      </c>
      <c r="U142" s="132">
        <f t="shared" ca="1" si="114"/>
        <v>0</v>
      </c>
    </row>
    <row r="143" spans="1:21" ht="18.75" x14ac:dyDescent="0.25">
      <c r="A143" s="209"/>
      <c r="B143" s="67"/>
      <c r="C143" s="67"/>
      <c r="D143" s="68" t="s">
        <v>22</v>
      </c>
      <c r="E143" s="67"/>
      <c r="F143" s="67"/>
      <c r="G143" s="69"/>
      <c r="H143" s="218" t="s">
        <v>14</v>
      </c>
      <c r="I143" s="219"/>
      <c r="J143" s="219"/>
      <c r="K143" s="220"/>
      <c r="L143" s="88">
        <f t="shared" ref="L143:N143" ca="1" si="119">L144+L145</f>
        <v>791100</v>
      </c>
      <c r="M143" s="88">
        <f t="shared" ca="1" si="119"/>
        <v>756100</v>
      </c>
      <c r="N143" s="88">
        <f t="shared" ca="1" si="119"/>
        <v>247811.36</v>
      </c>
      <c r="O143" s="88">
        <f t="shared" ca="1" si="110"/>
        <v>31.324909619517129</v>
      </c>
      <c r="P143" s="88">
        <f t="shared" ca="1" si="111"/>
        <v>32.774945113080278</v>
      </c>
      <c r="Q143" s="131">
        <f t="shared" ref="Q143:S143" ca="1" si="120">Q144+Q145</f>
        <v>0</v>
      </c>
      <c r="R143" s="132">
        <f t="shared" ca="1" si="120"/>
        <v>0</v>
      </c>
      <c r="S143" s="132">
        <f t="shared" ca="1" si="120"/>
        <v>0</v>
      </c>
      <c r="T143" s="132">
        <f t="shared" ca="1" si="113"/>
        <v>0</v>
      </c>
      <c r="U143" s="132">
        <f t="shared" ca="1" si="114"/>
        <v>0</v>
      </c>
    </row>
    <row r="144" spans="1:21" ht="18.75" x14ac:dyDescent="0.25">
      <c r="A144" s="209"/>
      <c r="B144" s="67"/>
      <c r="C144" s="67"/>
      <c r="D144" s="67"/>
      <c r="E144" s="75" t="s">
        <v>36</v>
      </c>
      <c r="F144" s="67"/>
      <c r="G144" s="69"/>
      <c r="H144" s="218" t="s">
        <v>14</v>
      </c>
      <c r="I144" s="219"/>
      <c r="J144" s="219"/>
      <c r="K144" s="220"/>
      <c r="L144" s="88">
        <f ca="1">IFERROR(__xludf.DUMMYFUNCTION("IMPORTRANGE(""https://docs.google.com/spreadsheets/d/13wPX838HrBrQMCywv1BsuMkt4PEKTChp52zj44s2izQ/edit?usp=sharing"",""กาญจนบุรี!L143"")+IMPORTRANGE(""https://docs.google.com/spreadsheets/d/1ddFKvqj1W1NEiWytbGlB1zMx_ykJDVtmfEQ-6-lIUBA/edit?usp=sharing"","&amp;"""จันทบุรี!L143"")+IMPORTRANGE(""https://docs.google.com/spreadsheets/d/1T1PQvRODqOBZk8BRht_U031fIS1beLA0Ub2CEytj2q0/edit?usp=sharing"",""ฉะเชิงเทรา!L143"")+IMPORTRANGE(""https://docs.google.com/spreadsheets/d/11tr1B-Bhyr79v2bkwVh5h_fR-PStkgjlZtkrZpYurG0/"&amp;"edit?usp=sharing"",""ชลบุรี!L143"")+IMPORTRANGE(""https://docs.google.com/spreadsheets/d/1hh-FVnSX0vozXhGluamEcS54Dw9_zqW0N7qJUWgJ0Sw/edit?usp=sharing"",""ชัยนาท!L143"")+IMPORTRANGE(""https://docs.google.com/spreadsheets/d/1jkqa6GXxSacMcY1eN8AHjMNJ_7dDXMJ"&amp;"VRLDlaFSOdPM/edit?usp=sharing"",""ตราด!L143"")+IMPORTRANGE(""https://docs.google.com/spreadsheets/d/18hSgUJ3VwClqi_qtULmmW3cLr0oe3OKaSYoKzdpTsYQ/edit?usp=sharing"",""นครนายก!L143"")+IMPORTRANGE(""https://docs.google.com/spreadsheets/d/1YTZo6WM2dQ6Ix6FSdnL"&amp;"5P7uVnVKu40sxZu975tgG10E/edit?usp=sharing"",""นครปฐม!L143"")+IMPORTRANGE(""https://docs.google.com/spreadsheets/d/1OYoGg4WDg5RIzwGeB10padOxJF9E_Vljuvvct_M7RDo/edit?usp=sharing"",""ปทุมธานี!L143"")+IMPORTRANGE(""https://docs.google.com/spreadsheets/d/1GbCI"&amp;"E4D4wk9FUozzqk7SxfDMxDVBwVmI5zcaVUSzKAc/edit?usp=sharing"",""ประจวบคีรีขันธ์!L143"")+IMPORTRANGE(""https://docs.google.com/spreadsheets/d/1vVf6wykvW_lAyu7Yo9L4hUTqHqIeP_qcVuxCtosJEbg/edit?usp=sharing"",""ปราจีนบุรี!L143"")+IMPORTRANGE(""https://docs.googl"&amp;"e.com/spreadsheets/d/1BIDqLLg5jk3v59G8NlR8rk5xfQDKne0sAvZHSj7TI6I/edit?usp=sharing"",""พระนครศรีอยุธยา!L143"")+IMPORTRANGE(""https://docs.google.com/spreadsheets/d/1YXvxf8Yu6_rV4hTBrwMqAcAnv6DfhUxh5emyM3CJp_w/edit?usp=sharing"",""เพชรบุรี!L143"")+IMPORTRA"&amp;"NGE(""https://docs.google.com/spreadsheets/d/19KBlQQs7uwvsao6t2n-KvW3Ax8J8uRRfZPq1zPbXgKc/edit?usp=sharing"",""ระยอง!L143"")+IMPORTRANGE(""https://docs.google.com/spreadsheets/d/1jQ6P4QcrGM89YfqcC_PxOHGCMq5ezhucwJd8ci-NHng/edit?usp=sharing"",""ราชบุรี!L14"&amp;"3"")+IMPORTRANGE(""https://docs.google.com/spreadsheets/d/1lufeA2cfFqM-elVq2hznhDzC6Pr7wkJ9ZG_sYNGCMCU/edit?usp=sharing"",""ลพบุรี!L143"")+IMPORTRANGE(""https://docs.google.com/spreadsheets/d/10oOiF7loTyfsTkbd4MpaIm0HQ9SwB7IYHdIUvt-U1Uc/edit?usp=sharing"""&amp;",""สระแก้ว!L143"")+IMPORTRANGE(""https://docs.google.com/spreadsheets/d/1xmPlrr1QbdSIKvl1dWUl9K4PjAfSL9oeMr_37QVzcxc/edit?usp=sharing"",""สระบุรี!L143"")+IMPORTRANGE(""https://docs.google.com/spreadsheets/d/1j51vR6CYVGhABJpv6tkstgok82RLpXieLzW1yOY5rHw/edi"&amp;"t?usp=sharing"",""สิงห์บุรี!L143"")+IMPORTRANGE(""https://docs.google.com/spreadsheets/d/1H1EalTWKUSzO4Z1-1CwzoDUaVffgrThEBe2sl74kKG0/edit?usp=sharing"",""สุพรรณบุรี!L143"")+IMPORTRANGE(""https://docs.google.com/spreadsheets/d/1BmIruG_sIrJLYao_Pdr7zVArWsf"&amp;"oBt2692TMi6x_854/edit?usp=sharing"",""อ่างทอง!L143"")"),0)</f>
        <v>0</v>
      </c>
      <c r="M144" s="88">
        <f ca="1">IFERROR(__xludf.DUMMYFUNCTION("IMPORTRANGE(""https://docs.google.com/spreadsheets/d/13wPX838HrBrQMCywv1BsuMkt4PEKTChp52zj44s2izQ/edit?usp=sharing"",""กาญจนบุรี!M143"")+IMPORTRANGE(""https://docs.google.com/spreadsheets/d/1ddFKvqj1W1NEiWytbGlB1zMx_ykJDVtmfEQ-6-lIUBA/edit?usp=sharing"","&amp;"""จันทบุรี!M143"")+IMPORTRANGE(""https://docs.google.com/spreadsheets/d/1T1PQvRODqOBZk8BRht_U031fIS1beLA0Ub2CEytj2q0/edit?usp=sharing"",""ฉะเชิงเทรา!M143"")+IMPORTRANGE(""https://docs.google.com/spreadsheets/d/11tr1B-Bhyr79v2bkwVh5h_fR-PStkgjlZtkrZpYurG0/"&amp;"edit?usp=sharing"",""ชลบุรี!M143"")+IMPORTRANGE(""https://docs.google.com/spreadsheets/d/1hh-FVnSX0vozXhGluamEcS54Dw9_zqW0N7qJUWgJ0Sw/edit?usp=sharing"",""ชัยนาท!M143"")+IMPORTRANGE(""https://docs.google.com/spreadsheets/d/1jkqa6GXxSacMcY1eN8AHjMNJ_7dDXMJ"&amp;"VRLDlaFSOdPM/edit?usp=sharing"",""ตราด!M143"")+IMPORTRANGE(""https://docs.google.com/spreadsheets/d/18hSgUJ3VwClqi_qtULmmW3cLr0oe3OKaSYoKzdpTsYQ/edit?usp=sharing"",""นครนายก!M143"")+IMPORTRANGE(""https://docs.google.com/spreadsheets/d/1YTZo6WM2dQ6Ix6FSdnL"&amp;"5P7uVnVKu40sxZu975tgG10E/edit?usp=sharing"",""นครปฐม!M143"")+IMPORTRANGE(""https://docs.google.com/spreadsheets/d/1OYoGg4WDg5RIzwGeB10padOxJF9E_Vljuvvct_M7RDo/edit?usp=sharing"",""ปทุมธานี!M143"")+IMPORTRANGE(""https://docs.google.com/spreadsheets/d/1GbCI"&amp;"E4D4wk9FUozzqk7SxfDMxDVBwVmI5zcaVUSzKAc/edit?usp=sharing"",""ประจวบคีรีขันธ์!M143"")+IMPORTRANGE(""https://docs.google.com/spreadsheets/d/1vVf6wykvW_lAyu7Yo9L4hUTqHqIeP_qcVuxCtosJEbg/edit?usp=sharing"",""ปราจีนบุรี!M143"")+IMPORTRANGE(""https://docs.googl"&amp;"e.com/spreadsheets/d/1BIDqLLg5jk3v59G8NlR8rk5xfQDKne0sAvZHSj7TI6I/edit?usp=sharing"",""พระนครศรีอยุธยา!M143"")+IMPORTRANGE(""https://docs.google.com/spreadsheets/d/1YXvxf8Yu6_rV4hTBrwMqAcAnv6DfhUxh5emyM3CJp_w/edit?usp=sharing"",""เพชรบุรี!M143"")+IMPORTRA"&amp;"NGE(""https://docs.google.com/spreadsheets/d/19KBlQQs7uwvsao6t2n-KvW3Ax8J8uRRfZPq1zPbXgKc/edit?usp=sharing"",""ระยอง!M143"")+IMPORTRANGE(""https://docs.google.com/spreadsheets/d/1jQ6P4QcrGM89YfqcC_PxOHGCMq5ezhucwJd8ci-NHng/edit?usp=sharing"",""ราชบุรี!M14"&amp;"3"")+IMPORTRANGE(""https://docs.google.com/spreadsheets/d/1lufeA2cfFqM-elVq2hznhDzC6Pr7wkJ9ZG_sYNGCMCU/edit?usp=sharing"",""ลพบุรี!M143"")+IMPORTRANGE(""https://docs.google.com/spreadsheets/d/10oOiF7loTyfsTkbd4MpaIm0HQ9SwB7IYHdIUvt-U1Uc/edit?usp=sharing"""&amp;",""สระแก้ว!M143"")+IMPORTRANGE(""https://docs.google.com/spreadsheets/d/1xmPlrr1QbdSIKvl1dWUl9K4PjAfSL9oeMr_37QVzcxc/edit?usp=sharing"",""สระบุรี!M143"")+IMPORTRANGE(""https://docs.google.com/spreadsheets/d/1j51vR6CYVGhABJpv6tkstgok82RLpXieLzW1yOY5rHw/edi"&amp;"t?usp=sharing"",""สิงห์บุรี!M143"")+IMPORTRANGE(""https://docs.google.com/spreadsheets/d/1H1EalTWKUSzO4Z1-1CwzoDUaVffgrThEBe2sl74kKG0/edit?usp=sharing"",""สุพรรณบุรี!M143"")+IMPORTRANGE(""https://docs.google.com/spreadsheets/d/1BmIruG_sIrJLYao_Pdr7zVArWsf"&amp;"oBt2692TMi6x_854/edit?usp=sharing"",""อ่างทอง!M143"")"),0)</f>
        <v>0</v>
      </c>
      <c r="N144" s="88">
        <f ca="1">IFERROR(__xludf.DUMMYFUNCTION("IMPORTRANGE(""https://docs.google.com/spreadsheets/d/13wPX838HrBrQMCywv1BsuMkt4PEKTChp52zj44s2izQ/edit?usp=sharing"",""กาญจนบุรี!N143"")+IMPORTRANGE(""https://docs.google.com/spreadsheets/d/1ddFKvqj1W1NEiWytbGlB1zMx_ykJDVtmfEQ-6-lIUBA/edit?usp=sharing"","&amp;"""จันทบุรี!N143"")+IMPORTRANGE(""https://docs.google.com/spreadsheets/d/1T1PQvRODqOBZk8BRht_U031fIS1beLA0Ub2CEytj2q0/edit?usp=sharing"",""ฉะเชิงเทรา!N143"")+IMPORTRANGE(""https://docs.google.com/spreadsheets/d/11tr1B-Bhyr79v2bkwVh5h_fR-PStkgjlZtkrZpYurG0/"&amp;"edit?usp=sharing"",""ชลบุรี!N143"")+IMPORTRANGE(""https://docs.google.com/spreadsheets/d/1hh-FVnSX0vozXhGluamEcS54Dw9_zqW0N7qJUWgJ0Sw/edit?usp=sharing"",""ชัยนาท!N143"")+IMPORTRANGE(""https://docs.google.com/spreadsheets/d/1jkqa6GXxSacMcY1eN8AHjMNJ_7dDXMJ"&amp;"VRLDlaFSOdPM/edit?usp=sharing"",""ตราด!N143"")+IMPORTRANGE(""https://docs.google.com/spreadsheets/d/18hSgUJ3VwClqi_qtULmmW3cLr0oe3OKaSYoKzdpTsYQ/edit?usp=sharing"",""นครนายก!N143"")+IMPORTRANGE(""https://docs.google.com/spreadsheets/d/1YTZo6WM2dQ6Ix6FSdnL"&amp;"5P7uVnVKu40sxZu975tgG10E/edit?usp=sharing"",""นครปฐม!N143"")+IMPORTRANGE(""https://docs.google.com/spreadsheets/d/1OYoGg4WDg5RIzwGeB10padOxJF9E_Vljuvvct_M7RDo/edit?usp=sharing"",""ปทุมธานี!N143"")+IMPORTRANGE(""https://docs.google.com/spreadsheets/d/1GbCI"&amp;"E4D4wk9FUozzqk7SxfDMxDVBwVmI5zcaVUSzKAc/edit?usp=sharing"",""ประจวบคีรีขันธ์!N143"")+IMPORTRANGE(""https://docs.google.com/spreadsheets/d/1vVf6wykvW_lAyu7Yo9L4hUTqHqIeP_qcVuxCtosJEbg/edit?usp=sharing"",""ปราจีนบุรี!N143"")+IMPORTRANGE(""https://docs.googl"&amp;"e.com/spreadsheets/d/1BIDqLLg5jk3v59G8NlR8rk5xfQDKne0sAvZHSj7TI6I/edit?usp=sharing"",""พระนครศรีอยุธยา!N143"")+IMPORTRANGE(""https://docs.google.com/spreadsheets/d/1YXvxf8Yu6_rV4hTBrwMqAcAnv6DfhUxh5emyM3CJp_w/edit?usp=sharing"",""เพชรบุรี!N143"")+IMPORTRA"&amp;"NGE(""https://docs.google.com/spreadsheets/d/19KBlQQs7uwvsao6t2n-KvW3Ax8J8uRRfZPq1zPbXgKc/edit?usp=sharing"",""ระยอง!N143"")+IMPORTRANGE(""https://docs.google.com/spreadsheets/d/1jQ6P4QcrGM89YfqcC_PxOHGCMq5ezhucwJd8ci-NHng/edit?usp=sharing"",""ราชบุรี!N14"&amp;"3"")+IMPORTRANGE(""https://docs.google.com/spreadsheets/d/1lufeA2cfFqM-elVq2hznhDzC6Pr7wkJ9ZG_sYNGCMCU/edit?usp=sharing"",""ลพบุรี!N143"")+IMPORTRANGE(""https://docs.google.com/spreadsheets/d/10oOiF7loTyfsTkbd4MpaIm0HQ9SwB7IYHdIUvt-U1Uc/edit?usp=sharing"""&amp;",""สระแก้ว!N143"")+IMPORTRANGE(""https://docs.google.com/spreadsheets/d/1xmPlrr1QbdSIKvl1dWUl9K4PjAfSL9oeMr_37QVzcxc/edit?usp=sharing"",""สระบุรี!N143"")+IMPORTRANGE(""https://docs.google.com/spreadsheets/d/1j51vR6CYVGhABJpv6tkstgok82RLpXieLzW1yOY5rHw/edi"&amp;"t?usp=sharing"",""สิงห์บุรี!N143"")+IMPORTRANGE(""https://docs.google.com/spreadsheets/d/1H1EalTWKUSzO4Z1-1CwzoDUaVffgrThEBe2sl74kKG0/edit?usp=sharing"",""สุพรรณบุรี!N143"")+IMPORTRANGE(""https://docs.google.com/spreadsheets/d/1BmIruG_sIrJLYao_Pdr7zVArWsf"&amp;"oBt2692TMi6x_854/edit?usp=sharing"",""อ่างทอง!N143"")"),0)</f>
        <v>0</v>
      </c>
      <c r="O144" s="88">
        <f t="shared" ca="1" si="110"/>
        <v>0</v>
      </c>
      <c r="P144" s="88">
        <f t="shared" ca="1" si="111"/>
        <v>0</v>
      </c>
      <c r="Q144" s="76">
        <f ca="1">IFERROR(__xludf.DUMMYFUNCTION("IMPORTRANGE(""https://docs.google.com/spreadsheets/d/13wPX838HrBrQMCywv1BsuMkt4PEKTChp52zj44s2izQ/edit?usp=sharing"",""กาญจนบุรี!Q143"")+IMPORTRANGE(""https://docs.google.com/spreadsheets/d/1ddFKvqj1W1NEiWytbGlB1zMx_ykJDVtmfEQ-6-lIUBA/edit?usp=sharing"","&amp;"""จันทบุรี!Q143"")+IMPORTRANGE(""https://docs.google.com/spreadsheets/d/1T1PQvRODqOBZk8BRht_U031fIS1beLA0Ub2CEytj2q0/edit?usp=sharing"",""ฉะเชิงเทรา!Q143"")+IMPORTRANGE(""https://docs.google.com/spreadsheets/d/11tr1B-Bhyr79v2bkwVh5h_fR-PStkgjlZtkrZpYurG0/"&amp;"edit?usp=sharing"",""ชลบุรี!Q143"")+IMPORTRANGE(""https://docs.google.com/spreadsheets/d/1hh-FVnSX0vozXhGluamEcS54Dw9_zqW0N7qJUWgJ0Sw/edit?usp=sharing"",""ชัยนาท!Q143"")+IMPORTRANGE(""https://docs.google.com/spreadsheets/d/1jkqa6GXxSacMcY1eN8AHjMNJ_7dDXMJ"&amp;"VRLDlaFSOdPM/edit?usp=sharing"",""ตราด!Q143"")+IMPORTRANGE(""https://docs.google.com/spreadsheets/d/18hSgUJ3VwClqi_qtULmmW3cLr0oe3OKaSYoKzdpTsYQ/edit?usp=sharing"",""นครนายก!Q143"")+IMPORTRANGE(""https://docs.google.com/spreadsheets/d/1YTZo6WM2dQ6Ix6FSdnL"&amp;"5P7uVnVKu40sxZu975tgG10E/edit?usp=sharing"",""นครปฐม!Q143"")+IMPORTRANGE(""https://docs.google.com/spreadsheets/d/1OYoGg4WDg5RIzwGeB10padOxJF9E_Vljuvvct_M7RDo/edit?usp=sharing"",""ปทุมธานี!Q143"")+IMPORTRANGE(""https://docs.google.com/spreadsheets/d/1GbCI"&amp;"E4D4wk9FUozzqk7SxfDMxDVBwVmI5zcaVUSzKAc/edit?usp=sharing"",""ประจวบคีรีขันธ์!Q143"")+IMPORTRANGE(""https://docs.google.com/spreadsheets/d/1vVf6wykvW_lAyu7Yo9L4hUTqHqIeP_qcVuxCtosJEbg/edit?usp=sharing"",""ปราจีนบุรี!Q143"")+IMPORTRANGE(""https://docs.googl"&amp;"e.com/spreadsheets/d/1BIDqLLg5jk3v59G8NlR8rk5xfQDKne0sAvZHSj7TI6I/edit?usp=sharing"",""พระนครศรีอยุธยา!Q143"")+IMPORTRANGE(""https://docs.google.com/spreadsheets/d/1YXvxf8Yu6_rV4hTBrwMqAcAnv6DfhUxh5emyM3CJp_w/edit?usp=sharing"",""เพชรบุรี!Q143"")+IMPORTRA"&amp;"NGE(""https://docs.google.com/spreadsheets/d/19KBlQQs7uwvsao6t2n-KvW3Ax8J8uRRfZPq1zPbXgKc/edit?usp=sharing"",""ระยอง!Q143"")+IMPORTRANGE(""https://docs.google.com/spreadsheets/d/1jQ6P4QcrGM89YfqcC_PxOHGCMq5ezhucwJd8ci-NHng/edit?usp=sharing"",""ราชบุรี!Q14"&amp;"3"")+IMPORTRANGE(""https://docs.google.com/spreadsheets/d/1lufeA2cfFqM-elVq2hznhDzC6Pr7wkJ9ZG_sYNGCMCU/edit?usp=sharing"",""ลพบุรี!Q143"")+IMPORTRANGE(""https://docs.google.com/spreadsheets/d/10oOiF7loTyfsTkbd4MpaIm0HQ9SwB7IYHdIUvt-U1Uc/edit?usp=sharing"""&amp;",""สระแก้ว!Q143"")+IMPORTRANGE(""https://docs.google.com/spreadsheets/d/1xmPlrr1QbdSIKvl1dWUl9K4PjAfSL9oeMr_37QVzcxc/edit?usp=sharing"",""สระบุรี!Q143"")+IMPORTRANGE(""https://docs.google.com/spreadsheets/d/1j51vR6CYVGhABJpv6tkstgok82RLpXieLzW1yOY5rHw/edi"&amp;"t?usp=sharing"",""สิงห์บุรี!Q143"")+IMPORTRANGE(""https://docs.google.com/spreadsheets/d/1H1EalTWKUSzO4Z1-1CwzoDUaVffgrThEBe2sl74kKG0/edit?usp=sharing"",""สุพรรณบุรี!Q143"")+IMPORTRANGE(""https://docs.google.com/spreadsheets/d/1BmIruG_sIrJLYao_Pdr7zVArWsf"&amp;"oBt2692TMi6x_854/edit?usp=sharing"",""อ่างทอง!Q143"")"),0)</f>
        <v>0</v>
      </c>
      <c r="R144" s="77">
        <f ca="1">IFERROR(__xludf.DUMMYFUNCTION("IMPORTRANGE(""https://docs.google.com/spreadsheets/d/13wPX838HrBrQMCywv1BsuMkt4PEKTChp52zj44s2izQ/edit?usp=sharing"",""กาญจนบุรี!R143"")+IMPORTRANGE(""https://docs.google.com/spreadsheets/d/1ddFKvqj1W1NEiWytbGlB1zMx_ykJDVtmfEQ-6-lIUBA/edit?usp=sharing"","&amp;"""จันทบุรี!R143"")+IMPORTRANGE(""https://docs.google.com/spreadsheets/d/1T1PQvRODqOBZk8BRht_U031fIS1beLA0Ub2CEytj2q0/edit?usp=sharing"",""ฉะเชิงเทรา!R143"")+IMPORTRANGE(""https://docs.google.com/spreadsheets/d/11tr1B-Bhyr79v2bkwVh5h_fR-PStkgjlZtkrZpYurG0/"&amp;"edit?usp=sharing"",""ชลบุรี!R143"")+IMPORTRANGE(""https://docs.google.com/spreadsheets/d/1hh-FVnSX0vozXhGluamEcS54Dw9_zqW0N7qJUWgJ0Sw/edit?usp=sharing"",""ชัยนาท!R143"")+IMPORTRANGE(""https://docs.google.com/spreadsheets/d/1jkqa6GXxSacMcY1eN8AHjMNJ_7dDXMJ"&amp;"VRLDlaFSOdPM/edit?usp=sharing"",""ตราด!R143"")+IMPORTRANGE(""https://docs.google.com/spreadsheets/d/18hSgUJ3VwClqi_qtULmmW3cLr0oe3OKaSYoKzdpTsYQ/edit?usp=sharing"",""นครนายก!R143"")+IMPORTRANGE(""https://docs.google.com/spreadsheets/d/1YTZo6WM2dQ6Ix6FSdnL"&amp;"5P7uVnVKu40sxZu975tgG10E/edit?usp=sharing"",""นครปฐม!R143"")+IMPORTRANGE(""https://docs.google.com/spreadsheets/d/1OYoGg4WDg5RIzwGeB10padOxJF9E_Vljuvvct_M7RDo/edit?usp=sharing"",""ปทุมธานี!R143"")+IMPORTRANGE(""https://docs.google.com/spreadsheets/d/1GbCI"&amp;"E4D4wk9FUozzqk7SxfDMxDVBwVmI5zcaVUSzKAc/edit?usp=sharing"",""ประจวบคีรีขันธ์!R143"")+IMPORTRANGE(""https://docs.google.com/spreadsheets/d/1vVf6wykvW_lAyu7Yo9L4hUTqHqIeP_qcVuxCtosJEbg/edit?usp=sharing"",""ปราจีนบุรี!R143"")+IMPORTRANGE(""https://docs.googl"&amp;"e.com/spreadsheets/d/1BIDqLLg5jk3v59G8NlR8rk5xfQDKne0sAvZHSj7TI6I/edit?usp=sharing"",""พระนครศรีอยุธยา!R143"")+IMPORTRANGE(""https://docs.google.com/spreadsheets/d/1YXvxf8Yu6_rV4hTBrwMqAcAnv6DfhUxh5emyM3CJp_w/edit?usp=sharing"",""เพชรบุรี!R143"")+IMPORTRA"&amp;"NGE(""https://docs.google.com/spreadsheets/d/19KBlQQs7uwvsao6t2n-KvW3Ax8J8uRRfZPq1zPbXgKc/edit?usp=sharing"",""ระยอง!R143"")+IMPORTRANGE(""https://docs.google.com/spreadsheets/d/1jQ6P4QcrGM89YfqcC_PxOHGCMq5ezhucwJd8ci-NHng/edit?usp=sharing"",""ราชบุรี!R14"&amp;"3"")+IMPORTRANGE(""https://docs.google.com/spreadsheets/d/1lufeA2cfFqM-elVq2hznhDzC6Pr7wkJ9ZG_sYNGCMCU/edit?usp=sharing"",""ลพบุรี!R143"")+IMPORTRANGE(""https://docs.google.com/spreadsheets/d/10oOiF7loTyfsTkbd4MpaIm0HQ9SwB7IYHdIUvt-U1Uc/edit?usp=sharing"""&amp;",""สระแก้ว!R143"")+IMPORTRANGE(""https://docs.google.com/spreadsheets/d/1xmPlrr1QbdSIKvl1dWUl9K4PjAfSL9oeMr_37QVzcxc/edit?usp=sharing"",""สระบุรี!R143"")+IMPORTRANGE(""https://docs.google.com/spreadsheets/d/1j51vR6CYVGhABJpv6tkstgok82RLpXieLzW1yOY5rHw/edi"&amp;"t?usp=sharing"",""สิงห์บุรี!R143"")+IMPORTRANGE(""https://docs.google.com/spreadsheets/d/1H1EalTWKUSzO4Z1-1CwzoDUaVffgrThEBe2sl74kKG0/edit?usp=sharing"",""สุพรรณบุรี!R143"")+IMPORTRANGE(""https://docs.google.com/spreadsheets/d/1BmIruG_sIrJLYao_Pdr7zVArWsf"&amp;"oBt2692TMi6x_854/edit?usp=sharing"",""อ่างทอง!R143"")"),0)</f>
        <v>0</v>
      </c>
      <c r="S144" s="77">
        <f ca="1">IFERROR(__xludf.DUMMYFUNCTION("IMPORTRANGE(""https://docs.google.com/spreadsheets/d/13wPX838HrBrQMCywv1BsuMkt4PEKTChp52zj44s2izQ/edit?usp=sharing"",""กาญจนบุรี!S143"")+IMPORTRANGE(""https://docs.google.com/spreadsheets/d/1ddFKvqj1W1NEiWytbGlB1zMx_ykJDVtmfEQ-6-lIUBA/edit?usp=sharing"","&amp;"""จันทบุรี!S143"")+IMPORTRANGE(""https://docs.google.com/spreadsheets/d/1T1PQvRODqOBZk8BRht_U031fIS1beLA0Ub2CEytj2q0/edit?usp=sharing"",""ฉะเชิงเทรา!S143"")+IMPORTRANGE(""https://docs.google.com/spreadsheets/d/11tr1B-Bhyr79v2bkwVh5h_fR-PStkgjlZtkrZpYurG0/"&amp;"edit?usp=sharing"",""ชลบุรี!S143"")+IMPORTRANGE(""https://docs.google.com/spreadsheets/d/1hh-FVnSX0vozXhGluamEcS54Dw9_zqW0N7qJUWgJ0Sw/edit?usp=sharing"",""ชัยนาท!S143"")+IMPORTRANGE(""https://docs.google.com/spreadsheets/d/1jkqa6GXxSacMcY1eN8AHjMNJ_7dDXMJ"&amp;"VRLDlaFSOdPM/edit?usp=sharing"",""ตราด!S143"")+IMPORTRANGE(""https://docs.google.com/spreadsheets/d/18hSgUJ3VwClqi_qtULmmW3cLr0oe3OKaSYoKzdpTsYQ/edit?usp=sharing"",""นครนายก!S143"")+IMPORTRANGE(""https://docs.google.com/spreadsheets/d/1YTZo6WM2dQ6Ix6FSdnL"&amp;"5P7uVnVKu40sxZu975tgG10E/edit?usp=sharing"",""นครปฐม!S143"")+IMPORTRANGE(""https://docs.google.com/spreadsheets/d/1OYoGg4WDg5RIzwGeB10padOxJF9E_Vljuvvct_M7RDo/edit?usp=sharing"",""ปทุมธานี!S143"")+IMPORTRANGE(""https://docs.google.com/spreadsheets/d/1GbCI"&amp;"E4D4wk9FUozzqk7SxfDMxDVBwVmI5zcaVUSzKAc/edit?usp=sharing"",""ประจวบคีรีขันธ์!S143"")+IMPORTRANGE(""https://docs.google.com/spreadsheets/d/1vVf6wykvW_lAyu7Yo9L4hUTqHqIeP_qcVuxCtosJEbg/edit?usp=sharing"",""ปราจีนบุรี!S143"")+IMPORTRANGE(""https://docs.googl"&amp;"e.com/spreadsheets/d/1BIDqLLg5jk3v59G8NlR8rk5xfQDKne0sAvZHSj7TI6I/edit?usp=sharing"",""พระนครศรีอยุธยา!S143"")+IMPORTRANGE(""https://docs.google.com/spreadsheets/d/1YXvxf8Yu6_rV4hTBrwMqAcAnv6DfhUxh5emyM3CJp_w/edit?usp=sharing"",""เพชรบุรี!S143"")+IMPORTRA"&amp;"NGE(""https://docs.google.com/spreadsheets/d/19KBlQQs7uwvsao6t2n-KvW3Ax8J8uRRfZPq1zPbXgKc/edit?usp=sharing"",""ระยอง!S143"")+IMPORTRANGE(""https://docs.google.com/spreadsheets/d/1jQ6P4QcrGM89YfqcC_PxOHGCMq5ezhucwJd8ci-NHng/edit?usp=sharing"",""ราชบุรี!S14"&amp;"3"")+IMPORTRANGE(""https://docs.google.com/spreadsheets/d/1lufeA2cfFqM-elVq2hznhDzC6Pr7wkJ9ZG_sYNGCMCU/edit?usp=sharing"",""ลพบุรี!S143"")+IMPORTRANGE(""https://docs.google.com/spreadsheets/d/10oOiF7loTyfsTkbd4MpaIm0HQ9SwB7IYHdIUvt-U1Uc/edit?usp=sharing"""&amp;",""สระแก้ว!S143"")+IMPORTRANGE(""https://docs.google.com/spreadsheets/d/1xmPlrr1QbdSIKvl1dWUl9K4PjAfSL9oeMr_37QVzcxc/edit?usp=sharing"",""สระบุรี!S143"")+IMPORTRANGE(""https://docs.google.com/spreadsheets/d/1j51vR6CYVGhABJpv6tkstgok82RLpXieLzW1yOY5rHw/edi"&amp;"t?usp=sharing"",""สิงห์บุรี!S143"")+IMPORTRANGE(""https://docs.google.com/spreadsheets/d/1H1EalTWKUSzO4Z1-1CwzoDUaVffgrThEBe2sl74kKG0/edit?usp=sharing"",""สุพรรณบุรี!S143"")+IMPORTRANGE(""https://docs.google.com/spreadsheets/d/1BmIruG_sIrJLYao_Pdr7zVArWsf"&amp;"oBt2692TMi6x_854/edit?usp=sharing"",""อ่างทอง!S143"")"),0)</f>
        <v>0</v>
      </c>
      <c r="T144" s="133">
        <f t="shared" ca="1" si="113"/>
        <v>0</v>
      </c>
      <c r="U144" s="133">
        <f t="shared" ca="1" si="114"/>
        <v>0</v>
      </c>
    </row>
    <row r="145" spans="1:21" ht="18.75" x14ac:dyDescent="0.25">
      <c r="A145" s="209"/>
      <c r="B145" s="67"/>
      <c r="C145" s="67"/>
      <c r="D145" s="67"/>
      <c r="E145" s="75" t="s">
        <v>37</v>
      </c>
      <c r="F145" s="67"/>
      <c r="G145" s="69"/>
      <c r="H145" s="218" t="s">
        <v>14</v>
      </c>
      <c r="I145" s="219"/>
      <c r="J145" s="219"/>
      <c r="K145" s="220"/>
      <c r="L145" s="88">
        <f ca="1">IFERROR(__xludf.DUMMYFUNCTION("IMPORTRANGE(""https://docs.google.com/spreadsheets/d/13wPX838HrBrQMCywv1BsuMkt4PEKTChp52zj44s2izQ/edit?usp=sharing"",""กาญจนบุรี!L144"")+IMPORTRANGE(""https://docs.google.com/spreadsheets/d/1ddFKvqj1W1NEiWytbGlB1zMx_ykJDVtmfEQ-6-lIUBA/edit?usp=sharing"","&amp;"""จันทบุรี!L144"")+IMPORTRANGE(""https://docs.google.com/spreadsheets/d/1T1PQvRODqOBZk8BRht_U031fIS1beLA0Ub2CEytj2q0/edit?usp=sharing"",""ฉะเชิงเทรา!L144"")+IMPORTRANGE(""https://docs.google.com/spreadsheets/d/11tr1B-Bhyr79v2bkwVh5h_fR-PStkgjlZtkrZpYurG0/"&amp;"edit?usp=sharing"",""ชลบุรี!L144"")+IMPORTRANGE(""https://docs.google.com/spreadsheets/d/1hh-FVnSX0vozXhGluamEcS54Dw9_zqW0N7qJUWgJ0Sw/edit?usp=sharing"",""ชัยนาท!L144"")+IMPORTRANGE(""https://docs.google.com/spreadsheets/d/1jkqa6GXxSacMcY1eN8AHjMNJ_7dDXMJ"&amp;"VRLDlaFSOdPM/edit?usp=sharing"",""ตราด!L144"")+IMPORTRANGE(""https://docs.google.com/spreadsheets/d/18hSgUJ3VwClqi_qtULmmW3cLr0oe3OKaSYoKzdpTsYQ/edit?usp=sharing"",""นครนายก!L144"")+IMPORTRANGE(""https://docs.google.com/spreadsheets/d/1YTZo6WM2dQ6Ix6FSdnL"&amp;"5P7uVnVKu40sxZu975tgG10E/edit?usp=sharing"",""นครปฐม!L144"")+IMPORTRANGE(""https://docs.google.com/spreadsheets/d/1OYoGg4WDg5RIzwGeB10padOxJF9E_Vljuvvct_M7RDo/edit?usp=sharing"",""ปทุมธานี!L144"")+IMPORTRANGE(""https://docs.google.com/spreadsheets/d/1GbCI"&amp;"E4D4wk9FUozzqk7SxfDMxDVBwVmI5zcaVUSzKAc/edit?usp=sharing"",""ประจวบคีรีขันธ์!L144"")+IMPORTRANGE(""https://docs.google.com/spreadsheets/d/1vVf6wykvW_lAyu7Yo9L4hUTqHqIeP_qcVuxCtosJEbg/edit?usp=sharing"",""ปราจีนบุรี!L144"")+IMPORTRANGE(""https://docs.googl"&amp;"e.com/spreadsheets/d/1BIDqLLg5jk3v59G8NlR8rk5xfQDKne0sAvZHSj7TI6I/edit?usp=sharing"",""พระนครศรีอยุธยา!L144"")+IMPORTRANGE(""https://docs.google.com/spreadsheets/d/1YXvxf8Yu6_rV4hTBrwMqAcAnv6DfhUxh5emyM3CJp_w/edit?usp=sharing"",""เพชรบุรี!L144"")+IMPORTRA"&amp;"NGE(""https://docs.google.com/spreadsheets/d/19KBlQQs7uwvsao6t2n-KvW3Ax8J8uRRfZPq1zPbXgKc/edit?usp=sharing"",""ระยอง!L144"")+IMPORTRANGE(""https://docs.google.com/spreadsheets/d/1jQ6P4QcrGM89YfqcC_PxOHGCMq5ezhucwJd8ci-NHng/edit?usp=sharing"",""ราชบุรี!L14"&amp;"4"")+IMPORTRANGE(""https://docs.google.com/spreadsheets/d/1lufeA2cfFqM-elVq2hznhDzC6Pr7wkJ9ZG_sYNGCMCU/edit?usp=sharing"",""ลพบุรี!L144"")+IMPORTRANGE(""https://docs.google.com/spreadsheets/d/10oOiF7loTyfsTkbd4MpaIm0HQ9SwB7IYHdIUvt-U1Uc/edit?usp=sharing"""&amp;",""สระแก้ว!L144"")+IMPORTRANGE(""https://docs.google.com/spreadsheets/d/1xmPlrr1QbdSIKvl1dWUl9K4PjAfSL9oeMr_37QVzcxc/edit?usp=sharing"",""สระบุรี!L144"")+IMPORTRANGE(""https://docs.google.com/spreadsheets/d/1j51vR6CYVGhABJpv6tkstgok82RLpXieLzW1yOY5rHw/edi"&amp;"t?usp=sharing"",""สิงห์บุรี!L144"")+IMPORTRANGE(""https://docs.google.com/spreadsheets/d/1H1EalTWKUSzO4Z1-1CwzoDUaVffgrThEBe2sl74kKG0/edit?usp=sharing"",""สุพรรณบุรี!L144"")+IMPORTRANGE(""https://docs.google.com/spreadsheets/d/1BmIruG_sIrJLYao_Pdr7zVArWsf"&amp;"oBt2692TMi6x_854/edit?usp=sharing"",""อ่างทอง!L144"")"),791100)</f>
        <v>791100</v>
      </c>
      <c r="M145" s="88">
        <f ca="1">IFERROR(__xludf.DUMMYFUNCTION("IMPORTRANGE(""https://docs.google.com/spreadsheets/d/13wPX838HrBrQMCywv1BsuMkt4PEKTChp52zj44s2izQ/edit?usp=sharing"",""กาญจนบุรี!M144"")+IMPORTRANGE(""https://docs.google.com/spreadsheets/d/1ddFKvqj1W1NEiWytbGlB1zMx_ykJDVtmfEQ-6-lIUBA/edit?usp=sharing"","&amp;"""จันทบุรี!M144"")+IMPORTRANGE(""https://docs.google.com/spreadsheets/d/1T1PQvRODqOBZk8BRht_U031fIS1beLA0Ub2CEytj2q0/edit?usp=sharing"",""ฉะเชิงเทรา!M144"")+IMPORTRANGE(""https://docs.google.com/spreadsheets/d/11tr1B-Bhyr79v2bkwVh5h_fR-PStkgjlZtkrZpYurG0/"&amp;"edit?usp=sharing"",""ชลบุรี!M144"")+IMPORTRANGE(""https://docs.google.com/spreadsheets/d/1hh-FVnSX0vozXhGluamEcS54Dw9_zqW0N7qJUWgJ0Sw/edit?usp=sharing"",""ชัยนาท!M144"")+IMPORTRANGE(""https://docs.google.com/spreadsheets/d/1jkqa6GXxSacMcY1eN8AHjMNJ_7dDXMJ"&amp;"VRLDlaFSOdPM/edit?usp=sharing"",""ตราด!M144"")+IMPORTRANGE(""https://docs.google.com/spreadsheets/d/18hSgUJ3VwClqi_qtULmmW3cLr0oe3OKaSYoKzdpTsYQ/edit?usp=sharing"",""นครนายก!M144"")+IMPORTRANGE(""https://docs.google.com/spreadsheets/d/1YTZo6WM2dQ6Ix6FSdnL"&amp;"5P7uVnVKu40sxZu975tgG10E/edit?usp=sharing"",""นครปฐม!M144"")+IMPORTRANGE(""https://docs.google.com/spreadsheets/d/1OYoGg4WDg5RIzwGeB10padOxJF9E_Vljuvvct_M7RDo/edit?usp=sharing"",""ปทุมธานี!M144"")+IMPORTRANGE(""https://docs.google.com/spreadsheets/d/1GbCI"&amp;"E4D4wk9FUozzqk7SxfDMxDVBwVmI5zcaVUSzKAc/edit?usp=sharing"",""ประจวบคีรีขันธ์!M144"")+IMPORTRANGE(""https://docs.google.com/spreadsheets/d/1vVf6wykvW_lAyu7Yo9L4hUTqHqIeP_qcVuxCtosJEbg/edit?usp=sharing"",""ปราจีนบุรี!M144"")+IMPORTRANGE(""https://docs.googl"&amp;"e.com/spreadsheets/d/1BIDqLLg5jk3v59G8NlR8rk5xfQDKne0sAvZHSj7TI6I/edit?usp=sharing"",""พระนครศรีอยุธยา!M144"")+IMPORTRANGE(""https://docs.google.com/spreadsheets/d/1YXvxf8Yu6_rV4hTBrwMqAcAnv6DfhUxh5emyM3CJp_w/edit?usp=sharing"",""เพชรบุรี!M144"")+IMPORTRA"&amp;"NGE(""https://docs.google.com/spreadsheets/d/19KBlQQs7uwvsao6t2n-KvW3Ax8J8uRRfZPq1zPbXgKc/edit?usp=sharing"",""ระยอง!M144"")+IMPORTRANGE(""https://docs.google.com/spreadsheets/d/1jQ6P4QcrGM89YfqcC_PxOHGCMq5ezhucwJd8ci-NHng/edit?usp=sharing"",""ราชบุรี!M14"&amp;"4"")+IMPORTRANGE(""https://docs.google.com/spreadsheets/d/1lufeA2cfFqM-elVq2hznhDzC6Pr7wkJ9ZG_sYNGCMCU/edit?usp=sharing"",""ลพบุรี!M144"")+IMPORTRANGE(""https://docs.google.com/spreadsheets/d/10oOiF7loTyfsTkbd4MpaIm0HQ9SwB7IYHdIUvt-U1Uc/edit?usp=sharing"""&amp;",""สระแก้ว!M144"")+IMPORTRANGE(""https://docs.google.com/spreadsheets/d/1xmPlrr1QbdSIKvl1dWUl9K4PjAfSL9oeMr_37QVzcxc/edit?usp=sharing"",""สระบุรี!M144"")+IMPORTRANGE(""https://docs.google.com/spreadsheets/d/1j51vR6CYVGhABJpv6tkstgok82RLpXieLzW1yOY5rHw/edi"&amp;"t?usp=sharing"",""สิงห์บุรี!M144"")+IMPORTRANGE(""https://docs.google.com/spreadsheets/d/1H1EalTWKUSzO4Z1-1CwzoDUaVffgrThEBe2sl74kKG0/edit?usp=sharing"",""สุพรรณบุรี!M144"")+IMPORTRANGE(""https://docs.google.com/spreadsheets/d/1BmIruG_sIrJLYao_Pdr7zVArWsf"&amp;"oBt2692TMi6x_854/edit?usp=sharing"",""อ่างทอง!M144"")"),756100)</f>
        <v>756100</v>
      </c>
      <c r="N145" s="88">
        <f ca="1">IFERROR(__xludf.DUMMYFUNCTION("IMPORTRANGE(""https://docs.google.com/spreadsheets/d/13wPX838HrBrQMCywv1BsuMkt4PEKTChp52zj44s2izQ/edit?usp=sharing"",""กาญจนบุรี!N144"")+IMPORTRANGE(""https://docs.google.com/spreadsheets/d/1ddFKvqj1W1NEiWytbGlB1zMx_ykJDVtmfEQ-6-lIUBA/edit?usp=sharing"","&amp;"""จันทบุรี!N144"")+IMPORTRANGE(""https://docs.google.com/spreadsheets/d/1T1PQvRODqOBZk8BRht_U031fIS1beLA0Ub2CEytj2q0/edit?usp=sharing"",""ฉะเชิงเทรา!N144"")+IMPORTRANGE(""https://docs.google.com/spreadsheets/d/11tr1B-Bhyr79v2bkwVh5h_fR-PStkgjlZtkrZpYurG0/"&amp;"edit?usp=sharing"",""ชลบุรี!N144"")+IMPORTRANGE(""https://docs.google.com/spreadsheets/d/1hh-FVnSX0vozXhGluamEcS54Dw9_zqW0N7qJUWgJ0Sw/edit?usp=sharing"",""ชัยนาท!N144"")+IMPORTRANGE(""https://docs.google.com/spreadsheets/d/1jkqa6GXxSacMcY1eN8AHjMNJ_7dDXMJ"&amp;"VRLDlaFSOdPM/edit?usp=sharing"",""ตราด!N144"")+IMPORTRANGE(""https://docs.google.com/spreadsheets/d/18hSgUJ3VwClqi_qtULmmW3cLr0oe3OKaSYoKzdpTsYQ/edit?usp=sharing"",""นครนายก!N144"")+IMPORTRANGE(""https://docs.google.com/spreadsheets/d/1YTZo6WM2dQ6Ix6FSdnL"&amp;"5P7uVnVKu40sxZu975tgG10E/edit?usp=sharing"",""นครปฐม!N144"")+IMPORTRANGE(""https://docs.google.com/spreadsheets/d/1OYoGg4WDg5RIzwGeB10padOxJF9E_Vljuvvct_M7RDo/edit?usp=sharing"",""ปทุมธานี!N144"")+IMPORTRANGE(""https://docs.google.com/spreadsheets/d/1GbCI"&amp;"E4D4wk9FUozzqk7SxfDMxDVBwVmI5zcaVUSzKAc/edit?usp=sharing"",""ประจวบคีรีขันธ์!N144"")+IMPORTRANGE(""https://docs.google.com/spreadsheets/d/1vVf6wykvW_lAyu7Yo9L4hUTqHqIeP_qcVuxCtosJEbg/edit?usp=sharing"",""ปราจีนบุรี!N144"")+IMPORTRANGE(""https://docs.googl"&amp;"e.com/spreadsheets/d/1BIDqLLg5jk3v59G8NlR8rk5xfQDKne0sAvZHSj7TI6I/edit?usp=sharing"",""พระนครศรีอยุธยา!N144"")+IMPORTRANGE(""https://docs.google.com/spreadsheets/d/1YXvxf8Yu6_rV4hTBrwMqAcAnv6DfhUxh5emyM3CJp_w/edit?usp=sharing"",""เพชรบุรี!N144"")+IMPORTRA"&amp;"NGE(""https://docs.google.com/spreadsheets/d/19KBlQQs7uwvsao6t2n-KvW3Ax8J8uRRfZPq1zPbXgKc/edit?usp=sharing"",""ระยอง!N144"")+IMPORTRANGE(""https://docs.google.com/spreadsheets/d/1jQ6P4QcrGM89YfqcC_PxOHGCMq5ezhucwJd8ci-NHng/edit?usp=sharing"",""ราชบุรี!N14"&amp;"4"")+IMPORTRANGE(""https://docs.google.com/spreadsheets/d/1lufeA2cfFqM-elVq2hznhDzC6Pr7wkJ9ZG_sYNGCMCU/edit?usp=sharing"",""ลพบุรี!N144"")+IMPORTRANGE(""https://docs.google.com/spreadsheets/d/10oOiF7loTyfsTkbd4MpaIm0HQ9SwB7IYHdIUvt-U1Uc/edit?usp=sharing"""&amp;",""สระแก้ว!N144"")+IMPORTRANGE(""https://docs.google.com/spreadsheets/d/1xmPlrr1QbdSIKvl1dWUl9K4PjAfSL9oeMr_37QVzcxc/edit?usp=sharing"",""สระบุรี!N144"")+IMPORTRANGE(""https://docs.google.com/spreadsheets/d/1j51vR6CYVGhABJpv6tkstgok82RLpXieLzW1yOY5rHw/edi"&amp;"t?usp=sharing"",""สิงห์บุรี!N144"")+IMPORTRANGE(""https://docs.google.com/spreadsheets/d/1H1EalTWKUSzO4Z1-1CwzoDUaVffgrThEBe2sl74kKG0/edit?usp=sharing"",""สุพรรณบุรี!N144"")+IMPORTRANGE(""https://docs.google.com/spreadsheets/d/1BmIruG_sIrJLYao_Pdr7zVArWsf"&amp;"oBt2692TMi6x_854/edit?usp=sharing"",""อ่างทอง!N144"")"),247811.36)</f>
        <v>247811.36</v>
      </c>
      <c r="O145" s="88">
        <f t="shared" ca="1" si="110"/>
        <v>31.324909619517129</v>
      </c>
      <c r="P145" s="88">
        <f t="shared" ca="1" si="111"/>
        <v>32.774945113080278</v>
      </c>
      <c r="Q145" s="131">
        <f ca="1">IFERROR(__xludf.DUMMYFUNCTION("IMPORTRANGE(""https://docs.google.com/spreadsheets/d/13wPX838HrBrQMCywv1BsuMkt4PEKTChp52zj44s2izQ/edit?usp=sharing"",""กาญจนบุรี!Q144"")+IMPORTRANGE(""https://docs.google.com/spreadsheets/d/1ddFKvqj1W1NEiWytbGlB1zMx_ykJDVtmfEQ-6-lIUBA/edit?usp=sharing"","&amp;"""จันทบุรี!Q144"")+IMPORTRANGE(""https://docs.google.com/spreadsheets/d/1T1PQvRODqOBZk8BRht_U031fIS1beLA0Ub2CEytj2q0/edit?usp=sharing"",""ฉะเชิงเทรา!Q144"")+IMPORTRANGE(""https://docs.google.com/spreadsheets/d/11tr1B-Bhyr79v2bkwVh5h_fR-PStkgjlZtkrZpYurG0/"&amp;"edit?usp=sharing"",""ชลบุรี!Q144"")+IMPORTRANGE(""https://docs.google.com/spreadsheets/d/1hh-FVnSX0vozXhGluamEcS54Dw9_zqW0N7qJUWgJ0Sw/edit?usp=sharing"",""ชัยนาท!Q144"")+IMPORTRANGE(""https://docs.google.com/spreadsheets/d/1jkqa6GXxSacMcY1eN8AHjMNJ_7dDXMJ"&amp;"VRLDlaFSOdPM/edit?usp=sharing"",""ตราด!Q144"")+IMPORTRANGE(""https://docs.google.com/spreadsheets/d/18hSgUJ3VwClqi_qtULmmW3cLr0oe3OKaSYoKzdpTsYQ/edit?usp=sharing"",""นครนายก!Q144"")+IMPORTRANGE(""https://docs.google.com/spreadsheets/d/1YTZo6WM2dQ6Ix6FSdnL"&amp;"5P7uVnVKu40sxZu975tgG10E/edit?usp=sharing"",""นครปฐม!Q144"")+IMPORTRANGE(""https://docs.google.com/spreadsheets/d/1OYoGg4WDg5RIzwGeB10padOxJF9E_Vljuvvct_M7RDo/edit?usp=sharing"",""ปทุมธานี!Q144"")+IMPORTRANGE(""https://docs.google.com/spreadsheets/d/1GbCI"&amp;"E4D4wk9FUozzqk7SxfDMxDVBwVmI5zcaVUSzKAc/edit?usp=sharing"",""ประจวบคีรีขันธ์!Q144"")+IMPORTRANGE(""https://docs.google.com/spreadsheets/d/1vVf6wykvW_lAyu7Yo9L4hUTqHqIeP_qcVuxCtosJEbg/edit?usp=sharing"",""ปราจีนบุรี!Q144"")+IMPORTRANGE(""https://docs.googl"&amp;"e.com/spreadsheets/d/1BIDqLLg5jk3v59G8NlR8rk5xfQDKne0sAvZHSj7TI6I/edit?usp=sharing"",""พระนครศรีอยุธยา!Q144"")+IMPORTRANGE(""https://docs.google.com/spreadsheets/d/1YXvxf8Yu6_rV4hTBrwMqAcAnv6DfhUxh5emyM3CJp_w/edit?usp=sharing"",""เพชรบุรี!Q144"")+IMPORTRA"&amp;"NGE(""https://docs.google.com/spreadsheets/d/19KBlQQs7uwvsao6t2n-KvW3Ax8J8uRRfZPq1zPbXgKc/edit?usp=sharing"",""ระยอง!Q144"")+IMPORTRANGE(""https://docs.google.com/spreadsheets/d/1jQ6P4QcrGM89YfqcC_PxOHGCMq5ezhucwJd8ci-NHng/edit?usp=sharing"",""ราชบุรี!Q14"&amp;"4"")+IMPORTRANGE(""https://docs.google.com/spreadsheets/d/1lufeA2cfFqM-elVq2hznhDzC6Pr7wkJ9ZG_sYNGCMCU/edit?usp=sharing"",""ลพบุรี!Q144"")+IMPORTRANGE(""https://docs.google.com/spreadsheets/d/10oOiF7loTyfsTkbd4MpaIm0HQ9SwB7IYHdIUvt-U1Uc/edit?usp=sharing"""&amp;",""สระแก้ว!Q144"")+IMPORTRANGE(""https://docs.google.com/spreadsheets/d/1xmPlrr1QbdSIKvl1dWUl9K4PjAfSL9oeMr_37QVzcxc/edit?usp=sharing"",""สระบุรี!Q144"")+IMPORTRANGE(""https://docs.google.com/spreadsheets/d/1j51vR6CYVGhABJpv6tkstgok82RLpXieLzW1yOY5rHw/edi"&amp;"t?usp=sharing"",""สิงห์บุรี!Q144"")+IMPORTRANGE(""https://docs.google.com/spreadsheets/d/1H1EalTWKUSzO4Z1-1CwzoDUaVffgrThEBe2sl74kKG0/edit?usp=sharing"",""สุพรรณบุรี!Q144"")+IMPORTRANGE(""https://docs.google.com/spreadsheets/d/1BmIruG_sIrJLYao_Pdr7zVArWsf"&amp;"oBt2692TMi6x_854/edit?usp=sharing"",""อ่างทอง!Q144"")"),0)</f>
        <v>0</v>
      </c>
      <c r="R145" s="132">
        <f ca="1">IFERROR(__xludf.DUMMYFUNCTION("IMPORTRANGE(""https://docs.google.com/spreadsheets/d/13wPX838HrBrQMCywv1BsuMkt4PEKTChp52zj44s2izQ/edit?usp=sharing"",""กาญจนบุรี!R144"")+IMPORTRANGE(""https://docs.google.com/spreadsheets/d/1ddFKvqj1W1NEiWytbGlB1zMx_ykJDVtmfEQ-6-lIUBA/edit?usp=sharing"","&amp;"""จันทบุรี!R144"")+IMPORTRANGE(""https://docs.google.com/spreadsheets/d/1T1PQvRODqOBZk8BRht_U031fIS1beLA0Ub2CEytj2q0/edit?usp=sharing"",""ฉะเชิงเทรา!R144"")+IMPORTRANGE(""https://docs.google.com/spreadsheets/d/11tr1B-Bhyr79v2bkwVh5h_fR-PStkgjlZtkrZpYurG0/"&amp;"edit?usp=sharing"",""ชลบุรี!R144"")+IMPORTRANGE(""https://docs.google.com/spreadsheets/d/1hh-FVnSX0vozXhGluamEcS54Dw9_zqW0N7qJUWgJ0Sw/edit?usp=sharing"",""ชัยนาท!R144"")+IMPORTRANGE(""https://docs.google.com/spreadsheets/d/1jkqa6GXxSacMcY1eN8AHjMNJ_7dDXMJ"&amp;"VRLDlaFSOdPM/edit?usp=sharing"",""ตราด!R144"")+IMPORTRANGE(""https://docs.google.com/spreadsheets/d/18hSgUJ3VwClqi_qtULmmW3cLr0oe3OKaSYoKzdpTsYQ/edit?usp=sharing"",""นครนายก!R144"")+IMPORTRANGE(""https://docs.google.com/spreadsheets/d/1YTZo6WM2dQ6Ix6FSdnL"&amp;"5P7uVnVKu40sxZu975tgG10E/edit?usp=sharing"",""นครปฐม!R144"")+IMPORTRANGE(""https://docs.google.com/spreadsheets/d/1OYoGg4WDg5RIzwGeB10padOxJF9E_Vljuvvct_M7RDo/edit?usp=sharing"",""ปทุมธานี!R144"")+IMPORTRANGE(""https://docs.google.com/spreadsheets/d/1GbCI"&amp;"E4D4wk9FUozzqk7SxfDMxDVBwVmI5zcaVUSzKAc/edit?usp=sharing"",""ประจวบคีรีขันธ์!R144"")+IMPORTRANGE(""https://docs.google.com/spreadsheets/d/1vVf6wykvW_lAyu7Yo9L4hUTqHqIeP_qcVuxCtosJEbg/edit?usp=sharing"",""ปราจีนบุรี!R144"")+IMPORTRANGE(""https://docs.googl"&amp;"e.com/spreadsheets/d/1BIDqLLg5jk3v59G8NlR8rk5xfQDKne0sAvZHSj7TI6I/edit?usp=sharing"",""พระนครศรีอยุธยา!R144"")+IMPORTRANGE(""https://docs.google.com/spreadsheets/d/1YXvxf8Yu6_rV4hTBrwMqAcAnv6DfhUxh5emyM3CJp_w/edit?usp=sharing"",""เพชรบุรี!R144"")+IMPORTRA"&amp;"NGE(""https://docs.google.com/spreadsheets/d/19KBlQQs7uwvsao6t2n-KvW3Ax8J8uRRfZPq1zPbXgKc/edit?usp=sharing"",""ระยอง!R144"")+IMPORTRANGE(""https://docs.google.com/spreadsheets/d/1jQ6P4QcrGM89YfqcC_PxOHGCMq5ezhucwJd8ci-NHng/edit?usp=sharing"",""ราชบุรี!R14"&amp;"4"")+IMPORTRANGE(""https://docs.google.com/spreadsheets/d/1lufeA2cfFqM-elVq2hznhDzC6Pr7wkJ9ZG_sYNGCMCU/edit?usp=sharing"",""ลพบุรี!R144"")+IMPORTRANGE(""https://docs.google.com/spreadsheets/d/10oOiF7loTyfsTkbd4MpaIm0HQ9SwB7IYHdIUvt-U1Uc/edit?usp=sharing"""&amp;",""สระแก้ว!R144"")+IMPORTRANGE(""https://docs.google.com/spreadsheets/d/1xmPlrr1QbdSIKvl1dWUl9K4PjAfSL9oeMr_37QVzcxc/edit?usp=sharing"",""สระบุรี!R144"")+IMPORTRANGE(""https://docs.google.com/spreadsheets/d/1j51vR6CYVGhABJpv6tkstgok82RLpXieLzW1yOY5rHw/edi"&amp;"t?usp=sharing"",""สิงห์บุรี!R144"")+IMPORTRANGE(""https://docs.google.com/spreadsheets/d/1H1EalTWKUSzO4Z1-1CwzoDUaVffgrThEBe2sl74kKG0/edit?usp=sharing"",""สุพรรณบุรี!R144"")+IMPORTRANGE(""https://docs.google.com/spreadsheets/d/1BmIruG_sIrJLYao_Pdr7zVArWsf"&amp;"oBt2692TMi6x_854/edit?usp=sharing"",""อ่างทอง!R144"")"),0)</f>
        <v>0</v>
      </c>
      <c r="S145" s="132">
        <f ca="1">IFERROR(__xludf.DUMMYFUNCTION("IMPORTRANGE(""https://docs.google.com/spreadsheets/d/13wPX838HrBrQMCywv1BsuMkt4PEKTChp52zj44s2izQ/edit?usp=sharing"",""กาญจนบุรี!S144"")+IMPORTRANGE(""https://docs.google.com/spreadsheets/d/1ddFKvqj1W1NEiWytbGlB1zMx_ykJDVtmfEQ-6-lIUBA/edit?usp=sharing"","&amp;"""จันทบุรี!S144"")+IMPORTRANGE(""https://docs.google.com/spreadsheets/d/1T1PQvRODqOBZk8BRht_U031fIS1beLA0Ub2CEytj2q0/edit?usp=sharing"",""ฉะเชิงเทรา!S144"")+IMPORTRANGE(""https://docs.google.com/spreadsheets/d/11tr1B-Bhyr79v2bkwVh5h_fR-PStkgjlZtkrZpYurG0/"&amp;"edit?usp=sharing"",""ชลบุรี!S144"")+IMPORTRANGE(""https://docs.google.com/spreadsheets/d/1hh-FVnSX0vozXhGluamEcS54Dw9_zqW0N7qJUWgJ0Sw/edit?usp=sharing"",""ชัยนาท!S144"")+IMPORTRANGE(""https://docs.google.com/spreadsheets/d/1jkqa6GXxSacMcY1eN8AHjMNJ_7dDXMJ"&amp;"VRLDlaFSOdPM/edit?usp=sharing"",""ตราด!S144"")+IMPORTRANGE(""https://docs.google.com/spreadsheets/d/18hSgUJ3VwClqi_qtULmmW3cLr0oe3OKaSYoKzdpTsYQ/edit?usp=sharing"",""นครนายก!S144"")+IMPORTRANGE(""https://docs.google.com/spreadsheets/d/1YTZo6WM2dQ6Ix6FSdnL"&amp;"5P7uVnVKu40sxZu975tgG10E/edit?usp=sharing"",""นครปฐม!S144"")+IMPORTRANGE(""https://docs.google.com/spreadsheets/d/1OYoGg4WDg5RIzwGeB10padOxJF9E_Vljuvvct_M7RDo/edit?usp=sharing"",""ปทุมธานี!S144"")+IMPORTRANGE(""https://docs.google.com/spreadsheets/d/1GbCI"&amp;"E4D4wk9FUozzqk7SxfDMxDVBwVmI5zcaVUSzKAc/edit?usp=sharing"",""ประจวบคีรีขันธ์!S144"")+IMPORTRANGE(""https://docs.google.com/spreadsheets/d/1vVf6wykvW_lAyu7Yo9L4hUTqHqIeP_qcVuxCtosJEbg/edit?usp=sharing"",""ปราจีนบุรี!S144"")+IMPORTRANGE(""https://docs.googl"&amp;"e.com/spreadsheets/d/1BIDqLLg5jk3v59G8NlR8rk5xfQDKne0sAvZHSj7TI6I/edit?usp=sharing"",""พระนครศรีอยุธยา!S144"")+IMPORTRANGE(""https://docs.google.com/spreadsheets/d/1YXvxf8Yu6_rV4hTBrwMqAcAnv6DfhUxh5emyM3CJp_w/edit?usp=sharing"",""เพชรบุรี!S144"")+IMPORTRA"&amp;"NGE(""https://docs.google.com/spreadsheets/d/19KBlQQs7uwvsao6t2n-KvW3Ax8J8uRRfZPq1zPbXgKc/edit?usp=sharing"",""ระยอง!S144"")+IMPORTRANGE(""https://docs.google.com/spreadsheets/d/1jQ6P4QcrGM89YfqcC_PxOHGCMq5ezhucwJd8ci-NHng/edit?usp=sharing"",""ราชบุรี!S14"&amp;"4"")+IMPORTRANGE(""https://docs.google.com/spreadsheets/d/1lufeA2cfFqM-elVq2hznhDzC6Pr7wkJ9ZG_sYNGCMCU/edit?usp=sharing"",""ลพบุรี!S144"")+IMPORTRANGE(""https://docs.google.com/spreadsheets/d/10oOiF7loTyfsTkbd4MpaIm0HQ9SwB7IYHdIUvt-U1Uc/edit?usp=sharing"""&amp;",""สระแก้ว!S144"")+IMPORTRANGE(""https://docs.google.com/spreadsheets/d/1xmPlrr1QbdSIKvl1dWUl9K4PjAfSL9oeMr_37QVzcxc/edit?usp=sharing"",""สระบุรี!S144"")+IMPORTRANGE(""https://docs.google.com/spreadsheets/d/1j51vR6CYVGhABJpv6tkstgok82RLpXieLzW1yOY5rHw/edi"&amp;"t?usp=sharing"",""สิงห์บุรี!S144"")+IMPORTRANGE(""https://docs.google.com/spreadsheets/d/1H1EalTWKUSzO4Z1-1CwzoDUaVffgrThEBe2sl74kKG0/edit?usp=sharing"",""สุพรรณบุรี!S144"")+IMPORTRANGE(""https://docs.google.com/spreadsheets/d/1BmIruG_sIrJLYao_Pdr7zVArWsf"&amp;"oBt2692TMi6x_854/edit?usp=sharing"",""อ่างทอง!S144"")"),0)</f>
        <v>0</v>
      </c>
      <c r="T145" s="132">
        <f t="shared" ca="1" si="113"/>
        <v>0</v>
      </c>
      <c r="U145" s="132">
        <f t="shared" ca="1" si="114"/>
        <v>0</v>
      </c>
    </row>
    <row r="146" spans="1:21" ht="18.75" x14ac:dyDescent="0.25">
      <c r="A146" s="209"/>
      <c r="B146" s="67"/>
      <c r="C146" s="67"/>
      <c r="D146" s="68" t="s">
        <v>23</v>
      </c>
      <c r="E146" s="67"/>
      <c r="F146" s="67"/>
      <c r="G146" s="69"/>
      <c r="H146" s="221" t="s">
        <v>14</v>
      </c>
      <c r="I146" s="219"/>
      <c r="J146" s="219"/>
      <c r="K146" s="220"/>
      <c r="L146" s="88">
        <f t="shared" ref="L146:N146" ca="1" si="121">L147+L148</f>
        <v>0</v>
      </c>
      <c r="M146" s="88">
        <f t="shared" ca="1" si="121"/>
        <v>0</v>
      </c>
      <c r="N146" s="88">
        <f t="shared" ca="1" si="121"/>
        <v>0</v>
      </c>
      <c r="O146" s="88">
        <f t="shared" ca="1" si="110"/>
        <v>0</v>
      </c>
      <c r="P146" s="88">
        <f t="shared" ca="1" si="111"/>
        <v>0</v>
      </c>
      <c r="Q146" s="131">
        <f t="shared" ref="Q146:S146" ca="1" si="122">Q147+Q148</f>
        <v>0</v>
      </c>
      <c r="R146" s="132">
        <f t="shared" ca="1" si="122"/>
        <v>0</v>
      </c>
      <c r="S146" s="132">
        <f t="shared" ca="1" si="122"/>
        <v>0</v>
      </c>
      <c r="T146" s="132">
        <f t="shared" ca="1" si="113"/>
        <v>0</v>
      </c>
      <c r="U146" s="132">
        <f t="shared" ca="1" si="114"/>
        <v>0</v>
      </c>
    </row>
    <row r="147" spans="1:21" ht="18.75" x14ac:dyDescent="0.25">
      <c r="A147" s="209"/>
      <c r="B147" s="67"/>
      <c r="C147" s="67"/>
      <c r="D147" s="67"/>
      <c r="E147" s="75" t="s">
        <v>20</v>
      </c>
      <c r="F147" s="67"/>
      <c r="G147" s="69"/>
      <c r="H147" s="218" t="s">
        <v>14</v>
      </c>
      <c r="I147" s="219"/>
      <c r="J147" s="219"/>
      <c r="K147" s="220"/>
      <c r="L147" s="88">
        <f ca="1">IFERROR(__xludf.DUMMYFUNCTION("IMPORTRANGE(""https://docs.google.com/spreadsheets/d/13wPX838HrBrQMCywv1BsuMkt4PEKTChp52zj44s2izQ/edit?usp=sharing"",""กาญจนบุรี!L146"")+IMPORTRANGE(""https://docs.google.com/spreadsheets/d/1ddFKvqj1W1NEiWytbGlB1zMx_ykJDVtmfEQ-6-lIUBA/edit?usp=sharing"","&amp;"""จันทบุรี!L146"")+IMPORTRANGE(""https://docs.google.com/spreadsheets/d/1T1PQvRODqOBZk8BRht_U031fIS1beLA0Ub2CEytj2q0/edit?usp=sharing"",""ฉะเชิงเทรา!L146"")+IMPORTRANGE(""https://docs.google.com/spreadsheets/d/11tr1B-Bhyr79v2bkwVh5h_fR-PStkgjlZtkrZpYurG0/"&amp;"edit?usp=sharing"",""ชลบุรี!L146"")+IMPORTRANGE(""https://docs.google.com/spreadsheets/d/1hh-FVnSX0vozXhGluamEcS54Dw9_zqW0N7qJUWgJ0Sw/edit?usp=sharing"",""ชัยนาท!L146"")+IMPORTRANGE(""https://docs.google.com/spreadsheets/d/1jkqa6GXxSacMcY1eN8AHjMNJ_7dDXMJ"&amp;"VRLDlaFSOdPM/edit?usp=sharing"",""ตราด!L146"")+IMPORTRANGE(""https://docs.google.com/spreadsheets/d/18hSgUJ3VwClqi_qtULmmW3cLr0oe3OKaSYoKzdpTsYQ/edit?usp=sharing"",""นครนายก!L146"")+IMPORTRANGE(""https://docs.google.com/spreadsheets/d/1YTZo6WM2dQ6Ix6FSdnL"&amp;"5P7uVnVKu40sxZu975tgG10E/edit?usp=sharing"",""นครปฐม!L146"")+IMPORTRANGE(""https://docs.google.com/spreadsheets/d/1OYoGg4WDg5RIzwGeB10padOxJF9E_Vljuvvct_M7RDo/edit?usp=sharing"",""ปทุมธานี!L146"")+IMPORTRANGE(""https://docs.google.com/spreadsheets/d/1GbCI"&amp;"E4D4wk9FUozzqk7SxfDMxDVBwVmI5zcaVUSzKAc/edit?usp=sharing"",""ประจวบคีรีขันธ์!L146"")+IMPORTRANGE(""https://docs.google.com/spreadsheets/d/1vVf6wykvW_lAyu7Yo9L4hUTqHqIeP_qcVuxCtosJEbg/edit?usp=sharing"",""ปราจีนบุรี!L146"")+IMPORTRANGE(""https://docs.googl"&amp;"e.com/spreadsheets/d/1BIDqLLg5jk3v59G8NlR8rk5xfQDKne0sAvZHSj7TI6I/edit?usp=sharing"",""พระนครศรีอยุธยา!L146"")+IMPORTRANGE(""https://docs.google.com/spreadsheets/d/1YXvxf8Yu6_rV4hTBrwMqAcAnv6DfhUxh5emyM3CJp_w/edit?usp=sharing"",""เพชรบุรี!L146"")+IMPORTRA"&amp;"NGE(""https://docs.google.com/spreadsheets/d/19KBlQQs7uwvsao6t2n-KvW3Ax8J8uRRfZPq1zPbXgKc/edit?usp=sharing"",""ระยอง!L146"")+IMPORTRANGE(""https://docs.google.com/spreadsheets/d/1jQ6P4QcrGM89YfqcC_PxOHGCMq5ezhucwJd8ci-NHng/edit?usp=sharing"",""ราชบุรี!L14"&amp;"6"")+IMPORTRANGE(""https://docs.google.com/spreadsheets/d/1lufeA2cfFqM-elVq2hznhDzC6Pr7wkJ9ZG_sYNGCMCU/edit?usp=sharing"",""ลพบุรี!L146"")+IMPORTRANGE(""https://docs.google.com/spreadsheets/d/10oOiF7loTyfsTkbd4MpaIm0HQ9SwB7IYHdIUvt-U1Uc/edit?usp=sharing"""&amp;",""สระแก้ว!L146"")+IMPORTRANGE(""https://docs.google.com/spreadsheets/d/1xmPlrr1QbdSIKvl1dWUl9K4PjAfSL9oeMr_37QVzcxc/edit?usp=sharing"",""สระบุรี!L146"")+IMPORTRANGE(""https://docs.google.com/spreadsheets/d/1j51vR6CYVGhABJpv6tkstgok82RLpXieLzW1yOY5rHw/edi"&amp;"t?usp=sharing"",""สิงห์บุรี!L146"")+IMPORTRANGE(""https://docs.google.com/spreadsheets/d/1H1EalTWKUSzO4Z1-1CwzoDUaVffgrThEBe2sl74kKG0/edit?usp=sharing"",""สุพรรณบุรี!L146"")+IMPORTRANGE(""https://docs.google.com/spreadsheets/d/1BmIruG_sIrJLYao_Pdr7zVArWsf"&amp;"oBt2692TMi6x_854/edit?usp=sharing"",""อ่างทอง!L146"")"),0)</f>
        <v>0</v>
      </c>
      <c r="M147" s="88">
        <f ca="1">IFERROR(__xludf.DUMMYFUNCTION("IMPORTRANGE(""https://docs.google.com/spreadsheets/d/13wPX838HrBrQMCywv1BsuMkt4PEKTChp52zj44s2izQ/edit?usp=sharing"",""กาญจนบุรี!M146"")+IMPORTRANGE(""https://docs.google.com/spreadsheets/d/1ddFKvqj1W1NEiWytbGlB1zMx_ykJDVtmfEQ-6-lIUBA/edit?usp=sharing"","&amp;"""จันทบุรี!M146"")+IMPORTRANGE(""https://docs.google.com/spreadsheets/d/1T1PQvRODqOBZk8BRht_U031fIS1beLA0Ub2CEytj2q0/edit?usp=sharing"",""ฉะเชิงเทรา!M146"")+IMPORTRANGE(""https://docs.google.com/spreadsheets/d/11tr1B-Bhyr79v2bkwVh5h_fR-PStkgjlZtkrZpYurG0/"&amp;"edit?usp=sharing"",""ชลบุรี!M146"")+IMPORTRANGE(""https://docs.google.com/spreadsheets/d/1hh-FVnSX0vozXhGluamEcS54Dw9_zqW0N7qJUWgJ0Sw/edit?usp=sharing"",""ชัยนาท!M146"")+IMPORTRANGE(""https://docs.google.com/spreadsheets/d/1jkqa6GXxSacMcY1eN8AHjMNJ_7dDXMJ"&amp;"VRLDlaFSOdPM/edit?usp=sharing"",""ตราด!M146"")+IMPORTRANGE(""https://docs.google.com/spreadsheets/d/18hSgUJ3VwClqi_qtULmmW3cLr0oe3OKaSYoKzdpTsYQ/edit?usp=sharing"",""นครนายก!M146"")+IMPORTRANGE(""https://docs.google.com/spreadsheets/d/1YTZo6WM2dQ6Ix6FSdnL"&amp;"5P7uVnVKu40sxZu975tgG10E/edit?usp=sharing"",""นครปฐม!M146"")+IMPORTRANGE(""https://docs.google.com/spreadsheets/d/1OYoGg4WDg5RIzwGeB10padOxJF9E_Vljuvvct_M7RDo/edit?usp=sharing"",""ปทุมธานี!M146"")+IMPORTRANGE(""https://docs.google.com/spreadsheets/d/1GbCI"&amp;"E4D4wk9FUozzqk7SxfDMxDVBwVmI5zcaVUSzKAc/edit?usp=sharing"",""ประจวบคีรีขันธ์!M146"")+IMPORTRANGE(""https://docs.google.com/spreadsheets/d/1vVf6wykvW_lAyu7Yo9L4hUTqHqIeP_qcVuxCtosJEbg/edit?usp=sharing"",""ปราจีนบุรี!M146"")+IMPORTRANGE(""https://docs.googl"&amp;"e.com/spreadsheets/d/1BIDqLLg5jk3v59G8NlR8rk5xfQDKne0sAvZHSj7TI6I/edit?usp=sharing"",""พระนครศรีอยุธยา!M146"")+IMPORTRANGE(""https://docs.google.com/spreadsheets/d/1YXvxf8Yu6_rV4hTBrwMqAcAnv6DfhUxh5emyM3CJp_w/edit?usp=sharing"",""เพชรบุรี!M146"")+IMPORTRA"&amp;"NGE(""https://docs.google.com/spreadsheets/d/19KBlQQs7uwvsao6t2n-KvW3Ax8J8uRRfZPq1zPbXgKc/edit?usp=sharing"",""ระยอง!M146"")+IMPORTRANGE(""https://docs.google.com/spreadsheets/d/1jQ6P4QcrGM89YfqcC_PxOHGCMq5ezhucwJd8ci-NHng/edit?usp=sharing"",""ราชบุรี!M14"&amp;"6"")+IMPORTRANGE(""https://docs.google.com/spreadsheets/d/1lufeA2cfFqM-elVq2hznhDzC6Pr7wkJ9ZG_sYNGCMCU/edit?usp=sharing"",""ลพบุรี!M146"")+IMPORTRANGE(""https://docs.google.com/spreadsheets/d/10oOiF7loTyfsTkbd4MpaIm0HQ9SwB7IYHdIUvt-U1Uc/edit?usp=sharing"""&amp;",""สระแก้ว!M146"")+IMPORTRANGE(""https://docs.google.com/spreadsheets/d/1xmPlrr1QbdSIKvl1dWUl9K4PjAfSL9oeMr_37QVzcxc/edit?usp=sharing"",""สระบุรี!M146"")+IMPORTRANGE(""https://docs.google.com/spreadsheets/d/1j51vR6CYVGhABJpv6tkstgok82RLpXieLzW1yOY5rHw/edi"&amp;"t?usp=sharing"",""สิงห์บุรี!M146"")+IMPORTRANGE(""https://docs.google.com/spreadsheets/d/1H1EalTWKUSzO4Z1-1CwzoDUaVffgrThEBe2sl74kKG0/edit?usp=sharing"",""สุพรรณบุรี!M146"")+IMPORTRANGE(""https://docs.google.com/spreadsheets/d/1BmIruG_sIrJLYao_Pdr7zVArWsf"&amp;"oBt2692TMi6x_854/edit?usp=sharing"",""อ่างทอง!M146"")"),0)</f>
        <v>0</v>
      </c>
      <c r="N147" s="88">
        <f ca="1">IFERROR(__xludf.DUMMYFUNCTION("IMPORTRANGE(""https://docs.google.com/spreadsheets/d/13wPX838HrBrQMCywv1BsuMkt4PEKTChp52zj44s2izQ/edit?usp=sharing"",""กาญจนบุรี!N146"")+IMPORTRANGE(""https://docs.google.com/spreadsheets/d/1ddFKvqj1W1NEiWytbGlB1zMx_ykJDVtmfEQ-6-lIUBA/edit?usp=sharing"","&amp;"""จันทบุรี!N146"")+IMPORTRANGE(""https://docs.google.com/spreadsheets/d/1T1PQvRODqOBZk8BRht_U031fIS1beLA0Ub2CEytj2q0/edit?usp=sharing"",""ฉะเชิงเทรา!N146"")+IMPORTRANGE(""https://docs.google.com/spreadsheets/d/11tr1B-Bhyr79v2bkwVh5h_fR-PStkgjlZtkrZpYurG0/"&amp;"edit?usp=sharing"",""ชลบุรี!N146"")+IMPORTRANGE(""https://docs.google.com/spreadsheets/d/1hh-FVnSX0vozXhGluamEcS54Dw9_zqW0N7qJUWgJ0Sw/edit?usp=sharing"",""ชัยนาท!N146"")+IMPORTRANGE(""https://docs.google.com/spreadsheets/d/1jkqa6GXxSacMcY1eN8AHjMNJ_7dDXMJ"&amp;"VRLDlaFSOdPM/edit?usp=sharing"",""ตราด!N146"")+IMPORTRANGE(""https://docs.google.com/spreadsheets/d/18hSgUJ3VwClqi_qtULmmW3cLr0oe3OKaSYoKzdpTsYQ/edit?usp=sharing"",""นครนายก!N146"")+IMPORTRANGE(""https://docs.google.com/spreadsheets/d/1YTZo6WM2dQ6Ix6FSdnL"&amp;"5P7uVnVKu40sxZu975tgG10E/edit?usp=sharing"",""นครปฐม!N146"")+IMPORTRANGE(""https://docs.google.com/spreadsheets/d/1OYoGg4WDg5RIzwGeB10padOxJF9E_Vljuvvct_M7RDo/edit?usp=sharing"",""ปทุมธานี!N146"")+IMPORTRANGE(""https://docs.google.com/spreadsheets/d/1GbCI"&amp;"E4D4wk9FUozzqk7SxfDMxDVBwVmI5zcaVUSzKAc/edit?usp=sharing"",""ประจวบคีรีขันธ์!N146"")+IMPORTRANGE(""https://docs.google.com/spreadsheets/d/1vVf6wykvW_lAyu7Yo9L4hUTqHqIeP_qcVuxCtosJEbg/edit?usp=sharing"",""ปราจีนบุรี!N146"")+IMPORTRANGE(""https://docs.googl"&amp;"e.com/spreadsheets/d/1BIDqLLg5jk3v59G8NlR8rk5xfQDKne0sAvZHSj7TI6I/edit?usp=sharing"",""พระนครศรีอยุธยา!N146"")+IMPORTRANGE(""https://docs.google.com/spreadsheets/d/1YXvxf8Yu6_rV4hTBrwMqAcAnv6DfhUxh5emyM3CJp_w/edit?usp=sharing"",""เพชรบุรี!N146"")+IMPORTRA"&amp;"NGE(""https://docs.google.com/spreadsheets/d/19KBlQQs7uwvsao6t2n-KvW3Ax8J8uRRfZPq1zPbXgKc/edit?usp=sharing"",""ระยอง!N146"")+IMPORTRANGE(""https://docs.google.com/spreadsheets/d/1jQ6P4QcrGM89YfqcC_PxOHGCMq5ezhucwJd8ci-NHng/edit?usp=sharing"",""ราชบุรี!N14"&amp;"6"")+IMPORTRANGE(""https://docs.google.com/spreadsheets/d/1lufeA2cfFqM-elVq2hznhDzC6Pr7wkJ9ZG_sYNGCMCU/edit?usp=sharing"",""ลพบุรี!N146"")+IMPORTRANGE(""https://docs.google.com/spreadsheets/d/10oOiF7loTyfsTkbd4MpaIm0HQ9SwB7IYHdIUvt-U1Uc/edit?usp=sharing"""&amp;",""สระแก้ว!N146"")+IMPORTRANGE(""https://docs.google.com/spreadsheets/d/1xmPlrr1QbdSIKvl1dWUl9K4PjAfSL9oeMr_37QVzcxc/edit?usp=sharing"",""สระบุรี!N146"")+IMPORTRANGE(""https://docs.google.com/spreadsheets/d/1j51vR6CYVGhABJpv6tkstgok82RLpXieLzW1yOY5rHw/edi"&amp;"t?usp=sharing"",""สิงห์บุรี!N146"")+IMPORTRANGE(""https://docs.google.com/spreadsheets/d/1H1EalTWKUSzO4Z1-1CwzoDUaVffgrThEBe2sl74kKG0/edit?usp=sharing"",""สุพรรณบุรี!N146"")+IMPORTRANGE(""https://docs.google.com/spreadsheets/d/1BmIruG_sIrJLYao_Pdr7zVArWsf"&amp;"oBt2692TMi6x_854/edit?usp=sharing"",""อ่างทอง!N146"")"),0)</f>
        <v>0</v>
      </c>
      <c r="O147" s="88">
        <f t="shared" ca="1" si="110"/>
        <v>0</v>
      </c>
      <c r="P147" s="88">
        <f t="shared" ca="1" si="111"/>
        <v>0</v>
      </c>
      <c r="Q147" s="76">
        <f ca="1">IFERROR(__xludf.DUMMYFUNCTION("IMPORTRANGE(""https://docs.google.com/spreadsheets/d/13wPX838HrBrQMCywv1BsuMkt4PEKTChp52zj44s2izQ/edit?usp=sharing"",""กาญจนบุรี!Q146"")+IMPORTRANGE(""https://docs.google.com/spreadsheets/d/1ddFKvqj1W1NEiWytbGlB1zMx_ykJDVtmfEQ-6-lIUBA/edit?usp=sharing"","&amp;"""จันทบุรี!Q146"")+IMPORTRANGE(""https://docs.google.com/spreadsheets/d/1T1PQvRODqOBZk8BRht_U031fIS1beLA0Ub2CEytj2q0/edit?usp=sharing"",""ฉะเชิงเทรา!Q146"")+IMPORTRANGE(""https://docs.google.com/spreadsheets/d/11tr1B-Bhyr79v2bkwVh5h_fR-PStkgjlZtkrZpYurG0/"&amp;"edit?usp=sharing"",""ชลบุรี!Q146"")+IMPORTRANGE(""https://docs.google.com/spreadsheets/d/1hh-FVnSX0vozXhGluamEcS54Dw9_zqW0N7qJUWgJ0Sw/edit?usp=sharing"",""ชัยนาท!Q146"")+IMPORTRANGE(""https://docs.google.com/spreadsheets/d/1jkqa6GXxSacMcY1eN8AHjMNJ_7dDXMJ"&amp;"VRLDlaFSOdPM/edit?usp=sharing"",""ตราด!Q146"")+IMPORTRANGE(""https://docs.google.com/spreadsheets/d/18hSgUJ3VwClqi_qtULmmW3cLr0oe3OKaSYoKzdpTsYQ/edit?usp=sharing"",""นครนายก!Q146"")+IMPORTRANGE(""https://docs.google.com/spreadsheets/d/1YTZo6WM2dQ6Ix6FSdnL"&amp;"5P7uVnVKu40sxZu975tgG10E/edit?usp=sharing"",""นครปฐม!Q146"")+IMPORTRANGE(""https://docs.google.com/spreadsheets/d/1OYoGg4WDg5RIzwGeB10padOxJF9E_Vljuvvct_M7RDo/edit?usp=sharing"",""ปทุมธานี!Q146"")+IMPORTRANGE(""https://docs.google.com/spreadsheets/d/1GbCI"&amp;"E4D4wk9FUozzqk7SxfDMxDVBwVmI5zcaVUSzKAc/edit?usp=sharing"",""ประจวบคีรีขันธ์!Q146"")+IMPORTRANGE(""https://docs.google.com/spreadsheets/d/1vVf6wykvW_lAyu7Yo9L4hUTqHqIeP_qcVuxCtosJEbg/edit?usp=sharing"",""ปราจีนบุรี!Q146"")+IMPORTRANGE(""https://docs.googl"&amp;"e.com/spreadsheets/d/1BIDqLLg5jk3v59G8NlR8rk5xfQDKne0sAvZHSj7TI6I/edit?usp=sharing"",""พระนครศรีอยุธยา!Q146"")+IMPORTRANGE(""https://docs.google.com/spreadsheets/d/1YXvxf8Yu6_rV4hTBrwMqAcAnv6DfhUxh5emyM3CJp_w/edit?usp=sharing"",""เพชรบุรี!Q146"")+IMPORTRA"&amp;"NGE(""https://docs.google.com/spreadsheets/d/19KBlQQs7uwvsao6t2n-KvW3Ax8J8uRRfZPq1zPbXgKc/edit?usp=sharing"",""ระยอง!Q146"")+IMPORTRANGE(""https://docs.google.com/spreadsheets/d/1jQ6P4QcrGM89YfqcC_PxOHGCMq5ezhucwJd8ci-NHng/edit?usp=sharing"",""ราชบุรี!Q14"&amp;"6"")+IMPORTRANGE(""https://docs.google.com/spreadsheets/d/1lufeA2cfFqM-elVq2hznhDzC6Pr7wkJ9ZG_sYNGCMCU/edit?usp=sharing"",""ลพบุรี!Q146"")+IMPORTRANGE(""https://docs.google.com/spreadsheets/d/10oOiF7loTyfsTkbd4MpaIm0HQ9SwB7IYHdIUvt-U1Uc/edit?usp=sharing"""&amp;",""สระแก้ว!Q146"")+IMPORTRANGE(""https://docs.google.com/spreadsheets/d/1xmPlrr1QbdSIKvl1dWUl9K4PjAfSL9oeMr_37QVzcxc/edit?usp=sharing"",""สระบุรี!Q146"")+IMPORTRANGE(""https://docs.google.com/spreadsheets/d/1j51vR6CYVGhABJpv6tkstgok82RLpXieLzW1yOY5rHw/edi"&amp;"t?usp=sharing"",""สิงห์บุรี!Q146"")+IMPORTRANGE(""https://docs.google.com/spreadsheets/d/1H1EalTWKUSzO4Z1-1CwzoDUaVffgrThEBe2sl74kKG0/edit?usp=sharing"",""สุพรรณบุรี!Q146"")+IMPORTRANGE(""https://docs.google.com/spreadsheets/d/1BmIruG_sIrJLYao_Pdr7zVArWsf"&amp;"oBt2692TMi6x_854/edit?usp=sharing"",""อ่างทอง!Q146"")"),0)</f>
        <v>0</v>
      </c>
      <c r="R147" s="77">
        <f ca="1">IFERROR(__xludf.DUMMYFUNCTION("IMPORTRANGE(""https://docs.google.com/spreadsheets/d/13wPX838HrBrQMCywv1BsuMkt4PEKTChp52zj44s2izQ/edit?usp=sharing"",""กาญจนบุรี!R146"")+IMPORTRANGE(""https://docs.google.com/spreadsheets/d/1ddFKvqj1W1NEiWytbGlB1zMx_ykJDVtmfEQ-6-lIUBA/edit?usp=sharing"","&amp;"""จันทบุรี!R146"")+IMPORTRANGE(""https://docs.google.com/spreadsheets/d/1T1PQvRODqOBZk8BRht_U031fIS1beLA0Ub2CEytj2q0/edit?usp=sharing"",""ฉะเชิงเทรา!R146"")+IMPORTRANGE(""https://docs.google.com/spreadsheets/d/11tr1B-Bhyr79v2bkwVh5h_fR-PStkgjlZtkrZpYurG0/"&amp;"edit?usp=sharing"",""ชลบุรี!R146"")+IMPORTRANGE(""https://docs.google.com/spreadsheets/d/1hh-FVnSX0vozXhGluamEcS54Dw9_zqW0N7qJUWgJ0Sw/edit?usp=sharing"",""ชัยนาท!R146"")+IMPORTRANGE(""https://docs.google.com/spreadsheets/d/1jkqa6GXxSacMcY1eN8AHjMNJ_7dDXMJ"&amp;"VRLDlaFSOdPM/edit?usp=sharing"",""ตราด!R146"")+IMPORTRANGE(""https://docs.google.com/spreadsheets/d/18hSgUJ3VwClqi_qtULmmW3cLr0oe3OKaSYoKzdpTsYQ/edit?usp=sharing"",""นครนายก!R146"")+IMPORTRANGE(""https://docs.google.com/spreadsheets/d/1YTZo6WM2dQ6Ix6FSdnL"&amp;"5P7uVnVKu40sxZu975tgG10E/edit?usp=sharing"",""นครปฐม!R146"")+IMPORTRANGE(""https://docs.google.com/spreadsheets/d/1OYoGg4WDg5RIzwGeB10padOxJF9E_Vljuvvct_M7RDo/edit?usp=sharing"",""ปทุมธานี!R146"")+IMPORTRANGE(""https://docs.google.com/spreadsheets/d/1GbCI"&amp;"E4D4wk9FUozzqk7SxfDMxDVBwVmI5zcaVUSzKAc/edit?usp=sharing"",""ประจวบคีรีขันธ์!R146"")+IMPORTRANGE(""https://docs.google.com/spreadsheets/d/1vVf6wykvW_lAyu7Yo9L4hUTqHqIeP_qcVuxCtosJEbg/edit?usp=sharing"",""ปราจีนบุรี!R146"")+IMPORTRANGE(""https://docs.googl"&amp;"e.com/spreadsheets/d/1BIDqLLg5jk3v59G8NlR8rk5xfQDKne0sAvZHSj7TI6I/edit?usp=sharing"",""พระนครศรีอยุธยา!R146"")+IMPORTRANGE(""https://docs.google.com/spreadsheets/d/1YXvxf8Yu6_rV4hTBrwMqAcAnv6DfhUxh5emyM3CJp_w/edit?usp=sharing"",""เพชรบุรี!R146"")+IMPORTRA"&amp;"NGE(""https://docs.google.com/spreadsheets/d/19KBlQQs7uwvsao6t2n-KvW3Ax8J8uRRfZPq1zPbXgKc/edit?usp=sharing"",""ระยอง!R146"")+IMPORTRANGE(""https://docs.google.com/spreadsheets/d/1jQ6P4QcrGM89YfqcC_PxOHGCMq5ezhucwJd8ci-NHng/edit?usp=sharing"",""ราชบุรี!R14"&amp;"6"")+IMPORTRANGE(""https://docs.google.com/spreadsheets/d/1lufeA2cfFqM-elVq2hznhDzC6Pr7wkJ9ZG_sYNGCMCU/edit?usp=sharing"",""ลพบุรี!R146"")+IMPORTRANGE(""https://docs.google.com/spreadsheets/d/10oOiF7loTyfsTkbd4MpaIm0HQ9SwB7IYHdIUvt-U1Uc/edit?usp=sharing"""&amp;",""สระแก้ว!R146"")+IMPORTRANGE(""https://docs.google.com/spreadsheets/d/1xmPlrr1QbdSIKvl1dWUl9K4PjAfSL9oeMr_37QVzcxc/edit?usp=sharing"",""สระบุรี!R146"")+IMPORTRANGE(""https://docs.google.com/spreadsheets/d/1j51vR6CYVGhABJpv6tkstgok82RLpXieLzW1yOY5rHw/edi"&amp;"t?usp=sharing"",""สิงห์บุรี!R146"")+IMPORTRANGE(""https://docs.google.com/spreadsheets/d/1H1EalTWKUSzO4Z1-1CwzoDUaVffgrThEBe2sl74kKG0/edit?usp=sharing"",""สุพรรณบุรี!R146"")+IMPORTRANGE(""https://docs.google.com/spreadsheets/d/1BmIruG_sIrJLYao_Pdr7zVArWsf"&amp;"oBt2692TMi6x_854/edit?usp=sharing"",""อ่างทอง!R146"")"),0)</f>
        <v>0</v>
      </c>
      <c r="S147" s="77">
        <f ca="1">IFERROR(__xludf.DUMMYFUNCTION("IMPORTRANGE(""https://docs.google.com/spreadsheets/d/13wPX838HrBrQMCywv1BsuMkt4PEKTChp52zj44s2izQ/edit?usp=sharing"",""กาญจนบุรี!S146"")+IMPORTRANGE(""https://docs.google.com/spreadsheets/d/1ddFKvqj1W1NEiWytbGlB1zMx_ykJDVtmfEQ-6-lIUBA/edit?usp=sharing"","&amp;"""จันทบุรี!S146"")+IMPORTRANGE(""https://docs.google.com/spreadsheets/d/1T1PQvRODqOBZk8BRht_U031fIS1beLA0Ub2CEytj2q0/edit?usp=sharing"",""ฉะเชิงเทรา!S146"")+IMPORTRANGE(""https://docs.google.com/spreadsheets/d/11tr1B-Bhyr79v2bkwVh5h_fR-PStkgjlZtkrZpYurG0/"&amp;"edit?usp=sharing"",""ชลบุรี!S146"")+IMPORTRANGE(""https://docs.google.com/spreadsheets/d/1hh-FVnSX0vozXhGluamEcS54Dw9_zqW0N7qJUWgJ0Sw/edit?usp=sharing"",""ชัยนาท!S146"")+IMPORTRANGE(""https://docs.google.com/spreadsheets/d/1jkqa6GXxSacMcY1eN8AHjMNJ_7dDXMJ"&amp;"VRLDlaFSOdPM/edit?usp=sharing"",""ตราด!S146"")+IMPORTRANGE(""https://docs.google.com/spreadsheets/d/18hSgUJ3VwClqi_qtULmmW3cLr0oe3OKaSYoKzdpTsYQ/edit?usp=sharing"",""นครนายก!S146"")+IMPORTRANGE(""https://docs.google.com/spreadsheets/d/1YTZo6WM2dQ6Ix6FSdnL"&amp;"5P7uVnVKu40sxZu975tgG10E/edit?usp=sharing"",""นครปฐม!S146"")+IMPORTRANGE(""https://docs.google.com/spreadsheets/d/1OYoGg4WDg5RIzwGeB10padOxJF9E_Vljuvvct_M7RDo/edit?usp=sharing"",""ปทุมธานี!S146"")+IMPORTRANGE(""https://docs.google.com/spreadsheets/d/1GbCI"&amp;"E4D4wk9FUozzqk7SxfDMxDVBwVmI5zcaVUSzKAc/edit?usp=sharing"",""ประจวบคีรีขันธ์!S146"")+IMPORTRANGE(""https://docs.google.com/spreadsheets/d/1vVf6wykvW_lAyu7Yo9L4hUTqHqIeP_qcVuxCtosJEbg/edit?usp=sharing"",""ปราจีนบุรี!S146"")+IMPORTRANGE(""https://docs.googl"&amp;"e.com/spreadsheets/d/1BIDqLLg5jk3v59G8NlR8rk5xfQDKne0sAvZHSj7TI6I/edit?usp=sharing"",""พระนครศรีอยุธยา!S146"")+IMPORTRANGE(""https://docs.google.com/spreadsheets/d/1YXvxf8Yu6_rV4hTBrwMqAcAnv6DfhUxh5emyM3CJp_w/edit?usp=sharing"",""เพชรบุรี!S146"")+IMPORTRA"&amp;"NGE(""https://docs.google.com/spreadsheets/d/19KBlQQs7uwvsao6t2n-KvW3Ax8J8uRRfZPq1zPbXgKc/edit?usp=sharing"",""ระยอง!S146"")+IMPORTRANGE(""https://docs.google.com/spreadsheets/d/1jQ6P4QcrGM89YfqcC_PxOHGCMq5ezhucwJd8ci-NHng/edit?usp=sharing"",""ราชบุรี!S14"&amp;"6"")+IMPORTRANGE(""https://docs.google.com/spreadsheets/d/1lufeA2cfFqM-elVq2hznhDzC6Pr7wkJ9ZG_sYNGCMCU/edit?usp=sharing"",""ลพบุรี!S146"")+IMPORTRANGE(""https://docs.google.com/spreadsheets/d/10oOiF7loTyfsTkbd4MpaIm0HQ9SwB7IYHdIUvt-U1Uc/edit?usp=sharing"""&amp;",""สระแก้ว!S146"")+IMPORTRANGE(""https://docs.google.com/spreadsheets/d/1xmPlrr1QbdSIKvl1dWUl9K4PjAfSL9oeMr_37QVzcxc/edit?usp=sharing"",""สระบุรี!S146"")+IMPORTRANGE(""https://docs.google.com/spreadsheets/d/1j51vR6CYVGhABJpv6tkstgok82RLpXieLzW1yOY5rHw/edi"&amp;"t?usp=sharing"",""สิงห์บุรี!S146"")+IMPORTRANGE(""https://docs.google.com/spreadsheets/d/1H1EalTWKUSzO4Z1-1CwzoDUaVffgrThEBe2sl74kKG0/edit?usp=sharing"",""สุพรรณบุรี!S146"")+IMPORTRANGE(""https://docs.google.com/spreadsheets/d/1BmIruG_sIrJLYao_Pdr7zVArWsf"&amp;"oBt2692TMi6x_854/edit?usp=sharing"",""อ่างทอง!S146"")"),0)</f>
        <v>0</v>
      </c>
      <c r="T147" s="133">
        <f t="shared" ca="1" si="113"/>
        <v>0</v>
      </c>
      <c r="U147" s="133">
        <f t="shared" ca="1" si="114"/>
        <v>0</v>
      </c>
    </row>
    <row r="148" spans="1:21" ht="18.75" x14ac:dyDescent="0.25">
      <c r="A148" s="209"/>
      <c r="B148" s="67"/>
      <c r="C148" s="67"/>
      <c r="D148" s="67"/>
      <c r="E148" s="75" t="s">
        <v>21</v>
      </c>
      <c r="F148" s="67"/>
      <c r="G148" s="69"/>
      <c r="H148" s="221" t="s">
        <v>14</v>
      </c>
      <c r="I148" s="219"/>
      <c r="J148" s="219"/>
      <c r="K148" s="220"/>
      <c r="L148" s="88">
        <f ca="1">IFERROR(__xludf.DUMMYFUNCTION("IMPORTRANGE(""https://docs.google.com/spreadsheets/d/13wPX838HrBrQMCywv1BsuMkt4PEKTChp52zj44s2izQ/edit?usp=sharing"",""กาญจนบุรี!L147"")+IMPORTRANGE(""https://docs.google.com/spreadsheets/d/1ddFKvqj1W1NEiWytbGlB1zMx_ykJDVtmfEQ-6-lIUBA/edit?usp=sharing"","&amp;"""จันทบุรี!L147"")+IMPORTRANGE(""https://docs.google.com/spreadsheets/d/1T1PQvRODqOBZk8BRht_U031fIS1beLA0Ub2CEytj2q0/edit?usp=sharing"",""ฉะเชิงเทรา!L147"")+IMPORTRANGE(""https://docs.google.com/spreadsheets/d/11tr1B-Bhyr79v2bkwVh5h_fR-PStkgjlZtkrZpYurG0/"&amp;"edit?usp=sharing"",""ชลบุรี!L147"")+IMPORTRANGE(""https://docs.google.com/spreadsheets/d/1hh-FVnSX0vozXhGluamEcS54Dw9_zqW0N7qJUWgJ0Sw/edit?usp=sharing"",""ชัยนาท!L147"")+IMPORTRANGE(""https://docs.google.com/spreadsheets/d/1jkqa6GXxSacMcY1eN8AHjMNJ_7dDXMJ"&amp;"VRLDlaFSOdPM/edit?usp=sharing"",""ตราด!L147"")+IMPORTRANGE(""https://docs.google.com/spreadsheets/d/18hSgUJ3VwClqi_qtULmmW3cLr0oe3OKaSYoKzdpTsYQ/edit?usp=sharing"",""นครนายก!L147"")+IMPORTRANGE(""https://docs.google.com/spreadsheets/d/1YTZo6WM2dQ6Ix6FSdnL"&amp;"5P7uVnVKu40sxZu975tgG10E/edit?usp=sharing"",""นครปฐม!L147"")+IMPORTRANGE(""https://docs.google.com/spreadsheets/d/1OYoGg4WDg5RIzwGeB10padOxJF9E_Vljuvvct_M7RDo/edit?usp=sharing"",""ปทุมธานี!L147"")+IMPORTRANGE(""https://docs.google.com/spreadsheets/d/1GbCI"&amp;"E4D4wk9FUozzqk7SxfDMxDVBwVmI5zcaVUSzKAc/edit?usp=sharing"",""ประจวบคีรีขันธ์!L147"")+IMPORTRANGE(""https://docs.google.com/spreadsheets/d/1vVf6wykvW_lAyu7Yo9L4hUTqHqIeP_qcVuxCtosJEbg/edit?usp=sharing"",""ปราจีนบุรี!L147"")+IMPORTRANGE(""https://docs.googl"&amp;"e.com/spreadsheets/d/1BIDqLLg5jk3v59G8NlR8rk5xfQDKne0sAvZHSj7TI6I/edit?usp=sharing"",""พระนครศรีอยุธยา!L147"")+IMPORTRANGE(""https://docs.google.com/spreadsheets/d/1YXvxf8Yu6_rV4hTBrwMqAcAnv6DfhUxh5emyM3CJp_w/edit?usp=sharing"",""เพชรบุรี!L147"")+IMPORTRA"&amp;"NGE(""https://docs.google.com/spreadsheets/d/19KBlQQs7uwvsao6t2n-KvW3Ax8J8uRRfZPq1zPbXgKc/edit?usp=sharing"",""ระยอง!L147"")+IMPORTRANGE(""https://docs.google.com/spreadsheets/d/1jQ6P4QcrGM89YfqcC_PxOHGCMq5ezhucwJd8ci-NHng/edit?usp=sharing"",""ราชบุรี!L14"&amp;"7"")+IMPORTRANGE(""https://docs.google.com/spreadsheets/d/1lufeA2cfFqM-elVq2hznhDzC6Pr7wkJ9ZG_sYNGCMCU/edit?usp=sharing"",""ลพบุรี!L147"")+IMPORTRANGE(""https://docs.google.com/spreadsheets/d/10oOiF7loTyfsTkbd4MpaIm0HQ9SwB7IYHdIUvt-U1Uc/edit?usp=sharing"""&amp;",""สระแก้ว!L147"")+IMPORTRANGE(""https://docs.google.com/spreadsheets/d/1xmPlrr1QbdSIKvl1dWUl9K4PjAfSL9oeMr_37QVzcxc/edit?usp=sharing"",""สระบุรี!L147"")+IMPORTRANGE(""https://docs.google.com/spreadsheets/d/1j51vR6CYVGhABJpv6tkstgok82RLpXieLzW1yOY5rHw/edi"&amp;"t?usp=sharing"",""สิงห์บุรี!L147"")+IMPORTRANGE(""https://docs.google.com/spreadsheets/d/1H1EalTWKUSzO4Z1-1CwzoDUaVffgrThEBe2sl74kKG0/edit?usp=sharing"",""สุพรรณบุรี!L147"")+IMPORTRANGE(""https://docs.google.com/spreadsheets/d/1BmIruG_sIrJLYao_Pdr7zVArWsf"&amp;"oBt2692TMi6x_854/edit?usp=sharing"",""อ่างทอง!L147"")"),0)</f>
        <v>0</v>
      </c>
      <c r="M148" s="88">
        <f ca="1">IFERROR(__xludf.DUMMYFUNCTION("IMPORTRANGE(""https://docs.google.com/spreadsheets/d/13wPX838HrBrQMCywv1BsuMkt4PEKTChp52zj44s2izQ/edit?usp=sharing"",""กาญจนบุรี!M147"")+IMPORTRANGE(""https://docs.google.com/spreadsheets/d/1ddFKvqj1W1NEiWytbGlB1zMx_ykJDVtmfEQ-6-lIUBA/edit?usp=sharing"","&amp;"""จันทบุรี!M147"")+IMPORTRANGE(""https://docs.google.com/spreadsheets/d/1T1PQvRODqOBZk8BRht_U031fIS1beLA0Ub2CEytj2q0/edit?usp=sharing"",""ฉะเชิงเทรา!M147"")+IMPORTRANGE(""https://docs.google.com/spreadsheets/d/11tr1B-Bhyr79v2bkwVh5h_fR-PStkgjlZtkrZpYurG0/"&amp;"edit?usp=sharing"",""ชลบุรี!M147"")+IMPORTRANGE(""https://docs.google.com/spreadsheets/d/1hh-FVnSX0vozXhGluamEcS54Dw9_zqW0N7qJUWgJ0Sw/edit?usp=sharing"",""ชัยนาท!M147"")+IMPORTRANGE(""https://docs.google.com/spreadsheets/d/1jkqa6GXxSacMcY1eN8AHjMNJ_7dDXMJ"&amp;"VRLDlaFSOdPM/edit?usp=sharing"",""ตราด!M147"")+IMPORTRANGE(""https://docs.google.com/spreadsheets/d/18hSgUJ3VwClqi_qtULmmW3cLr0oe3OKaSYoKzdpTsYQ/edit?usp=sharing"",""นครนายก!M147"")+IMPORTRANGE(""https://docs.google.com/spreadsheets/d/1YTZo6WM2dQ6Ix6FSdnL"&amp;"5P7uVnVKu40sxZu975tgG10E/edit?usp=sharing"",""นครปฐม!M147"")+IMPORTRANGE(""https://docs.google.com/spreadsheets/d/1OYoGg4WDg5RIzwGeB10padOxJF9E_Vljuvvct_M7RDo/edit?usp=sharing"",""ปทุมธานี!M147"")+IMPORTRANGE(""https://docs.google.com/spreadsheets/d/1GbCI"&amp;"E4D4wk9FUozzqk7SxfDMxDVBwVmI5zcaVUSzKAc/edit?usp=sharing"",""ประจวบคีรีขันธ์!M147"")+IMPORTRANGE(""https://docs.google.com/spreadsheets/d/1vVf6wykvW_lAyu7Yo9L4hUTqHqIeP_qcVuxCtosJEbg/edit?usp=sharing"",""ปราจีนบุรี!M147"")+IMPORTRANGE(""https://docs.googl"&amp;"e.com/spreadsheets/d/1BIDqLLg5jk3v59G8NlR8rk5xfQDKne0sAvZHSj7TI6I/edit?usp=sharing"",""พระนครศรีอยุธยา!M147"")+IMPORTRANGE(""https://docs.google.com/spreadsheets/d/1YXvxf8Yu6_rV4hTBrwMqAcAnv6DfhUxh5emyM3CJp_w/edit?usp=sharing"",""เพชรบุรี!M147"")+IMPORTRA"&amp;"NGE(""https://docs.google.com/spreadsheets/d/19KBlQQs7uwvsao6t2n-KvW3Ax8J8uRRfZPq1zPbXgKc/edit?usp=sharing"",""ระยอง!M147"")+IMPORTRANGE(""https://docs.google.com/spreadsheets/d/1jQ6P4QcrGM89YfqcC_PxOHGCMq5ezhucwJd8ci-NHng/edit?usp=sharing"",""ราชบุรี!M14"&amp;"7"")+IMPORTRANGE(""https://docs.google.com/spreadsheets/d/1lufeA2cfFqM-elVq2hznhDzC6Pr7wkJ9ZG_sYNGCMCU/edit?usp=sharing"",""ลพบุรี!M147"")+IMPORTRANGE(""https://docs.google.com/spreadsheets/d/10oOiF7loTyfsTkbd4MpaIm0HQ9SwB7IYHdIUvt-U1Uc/edit?usp=sharing"""&amp;",""สระแก้ว!M147"")+IMPORTRANGE(""https://docs.google.com/spreadsheets/d/1xmPlrr1QbdSIKvl1dWUl9K4PjAfSL9oeMr_37QVzcxc/edit?usp=sharing"",""สระบุรี!M147"")+IMPORTRANGE(""https://docs.google.com/spreadsheets/d/1j51vR6CYVGhABJpv6tkstgok82RLpXieLzW1yOY5rHw/edi"&amp;"t?usp=sharing"",""สิงห์บุรี!M147"")+IMPORTRANGE(""https://docs.google.com/spreadsheets/d/1H1EalTWKUSzO4Z1-1CwzoDUaVffgrThEBe2sl74kKG0/edit?usp=sharing"",""สุพรรณบุรี!M147"")+IMPORTRANGE(""https://docs.google.com/spreadsheets/d/1BmIruG_sIrJLYao_Pdr7zVArWsf"&amp;"oBt2692TMi6x_854/edit?usp=sharing"",""อ่างทอง!M147"")"),0)</f>
        <v>0</v>
      </c>
      <c r="N148" s="88">
        <f ca="1">IFERROR(__xludf.DUMMYFUNCTION("IMPORTRANGE(""https://docs.google.com/spreadsheets/d/13wPX838HrBrQMCywv1BsuMkt4PEKTChp52zj44s2izQ/edit?usp=sharing"",""กาญจนบุรี!N147"")+IMPORTRANGE(""https://docs.google.com/spreadsheets/d/1ddFKvqj1W1NEiWytbGlB1zMx_ykJDVtmfEQ-6-lIUBA/edit?usp=sharing"","&amp;"""จันทบุรี!N147"")+IMPORTRANGE(""https://docs.google.com/spreadsheets/d/1T1PQvRODqOBZk8BRht_U031fIS1beLA0Ub2CEytj2q0/edit?usp=sharing"",""ฉะเชิงเทรา!N147"")+IMPORTRANGE(""https://docs.google.com/spreadsheets/d/11tr1B-Bhyr79v2bkwVh5h_fR-PStkgjlZtkrZpYurG0/"&amp;"edit?usp=sharing"",""ชลบุรี!N147"")+IMPORTRANGE(""https://docs.google.com/spreadsheets/d/1hh-FVnSX0vozXhGluamEcS54Dw9_zqW0N7qJUWgJ0Sw/edit?usp=sharing"",""ชัยนาท!N147"")+IMPORTRANGE(""https://docs.google.com/spreadsheets/d/1jkqa6GXxSacMcY1eN8AHjMNJ_7dDXMJ"&amp;"VRLDlaFSOdPM/edit?usp=sharing"",""ตราด!N147"")+IMPORTRANGE(""https://docs.google.com/spreadsheets/d/18hSgUJ3VwClqi_qtULmmW3cLr0oe3OKaSYoKzdpTsYQ/edit?usp=sharing"",""นครนายก!N147"")+IMPORTRANGE(""https://docs.google.com/spreadsheets/d/1YTZo6WM2dQ6Ix6FSdnL"&amp;"5P7uVnVKu40sxZu975tgG10E/edit?usp=sharing"",""นครปฐม!N147"")+IMPORTRANGE(""https://docs.google.com/spreadsheets/d/1OYoGg4WDg5RIzwGeB10padOxJF9E_Vljuvvct_M7RDo/edit?usp=sharing"",""ปทุมธานี!N147"")+IMPORTRANGE(""https://docs.google.com/spreadsheets/d/1GbCI"&amp;"E4D4wk9FUozzqk7SxfDMxDVBwVmI5zcaVUSzKAc/edit?usp=sharing"",""ประจวบคีรีขันธ์!N147"")+IMPORTRANGE(""https://docs.google.com/spreadsheets/d/1vVf6wykvW_lAyu7Yo9L4hUTqHqIeP_qcVuxCtosJEbg/edit?usp=sharing"",""ปราจีนบุรี!N147"")+IMPORTRANGE(""https://docs.googl"&amp;"e.com/spreadsheets/d/1BIDqLLg5jk3v59G8NlR8rk5xfQDKne0sAvZHSj7TI6I/edit?usp=sharing"",""พระนครศรีอยุธยา!N147"")+IMPORTRANGE(""https://docs.google.com/spreadsheets/d/1YXvxf8Yu6_rV4hTBrwMqAcAnv6DfhUxh5emyM3CJp_w/edit?usp=sharing"",""เพชรบุรี!N147"")+IMPORTRA"&amp;"NGE(""https://docs.google.com/spreadsheets/d/19KBlQQs7uwvsao6t2n-KvW3Ax8J8uRRfZPq1zPbXgKc/edit?usp=sharing"",""ระยอง!N147"")+IMPORTRANGE(""https://docs.google.com/spreadsheets/d/1jQ6P4QcrGM89YfqcC_PxOHGCMq5ezhucwJd8ci-NHng/edit?usp=sharing"",""ราชบุรี!N14"&amp;"7"")+IMPORTRANGE(""https://docs.google.com/spreadsheets/d/1lufeA2cfFqM-elVq2hznhDzC6Pr7wkJ9ZG_sYNGCMCU/edit?usp=sharing"",""ลพบุรี!N147"")+IMPORTRANGE(""https://docs.google.com/spreadsheets/d/10oOiF7loTyfsTkbd4MpaIm0HQ9SwB7IYHdIUvt-U1Uc/edit?usp=sharing"""&amp;",""สระแก้ว!N147"")+IMPORTRANGE(""https://docs.google.com/spreadsheets/d/1xmPlrr1QbdSIKvl1dWUl9K4PjAfSL9oeMr_37QVzcxc/edit?usp=sharing"",""สระบุรี!N147"")+IMPORTRANGE(""https://docs.google.com/spreadsheets/d/1j51vR6CYVGhABJpv6tkstgok82RLpXieLzW1yOY5rHw/edi"&amp;"t?usp=sharing"",""สิงห์บุรี!N147"")+IMPORTRANGE(""https://docs.google.com/spreadsheets/d/1H1EalTWKUSzO4Z1-1CwzoDUaVffgrThEBe2sl74kKG0/edit?usp=sharing"",""สุพรรณบุรี!N147"")+IMPORTRANGE(""https://docs.google.com/spreadsheets/d/1BmIruG_sIrJLYao_Pdr7zVArWsf"&amp;"oBt2692TMi6x_854/edit?usp=sharing"",""อ่างทอง!N147"")"),0)</f>
        <v>0</v>
      </c>
      <c r="O148" s="88">
        <f t="shared" ca="1" si="110"/>
        <v>0</v>
      </c>
      <c r="P148" s="88">
        <f t="shared" ca="1" si="111"/>
        <v>0</v>
      </c>
      <c r="Q148" s="73">
        <f ca="1">IFERROR(__xludf.DUMMYFUNCTION("IMPORTRANGE(""https://docs.google.com/spreadsheets/d/13wPX838HrBrQMCywv1BsuMkt4PEKTChp52zj44s2izQ/edit?usp=sharing"",""กาญจนบุรี!Q147"")+IMPORTRANGE(""https://docs.google.com/spreadsheets/d/1ddFKvqj1W1NEiWytbGlB1zMx_ykJDVtmfEQ-6-lIUBA/edit?usp=sharing"","&amp;"""จันทบุรี!Q147"")+IMPORTRANGE(""https://docs.google.com/spreadsheets/d/1T1PQvRODqOBZk8BRht_U031fIS1beLA0Ub2CEytj2q0/edit?usp=sharing"",""ฉะเชิงเทรา!Q147"")+IMPORTRANGE(""https://docs.google.com/spreadsheets/d/11tr1B-Bhyr79v2bkwVh5h_fR-PStkgjlZtkrZpYurG0/"&amp;"edit?usp=sharing"",""ชลบุรี!Q147"")+IMPORTRANGE(""https://docs.google.com/spreadsheets/d/1hh-FVnSX0vozXhGluamEcS54Dw9_zqW0N7qJUWgJ0Sw/edit?usp=sharing"",""ชัยนาท!Q147"")+IMPORTRANGE(""https://docs.google.com/spreadsheets/d/1jkqa6GXxSacMcY1eN8AHjMNJ_7dDXMJ"&amp;"VRLDlaFSOdPM/edit?usp=sharing"",""ตราด!Q147"")+IMPORTRANGE(""https://docs.google.com/spreadsheets/d/18hSgUJ3VwClqi_qtULmmW3cLr0oe3OKaSYoKzdpTsYQ/edit?usp=sharing"",""นครนายก!Q147"")+IMPORTRANGE(""https://docs.google.com/spreadsheets/d/1YTZo6WM2dQ6Ix6FSdnL"&amp;"5P7uVnVKu40sxZu975tgG10E/edit?usp=sharing"",""นครปฐม!Q147"")+IMPORTRANGE(""https://docs.google.com/spreadsheets/d/1OYoGg4WDg5RIzwGeB10padOxJF9E_Vljuvvct_M7RDo/edit?usp=sharing"",""ปทุมธานี!Q147"")+IMPORTRANGE(""https://docs.google.com/spreadsheets/d/1GbCI"&amp;"E4D4wk9FUozzqk7SxfDMxDVBwVmI5zcaVUSzKAc/edit?usp=sharing"",""ประจวบคีรีขันธ์!Q147"")+IMPORTRANGE(""https://docs.google.com/spreadsheets/d/1vVf6wykvW_lAyu7Yo9L4hUTqHqIeP_qcVuxCtosJEbg/edit?usp=sharing"",""ปราจีนบุรี!Q147"")+IMPORTRANGE(""https://docs.googl"&amp;"e.com/spreadsheets/d/1BIDqLLg5jk3v59G8NlR8rk5xfQDKne0sAvZHSj7TI6I/edit?usp=sharing"",""พระนครศรีอยุธยา!Q147"")+IMPORTRANGE(""https://docs.google.com/spreadsheets/d/1YXvxf8Yu6_rV4hTBrwMqAcAnv6DfhUxh5emyM3CJp_w/edit?usp=sharing"",""เพชรบุรี!Q147"")+IMPORTRA"&amp;"NGE(""https://docs.google.com/spreadsheets/d/19KBlQQs7uwvsao6t2n-KvW3Ax8J8uRRfZPq1zPbXgKc/edit?usp=sharing"",""ระยอง!Q147"")+IMPORTRANGE(""https://docs.google.com/spreadsheets/d/1jQ6P4QcrGM89YfqcC_PxOHGCMq5ezhucwJd8ci-NHng/edit?usp=sharing"",""ราชบุรี!Q14"&amp;"7"")+IMPORTRANGE(""https://docs.google.com/spreadsheets/d/1lufeA2cfFqM-elVq2hznhDzC6Pr7wkJ9ZG_sYNGCMCU/edit?usp=sharing"",""ลพบุรี!Q147"")+IMPORTRANGE(""https://docs.google.com/spreadsheets/d/10oOiF7loTyfsTkbd4MpaIm0HQ9SwB7IYHdIUvt-U1Uc/edit?usp=sharing"""&amp;",""สระแก้ว!Q147"")+IMPORTRANGE(""https://docs.google.com/spreadsheets/d/1xmPlrr1QbdSIKvl1dWUl9K4PjAfSL9oeMr_37QVzcxc/edit?usp=sharing"",""สระบุรี!Q147"")+IMPORTRANGE(""https://docs.google.com/spreadsheets/d/1j51vR6CYVGhABJpv6tkstgok82RLpXieLzW1yOY5rHw/edi"&amp;"t?usp=sharing"",""สิงห์บุรี!Q147"")+IMPORTRANGE(""https://docs.google.com/spreadsheets/d/1H1EalTWKUSzO4Z1-1CwzoDUaVffgrThEBe2sl74kKG0/edit?usp=sharing"",""สุพรรณบุรี!Q147"")+IMPORTRANGE(""https://docs.google.com/spreadsheets/d/1BmIruG_sIrJLYao_Pdr7zVArWsf"&amp;"oBt2692TMi6x_854/edit?usp=sharing"",""อ่างทอง!Q147"")"),0)</f>
        <v>0</v>
      </c>
      <c r="R148" s="74">
        <f ca="1">IFERROR(__xludf.DUMMYFUNCTION("IMPORTRANGE(""https://docs.google.com/spreadsheets/d/13wPX838HrBrQMCywv1BsuMkt4PEKTChp52zj44s2izQ/edit?usp=sharing"",""กาญจนบุรี!R147"")+IMPORTRANGE(""https://docs.google.com/spreadsheets/d/1ddFKvqj1W1NEiWytbGlB1zMx_ykJDVtmfEQ-6-lIUBA/edit?usp=sharing"","&amp;"""จันทบุรี!R147"")+IMPORTRANGE(""https://docs.google.com/spreadsheets/d/1T1PQvRODqOBZk8BRht_U031fIS1beLA0Ub2CEytj2q0/edit?usp=sharing"",""ฉะเชิงเทรา!R147"")+IMPORTRANGE(""https://docs.google.com/spreadsheets/d/11tr1B-Bhyr79v2bkwVh5h_fR-PStkgjlZtkrZpYurG0/"&amp;"edit?usp=sharing"",""ชลบุรี!R147"")+IMPORTRANGE(""https://docs.google.com/spreadsheets/d/1hh-FVnSX0vozXhGluamEcS54Dw9_zqW0N7qJUWgJ0Sw/edit?usp=sharing"",""ชัยนาท!R147"")+IMPORTRANGE(""https://docs.google.com/spreadsheets/d/1jkqa6GXxSacMcY1eN8AHjMNJ_7dDXMJ"&amp;"VRLDlaFSOdPM/edit?usp=sharing"",""ตราด!R147"")+IMPORTRANGE(""https://docs.google.com/spreadsheets/d/18hSgUJ3VwClqi_qtULmmW3cLr0oe3OKaSYoKzdpTsYQ/edit?usp=sharing"",""นครนายก!R147"")+IMPORTRANGE(""https://docs.google.com/spreadsheets/d/1YTZo6WM2dQ6Ix6FSdnL"&amp;"5P7uVnVKu40sxZu975tgG10E/edit?usp=sharing"",""นครปฐม!R147"")+IMPORTRANGE(""https://docs.google.com/spreadsheets/d/1OYoGg4WDg5RIzwGeB10padOxJF9E_Vljuvvct_M7RDo/edit?usp=sharing"",""ปทุมธานี!R147"")+IMPORTRANGE(""https://docs.google.com/spreadsheets/d/1GbCI"&amp;"E4D4wk9FUozzqk7SxfDMxDVBwVmI5zcaVUSzKAc/edit?usp=sharing"",""ประจวบคีรีขันธ์!R147"")+IMPORTRANGE(""https://docs.google.com/spreadsheets/d/1vVf6wykvW_lAyu7Yo9L4hUTqHqIeP_qcVuxCtosJEbg/edit?usp=sharing"",""ปราจีนบุรี!R147"")+IMPORTRANGE(""https://docs.googl"&amp;"e.com/spreadsheets/d/1BIDqLLg5jk3v59G8NlR8rk5xfQDKne0sAvZHSj7TI6I/edit?usp=sharing"",""พระนครศรีอยุธยา!R147"")+IMPORTRANGE(""https://docs.google.com/spreadsheets/d/1YXvxf8Yu6_rV4hTBrwMqAcAnv6DfhUxh5emyM3CJp_w/edit?usp=sharing"",""เพชรบุรี!R147"")+IMPORTRA"&amp;"NGE(""https://docs.google.com/spreadsheets/d/19KBlQQs7uwvsao6t2n-KvW3Ax8J8uRRfZPq1zPbXgKc/edit?usp=sharing"",""ระยอง!R147"")+IMPORTRANGE(""https://docs.google.com/spreadsheets/d/1jQ6P4QcrGM89YfqcC_PxOHGCMq5ezhucwJd8ci-NHng/edit?usp=sharing"",""ราชบุรี!R14"&amp;"7"")+IMPORTRANGE(""https://docs.google.com/spreadsheets/d/1lufeA2cfFqM-elVq2hznhDzC6Pr7wkJ9ZG_sYNGCMCU/edit?usp=sharing"",""ลพบุรี!R147"")+IMPORTRANGE(""https://docs.google.com/spreadsheets/d/10oOiF7loTyfsTkbd4MpaIm0HQ9SwB7IYHdIUvt-U1Uc/edit?usp=sharing"""&amp;",""สระแก้ว!R147"")+IMPORTRANGE(""https://docs.google.com/spreadsheets/d/1xmPlrr1QbdSIKvl1dWUl9K4PjAfSL9oeMr_37QVzcxc/edit?usp=sharing"",""สระบุรี!R147"")+IMPORTRANGE(""https://docs.google.com/spreadsheets/d/1j51vR6CYVGhABJpv6tkstgok82RLpXieLzW1yOY5rHw/edi"&amp;"t?usp=sharing"",""สิงห์บุรี!R147"")+IMPORTRANGE(""https://docs.google.com/spreadsheets/d/1H1EalTWKUSzO4Z1-1CwzoDUaVffgrThEBe2sl74kKG0/edit?usp=sharing"",""สุพรรณบุรี!R147"")+IMPORTRANGE(""https://docs.google.com/spreadsheets/d/1BmIruG_sIrJLYao_Pdr7zVArWsf"&amp;"oBt2692TMi6x_854/edit?usp=sharing"",""อ่างทอง!R147"")"),0)</f>
        <v>0</v>
      </c>
      <c r="S148" s="74">
        <f ca="1">IFERROR(__xludf.DUMMYFUNCTION("IMPORTRANGE(""https://docs.google.com/spreadsheets/d/13wPX838HrBrQMCywv1BsuMkt4PEKTChp52zj44s2izQ/edit?usp=sharing"",""กาญจนบุรี!S147"")+IMPORTRANGE(""https://docs.google.com/spreadsheets/d/1ddFKvqj1W1NEiWytbGlB1zMx_ykJDVtmfEQ-6-lIUBA/edit?usp=sharing"","&amp;"""จันทบุรี!S147"")+IMPORTRANGE(""https://docs.google.com/spreadsheets/d/1T1PQvRODqOBZk8BRht_U031fIS1beLA0Ub2CEytj2q0/edit?usp=sharing"",""ฉะเชิงเทรา!S147"")+IMPORTRANGE(""https://docs.google.com/spreadsheets/d/11tr1B-Bhyr79v2bkwVh5h_fR-PStkgjlZtkrZpYurG0/"&amp;"edit?usp=sharing"",""ชลบุรี!S147"")+IMPORTRANGE(""https://docs.google.com/spreadsheets/d/1hh-FVnSX0vozXhGluamEcS54Dw9_zqW0N7qJUWgJ0Sw/edit?usp=sharing"",""ชัยนาท!S147"")+IMPORTRANGE(""https://docs.google.com/spreadsheets/d/1jkqa6GXxSacMcY1eN8AHjMNJ_7dDXMJ"&amp;"VRLDlaFSOdPM/edit?usp=sharing"",""ตราด!S147"")+IMPORTRANGE(""https://docs.google.com/spreadsheets/d/18hSgUJ3VwClqi_qtULmmW3cLr0oe3OKaSYoKzdpTsYQ/edit?usp=sharing"",""นครนายก!S147"")+IMPORTRANGE(""https://docs.google.com/spreadsheets/d/1YTZo6WM2dQ6Ix6FSdnL"&amp;"5P7uVnVKu40sxZu975tgG10E/edit?usp=sharing"",""นครปฐม!S147"")+IMPORTRANGE(""https://docs.google.com/spreadsheets/d/1OYoGg4WDg5RIzwGeB10padOxJF9E_Vljuvvct_M7RDo/edit?usp=sharing"",""ปทุมธานี!S147"")+IMPORTRANGE(""https://docs.google.com/spreadsheets/d/1GbCI"&amp;"E4D4wk9FUozzqk7SxfDMxDVBwVmI5zcaVUSzKAc/edit?usp=sharing"",""ประจวบคีรีขันธ์!S147"")+IMPORTRANGE(""https://docs.google.com/spreadsheets/d/1vVf6wykvW_lAyu7Yo9L4hUTqHqIeP_qcVuxCtosJEbg/edit?usp=sharing"",""ปราจีนบุรี!S147"")+IMPORTRANGE(""https://docs.googl"&amp;"e.com/spreadsheets/d/1BIDqLLg5jk3v59G8NlR8rk5xfQDKne0sAvZHSj7TI6I/edit?usp=sharing"",""พระนครศรีอยุธยา!S147"")+IMPORTRANGE(""https://docs.google.com/spreadsheets/d/1YXvxf8Yu6_rV4hTBrwMqAcAnv6DfhUxh5emyM3CJp_w/edit?usp=sharing"",""เพชรบุรี!S147"")+IMPORTRA"&amp;"NGE(""https://docs.google.com/spreadsheets/d/19KBlQQs7uwvsao6t2n-KvW3Ax8J8uRRfZPq1zPbXgKc/edit?usp=sharing"",""ระยอง!S147"")+IMPORTRANGE(""https://docs.google.com/spreadsheets/d/1jQ6P4QcrGM89YfqcC_PxOHGCMq5ezhucwJd8ci-NHng/edit?usp=sharing"",""ราชบุรี!S14"&amp;"7"")+IMPORTRANGE(""https://docs.google.com/spreadsheets/d/1lufeA2cfFqM-elVq2hznhDzC6Pr7wkJ9ZG_sYNGCMCU/edit?usp=sharing"",""ลพบุรี!S147"")+IMPORTRANGE(""https://docs.google.com/spreadsheets/d/10oOiF7loTyfsTkbd4MpaIm0HQ9SwB7IYHdIUvt-U1Uc/edit?usp=sharing"""&amp;",""สระแก้ว!S147"")+IMPORTRANGE(""https://docs.google.com/spreadsheets/d/1xmPlrr1QbdSIKvl1dWUl9K4PjAfSL9oeMr_37QVzcxc/edit?usp=sharing"",""สระบุรี!S147"")+IMPORTRANGE(""https://docs.google.com/spreadsheets/d/1j51vR6CYVGhABJpv6tkstgok82RLpXieLzW1yOY5rHw/edi"&amp;"t?usp=sharing"",""สิงห์บุรี!S147"")+IMPORTRANGE(""https://docs.google.com/spreadsheets/d/1H1EalTWKUSzO4Z1-1CwzoDUaVffgrThEBe2sl74kKG0/edit?usp=sharing"",""สุพรรณบุรี!S147"")+IMPORTRANGE(""https://docs.google.com/spreadsheets/d/1BmIruG_sIrJLYao_Pdr7zVArWsf"&amp;"oBt2692TMi6x_854/edit?usp=sharing"",""อ่างทอง!S147"")"),0)</f>
        <v>0</v>
      </c>
      <c r="T148" s="132">
        <f t="shared" ca="1" si="113"/>
        <v>0</v>
      </c>
      <c r="U148" s="132">
        <f t="shared" ca="1" si="114"/>
        <v>0</v>
      </c>
    </row>
    <row r="149" spans="1:21" ht="19.5" x14ac:dyDescent="0.3">
      <c r="A149" s="222"/>
      <c r="B149" s="223"/>
      <c r="C149" s="210" t="s">
        <v>18</v>
      </c>
      <c r="D149" s="224" t="s">
        <v>38</v>
      </c>
      <c r="E149" s="225"/>
      <c r="F149" s="225"/>
      <c r="G149" s="226"/>
      <c r="H149" s="320"/>
      <c r="I149" s="71"/>
      <c r="J149" s="71"/>
      <c r="K149" s="72"/>
      <c r="L149" s="72"/>
      <c r="M149" s="72"/>
      <c r="N149" s="72"/>
      <c r="O149" s="72"/>
      <c r="P149" s="72"/>
      <c r="Q149" s="86"/>
      <c r="R149" s="87"/>
      <c r="S149" s="87"/>
      <c r="T149" s="87"/>
      <c r="U149" s="87"/>
    </row>
    <row r="150" spans="1:21" ht="18.75" x14ac:dyDescent="0.25">
      <c r="A150" s="209"/>
      <c r="B150" s="67"/>
      <c r="C150" s="67"/>
      <c r="D150" s="75" t="s">
        <v>63</v>
      </c>
      <c r="E150" s="67"/>
      <c r="F150" s="67"/>
      <c r="G150" s="69"/>
      <c r="H150" s="320"/>
      <c r="I150" s="71"/>
      <c r="J150" s="321">
        <f ca="1">IFERROR(__xludf.DUMMYFUNCTION("IMPORTRANGE(""https://docs.google.com/spreadsheets/d/13wPX838HrBrQMCywv1BsuMkt4PEKTChp52zj44s2izQ/edit?usp=sharing"",""กาญจนบุรี!J149"")+IMPORTRANGE(""https://docs.google.com/spreadsheets/d/1ddFKvqj1W1NEiWytbGlB1zMx_ykJDVtmfEQ-6-lIUBA/edit?usp=sharing"","&amp;"""จันทบุรี!J149"")+IMPORTRANGE(""https://docs.google.com/spreadsheets/d/1T1PQvRODqOBZk8BRht_U031fIS1beLA0Ub2CEytj2q0/edit?usp=sharing"",""ฉะเชิงเทรา!J149"")+IMPORTRANGE(""https://docs.google.com/spreadsheets/d/11tr1B-Bhyr79v2bkwVh5h_fR-PStkgjlZtkrZpYurG0/"&amp;"edit?usp=sharing"",""ชลบุรี!J149"")+IMPORTRANGE(""https://docs.google.com/spreadsheets/d/1hh-FVnSX0vozXhGluamEcS54Dw9_zqW0N7qJUWgJ0Sw/edit?usp=sharing"",""ชัยนาท!J149"")+IMPORTRANGE(""https://docs.google.com/spreadsheets/d/1jkqa6GXxSacMcY1eN8AHjMNJ_7dDXMJ"&amp;"VRLDlaFSOdPM/edit?usp=sharing"",""ตราด!J149"")+IMPORTRANGE(""https://docs.google.com/spreadsheets/d/18hSgUJ3VwClqi_qtULmmW3cLr0oe3OKaSYoKzdpTsYQ/edit?usp=sharing"",""นครนายก!J149"")+IMPORTRANGE(""https://docs.google.com/spreadsheets/d/1YTZo6WM2dQ6Ix6FSdnL"&amp;"5P7uVnVKu40sxZu975tgG10E/edit?usp=sharing"",""นครปฐม!J149"")+IMPORTRANGE(""https://docs.google.com/spreadsheets/d/1OYoGg4WDg5RIzwGeB10padOxJF9E_Vljuvvct_M7RDo/edit?usp=sharing"",""ปทุมธานี!J149"")+IMPORTRANGE(""https://docs.google.com/spreadsheets/d/1GbCI"&amp;"E4D4wk9FUozzqk7SxfDMxDVBwVmI5zcaVUSzKAc/edit?usp=sharing"",""ประจวบคีรีขันธ์!J149"")+IMPORTRANGE(""https://docs.google.com/spreadsheets/d/1vVf6wykvW_lAyu7Yo9L4hUTqHqIeP_qcVuxCtosJEbg/edit?usp=sharing"",""ปราจีนบุรี!J149"")+IMPORTRANGE(""https://docs.googl"&amp;"e.com/spreadsheets/d/1BIDqLLg5jk3v59G8NlR8rk5xfQDKne0sAvZHSj7TI6I/edit?usp=sharing"",""พระนครศรีอยุธยา!J149"")+IMPORTRANGE(""https://docs.google.com/spreadsheets/d/1YXvxf8Yu6_rV4hTBrwMqAcAnv6DfhUxh5emyM3CJp_w/edit?usp=sharing"",""เพชรบุรี!J149"")+IMPORTRA"&amp;"NGE(""https://docs.google.com/spreadsheets/d/19KBlQQs7uwvsao6t2n-KvW3Ax8J8uRRfZPq1zPbXgKc/edit?usp=sharing"",""ระยอง!J149"")+IMPORTRANGE(""https://docs.google.com/spreadsheets/d/1jQ6P4QcrGM89YfqcC_PxOHGCMq5ezhucwJd8ci-NHng/edit?usp=sharing"",""ราชบุรี!J14"&amp;"9"")+IMPORTRANGE(""https://docs.google.com/spreadsheets/d/1lufeA2cfFqM-elVq2hznhDzC6Pr7wkJ9ZG_sYNGCMCU/edit?usp=sharing"",""ลพบุรี!J149"")+IMPORTRANGE(""https://docs.google.com/spreadsheets/d/10oOiF7loTyfsTkbd4MpaIm0HQ9SwB7IYHdIUvt-U1Uc/edit?usp=sharing"""&amp;",""สระแก้ว!J149"")+IMPORTRANGE(""https://docs.google.com/spreadsheets/d/1xmPlrr1QbdSIKvl1dWUl9K4PjAfSL9oeMr_37QVzcxc/edit?usp=sharing"",""สระบุรี!J149"")+IMPORTRANGE(""https://docs.google.com/spreadsheets/d/1j51vR6CYVGhABJpv6tkstgok82RLpXieLzW1yOY5rHw/edi"&amp;"t?usp=sharing"",""สิงห์บุรี!J149"")+IMPORTRANGE(""https://docs.google.com/spreadsheets/d/1H1EalTWKUSzO4Z1-1CwzoDUaVffgrThEBe2sl74kKG0/edit?usp=sharing"",""สุพรรณบุรี!J149"")+IMPORTRANGE(""https://docs.google.com/spreadsheets/d/1BmIruG_sIrJLYao_Pdr7zVArWsf"&amp;"oBt2692TMi6x_854/edit?usp=sharing"",""อ่างทอง!J149"")"),0)</f>
        <v>0</v>
      </c>
      <c r="K150" s="72"/>
      <c r="L150" s="72"/>
      <c r="M150" s="72"/>
      <c r="N150" s="72"/>
      <c r="O150" s="72"/>
      <c r="P150" s="72"/>
      <c r="Q150" s="86"/>
      <c r="R150" s="87"/>
      <c r="S150" s="87"/>
      <c r="T150" s="87"/>
      <c r="U150" s="87"/>
    </row>
    <row r="151" spans="1:21" ht="19.5" x14ac:dyDescent="0.3">
      <c r="A151" s="322"/>
      <c r="B151" s="79"/>
      <c r="C151" s="79"/>
      <c r="D151" s="323"/>
      <c r="E151" s="324" t="s">
        <v>64</v>
      </c>
      <c r="F151" s="79"/>
      <c r="G151" s="81"/>
      <c r="H151" s="325" t="s">
        <v>35</v>
      </c>
      <c r="I151" s="326">
        <f ca="1">IFERROR(__xludf.DUMMYFUNCTION("IMPORTRANGE(""https://docs.google.com/spreadsheets/d/13wPX838HrBrQMCywv1BsuMkt4PEKTChp52zj44s2izQ/edit?usp=sharing"",""กาญจนบุรี!I150"")+IMPORTRANGE(""https://docs.google.com/spreadsheets/d/1ddFKvqj1W1NEiWytbGlB1zMx_ykJDVtmfEQ-6-lIUBA/edit?usp=sharing"","&amp;"""จันทบุรี!I150"")+IMPORTRANGE(""https://docs.google.com/spreadsheets/d/1T1PQvRODqOBZk8BRht_U031fIS1beLA0Ub2CEytj2q0/edit?usp=sharing"",""ฉะเชิงเทรา!I150"")+IMPORTRANGE(""https://docs.google.com/spreadsheets/d/11tr1B-Bhyr79v2bkwVh5h_fR-PStkgjlZtkrZpYurG0/"&amp;"edit?usp=sharing"",""ชลบุรี!I150"")+IMPORTRANGE(""https://docs.google.com/spreadsheets/d/1hh-FVnSX0vozXhGluamEcS54Dw9_zqW0N7qJUWgJ0Sw/edit?usp=sharing"",""ชัยนาท!I150"")+IMPORTRANGE(""https://docs.google.com/spreadsheets/d/1jkqa6GXxSacMcY1eN8AHjMNJ_7dDXMJ"&amp;"VRLDlaFSOdPM/edit?usp=sharing"",""ตราด!I150"")+IMPORTRANGE(""https://docs.google.com/spreadsheets/d/18hSgUJ3VwClqi_qtULmmW3cLr0oe3OKaSYoKzdpTsYQ/edit?usp=sharing"",""นครนายก!I150"")+IMPORTRANGE(""https://docs.google.com/spreadsheets/d/1YTZo6WM2dQ6Ix6FSdnL"&amp;"5P7uVnVKu40sxZu975tgG10E/edit?usp=sharing"",""นครปฐม!I150"")+IMPORTRANGE(""https://docs.google.com/spreadsheets/d/1OYoGg4WDg5RIzwGeB10padOxJF9E_Vljuvvct_M7RDo/edit?usp=sharing"",""ปทุมธานี!I150"")+IMPORTRANGE(""https://docs.google.com/spreadsheets/d/1GbCI"&amp;"E4D4wk9FUozzqk7SxfDMxDVBwVmI5zcaVUSzKAc/edit?usp=sharing"",""ประจวบคีรีขันธ์!I150"")+IMPORTRANGE(""https://docs.google.com/spreadsheets/d/1vVf6wykvW_lAyu7Yo9L4hUTqHqIeP_qcVuxCtosJEbg/edit?usp=sharing"",""ปราจีนบุรี!I150"")+IMPORTRANGE(""https://docs.googl"&amp;"e.com/spreadsheets/d/1BIDqLLg5jk3v59G8NlR8rk5xfQDKne0sAvZHSj7TI6I/edit?usp=sharing"",""พระนครศรีอยุธยา!I150"")+IMPORTRANGE(""https://docs.google.com/spreadsheets/d/1YXvxf8Yu6_rV4hTBrwMqAcAnv6DfhUxh5emyM3CJp_w/edit?usp=sharing"",""เพชรบุรี!I150"")+IMPORTRA"&amp;"NGE(""https://docs.google.com/spreadsheets/d/19KBlQQs7uwvsao6t2n-KvW3Ax8J8uRRfZPq1zPbXgKc/edit?usp=sharing"",""ระยอง!I150"")+IMPORTRANGE(""https://docs.google.com/spreadsheets/d/1jQ6P4QcrGM89YfqcC_PxOHGCMq5ezhucwJd8ci-NHng/edit?usp=sharing"",""ราชบุรี!I15"&amp;"0"")+IMPORTRANGE(""https://docs.google.com/spreadsheets/d/1lufeA2cfFqM-elVq2hznhDzC6Pr7wkJ9ZG_sYNGCMCU/edit?usp=sharing"",""ลพบุรี!I150"")+IMPORTRANGE(""https://docs.google.com/spreadsheets/d/10oOiF7loTyfsTkbd4MpaIm0HQ9SwB7IYHdIUvt-U1Uc/edit?usp=sharing"""&amp;",""สระแก้ว!I150"")+IMPORTRANGE(""https://docs.google.com/spreadsheets/d/1xmPlrr1QbdSIKvl1dWUl9K4PjAfSL9oeMr_37QVzcxc/edit?usp=sharing"",""สระบุรี!I150"")+IMPORTRANGE(""https://docs.google.com/spreadsheets/d/1j51vR6CYVGhABJpv6tkstgok82RLpXieLzW1yOY5rHw/edi"&amp;"t?usp=sharing"",""สิงห์บุรี!I150"")+IMPORTRANGE(""https://docs.google.com/spreadsheets/d/1H1EalTWKUSzO4Z1-1CwzoDUaVffgrThEBe2sl74kKG0/edit?usp=sharing"",""สุพรรณบุรี!I150"")+IMPORTRANGE(""https://docs.google.com/spreadsheets/d/1BmIruG_sIrJLYao_Pdr7zVArWsf"&amp;"oBt2692TMi6x_854/edit?usp=sharing"",""อ่างทอง!I150"")"),50)</f>
        <v>50</v>
      </c>
      <c r="J151" s="326">
        <f ca="1">IFERROR(__xludf.DUMMYFUNCTION("IMPORTRANGE(""https://docs.google.com/spreadsheets/d/13wPX838HrBrQMCywv1BsuMkt4PEKTChp52zj44s2izQ/edit?usp=sharing"",""กาญจนบุรี!J150"")+IMPORTRANGE(""https://docs.google.com/spreadsheets/d/1ddFKvqj1W1NEiWytbGlB1zMx_ykJDVtmfEQ-6-lIUBA/edit?usp=sharing"","&amp;"""จันทบุรี!J150"")+IMPORTRANGE(""https://docs.google.com/spreadsheets/d/1T1PQvRODqOBZk8BRht_U031fIS1beLA0Ub2CEytj2q0/edit?usp=sharing"",""ฉะเชิงเทรา!J150"")+IMPORTRANGE(""https://docs.google.com/spreadsheets/d/11tr1B-Bhyr79v2bkwVh5h_fR-PStkgjlZtkrZpYurG0/"&amp;"edit?usp=sharing"",""ชลบุรี!J150"")+IMPORTRANGE(""https://docs.google.com/spreadsheets/d/1hh-FVnSX0vozXhGluamEcS54Dw9_zqW0N7qJUWgJ0Sw/edit?usp=sharing"",""ชัยนาท!J150"")+IMPORTRANGE(""https://docs.google.com/spreadsheets/d/1jkqa6GXxSacMcY1eN8AHjMNJ_7dDXMJ"&amp;"VRLDlaFSOdPM/edit?usp=sharing"",""ตราด!J150"")+IMPORTRANGE(""https://docs.google.com/spreadsheets/d/18hSgUJ3VwClqi_qtULmmW3cLr0oe3OKaSYoKzdpTsYQ/edit?usp=sharing"",""นครนายก!J150"")+IMPORTRANGE(""https://docs.google.com/spreadsheets/d/1YTZo6WM2dQ6Ix6FSdnL"&amp;"5P7uVnVKu40sxZu975tgG10E/edit?usp=sharing"",""นครปฐม!J150"")+IMPORTRANGE(""https://docs.google.com/spreadsheets/d/1OYoGg4WDg5RIzwGeB10padOxJF9E_Vljuvvct_M7RDo/edit?usp=sharing"",""ปทุมธานี!J150"")+IMPORTRANGE(""https://docs.google.com/spreadsheets/d/1GbCI"&amp;"E4D4wk9FUozzqk7SxfDMxDVBwVmI5zcaVUSzKAc/edit?usp=sharing"",""ประจวบคีรีขันธ์!J150"")+IMPORTRANGE(""https://docs.google.com/spreadsheets/d/1vVf6wykvW_lAyu7Yo9L4hUTqHqIeP_qcVuxCtosJEbg/edit?usp=sharing"",""ปราจีนบุรี!J150"")+IMPORTRANGE(""https://docs.googl"&amp;"e.com/spreadsheets/d/1BIDqLLg5jk3v59G8NlR8rk5xfQDKne0sAvZHSj7TI6I/edit?usp=sharing"",""พระนครศรีอยุธยา!J150"")+IMPORTRANGE(""https://docs.google.com/spreadsheets/d/1YXvxf8Yu6_rV4hTBrwMqAcAnv6DfhUxh5emyM3CJp_w/edit?usp=sharing"",""เพชรบุรี!J150"")+IMPORTRA"&amp;"NGE(""https://docs.google.com/spreadsheets/d/19KBlQQs7uwvsao6t2n-KvW3Ax8J8uRRfZPq1zPbXgKc/edit?usp=sharing"",""ระยอง!J150"")+IMPORTRANGE(""https://docs.google.com/spreadsheets/d/1jQ6P4QcrGM89YfqcC_PxOHGCMq5ezhucwJd8ci-NHng/edit?usp=sharing"",""ราชบุรี!J15"&amp;"0"")+IMPORTRANGE(""https://docs.google.com/spreadsheets/d/1lufeA2cfFqM-elVq2hznhDzC6Pr7wkJ9ZG_sYNGCMCU/edit?usp=sharing"",""ลพบุรี!J150"")+IMPORTRANGE(""https://docs.google.com/spreadsheets/d/10oOiF7loTyfsTkbd4MpaIm0HQ9SwB7IYHdIUvt-U1Uc/edit?usp=sharing"""&amp;",""สระแก้ว!J150"")+IMPORTRANGE(""https://docs.google.com/spreadsheets/d/1xmPlrr1QbdSIKvl1dWUl9K4PjAfSL9oeMr_37QVzcxc/edit?usp=sharing"",""สระบุรี!J150"")+IMPORTRANGE(""https://docs.google.com/spreadsheets/d/1j51vR6CYVGhABJpv6tkstgok82RLpXieLzW1yOY5rHw/edi"&amp;"t?usp=sharing"",""สิงห์บุรี!J150"")+IMPORTRANGE(""https://docs.google.com/spreadsheets/d/1H1EalTWKUSzO4Z1-1CwzoDUaVffgrThEBe2sl74kKG0/edit?usp=sharing"",""สุพรรณบุรี!J150"")+IMPORTRANGE(""https://docs.google.com/spreadsheets/d/1BmIruG_sIrJLYao_Pdr7zVArWsf"&amp;"oBt2692TMi6x_854/edit?usp=sharing"",""อ่างทอง!J150"")"),0)</f>
        <v>0</v>
      </c>
      <c r="K151" s="85">
        <f t="shared" ref="K151:K155" ca="1" si="123">IF(I151&gt;0,J151*100/I151,0)</f>
        <v>0</v>
      </c>
      <c r="L151" s="84"/>
      <c r="M151" s="84"/>
      <c r="N151" s="84"/>
      <c r="O151" s="84"/>
      <c r="P151" s="84"/>
      <c r="Q151" s="86"/>
      <c r="R151" s="87"/>
      <c r="S151" s="87"/>
      <c r="T151" s="87"/>
      <c r="U151" s="87"/>
    </row>
    <row r="152" spans="1:21" ht="18.75" x14ac:dyDescent="0.25">
      <c r="A152" s="322"/>
      <c r="B152" s="79"/>
      <c r="C152" s="79"/>
      <c r="D152" s="323"/>
      <c r="E152" s="327"/>
      <c r="F152" s="79"/>
      <c r="G152" s="81"/>
      <c r="H152" s="328" t="s">
        <v>54</v>
      </c>
      <c r="I152" s="329">
        <f ca="1">IFERROR(__xludf.DUMMYFUNCTION("IMPORTRANGE(""https://docs.google.com/spreadsheets/d/13wPX838HrBrQMCywv1BsuMkt4PEKTChp52zj44s2izQ/edit?usp=sharing"",""กาญจนบุรี!I151"")+IMPORTRANGE(""https://docs.google.com/spreadsheets/d/1ddFKvqj1W1NEiWytbGlB1zMx_ykJDVtmfEQ-6-lIUBA/edit?usp=sharing"","&amp;"""จันทบุรี!I151"")+IMPORTRANGE(""https://docs.google.com/spreadsheets/d/1T1PQvRODqOBZk8BRht_U031fIS1beLA0Ub2CEytj2q0/edit?usp=sharing"",""ฉะเชิงเทรา!I151"")+IMPORTRANGE(""https://docs.google.com/spreadsheets/d/11tr1B-Bhyr79v2bkwVh5h_fR-PStkgjlZtkrZpYurG0/"&amp;"edit?usp=sharing"",""ชลบุรี!I151"")+IMPORTRANGE(""https://docs.google.com/spreadsheets/d/1hh-FVnSX0vozXhGluamEcS54Dw9_zqW0N7qJUWgJ0Sw/edit?usp=sharing"",""ชัยนาท!I151"")+IMPORTRANGE(""https://docs.google.com/spreadsheets/d/1jkqa6GXxSacMcY1eN8AHjMNJ_7dDXMJ"&amp;"VRLDlaFSOdPM/edit?usp=sharing"",""ตราด!I151"")+IMPORTRANGE(""https://docs.google.com/spreadsheets/d/18hSgUJ3VwClqi_qtULmmW3cLr0oe3OKaSYoKzdpTsYQ/edit?usp=sharing"",""นครนายก!I151"")+IMPORTRANGE(""https://docs.google.com/spreadsheets/d/1YTZo6WM2dQ6Ix6FSdnL"&amp;"5P7uVnVKu40sxZu975tgG10E/edit?usp=sharing"",""นครปฐม!I151"")+IMPORTRANGE(""https://docs.google.com/spreadsheets/d/1OYoGg4WDg5RIzwGeB10padOxJF9E_Vljuvvct_M7RDo/edit?usp=sharing"",""ปทุมธานี!I151"")+IMPORTRANGE(""https://docs.google.com/spreadsheets/d/1GbCI"&amp;"E4D4wk9FUozzqk7SxfDMxDVBwVmI5zcaVUSzKAc/edit?usp=sharing"",""ประจวบคีรีขันธ์!I151"")+IMPORTRANGE(""https://docs.google.com/spreadsheets/d/1vVf6wykvW_lAyu7Yo9L4hUTqHqIeP_qcVuxCtosJEbg/edit?usp=sharing"",""ปราจีนบุรี!I151"")+IMPORTRANGE(""https://docs.googl"&amp;"e.com/spreadsheets/d/1BIDqLLg5jk3v59G8NlR8rk5xfQDKne0sAvZHSj7TI6I/edit?usp=sharing"",""พระนครศรีอยุธยา!I151"")+IMPORTRANGE(""https://docs.google.com/spreadsheets/d/1YXvxf8Yu6_rV4hTBrwMqAcAnv6DfhUxh5emyM3CJp_w/edit?usp=sharing"",""เพชรบุรี!I151"")+IMPORTRA"&amp;"NGE(""https://docs.google.com/spreadsheets/d/19KBlQQs7uwvsao6t2n-KvW3Ax8J8uRRfZPq1zPbXgKc/edit?usp=sharing"",""ระยอง!I151"")+IMPORTRANGE(""https://docs.google.com/spreadsheets/d/1jQ6P4QcrGM89YfqcC_PxOHGCMq5ezhucwJd8ci-NHng/edit?usp=sharing"",""ราชบุรี!I15"&amp;"1"")+IMPORTRANGE(""https://docs.google.com/spreadsheets/d/1lufeA2cfFqM-elVq2hznhDzC6Pr7wkJ9ZG_sYNGCMCU/edit?usp=sharing"",""ลพบุรี!I151"")+IMPORTRANGE(""https://docs.google.com/spreadsheets/d/10oOiF7loTyfsTkbd4MpaIm0HQ9SwB7IYHdIUvt-U1Uc/edit?usp=sharing"""&amp;",""สระแก้ว!I151"")+IMPORTRANGE(""https://docs.google.com/spreadsheets/d/1xmPlrr1QbdSIKvl1dWUl9K4PjAfSL9oeMr_37QVzcxc/edit?usp=sharing"",""สระบุรี!I151"")+IMPORTRANGE(""https://docs.google.com/spreadsheets/d/1j51vR6CYVGhABJpv6tkstgok82RLpXieLzW1yOY5rHw/edi"&amp;"t?usp=sharing"",""สิงห์บุรี!I151"")+IMPORTRANGE(""https://docs.google.com/spreadsheets/d/1H1EalTWKUSzO4Z1-1CwzoDUaVffgrThEBe2sl74kKG0/edit?usp=sharing"",""สุพรรณบุรี!I151"")+IMPORTRANGE(""https://docs.google.com/spreadsheets/d/1BmIruG_sIrJLYao_Pdr7zVArWsf"&amp;"oBt2692TMi6x_854/edit?usp=sharing"",""อ่างทอง!I151"")"),5)</f>
        <v>5</v>
      </c>
      <c r="J152" s="329">
        <f ca="1">IFERROR(__xludf.DUMMYFUNCTION("IMPORTRANGE(""https://docs.google.com/spreadsheets/d/13wPX838HrBrQMCywv1BsuMkt4PEKTChp52zj44s2izQ/edit?usp=sharing"",""กาญจนบุรี!J151"")+IMPORTRANGE(""https://docs.google.com/spreadsheets/d/1ddFKvqj1W1NEiWytbGlB1zMx_ykJDVtmfEQ-6-lIUBA/edit?usp=sharing"","&amp;"""จันทบุรี!J151"")+IMPORTRANGE(""https://docs.google.com/spreadsheets/d/1T1PQvRODqOBZk8BRht_U031fIS1beLA0Ub2CEytj2q0/edit?usp=sharing"",""ฉะเชิงเทรา!J151"")+IMPORTRANGE(""https://docs.google.com/spreadsheets/d/11tr1B-Bhyr79v2bkwVh5h_fR-PStkgjlZtkrZpYurG0/"&amp;"edit?usp=sharing"",""ชลบุรี!J151"")+IMPORTRANGE(""https://docs.google.com/spreadsheets/d/1hh-FVnSX0vozXhGluamEcS54Dw9_zqW0N7qJUWgJ0Sw/edit?usp=sharing"",""ชัยนาท!J151"")+IMPORTRANGE(""https://docs.google.com/spreadsheets/d/1jkqa6GXxSacMcY1eN8AHjMNJ_7dDXMJ"&amp;"VRLDlaFSOdPM/edit?usp=sharing"",""ตราด!J151"")+IMPORTRANGE(""https://docs.google.com/spreadsheets/d/18hSgUJ3VwClqi_qtULmmW3cLr0oe3OKaSYoKzdpTsYQ/edit?usp=sharing"",""นครนายก!J151"")+IMPORTRANGE(""https://docs.google.com/spreadsheets/d/1YTZo6WM2dQ6Ix6FSdnL"&amp;"5P7uVnVKu40sxZu975tgG10E/edit?usp=sharing"",""นครปฐม!J151"")+IMPORTRANGE(""https://docs.google.com/spreadsheets/d/1OYoGg4WDg5RIzwGeB10padOxJF9E_Vljuvvct_M7RDo/edit?usp=sharing"",""ปทุมธานี!J151"")+IMPORTRANGE(""https://docs.google.com/spreadsheets/d/1GbCI"&amp;"E4D4wk9FUozzqk7SxfDMxDVBwVmI5zcaVUSzKAc/edit?usp=sharing"",""ประจวบคีรีขันธ์!J151"")+IMPORTRANGE(""https://docs.google.com/spreadsheets/d/1vVf6wykvW_lAyu7Yo9L4hUTqHqIeP_qcVuxCtosJEbg/edit?usp=sharing"",""ปราจีนบุรี!J151"")+IMPORTRANGE(""https://docs.googl"&amp;"e.com/spreadsheets/d/1BIDqLLg5jk3v59G8NlR8rk5xfQDKne0sAvZHSj7TI6I/edit?usp=sharing"",""พระนครศรีอยุธยา!J151"")+IMPORTRANGE(""https://docs.google.com/spreadsheets/d/1YXvxf8Yu6_rV4hTBrwMqAcAnv6DfhUxh5emyM3CJp_w/edit?usp=sharing"",""เพชรบุรี!J151"")+IMPORTRA"&amp;"NGE(""https://docs.google.com/spreadsheets/d/19KBlQQs7uwvsao6t2n-KvW3Ax8J8uRRfZPq1zPbXgKc/edit?usp=sharing"",""ระยอง!J151"")+IMPORTRANGE(""https://docs.google.com/spreadsheets/d/1jQ6P4QcrGM89YfqcC_PxOHGCMq5ezhucwJd8ci-NHng/edit?usp=sharing"",""ราชบุรี!J15"&amp;"1"")+IMPORTRANGE(""https://docs.google.com/spreadsheets/d/1lufeA2cfFqM-elVq2hznhDzC6Pr7wkJ9ZG_sYNGCMCU/edit?usp=sharing"",""ลพบุรี!J151"")+IMPORTRANGE(""https://docs.google.com/spreadsheets/d/10oOiF7loTyfsTkbd4MpaIm0HQ9SwB7IYHdIUvt-U1Uc/edit?usp=sharing"""&amp;",""สระแก้ว!J151"")+IMPORTRANGE(""https://docs.google.com/spreadsheets/d/1xmPlrr1QbdSIKvl1dWUl9K4PjAfSL9oeMr_37QVzcxc/edit?usp=sharing"",""สระบุรี!J151"")+IMPORTRANGE(""https://docs.google.com/spreadsheets/d/1j51vR6CYVGhABJpv6tkstgok82RLpXieLzW1yOY5rHw/edi"&amp;"t?usp=sharing"",""สิงห์บุรี!J151"")+IMPORTRANGE(""https://docs.google.com/spreadsheets/d/1H1EalTWKUSzO4Z1-1CwzoDUaVffgrThEBe2sl74kKG0/edit?usp=sharing"",""สุพรรณบุรี!J151"")+IMPORTRANGE(""https://docs.google.com/spreadsheets/d/1BmIruG_sIrJLYao_Pdr7zVArWsf"&amp;"oBt2692TMi6x_854/edit?usp=sharing"",""อ่างทอง!J151"")"),0)</f>
        <v>0</v>
      </c>
      <c r="K152" s="85">
        <f t="shared" ca="1" si="123"/>
        <v>0</v>
      </c>
      <c r="L152" s="84"/>
      <c r="M152" s="84"/>
      <c r="N152" s="84"/>
      <c r="O152" s="84"/>
      <c r="P152" s="84"/>
      <c r="Q152" s="86"/>
      <c r="R152" s="87"/>
      <c r="S152" s="87"/>
      <c r="T152" s="87"/>
      <c r="U152" s="87"/>
    </row>
    <row r="153" spans="1:21" ht="19.5" x14ac:dyDescent="0.3">
      <c r="A153" s="322"/>
      <c r="B153" s="79"/>
      <c r="C153" s="79"/>
      <c r="D153" s="323"/>
      <c r="E153" s="324" t="s">
        <v>65</v>
      </c>
      <c r="F153" s="79"/>
      <c r="G153" s="81"/>
      <c r="H153" s="325" t="s">
        <v>35</v>
      </c>
      <c r="I153" s="326">
        <f ca="1">IFERROR(__xludf.DUMMYFUNCTION("IMPORTRANGE(""https://docs.google.com/spreadsheets/d/13wPX838HrBrQMCywv1BsuMkt4PEKTChp52zj44s2izQ/edit?usp=sharing"",""กาญจนบุรี!I152"")+IMPORTRANGE(""https://docs.google.com/spreadsheets/d/1ddFKvqj1W1NEiWytbGlB1zMx_ykJDVtmfEQ-6-lIUBA/edit?usp=sharing"","&amp;"""จันทบุรี!I152"")+IMPORTRANGE(""https://docs.google.com/spreadsheets/d/1T1PQvRODqOBZk8BRht_U031fIS1beLA0Ub2CEytj2q0/edit?usp=sharing"",""ฉะเชิงเทรา!I152"")+IMPORTRANGE(""https://docs.google.com/spreadsheets/d/11tr1B-Bhyr79v2bkwVh5h_fR-PStkgjlZtkrZpYurG0/"&amp;"edit?usp=sharing"",""ชลบุรี!I152"")+IMPORTRANGE(""https://docs.google.com/spreadsheets/d/1hh-FVnSX0vozXhGluamEcS54Dw9_zqW0N7qJUWgJ0Sw/edit?usp=sharing"",""ชัยนาท!I152"")+IMPORTRANGE(""https://docs.google.com/spreadsheets/d/1jkqa6GXxSacMcY1eN8AHjMNJ_7dDXMJ"&amp;"VRLDlaFSOdPM/edit?usp=sharing"",""ตราด!I152"")+IMPORTRANGE(""https://docs.google.com/spreadsheets/d/18hSgUJ3VwClqi_qtULmmW3cLr0oe3OKaSYoKzdpTsYQ/edit?usp=sharing"",""นครนายก!I152"")+IMPORTRANGE(""https://docs.google.com/spreadsheets/d/1YTZo6WM2dQ6Ix6FSdnL"&amp;"5P7uVnVKu40sxZu975tgG10E/edit?usp=sharing"",""นครปฐม!I152"")+IMPORTRANGE(""https://docs.google.com/spreadsheets/d/1OYoGg4WDg5RIzwGeB10padOxJF9E_Vljuvvct_M7RDo/edit?usp=sharing"",""ปทุมธานี!I152"")+IMPORTRANGE(""https://docs.google.com/spreadsheets/d/1GbCI"&amp;"E4D4wk9FUozzqk7SxfDMxDVBwVmI5zcaVUSzKAc/edit?usp=sharing"",""ประจวบคีรีขันธ์!I152"")+IMPORTRANGE(""https://docs.google.com/spreadsheets/d/1vVf6wykvW_lAyu7Yo9L4hUTqHqIeP_qcVuxCtosJEbg/edit?usp=sharing"",""ปราจีนบุรี!I152"")+IMPORTRANGE(""https://docs.googl"&amp;"e.com/spreadsheets/d/1BIDqLLg5jk3v59G8NlR8rk5xfQDKne0sAvZHSj7TI6I/edit?usp=sharing"",""พระนครศรีอยุธยา!I152"")+IMPORTRANGE(""https://docs.google.com/spreadsheets/d/1YXvxf8Yu6_rV4hTBrwMqAcAnv6DfhUxh5emyM3CJp_w/edit?usp=sharing"",""เพชรบุรี!I152"")+IMPORTRA"&amp;"NGE(""https://docs.google.com/spreadsheets/d/19KBlQQs7uwvsao6t2n-KvW3Ax8J8uRRfZPq1zPbXgKc/edit?usp=sharing"",""ระยอง!I152"")+IMPORTRANGE(""https://docs.google.com/spreadsheets/d/1jQ6P4QcrGM89YfqcC_PxOHGCMq5ezhucwJd8ci-NHng/edit?usp=sharing"",""ราชบุรี!I15"&amp;"2"")+IMPORTRANGE(""https://docs.google.com/spreadsheets/d/1lufeA2cfFqM-elVq2hznhDzC6Pr7wkJ9ZG_sYNGCMCU/edit?usp=sharing"",""ลพบุรี!I152"")+IMPORTRANGE(""https://docs.google.com/spreadsheets/d/10oOiF7loTyfsTkbd4MpaIm0HQ9SwB7IYHdIUvt-U1Uc/edit?usp=sharing"""&amp;",""สระแก้ว!I152"")+IMPORTRANGE(""https://docs.google.com/spreadsheets/d/1xmPlrr1QbdSIKvl1dWUl9K4PjAfSL9oeMr_37QVzcxc/edit?usp=sharing"",""สระบุรี!I152"")+IMPORTRANGE(""https://docs.google.com/spreadsheets/d/1j51vR6CYVGhABJpv6tkstgok82RLpXieLzW1yOY5rHw/edi"&amp;"t?usp=sharing"",""สิงห์บุรี!I152"")+IMPORTRANGE(""https://docs.google.com/spreadsheets/d/1H1EalTWKUSzO4Z1-1CwzoDUaVffgrThEBe2sl74kKG0/edit?usp=sharing"",""สุพรรณบุรี!I152"")+IMPORTRANGE(""https://docs.google.com/spreadsheets/d/1BmIruG_sIrJLYao_Pdr7zVArWsf"&amp;"oBt2692TMi6x_854/edit?usp=sharing"",""อ่างทอง!I152"")"),180)</f>
        <v>180</v>
      </c>
      <c r="J153" s="329">
        <f ca="1">IFERROR(__xludf.DUMMYFUNCTION("IMPORTRANGE(""https://docs.google.com/spreadsheets/d/13wPX838HrBrQMCywv1BsuMkt4PEKTChp52zj44s2izQ/edit?usp=sharing"",""กาญจนบุรี!J152"")+IMPORTRANGE(""https://docs.google.com/spreadsheets/d/1ddFKvqj1W1NEiWytbGlB1zMx_ykJDVtmfEQ-6-lIUBA/edit?usp=sharing"","&amp;"""จันทบุรี!J152"")+IMPORTRANGE(""https://docs.google.com/spreadsheets/d/1T1PQvRODqOBZk8BRht_U031fIS1beLA0Ub2CEytj2q0/edit?usp=sharing"",""ฉะเชิงเทรา!J152"")+IMPORTRANGE(""https://docs.google.com/spreadsheets/d/11tr1B-Bhyr79v2bkwVh5h_fR-PStkgjlZtkrZpYurG0/"&amp;"edit?usp=sharing"",""ชลบุรี!J152"")+IMPORTRANGE(""https://docs.google.com/spreadsheets/d/1hh-FVnSX0vozXhGluamEcS54Dw9_zqW0N7qJUWgJ0Sw/edit?usp=sharing"",""ชัยนาท!J152"")+IMPORTRANGE(""https://docs.google.com/spreadsheets/d/1jkqa6GXxSacMcY1eN8AHjMNJ_7dDXMJ"&amp;"VRLDlaFSOdPM/edit?usp=sharing"",""ตราด!J152"")+IMPORTRANGE(""https://docs.google.com/spreadsheets/d/18hSgUJ3VwClqi_qtULmmW3cLr0oe3OKaSYoKzdpTsYQ/edit?usp=sharing"",""นครนายก!J152"")+IMPORTRANGE(""https://docs.google.com/spreadsheets/d/1YTZo6WM2dQ6Ix6FSdnL"&amp;"5P7uVnVKu40sxZu975tgG10E/edit?usp=sharing"",""นครปฐม!J152"")+IMPORTRANGE(""https://docs.google.com/spreadsheets/d/1OYoGg4WDg5RIzwGeB10padOxJF9E_Vljuvvct_M7RDo/edit?usp=sharing"",""ปทุมธานี!J152"")+IMPORTRANGE(""https://docs.google.com/spreadsheets/d/1GbCI"&amp;"E4D4wk9FUozzqk7SxfDMxDVBwVmI5zcaVUSzKAc/edit?usp=sharing"",""ประจวบคีรีขันธ์!J152"")+IMPORTRANGE(""https://docs.google.com/spreadsheets/d/1vVf6wykvW_lAyu7Yo9L4hUTqHqIeP_qcVuxCtosJEbg/edit?usp=sharing"",""ปราจีนบุรี!J152"")+IMPORTRANGE(""https://docs.googl"&amp;"e.com/spreadsheets/d/1BIDqLLg5jk3v59G8NlR8rk5xfQDKne0sAvZHSj7TI6I/edit?usp=sharing"",""พระนครศรีอยุธยา!J152"")+IMPORTRANGE(""https://docs.google.com/spreadsheets/d/1YXvxf8Yu6_rV4hTBrwMqAcAnv6DfhUxh5emyM3CJp_w/edit?usp=sharing"",""เพชรบุรี!J152"")+IMPORTRA"&amp;"NGE(""https://docs.google.com/spreadsheets/d/19KBlQQs7uwvsao6t2n-KvW3Ax8J8uRRfZPq1zPbXgKc/edit?usp=sharing"",""ระยอง!J152"")+IMPORTRANGE(""https://docs.google.com/spreadsheets/d/1jQ6P4QcrGM89YfqcC_PxOHGCMq5ezhucwJd8ci-NHng/edit?usp=sharing"",""ราชบุรี!J15"&amp;"2"")+IMPORTRANGE(""https://docs.google.com/spreadsheets/d/1lufeA2cfFqM-elVq2hznhDzC6Pr7wkJ9ZG_sYNGCMCU/edit?usp=sharing"",""ลพบุรี!J152"")+IMPORTRANGE(""https://docs.google.com/spreadsheets/d/10oOiF7loTyfsTkbd4MpaIm0HQ9SwB7IYHdIUvt-U1Uc/edit?usp=sharing"""&amp;",""สระแก้ว!J152"")+IMPORTRANGE(""https://docs.google.com/spreadsheets/d/1xmPlrr1QbdSIKvl1dWUl9K4PjAfSL9oeMr_37QVzcxc/edit?usp=sharing"",""สระบุรี!J152"")+IMPORTRANGE(""https://docs.google.com/spreadsheets/d/1j51vR6CYVGhABJpv6tkstgok82RLpXieLzW1yOY5rHw/edi"&amp;"t?usp=sharing"",""สิงห์บุรี!J152"")+IMPORTRANGE(""https://docs.google.com/spreadsheets/d/1H1EalTWKUSzO4Z1-1CwzoDUaVffgrThEBe2sl74kKG0/edit?usp=sharing"",""สุพรรณบุรี!J152"")+IMPORTRANGE(""https://docs.google.com/spreadsheets/d/1BmIruG_sIrJLYao_Pdr7zVArWsf"&amp;"oBt2692TMi6x_854/edit?usp=sharing"",""อ่างทอง!J152"")"),30)</f>
        <v>30</v>
      </c>
      <c r="K153" s="85">
        <f t="shared" ca="1" si="123"/>
        <v>16.666666666666668</v>
      </c>
      <c r="L153" s="84"/>
      <c r="M153" s="84"/>
      <c r="N153" s="84"/>
      <c r="O153" s="84"/>
      <c r="P153" s="84"/>
      <c r="Q153" s="86"/>
      <c r="R153" s="87"/>
      <c r="S153" s="87"/>
      <c r="T153" s="87"/>
      <c r="U153" s="87"/>
    </row>
    <row r="154" spans="1:21" ht="19.5" x14ac:dyDescent="0.3">
      <c r="A154" s="322"/>
      <c r="B154" s="79"/>
      <c r="C154" s="79"/>
      <c r="D154" s="327"/>
      <c r="E154" s="330"/>
      <c r="F154" s="79"/>
      <c r="G154" s="81"/>
      <c r="H154" s="328" t="s">
        <v>54</v>
      </c>
      <c r="I154" s="329">
        <f ca="1">IFERROR(__xludf.DUMMYFUNCTION("IMPORTRANGE(""https://docs.google.com/spreadsheets/d/13wPX838HrBrQMCywv1BsuMkt4PEKTChp52zj44s2izQ/edit?usp=sharing"",""กาญจนบุรี!I153"")+IMPORTRANGE(""https://docs.google.com/spreadsheets/d/1ddFKvqj1W1NEiWytbGlB1zMx_ykJDVtmfEQ-6-lIUBA/edit?usp=sharing"","&amp;"""จันทบุรี!I153"")+IMPORTRANGE(""https://docs.google.com/spreadsheets/d/1T1PQvRODqOBZk8BRht_U031fIS1beLA0Ub2CEytj2q0/edit?usp=sharing"",""ฉะเชิงเทรา!I153"")+IMPORTRANGE(""https://docs.google.com/spreadsheets/d/11tr1B-Bhyr79v2bkwVh5h_fR-PStkgjlZtkrZpYurG0/"&amp;"edit?usp=sharing"",""ชลบุรี!I153"")+IMPORTRANGE(""https://docs.google.com/spreadsheets/d/1hh-FVnSX0vozXhGluamEcS54Dw9_zqW0N7qJUWgJ0Sw/edit?usp=sharing"",""ชัยนาท!I153"")+IMPORTRANGE(""https://docs.google.com/spreadsheets/d/1jkqa6GXxSacMcY1eN8AHjMNJ_7dDXMJ"&amp;"VRLDlaFSOdPM/edit?usp=sharing"",""ตราด!I153"")+IMPORTRANGE(""https://docs.google.com/spreadsheets/d/18hSgUJ3VwClqi_qtULmmW3cLr0oe3OKaSYoKzdpTsYQ/edit?usp=sharing"",""นครนายก!I153"")+IMPORTRANGE(""https://docs.google.com/spreadsheets/d/1YTZo6WM2dQ6Ix6FSdnL"&amp;"5P7uVnVKu40sxZu975tgG10E/edit?usp=sharing"",""นครปฐม!I153"")+IMPORTRANGE(""https://docs.google.com/spreadsheets/d/1OYoGg4WDg5RIzwGeB10padOxJF9E_Vljuvvct_M7RDo/edit?usp=sharing"",""ปทุมธานี!I153"")+IMPORTRANGE(""https://docs.google.com/spreadsheets/d/1GbCI"&amp;"E4D4wk9FUozzqk7SxfDMxDVBwVmI5zcaVUSzKAc/edit?usp=sharing"",""ประจวบคีรีขันธ์!I153"")+IMPORTRANGE(""https://docs.google.com/spreadsheets/d/1vVf6wykvW_lAyu7Yo9L4hUTqHqIeP_qcVuxCtosJEbg/edit?usp=sharing"",""ปราจีนบุรี!I153"")+IMPORTRANGE(""https://docs.googl"&amp;"e.com/spreadsheets/d/1BIDqLLg5jk3v59G8NlR8rk5xfQDKne0sAvZHSj7TI6I/edit?usp=sharing"",""พระนครศรีอยุธยา!I153"")+IMPORTRANGE(""https://docs.google.com/spreadsheets/d/1YXvxf8Yu6_rV4hTBrwMqAcAnv6DfhUxh5emyM3CJp_w/edit?usp=sharing"",""เพชรบุรี!I153"")+IMPORTRA"&amp;"NGE(""https://docs.google.com/spreadsheets/d/19KBlQQs7uwvsao6t2n-KvW3Ax8J8uRRfZPq1zPbXgKc/edit?usp=sharing"",""ระยอง!I153"")+IMPORTRANGE(""https://docs.google.com/spreadsheets/d/1jQ6P4QcrGM89YfqcC_PxOHGCMq5ezhucwJd8ci-NHng/edit?usp=sharing"",""ราชบุรี!I15"&amp;"3"")+IMPORTRANGE(""https://docs.google.com/spreadsheets/d/1lufeA2cfFqM-elVq2hznhDzC6Pr7wkJ9ZG_sYNGCMCU/edit?usp=sharing"",""ลพบุรี!I153"")+IMPORTRANGE(""https://docs.google.com/spreadsheets/d/10oOiF7loTyfsTkbd4MpaIm0HQ9SwB7IYHdIUvt-U1Uc/edit?usp=sharing"""&amp;",""สระแก้ว!I153"")+IMPORTRANGE(""https://docs.google.com/spreadsheets/d/1xmPlrr1QbdSIKvl1dWUl9K4PjAfSL9oeMr_37QVzcxc/edit?usp=sharing"",""สระบุรี!I153"")+IMPORTRANGE(""https://docs.google.com/spreadsheets/d/1j51vR6CYVGhABJpv6tkstgok82RLpXieLzW1yOY5rHw/edi"&amp;"t?usp=sharing"",""สิงห์บุรี!I153"")+IMPORTRANGE(""https://docs.google.com/spreadsheets/d/1H1EalTWKUSzO4Z1-1CwzoDUaVffgrThEBe2sl74kKG0/edit?usp=sharing"",""สุพรรณบุรี!I153"")+IMPORTRANGE(""https://docs.google.com/spreadsheets/d/1BmIruG_sIrJLYao_Pdr7zVArWsf"&amp;"oBt2692TMi6x_854/edit?usp=sharing"",""อ่างทอง!I153"")"),18)</f>
        <v>18</v>
      </c>
      <c r="J154" s="329">
        <f ca="1">IFERROR(__xludf.DUMMYFUNCTION("IMPORTRANGE(""https://docs.google.com/spreadsheets/d/13wPX838HrBrQMCywv1BsuMkt4PEKTChp52zj44s2izQ/edit?usp=sharing"",""กาญจนบุรี!J153"")+IMPORTRANGE(""https://docs.google.com/spreadsheets/d/1ddFKvqj1W1NEiWytbGlB1zMx_ykJDVtmfEQ-6-lIUBA/edit?usp=sharing"","&amp;"""จันทบุรี!J153"")+IMPORTRANGE(""https://docs.google.com/spreadsheets/d/1T1PQvRODqOBZk8BRht_U031fIS1beLA0Ub2CEytj2q0/edit?usp=sharing"",""ฉะเชิงเทรา!J153"")+IMPORTRANGE(""https://docs.google.com/spreadsheets/d/11tr1B-Bhyr79v2bkwVh5h_fR-PStkgjlZtkrZpYurG0/"&amp;"edit?usp=sharing"",""ชลบุรี!J153"")+IMPORTRANGE(""https://docs.google.com/spreadsheets/d/1hh-FVnSX0vozXhGluamEcS54Dw9_zqW0N7qJUWgJ0Sw/edit?usp=sharing"",""ชัยนาท!J153"")+IMPORTRANGE(""https://docs.google.com/spreadsheets/d/1jkqa6GXxSacMcY1eN8AHjMNJ_7dDXMJ"&amp;"VRLDlaFSOdPM/edit?usp=sharing"",""ตราด!J153"")+IMPORTRANGE(""https://docs.google.com/spreadsheets/d/18hSgUJ3VwClqi_qtULmmW3cLr0oe3OKaSYoKzdpTsYQ/edit?usp=sharing"",""นครนายก!J153"")+IMPORTRANGE(""https://docs.google.com/spreadsheets/d/1YTZo6WM2dQ6Ix6FSdnL"&amp;"5P7uVnVKu40sxZu975tgG10E/edit?usp=sharing"",""นครปฐม!J153"")+IMPORTRANGE(""https://docs.google.com/spreadsheets/d/1OYoGg4WDg5RIzwGeB10padOxJF9E_Vljuvvct_M7RDo/edit?usp=sharing"",""ปทุมธานี!J153"")+IMPORTRANGE(""https://docs.google.com/spreadsheets/d/1GbCI"&amp;"E4D4wk9FUozzqk7SxfDMxDVBwVmI5zcaVUSzKAc/edit?usp=sharing"",""ประจวบคีรีขันธ์!J153"")+IMPORTRANGE(""https://docs.google.com/spreadsheets/d/1vVf6wykvW_lAyu7Yo9L4hUTqHqIeP_qcVuxCtosJEbg/edit?usp=sharing"",""ปราจีนบุรี!J153"")+IMPORTRANGE(""https://docs.googl"&amp;"e.com/spreadsheets/d/1BIDqLLg5jk3v59G8NlR8rk5xfQDKne0sAvZHSj7TI6I/edit?usp=sharing"",""พระนครศรีอยุธยา!J153"")+IMPORTRANGE(""https://docs.google.com/spreadsheets/d/1YXvxf8Yu6_rV4hTBrwMqAcAnv6DfhUxh5emyM3CJp_w/edit?usp=sharing"",""เพชรบุรี!J153"")+IMPORTRA"&amp;"NGE(""https://docs.google.com/spreadsheets/d/19KBlQQs7uwvsao6t2n-KvW3Ax8J8uRRfZPq1zPbXgKc/edit?usp=sharing"",""ระยอง!J153"")+IMPORTRANGE(""https://docs.google.com/spreadsheets/d/1jQ6P4QcrGM89YfqcC_PxOHGCMq5ezhucwJd8ci-NHng/edit?usp=sharing"",""ราชบุรี!J15"&amp;"3"")+IMPORTRANGE(""https://docs.google.com/spreadsheets/d/1lufeA2cfFqM-elVq2hznhDzC6Pr7wkJ9ZG_sYNGCMCU/edit?usp=sharing"",""ลพบุรี!J153"")+IMPORTRANGE(""https://docs.google.com/spreadsheets/d/10oOiF7loTyfsTkbd4MpaIm0HQ9SwB7IYHdIUvt-U1Uc/edit?usp=sharing"""&amp;",""สระแก้ว!J153"")+IMPORTRANGE(""https://docs.google.com/spreadsheets/d/1xmPlrr1QbdSIKvl1dWUl9K4PjAfSL9oeMr_37QVzcxc/edit?usp=sharing"",""สระบุรี!J153"")+IMPORTRANGE(""https://docs.google.com/spreadsheets/d/1j51vR6CYVGhABJpv6tkstgok82RLpXieLzW1yOY5rHw/edi"&amp;"t?usp=sharing"",""สิงห์บุรี!J153"")+IMPORTRANGE(""https://docs.google.com/spreadsheets/d/1H1EalTWKUSzO4Z1-1CwzoDUaVffgrThEBe2sl74kKG0/edit?usp=sharing"",""สุพรรณบุรี!J153"")+IMPORTRANGE(""https://docs.google.com/spreadsheets/d/1BmIruG_sIrJLYao_Pdr7zVArWsf"&amp;"oBt2692TMi6x_854/edit?usp=sharing"",""อ่างทอง!J153"")"),3)</f>
        <v>3</v>
      </c>
      <c r="K154" s="85">
        <f t="shared" ca="1" si="123"/>
        <v>16.666666666666668</v>
      </c>
      <c r="L154" s="84"/>
      <c r="M154" s="84"/>
      <c r="N154" s="84"/>
      <c r="O154" s="84"/>
      <c r="P154" s="84"/>
      <c r="Q154" s="86"/>
      <c r="R154" s="87"/>
      <c r="S154" s="87"/>
      <c r="T154" s="87"/>
      <c r="U154" s="87"/>
    </row>
    <row r="155" spans="1:21" ht="18.75" x14ac:dyDescent="0.25">
      <c r="A155" s="331"/>
      <c r="B155" s="332"/>
      <c r="C155" s="332"/>
      <c r="D155" s="333" t="s">
        <v>66</v>
      </c>
      <c r="E155" s="332"/>
      <c r="F155" s="332"/>
      <c r="G155" s="334"/>
      <c r="H155" s="335" t="s">
        <v>61</v>
      </c>
      <c r="I155" s="336">
        <f ca="1">IFERROR(__xludf.DUMMYFUNCTION("IMPORTRANGE(""https://docs.google.com/spreadsheets/d/13wPX838HrBrQMCywv1BsuMkt4PEKTChp52zj44s2izQ/edit?usp=sharing"",""กาญจนบุรี!I154"")+IMPORTRANGE(""https://docs.google.com/spreadsheets/d/1ddFKvqj1W1NEiWytbGlB1zMx_ykJDVtmfEQ-6-lIUBA/edit?usp=sharing"","&amp;"""จันทบุรี!I154"")+IMPORTRANGE(""https://docs.google.com/spreadsheets/d/1T1PQvRODqOBZk8BRht_U031fIS1beLA0Ub2CEytj2q0/edit?usp=sharing"",""ฉะเชิงเทรา!I154"")+IMPORTRANGE(""https://docs.google.com/spreadsheets/d/11tr1B-Bhyr79v2bkwVh5h_fR-PStkgjlZtkrZpYurG0/"&amp;"edit?usp=sharing"",""ชลบุรี!I154"")+IMPORTRANGE(""https://docs.google.com/spreadsheets/d/1hh-FVnSX0vozXhGluamEcS54Dw9_zqW0N7qJUWgJ0Sw/edit?usp=sharing"",""ชัยนาท!I154"")+IMPORTRANGE(""https://docs.google.com/spreadsheets/d/1jkqa6GXxSacMcY1eN8AHjMNJ_7dDXMJ"&amp;"VRLDlaFSOdPM/edit?usp=sharing"",""ตราด!I154"")+IMPORTRANGE(""https://docs.google.com/spreadsheets/d/18hSgUJ3VwClqi_qtULmmW3cLr0oe3OKaSYoKzdpTsYQ/edit?usp=sharing"",""นครนายก!I154"")+IMPORTRANGE(""https://docs.google.com/spreadsheets/d/1YTZo6WM2dQ6Ix6FSdnL"&amp;"5P7uVnVKu40sxZu975tgG10E/edit?usp=sharing"",""นครปฐม!I154"")+IMPORTRANGE(""https://docs.google.com/spreadsheets/d/1OYoGg4WDg5RIzwGeB10padOxJF9E_Vljuvvct_M7RDo/edit?usp=sharing"",""ปทุมธานี!I154"")+IMPORTRANGE(""https://docs.google.com/spreadsheets/d/1GbCI"&amp;"E4D4wk9FUozzqk7SxfDMxDVBwVmI5zcaVUSzKAc/edit?usp=sharing"",""ประจวบคีรีขันธ์!I154"")+IMPORTRANGE(""https://docs.google.com/spreadsheets/d/1vVf6wykvW_lAyu7Yo9L4hUTqHqIeP_qcVuxCtosJEbg/edit?usp=sharing"",""ปราจีนบุรี!I154"")+IMPORTRANGE(""https://docs.googl"&amp;"e.com/spreadsheets/d/1BIDqLLg5jk3v59G8NlR8rk5xfQDKne0sAvZHSj7TI6I/edit?usp=sharing"",""พระนครศรีอยุธยา!I154"")+IMPORTRANGE(""https://docs.google.com/spreadsheets/d/1YXvxf8Yu6_rV4hTBrwMqAcAnv6DfhUxh5emyM3CJp_w/edit?usp=sharing"",""เพชรบุรี!I154"")+IMPORTRA"&amp;"NGE(""https://docs.google.com/spreadsheets/d/19KBlQQs7uwvsao6t2n-KvW3Ax8J8uRRfZPq1zPbXgKc/edit?usp=sharing"",""ระยอง!I154"")+IMPORTRANGE(""https://docs.google.com/spreadsheets/d/1jQ6P4QcrGM89YfqcC_PxOHGCMq5ezhucwJd8ci-NHng/edit?usp=sharing"",""ราชบุรี!I15"&amp;"4"")+IMPORTRANGE(""https://docs.google.com/spreadsheets/d/1lufeA2cfFqM-elVq2hznhDzC6Pr7wkJ9ZG_sYNGCMCU/edit?usp=sharing"",""ลพบุรี!I154"")+IMPORTRANGE(""https://docs.google.com/spreadsheets/d/10oOiF7loTyfsTkbd4MpaIm0HQ9SwB7IYHdIUvt-U1Uc/edit?usp=sharing"""&amp;",""สระแก้ว!I154"")+IMPORTRANGE(""https://docs.google.com/spreadsheets/d/1xmPlrr1QbdSIKvl1dWUl9K4PjAfSL9oeMr_37QVzcxc/edit?usp=sharing"",""สระบุรี!I154"")+IMPORTRANGE(""https://docs.google.com/spreadsheets/d/1j51vR6CYVGhABJpv6tkstgok82RLpXieLzW1yOY5rHw/edi"&amp;"t?usp=sharing"",""สิงห์บุรี!I154"")+IMPORTRANGE(""https://docs.google.com/spreadsheets/d/1H1EalTWKUSzO4Z1-1CwzoDUaVffgrThEBe2sl74kKG0/edit?usp=sharing"",""สุพรรณบุรี!I154"")+IMPORTRANGE(""https://docs.google.com/spreadsheets/d/1BmIruG_sIrJLYao_Pdr7zVArWsf"&amp;"oBt2692TMi6x_854/edit?usp=sharing"",""อ่างทอง!I154"")"),5)</f>
        <v>5</v>
      </c>
      <c r="J155" s="337">
        <f ca="1">IFERROR(__xludf.DUMMYFUNCTION("IMPORTRANGE(""https://docs.google.com/spreadsheets/d/13wPX838HrBrQMCywv1BsuMkt4PEKTChp52zj44s2izQ/edit?usp=sharing"",""กาญจนบุรี!J154"")+IMPORTRANGE(""https://docs.google.com/spreadsheets/d/1ddFKvqj1W1NEiWytbGlB1zMx_ykJDVtmfEQ-6-lIUBA/edit?usp=sharing"","&amp;"""จันทบุรี!J154"")+IMPORTRANGE(""https://docs.google.com/spreadsheets/d/1T1PQvRODqOBZk8BRht_U031fIS1beLA0Ub2CEytj2q0/edit?usp=sharing"",""ฉะเชิงเทรา!J154"")+IMPORTRANGE(""https://docs.google.com/spreadsheets/d/11tr1B-Bhyr79v2bkwVh5h_fR-PStkgjlZtkrZpYurG0/"&amp;"edit?usp=sharing"",""ชลบุรี!J154"")+IMPORTRANGE(""https://docs.google.com/spreadsheets/d/1hh-FVnSX0vozXhGluamEcS54Dw9_zqW0N7qJUWgJ0Sw/edit?usp=sharing"",""ชัยนาท!J154"")+IMPORTRANGE(""https://docs.google.com/spreadsheets/d/1jkqa6GXxSacMcY1eN8AHjMNJ_7dDXMJ"&amp;"VRLDlaFSOdPM/edit?usp=sharing"",""ตราด!J154"")+IMPORTRANGE(""https://docs.google.com/spreadsheets/d/18hSgUJ3VwClqi_qtULmmW3cLr0oe3OKaSYoKzdpTsYQ/edit?usp=sharing"",""นครนายก!J154"")+IMPORTRANGE(""https://docs.google.com/spreadsheets/d/1YTZo6WM2dQ6Ix6FSdnL"&amp;"5P7uVnVKu40sxZu975tgG10E/edit?usp=sharing"",""นครปฐม!J154"")+IMPORTRANGE(""https://docs.google.com/spreadsheets/d/1OYoGg4WDg5RIzwGeB10padOxJF9E_Vljuvvct_M7RDo/edit?usp=sharing"",""ปทุมธานี!J154"")+IMPORTRANGE(""https://docs.google.com/spreadsheets/d/1GbCI"&amp;"E4D4wk9FUozzqk7SxfDMxDVBwVmI5zcaVUSzKAc/edit?usp=sharing"",""ประจวบคีรีขันธ์!J154"")+IMPORTRANGE(""https://docs.google.com/spreadsheets/d/1vVf6wykvW_lAyu7Yo9L4hUTqHqIeP_qcVuxCtosJEbg/edit?usp=sharing"",""ปราจีนบุรี!J154"")+IMPORTRANGE(""https://docs.googl"&amp;"e.com/spreadsheets/d/1BIDqLLg5jk3v59G8NlR8rk5xfQDKne0sAvZHSj7TI6I/edit?usp=sharing"",""พระนครศรีอยุธยา!J154"")+IMPORTRANGE(""https://docs.google.com/spreadsheets/d/1YXvxf8Yu6_rV4hTBrwMqAcAnv6DfhUxh5emyM3CJp_w/edit?usp=sharing"",""เพชรบุรี!J154"")+IMPORTRA"&amp;"NGE(""https://docs.google.com/spreadsheets/d/19KBlQQs7uwvsao6t2n-KvW3Ax8J8uRRfZPq1zPbXgKc/edit?usp=sharing"",""ระยอง!J154"")+IMPORTRANGE(""https://docs.google.com/spreadsheets/d/1jQ6P4QcrGM89YfqcC_PxOHGCMq5ezhucwJd8ci-NHng/edit?usp=sharing"",""ราชบุรี!J15"&amp;"4"")+IMPORTRANGE(""https://docs.google.com/spreadsheets/d/1lufeA2cfFqM-elVq2hznhDzC6Pr7wkJ9ZG_sYNGCMCU/edit?usp=sharing"",""ลพบุรี!J154"")+IMPORTRANGE(""https://docs.google.com/spreadsheets/d/10oOiF7loTyfsTkbd4MpaIm0HQ9SwB7IYHdIUvt-U1Uc/edit?usp=sharing"""&amp;",""สระแก้ว!J154"")+IMPORTRANGE(""https://docs.google.com/spreadsheets/d/1xmPlrr1QbdSIKvl1dWUl9K4PjAfSL9oeMr_37QVzcxc/edit?usp=sharing"",""สระบุรี!J154"")+IMPORTRANGE(""https://docs.google.com/spreadsheets/d/1j51vR6CYVGhABJpv6tkstgok82RLpXieLzW1yOY5rHw/edi"&amp;"t?usp=sharing"",""สิงห์บุรี!J154"")+IMPORTRANGE(""https://docs.google.com/spreadsheets/d/1H1EalTWKUSzO4Z1-1CwzoDUaVffgrThEBe2sl74kKG0/edit?usp=sharing"",""สุพรรณบุรี!J154"")+IMPORTRANGE(""https://docs.google.com/spreadsheets/d/1BmIruG_sIrJLYao_Pdr7zVArWsf"&amp;"oBt2692TMi6x_854/edit?usp=sharing"",""อ่างทอง!J154"")"),0)</f>
        <v>0</v>
      </c>
      <c r="K155" s="85">
        <f t="shared" ca="1" si="123"/>
        <v>0</v>
      </c>
      <c r="L155" s="338"/>
      <c r="M155" s="338"/>
      <c r="N155" s="338"/>
      <c r="O155" s="338"/>
      <c r="P155" s="338"/>
      <c r="Q155" s="86"/>
      <c r="R155" s="87"/>
      <c r="S155" s="87"/>
      <c r="T155" s="87"/>
      <c r="U155" s="87"/>
    </row>
    <row r="156" spans="1:21" ht="19.5" x14ac:dyDescent="0.3">
      <c r="A156" s="339" t="s">
        <v>67</v>
      </c>
      <c r="B156" s="340"/>
      <c r="C156" s="341"/>
      <c r="D156" s="340"/>
      <c r="E156" s="340"/>
      <c r="F156" s="340"/>
      <c r="G156" s="340"/>
      <c r="H156" s="340"/>
      <c r="I156" s="342"/>
      <c r="J156" s="342"/>
      <c r="K156" s="343"/>
      <c r="L156" s="344"/>
      <c r="M156" s="344"/>
      <c r="N156" s="344"/>
      <c r="O156" s="344"/>
      <c r="P156" s="344"/>
      <c r="Q156" s="199"/>
      <c r="R156" s="200"/>
      <c r="S156" s="200"/>
      <c r="T156" s="200"/>
      <c r="U156" s="200"/>
    </row>
    <row r="157" spans="1:21" ht="19.5" x14ac:dyDescent="0.3">
      <c r="A157" s="201"/>
      <c r="B157" s="202" t="s">
        <v>68</v>
      </c>
      <c r="C157" s="49"/>
      <c r="D157" s="49"/>
      <c r="E157" s="49"/>
      <c r="F157" s="49"/>
      <c r="G157" s="52"/>
      <c r="H157" s="345" t="s">
        <v>35</v>
      </c>
      <c r="I157" s="205">
        <f ca="1">I168</f>
        <v>105</v>
      </c>
      <c r="J157" s="205">
        <f>J169</f>
        <v>0</v>
      </c>
      <c r="K157" s="206">
        <f ca="1">IF(I157&gt;0,J157*100/I157,0)</f>
        <v>0</v>
      </c>
      <c r="L157" s="55"/>
      <c r="M157" s="55"/>
      <c r="N157" s="55"/>
      <c r="O157" s="55"/>
      <c r="P157" s="55"/>
      <c r="Q157" s="207"/>
      <c r="R157" s="208"/>
      <c r="S157" s="208"/>
      <c r="T157" s="208"/>
      <c r="U157" s="208"/>
    </row>
    <row r="158" spans="1:21" ht="19.5" x14ac:dyDescent="0.3">
      <c r="A158" s="209"/>
      <c r="B158" s="67"/>
      <c r="C158" s="210" t="s">
        <v>18</v>
      </c>
      <c r="D158" s="211" t="s">
        <v>19</v>
      </c>
      <c r="E158" s="67"/>
      <c r="F158" s="67"/>
      <c r="G158" s="69"/>
      <c r="H158" s="212" t="s">
        <v>14</v>
      </c>
      <c r="I158" s="71"/>
      <c r="J158" s="71"/>
      <c r="K158" s="72"/>
      <c r="L158" s="213">
        <f t="shared" ref="L158:N158" ca="1" si="124">L159+L160</f>
        <v>31500</v>
      </c>
      <c r="M158" s="213">
        <f t="shared" ca="1" si="124"/>
        <v>24500</v>
      </c>
      <c r="N158" s="213">
        <f t="shared" ca="1" si="124"/>
        <v>0</v>
      </c>
      <c r="O158" s="213">
        <f t="shared" ref="O158:O166" ca="1" si="125">IF(L158&gt;0,N158*100/L158,0)</f>
        <v>0</v>
      </c>
      <c r="P158" s="213">
        <f t="shared" ref="P158:P166" ca="1" si="126">IF(M158&gt;0,N158*100/M158,0)</f>
        <v>0</v>
      </c>
      <c r="Q158" s="214">
        <f t="shared" ref="Q158:S158" ca="1" si="127">Q159+Q160</f>
        <v>0</v>
      </c>
      <c r="R158" s="215">
        <f t="shared" ca="1" si="127"/>
        <v>0</v>
      </c>
      <c r="S158" s="215">
        <f t="shared" ca="1" si="127"/>
        <v>0</v>
      </c>
      <c r="T158" s="215">
        <f t="shared" ref="T158:T166" ca="1" si="128">IF(Q158&gt;0,S158*100/Q158,0)</f>
        <v>0</v>
      </c>
      <c r="U158" s="215">
        <f t="shared" ref="U158:U166" ca="1" si="129">IF(R158&gt;0,S158*100/R158,0)</f>
        <v>0</v>
      </c>
    </row>
    <row r="159" spans="1:21" ht="18.75" x14ac:dyDescent="0.25">
      <c r="A159" s="209"/>
      <c r="B159" s="67"/>
      <c r="C159" s="67"/>
      <c r="D159" s="67"/>
      <c r="E159" s="75" t="s">
        <v>20</v>
      </c>
      <c r="F159" s="67"/>
      <c r="G159" s="69"/>
      <c r="H159" s="216" t="s">
        <v>14</v>
      </c>
      <c r="I159" s="71"/>
      <c r="J159" s="71"/>
      <c r="K159" s="72"/>
      <c r="L159" s="88">
        <f t="shared" ref="L159:N159" ca="1" si="130">L162+L165</f>
        <v>0</v>
      </c>
      <c r="M159" s="88">
        <f t="shared" ca="1" si="130"/>
        <v>0</v>
      </c>
      <c r="N159" s="88">
        <f t="shared" ca="1" si="130"/>
        <v>0</v>
      </c>
      <c r="O159" s="88">
        <f t="shared" ca="1" si="125"/>
        <v>0</v>
      </c>
      <c r="P159" s="88">
        <f t="shared" ca="1" si="126"/>
        <v>0</v>
      </c>
      <c r="Q159" s="217">
        <f t="shared" ref="Q159:S159" ca="1" si="131">Q162+Q165</f>
        <v>0</v>
      </c>
      <c r="R159" s="133">
        <f t="shared" ca="1" si="131"/>
        <v>0</v>
      </c>
      <c r="S159" s="133">
        <f t="shared" ca="1" si="131"/>
        <v>0</v>
      </c>
      <c r="T159" s="133">
        <f t="shared" ca="1" si="128"/>
        <v>0</v>
      </c>
      <c r="U159" s="133">
        <f t="shared" ca="1" si="129"/>
        <v>0</v>
      </c>
    </row>
    <row r="160" spans="1:21" ht="18.75" x14ac:dyDescent="0.25">
      <c r="A160" s="209"/>
      <c r="B160" s="67"/>
      <c r="C160" s="67"/>
      <c r="D160" s="67"/>
      <c r="E160" s="75" t="s">
        <v>21</v>
      </c>
      <c r="F160" s="67"/>
      <c r="G160" s="69"/>
      <c r="H160" s="216" t="s">
        <v>14</v>
      </c>
      <c r="I160" s="71"/>
      <c r="J160" s="71"/>
      <c r="K160" s="72"/>
      <c r="L160" s="88">
        <f t="shared" ref="L160:N160" ca="1" si="132">L163+L166</f>
        <v>31500</v>
      </c>
      <c r="M160" s="88">
        <f t="shared" ca="1" si="132"/>
        <v>24500</v>
      </c>
      <c r="N160" s="88">
        <f t="shared" ca="1" si="132"/>
        <v>0</v>
      </c>
      <c r="O160" s="88">
        <f t="shared" ca="1" si="125"/>
        <v>0</v>
      </c>
      <c r="P160" s="88">
        <f t="shared" ca="1" si="126"/>
        <v>0</v>
      </c>
      <c r="Q160" s="131">
        <f t="shared" ref="Q160:S160" ca="1" si="133">Q163+Q166</f>
        <v>0</v>
      </c>
      <c r="R160" s="132">
        <f t="shared" ca="1" si="133"/>
        <v>0</v>
      </c>
      <c r="S160" s="132">
        <f t="shared" ca="1" si="133"/>
        <v>0</v>
      </c>
      <c r="T160" s="132">
        <f t="shared" ca="1" si="128"/>
        <v>0</v>
      </c>
      <c r="U160" s="132">
        <f t="shared" ca="1" si="129"/>
        <v>0</v>
      </c>
    </row>
    <row r="161" spans="1:21" ht="18.75" x14ac:dyDescent="0.25">
      <c r="A161" s="209"/>
      <c r="B161" s="67"/>
      <c r="C161" s="67"/>
      <c r="D161" s="68" t="s">
        <v>22</v>
      </c>
      <c r="E161" s="67"/>
      <c r="F161" s="67"/>
      <c r="G161" s="69"/>
      <c r="H161" s="218" t="s">
        <v>14</v>
      </c>
      <c r="I161" s="219"/>
      <c r="J161" s="219"/>
      <c r="K161" s="220"/>
      <c r="L161" s="88">
        <f t="shared" ref="L161:N161" ca="1" si="134">L162+L163</f>
        <v>31500</v>
      </c>
      <c r="M161" s="88">
        <f t="shared" ca="1" si="134"/>
        <v>24500</v>
      </c>
      <c r="N161" s="88">
        <f t="shared" ca="1" si="134"/>
        <v>0</v>
      </c>
      <c r="O161" s="88">
        <f t="shared" ca="1" si="125"/>
        <v>0</v>
      </c>
      <c r="P161" s="88">
        <f t="shared" ca="1" si="126"/>
        <v>0</v>
      </c>
      <c r="Q161" s="131">
        <f t="shared" ref="Q161:S161" ca="1" si="135">Q162+Q163</f>
        <v>0</v>
      </c>
      <c r="R161" s="132">
        <f t="shared" ca="1" si="135"/>
        <v>0</v>
      </c>
      <c r="S161" s="132">
        <f t="shared" ca="1" si="135"/>
        <v>0</v>
      </c>
      <c r="T161" s="132">
        <f t="shared" ca="1" si="128"/>
        <v>0</v>
      </c>
      <c r="U161" s="132">
        <f t="shared" ca="1" si="129"/>
        <v>0</v>
      </c>
    </row>
    <row r="162" spans="1:21" ht="18.75" x14ac:dyDescent="0.25">
      <c r="A162" s="209"/>
      <c r="B162" s="67"/>
      <c r="C162" s="67"/>
      <c r="D162" s="67"/>
      <c r="E162" s="75" t="s">
        <v>36</v>
      </c>
      <c r="F162" s="67"/>
      <c r="G162" s="69"/>
      <c r="H162" s="218" t="s">
        <v>14</v>
      </c>
      <c r="I162" s="219"/>
      <c r="J162" s="219"/>
      <c r="K162" s="220"/>
      <c r="L162" s="88">
        <f ca="1">IFERROR(__xludf.DUMMYFUNCTION("IMPORTRANGE(""https://docs.google.com/spreadsheets/d/13wPX838HrBrQMCywv1BsuMkt4PEKTChp52zj44s2izQ/edit?usp=sharing"",""กาญจนบุรี!L161"")+IMPORTRANGE(""https://docs.google.com/spreadsheets/d/1ddFKvqj1W1NEiWytbGlB1zMx_ykJDVtmfEQ-6-lIUBA/edit?usp=sharing"","&amp;"""จันทบุรี!L161"")+IMPORTRANGE(""https://docs.google.com/spreadsheets/d/1T1PQvRODqOBZk8BRht_U031fIS1beLA0Ub2CEytj2q0/edit?usp=sharing"",""ฉะเชิงเทรา!L161"")+IMPORTRANGE(""https://docs.google.com/spreadsheets/d/11tr1B-Bhyr79v2bkwVh5h_fR-PStkgjlZtkrZpYurG0/"&amp;"edit?usp=sharing"",""ชลบุรี!L161"")+IMPORTRANGE(""https://docs.google.com/spreadsheets/d/1hh-FVnSX0vozXhGluamEcS54Dw9_zqW0N7qJUWgJ0Sw/edit?usp=sharing"",""ชัยนาท!L161"")+IMPORTRANGE(""https://docs.google.com/spreadsheets/d/1jkqa6GXxSacMcY1eN8AHjMNJ_7dDXMJ"&amp;"VRLDlaFSOdPM/edit?usp=sharing"",""ตราด!L161"")+IMPORTRANGE(""https://docs.google.com/spreadsheets/d/18hSgUJ3VwClqi_qtULmmW3cLr0oe3OKaSYoKzdpTsYQ/edit?usp=sharing"",""นครนายก!L161"")+IMPORTRANGE(""https://docs.google.com/spreadsheets/d/1YTZo6WM2dQ6Ix6FSdnL"&amp;"5P7uVnVKu40sxZu975tgG10E/edit?usp=sharing"",""นครปฐม!L161"")+IMPORTRANGE(""https://docs.google.com/spreadsheets/d/1OYoGg4WDg5RIzwGeB10padOxJF9E_Vljuvvct_M7RDo/edit?usp=sharing"",""ปทุมธานี!L161"")+IMPORTRANGE(""https://docs.google.com/spreadsheets/d/1GbCI"&amp;"E4D4wk9FUozzqk7SxfDMxDVBwVmI5zcaVUSzKAc/edit?usp=sharing"",""ประจวบคีรีขันธ์!L161"")+IMPORTRANGE(""https://docs.google.com/spreadsheets/d/1vVf6wykvW_lAyu7Yo9L4hUTqHqIeP_qcVuxCtosJEbg/edit?usp=sharing"",""ปราจีนบุรี!L161"")+IMPORTRANGE(""https://docs.googl"&amp;"e.com/spreadsheets/d/1BIDqLLg5jk3v59G8NlR8rk5xfQDKne0sAvZHSj7TI6I/edit?usp=sharing"",""พระนครศรีอยุธยา!L161"")+IMPORTRANGE(""https://docs.google.com/spreadsheets/d/1YXvxf8Yu6_rV4hTBrwMqAcAnv6DfhUxh5emyM3CJp_w/edit?usp=sharing"",""เพชรบุรี!L161"")+IMPORTRA"&amp;"NGE(""https://docs.google.com/spreadsheets/d/19KBlQQs7uwvsao6t2n-KvW3Ax8J8uRRfZPq1zPbXgKc/edit?usp=sharing"",""ระยอง!L161"")+IMPORTRANGE(""https://docs.google.com/spreadsheets/d/1jQ6P4QcrGM89YfqcC_PxOHGCMq5ezhucwJd8ci-NHng/edit?usp=sharing"",""ราชบุรี!L16"&amp;"1"")+IMPORTRANGE(""https://docs.google.com/spreadsheets/d/1lufeA2cfFqM-elVq2hznhDzC6Pr7wkJ9ZG_sYNGCMCU/edit?usp=sharing"",""ลพบุรี!L161"")+IMPORTRANGE(""https://docs.google.com/spreadsheets/d/10oOiF7loTyfsTkbd4MpaIm0HQ9SwB7IYHdIUvt-U1Uc/edit?usp=sharing"""&amp;",""สระแก้ว!L161"")+IMPORTRANGE(""https://docs.google.com/spreadsheets/d/1xmPlrr1QbdSIKvl1dWUl9K4PjAfSL9oeMr_37QVzcxc/edit?usp=sharing"",""สระบุรี!L161"")+IMPORTRANGE(""https://docs.google.com/spreadsheets/d/1j51vR6CYVGhABJpv6tkstgok82RLpXieLzW1yOY5rHw/edi"&amp;"t?usp=sharing"",""สิงห์บุรี!L161"")+IMPORTRANGE(""https://docs.google.com/spreadsheets/d/1H1EalTWKUSzO4Z1-1CwzoDUaVffgrThEBe2sl74kKG0/edit?usp=sharing"",""สุพรรณบุรี!L161"")+IMPORTRANGE(""https://docs.google.com/spreadsheets/d/1BmIruG_sIrJLYao_Pdr7zVArWsf"&amp;"oBt2692TMi6x_854/edit?usp=sharing"",""อ่างทอง!L161"")"),0)</f>
        <v>0</v>
      </c>
      <c r="M162" s="88">
        <f ca="1">IFERROR(__xludf.DUMMYFUNCTION("IMPORTRANGE(""https://docs.google.com/spreadsheets/d/13wPX838HrBrQMCywv1BsuMkt4PEKTChp52zj44s2izQ/edit?usp=sharing"",""กาญจนบุรี!M161"")+IMPORTRANGE(""https://docs.google.com/spreadsheets/d/1ddFKvqj1W1NEiWytbGlB1zMx_ykJDVtmfEQ-6-lIUBA/edit?usp=sharing"","&amp;"""จันทบุรี!M161"")+IMPORTRANGE(""https://docs.google.com/spreadsheets/d/1T1PQvRODqOBZk8BRht_U031fIS1beLA0Ub2CEytj2q0/edit?usp=sharing"",""ฉะเชิงเทรา!M161"")+IMPORTRANGE(""https://docs.google.com/spreadsheets/d/11tr1B-Bhyr79v2bkwVh5h_fR-PStkgjlZtkrZpYurG0/"&amp;"edit?usp=sharing"",""ชลบุรี!M161"")+IMPORTRANGE(""https://docs.google.com/spreadsheets/d/1hh-FVnSX0vozXhGluamEcS54Dw9_zqW0N7qJUWgJ0Sw/edit?usp=sharing"",""ชัยนาท!M161"")+IMPORTRANGE(""https://docs.google.com/spreadsheets/d/1jkqa6GXxSacMcY1eN8AHjMNJ_7dDXMJ"&amp;"VRLDlaFSOdPM/edit?usp=sharing"",""ตราด!M161"")+IMPORTRANGE(""https://docs.google.com/spreadsheets/d/18hSgUJ3VwClqi_qtULmmW3cLr0oe3OKaSYoKzdpTsYQ/edit?usp=sharing"",""นครนายก!M161"")+IMPORTRANGE(""https://docs.google.com/spreadsheets/d/1YTZo6WM2dQ6Ix6FSdnL"&amp;"5P7uVnVKu40sxZu975tgG10E/edit?usp=sharing"",""นครปฐม!M161"")+IMPORTRANGE(""https://docs.google.com/spreadsheets/d/1OYoGg4WDg5RIzwGeB10padOxJF9E_Vljuvvct_M7RDo/edit?usp=sharing"",""ปทุมธานี!M161"")+IMPORTRANGE(""https://docs.google.com/spreadsheets/d/1GbCI"&amp;"E4D4wk9FUozzqk7SxfDMxDVBwVmI5zcaVUSzKAc/edit?usp=sharing"",""ประจวบคีรีขันธ์!M161"")+IMPORTRANGE(""https://docs.google.com/spreadsheets/d/1vVf6wykvW_lAyu7Yo9L4hUTqHqIeP_qcVuxCtosJEbg/edit?usp=sharing"",""ปราจีนบุรี!M161"")+IMPORTRANGE(""https://docs.googl"&amp;"e.com/spreadsheets/d/1BIDqLLg5jk3v59G8NlR8rk5xfQDKne0sAvZHSj7TI6I/edit?usp=sharing"",""พระนครศรีอยุธยา!M161"")+IMPORTRANGE(""https://docs.google.com/spreadsheets/d/1YXvxf8Yu6_rV4hTBrwMqAcAnv6DfhUxh5emyM3CJp_w/edit?usp=sharing"",""เพชรบุรี!M161"")+IMPORTRA"&amp;"NGE(""https://docs.google.com/spreadsheets/d/19KBlQQs7uwvsao6t2n-KvW3Ax8J8uRRfZPq1zPbXgKc/edit?usp=sharing"",""ระยอง!M161"")+IMPORTRANGE(""https://docs.google.com/spreadsheets/d/1jQ6P4QcrGM89YfqcC_PxOHGCMq5ezhucwJd8ci-NHng/edit?usp=sharing"",""ราชบุรี!M16"&amp;"1"")+IMPORTRANGE(""https://docs.google.com/spreadsheets/d/1lufeA2cfFqM-elVq2hznhDzC6Pr7wkJ9ZG_sYNGCMCU/edit?usp=sharing"",""ลพบุรี!M161"")+IMPORTRANGE(""https://docs.google.com/spreadsheets/d/10oOiF7loTyfsTkbd4MpaIm0HQ9SwB7IYHdIUvt-U1Uc/edit?usp=sharing"""&amp;",""สระแก้ว!M161"")+IMPORTRANGE(""https://docs.google.com/spreadsheets/d/1xmPlrr1QbdSIKvl1dWUl9K4PjAfSL9oeMr_37QVzcxc/edit?usp=sharing"",""สระบุรี!M161"")+IMPORTRANGE(""https://docs.google.com/spreadsheets/d/1j51vR6CYVGhABJpv6tkstgok82RLpXieLzW1yOY5rHw/edi"&amp;"t?usp=sharing"",""สิงห์บุรี!M161"")+IMPORTRANGE(""https://docs.google.com/spreadsheets/d/1H1EalTWKUSzO4Z1-1CwzoDUaVffgrThEBe2sl74kKG0/edit?usp=sharing"",""สุพรรณบุรี!M161"")+IMPORTRANGE(""https://docs.google.com/spreadsheets/d/1BmIruG_sIrJLYao_Pdr7zVArWsf"&amp;"oBt2692TMi6x_854/edit?usp=sharing"",""อ่างทอง!M161"")"),0)</f>
        <v>0</v>
      </c>
      <c r="N162" s="88">
        <f ca="1">IFERROR(__xludf.DUMMYFUNCTION("IMPORTRANGE(""https://docs.google.com/spreadsheets/d/13wPX838HrBrQMCywv1BsuMkt4PEKTChp52zj44s2izQ/edit?usp=sharing"",""กาญจนบุรี!N161"")+IMPORTRANGE(""https://docs.google.com/spreadsheets/d/1ddFKvqj1W1NEiWytbGlB1zMx_ykJDVtmfEQ-6-lIUBA/edit?usp=sharing"","&amp;"""จันทบุรี!N161"")+IMPORTRANGE(""https://docs.google.com/spreadsheets/d/1T1PQvRODqOBZk8BRht_U031fIS1beLA0Ub2CEytj2q0/edit?usp=sharing"",""ฉะเชิงเทรา!N161"")+IMPORTRANGE(""https://docs.google.com/spreadsheets/d/11tr1B-Bhyr79v2bkwVh5h_fR-PStkgjlZtkrZpYurG0/"&amp;"edit?usp=sharing"",""ชลบุรี!N161"")+IMPORTRANGE(""https://docs.google.com/spreadsheets/d/1hh-FVnSX0vozXhGluamEcS54Dw9_zqW0N7qJUWgJ0Sw/edit?usp=sharing"",""ชัยนาท!N161"")+IMPORTRANGE(""https://docs.google.com/spreadsheets/d/1jkqa6GXxSacMcY1eN8AHjMNJ_7dDXMJ"&amp;"VRLDlaFSOdPM/edit?usp=sharing"",""ตราด!N161"")+IMPORTRANGE(""https://docs.google.com/spreadsheets/d/18hSgUJ3VwClqi_qtULmmW3cLr0oe3OKaSYoKzdpTsYQ/edit?usp=sharing"",""นครนายก!N161"")+IMPORTRANGE(""https://docs.google.com/spreadsheets/d/1YTZo6WM2dQ6Ix6FSdnL"&amp;"5P7uVnVKu40sxZu975tgG10E/edit?usp=sharing"",""นครปฐม!N161"")+IMPORTRANGE(""https://docs.google.com/spreadsheets/d/1OYoGg4WDg5RIzwGeB10padOxJF9E_Vljuvvct_M7RDo/edit?usp=sharing"",""ปทุมธานี!N161"")+IMPORTRANGE(""https://docs.google.com/spreadsheets/d/1GbCI"&amp;"E4D4wk9FUozzqk7SxfDMxDVBwVmI5zcaVUSzKAc/edit?usp=sharing"",""ประจวบคีรีขันธ์!N161"")+IMPORTRANGE(""https://docs.google.com/spreadsheets/d/1vVf6wykvW_lAyu7Yo9L4hUTqHqIeP_qcVuxCtosJEbg/edit?usp=sharing"",""ปราจีนบุรี!N161"")+IMPORTRANGE(""https://docs.googl"&amp;"e.com/spreadsheets/d/1BIDqLLg5jk3v59G8NlR8rk5xfQDKne0sAvZHSj7TI6I/edit?usp=sharing"",""พระนครศรีอยุธยา!N161"")+IMPORTRANGE(""https://docs.google.com/spreadsheets/d/1YXvxf8Yu6_rV4hTBrwMqAcAnv6DfhUxh5emyM3CJp_w/edit?usp=sharing"",""เพชรบุรี!N161"")+IMPORTRA"&amp;"NGE(""https://docs.google.com/spreadsheets/d/19KBlQQs7uwvsao6t2n-KvW3Ax8J8uRRfZPq1zPbXgKc/edit?usp=sharing"",""ระยอง!N161"")+IMPORTRANGE(""https://docs.google.com/spreadsheets/d/1jQ6P4QcrGM89YfqcC_PxOHGCMq5ezhucwJd8ci-NHng/edit?usp=sharing"",""ราชบุรี!N16"&amp;"1"")+IMPORTRANGE(""https://docs.google.com/spreadsheets/d/1lufeA2cfFqM-elVq2hznhDzC6Pr7wkJ9ZG_sYNGCMCU/edit?usp=sharing"",""ลพบุรี!N161"")+IMPORTRANGE(""https://docs.google.com/spreadsheets/d/10oOiF7loTyfsTkbd4MpaIm0HQ9SwB7IYHdIUvt-U1Uc/edit?usp=sharing"""&amp;",""สระแก้ว!N161"")+IMPORTRANGE(""https://docs.google.com/spreadsheets/d/1xmPlrr1QbdSIKvl1dWUl9K4PjAfSL9oeMr_37QVzcxc/edit?usp=sharing"",""สระบุรี!N161"")+IMPORTRANGE(""https://docs.google.com/spreadsheets/d/1j51vR6CYVGhABJpv6tkstgok82RLpXieLzW1yOY5rHw/edi"&amp;"t?usp=sharing"",""สิงห์บุรี!N161"")+IMPORTRANGE(""https://docs.google.com/spreadsheets/d/1H1EalTWKUSzO4Z1-1CwzoDUaVffgrThEBe2sl74kKG0/edit?usp=sharing"",""สุพรรณบุรี!N161"")+IMPORTRANGE(""https://docs.google.com/spreadsheets/d/1BmIruG_sIrJLYao_Pdr7zVArWsf"&amp;"oBt2692TMi6x_854/edit?usp=sharing"",""อ่างทอง!N161"")"),0)</f>
        <v>0</v>
      </c>
      <c r="O162" s="88">
        <f t="shared" ca="1" si="125"/>
        <v>0</v>
      </c>
      <c r="P162" s="88">
        <f t="shared" ca="1" si="126"/>
        <v>0</v>
      </c>
      <c r="Q162" s="76">
        <f ca="1">IFERROR(__xludf.DUMMYFUNCTION("IMPORTRANGE(""https://docs.google.com/spreadsheets/d/13wPX838HrBrQMCywv1BsuMkt4PEKTChp52zj44s2izQ/edit?usp=sharing"",""กาญจนบุรี!Q161"")+IMPORTRANGE(""https://docs.google.com/spreadsheets/d/1ddFKvqj1W1NEiWytbGlB1zMx_ykJDVtmfEQ-6-lIUBA/edit?usp=sharing"","&amp;"""จันทบุรี!Q161"")+IMPORTRANGE(""https://docs.google.com/spreadsheets/d/1T1PQvRODqOBZk8BRht_U031fIS1beLA0Ub2CEytj2q0/edit?usp=sharing"",""ฉะเชิงเทรา!Q161"")+IMPORTRANGE(""https://docs.google.com/spreadsheets/d/11tr1B-Bhyr79v2bkwVh5h_fR-PStkgjlZtkrZpYurG0/"&amp;"edit?usp=sharing"",""ชลบุรี!Q161"")+IMPORTRANGE(""https://docs.google.com/spreadsheets/d/1hh-FVnSX0vozXhGluamEcS54Dw9_zqW0N7qJUWgJ0Sw/edit?usp=sharing"",""ชัยนาท!Q161"")+IMPORTRANGE(""https://docs.google.com/spreadsheets/d/1jkqa6GXxSacMcY1eN8AHjMNJ_7dDXMJ"&amp;"VRLDlaFSOdPM/edit?usp=sharing"",""ตราด!Q161"")+IMPORTRANGE(""https://docs.google.com/spreadsheets/d/18hSgUJ3VwClqi_qtULmmW3cLr0oe3OKaSYoKzdpTsYQ/edit?usp=sharing"",""นครนายก!Q161"")+IMPORTRANGE(""https://docs.google.com/spreadsheets/d/1YTZo6WM2dQ6Ix6FSdnL"&amp;"5P7uVnVKu40sxZu975tgG10E/edit?usp=sharing"",""นครปฐม!Q161"")+IMPORTRANGE(""https://docs.google.com/spreadsheets/d/1OYoGg4WDg5RIzwGeB10padOxJF9E_Vljuvvct_M7RDo/edit?usp=sharing"",""ปทุมธานี!Q161"")+IMPORTRANGE(""https://docs.google.com/spreadsheets/d/1GbCI"&amp;"E4D4wk9FUozzqk7SxfDMxDVBwVmI5zcaVUSzKAc/edit?usp=sharing"",""ประจวบคีรีขันธ์!Q161"")+IMPORTRANGE(""https://docs.google.com/spreadsheets/d/1vVf6wykvW_lAyu7Yo9L4hUTqHqIeP_qcVuxCtosJEbg/edit?usp=sharing"",""ปราจีนบุรี!Q161"")+IMPORTRANGE(""https://docs.googl"&amp;"e.com/spreadsheets/d/1BIDqLLg5jk3v59G8NlR8rk5xfQDKne0sAvZHSj7TI6I/edit?usp=sharing"",""พระนครศรีอยุธยา!Q161"")+IMPORTRANGE(""https://docs.google.com/spreadsheets/d/1YXvxf8Yu6_rV4hTBrwMqAcAnv6DfhUxh5emyM3CJp_w/edit?usp=sharing"",""เพชรบุรี!Q161"")+IMPORTRA"&amp;"NGE(""https://docs.google.com/spreadsheets/d/19KBlQQs7uwvsao6t2n-KvW3Ax8J8uRRfZPq1zPbXgKc/edit?usp=sharing"",""ระยอง!Q161"")+IMPORTRANGE(""https://docs.google.com/spreadsheets/d/1jQ6P4QcrGM89YfqcC_PxOHGCMq5ezhucwJd8ci-NHng/edit?usp=sharing"",""ราชบุรี!Q16"&amp;"1"")+IMPORTRANGE(""https://docs.google.com/spreadsheets/d/1lufeA2cfFqM-elVq2hznhDzC6Pr7wkJ9ZG_sYNGCMCU/edit?usp=sharing"",""ลพบุรี!Q161"")+IMPORTRANGE(""https://docs.google.com/spreadsheets/d/10oOiF7loTyfsTkbd4MpaIm0HQ9SwB7IYHdIUvt-U1Uc/edit?usp=sharing"""&amp;",""สระแก้ว!Q161"")+IMPORTRANGE(""https://docs.google.com/spreadsheets/d/1xmPlrr1QbdSIKvl1dWUl9K4PjAfSL9oeMr_37QVzcxc/edit?usp=sharing"",""สระบุรี!Q161"")+IMPORTRANGE(""https://docs.google.com/spreadsheets/d/1j51vR6CYVGhABJpv6tkstgok82RLpXieLzW1yOY5rHw/edi"&amp;"t?usp=sharing"",""สิงห์บุรี!Q161"")+IMPORTRANGE(""https://docs.google.com/spreadsheets/d/1H1EalTWKUSzO4Z1-1CwzoDUaVffgrThEBe2sl74kKG0/edit?usp=sharing"",""สุพรรณบุรี!Q161"")+IMPORTRANGE(""https://docs.google.com/spreadsheets/d/1BmIruG_sIrJLYao_Pdr7zVArWsf"&amp;"oBt2692TMi6x_854/edit?usp=sharing"",""อ่างทอง!Q161"")"),0)</f>
        <v>0</v>
      </c>
      <c r="R162" s="77">
        <f ca="1">IFERROR(__xludf.DUMMYFUNCTION("IMPORTRANGE(""https://docs.google.com/spreadsheets/d/13wPX838HrBrQMCywv1BsuMkt4PEKTChp52zj44s2izQ/edit?usp=sharing"",""กาญจนบุรี!R161"")+IMPORTRANGE(""https://docs.google.com/spreadsheets/d/1ddFKvqj1W1NEiWytbGlB1zMx_ykJDVtmfEQ-6-lIUBA/edit?usp=sharing"","&amp;"""จันทบุรี!R161"")+IMPORTRANGE(""https://docs.google.com/spreadsheets/d/1T1PQvRODqOBZk8BRht_U031fIS1beLA0Ub2CEytj2q0/edit?usp=sharing"",""ฉะเชิงเทรา!R161"")+IMPORTRANGE(""https://docs.google.com/spreadsheets/d/11tr1B-Bhyr79v2bkwVh5h_fR-PStkgjlZtkrZpYurG0/"&amp;"edit?usp=sharing"",""ชลบุรี!R161"")+IMPORTRANGE(""https://docs.google.com/spreadsheets/d/1hh-FVnSX0vozXhGluamEcS54Dw9_zqW0N7qJUWgJ0Sw/edit?usp=sharing"",""ชัยนาท!R161"")+IMPORTRANGE(""https://docs.google.com/spreadsheets/d/1jkqa6GXxSacMcY1eN8AHjMNJ_7dDXMJ"&amp;"VRLDlaFSOdPM/edit?usp=sharing"",""ตราด!R161"")+IMPORTRANGE(""https://docs.google.com/spreadsheets/d/18hSgUJ3VwClqi_qtULmmW3cLr0oe3OKaSYoKzdpTsYQ/edit?usp=sharing"",""นครนายก!R161"")+IMPORTRANGE(""https://docs.google.com/spreadsheets/d/1YTZo6WM2dQ6Ix6FSdnL"&amp;"5P7uVnVKu40sxZu975tgG10E/edit?usp=sharing"",""นครปฐม!R161"")+IMPORTRANGE(""https://docs.google.com/spreadsheets/d/1OYoGg4WDg5RIzwGeB10padOxJF9E_Vljuvvct_M7RDo/edit?usp=sharing"",""ปทุมธานี!R161"")+IMPORTRANGE(""https://docs.google.com/spreadsheets/d/1GbCI"&amp;"E4D4wk9FUozzqk7SxfDMxDVBwVmI5zcaVUSzKAc/edit?usp=sharing"",""ประจวบคีรีขันธ์!R161"")+IMPORTRANGE(""https://docs.google.com/spreadsheets/d/1vVf6wykvW_lAyu7Yo9L4hUTqHqIeP_qcVuxCtosJEbg/edit?usp=sharing"",""ปราจีนบุรี!R161"")+IMPORTRANGE(""https://docs.googl"&amp;"e.com/spreadsheets/d/1BIDqLLg5jk3v59G8NlR8rk5xfQDKne0sAvZHSj7TI6I/edit?usp=sharing"",""พระนครศรีอยุธยา!R161"")+IMPORTRANGE(""https://docs.google.com/spreadsheets/d/1YXvxf8Yu6_rV4hTBrwMqAcAnv6DfhUxh5emyM3CJp_w/edit?usp=sharing"",""เพชรบุรี!R161"")+IMPORTRA"&amp;"NGE(""https://docs.google.com/spreadsheets/d/19KBlQQs7uwvsao6t2n-KvW3Ax8J8uRRfZPq1zPbXgKc/edit?usp=sharing"",""ระยอง!R161"")+IMPORTRANGE(""https://docs.google.com/spreadsheets/d/1jQ6P4QcrGM89YfqcC_PxOHGCMq5ezhucwJd8ci-NHng/edit?usp=sharing"",""ราชบุรี!R16"&amp;"1"")+IMPORTRANGE(""https://docs.google.com/spreadsheets/d/1lufeA2cfFqM-elVq2hznhDzC6Pr7wkJ9ZG_sYNGCMCU/edit?usp=sharing"",""ลพบุรี!R161"")+IMPORTRANGE(""https://docs.google.com/spreadsheets/d/10oOiF7loTyfsTkbd4MpaIm0HQ9SwB7IYHdIUvt-U1Uc/edit?usp=sharing"""&amp;",""สระแก้ว!R161"")+IMPORTRANGE(""https://docs.google.com/spreadsheets/d/1xmPlrr1QbdSIKvl1dWUl9K4PjAfSL9oeMr_37QVzcxc/edit?usp=sharing"",""สระบุรี!R161"")+IMPORTRANGE(""https://docs.google.com/spreadsheets/d/1j51vR6CYVGhABJpv6tkstgok82RLpXieLzW1yOY5rHw/edi"&amp;"t?usp=sharing"",""สิงห์บุรี!R161"")+IMPORTRANGE(""https://docs.google.com/spreadsheets/d/1H1EalTWKUSzO4Z1-1CwzoDUaVffgrThEBe2sl74kKG0/edit?usp=sharing"",""สุพรรณบุรี!R161"")+IMPORTRANGE(""https://docs.google.com/spreadsheets/d/1BmIruG_sIrJLYao_Pdr7zVArWsf"&amp;"oBt2692TMi6x_854/edit?usp=sharing"",""อ่างทอง!R161"")"),0)</f>
        <v>0</v>
      </c>
      <c r="S162" s="77">
        <f ca="1">IFERROR(__xludf.DUMMYFUNCTION("IMPORTRANGE(""https://docs.google.com/spreadsheets/d/13wPX838HrBrQMCywv1BsuMkt4PEKTChp52zj44s2izQ/edit?usp=sharing"",""กาญจนบุรี!S161"")+IMPORTRANGE(""https://docs.google.com/spreadsheets/d/1ddFKvqj1W1NEiWytbGlB1zMx_ykJDVtmfEQ-6-lIUBA/edit?usp=sharing"","&amp;"""จันทบุรี!S161"")+IMPORTRANGE(""https://docs.google.com/spreadsheets/d/1T1PQvRODqOBZk8BRht_U031fIS1beLA0Ub2CEytj2q0/edit?usp=sharing"",""ฉะเชิงเทรา!S161"")+IMPORTRANGE(""https://docs.google.com/spreadsheets/d/11tr1B-Bhyr79v2bkwVh5h_fR-PStkgjlZtkrZpYurG0/"&amp;"edit?usp=sharing"",""ชลบุรี!S161"")+IMPORTRANGE(""https://docs.google.com/spreadsheets/d/1hh-FVnSX0vozXhGluamEcS54Dw9_zqW0N7qJUWgJ0Sw/edit?usp=sharing"",""ชัยนาท!S161"")+IMPORTRANGE(""https://docs.google.com/spreadsheets/d/1jkqa6GXxSacMcY1eN8AHjMNJ_7dDXMJ"&amp;"VRLDlaFSOdPM/edit?usp=sharing"",""ตราด!S161"")+IMPORTRANGE(""https://docs.google.com/spreadsheets/d/18hSgUJ3VwClqi_qtULmmW3cLr0oe3OKaSYoKzdpTsYQ/edit?usp=sharing"",""นครนายก!S161"")+IMPORTRANGE(""https://docs.google.com/spreadsheets/d/1YTZo6WM2dQ6Ix6FSdnL"&amp;"5P7uVnVKu40sxZu975tgG10E/edit?usp=sharing"",""นครปฐม!S161"")+IMPORTRANGE(""https://docs.google.com/spreadsheets/d/1OYoGg4WDg5RIzwGeB10padOxJF9E_Vljuvvct_M7RDo/edit?usp=sharing"",""ปทุมธานี!S161"")+IMPORTRANGE(""https://docs.google.com/spreadsheets/d/1GbCI"&amp;"E4D4wk9FUozzqk7SxfDMxDVBwVmI5zcaVUSzKAc/edit?usp=sharing"",""ประจวบคีรีขันธ์!S161"")+IMPORTRANGE(""https://docs.google.com/spreadsheets/d/1vVf6wykvW_lAyu7Yo9L4hUTqHqIeP_qcVuxCtosJEbg/edit?usp=sharing"",""ปราจีนบุรี!S161"")+IMPORTRANGE(""https://docs.googl"&amp;"e.com/spreadsheets/d/1BIDqLLg5jk3v59G8NlR8rk5xfQDKne0sAvZHSj7TI6I/edit?usp=sharing"",""พระนครศรีอยุธยา!S161"")+IMPORTRANGE(""https://docs.google.com/spreadsheets/d/1YXvxf8Yu6_rV4hTBrwMqAcAnv6DfhUxh5emyM3CJp_w/edit?usp=sharing"",""เพชรบุรี!S161"")+IMPORTRA"&amp;"NGE(""https://docs.google.com/spreadsheets/d/19KBlQQs7uwvsao6t2n-KvW3Ax8J8uRRfZPq1zPbXgKc/edit?usp=sharing"",""ระยอง!S161"")+IMPORTRANGE(""https://docs.google.com/spreadsheets/d/1jQ6P4QcrGM89YfqcC_PxOHGCMq5ezhucwJd8ci-NHng/edit?usp=sharing"",""ราชบุรี!S16"&amp;"1"")+IMPORTRANGE(""https://docs.google.com/spreadsheets/d/1lufeA2cfFqM-elVq2hznhDzC6Pr7wkJ9ZG_sYNGCMCU/edit?usp=sharing"",""ลพบุรี!S161"")+IMPORTRANGE(""https://docs.google.com/spreadsheets/d/10oOiF7loTyfsTkbd4MpaIm0HQ9SwB7IYHdIUvt-U1Uc/edit?usp=sharing"""&amp;",""สระแก้ว!S161"")+IMPORTRANGE(""https://docs.google.com/spreadsheets/d/1xmPlrr1QbdSIKvl1dWUl9K4PjAfSL9oeMr_37QVzcxc/edit?usp=sharing"",""สระบุรี!S161"")+IMPORTRANGE(""https://docs.google.com/spreadsheets/d/1j51vR6CYVGhABJpv6tkstgok82RLpXieLzW1yOY5rHw/edi"&amp;"t?usp=sharing"",""สิงห์บุรี!S161"")+IMPORTRANGE(""https://docs.google.com/spreadsheets/d/1H1EalTWKUSzO4Z1-1CwzoDUaVffgrThEBe2sl74kKG0/edit?usp=sharing"",""สุพรรณบุรี!S161"")+IMPORTRANGE(""https://docs.google.com/spreadsheets/d/1BmIruG_sIrJLYao_Pdr7zVArWsf"&amp;"oBt2692TMi6x_854/edit?usp=sharing"",""อ่างทอง!S161"")"),0)</f>
        <v>0</v>
      </c>
      <c r="T162" s="133">
        <f t="shared" ca="1" si="128"/>
        <v>0</v>
      </c>
      <c r="U162" s="133">
        <f t="shared" ca="1" si="129"/>
        <v>0</v>
      </c>
    </row>
    <row r="163" spans="1:21" ht="18.75" x14ac:dyDescent="0.25">
      <c r="A163" s="209"/>
      <c r="B163" s="67"/>
      <c r="C163" s="67"/>
      <c r="D163" s="67"/>
      <c r="E163" s="75" t="s">
        <v>37</v>
      </c>
      <c r="F163" s="67"/>
      <c r="G163" s="69"/>
      <c r="H163" s="218" t="s">
        <v>14</v>
      </c>
      <c r="I163" s="219"/>
      <c r="J163" s="219"/>
      <c r="K163" s="220"/>
      <c r="L163" s="88">
        <f ca="1">IFERROR(__xludf.DUMMYFUNCTION("IMPORTRANGE(""https://docs.google.com/spreadsheets/d/13wPX838HrBrQMCywv1BsuMkt4PEKTChp52zj44s2izQ/edit?usp=sharing"",""กาญจนบุรี!L162"")+IMPORTRANGE(""https://docs.google.com/spreadsheets/d/1ddFKvqj1W1NEiWytbGlB1zMx_ykJDVtmfEQ-6-lIUBA/edit?usp=sharing"","&amp;"""จันทบุรี!L162"")+IMPORTRANGE(""https://docs.google.com/spreadsheets/d/1T1PQvRODqOBZk8BRht_U031fIS1beLA0Ub2CEytj2q0/edit?usp=sharing"",""ฉะเชิงเทรา!L162"")+IMPORTRANGE(""https://docs.google.com/spreadsheets/d/11tr1B-Bhyr79v2bkwVh5h_fR-PStkgjlZtkrZpYurG0/"&amp;"edit?usp=sharing"",""ชลบุรี!L162"")+IMPORTRANGE(""https://docs.google.com/spreadsheets/d/1hh-FVnSX0vozXhGluamEcS54Dw9_zqW0N7qJUWgJ0Sw/edit?usp=sharing"",""ชัยนาท!L162"")+IMPORTRANGE(""https://docs.google.com/spreadsheets/d/1jkqa6GXxSacMcY1eN8AHjMNJ_7dDXMJ"&amp;"VRLDlaFSOdPM/edit?usp=sharing"",""ตราด!L162"")+IMPORTRANGE(""https://docs.google.com/spreadsheets/d/18hSgUJ3VwClqi_qtULmmW3cLr0oe3OKaSYoKzdpTsYQ/edit?usp=sharing"",""นครนายก!L162"")+IMPORTRANGE(""https://docs.google.com/spreadsheets/d/1YTZo6WM2dQ6Ix6FSdnL"&amp;"5P7uVnVKu40sxZu975tgG10E/edit?usp=sharing"",""นครปฐม!L162"")+IMPORTRANGE(""https://docs.google.com/spreadsheets/d/1OYoGg4WDg5RIzwGeB10padOxJF9E_Vljuvvct_M7RDo/edit?usp=sharing"",""ปทุมธานี!L162"")+IMPORTRANGE(""https://docs.google.com/spreadsheets/d/1GbCI"&amp;"E4D4wk9FUozzqk7SxfDMxDVBwVmI5zcaVUSzKAc/edit?usp=sharing"",""ประจวบคีรีขันธ์!L162"")+IMPORTRANGE(""https://docs.google.com/spreadsheets/d/1vVf6wykvW_lAyu7Yo9L4hUTqHqIeP_qcVuxCtosJEbg/edit?usp=sharing"",""ปราจีนบุรี!L162"")+IMPORTRANGE(""https://docs.googl"&amp;"e.com/spreadsheets/d/1BIDqLLg5jk3v59G8NlR8rk5xfQDKne0sAvZHSj7TI6I/edit?usp=sharing"",""พระนครศรีอยุธยา!L162"")+IMPORTRANGE(""https://docs.google.com/spreadsheets/d/1YXvxf8Yu6_rV4hTBrwMqAcAnv6DfhUxh5emyM3CJp_w/edit?usp=sharing"",""เพชรบุรี!L162"")+IMPORTRA"&amp;"NGE(""https://docs.google.com/spreadsheets/d/19KBlQQs7uwvsao6t2n-KvW3Ax8J8uRRfZPq1zPbXgKc/edit?usp=sharing"",""ระยอง!L162"")+IMPORTRANGE(""https://docs.google.com/spreadsheets/d/1jQ6P4QcrGM89YfqcC_PxOHGCMq5ezhucwJd8ci-NHng/edit?usp=sharing"",""ราชบุรี!L16"&amp;"2"")+IMPORTRANGE(""https://docs.google.com/spreadsheets/d/1lufeA2cfFqM-elVq2hznhDzC6Pr7wkJ9ZG_sYNGCMCU/edit?usp=sharing"",""ลพบุรี!L162"")+IMPORTRANGE(""https://docs.google.com/spreadsheets/d/10oOiF7loTyfsTkbd4MpaIm0HQ9SwB7IYHdIUvt-U1Uc/edit?usp=sharing"""&amp;",""สระแก้ว!L162"")+IMPORTRANGE(""https://docs.google.com/spreadsheets/d/1xmPlrr1QbdSIKvl1dWUl9K4PjAfSL9oeMr_37QVzcxc/edit?usp=sharing"",""สระบุรี!L162"")+IMPORTRANGE(""https://docs.google.com/spreadsheets/d/1j51vR6CYVGhABJpv6tkstgok82RLpXieLzW1yOY5rHw/edi"&amp;"t?usp=sharing"",""สิงห์บุรี!L162"")+IMPORTRANGE(""https://docs.google.com/spreadsheets/d/1H1EalTWKUSzO4Z1-1CwzoDUaVffgrThEBe2sl74kKG0/edit?usp=sharing"",""สุพรรณบุรี!L162"")+IMPORTRANGE(""https://docs.google.com/spreadsheets/d/1BmIruG_sIrJLYao_Pdr7zVArWsf"&amp;"oBt2692TMi6x_854/edit?usp=sharing"",""อ่างทอง!L162"")"),31500)</f>
        <v>31500</v>
      </c>
      <c r="M163" s="88">
        <f ca="1">IFERROR(__xludf.DUMMYFUNCTION("IMPORTRANGE(""https://docs.google.com/spreadsheets/d/13wPX838HrBrQMCywv1BsuMkt4PEKTChp52zj44s2izQ/edit?usp=sharing"",""กาญจนบุรี!M162"")+IMPORTRANGE(""https://docs.google.com/spreadsheets/d/1ddFKvqj1W1NEiWytbGlB1zMx_ykJDVtmfEQ-6-lIUBA/edit?usp=sharing"","&amp;"""จันทบุรี!M162"")+IMPORTRANGE(""https://docs.google.com/spreadsheets/d/1T1PQvRODqOBZk8BRht_U031fIS1beLA0Ub2CEytj2q0/edit?usp=sharing"",""ฉะเชิงเทรา!M162"")+IMPORTRANGE(""https://docs.google.com/spreadsheets/d/11tr1B-Bhyr79v2bkwVh5h_fR-PStkgjlZtkrZpYurG0/"&amp;"edit?usp=sharing"",""ชลบุรี!M162"")+IMPORTRANGE(""https://docs.google.com/spreadsheets/d/1hh-FVnSX0vozXhGluamEcS54Dw9_zqW0N7qJUWgJ0Sw/edit?usp=sharing"",""ชัยนาท!M162"")+IMPORTRANGE(""https://docs.google.com/spreadsheets/d/1jkqa6GXxSacMcY1eN8AHjMNJ_7dDXMJ"&amp;"VRLDlaFSOdPM/edit?usp=sharing"",""ตราด!M162"")+IMPORTRANGE(""https://docs.google.com/spreadsheets/d/18hSgUJ3VwClqi_qtULmmW3cLr0oe3OKaSYoKzdpTsYQ/edit?usp=sharing"",""นครนายก!M162"")+IMPORTRANGE(""https://docs.google.com/spreadsheets/d/1YTZo6WM2dQ6Ix6FSdnL"&amp;"5P7uVnVKu40sxZu975tgG10E/edit?usp=sharing"",""นครปฐม!M162"")+IMPORTRANGE(""https://docs.google.com/spreadsheets/d/1OYoGg4WDg5RIzwGeB10padOxJF9E_Vljuvvct_M7RDo/edit?usp=sharing"",""ปทุมธานี!M162"")+IMPORTRANGE(""https://docs.google.com/spreadsheets/d/1GbCI"&amp;"E4D4wk9FUozzqk7SxfDMxDVBwVmI5zcaVUSzKAc/edit?usp=sharing"",""ประจวบคีรีขันธ์!M162"")+IMPORTRANGE(""https://docs.google.com/spreadsheets/d/1vVf6wykvW_lAyu7Yo9L4hUTqHqIeP_qcVuxCtosJEbg/edit?usp=sharing"",""ปราจีนบุรี!M162"")+IMPORTRANGE(""https://docs.googl"&amp;"e.com/spreadsheets/d/1BIDqLLg5jk3v59G8NlR8rk5xfQDKne0sAvZHSj7TI6I/edit?usp=sharing"",""พระนครศรีอยุธยา!M162"")+IMPORTRANGE(""https://docs.google.com/spreadsheets/d/1YXvxf8Yu6_rV4hTBrwMqAcAnv6DfhUxh5emyM3CJp_w/edit?usp=sharing"",""เพชรบุรี!M162"")+IMPORTRA"&amp;"NGE(""https://docs.google.com/spreadsheets/d/19KBlQQs7uwvsao6t2n-KvW3Ax8J8uRRfZPq1zPbXgKc/edit?usp=sharing"",""ระยอง!M162"")+IMPORTRANGE(""https://docs.google.com/spreadsheets/d/1jQ6P4QcrGM89YfqcC_PxOHGCMq5ezhucwJd8ci-NHng/edit?usp=sharing"",""ราชบุรี!M16"&amp;"2"")+IMPORTRANGE(""https://docs.google.com/spreadsheets/d/1lufeA2cfFqM-elVq2hznhDzC6Pr7wkJ9ZG_sYNGCMCU/edit?usp=sharing"",""ลพบุรี!M162"")+IMPORTRANGE(""https://docs.google.com/spreadsheets/d/10oOiF7loTyfsTkbd4MpaIm0HQ9SwB7IYHdIUvt-U1Uc/edit?usp=sharing"""&amp;",""สระแก้ว!M162"")+IMPORTRANGE(""https://docs.google.com/spreadsheets/d/1xmPlrr1QbdSIKvl1dWUl9K4PjAfSL9oeMr_37QVzcxc/edit?usp=sharing"",""สระบุรี!M162"")+IMPORTRANGE(""https://docs.google.com/spreadsheets/d/1j51vR6CYVGhABJpv6tkstgok82RLpXieLzW1yOY5rHw/edi"&amp;"t?usp=sharing"",""สิงห์บุรี!M162"")+IMPORTRANGE(""https://docs.google.com/spreadsheets/d/1H1EalTWKUSzO4Z1-1CwzoDUaVffgrThEBe2sl74kKG0/edit?usp=sharing"",""สุพรรณบุรี!M162"")+IMPORTRANGE(""https://docs.google.com/spreadsheets/d/1BmIruG_sIrJLYao_Pdr7zVArWsf"&amp;"oBt2692TMi6x_854/edit?usp=sharing"",""อ่างทอง!M162"")"),24500)</f>
        <v>24500</v>
      </c>
      <c r="N163" s="88">
        <f ca="1">IFERROR(__xludf.DUMMYFUNCTION("IMPORTRANGE(""https://docs.google.com/spreadsheets/d/13wPX838HrBrQMCywv1BsuMkt4PEKTChp52zj44s2izQ/edit?usp=sharing"",""กาญจนบุรี!N162"")+IMPORTRANGE(""https://docs.google.com/spreadsheets/d/1ddFKvqj1W1NEiWytbGlB1zMx_ykJDVtmfEQ-6-lIUBA/edit?usp=sharing"","&amp;"""จันทบุรี!N162"")+IMPORTRANGE(""https://docs.google.com/spreadsheets/d/1T1PQvRODqOBZk8BRht_U031fIS1beLA0Ub2CEytj2q0/edit?usp=sharing"",""ฉะเชิงเทรา!N162"")+IMPORTRANGE(""https://docs.google.com/spreadsheets/d/11tr1B-Bhyr79v2bkwVh5h_fR-PStkgjlZtkrZpYurG0/"&amp;"edit?usp=sharing"",""ชลบุรี!N162"")+IMPORTRANGE(""https://docs.google.com/spreadsheets/d/1hh-FVnSX0vozXhGluamEcS54Dw9_zqW0N7qJUWgJ0Sw/edit?usp=sharing"",""ชัยนาท!N162"")+IMPORTRANGE(""https://docs.google.com/spreadsheets/d/1jkqa6GXxSacMcY1eN8AHjMNJ_7dDXMJ"&amp;"VRLDlaFSOdPM/edit?usp=sharing"",""ตราด!N162"")+IMPORTRANGE(""https://docs.google.com/spreadsheets/d/18hSgUJ3VwClqi_qtULmmW3cLr0oe3OKaSYoKzdpTsYQ/edit?usp=sharing"",""นครนายก!N162"")+IMPORTRANGE(""https://docs.google.com/spreadsheets/d/1YTZo6WM2dQ6Ix6FSdnL"&amp;"5P7uVnVKu40sxZu975tgG10E/edit?usp=sharing"",""นครปฐม!N162"")+IMPORTRANGE(""https://docs.google.com/spreadsheets/d/1OYoGg4WDg5RIzwGeB10padOxJF9E_Vljuvvct_M7RDo/edit?usp=sharing"",""ปทุมธานี!N162"")+IMPORTRANGE(""https://docs.google.com/spreadsheets/d/1GbCI"&amp;"E4D4wk9FUozzqk7SxfDMxDVBwVmI5zcaVUSzKAc/edit?usp=sharing"",""ประจวบคีรีขันธ์!N162"")+IMPORTRANGE(""https://docs.google.com/spreadsheets/d/1vVf6wykvW_lAyu7Yo9L4hUTqHqIeP_qcVuxCtosJEbg/edit?usp=sharing"",""ปราจีนบุรี!N162"")+IMPORTRANGE(""https://docs.googl"&amp;"e.com/spreadsheets/d/1BIDqLLg5jk3v59G8NlR8rk5xfQDKne0sAvZHSj7TI6I/edit?usp=sharing"",""พระนครศรีอยุธยา!N162"")+IMPORTRANGE(""https://docs.google.com/spreadsheets/d/1YXvxf8Yu6_rV4hTBrwMqAcAnv6DfhUxh5emyM3CJp_w/edit?usp=sharing"",""เพชรบุรี!N162"")+IMPORTRA"&amp;"NGE(""https://docs.google.com/spreadsheets/d/19KBlQQs7uwvsao6t2n-KvW3Ax8J8uRRfZPq1zPbXgKc/edit?usp=sharing"",""ระยอง!N162"")+IMPORTRANGE(""https://docs.google.com/spreadsheets/d/1jQ6P4QcrGM89YfqcC_PxOHGCMq5ezhucwJd8ci-NHng/edit?usp=sharing"",""ราชบุรี!N16"&amp;"2"")+IMPORTRANGE(""https://docs.google.com/spreadsheets/d/1lufeA2cfFqM-elVq2hznhDzC6Pr7wkJ9ZG_sYNGCMCU/edit?usp=sharing"",""ลพบุรี!N162"")+IMPORTRANGE(""https://docs.google.com/spreadsheets/d/10oOiF7loTyfsTkbd4MpaIm0HQ9SwB7IYHdIUvt-U1Uc/edit?usp=sharing"""&amp;",""สระแก้ว!N162"")+IMPORTRANGE(""https://docs.google.com/spreadsheets/d/1xmPlrr1QbdSIKvl1dWUl9K4PjAfSL9oeMr_37QVzcxc/edit?usp=sharing"",""สระบุรี!N162"")+IMPORTRANGE(""https://docs.google.com/spreadsheets/d/1j51vR6CYVGhABJpv6tkstgok82RLpXieLzW1yOY5rHw/edi"&amp;"t?usp=sharing"",""สิงห์บุรี!N162"")+IMPORTRANGE(""https://docs.google.com/spreadsheets/d/1H1EalTWKUSzO4Z1-1CwzoDUaVffgrThEBe2sl74kKG0/edit?usp=sharing"",""สุพรรณบุรี!N162"")+IMPORTRANGE(""https://docs.google.com/spreadsheets/d/1BmIruG_sIrJLYao_Pdr7zVArWsf"&amp;"oBt2692TMi6x_854/edit?usp=sharing"",""อ่างทอง!N162"")"),0)</f>
        <v>0</v>
      </c>
      <c r="O163" s="88">
        <f t="shared" ca="1" si="125"/>
        <v>0</v>
      </c>
      <c r="P163" s="88">
        <f t="shared" ca="1" si="126"/>
        <v>0</v>
      </c>
      <c r="Q163" s="131">
        <f ca="1">IFERROR(__xludf.DUMMYFUNCTION("IMPORTRANGE(""https://docs.google.com/spreadsheets/d/13wPX838HrBrQMCywv1BsuMkt4PEKTChp52zj44s2izQ/edit?usp=sharing"",""กาญจนบุรี!Q162"")+IMPORTRANGE(""https://docs.google.com/spreadsheets/d/1ddFKvqj1W1NEiWytbGlB1zMx_ykJDVtmfEQ-6-lIUBA/edit?usp=sharing"","&amp;"""จันทบุรี!Q162"")+IMPORTRANGE(""https://docs.google.com/spreadsheets/d/1T1PQvRODqOBZk8BRht_U031fIS1beLA0Ub2CEytj2q0/edit?usp=sharing"",""ฉะเชิงเทรา!Q162"")+IMPORTRANGE(""https://docs.google.com/spreadsheets/d/11tr1B-Bhyr79v2bkwVh5h_fR-PStkgjlZtkrZpYurG0/"&amp;"edit?usp=sharing"",""ชลบุรี!Q162"")+IMPORTRANGE(""https://docs.google.com/spreadsheets/d/1hh-FVnSX0vozXhGluamEcS54Dw9_zqW0N7qJUWgJ0Sw/edit?usp=sharing"",""ชัยนาท!Q162"")+IMPORTRANGE(""https://docs.google.com/spreadsheets/d/1jkqa6GXxSacMcY1eN8AHjMNJ_7dDXMJ"&amp;"VRLDlaFSOdPM/edit?usp=sharing"",""ตราด!Q162"")+IMPORTRANGE(""https://docs.google.com/spreadsheets/d/18hSgUJ3VwClqi_qtULmmW3cLr0oe3OKaSYoKzdpTsYQ/edit?usp=sharing"",""นครนายก!Q162"")+IMPORTRANGE(""https://docs.google.com/spreadsheets/d/1YTZo6WM2dQ6Ix6FSdnL"&amp;"5P7uVnVKu40sxZu975tgG10E/edit?usp=sharing"",""นครปฐม!Q162"")+IMPORTRANGE(""https://docs.google.com/spreadsheets/d/1OYoGg4WDg5RIzwGeB10padOxJF9E_Vljuvvct_M7RDo/edit?usp=sharing"",""ปทุมธานี!Q162"")+IMPORTRANGE(""https://docs.google.com/spreadsheets/d/1GbCI"&amp;"E4D4wk9FUozzqk7SxfDMxDVBwVmI5zcaVUSzKAc/edit?usp=sharing"",""ประจวบคีรีขันธ์!Q162"")+IMPORTRANGE(""https://docs.google.com/spreadsheets/d/1vVf6wykvW_lAyu7Yo9L4hUTqHqIeP_qcVuxCtosJEbg/edit?usp=sharing"",""ปราจีนบุรี!Q162"")+IMPORTRANGE(""https://docs.googl"&amp;"e.com/spreadsheets/d/1BIDqLLg5jk3v59G8NlR8rk5xfQDKne0sAvZHSj7TI6I/edit?usp=sharing"",""พระนครศรีอยุธยา!Q162"")+IMPORTRANGE(""https://docs.google.com/spreadsheets/d/1YXvxf8Yu6_rV4hTBrwMqAcAnv6DfhUxh5emyM3CJp_w/edit?usp=sharing"",""เพชรบุรี!Q162"")+IMPORTRA"&amp;"NGE(""https://docs.google.com/spreadsheets/d/19KBlQQs7uwvsao6t2n-KvW3Ax8J8uRRfZPq1zPbXgKc/edit?usp=sharing"",""ระยอง!Q162"")+IMPORTRANGE(""https://docs.google.com/spreadsheets/d/1jQ6P4QcrGM89YfqcC_PxOHGCMq5ezhucwJd8ci-NHng/edit?usp=sharing"",""ราชบุรี!Q16"&amp;"2"")+IMPORTRANGE(""https://docs.google.com/spreadsheets/d/1lufeA2cfFqM-elVq2hznhDzC6Pr7wkJ9ZG_sYNGCMCU/edit?usp=sharing"",""ลพบุรี!Q162"")+IMPORTRANGE(""https://docs.google.com/spreadsheets/d/10oOiF7loTyfsTkbd4MpaIm0HQ9SwB7IYHdIUvt-U1Uc/edit?usp=sharing"""&amp;",""สระแก้ว!Q162"")+IMPORTRANGE(""https://docs.google.com/spreadsheets/d/1xmPlrr1QbdSIKvl1dWUl9K4PjAfSL9oeMr_37QVzcxc/edit?usp=sharing"",""สระบุรี!Q162"")+IMPORTRANGE(""https://docs.google.com/spreadsheets/d/1j51vR6CYVGhABJpv6tkstgok82RLpXieLzW1yOY5rHw/edi"&amp;"t?usp=sharing"",""สิงห์บุรี!Q162"")+IMPORTRANGE(""https://docs.google.com/spreadsheets/d/1H1EalTWKUSzO4Z1-1CwzoDUaVffgrThEBe2sl74kKG0/edit?usp=sharing"",""สุพรรณบุรี!Q162"")+IMPORTRANGE(""https://docs.google.com/spreadsheets/d/1BmIruG_sIrJLYao_Pdr7zVArWsf"&amp;"oBt2692TMi6x_854/edit?usp=sharing"",""อ่างทอง!Q162"")"),0)</f>
        <v>0</v>
      </c>
      <c r="R163" s="132">
        <f ca="1">IFERROR(__xludf.DUMMYFUNCTION("IMPORTRANGE(""https://docs.google.com/spreadsheets/d/13wPX838HrBrQMCywv1BsuMkt4PEKTChp52zj44s2izQ/edit?usp=sharing"",""กาญจนบุรี!R162"")+IMPORTRANGE(""https://docs.google.com/spreadsheets/d/1ddFKvqj1W1NEiWytbGlB1zMx_ykJDVtmfEQ-6-lIUBA/edit?usp=sharing"","&amp;"""จันทบุรี!R162"")+IMPORTRANGE(""https://docs.google.com/spreadsheets/d/1T1PQvRODqOBZk8BRht_U031fIS1beLA0Ub2CEytj2q0/edit?usp=sharing"",""ฉะเชิงเทรา!R162"")+IMPORTRANGE(""https://docs.google.com/spreadsheets/d/11tr1B-Bhyr79v2bkwVh5h_fR-PStkgjlZtkrZpYurG0/"&amp;"edit?usp=sharing"",""ชลบุรี!R162"")+IMPORTRANGE(""https://docs.google.com/spreadsheets/d/1hh-FVnSX0vozXhGluamEcS54Dw9_zqW0N7qJUWgJ0Sw/edit?usp=sharing"",""ชัยนาท!R162"")+IMPORTRANGE(""https://docs.google.com/spreadsheets/d/1jkqa6GXxSacMcY1eN8AHjMNJ_7dDXMJ"&amp;"VRLDlaFSOdPM/edit?usp=sharing"",""ตราด!R162"")+IMPORTRANGE(""https://docs.google.com/spreadsheets/d/18hSgUJ3VwClqi_qtULmmW3cLr0oe3OKaSYoKzdpTsYQ/edit?usp=sharing"",""นครนายก!R162"")+IMPORTRANGE(""https://docs.google.com/spreadsheets/d/1YTZo6WM2dQ6Ix6FSdnL"&amp;"5P7uVnVKu40sxZu975tgG10E/edit?usp=sharing"",""นครปฐม!R162"")+IMPORTRANGE(""https://docs.google.com/spreadsheets/d/1OYoGg4WDg5RIzwGeB10padOxJF9E_Vljuvvct_M7RDo/edit?usp=sharing"",""ปทุมธานี!R162"")+IMPORTRANGE(""https://docs.google.com/spreadsheets/d/1GbCI"&amp;"E4D4wk9FUozzqk7SxfDMxDVBwVmI5zcaVUSzKAc/edit?usp=sharing"",""ประจวบคีรีขันธ์!R162"")+IMPORTRANGE(""https://docs.google.com/spreadsheets/d/1vVf6wykvW_lAyu7Yo9L4hUTqHqIeP_qcVuxCtosJEbg/edit?usp=sharing"",""ปราจีนบุรี!R162"")+IMPORTRANGE(""https://docs.googl"&amp;"e.com/spreadsheets/d/1BIDqLLg5jk3v59G8NlR8rk5xfQDKne0sAvZHSj7TI6I/edit?usp=sharing"",""พระนครศรีอยุธยา!R162"")+IMPORTRANGE(""https://docs.google.com/spreadsheets/d/1YXvxf8Yu6_rV4hTBrwMqAcAnv6DfhUxh5emyM3CJp_w/edit?usp=sharing"",""เพชรบุรี!R162"")+IMPORTRA"&amp;"NGE(""https://docs.google.com/spreadsheets/d/19KBlQQs7uwvsao6t2n-KvW3Ax8J8uRRfZPq1zPbXgKc/edit?usp=sharing"",""ระยอง!R162"")+IMPORTRANGE(""https://docs.google.com/spreadsheets/d/1jQ6P4QcrGM89YfqcC_PxOHGCMq5ezhucwJd8ci-NHng/edit?usp=sharing"",""ราชบุรี!R16"&amp;"2"")+IMPORTRANGE(""https://docs.google.com/spreadsheets/d/1lufeA2cfFqM-elVq2hznhDzC6Pr7wkJ9ZG_sYNGCMCU/edit?usp=sharing"",""ลพบุรี!R162"")+IMPORTRANGE(""https://docs.google.com/spreadsheets/d/10oOiF7loTyfsTkbd4MpaIm0HQ9SwB7IYHdIUvt-U1Uc/edit?usp=sharing"""&amp;",""สระแก้ว!R162"")+IMPORTRANGE(""https://docs.google.com/spreadsheets/d/1xmPlrr1QbdSIKvl1dWUl9K4PjAfSL9oeMr_37QVzcxc/edit?usp=sharing"",""สระบุรี!R162"")+IMPORTRANGE(""https://docs.google.com/spreadsheets/d/1j51vR6CYVGhABJpv6tkstgok82RLpXieLzW1yOY5rHw/edi"&amp;"t?usp=sharing"",""สิงห์บุรี!R162"")+IMPORTRANGE(""https://docs.google.com/spreadsheets/d/1H1EalTWKUSzO4Z1-1CwzoDUaVffgrThEBe2sl74kKG0/edit?usp=sharing"",""สุพรรณบุรี!R162"")+IMPORTRANGE(""https://docs.google.com/spreadsheets/d/1BmIruG_sIrJLYao_Pdr7zVArWsf"&amp;"oBt2692TMi6x_854/edit?usp=sharing"",""อ่างทอง!R162"")"),0)</f>
        <v>0</v>
      </c>
      <c r="S163" s="132">
        <f ca="1">IFERROR(__xludf.DUMMYFUNCTION("IMPORTRANGE(""https://docs.google.com/spreadsheets/d/13wPX838HrBrQMCywv1BsuMkt4PEKTChp52zj44s2izQ/edit?usp=sharing"",""กาญจนบุรี!S162"")+IMPORTRANGE(""https://docs.google.com/spreadsheets/d/1ddFKvqj1W1NEiWytbGlB1zMx_ykJDVtmfEQ-6-lIUBA/edit?usp=sharing"","&amp;"""จันทบุรี!S162"")+IMPORTRANGE(""https://docs.google.com/spreadsheets/d/1T1PQvRODqOBZk8BRht_U031fIS1beLA0Ub2CEytj2q0/edit?usp=sharing"",""ฉะเชิงเทรา!S162"")+IMPORTRANGE(""https://docs.google.com/spreadsheets/d/11tr1B-Bhyr79v2bkwVh5h_fR-PStkgjlZtkrZpYurG0/"&amp;"edit?usp=sharing"",""ชลบุรี!S162"")+IMPORTRANGE(""https://docs.google.com/spreadsheets/d/1hh-FVnSX0vozXhGluamEcS54Dw9_zqW0N7qJUWgJ0Sw/edit?usp=sharing"",""ชัยนาท!S162"")+IMPORTRANGE(""https://docs.google.com/spreadsheets/d/1jkqa6GXxSacMcY1eN8AHjMNJ_7dDXMJ"&amp;"VRLDlaFSOdPM/edit?usp=sharing"",""ตราด!S162"")+IMPORTRANGE(""https://docs.google.com/spreadsheets/d/18hSgUJ3VwClqi_qtULmmW3cLr0oe3OKaSYoKzdpTsYQ/edit?usp=sharing"",""นครนายก!S162"")+IMPORTRANGE(""https://docs.google.com/spreadsheets/d/1YTZo6WM2dQ6Ix6FSdnL"&amp;"5P7uVnVKu40sxZu975tgG10E/edit?usp=sharing"",""นครปฐม!S162"")+IMPORTRANGE(""https://docs.google.com/spreadsheets/d/1OYoGg4WDg5RIzwGeB10padOxJF9E_Vljuvvct_M7RDo/edit?usp=sharing"",""ปทุมธานี!S162"")+IMPORTRANGE(""https://docs.google.com/spreadsheets/d/1GbCI"&amp;"E4D4wk9FUozzqk7SxfDMxDVBwVmI5zcaVUSzKAc/edit?usp=sharing"",""ประจวบคีรีขันธ์!S162"")+IMPORTRANGE(""https://docs.google.com/spreadsheets/d/1vVf6wykvW_lAyu7Yo9L4hUTqHqIeP_qcVuxCtosJEbg/edit?usp=sharing"",""ปราจีนบุรี!S162"")+IMPORTRANGE(""https://docs.googl"&amp;"e.com/spreadsheets/d/1BIDqLLg5jk3v59G8NlR8rk5xfQDKne0sAvZHSj7TI6I/edit?usp=sharing"",""พระนครศรีอยุธยา!S162"")+IMPORTRANGE(""https://docs.google.com/spreadsheets/d/1YXvxf8Yu6_rV4hTBrwMqAcAnv6DfhUxh5emyM3CJp_w/edit?usp=sharing"",""เพชรบุรี!S162"")+IMPORTRA"&amp;"NGE(""https://docs.google.com/spreadsheets/d/19KBlQQs7uwvsao6t2n-KvW3Ax8J8uRRfZPq1zPbXgKc/edit?usp=sharing"",""ระยอง!S162"")+IMPORTRANGE(""https://docs.google.com/spreadsheets/d/1jQ6P4QcrGM89YfqcC_PxOHGCMq5ezhucwJd8ci-NHng/edit?usp=sharing"",""ราชบุรี!S16"&amp;"2"")+IMPORTRANGE(""https://docs.google.com/spreadsheets/d/1lufeA2cfFqM-elVq2hznhDzC6Pr7wkJ9ZG_sYNGCMCU/edit?usp=sharing"",""ลพบุรี!S162"")+IMPORTRANGE(""https://docs.google.com/spreadsheets/d/10oOiF7loTyfsTkbd4MpaIm0HQ9SwB7IYHdIUvt-U1Uc/edit?usp=sharing"""&amp;",""สระแก้ว!S162"")+IMPORTRANGE(""https://docs.google.com/spreadsheets/d/1xmPlrr1QbdSIKvl1dWUl9K4PjAfSL9oeMr_37QVzcxc/edit?usp=sharing"",""สระบุรี!S162"")+IMPORTRANGE(""https://docs.google.com/spreadsheets/d/1j51vR6CYVGhABJpv6tkstgok82RLpXieLzW1yOY5rHw/edi"&amp;"t?usp=sharing"",""สิงห์บุรี!S162"")+IMPORTRANGE(""https://docs.google.com/spreadsheets/d/1H1EalTWKUSzO4Z1-1CwzoDUaVffgrThEBe2sl74kKG0/edit?usp=sharing"",""สุพรรณบุรี!S162"")+IMPORTRANGE(""https://docs.google.com/spreadsheets/d/1BmIruG_sIrJLYao_Pdr7zVArWsf"&amp;"oBt2692TMi6x_854/edit?usp=sharing"",""อ่างทอง!S162"")"),0)</f>
        <v>0</v>
      </c>
      <c r="T163" s="132">
        <f t="shared" ca="1" si="128"/>
        <v>0</v>
      </c>
      <c r="U163" s="132">
        <f t="shared" ca="1" si="129"/>
        <v>0</v>
      </c>
    </row>
    <row r="164" spans="1:21" ht="18.75" x14ac:dyDescent="0.25">
      <c r="A164" s="209"/>
      <c r="B164" s="67"/>
      <c r="C164" s="67"/>
      <c r="D164" s="68" t="s">
        <v>23</v>
      </c>
      <c r="E164" s="67"/>
      <c r="F164" s="67"/>
      <c r="G164" s="69"/>
      <c r="H164" s="221" t="s">
        <v>14</v>
      </c>
      <c r="I164" s="219"/>
      <c r="J164" s="219"/>
      <c r="K164" s="220"/>
      <c r="L164" s="88">
        <f t="shared" ref="L164:N164" ca="1" si="136">L165+L166</f>
        <v>0</v>
      </c>
      <c r="M164" s="88">
        <f t="shared" ca="1" si="136"/>
        <v>0</v>
      </c>
      <c r="N164" s="88">
        <f t="shared" ca="1" si="136"/>
        <v>0</v>
      </c>
      <c r="O164" s="88">
        <f t="shared" ca="1" si="125"/>
        <v>0</v>
      </c>
      <c r="P164" s="88">
        <f t="shared" ca="1" si="126"/>
        <v>0</v>
      </c>
      <c r="Q164" s="131">
        <f t="shared" ref="Q164:S164" ca="1" si="137">Q165+Q166</f>
        <v>0</v>
      </c>
      <c r="R164" s="132">
        <f t="shared" ca="1" si="137"/>
        <v>0</v>
      </c>
      <c r="S164" s="132">
        <f t="shared" ca="1" si="137"/>
        <v>0</v>
      </c>
      <c r="T164" s="132">
        <f t="shared" ca="1" si="128"/>
        <v>0</v>
      </c>
      <c r="U164" s="132">
        <f t="shared" ca="1" si="129"/>
        <v>0</v>
      </c>
    </row>
    <row r="165" spans="1:21" ht="18.75" x14ac:dyDescent="0.25">
      <c r="A165" s="209"/>
      <c r="B165" s="67"/>
      <c r="C165" s="67"/>
      <c r="D165" s="67"/>
      <c r="E165" s="75" t="s">
        <v>20</v>
      </c>
      <c r="F165" s="67"/>
      <c r="G165" s="69"/>
      <c r="H165" s="218" t="s">
        <v>14</v>
      </c>
      <c r="I165" s="219"/>
      <c r="J165" s="219"/>
      <c r="K165" s="220"/>
      <c r="L165" s="88">
        <f ca="1">IFERROR(__xludf.DUMMYFUNCTION("IMPORTRANGE(""https://docs.google.com/spreadsheets/d/13wPX838HrBrQMCywv1BsuMkt4PEKTChp52zj44s2izQ/edit?usp=sharing"",""กาญจนบุรี!L164"")+IMPORTRANGE(""https://docs.google.com/spreadsheets/d/1ddFKvqj1W1NEiWytbGlB1zMx_ykJDVtmfEQ-6-lIUBA/edit?usp=sharing"","&amp;"""จันทบุรี!L164"")+IMPORTRANGE(""https://docs.google.com/spreadsheets/d/1T1PQvRODqOBZk8BRht_U031fIS1beLA0Ub2CEytj2q0/edit?usp=sharing"",""ฉะเชิงเทรา!L164"")+IMPORTRANGE(""https://docs.google.com/spreadsheets/d/11tr1B-Bhyr79v2bkwVh5h_fR-PStkgjlZtkrZpYurG0/"&amp;"edit?usp=sharing"",""ชลบุรี!L164"")+IMPORTRANGE(""https://docs.google.com/spreadsheets/d/1hh-FVnSX0vozXhGluamEcS54Dw9_zqW0N7qJUWgJ0Sw/edit?usp=sharing"",""ชัยนาท!L164"")+IMPORTRANGE(""https://docs.google.com/spreadsheets/d/1jkqa6GXxSacMcY1eN8AHjMNJ_7dDXMJ"&amp;"VRLDlaFSOdPM/edit?usp=sharing"",""ตราด!L164"")+IMPORTRANGE(""https://docs.google.com/spreadsheets/d/18hSgUJ3VwClqi_qtULmmW3cLr0oe3OKaSYoKzdpTsYQ/edit?usp=sharing"",""นครนายก!L164"")+IMPORTRANGE(""https://docs.google.com/spreadsheets/d/1YTZo6WM2dQ6Ix6FSdnL"&amp;"5P7uVnVKu40sxZu975tgG10E/edit?usp=sharing"",""นครปฐม!L164"")+IMPORTRANGE(""https://docs.google.com/spreadsheets/d/1OYoGg4WDg5RIzwGeB10padOxJF9E_Vljuvvct_M7RDo/edit?usp=sharing"",""ปทุมธานี!L164"")+IMPORTRANGE(""https://docs.google.com/spreadsheets/d/1GbCI"&amp;"E4D4wk9FUozzqk7SxfDMxDVBwVmI5zcaVUSzKAc/edit?usp=sharing"",""ประจวบคีรีขันธ์!L164"")+IMPORTRANGE(""https://docs.google.com/spreadsheets/d/1vVf6wykvW_lAyu7Yo9L4hUTqHqIeP_qcVuxCtosJEbg/edit?usp=sharing"",""ปราจีนบุรี!L164"")+IMPORTRANGE(""https://docs.googl"&amp;"e.com/spreadsheets/d/1BIDqLLg5jk3v59G8NlR8rk5xfQDKne0sAvZHSj7TI6I/edit?usp=sharing"",""พระนครศรีอยุธยา!L164"")+IMPORTRANGE(""https://docs.google.com/spreadsheets/d/1YXvxf8Yu6_rV4hTBrwMqAcAnv6DfhUxh5emyM3CJp_w/edit?usp=sharing"",""เพชรบุรี!L164"")+IMPORTRA"&amp;"NGE(""https://docs.google.com/spreadsheets/d/19KBlQQs7uwvsao6t2n-KvW3Ax8J8uRRfZPq1zPbXgKc/edit?usp=sharing"",""ระยอง!L164"")+IMPORTRANGE(""https://docs.google.com/spreadsheets/d/1jQ6P4QcrGM89YfqcC_PxOHGCMq5ezhucwJd8ci-NHng/edit?usp=sharing"",""ราชบุรี!L16"&amp;"4"")+IMPORTRANGE(""https://docs.google.com/spreadsheets/d/1lufeA2cfFqM-elVq2hznhDzC6Pr7wkJ9ZG_sYNGCMCU/edit?usp=sharing"",""ลพบุรี!L164"")+IMPORTRANGE(""https://docs.google.com/spreadsheets/d/10oOiF7loTyfsTkbd4MpaIm0HQ9SwB7IYHdIUvt-U1Uc/edit?usp=sharing"""&amp;",""สระแก้ว!L164"")+IMPORTRANGE(""https://docs.google.com/spreadsheets/d/1xmPlrr1QbdSIKvl1dWUl9K4PjAfSL9oeMr_37QVzcxc/edit?usp=sharing"",""สระบุรี!L164"")+IMPORTRANGE(""https://docs.google.com/spreadsheets/d/1j51vR6CYVGhABJpv6tkstgok82RLpXieLzW1yOY5rHw/edi"&amp;"t?usp=sharing"",""สิงห์บุรี!L164"")+IMPORTRANGE(""https://docs.google.com/spreadsheets/d/1H1EalTWKUSzO4Z1-1CwzoDUaVffgrThEBe2sl74kKG0/edit?usp=sharing"",""สุพรรณบุรี!L164"")+IMPORTRANGE(""https://docs.google.com/spreadsheets/d/1BmIruG_sIrJLYao_Pdr7zVArWsf"&amp;"oBt2692TMi6x_854/edit?usp=sharing"",""อ่างทอง!L164"")"),0)</f>
        <v>0</v>
      </c>
      <c r="M165" s="88">
        <f ca="1">IFERROR(__xludf.DUMMYFUNCTION("IMPORTRANGE(""https://docs.google.com/spreadsheets/d/13wPX838HrBrQMCywv1BsuMkt4PEKTChp52zj44s2izQ/edit?usp=sharing"",""กาญจนบุรี!M164"")+IMPORTRANGE(""https://docs.google.com/spreadsheets/d/1ddFKvqj1W1NEiWytbGlB1zMx_ykJDVtmfEQ-6-lIUBA/edit?usp=sharing"","&amp;"""จันทบุรี!M164"")+IMPORTRANGE(""https://docs.google.com/spreadsheets/d/1T1PQvRODqOBZk8BRht_U031fIS1beLA0Ub2CEytj2q0/edit?usp=sharing"",""ฉะเชิงเทรา!M164"")+IMPORTRANGE(""https://docs.google.com/spreadsheets/d/11tr1B-Bhyr79v2bkwVh5h_fR-PStkgjlZtkrZpYurG0/"&amp;"edit?usp=sharing"",""ชลบุรี!M164"")+IMPORTRANGE(""https://docs.google.com/spreadsheets/d/1hh-FVnSX0vozXhGluamEcS54Dw9_zqW0N7qJUWgJ0Sw/edit?usp=sharing"",""ชัยนาท!M164"")+IMPORTRANGE(""https://docs.google.com/spreadsheets/d/1jkqa6GXxSacMcY1eN8AHjMNJ_7dDXMJ"&amp;"VRLDlaFSOdPM/edit?usp=sharing"",""ตราด!M164"")+IMPORTRANGE(""https://docs.google.com/spreadsheets/d/18hSgUJ3VwClqi_qtULmmW3cLr0oe3OKaSYoKzdpTsYQ/edit?usp=sharing"",""นครนายก!M164"")+IMPORTRANGE(""https://docs.google.com/spreadsheets/d/1YTZo6WM2dQ6Ix6FSdnL"&amp;"5P7uVnVKu40sxZu975tgG10E/edit?usp=sharing"",""นครปฐม!M164"")+IMPORTRANGE(""https://docs.google.com/spreadsheets/d/1OYoGg4WDg5RIzwGeB10padOxJF9E_Vljuvvct_M7RDo/edit?usp=sharing"",""ปทุมธานี!M164"")+IMPORTRANGE(""https://docs.google.com/spreadsheets/d/1GbCI"&amp;"E4D4wk9FUozzqk7SxfDMxDVBwVmI5zcaVUSzKAc/edit?usp=sharing"",""ประจวบคีรีขันธ์!M164"")+IMPORTRANGE(""https://docs.google.com/spreadsheets/d/1vVf6wykvW_lAyu7Yo9L4hUTqHqIeP_qcVuxCtosJEbg/edit?usp=sharing"",""ปราจีนบุรี!M164"")+IMPORTRANGE(""https://docs.googl"&amp;"e.com/spreadsheets/d/1BIDqLLg5jk3v59G8NlR8rk5xfQDKne0sAvZHSj7TI6I/edit?usp=sharing"",""พระนครศรีอยุธยา!M164"")+IMPORTRANGE(""https://docs.google.com/spreadsheets/d/1YXvxf8Yu6_rV4hTBrwMqAcAnv6DfhUxh5emyM3CJp_w/edit?usp=sharing"",""เพชรบุรี!M164"")+IMPORTRA"&amp;"NGE(""https://docs.google.com/spreadsheets/d/19KBlQQs7uwvsao6t2n-KvW3Ax8J8uRRfZPq1zPbXgKc/edit?usp=sharing"",""ระยอง!M164"")+IMPORTRANGE(""https://docs.google.com/spreadsheets/d/1jQ6P4QcrGM89YfqcC_PxOHGCMq5ezhucwJd8ci-NHng/edit?usp=sharing"",""ราชบุรี!M16"&amp;"4"")+IMPORTRANGE(""https://docs.google.com/spreadsheets/d/1lufeA2cfFqM-elVq2hznhDzC6Pr7wkJ9ZG_sYNGCMCU/edit?usp=sharing"",""ลพบุรี!M164"")+IMPORTRANGE(""https://docs.google.com/spreadsheets/d/10oOiF7loTyfsTkbd4MpaIm0HQ9SwB7IYHdIUvt-U1Uc/edit?usp=sharing"""&amp;",""สระแก้ว!M164"")+IMPORTRANGE(""https://docs.google.com/spreadsheets/d/1xmPlrr1QbdSIKvl1dWUl9K4PjAfSL9oeMr_37QVzcxc/edit?usp=sharing"",""สระบุรี!M164"")+IMPORTRANGE(""https://docs.google.com/spreadsheets/d/1j51vR6CYVGhABJpv6tkstgok82RLpXieLzW1yOY5rHw/edi"&amp;"t?usp=sharing"",""สิงห์บุรี!M164"")+IMPORTRANGE(""https://docs.google.com/spreadsheets/d/1H1EalTWKUSzO4Z1-1CwzoDUaVffgrThEBe2sl74kKG0/edit?usp=sharing"",""สุพรรณบุรี!M164"")+IMPORTRANGE(""https://docs.google.com/spreadsheets/d/1BmIruG_sIrJLYao_Pdr7zVArWsf"&amp;"oBt2692TMi6x_854/edit?usp=sharing"",""อ่างทอง!M164"")"),0)</f>
        <v>0</v>
      </c>
      <c r="N165" s="88">
        <f ca="1">IFERROR(__xludf.DUMMYFUNCTION("IMPORTRANGE(""https://docs.google.com/spreadsheets/d/13wPX838HrBrQMCywv1BsuMkt4PEKTChp52zj44s2izQ/edit?usp=sharing"",""กาญจนบุรี!N164"")+IMPORTRANGE(""https://docs.google.com/spreadsheets/d/1ddFKvqj1W1NEiWytbGlB1zMx_ykJDVtmfEQ-6-lIUBA/edit?usp=sharing"","&amp;"""จันทบุรี!N164"")+IMPORTRANGE(""https://docs.google.com/spreadsheets/d/1T1PQvRODqOBZk8BRht_U031fIS1beLA0Ub2CEytj2q0/edit?usp=sharing"",""ฉะเชิงเทรา!N164"")+IMPORTRANGE(""https://docs.google.com/spreadsheets/d/11tr1B-Bhyr79v2bkwVh5h_fR-PStkgjlZtkrZpYurG0/"&amp;"edit?usp=sharing"",""ชลบุรี!N164"")+IMPORTRANGE(""https://docs.google.com/spreadsheets/d/1hh-FVnSX0vozXhGluamEcS54Dw9_zqW0N7qJUWgJ0Sw/edit?usp=sharing"",""ชัยนาท!N164"")+IMPORTRANGE(""https://docs.google.com/spreadsheets/d/1jkqa6GXxSacMcY1eN8AHjMNJ_7dDXMJ"&amp;"VRLDlaFSOdPM/edit?usp=sharing"",""ตราด!N164"")+IMPORTRANGE(""https://docs.google.com/spreadsheets/d/18hSgUJ3VwClqi_qtULmmW3cLr0oe3OKaSYoKzdpTsYQ/edit?usp=sharing"",""นครนายก!N164"")+IMPORTRANGE(""https://docs.google.com/spreadsheets/d/1YTZo6WM2dQ6Ix6FSdnL"&amp;"5P7uVnVKu40sxZu975tgG10E/edit?usp=sharing"",""นครปฐม!N164"")+IMPORTRANGE(""https://docs.google.com/spreadsheets/d/1OYoGg4WDg5RIzwGeB10padOxJF9E_Vljuvvct_M7RDo/edit?usp=sharing"",""ปทุมธานี!N164"")+IMPORTRANGE(""https://docs.google.com/spreadsheets/d/1GbCI"&amp;"E4D4wk9FUozzqk7SxfDMxDVBwVmI5zcaVUSzKAc/edit?usp=sharing"",""ประจวบคีรีขันธ์!N164"")+IMPORTRANGE(""https://docs.google.com/spreadsheets/d/1vVf6wykvW_lAyu7Yo9L4hUTqHqIeP_qcVuxCtosJEbg/edit?usp=sharing"",""ปราจีนบุรี!N164"")+IMPORTRANGE(""https://docs.googl"&amp;"e.com/spreadsheets/d/1BIDqLLg5jk3v59G8NlR8rk5xfQDKne0sAvZHSj7TI6I/edit?usp=sharing"",""พระนครศรีอยุธยา!N164"")+IMPORTRANGE(""https://docs.google.com/spreadsheets/d/1YXvxf8Yu6_rV4hTBrwMqAcAnv6DfhUxh5emyM3CJp_w/edit?usp=sharing"",""เพชรบุรี!N164"")+IMPORTRA"&amp;"NGE(""https://docs.google.com/spreadsheets/d/19KBlQQs7uwvsao6t2n-KvW3Ax8J8uRRfZPq1zPbXgKc/edit?usp=sharing"",""ระยอง!N164"")+IMPORTRANGE(""https://docs.google.com/spreadsheets/d/1jQ6P4QcrGM89YfqcC_PxOHGCMq5ezhucwJd8ci-NHng/edit?usp=sharing"",""ราชบุรี!N16"&amp;"4"")+IMPORTRANGE(""https://docs.google.com/spreadsheets/d/1lufeA2cfFqM-elVq2hznhDzC6Pr7wkJ9ZG_sYNGCMCU/edit?usp=sharing"",""ลพบุรี!N164"")+IMPORTRANGE(""https://docs.google.com/spreadsheets/d/10oOiF7loTyfsTkbd4MpaIm0HQ9SwB7IYHdIUvt-U1Uc/edit?usp=sharing"""&amp;",""สระแก้ว!N164"")+IMPORTRANGE(""https://docs.google.com/spreadsheets/d/1xmPlrr1QbdSIKvl1dWUl9K4PjAfSL9oeMr_37QVzcxc/edit?usp=sharing"",""สระบุรี!N164"")+IMPORTRANGE(""https://docs.google.com/spreadsheets/d/1j51vR6CYVGhABJpv6tkstgok82RLpXieLzW1yOY5rHw/edi"&amp;"t?usp=sharing"",""สิงห์บุรี!N164"")+IMPORTRANGE(""https://docs.google.com/spreadsheets/d/1H1EalTWKUSzO4Z1-1CwzoDUaVffgrThEBe2sl74kKG0/edit?usp=sharing"",""สุพรรณบุรี!N164"")+IMPORTRANGE(""https://docs.google.com/spreadsheets/d/1BmIruG_sIrJLYao_Pdr7zVArWsf"&amp;"oBt2692TMi6x_854/edit?usp=sharing"",""อ่างทอง!N164"")"),0)</f>
        <v>0</v>
      </c>
      <c r="O165" s="88">
        <f t="shared" ca="1" si="125"/>
        <v>0</v>
      </c>
      <c r="P165" s="88">
        <f t="shared" ca="1" si="126"/>
        <v>0</v>
      </c>
      <c r="Q165" s="76">
        <f ca="1">IFERROR(__xludf.DUMMYFUNCTION("IMPORTRANGE(""https://docs.google.com/spreadsheets/d/13wPX838HrBrQMCywv1BsuMkt4PEKTChp52zj44s2izQ/edit?usp=sharing"",""กาญจนบุรี!Q164"")+IMPORTRANGE(""https://docs.google.com/spreadsheets/d/1ddFKvqj1W1NEiWytbGlB1zMx_ykJDVtmfEQ-6-lIUBA/edit?usp=sharing"","&amp;"""จันทบุรี!Q164"")+IMPORTRANGE(""https://docs.google.com/spreadsheets/d/1T1PQvRODqOBZk8BRht_U031fIS1beLA0Ub2CEytj2q0/edit?usp=sharing"",""ฉะเชิงเทรา!Q164"")+IMPORTRANGE(""https://docs.google.com/spreadsheets/d/11tr1B-Bhyr79v2bkwVh5h_fR-PStkgjlZtkrZpYurG0/"&amp;"edit?usp=sharing"",""ชลบุรี!Q164"")+IMPORTRANGE(""https://docs.google.com/spreadsheets/d/1hh-FVnSX0vozXhGluamEcS54Dw9_zqW0N7qJUWgJ0Sw/edit?usp=sharing"",""ชัยนาท!Q164"")+IMPORTRANGE(""https://docs.google.com/spreadsheets/d/1jkqa6GXxSacMcY1eN8AHjMNJ_7dDXMJ"&amp;"VRLDlaFSOdPM/edit?usp=sharing"",""ตราด!Q164"")+IMPORTRANGE(""https://docs.google.com/spreadsheets/d/18hSgUJ3VwClqi_qtULmmW3cLr0oe3OKaSYoKzdpTsYQ/edit?usp=sharing"",""นครนายก!Q164"")+IMPORTRANGE(""https://docs.google.com/spreadsheets/d/1YTZo6WM2dQ6Ix6FSdnL"&amp;"5P7uVnVKu40sxZu975tgG10E/edit?usp=sharing"",""นครปฐม!Q164"")+IMPORTRANGE(""https://docs.google.com/spreadsheets/d/1OYoGg4WDg5RIzwGeB10padOxJF9E_Vljuvvct_M7RDo/edit?usp=sharing"",""ปทุมธานี!Q164"")+IMPORTRANGE(""https://docs.google.com/spreadsheets/d/1GbCI"&amp;"E4D4wk9FUozzqk7SxfDMxDVBwVmI5zcaVUSzKAc/edit?usp=sharing"",""ประจวบคีรีขันธ์!Q164"")+IMPORTRANGE(""https://docs.google.com/spreadsheets/d/1vVf6wykvW_lAyu7Yo9L4hUTqHqIeP_qcVuxCtosJEbg/edit?usp=sharing"",""ปราจีนบุรี!Q164"")+IMPORTRANGE(""https://docs.googl"&amp;"e.com/spreadsheets/d/1BIDqLLg5jk3v59G8NlR8rk5xfQDKne0sAvZHSj7TI6I/edit?usp=sharing"",""พระนครศรีอยุธยา!Q164"")+IMPORTRANGE(""https://docs.google.com/spreadsheets/d/1YXvxf8Yu6_rV4hTBrwMqAcAnv6DfhUxh5emyM3CJp_w/edit?usp=sharing"",""เพชรบุรี!Q164"")+IMPORTRA"&amp;"NGE(""https://docs.google.com/spreadsheets/d/19KBlQQs7uwvsao6t2n-KvW3Ax8J8uRRfZPq1zPbXgKc/edit?usp=sharing"",""ระยอง!Q164"")+IMPORTRANGE(""https://docs.google.com/spreadsheets/d/1jQ6P4QcrGM89YfqcC_PxOHGCMq5ezhucwJd8ci-NHng/edit?usp=sharing"",""ราชบุรี!Q16"&amp;"4"")+IMPORTRANGE(""https://docs.google.com/spreadsheets/d/1lufeA2cfFqM-elVq2hznhDzC6Pr7wkJ9ZG_sYNGCMCU/edit?usp=sharing"",""ลพบุรี!Q164"")+IMPORTRANGE(""https://docs.google.com/spreadsheets/d/10oOiF7loTyfsTkbd4MpaIm0HQ9SwB7IYHdIUvt-U1Uc/edit?usp=sharing"""&amp;",""สระแก้ว!Q164"")+IMPORTRANGE(""https://docs.google.com/spreadsheets/d/1xmPlrr1QbdSIKvl1dWUl9K4PjAfSL9oeMr_37QVzcxc/edit?usp=sharing"",""สระบุรี!Q164"")+IMPORTRANGE(""https://docs.google.com/spreadsheets/d/1j51vR6CYVGhABJpv6tkstgok82RLpXieLzW1yOY5rHw/edi"&amp;"t?usp=sharing"",""สิงห์บุรี!Q164"")+IMPORTRANGE(""https://docs.google.com/spreadsheets/d/1H1EalTWKUSzO4Z1-1CwzoDUaVffgrThEBe2sl74kKG0/edit?usp=sharing"",""สุพรรณบุรี!Q164"")+IMPORTRANGE(""https://docs.google.com/spreadsheets/d/1BmIruG_sIrJLYao_Pdr7zVArWsf"&amp;"oBt2692TMi6x_854/edit?usp=sharing"",""อ่างทอง!Q164"")"),0)</f>
        <v>0</v>
      </c>
      <c r="R165" s="77">
        <f ca="1">IFERROR(__xludf.DUMMYFUNCTION("IMPORTRANGE(""https://docs.google.com/spreadsheets/d/13wPX838HrBrQMCywv1BsuMkt4PEKTChp52zj44s2izQ/edit?usp=sharing"",""กาญจนบุรี!R164"")+IMPORTRANGE(""https://docs.google.com/spreadsheets/d/1ddFKvqj1W1NEiWytbGlB1zMx_ykJDVtmfEQ-6-lIUBA/edit?usp=sharing"","&amp;"""จันทบุรี!R164"")+IMPORTRANGE(""https://docs.google.com/spreadsheets/d/1T1PQvRODqOBZk8BRht_U031fIS1beLA0Ub2CEytj2q0/edit?usp=sharing"",""ฉะเชิงเทรา!R164"")+IMPORTRANGE(""https://docs.google.com/spreadsheets/d/11tr1B-Bhyr79v2bkwVh5h_fR-PStkgjlZtkrZpYurG0/"&amp;"edit?usp=sharing"",""ชลบุรี!R164"")+IMPORTRANGE(""https://docs.google.com/spreadsheets/d/1hh-FVnSX0vozXhGluamEcS54Dw9_zqW0N7qJUWgJ0Sw/edit?usp=sharing"",""ชัยนาท!R164"")+IMPORTRANGE(""https://docs.google.com/spreadsheets/d/1jkqa6GXxSacMcY1eN8AHjMNJ_7dDXMJ"&amp;"VRLDlaFSOdPM/edit?usp=sharing"",""ตราด!R164"")+IMPORTRANGE(""https://docs.google.com/spreadsheets/d/18hSgUJ3VwClqi_qtULmmW3cLr0oe3OKaSYoKzdpTsYQ/edit?usp=sharing"",""นครนายก!R164"")+IMPORTRANGE(""https://docs.google.com/spreadsheets/d/1YTZo6WM2dQ6Ix6FSdnL"&amp;"5P7uVnVKu40sxZu975tgG10E/edit?usp=sharing"",""นครปฐม!R164"")+IMPORTRANGE(""https://docs.google.com/spreadsheets/d/1OYoGg4WDg5RIzwGeB10padOxJF9E_Vljuvvct_M7RDo/edit?usp=sharing"",""ปทุมธานี!R164"")+IMPORTRANGE(""https://docs.google.com/spreadsheets/d/1GbCI"&amp;"E4D4wk9FUozzqk7SxfDMxDVBwVmI5zcaVUSzKAc/edit?usp=sharing"",""ประจวบคีรีขันธ์!R164"")+IMPORTRANGE(""https://docs.google.com/spreadsheets/d/1vVf6wykvW_lAyu7Yo9L4hUTqHqIeP_qcVuxCtosJEbg/edit?usp=sharing"",""ปราจีนบุรี!R164"")+IMPORTRANGE(""https://docs.googl"&amp;"e.com/spreadsheets/d/1BIDqLLg5jk3v59G8NlR8rk5xfQDKne0sAvZHSj7TI6I/edit?usp=sharing"",""พระนครศรีอยุธยา!R164"")+IMPORTRANGE(""https://docs.google.com/spreadsheets/d/1YXvxf8Yu6_rV4hTBrwMqAcAnv6DfhUxh5emyM3CJp_w/edit?usp=sharing"",""เพชรบุรี!R164"")+IMPORTRA"&amp;"NGE(""https://docs.google.com/spreadsheets/d/19KBlQQs7uwvsao6t2n-KvW3Ax8J8uRRfZPq1zPbXgKc/edit?usp=sharing"",""ระยอง!R164"")+IMPORTRANGE(""https://docs.google.com/spreadsheets/d/1jQ6P4QcrGM89YfqcC_PxOHGCMq5ezhucwJd8ci-NHng/edit?usp=sharing"",""ราชบุรี!R16"&amp;"4"")+IMPORTRANGE(""https://docs.google.com/spreadsheets/d/1lufeA2cfFqM-elVq2hznhDzC6Pr7wkJ9ZG_sYNGCMCU/edit?usp=sharing"",""ลพบุรี!R164"")+IMPORTRANGE(""https://docs.google.com/spreadsheets/d/10oOiF7loTyfsTkbd4MpaIm0HQ9SwB7IYHdIUvt-U1Uc/edit?usp=sharing"""&amp;",""สระแก้ว!R164"")+IMPORTRANGE(""https://docs.google.com/spreadsheets/d/1xmPlrr1QbdSIKvl1dWUl9K4PjAfSL9oeMr_37QVzcxc/edit?usp=sharing"",""สระบุรี!R164"")+IMPORTRANGE(""https://docs.google.com/spreadsheets/d/1j51vR6CYVGhABJpv6tkstgok82RLpXieLzW1yOY5rHw/edi"&amp;"t?usp=sharing"",""สิงห์บุรี!R164"")+IMPORTRANGE(""https://docs.google.com/spreadsheets/d/1H1EalTWKUSzO4Z1-1CwzoDUaVffgrThEBe2sl74kKG0/edit?usp=sharing"",""สุพรรณบุรี!R164"")+IMPORTRANGE(""https://docs.google.com/spreadsheets/d/1BmIruG_sIrJLYao_Pdr7zVArWsf"&amp;"oBt2692TMi6x_854/edit?usp=sharing"",""อ่างทอง!R164"")"),0)</f>
        <v>0</v>
      </c>
      <c r="S165" s="77">
        <f ca="1">IFERROR(__xludf.DUMMYFUNCTION("IMPORTRANGE(""https://docs.google.com/spreadsheets/d/13wPX838HrBrQMCywv1BsuMkt4PEKTChp52zj44s2izQ/edit?usp=sharing"",""กาญจนบุรี!S164"")+IMPORTRANGE(""https://docs.google.com/spreadsheets/d/1ddFKvqj1W1NEiWytbGlB1zMx_ykJDVtmfEQ-6-lIUBA/edit?usp=sharing"","&amp;"""จันทบุรี!S164"")+IMPORTRANGE(""https://docs.google.com/spreadsheets/d/1T1PQvRODqOBZk8BRht_U031fIS1beLA0Ub2CEytj2q0/edit?usp=sharing"",""ฉะเชิงเทรา!S164"")+IMPORTRANGE(""https://docs.google.com/spreadsheets/d/11tr1B-Bhyr79v2bkwVh5h_fR-PStkgjlZtkrZpYurG0/"&amp;"edit?usp=sharing"",""ชลบุรี!S164"")+IMPORTRANGE(""https://docs.google.com/spreadsheets/d/1hh-FVnSX0vozXhGluamEcS54Dw9_zqW0N7qJUWgJ0Sw/edit?usp=sharing"",""ชัยนาท!S164"")+IMPORTRANGE(""https://docs.google.com/spreadsheets/d/1jkqa6GXxSacMcY1eN8AHjMNJ_7dDXMJ"&amp;"VRLDlaFSOdPM/edit?usp=sharing"",""ตราด!S164"")+IMPORTRANGE(""https://docs.google.com/spreadsheets/d/18hSgUJ3VwClqi_qtULmmW3cLr0oe3OKaSYoKzdpTsYQ/edit?usp=sharing"",""นครนายก!S164"")+IMPORTRANGE(""https://docs.google.com/spreadsheets/d/1YTZo6WM2dQ6Ix6FSdnL"&amp;"5P7uVnVKu40sxZu975tgG10E/edit?usp=sharing"",""นครปฐม!S164"")+IMPORTRANGE(""https://docs.google.com/spreadsheets/d/1OYoGg4WDg5RIzwGeB10padOxJF9E_Vljuvvct_M7RDo/edit?usp=sharing"",""ปทุมธานี!S164"")+IMPORTRANGE(""https://docs.google.com/spreadsheets/d/1GbCI"&amp;"E4D4wk9FUozzqk7SxfDMxDVBwVmI5zcaVUSzKAc/edit?usp=sharing"",""ประจวบคีรีขันธ์!S164"")+IMPORTRANGE(""https://docs.google.com/spreadsheets/d/1vVf6wykvW_lAyu7Yo9L4hUTqHqIeP_qcVuxCtosJEbg/edit?usp=sharing"",""ปราจีนบุรี!S164"")+IMPORTRANGE(""https://docs.googl"&amp;"e.com/spreadsheets/d/1BIDqLLg5jk3v59G8NlR8rk5xfQDKne0sAvZHSj7TI6I/edit?usp=sharing"",""พระนครศรีอยุธยา!S164"")+IMPORTRANGE(""https://docs.google.com/spreadsheets/d/1YXvxf8Yu6_rV4hTBrwMqAcAnv6DfhUxh5emyM3CJp_w/edit?usp=sharing"",""เพชรบุรี!S164"")+IMPORTRA"&amp;"NGE(""https://docs.google.com/spreadsheets/d/19KBlQQs7uwvsao6t2n-KvW3Ax8J8uRRfZPq1zPbXgKc/edit?usp=sharing"",""ระยอง!S164"")+IMPORTRANGE(""https://docs.google.com/spreadsheets/d/1jQ6P4QcrGM89YfqcC_PxOHGCMq5ezhucwJd8ci-NHng/edit?usp=sharing"",""ราชบุรี!S16"&amp;"4"")+IMPORTRANGE(""https://docs.google.com/spreadsheets/d/1lufeA2cfFqM-elVq2hznhDzC6Pr7wkJ9ZG_sYNGCMCU/edit?usp=sharing"",""ลพบุรี!S164"")+IMPORTRANGE(""https://docs.google.com/spreadsheets/d/10oOiF7loTyfsTkbd4MpaIm0HQ9SwB7IYHdIUvt-U1Uc/edit?usp=sharing"""&amp;",""สระแก้ว!S164"")+IMPORTRANGE(""https://docs.google.com/spreadsheets/d/1xmPlrr1QbdSIKvl1dWUl9K4PjAfSL9oeMr_37QVzcxc/edit?usp=sharing"",""สระบุรี!S164"")+IMPORTRANGE(""https://docs.google.com/spreadsheets/d/1j51vR6CYVGhABJpv6tkstgok82RLpXieLzW1yOY5rHw/edi"&amp;"t?usp=sharing"",""สิงห์บุรี!S164"")+IMPORTRANGE(""https://docs.google.com/spreadsheets/d/1H1EalTWKUSzO4Z1-1CwzoDUaVffgrThEBe2sl74kKG0/edit?usp=sharing"",""สุพรรณบุรี!S164"")+IMPORTRANGE(""https://docs.google.com/spreadsheets/d/1BmIruG_sIrJLYao_Pdr7zVArWsf"&amp;"oBt2692TMi6x_854/edit?usp=sharing"",""อ่างทอง!S164"")"),0)</f>
        <v>0</v>
      </c>
      <c r="T165" s="133">
        <f t="shared" ca="1" si="128"/>
        <v>0</v>
      </c>
      <c r="U165" s="133">
        <f t="shared" ca="1" si="129"/>
        <v>0</v>
      </c>
    </row>
    <row r="166" spans="1:21" ht="18.75" x14ac:dyDescent="0.25">
      <c r="A166" s="209"/>
      <c r="B166" s="67"/>
      <c r="C166" s="67"/>
      <c r="D166" s="67"/>
      <c r="E166" s="75" t="s">
        <v>21</v>
      </c>
      <c r="F166" s="67"/>
      <c r="G166" s="69"/>
      <c r="H166" s="221" t="s">
        <v>14</v>
      </c>
      <c r="I166" s="219"/>
      <c r="J166" s="219"/>
      <c r="K166" s="220"/>
      <c r="L166" s="88">
        <f ca="1">IFERROR(__xludf.DUMMYFUNCTION("IMPORTRANGE(""https://docs.google.com/spreadsheets/d/13wPX838HrBrQMCywv1BsuMkt4PEKTChp52zj44s2izQ/edit?usp=sharing"",""กาญจนบุรี!L165"")+IMPORTRANGE(""https://docs.google.com/spreadsheets/d/1ddFKvqj1W1NEiWytbGlB1zMx_ykJDVtmfEQ-6-lIUBA/edit?usp=sharing"","&amp;"""จันทบุรี!L165"")+IMPORTRANGE(""https://docs.google.com/spreadsheets/d/1T1PQvRODqOBZk8BRht_U031fIS1beLA0Ub2CEytj2q0/edit?usp=sharing"",""ฉะเชิงเทรา!L165"")+IMPORTRANGE(""https://docs.google.com/spreadsheets/d/11tr1B-Bhyr79v2bkwVh5h_fR-PStkgjlZtkrZpYurG0/"&amp;"edit?usp=sharing"",""ชลบุรี!L165"")+IMPORTRANGE(""https://docs.google.com/spreadsheets/d/1hh-FVnSX0vozXhGluamEcS54Dw9_zqW0N7qJUWgJ0Sw/edit?usp=sharing"",""ชัยนาท!L165"")+IMPORTRANGE(""https://docs.google.com/spreadsheets/d/1jkqa6GXxSacMcY1eN8AHjMNJ_7dDXMJ"&amp;"VRLDlaFSOdPM/edit?usp=sharing"",""ตราด!L165"")+IMPORTRANGE(""https://docs.google.com/spreadsheets/d/18hSgUJ3VwClqi_qtULmmW3cLr0oe3OKaSYoKzdpTsYQ/edit?usp=sharing"",""นครนายก!L165"")+IMPORTRANGE(""https://docs.google.com/spreadsheets/d/1YTZo6WM2dQ6Ix6FSdnL"&amp;"5P7uVnVKu40sxZu975tgG10E/edit?usp=sharing"",""นครปฐม!L165"")+IMPORTRANGE(""https://docs.google.com/spreadsheets/d/1OYoGg4WDg5RIzwGeB10padOxJF9E_Vljuvvct_M7RDo/edit?usp=sharing"",""ปทุมธานี!L165"")+IMPORTRANGE(""https://docs.google.com/spreadsheets/d/1GbCI"&amp;"E4D4wk9FUozzqk7SxfDMxDVBwVmI5zcaVUSzKAc/edit?usp=sharing"",""ประจวบคีรีขันธ์!L165"")+IMPORTRANGE(""https://docs.google.com/spreadsheets/d/1vVf6wykvW_lAyu7Yo9L4hUTqHqIeP_qcVuxCtosJEbg/edit?usp=sharing"",""ปราจีนบุรี!L165"")+IMPORTRANGE(""https://docs.googl"&amp;"e.com/spreadsheets/d/1BIDqLLg5jk3v59G8NlR8rk5xfQDKne0sAvZHSj7TI6I/edit?usp=sharing"",""พระนครศรีอยุธยา!L165"")+IMPORTRANGE(""https://docs.google.com/spreadsheets/d/1YXvxf8Yu6_rV4hTBrwMqAcAnv6DfhUxh5emyM3CJp_w/edit?usp=sharing"",""เพชรบุรี!L165"")+IMPORTRA"&amp;"NGE(""https://docs.google.com/spreadsheets/d/19KBlQQs7uwvsao6t2n-KvW3Ax8J8uRRfZPq1zPbXgKc/edit?usp=sharing"",""ระยอง!L165"")+IMPORTRANGE(""https://docs.google.com/spreadsheets/d/1jQ6P4QcrGM89YfqcC_PxOHGCMq5ezhucwJd8ci-NHng/edit?usp=sharing"",""ราชบุรี!L16"&amp;"5"")+IMPORTRANGE(""https://docs.google.com/spreadsheets/d/1lufeA2cfFqM-elVq2hznhDzC6Pr7wkJ9ZG_sYNGCMCU/edit?usp=sharing"",""ลพบุรี!L165"")+IMPORTRANGE(""https://docs.google.com/spreadsheets/d/10oOiF7loTyfsTkbd4MpaIm0HQ9SwB7IYHdIUvt-U1Uc/edit?usp=sharing"""&amp;",""สระแก้ว!L165"")+IMPORTRANGE(""https://docs.google.com/spreadsheets/d/1xmPlrr1QbdSIKvl1dWUl9K4PjAfSL9oeMr_37QVzcxc/edit?usp=sharing"",""สระบุรี!L165"")+IMPORTRANGE(""https://docs.google.com/spreadsheets/d/1j51vR6CYVGhABJpv6tkstgok82RLpXieLzW1yOY5rHw/edi"&amp;"t?usp=sharing"",""สิงห์บุรี!L165"")+IMPORTRANGE(""https://docs.google.com/spreadsheets/d/1H1EalTWKUSzO4Z1-1CwzoDUaVffgrThEBe2sl74kKG0/edit?usp=sharing"",""สุพรรณบุรี!L165"")+IMPORTRANGE(""https://docs.google.com/spreadsheets/d/1BmIruG_sIrJLYao_Pdr7zVArWsf"&amp;"oBt2692TMi6x_854/edit?usp=sharing"",""อ่างทอง!L165"")"),0)</f>
        <v>0</v>
      </c>
      <c r="M166" s="88">
        <f ca="1">IFERROR(__xludf.DUMMYFUNCTION("IMPORTRANGE(""https://docs.google.com/spreadsheets/d/13wPX838HrBrQMCywv1BsuMkt4PEKTChp52zj44s2izQ/edit?usp=sharing"",""กาญจนบุรี!M165"")+IMPORTRANGE(""https://docs.google.com/spreadsheets/d/1ddFKvqj1W1NEiWytbGlB1zMx_ykJDVtmfEQ-6-lIUBA/edit?usp=sharing"","&amp;"""จันทบุรี!M165"")+IMPORTRANGE(""https://docs.google.com/spreadsheets/d/1T1PQvRODqOBZk8BRht_U031fIS1beLA0Ub2CEytj2q0/edit?usp=sharing"",""ฉะเชิงเทรา!M165"")+IMPORTRANGE(""https://docs.google.com/spreadsheets/d/11tr1B-Bhyr79v2bkwVh5h_fR-PStkgjlZtkrZpYurG0/"&amp;"edit?usp=sharing"",""ชลบุรี!M165"")+IMPORTRANGE(""https://docs.google.com/spreadsheets/d/1hh-FVnSX0vozXhGluamEcS54Dw9_zqW0N7qJUWgJ0Sw/edit?usp=sharing"",""ชัยนาท!M165"")+IMPORTRANGE(""https://docs.google.com/spreadsheets/d/1jkqa6GXxSacMcY1eN8AHjMNJ_7dDXMJ"&amp;"VRLDlaFSOdPM/edit?usp=sharing"",""ตราด!M165"")+IMPORTRANGE(""https://docs.google.com/spreadsheets/d/18hSgUJ3VwClqi_qtULmmW3cLr0oe3OKaSYoKzdpTsYQ/edit?usp=sharing"",""นครนายก!M165"")+IMPORTRANGE(""https://docs.google.com/spreadsheets/d/1YTZo6WM2dQ6Ix6FSdnL"&amp;"5P7uVnVKu40sxZu975tgG10E/edit?usp=sharing"",""นครปฐม!M165"")+IMPORTRANGE(""https://docs.google.com/spreadsheets/d/1OYoGg4WDg5RIzwGeB10padOxJF9E_Vljuvvct_M7RDo/edit?usp=sharing"",""ปทุมธานี!M165"")+IMPORTRANGE(""https://docs.google.com/spreadsheets/d/1GbCI"&amp;"E4D4wk9FUozzqk7SxfDMxDVBwVmI5zcaVUSzKAc/edit?usp=sharing"",""ประจวบคีรีขันธ์!M165"")+IMPORTRANGE(""https://docs.google.com/spreadsheets/d/1vVf6wykvW_lAyu7Yo9L4hUTqHqIeP_qcVuxCtosJEbg/edit?usp=sharing"",""ปราจีนบุรี!M165"")+IMPORTRANGE(""https://docs.googl"&amp;"e.com/spreadsheets/d/1BIDqLLg5jk3v59G8NlR8rk5xfQDKne0sAvZHSj7TI6I/edit?usp=sharing"",""พระนครศรีอยุธยา!M165"")+IMPORTRANGE(""https://docs.google.com/spreadsheets/d/1YXvxf8Yu6_rV4hTBrwMqAcAnv6DfhUxh5emyM3CJp_w/edit?usp=sharing"",""เพชรบุรี!M165"")+IMPORTRA"&amp;"NGE(""https://docs.google.com/spreadsheets/d/19KBlQQs7uwvsao6t2n-KvW3Ax8J8uRRfZPq1zPbXgKc/edit?usp=sharing"",""ระยอง!M165"")+IMPORTRANGE(""https://docs.google.com/spreadsheets/d/1jQ6P4QcrGM89YfqcC_PxOHGCMq5ezhucwJd8ci-NHng/edit?usp=sharing"",""ราชบุรี!M16"&amp;"5"")+IMPORTRANGE(""https://docs.google.com/spreadsheets/d/1lufeA2cfFqM-elVq2hznhDzC6Pr7wkJ9ZG_sYNGCMCU/edit?usp=sharing"",""ลพบุรี!M165"")+IMPORTRANGE(""https://docs.google.com/spreadsheets/d/10oOiF7loTyfsTkbd4MpaIm0HQ9SwB7IYHdIUvt-U1Uc/edit?usp=sharing"""&amp;",""สระแก้ว!M165"")+IMPORTRANGE(""https://docs.google.com/spreadsheets/d/1xmPlrr1QbdSIKvl1dWUl9K4PjAfSL9oeMr_37QVzcxc/edit?usp=sharing"",""สระบุรี!M165"")+IMPORTRANGE(""https://docs.google.com/spreadsheets/d/1j51vR6CYVGhABJpv6tkstgok82RLpXieLzW1yOY5rHw/edi"&amp;"t?usp=sharing"",""สิงห์บุรี!M165"")+IMPORTRANGE(""https://docs.google.com/spreadsheets/d/1H1EalTWKUSzO4Z1-1CwzoDUaVffgrThEBe2sl74kKG0/edit?usp=sharing"",""สุพรรณบุรี!M165"")+IMPORTRANGE(""https://docs.google.com/spreadsheets/d/1BmIruG_sIrJLYao_Pdr7zVArWsf"&amp;"oBt2692TMi6x_854/edit?usp=sharing"",""อ่างทอง!M165"")"),0)</f>
        <v>0</v>
      </c>
      <c r="N166" s="88">
        <f ca="1">IFERROR(__xludf.DUMMYFUNCTION("IMPORTRANGE(""https://docs.google.com/spreadsheets/d/13wPX838HrBrQMCywv1BsuMkt4PEKTChp52zj44s2izQ/edit?usp=sharing"",""กาญจนบุรี!N165"")+IMPORTRANGE(""https://docs.google.com/spreadsheets/d/1ddFKvqj1W1NEiWytbGlB1zMx_ykJDVtmfEQ-6-lIUBA/edit?usp=sharing"","&amp;"""จันทบุรี!N165"")+IMPORTRANGE(""https://docs.google.com/spreadsheets/d/1T1PQvRODqOBZk8BRht_U031fIS1beLA0Ub2CEytj2q0/edit?usp=sharing"",""ฉะเชิงเทรา!N165"")+IMPORTRANGE(""https://docs.google.com/spreadsheets/d/11tr1B-Bhyr79v2bkwVh5h_fR-PStkgjlZtkrZpYurG0/"&amp;"edit?usp=sharing"",""ชลบุรี!N165"")+IMPORTRANGE(""https://docs.google.com/spreadsheets/d/1hh-FVnSX0vozXhGluamEcS54Dw9_zqW0N7qJUWgJ0Sw/edit?usp=sharing"",""ชัยนาท!N165"")+IMPORTRANGE(""https://docs.google.com/spreadsheets/d/1jkqa6GXxSacMcY1eN8AHjMNJ_7dDXMJ"&amp;"VRLDlaFSOdPM/edit?usp=sharing"",""ตราด!N165"")+IMPORTRANGE(""https://docs.google.com/spreadsheets/d/18hSgUJ3VwClqi_qtULmmW3cLr0oe3OKaSYoKzdpTsYQ/edit?usp=sharing"",""นครนายก!N165"")+IMPORTRANGE(""https://docs.google.com/spreadsheets/d/1YTZo6WM2dQ6Ix6FSdnL"&amp;"5P7uVnVKu40sxZu975tgG10E/edit?usp=sharing"",""นครปฐม!N165"")+IMPORTRANGE(""https://docs.google.com/spreadsheets/d/1OYoGg4WDg5RIzwGeB10padOxJF9E_Vljuvvct_M7RDo/edit?usp=sharing"",""ปทุมธานี!N165"")+IMPORTRANGE(""https://docs.google.com/spreadsheets/d/1GbCI"&amp;"E4D4wk9FUozzqk7SxfDMxDVBwVmI5zcaVUSzKAc/edit?usp=sharing"",""ประจวบคีรีขันธ์!N165"")+IMPORTRANGE(""https://docs.google.com/spreadsheets/d/1vVf6wykvW_lAyu7Yo9L4hUTqHqIeP_qcVuxCtosJEbg/edit?usp=sharing"",""ปราจีนบุรี!N165"")+IMPORTRANGE(""https://docs.googl"&amp;"e.com/spreadsheets/d/1BIDqLLg5jk3v59G8NlR8rk5xfQDKne0sAvZHSj7TI6I/edit?usp=sharing"",""พระนครศรีอยุธยา!N165"")+IMPORTRANGE(""https://docs.google.com/spreadsheets/d/1YXvxf8Yu6_rV4hTBrwMqAcAnv6DfhUxh5emyM3CJp_w/edit?usp=sharing"",""เพชรบุรี!N165"")+IMPORTRA"&amp;"NGE(""https://docs.google.com/spreadsheets/d/19KBlQQs7uwvsao6t2n-KvW3Ax8J8uRRfZPq1zPbXgKc/edit?usp=sharing"",""ระยอง!N165"")+IMPORTRANGE(""https://docs.google.com/spreadsheets/d/1jQ6P4QcrGM89YfqcC_PxOHGCMq5ezhucwJd8ci-NHng/edit?usp=sharing"",""ราชบุรี!N16"&amp;"5"")+IMPORTRANGE(""https://docs.google.com/spreadsheets/d/1lufeA2cfFqM-elVq2hznhDzC6Pr7wkJ9ZG_sYNGCMCU/edit?usp=sharing"",""ลพบุรี!N165"")+IMPORTRANGE(""https://docs.google.com/spreadsheets/d/10oOiF7loTyfsTkbd4MpaIm0HQ9SwB7IYHdIUvt-U1Uc/edit?usp=sharing"""&amp;",""สระแก้ว!N165"")+IMPORTRANGE(""https://docs.google.com/spreadsheets/d/1xmPlrr1QbdSIKvl1dWUl9K4PjAfSL9oeMr_37QVzcxc/edit?usp=sharing"",""สระบุรี!N165"")+IMPORTRANGE(""https://docs.google.com/spreadsheets/d/1j51vR6CYVGhABJpv6tkstgok82RLpXieLzW1yOY5rHw/edi"&amp;"t?usp=sharing"",""สิงห์บุรี!N165"")+IMPORTRANGE(""https://docs.google.com/spreadsheets/d/1H1EalTWKUSzO4Z1-1CwzoDUaVffgrThEBe2sl74kKG0/edit?usp=sharing"",""สุพรรณบุรี!N165"")+IMPORTRANGE(""https://docs.google.com/spreadsheets/d/1BmIruG_sIrJLYao_Pdr7zVArWsf"&amp;"oBt2692TMi6x_854/edit?usp=sharing"",""อ่างทอง!N165"")"),0)</f>
        <v>0</v>
      </c>
      <c r="O166" s="88">
        <f t="shared" ca="1" si="125"/>
        <v>0</v>
      </c>
      <c r="P166" s="88">
        <f t="shared" ca="1" si="126"/>
        <v>0</v>
      </c>
      <c r="Q166" s="73">
        <f ca="1">IFERROR(__xludf.DUMMYFUNCTION("IMPORTRANGE(""https://docs.google.com/spreadsheets/d/13wPX838HrBrQMCywv1BsuMkt4PEKTChp52zj44s2izQ/edit?usp=sharing"",""กาญจนบุรี!Q165"")+IMPORTRANGE(""https://docs.google.com/spreadsheets/d/1ddFKvqj1W1NEiWytbGlB1zMx_ykJDVtmfEQ-6-lIUBA/edit?usp=sharing"","&amp;"""จันทบุรี!Q165"")+IMPORTRANGE(""https://docs.google.com/spreadsheets/d/1T1PQvRODqOBZk8BRht_U031fIS1beLA0Ub2CEytj2q0/edit?usp=sharing"",""ฉะเชิงเทรา!Q165"")+IMPORTRANGE(""https://docs.google.com/spreadsheets/d/11tr1B-Bhyr79v2bkwVh5h_fR-PStkgjlZtkrZpYurG0/"&amp;"edit?usp=sharing"",""ชลบุรี!Q165"")+IMPORTRANGE(""https://docs.google.com/spreadsheets/d/1hh-FVnSX0vozXhGluamEcS54Dw9_zqW0N7qJUWgJ0Sw/edit?usp=sharing"",""ชัยนาท!Q165"")+IMPORTRANGE(""https://docs.google.com/spreadsheets/d/1jkqa6GXxSacMcY1eN8AHjMNJ_7dDXMJ"&amp;"VRLDlaFSOdPM/edit?usp=sharing"",""ตราด!Q165"")+IMPORTRANGE(""https://docs.google.com/spreadsheets/d/18hSgUJ3VwClqi_qtULmmW3cLr0oe3OKaSYoKzdpTsYQ/edit?usp=sharing"",""นครนายก!Q165"")+IMPORTRANGE(""https://docs.google.com/spreadsheets/d/1YTZo6WM2dQ6Ix6FSdnL"&amp;"5P7uVnVKu40sxZu975tgG10E/edit?usp=sharing"",""นครปฐม!Q165"")+IMPORTRANGE(""https://docs.google.com/spreadsheets/d/1OYoGg4WDg5RIzwGeB10padOxJF9E_Vljuvvct_M7RDo/edit?usp=sharing"",""ปทุมธานี!Q165"")+IMPORTRANGE(""https://docs.google.com/spreadsheets/d/1GbCI"&amp;"E4D4wk9FUozzqk7SxfDMxDVBwVmI5zcaVUSzKAc/edit?usp=sharing"",""ประจวบคีรีขันธ์!Q165"")+IMPORTRANGE(""https://docs.google.com/spreadsheets/d/1vVf6wykvW_lAyu7Yo9L4hUTqHqIeP_qcVuxCtosJEbg/edit?usp=sharing"",""ปราจีนบุรี!Q165"")+IMPORTRANGE(""https://docs.googl"&amp;"e.com/spreadsheets/d/1BIDqLLg5jk3v59G8NlR8rk5xfQDKne0sAvZHSj7TI6I/edit?usp=sharing"",""พระนครศรีอยุธยา!Q165"")+IMPORTRANGE(""https://docs.google.com/spreadsheets/d/1YXvxf8Yu6_rV4hTBrwMqAcAnv6DfhUxh5emyM3CJp_w/edit?usp=sharing"",""เพชรบุรี!Q165"")+IMPORTRA"&amp;"NGE(""https://docs.google.com/spreadsheets/d/19KBlQQs7uwvsao6t2n-KvW3Ax8J8uRRfZPq1zPbXgKc/edit?usp=sharing"",""ระยอง!Q165"")+IMPORTRANGE(""https://docs.google.com/spreadsheets/d/1jQ6P4QcrGM89YfqcC_PxOHGCMq5ezhucwJd8ci-NHng/edit?usp=sharing"",""ราชบุรี!Q16"&amp;"5"")+IMPORTRANGE(""https://docs.google.com/spreadsheets/d/1lufeA2cfFqM-elVq2hznhDzC6Pr7wkJ9ZG_sYNGCMCU/edit?usp=sharing"",""ลพบุรี!Q165"")+IMPORTRANGE(""https://docs.google.com/spreadsheets/d/10oOiF7loTyfsTkbd4MpaIm0HQ9SwB7IYHdIUvt-U1Uc/edit?usp=sharing"""&amp;",""สระแก้ว!Q165"")+IMPORTRANGE(""https://docs.google.com/spreadsheets/d/1xmPlrr1QbdSIKvl1dWUl9K4PjAfSL9oeMr_37QVzcxc/edit?usp=sharing"",""สระบุรี!Q165"")+IMPORTRANGE(""https://docs.google.com/spreadsheets/d/1j51vR6CYVGhABJpv6tkstgok82RLpXieLzW1yOY5rHw/edi"&amp;"t?usp=sharing"",""สิงห์บุรี!Q165"")+IMPORTRANGE(""https://docs.google.com/spreadsheets/d/1H1EalTWKUSzO4Z1-1CwzoDUaVffgrThEBe2sl74kKG0/edit?usp=sharing"",""สุพรรณบุรี!Q165"")+IMPORTRANGE(""https://docs.google.com/spreadsheets/d/1BmIruG_sIrJLYao_Pdr7zVArWsf"&amp;"oBt2692TMi6x_854/edit?usp=sharing"",""อ่างทอง!Q165"")"),0)</f>
        <v>0</v>
      </c>
      <c r="R166" s="74">
        <f ca="1">IFERROR(__xludf.DUMMYFUNCTION("IMPORTRANGE(""https://docs.google.com/spreadsheets/d/13wPX838HrBrQMCywv1BsuMkt4PEKTChp52zj44s2izQ/edit?usp=sharing"",""กาญจนบุรี!R165"")+IMPORTRANGE(""https://docs.google.com/spreadsheets/d/1ddFKvqj1W1NEiWytbGlB1zMx_ykJDVtmfEQ-6-lIUBA/edit?usp=sharing"","&amp;"""จันทบุรี!R165"")+IMPORTRANGE(""https://docs.google.com/spreadsheets/d/1T1PQvRODqOBZk8BRht_U031fIS1beLA0Ub2CEytj2q0/edit?usp=sharing"",""ฉะเชิงเทรา!R165"")+IMPORTRANGE(""https://docs.google.com/spreadsheets/d/11tr1B-Bhyr79v2bkwVh5h_fR-PStkgjlZtkrZpYurG0/"&amp;"edit?usp=sharing"",""ชลบุรี!R165"")+IMPORTRANGE(""https://docs.google.com/spreadsheets/d/1hh-FVnSX0vozXhGluamEcS54Dw9_zqW0N7qJUWgJ0Sw/edit?usp=sharing"",""ชัยนาท!R165"")+IMPORTRANGE(""https://docs.google.com/spreadsheets/d/1jkqa6GXxSacMcY1eN8AHjMNJ_7dDXMJ"&amp;"VRLDlaFSOdPM/edit?usp=sharing"",""ตราด!R165"")+IMPORTRANGE(""https://docs.google.com/spreadsheets/d/18hSgUJ3VwClqi_qtULmmW3cLr0oe3OKaSYoKzdpTsYQ/edit?usp=sharing"",""นครนายก!R165"")+IMPORTRANGE(""https://docs.google.com/spreadsheets/d/1YTZo6WM2dQ6Ix6FSdnL"&amp;"5P7uVnVKu40sxZu975tgG10E/edit?usp=sharing"",""นครปฐม!R165"")+IMPORTRANGE(""https://docs.google.com/spreadsheets/d/1OYoGg4WDg5RIzwGeB10padOxJF9E_Vljuvvct_M7RDo/edit?usp=sharing"",""ปทุมธานี!R165"")+IMPORTRANGE(""https://docs.google.com/spreadsheets/d/1GbCI"&amp;"E4D4wk9FUozzqk7SxfDMxDVBwVmI5zcaVUSzKAc/edit?usp=sharing"",""ประจวบคีรีขันธ์!R165"")+IMPORTRANGE(""https://docs.google.com/spreadsheets/d/1vVf6wykvW_lAyu7Yo9L4hUTqHqIeP_qcVuxCtosJEbg/edit?usp=sharing"",""ปราจีนบุรี!R165"")+IMPORTRANGE(""https://docs.googl"&amp;"e.com/spreadsheets/d/1BIDqLLg5jk3v59G8NlR8rk5xfQDKne0sAvZHSj7TI6I/edit?usp=sharing"",""พระนครศรีอยุธยา!R165"")+IMPORTRANGE(""https://docs.google.com/spreadsheets/d/1YXvxf8Yu6_rV4hTBrwMqAcAnv6DfhUxh5emyM3CJp_w/edit?usp=sharing"",""เพชรบุรี!R165"")+IMPORTRA"&amp;"NGE(""https://docs.google.com/spreadsheets/d/19KBlQQs7uwvsao6t2n-KvW3Ax8J8uRRfZPq1zPbXgKc/edit?usp=sharing"",""ระยอง!R165"")+IMPORTRANGE(""https://docs.google.com/spreadsheets/d/1jQ6P4QcrGM89YfqcC_PxOHGCMq5ezhucwJd8ci-NHng/edit?usp=sharing"",""ราชบุรี!R16"&amp;"5"")+IMPORTRANGE(""https://docs.google.com/spreadsheets/d/1lufeA2cfFqM-elVq2hznhDzC6Pr7wkJ9ZG_sYNGCMCU/edit?usp=sharing"",""ลพบุรี!R165"")+IMPORTRANGE(""https://docs.google.com/spreadsheets/d/10oOiF7loTyfsTkbd4MpaIm0HQ9SwB7IYHdIUvt-U1Uc/edit?usp=sharing"""&amp;",""สระแก้ว!R165"")+IMPORTRANGE(""https://docs.google.com/spreadsheets/d/1xmPlrr1QbdSIKvl1dWUl9K4PjAfSL9oeMr_37QVzcxc/edit?usp=sharing"",""สระบุรี!R165"")+IMPORTRANGE(""https://docs.google.com/spreadsheets/d/1j51vR6CYVGhABJpv6tkstgok82RLpXieLzW1yOY5rHw/edi"&amp;"t?usp=sharing"",""สิงห์บุรี!R165"")+IMPORTRANGE(""https://docs.google.com/spreadsheets/d/1H1EalTWKUSzO4Z1-1CwzoDUaVffgrThEBe2sl74kKG0/edit?usp=sharing"",""สุพรรณบุรี!R165"")+IMPORTRANGE(""https://docs.google.com/spreadsheets/d/1BmIruG_sIrJLYao_Pdr7zVArWsf"&amp;"oBt2692TMi6x_854/edit?usp=sharing"",""อ่างทอง!R165"")"),0)</f>
        <v>0</v>
      </c>
      <c r="S166" s="74">
        <f ca="1">IFERROR(__xludf.DUMMYFUNCTION("IMPORTRANGE(""https://docs.google.com/spreadsheets/d/13wPX838HrBrQMCywv1BsuMkt4PEKTChp52zj44s2izQ/edit?usp=sharing"",""กาญจนบุรี!S165"")+IMPORTRANGE(""https://docs.google.com/spreadsheets/d/1ddFKvqj1W1NEiWytbGlB1zMx_ykJDVtmfEQ-6-lIUBA/edit?usp=sharing"","&amp;"""จันทบุรี!S165"")+IMPORTRANGE(""https://docs.google.com/spreadsheets/d/1T1PQvRODqOBZk8BRht_U031fIS1beLA0Ub2CEytj2q0/edit?usp=sharing"",""ฉะเชิงเทรา!S165"")+IMPORTRANGE(""https://docs.google.com/spreadsheets/d/11tr1B-Bhyr79v2bkwVh5h_fR-PStkgjlZtkrZpYurG0/"&amp;"edit?usp=sharing"",""ชลบุรี!S165"")+IMPORTRANGE(""https://docs.google.com/spreadsheets/d/1hh-FVnSX0vozXhGluamEcS54Dw9_zqW0N7qJUWgJ0Sw/edit?usp=sharing"",""ชัยนาท!S165"")+IMPORTRANGE(""https://docs.google.com/spreadsheets/d/1jkqa6GXxSacMcY1eN8AHjMNJ_7dDXMJ"&amp;"VRLDlaFSOdPM/edit?usp=sharing"",""ตราด!S165"")+IMPORTRANGE(""https://docs.google.com/spreadsheets/d/18hSgUJ3VwClqi_qtULmmW3cLr0oe3OKaSYoKzdpTsYQ/edit?usp=sharing"",""นครนายก!S165"")+IMPORTRANGE(""https://docs.google.com/spreadsheets/d/1YTZo6WM2dQ6Ix6FSdnL"&amp;"5P7uVnVKu40sxZu975tgG10E/edit?usp=sharing"",""นครปฐม!S165"")+IMPORTRANGE(""https://docs.google.com/spreadsheets/d/1OYoGg4WDg5RIzwGeB10padOxJF9E_Vljuvvct_M7RDo/edit?usp=sharing"",""ปทุมธานี!S165"")+IMPORTRANGE(""https://docs.google.com/spreadsheets/d/1GbCI"&amp;"E4D4wk9FUozzqk7SxfDMxDVBwVmI5zcaVUSzKAc/edit?usp=sharing"",""ประจวบคีรีขันธ์!S165"")+IMPORTRANGE(""https://docs.google.com/spreadsheets/d/1vVf6wykvW_lAyu7Yo9L4hUTqHqIeP_qcVuxCtosJEbg/edit?usp=sharing"",""ปราจีนบุรี!S165"")+IMPORTRANGE(""https://docs.googl"&amp;"e.com/spreadsheets/d/1BIDqLLg5jk3v59G8NlR8rk5xfQDKne0sAvZHSj7TI6I/edit?usp=sharing"",""พระนครศรีอยุธยา!S165"")+IMPORTRANGE(""https://docs.google.com/spreadsheets/d/1YXvxf8Yu6_rV4hTBrwMqAcAnv6DfhUxh5emyM3CJp_w/edit?usp=sharing"",""เพชรบุรี!S165"")+IMPORTRA"&amp;"NGE(""https://docs.google.com/spreadsheets/d/19KBlQQs7uwvsao6t2n-KvW3Ax8J8uRRfZPq1zPbXgKc/edit?usp=sharing"",""ระยอง!S165"")+IMPORTRANGE(""https://docs.google.com/spreadsheets/d/1jQ6P4QcrGM89YfqcC_PxOHGCMq5ezhucwJd8ci-NHng/edit?usp=sharing"",""ราชบุรี!S16"&amp;"5"")+IMPORTRANGE(""https://docs.google.com/spreadsheets/d/1lufeA2cfFqM-elVq2hznhDzC6Pr7wkJ9ZG_sYNGCMCU/edit?usp=sharing"",""ลพบุรี!S165"")+IMPORTRANGE(""https://docs.google.com/spreadsheets/d/10oOiF7loTyfsTkbd4MpaIm0HQ9SwB7IYHdIUvt-U1Uc/edit?usp=sharing"""&amp;",""สระแก้ว!S165"")+IMPORTRANGE(""https://docs.google.com/spreadsheets/d/1xmPlrr1QbdSIKvl1dWUl9K4PjAfSL9oeMr_37QVzcxc/edit?usp=sharing"",""สระบุรี!S165"")+IMPORTRANGE(""https://docs.google.com/spreadsheets/d/1j51vR6CYVGhABJpv6tkstgok82RLpXieLzW1yOY5rHw/edi"&amp;"t?usp=sharing"",""สิงห์บุรี!S165"")+IMPORTRANGE(""https://docs.google.com/spreadsheets/d/1H1EalTWKUSzO4Z1-1CwzoDUaVffgrThEBe2sl74kKG0/edit?usp=sharing"",""สุพรรณบุรี!S165"")+IMPORTRANGE(""https://docs.google.com/spreadsheets/d/1BmIruG_sIrJLYao_Pdr7zVArWsf"&amp;"oBt2692TMi6x_854/edit?usp=sharing"",""อ่างทอง!S165"")"),0)</f>
        <v>0</v>
      </c>
      <c r="T166" s="132">
        <f t="shared" ca="1" si="128"/>
        <v>0</v>
      </c>
      <c r="U166" s="132">
        <f t="shared" ca="1" si="129"/>
        <v>0</v>
      </c>
    </row>
    <row r="167" spans="1:21" ht="19.5" x14ac:dyDescent="0.3">
      <c r="A167" s="222"/>
      <c r="B167" s="223"/>
      <c r="C167" s="210" t="s">
        <v>18</v>
      </c>
      <c r="D167" s="224" t="s">
        <v>38</v>
      </c>
      <c r="E167" s="225"/>
      <c r="F167" s="225"/>
      <c r="G167" s="226"/>
      <c r="H167" s="320"/>
      <c r="I167" s="71"/>
      <c r="J167" s="71"/>
      <c r="K167" s="72"/>
      <c r="L167" s="72"/>
      <c r="M167" s="72"/>
      <c r="N167" s="72"/>
      <c r="O167" s="72"/>
      <c r="P167" s="72"/>
      <c r="Q167" s="86"/>
      <c r="R167" s="87"/>
      <c r="S167" s="87"/>
      <c r="T167" s="87"/>
      <c r="U167" s="87"/>
    </row>
    <row r="168" spans="1:21" ht="18.75" x14ac:dyDescent="0.25">
      <c r="A168" s="209"/>
      <c r="B168" s="67"/>
      <c r="C168" s="67"/>
      <c r="D168" s="346" t="s">
        <v>69</v>
      </c>
      <c r="E168" s="67"/>
      <c r="F168" s="67"/>
      <c r="G168" s="69"/>
      <c r="H168" s="221" t="s">
        <v>35</v>
      </c>
      <c r="I168" s="239">
        <f ca="1">IFERROR(__xludf.DUMMYFUNCTION("IMPORTRANGE(""https://docs.google.com/spreadsheets/d/13wPX838HrBrQMCywv1BsuMkt4PEKTChp52zj44s2izQ/edit?usp=sharing"",""กาญจนบุรี!I167"")+IMPORTRANGE(""https://docs.google.com/spreadsheets/d/1ddFKvqj1W1NEiWytbGlB1zMx_ykJDVtmfEQ-6-lIUBA/edit?usp=sharing"","&amp;"""จันทบุรี!I167"")+IMPORTRANGE(""https://docs.google.com/spreadsheets/d/1T1PQvRODqOBZk8BRht_U031fIS1beLA0Ub2CEytj2q0/edit?usp=sharing"",""ฉะเชิงเทรา!I167"")+IMPORTRANGE(""https://docs.google.com/spreadsheets/d/11tr1B-Bhyr79v2bkwVh5h_fR-PStkgjlZtkrZpYurG0/"&amp;"edit?usp=sharing"",""ชลบุรี!I167"")+IMPORTRANGE(""https://docs.google.com/spreadsheets/d/1hh-FVnSX0vozXhGluamEcS54Dw9_zqW0N7qJUWgJ0Sw/edit?usp=sharing"",""ชัยนาท!I167"")+IMPORTRANGE(""https://docs.google.com/spreadsheets/d/1jkqa6GXxSacMcY1eN8AHjMNJ_7dDXMJ"&amp;"VRLDlaFSOdPM/edit?usp=sharing"",""ตราด!I167"")+IMPORTRANGE(""https://docs.google.com/spreadsheets/d/18hSgUJ3VwClqi_qtULmmW3cLr0oe3OKaSYoKzdpTsYQ/edit?usp=sharing"",""นครนายก!I167"")+IMPORTRANGE(""https://docs.google.com/spreadsheets/d/1YTZo6WM2dQ6Ix6FSdnL"&amp;"5P7uVnVKu40sxZu975tgG10E/edit?usp=sharing"",""นครปฐม!I167"")+IMPORTRANGE(""https://docs.google.com/spreadsheets/d/1OYoGg4WDg5RIzwGeB10padOxJF9E_Vljuvvct_M7RDo/edit?usp=sharing"",""ปทุมธานี!I167"")+IMPORTRANGE(""https://docs.google.com/spreadsheets/d/1GbCI"&amp;"E4D4wk9FUozzqk7SxfDMxDVBwVmI5zcaVUSzKAc/edit?usp=sharing"",""ประจวบคีรีขันธ์!I167"")+IMPORTRANGE(""https://docs.google.com/spreadsheets/d/1vVf6wykvW_lAyu7Yo9L4hUTqHqIeP_qcVuxCtosJEbg/edit?usp=sharing"",""ปราจีนบุรี!I167"")+IMPORTRANGE(""https://docs.googl"&amp;"e.com/spreadsheets/d/1BIDqLLg5jk3v59G8NlR8rk5xfQDKne0sAvZHSj7TI6I/edit?usp=sharing"",""พระนครศรีอยุธยา!I167"")+IMPORTRANGE(""https://docs.google.com/spreadsheets/d/1YXvxf8Yu6_rV4hTBrwMqAcAnv6DfhUxh5emyM3CJp_w/edit?usp=sharing"",""เพชรบุรี!I167"")+IMPORTRA"&amp;"NGE(""https://docs.google.com/spreadsheets/d/19KBlQQs7uwvsao6t2n-KvW3Ax8J8uRRfZPq1zPbXgKc/edit?usp=sharing"",""ระยอง!I167"")+IMPORTRANGE(""https://docs.google.com/spreadsheets/d/1jQ6P4QcrGM89YfqcC_PxOHGCMq5ezhucwJd8ci-NHng/edit?usp=sharing"",""ราชบุรี!I16"&amp;"7"")+IMPORTRANGE(""https://docs.google.com/spreadsheets/d/1lufeA2cfFqM-elVq2hznhDzC6Pr7wkJ9ZG_sYNGCMCU/edit?usp=sharing"",""ลพบุรี!I167"")+IMPORTRANGE(""https://docs.google.com/spreadsheets/d/10oOiF7loTyfsTkbd4MpaIm0HQ9SwB7IYHdIUvt-U1Uc/edit?usp=sharing"""&amp;",""สระแก้ว!I167"")+IMPORTRANGE(""https://docs.google.com/spreadsheets/d/1xmPlrr1QbdSIKvl1dWUl9K4PjAfSL9oeMr_37QVzcxc/edit?usp=sharing"",""สระบุรี!I167"")+IMPORTRANGE(""https://docs.google.com/spreadsheets/d/1j51vR6CYVGhABJpv6tkstgok82RLpXieLzW1yOY5rHw/edi"&amp;"t?usp=sharing"",""สิงห์บุรี!I167"")+IMPORTRANGE(""https://docs.google.com/spreadsheets/d/1H1EalTWKUSzO4Z1-1CwzoDUaVffgrThEBe2sl74kKG0/edit?usp=sharing"",""สุพรรณบุรี!I167"")+IMPORTRANGE(""https://docs.google.com/spreadsheets/d/1BmIruG_sIrJLYao_Pdr7zVArWsf"&amp;"oBt2692TMi6x_854/edit?usp=sharing"",""อ่างทอง!I167"")"),105)</f>
        <v>105</v>
      </c>
      <c r="J168" s="239">
        <f ca="1">IFERROR(__xludf.DUMMYFUNCTION("IMPORTRANGE(""https://docs.google.com/spreadsheets/d/13wPX838HrBrQMCywv1BsuMkt4PEKTChp52zj44s2izQ/edit?usp=sharing"",""กาญจนบุรี!J167"")+IMPORTRANGE(""https://docs.google.com/spreadsheets/d/1ddFKvqj1W1NEiWytbGlB1zMx_ykJDVtmfEQ-6-lIUBA/edit?usp=sharing"","&amp;"""จันทบุรี!J167"")+IMPORTRANGE(""https://docs.google.com/spreadsheets/d/1T1PQvRODqOBZk8BRht_U031fIS1beLA0Ub2CEytj2q0/edit?usp=sharing"",""ฉะเชิงเทรา!J167"")+IMPORTRANGE(""https://docs.google.com/spreadsheets/d/11tr1B-Bhyr79v2bkwVh5h_fR-PStkgjlZtkrZpYurG0/"&amp;"edit?usp=sharing"",""ชลบุรี!J167"")+IMPORTRANGE(""https://docs.google.com/spreadsheets/d/1hh-FVnSX0vozXhGluamEcS54Dw9_zqW0N7qJUWgJ0Sw/edit?usp=sharing"",""ชัยนาท!J167"")+IMPORTRANGE(""https://docs.google.com/spreadsheets/d/1jkqa6GXxSacMcY1eN8AHjMNJ_7dDXMJ"&amp;"VRLDlaFSOdPM/edit?usp=sharing"",""ตราด!J167"")+IMPORTRANGE(""https://docs.google.com/spreadsheets/d/18hSgUJ3VwClqi_qtULmmW3cLr0oe3OKaSYoKzdpTsYQ/edit?usp=sharing"",""นครนายก!J167"")+IMPORTRANGE(""https://docs.google.com/spreadsheets/d/1YTZo6WM2dQ6Ix6FSdnL"&amp;"5P7uVnVKu40sxZu975tgG10E/edit?usp=sharing"",""นครปฐม!J167"")+IMPORTRANGE(""https://docs.google.com/spreadsheets/d/1OYoGg4WDg5RIzwGeB10padOxJF9E_Vljuvvct_M7RDo/edit?usp=sharing"",""ปทุมธานี!J167"")+IMPORTRANGE(""https://docs.google.com/spreadsheets/d/1GbCI"&amp;"E4D4wk9FUozzqk7SxfDMxDVBwVmI5zcaVUSzKAc/edit?usp=sharing"",""ประจวบคีรีขันธ์!J167"")+IMPORTRANGE(""https://docs.google.com/spreadsheets/d/1vVf6wykvW_lAyu7Yo9L4hUTqHqIeP_qcVuxCtosJEbg/edit?usp=sharing"",""ปราจีนบุรี!J167"")+IMPORTRANGE(""https://docs.googl"&amp;"e.com/spreadsheets/d/1BIDqLLg5jk3v59G8NlR8rk5xfQDKne0sAvZHSj7TI6I/edit?usp=sharing"",""พระนครศรีอยุธยา!J167"")+IMPORTRANGE(""https://docs.google.com/spreadsheets/d/1YXvxf8Yu6_rV4hTBrwMqAcAnv6DfhUxh5emyM3CJp_w/edit?usp=sharing"",""เพชรบุรี!J167"")+IMPORTRA"&amp;"NGE(""https://docs.google.com/spreadsheets/d/19KBlQQs7uwvsao6t2n-KvW3Ax8J8uRRfZPq1zPbXgKc/edit?usp=sharing"",""ระยอง!J167"")+IMPORTRANGE(""https://docs.google.com/spreadsheets/d/1jQ6P4QcrGM89YfqcC_PxOHGCMq5ezhucwJd8ci-NHng/edit?usp=sharing"",""ราชบุรี!J16"&amp;"7"")+IMPORTRANGE(""https://docs.google.com/spreadsheets/d/1lufeA2cfFqM-elVq2hznhDzC6Pr7wkJ9ZG_sYNGCMCU/edit?usp=sharing"",""ลพบุรี!J167"")+IMPORTRANGE(""https://docs.google.com/spreadsheets/d/10oOiF7loTyfsTkbd4MpaIm0HQ9SwB7IYHdIUvt-U1Uc/edit?usp=sharing"""&amp;",""สระแก้ว!J167"")+IMPORTRANGE(""https://docs.google.com/spreadsheets/d/1xmPlrr1QbdSIKvl1dWUl9K4PjAfSL9oeMr_37QVzcxc/edit?usp=sharing"",""สระบุรี!J167"")+IMPORTRANGE(""https://docs.google.com/spreadsheets/d/1j51vR6CYVGhABJpv6tkstgok82RLpXieLzW1yOY5rHw/edi"&amp;"t?usp=sharing"",""สิงห์บุรี!J167"")+IMPORTRANGE(""https://docs.google.com/spreadsheets/d/1H1EalTWKUSzO4Z1-1CwzoDUaVffgrThEBe2sl74kKG0/edit?usp=sharing"",""สุพรรณบุรี!J167"")+IMPORTRANGE(""https://docs.google.com/spreadsheets/d/1BmIruG_sIrJLYao_Pdr7zVArWsf"&amp;"oBt2692TMi6x_854/edit?usp=sharing"",""อ่างทอง!J167"")"),0)</f>
        <v>0</v>
      </c>
      <c r="K168" s="88">
        <f t="shared" ref="K168:K170" ca="1" si="138">IF(I168&gt;0,J168*100/I168,0)</f>
        <v>0</v>
      </c>
      <c r="L168" s="72"/>
      <c r="M168" s="72"/>
      <c r="N168" s="72"/>
      <c r="O168" s="72"/>
      <c r="P168" s="72"/>
      <c r="Q168" s="86"/>
      <c r="R168" s="87"/>
      <c r="S168" s="87"/>
      <c r="T168" s="87"/>
      <c r="U168" s="87"/>
    </row>
    <row r="169" spans="1:21" ht="18.75" x14ac:dyDescent="0.25">
      <c r="A169" s="209"/>
      <c r="B169" s="67"/>
      <c r="C169" s="67"/>
      <c r="D169" s="346" t="s">
        <v>70</v>
      </c>
      <c r="E169" s="67"/>
      <c r="F169" s="67"/>
      <c r="G169" s="69"/>
      <c r="H169" s="221" t="s">
        <v>35</v>
      </c>
      <c r="I169" s="239">
        <f t="shared" ref="I169:I170" ca="1" si="139">I168</f>
        <v>105</v>
      </c>
      <c r="J169" s="239">
        <v>0</v>
      </c>
      <c r="K169" s="88">
        <f t="shared" ca="1" si="138"/>
        <v>0</v>
      </c>
      <c r="L169" s="72"/>
      <c r="M169" s="72"/>
      <c r="N169" s="72"/>
      <c r="O169" s="72"/>
      <c r="P169" s="72"/>
      <c r="Q169" s="86"/>
      <c r="R169" s="87"/>
      <c r="S169" s="87"/>
      <c r="T169" s="87"/>
      <c r="U169" s="87"/>
    </row>
    <row r="170" spans="1:21" ht="18.75" x14ac:dyDescent="0.25">
      <c r="A170" s="347"/>
      <c r="B170" s="2"/>
      <c r="C170" s="2"/>
      <c r="D170" s="348" t="s">
        <v>71</v>
      </c>
      <c r="E170" s="2"/>
      <c r="F170" s="2"/>
      <c r="G170" s="176"/>
      <c r="H170" s="349" t="s">
        <v>35</v>
      </c>
      <c r="I170" s="350">
        <f t="shared" ca="1" si="139"/>
        <v>105</v>
      </c>
      <c r="J170" s="350">
        <v>0</v>
      </c>
      <c r="K170" s="180">
        <f t="shared" ca="1" si="138"/>
        <v>0</v>
      </c>
      <c r="L170" s="179"/>
      <c r="M170" s="179"/>
      <c r="N170" s="179"/>
      <c r="O170" s="179"/>
      <c r="P170" s="179"/>
      <c r="Q170" s="97"/>
      <c r="R170" s="98"/>
      <c r="S170" s="98"/>
      <c r="T170" s="98"/>
      <c r="U170" s="98"/>
    </row>
    <row r="171" spans="1:21" ht="19.5" x14ac:dyDescent="0.3">
      <c r="A171" s="351" t="s">
        <v>72</v>
      </c>
      <c r="B171" s="352"/>
      <c r="C171" s="352"/>
      <c r="D171" s="352"/>
      <c r="E171" s="353"/>
      <c r="F171" s="353"/>
      <c r="G171" s="353"/>
      <c r="H171" s="353"/>
      <c r="I171" s="354"/>
      <c r="J171" s="354"/>
      <c r="K171" s="355"/>
      <c r="L171" s="355"/>
      <c r="M171" s="355"/>
      <c r="N171" s="355"/>
      <c r="O171" s="355"/>
      <c r="P171" s="356"/>
      <c r="Q171" s="357"/>
      <c r="R171" s="358"/>
      <c r="S171" s="358"/>
      <c r="T171" s="358"/>
      <c r="U171" s="359"/>
    </row>
    <row r="172" spans="1:21" ht="19.5" x14ac:dyDescent="0.3">
      <c r="A172" s="360" t="s">
        <v>73</v>
      </c>
      <c r="B172" s="361"/>
      <c r="C172" s="361"/>
      <c r="D172" s="362"/>
      <c r="E172" s="362"/>
      <c r="F172" s="362"/>
      <c r="G172" s="363"/>
      <c r="H172" s="363"/>
      <c r="I172" s="364"/>
      <c r="J172" s="364"/>
      <c r="K172" s="365"/>
      <c r="L172" s="365"/>
      <c r="M172" s="365"/>
      <c r="N172" s="365"/>
      <c r="O172" s="365"/>
      <c r="P172" s="365"/>
      <c r="Q172" s="366"/>
      <c r="R172" s="367"/>
      <c r="S172" s="367"/>
      <c r="T172" s="367"/>
      <c r="U172" s="367"/>
    </row>
    <row r="173" spans="1:21" ht="19.5" x14ac:dyDescent="0.3">
      <c r="A173" s="368"/>
      <c r="B173" s="369" t="s">
        <v>74</v>
      </c>
      <c r="C173" s="370"/>
      <c r="D173" s="225"/>
      <c r="E173" s="225"/>
      <c r="F173" s="225"/>
      <c r="G173" s="226"/>
      <c r="H173" s="371" t="s">
        <v>35</v>
      </c>
      <c r="I173" s="372">
        <f t="shared" ref="I173:J173" ca="1" si="140">I184+I185</f>
        <v>203</v>
      </c>
      <c r="J173" s="372">
        <f t="shared" ca="1" si="140"/>
        <v>91</v>
      </c>
      <c r="K173" s="373">
        <f ca="1">IF(I173&gt;0,J173*100/I173,0)</f>
        <v>44.827586206896555</v>
      </c>
      <c r="L173" s="374"/>
      <c r="M173" s="374"/>
      <c r="N173" s="374"/>
      <c r="O173" s="374"/>
      <c r="P173" s="374"/>
      <c r="Q173" s="375"/>
      <c r="R173" s="376"/>
      <c r="S173" s="376"/>
      <c r="T173" s="376"/>
      <c r="U173" s="376"/>
    </row>
    <row r="174" spans="1:21" ht="19.5" x14ac:dyDescent="0.3">
      <c r="A174" s="209"/>
      <c r="B174" s="67"/>
      <c r="C174" s="210" t="s">
        <v>18</v>
      </c>
      <c r="D174" s="211" t="s">
        <v>19</v>
      </c>
      <c r="E174" s="67"/>
      <c r="F174" s="67"/>
      <c r="G174" s="69"/>
      <c r="H174" s="212" t="s">
        <v>14</v>
      </c>
      <c r="I174" s="71"/>
      <c r="J174" s="71"/>
      <c r="K174" s="72"/>
      <c r="L174" s="213">
        <f t="shared" ref="L174:N174" ca="1" si="141">L175+L176</f>
        <v>372210</v>
      </c>
      <c r="M174" s="213">
        <f t="shared" ca="1" si="141"/>
        <v>600140</v>
      </c>
      <c r="N174" s="213">
        <f t="shared" ca="1" si="141"/>
        <v>393903</v>
      </c>
      <c r="O174" s="213">
        <f t="shared" ref="O174:O182" ca="1" si="142">IF(L174&gt;0,N174*100/L174,0)</f>
        <v>105.82816152172161</v>
      </c>
      <c r="P174" s="213">
        <f t="shared" ref="P174:P182" ca="1" si="143">IF(M174&gt;0,N174*100/M174,0)</f>
        <v>65.635185123471189</v>
      </c>
      <c r="Q174" s="214">
        <f t="shared" ref="Q174:S174" ca="1" si="144">Q175+Q176</f>
        <v>0</v>
      </c>
      <c r="R174" s="215">
        <f t="shared" ca="1" si="144"/>
        <v>0</v>
      </c>
      <c r="S174" s="215">
        <f t="shared" ca="1" si="144"/>
        <v>0</v>
      </c>
      <c r="T174" s="215">
        <f t="shared" ref="T174:T182" ca="1" si="145">IF(Q174&gt;0,S174*100/Q174,0)</f>
        <v>0</v>
      </c>
      <c r="U174" s="215">
        <f t="shared" ref="U174:U182" ca="1" si="146">IF(R174&gt;0,S174*100/R174,0)</f>
        <v>0</v>
      </c>
    </row>
    <row r="175" spans="1:21" ht="18.75" x14ac:dyDescent="0.25">
      <c r="A175" s="209"/>
      <c r="B175" s="67"/>
      <c r="C175" s="67"/>
      <c r="D175" s="67"/>
      <c r="E175" s="75" t="s">
        <v>20</v>
      </c>
      <c r="F175" s="67"/>
      <c r="G175" s="69"/>
      <c r="H175" s="216" t="s">
        <v>14</v>
      </c>
      <c r="I175" s="71"/>
      <c r="J175" s="71"/>
      <c r="K175" s="72"/>
      <c r="L175" s="88">
        <f t="shared" ref="L175:N175" ca="1" si="147">L178+L181</f>
        <v>0</v>
      </c>
      <c r="M175" s="88">
        <f t="shared" ca="1" si="147"/>
        <v>0</v>
      </c>
      <c r="N175" s="88">
        <f t="shared" ca="1" si="147"/>
        <v>0</v>
      </c>
      <c r="O175" s="88">
        <f t="shared" ca="1" si="142"/>
        <v>0</v>
      </c>
      <c r="P175" s="88">
        <f t="shared" ca="1" si="143"/>
        <v>0</v>
      </c>
      <c r="Q175" s="217">
        <f t="shared" ref="Q175:S175" ca="1" si="148">Q178+Q181</f>
        <v>0</v>
      </c>
      <c r="R175" s="133">
        <f t="shared" ca="1" si="148"/>
        <v>0</v>
      </c>
      <c r="S175" s="133">
        <f t="shared" ca="1" si="148"/>
        <v>0</v>
      </c>
      <c r="T175" s="133">
        <f t="shared" ca="1" si="145"/>
        <v>0</v>
      </c>
      <c r="U175" s="133">
        <f t="shared" ca="1" si="146"/>
        <v>0</v>
      </c>
    </row>
    <row r="176" spans="1:21" ht="18.75" x14ac:dyDescent="0.25">
      <c r="A176" s="209"/>
      <c r="B176" s="67"/>
      <c r="C176" s="67"/>
      <c r="D176" s="67"/>
      <c r="E176" s="75" t="s">
        <v>21</v>
      </c>
      <c r="F176" s="67"/>
      <c r="G176" s="69"/>
      <c r="H176" s="216" t="s">
        <v>14</v>
      </c>
      <c r="I176" s="71"/>
      <c r="J176" s="71"/>
      <c r="K176" s="72"/>
      <c r="L176" s="88">
        <f t="shared" ref="L176:N176" ca="1" si="149">L179+L182</f>
        <v>372210</v>
      </c>
      <c r="M176" s="88">
        <f t="shared" ca="1" si="149"/>
        <v>600140</v>
      </c>
      <c r="N176" s="88">
        <f t="shared" ca="1" si="149"/>
        <v>393903</v>
      </c>
      <c r="O176" s="88">
        <f t="shared" ca="1" si="142"/>
        <v>105.82816152172161</v>
      </c>
      <c r="P176" s="88">
        <f t="shared" ca="1" si="143"/>
        <v>65.635185123471189</v>
      </c>
      <c r="Q176" s="131">
        <f t="shared" ref="Q176:S176" ca="1" si="150">Q179+Q182</f>
        <v>0</v>
      </c>
      <c r="R176" s="132">
        <f t="shared" ca="1" si="150"/>
        <v>0</v>
      </c>
      <c r="S176" s="132">
        <f t="shared" ca="1" si="150"/>
        <v>0</v>
      </c>
      <c r="T176" s="132">
        <f t="shared" ca="1" si="145"/>
        <v>0</v>
      </c>
      <c r="U176" s="132">
        <f t="shared" ca="1" si="146"/>
        <v>0</v>
      </c>
    </row>
    <row r="177" spans="1:21" ht="18.75" x14ac:dyDescent="0.25">
      <c r="A177" s="209"/>
      <c r="B177" s="67"/>
      <c r="C177" s="67"/>
      <c r="D177" s="68" t="s">
        <v>22</v>
      </c>
      <c r="E177" s="67"/>
      <c r="F177" s="67"/>
      <c r="G177" s="69"/>
      <c r="H177" s="218" t="s">
        <v>14</v>
      </c>
      <c r="I177" s="219"/>
      <c r="J177" s="219"/>
      <c r="K177" s="220"/>
      <c r="L177" s="88">
        <f t="shared" ref="L177:N177" ca="1" si="151">L178+L179</f>
        <v>372210</v>
      </c>
      <c r="M177" s="88">
        <f t="shared" ca="1" si="151"/>
        <v>600140</v>
      </c>
      <c r="N177" s="88">
        <f t="shared" ca="1" si="151"/>
        <v>393903</v>
      </c>
      <c r="O177" s="88">
        <f t="shared" ca="1" si="142"/>
        <v>105.82816152172161</v>
      </c>
      <c r="P177" s="88">
        <f t="shared" ca="1" si="143"/>
        <v>65.635185123471189</v>
      </c>
      <c r="Q177" s="131">
        <f t="shared" ref="Q177:S177" ca="1" si="152">Q178+Q179</f>
        <v>0</v>
      </c>
      <c r="R177" s="132">
        <f t="shared" ca="1" si="152"/>
        <v>0</v>
      </c>
      <c r="S177" s="132">
        <f t="shared" ca="1" si="152"/>
        <v>0</v>
      </c>
      <c r="T177" s="132">
        <f t="shared" ca="1" si="145"/>
        <v>0</v>
      </c>
      <c r="U177" s="132">
        <f t="shared" ca="1" si="146"/>
        <v>0</v>
      </c>
    </row>
    <row r="178" spans="1:21" ht="18.75" x14ac:dyDescent="0.25">
      <c r="A178" s="209"/>
      <c r="B178" s="67"/>
      <c r="C178" s="67"/>
      <c r="D178" s="67"/>
      <c r="E178" s="75" t="s">
        <v>36</v>
      </c>
      <c r="F178" s="67"/>
      <c r="G178" s="69"/>
      <c r="H178" s="218" t="s">
        <v>14</v>
      </c>
      <c r="I178" s="219"/>
      <c r="J178" s="219"/>
      <c r="K178" s="220"/>
      <c r="L178" s="88">
        <f ca="1">IFERROR(__xludf.DUMMYFUNCTION("IMPORTRANGE(""https://docs.google.com/spreadsheets/d/13wPX838HrBrQMCywv1BsuMkt4PEKTChp52zj44s2izQ/edit?usp=sharing"",""กาญจนบุรี!L177"")+IMPORTRANGE(""https://docs.google.com/spreadsheets/d/1ddFKvqj1W1NEiWytbGlB1zMx_ykJDVtmfEQ-6-lIUBA/edit?usp=sharing"","&amp;"""จันทบุรี!L177"")+IMPORTRANGE(""https://docs.google.com/spreadsheets/d/1T1PQvRODqOBZk8BRht_U031fIS1beLA0Ub2CEytj2q0/edit?usp=sharing"",""ฉะเชิงเทรา!L177"")+IMPORTRANGE(""https://docs.google.com/spreadsheets/d/11tr1B-Bhyr79v2bkwVh5h_fR-PStkgjlZtkrZpYurG0/"&amp;"edit?usp=sharing"",""ชลบุรี!L177"")+IMPORTRANGE(""https://docs.google.com/spreadsheets/d/1hh-FVnSX0vozXhGluamEcS54Dw9_zqW0N7qJUWgJ0Sw/edit?usp=sharing"",""ชัยนาท!L177"")+IMPORTRANGE(""https://docs.google.com/spreadsheets/d/1jkqa6GXxSacMcY1eN8AHjMNJ_7dDXMJ"&amp;"VRLDlaFSOdPM/edit?usp=sharing"",""ตราด!L177"")+IMPORTRANGE(""https://docs.google.com/spreadsheets/d/18hSgUJ3VwClqi_qtULmmW3cLr0oe3OKaSYoKzdpTsYQ/edit?usp=sharing"",""นครนายก!L177"")+IMPORTRANGE(""https://docs.google.com/spreadsheets/d/1YTZo6WM2dQ6Ix6FSdnL"&amp;"5P7uVnVKu40sxZu975tgG10E/edit?usp=sharing"",""นครปฐม!L177"")+IMPORTRANGE(""https://docs.google.com/spreadsheets/d/1OYoGg4WDg5RIzwGeB10padOxJF9E_Vljuvvct_M7RDo/edit?usp=sharing"",""ปทุมธานี!L177"")+IMPORTRANGE(""https://docs.google.com/spreadsheets/d/1GbCI"&amp;"E4D4wk9FUozzqk7SxfDMxDVBwVmI5zcaVUSzKAc/edit?usp=sharing"",""ประจวบคีรีขันธ์!L177"")+IMPORTRANGE(""https://docs.google.com/spreadsheets/d/1vVf6wykvW_lAyu7Yo9L4hUTqHqIeP_qcVuxCtosJEbg/edit?usp=sharing"",""ปราจีนบุรี!L177"")+IMPORTRANGE(""https://docs.googl"&amp;"e.com/spreadsheets/d/1BIDqLLg5jk3v59G8NlR8rk5xfQDKne0sAvZHSj7TI6I/edit?usp=sharing"",""พระนครศรีอยุธยา!L177"")+IMPORTRANGE(""https://docs.google.com/spreadsheets/d/1YXvxf8Yu6_rV4hTBrwMqAcAnv6DfhUxh5emyM3CJp_w/edit?usp=sharing"",""เพชรบุรี!L177"")+IMPORTRA"&amp;"NGE(""https://docs.google.com/spreadsheets/d/19KBlQQs7uwvsao6t2n-KvW3Ax8J8uRRfZPq1zPbXgKc/edit?usp=sharing"",""ระยอง!L177"")+IMPORTRANGE(""https://docs.google.com/spreadsheets/d/1jQ6P4QcrGM89YfqcC_PxOHGCMq5ezhucwJd8ci-NHng/edit?usp=sharing"",""ราชบุรี!L17"&amp;"7"")+IMPORTRANGE(""https://docs.google.com/spreadsheets/d/1lufeA2cfFqM-elVq2hznhDzC6Pr7wkJ9ZG_sYNGCMCU/edit?usp=sharing"",""ลพบุรี!L177"")+IMPORTRANGE(""https://docs.google.com/spreadsheets/d/10oOiF7loTyfsTkbd4MpaIm0HQ9SwB7IYHdIUvt-U1Uc/edit?usp=sharing"""&amp;",""สระแก้ว!L177"")+IMPORTRANGE(""https://docs.google.com/spreadsheets/d/1xmPlrr1QbdSIKvl1dWUl9K4PjAfSL9oeMr_37QVzcxc/edit?usp=sharing"",""สระบุรี!L177"")+IMPORTRANGE(""https://docs.google.com/spreadsheets/d/1j51vR6CYVGhABJpv6tkstgok82RLpXieLzW1yOY5rHw/edi"&amp;"t?usp=sharing"",""สิงห์บุรี!L177"")+IMPORTRANGE(""https://docs.google.com/spreadsheets/d/1H1EalTWKUSzO4Z1-1CwzoDUaVffgrThEBe2sl74kKG0/edit?usp=sharing"",""สุพรรณบุรี!L177"")+IMPORTRANGE(""https://docs.google.com/spreadsheets/d/1BmIruG_sIrJLYao_Pdr7zVArWsf"&amp;"oBt2692TMi6x_854/edit?usp=sharing"",""อ่างทอง!L177"")"),0)</f>
        <v>0</v>
      </c>
      <c r="M178" s="88">
        <f ca="1">IFERROR(__xludf.DUMMYFUNCTION("IMPORTRANGE(""https://docs.google.com/spreadsheets/d/13wPX838HrBrQMCywv1BsuMkt4PEKTChp52zj44s2izQ/edit?usp=sharing"",""กาญจนบุรี!M177"")+IMPORTRANGE(""https://docs.google.com/spreadsheets/d/1ddFKvqj1W1NEiWytbGlB1zMx_ykJDVtmfEQ-6-lIUBA/edit?usp=sharing"","&amp;"""จันทบุรี!M177"")+IMPORTRANGE(""https://docs.google.com/spreadsheets/d/1T1PQvRODqOBZk8BRht_U031fIS1beLA0Ub2CEytj2q0/edit?usp=sharing"",""ฉะเชิงเทรา!M177"")+IMPORTRANGE(""https://docs.google.com/spreadsheets/d/11tr1B-Bhyr79v2bkwVh5h_fR-PStkgjlZtkrZpYurG0/"&amp;"edit?usp=sharing"",""ชลบุรี!M177"")+IMPORTRANGE(""https://docs.google.com/spreadsheets/d/1hh-FVnSX0vozXhGluamEcS54Dw9_zqW0N7qJUWgJ0Sw/edit?usp=sharing"",""ชัยนาท!M177"")+IMPORTRANGE(""https://docs.google.com/spreadsheets/d/1jkqa6GXxSacMcY1eN8AHjMNJ_7dDXMJ"&amp;"VRLDlaFSOdPM/edit?usp=sharing"",""ตราด!M177"")+IMPORTRANGE(""https://docs.google.com/spreadsheets/d/18hSgUJ3VwClqi_qtULmmW3cLr0oe3OKaSYoKzdpTsYQ/edit?usp=sharing"",""นครนายก!M177"")+IMPORTRANGE(""https://docs.google.com/spreadsheets/d/1YTZo6WM2dQ6Ix6FSdnL"&amp;"5P7uVnVKu40sxZu975tgG10E/edit?usp=sharing"",""นครปฐม!M177"")+IMPORTRANGE(""https://docs.google.com/spreadsheets/d/1OYoGg4WDg5RIzwGeB10padOxJF9E_Vljuvvct_M7RDo/edit?usp=sharing"",""ปทุมธานี!M177"")+IMPORTRANGE(""https://docs.google.com/spreadsheets/d/1GbCI"&amp;"E4D4wk9FUozzqk7SxfDMxDVBwVmI5zcaVUSzKAc/edit?usp=sharing"",""ประจวบคีรีขันธ์!M177"")+IMPORTRANGE(""https://docs.google.com/spreadsheets/d/1vVf6wykvW_lAyu7Yo9L4hUTqHqIeP_qcVuxCtosJEbg/edit?usp=sharing"",""ปราจีนบุรี!M177"")+IMPORTRANGE(""https://docs.googl"&amp;"e.com/spreadsheets/d/1BIDqLLg5jk3v59G8NlR8rk5xfQDKne0sAvZHSj7TI6I/edit?usp=sharing"",""พระนครศรีอยุธยา!M177"")+IMPORTRANGE(""https://docs.google.com/spreadsheets/d/1YXvxf8Yu6_rV4hTBrwMqAcAnv6DfhUxh5emyM3CJp_w/edit?usp=sharing"",""เพชรบุรี!M177"")+IMPORTRA"&amp;"NGE(""https://docs.google.com/spreadsheets/d/19KBlQQs7uwvsao6t2n-KvW3Ax8J8uRRfZPq1zPbXgKc/edit?usp=sharing"",""ระยอง!M177"")+IMPORTRANGE(""https://docs.google.com/spreadsheets/d/1jQ6P4QcrGM89YfqcC_PxOHGCMq5ezhucwJd8ci-NHng/edit?usp=sharing"",""ราชบุรี!M17"&amp;"7"")+IMPORTRANGE(""https://docs.google.com/spreadsheets/d/1lufeA2cfFqM-elVq2hznhDzC6Pr7wkJ9ZG_sYNGCMCU/edit?usp=sharing"",""ลพบุรี!M177"")+IMPORTRANGE(""https://docs.google.com/spreadsheets/d/10oOiF7loTyfsTkbd4MpaIm0HQ9SwB7IYHdIUvt-U1Uc/edit?usp=sharing"""&amp;",""สระแก้ว!M177"")+IMPORTRANGE(""https://docs.google.com/spreadsheets/d/1xmPlrr1QbdSIKvl1dWUl9K4PjAfSL9oeMr_37QVzcxc/edit?usp=sharing"",""สระบุรี!M177"")+IMPORTRANGE(""https://docs.google.com/spreadsheets/d/1j51vR6CYVGhABJpv6tkstgok82RLpXieLzW1yOY5rHw/edi"&amp;"t?usp=sharing"",""สิงห์บุรี!M177"")+IMPORTRANGE(""https://docs.google.com/spreadsheets/d/1H1EalTWKUSzO4Z1-1CwzoDUaVffgrThEBe2sl74kKG0/edit?usp=sharing"",""สุพรรณบุรี!M177"")+IMPORTRANGE(""https://docs.google.com/spreadsheets/d/1BmIruG_sIrJLYao_Pdr7zVArWsf"&amp;"oBt2692TMi6x_854/edit?usp=sharing"",""อ่างทอง!M177"")"),0)</f>
        <v>0</v>
      </c>
      <c r="N178" s="88">
        <f ca="1">IFERROR(__xludf.DUMMYFUNCTION("IMPORTRANGE(""https://docs.google.com/spreadsheets/d/13wPX838HrBrQMCywv1BsuMkt4PEKTChp52zj44s2izQ/edit?usp=sharing"",""กาญจนบุรี!N177"")+IMPORTRANGE(""https://docs.google.com/spreadsheets/d/1ddFKvqj1W1NEiWytbGlB1zMx_ykJDVtmfEQ-6-lIUBA/edit?usp=sharing"","&amp;"""จันทบุรี!N177"")+IMPORTRANGE(""https://docs.google.com/spreadsheets/d/1T1PQvRODqOBZk8BRht_U031fIS1beLA0Ub2CEytj2q0/edit?usp=sharing"",""ฉะเชิงเทรา!N177"")+IMPORTRANGE(""https://docs.google.com/spreadsheets/d/11tr1B-Bhyr79v2bkwVh5h_fR-PStkgjlZtkrZpYurG0/"&amp;"edit?usp=sharing"",""ชลบุรี!N177"")+IMPORTRANGE(""https://docs.google.com/spreadsheets/d/1hh-FVnSX0vozXhGluamEcS54Dw9_zqW0N7qJUWgJ0Sw/edit?usp=sharing"",""ชัยนาท!N177"")+IMPORTRANGE(""https://docs.google.com/spreadsheets/d/1jkqa6GXxSacMcY1eN8AHjMNJ_7dDXMJ"&amp;"VRLDlaFSOdPM/edit?usp=sharing"",""ตราด!N177"")+IMPORTRANGE(""https://docs.google.com/spreadsheets/d/18hSgUJ3VwClqi_qtULmmW3cLr0oe3OKaSYoKzdpTsYQ/edit?usp=sharing"",""นครนายก!N177"")+IMPORTRANGE(""https://docs.google.com/spreadsheets/d/1YTZo6WM2dQ6Ix6FSdnL"&amp;"5P7uVnVKu40sxZu975tgG10E/edit?usp=sharing"",""นครปฐม!N177"")+IMPORTRANGE(""https://docs.google.com/spreadsheets/d/1OYoGg4WDg5RIzwGeB10padOxJF9E_Vljuvvct_M7RDo/edit?usp=sharing"",""ปทุมธานี!N177"")+IMPORTRANGE(""https://docs.google.com/spreadsheets/d/1GbCI"&amp;"E4D4wk9FUozzqk7SxfDMxDVBwVmI5zcaVUSzKAc/edit?usp=sharing"",""ประจวบคีรีขันธ์!N177"")+IMPORTRANGE(""https://docs.google.com/spreadsheets/d/1vVf6wykvW_lAyu7Yo9L4hUTqHqIeP_qcVuxCtosJEbg/edit?usp=sharing"",""ปราจีนบุรี!N177"")+IMPORTRANGE(""https://docs.googl"&amp;"e.com/spreadsheets/d/1BIDqLLg5jk3v59G8NlR8rk5xfQDKne0sAvZHSj7TI6I/edit?usp=sharing"",""พระนครศรีอยุธยา!N177"")+IMPORTRANGE(""https://docs.google.com/spreadsheets/d/1YXvxf8Yu6_rV4hTBrwMqAcAnv6DfhUxh5emyM3CJp_w/edit?usp=sharing"",""เพชรบุรี!N177"")+IMPORTRA"&amp;"NGE(""https://docs.google.com/spreadsheets/d/19KBlQQs7uwvsao6t2n-KvW3Ax8J8uRRfZPq1zPbXgKc/edit?usp=sharing"",""ระยอง!N177"")+IMPORTRANGE(""https://docs.google.com/spreadsheets/d/1jQ6P4QcrGM89YfqcC_PxOHGCMq5ezhucwJd8ci-NHng/edit?usp=sharing"",""ราชบุรี!N17"&amp;"7"")+IMPORTRANGE(""https://docs.google.com/spreadsheets/d/1lufeA2cfFqM-elVq2hznhDzC6Pr7wkJ9ZG_sYNGCMCU/edit?usp=sharing"",""ลพบุรี!N177"")+IMPORTRANGE(""https://docs.google.com/spreadsheets/d/10oOiF7loTyfsTkbd4MpaIm0HQ9SwB7IYHdIUvt-U1Uc/edit?usp=sharing"""&amp;",""สระแก้ว!N177"")+IMPORTRANGE(""https://docs.google.com/spreadsheets/d/1xmPlrr1QbdSIKvl1dWUl9K4PjAfSL9oeMr_37QVzcxc/edit?usp=sharing"",""สระบุรี!N177"")+IMPORTRANGE(""https://docs.google.com/spreadsheets/d/1j51vR6CYVGhABJpv6tkstgok82RLpXieLzW1yOY5rHw/edi"&amp;"t?usp=sharing"",""สิงห์บุรี!N177"")+IMPORTRANGE(""https://docs.google.com/spreadsheets/d/1H1EalTWKUSzO4Z1-1CwzoDUaVffgrThEBe2sl74kKG0/edit?usp=sharing"",""สุพรรณบุรี!N177"")+IMPORTRANGE(""https://docs.google.com/spreadsheets/d/1BmIruG_sIrJLYao_Pdr7zVArWsf"&amp;"oBt2692TMi6x_854/edit?usp=sharing"",""อ่างทอง!N177"")"),0)</f>
        <v>0</v>
      </c>
      <c r="O178" s="88">
        <f t="shared" ca="1" si="142"/>
        <v>0</v>
      </c>
      <c r="P178" s="88">
        <f t="shared" ca="1" si="143"/>
        <v>0</v>
      </c>
      <c r="Q178" s="76">
        <f ca="1">IFERROR(__xludf.DUMMYFUNCTION("IMPORTRANGE(""https://docs.google.com/spreadsheets/d/13wPX838HrBrQMCywv1BsuMkt4PEKTChp52zj44s2izQ/edit?usp=sharing"",""กาญจนบุรี!Q177"")+IMPORTRANGE(""https://docs.google.com/spreadsheets/d/1ddFKvqj1W1NEiWytbGlB1zMx_ykJDVtmfEQ-6-lIUBA/edit?usp=sharing"","&amp;"""จันทบุรี!Q177"")+IMPORTRANGE(""https://docs.google.com/spreadsheets/d/1T1PQvRODqOBZk8BRht_U031fIS1beLA0Ub2CEytj2q0/edit?usp=sharing"",""ฉะเชิงเทรา!Q177"")+IMPORTRANGE(""https://docs.google.com/spreadsheets/d/11tr1B-Bhyr79v2bkwVh5h_fR-PStkgjlZtkrZpYurG0/"&amp;"edit?usp=sharing"",""ชลบุรี!Q177"")+IMPORTRANGE(""https://docs.google.com/spreadsheets/d/1hh-FVnSX0vozXhGluamEcS54Dw9_zqW0N7qJUWgJ0Sw/edit?usp=sharing"",""ชัยนาท!Q177"")+IMPORTRANGE(""https://docs.google.com/spreadsheets/d/1jkqa6GXxSacMcY1eN8AHjMNJ_7dDXMJ"&amp;"VRLDlaFSOdPM/edit?usp=sharing"",""ตราด!Q177"")+IMPORTRANGE(""https://docs.google.com/spreadsheets/d/18hSgUJ3VwClqi_qtULmmW3cLr0oe3OKaSYoKzdpTsYQ/edit?usp=sharing"",""นครนายก!Q177"")+IMPORTRANGE(""https://docs.google.com/spreadsheets/d/1YTZo6WM2dQ6Ix6FSdnL"&amp;"5P7uVnVKu40sxZu975tgG10E/edit?usp=sharing"",""นครปฐม!Q177"")+IMPORTRANGE(""https://docs.google.com/spreadsheets/d/1OYoGg4WDg5RIzwGeB10padOxJF9E_Vljuvvct_M7RDo/edit?usp=sharing"",""ปทุมธานี!Q177"")+IMPORTRANGE(""https://docs.google.com/spreadsheets/d/1GbCI"&amp;"E4D4wk9FUozzqk7SxfDMxDVBwVmI5zcaVUSzKAc/edit?usp=sharing"",""ประจวบคีรีขันธ์!Q177"")+IMPORTRANGE(""https://docs.google.com/spreadsheets/d/1vVf6wykvW_lAyu7Yo9L4hUTqHqIeP_qcVuxCtosJEbg/edit?usp=sharing"",""ปราจีนบุรี!Q177"")+IMPORTRANGE(""https://docs.googl"&amp;"e.com/spreadsheets/d/1BIDqLLg5jk3v59G8NlR8rk5xfQDKne0sAvZHSj7TI6I/edit?usp=sharing"",""พระนครศรีอยุธยา!Q177"")+IMPORTRANGE(""https://docs.google.com/spreadsheets/d/1YXvxf8Yu6_rV4hTBrwMqAcAnv6DfhUxh5emyM3CJp_w/edit?usp=sharing"",""เพชรบุรี!Q177"")+IMPORTRA"&amp;"NGE(""https://docs.google.com/spreadsheets/d/19KBlQQs7uwvsao6t2n-KvW3Ax8J8uRRfZPq1zPbXgKc/edit?usp=sharing"",""ระยอง!Q177"")+IMPORTRANGE(""https://docs.google.com/spreadsheets/d/1jQ6P4QcrGM89YfqcC_PxOHGCMq5ezhucwJd8ci-NHng/edit?usp=sharing"",""ราชบุรี!Q17"&amp;"7"")+IMPORTRANGE(""https://docs.google.com/spreadsheets/d/1lufeA2cfFqM-elVq2hznhDzC6Pr7wkJ9ZG_sYNGCMCU/edit?usp=sharing"",""ลพบุรี!Q177"")+IMPORTRANGE(""https://docs.google.com/spreadsheets/d/10oOiF7loTyfsTkbd4MpaIm0HQ9SwB7IYHdIUvt-U1Uc/edit?usp=sharing"""&amp;",""สระแก้ว!Q177"")+IMPORTRANGE(""https://docs.google.com/spreadsheets/d/1xmPlrr1QbdSIKvl1dWUl9K4PjAfSL9oeMr_37QVzcxc/edit?usp=sharing"",""สระบุรี!Q177"")+IMPORTRANGE(""https://docs.google.com/spreadsheets/d/1j51vR6CYVGhABJpv6tkstgok82RLpXieLzW1yOY5rHw/edi"&amp;"t?usp=sharing"",""สิงห์บุรี!Q177"")+IMPORTRANGE(""https://docs.google.com/spreadsheets/d/1H1EalTWKUSzO4Z1-1CwzoDUaVffgrThEBe2sl74kKG0/edit?usp=sharing"",""สุพรรณบุรี!Q177"")+IMPORTRANGE(""https://docs.google.com/spreadsheets/d/1BmIruG_sIrJLYao_Pdr7zVArWsf"&amp;"oBt2692TMi6x_854/edit?usp=sharing"",""อ่างทอง!Q177"")"),0)</f>
        <v>0</v>
      </c>
      <c r="R178" s="77">
        <f ca="1">IFERROR(__xludf.DUMMYFUNCTION("IMPORTRANGE(""https://docs.google.com/spreadsheets/d/13wPX838HrBrQMCywv1BsuMkt4PEKTChp52zj44s2izQ/edit?usp=sharing"",""กาญจนบุรี!R177"")+IMPORTRANGE(""https://docs.google.com/spreadsheets/d/1ddFKvqj1W1NEiWytbGlB1zMx_ykJDVtmfEQ-6-lIUBA/edit?usp=sharing"","&amp;"""จันทบุรี!R177"")+IMPORTRANGE(""https://docs.google.com/spreadsheets/d/1T1PQvRODqOBZk8BRht_U031fIS1beLA0Ub2CEytj2q0/edit?usp=sharing"",""ฉะเชิงเทรา!R177"")+IMPORTRANGE(""https://docs.google.com/spreadsheets/d/11tr1B-Bhyr79v2bkwVh5h_fR-PStkgjlZtkrZpYurG0/"&amp;"edit?usp=sharing"",""ชลบุรี!R177"")+IMPORTRANGE(""https://docs.google.com/spreadsheets/d/1hh-FVnSX0vozXhGluamEcS54Dw9_zqW0N7qJUWgJ0Sw/edit?usp=sharing"",""ชัยนาท!R177"")+IMPORTRANGE(""https://docs.google.com/spreadsheets/d/1jkqa6GXxSacMcY1eN8AHjMNJ_7dDXMJ"&amp;"VRLDlaFSOdPM/edit?usp=sharing"",""ตราด!R177"")+IMPORTRANGE(""https://docs.google.com/spreadsheets/d/18hSgUJ3VwClqi_qtULmmW3cLr0oe3OKaSYoKzdpTsYQ/edit?usp=sharing"",""นครนายก!R177"")+IMPORTRANGE(""https://docs.google.com/spreadsheets/d/1YTZo6WM2dQ6Ix6FSdnL"&amp;"5P7uVnVKu40sxZu975tgG10E/edit?usp=sharing"",""นครปฐม!R177"")+IMPORTRANGE(""https://docs.google.com/spreadsheets/d/1OYoGg4WDg5RIzwGeB10padOxJF9E_Vljuvvct_M7RDo/edit?usp=sharing"",""ปทุมธานี!R177"")+IMPORTRANGE(""https://docs.google.com/spreadsheets/d/1GbCI"&amp;"E4D4wk9FUozzqk7SxfDMxDVBwVmI5zcaVUSzKAc/edit?usp=sharing"",""ประจวบคีรีขันธ์!R177"")+IMPORTRANGE(""https://docs.google.com/spreadsheets/d/1vVf6wykvW_lAyu7Yo9L4hUTqHqIeP_qcVuxCtosJEbg/edit?usp=sharing"",""ปราจีนบุรี!R177"")+IMPORTRANGE(""https://docs.googl"&amp;"e.com/spreadsheets/d/1BIDqLLg5jk3v59G8NlR8rk5xfQDKne0sAvZHSj7TI6I/edit?usp=sharing"",""พระนครศรีอยุธยา!R177"")+IMPORTRANGE(""https://docs.google.com/spreadsheets/d/1YXvxf8Yu6_rV4hTBrwMqAcAnv6DfhUxh5emyM3CJp_w/edit?usp=sharing"",""เพชรบุรี!R177"")+IMPORTRA"&amp;"NGE(""https://docs.google.com/spreadsheets/d/19KBlQQs7uwvsao6t2n-KvW3Ax8J8uRRfZPq1zPbXgKc/edit?usp=sharing"",""ระยอง!R177"")+IMPORTRANGE(""https://docs.google.com/spreadsheets/d/1jQ6P4QcrGM89YfqcC_PxOHGCMq5ezhucwJd8ci-NHng/edit?usp=sharing"",""ราชบุรี!R17"&amp;"7"")+IMPORTRANGE(""https://docs.google.com/spreadsheets/d/1lufeA2cfFqM-elVq2hznhDzC6Pr7wkJ9ZG_sYNGCMCU/edit?usp=sharing"",""ลพบุรี!R177"")+IMPORTRANGE(""https://docs.google.com/spreadsheets/d/10oOiF7loTyfsTkbd4MpaIm0HQ9SwB7IYHdIUvt-U1Uc/edit?usp=sharing"""&amp;",""สระแก้ว!R177"")+IMPORTRANGE(""https://docs.google.com/spreadsheets/d/1xmPlrr1QbdSIKvl1dWUl9K4PjAfSL9oeMr_37QVzcxc/edit?usp=sharing"",""สระบุรี!R177"")+IMPORTRANGE(""https://docs.google.com/spreadsheets/d/1j51vR6CYVGhABJpv6tkstgok82RLpXieLzW1yOY5rHw/edi"&amp;"t?usp=sharing"",""สิงห์บุรี!R177"")+IMPORTRANGE(""https://docs.google.com/spreadsheets/d/1H1EalTWKUSzO4Z1-1CwzoDUaVffgrThEBe2sl74kKG0/edit?usp=sharing"",""สุพรรณบุรี!R177"")+IMPORTRANGE(""https://docs.google.com/spreadsheets/d/1BmIruG_sIrJLYao_Pdr7zVArWsf"&amp;"oBt2692TMi6x_854/edit?usp=sharing"",""อ่างทอง!R177"")"),0)</f>
        <v>0</v>
      </c>
      <c r="S178" s="77">
        <f ca="1">IFERROR(__xludf.DUMMYFUNCTION("IMPORTRANGE(""https://docs.google.com/spreadsheets/d/13wPX838HrBrQMCywv1BsuMkt4PEKTChp52zj44s2izQ/edit?usp=sharing"",""กาญจนบุรี!S177"")+IMPORTRANGE(""https://docs.google.com/spreadsheets/d/1ddFKvqj1W1NEiWytbGlB1zMx_ykJDVtmfEQ-6-lIUBA/edit?usp=sharing"","&amp;"""จันทบุรี!S177"")+IMPORTRANGE(""https://docs.google.com/spreadsheets/d/1T1PQvRODqOBZk8BRht_U031fIS1beLA0Ub2CEytj2q0/edit?usp=sharing"",""ฉะเชิงเทรา!S177"")+IMPORTRANGE(""https://docs.google.com/spreadsheets/d/11tr1B-Bhyr79v2bkwVh5h_fR-PStkgjlZtkrZpYurG0/"&amp;"edit?usp=sharing"",""ชลบุรี!S177"")+IMPORTRANGE(""https://docs.google.com/spreadsheets/d/1hh-FVnSX0vozXhGluamEcS54Dw9_zqW0N7qJUWgJ0Sw/edit?usp=sharing"",""ชัยนาท!S177"")+IMPORTRANGE(""https://docs.google.com/spreadsheets/d/1jkqa6GXxSacMcY1eN8AHjMNJ_7dDXMJ"&amp;"VRLDlaFSOdPM/edit?usp=sharing"",""ตราด!S177"")+IMPORTRANGE(""https://docs.google.com/spreadsheets/d/18hSgUJ3VwClqi_qtULmmW3cLr0oe3OKaSYoKzdpTsYQ/edit?usp=sharing"",""นครนายก!S177"")+IMPORTRANGE(""https://docs.google.com/spreadsheets/d/1YTZo6WM2dQ6Ix6FSdnL"&amp;"5P7uVnVKu40sxZu975tgG10E/edit?usp=sharing"",""นครปฐม!S177"")+IMPORTRANGE(""https://docs.google.com/spreadsheets/d/1OYoGg4WDg5RIzwGeB10padOxJF9E_Vljuvvct_M7RDo/edit?usp=sharing"",""ปทุมธานี!S177"")+IMPORTRANGE(""https://docs.google.com/spreadsheets/d/1GbCI"&amp;"E4D4wk9FUozzqk7SxfDMxDVBwVmI5zcaVUSzKAc/edit?usp=sharing"",""ประจวบคีรีขันธ์!S177"")+IMPORTRANGE(""https://docs.google.com/spreadsheets/d/1vVf6wykvW_lAyu7Yo9L4hUTqHqIeP_qcVuxCtosJEbg/edit?usp=sharing"",""ปราจีนบุรี!S177"")+IMPORTRANGE(""https://docs.googl"&amp;"e.com/spreadsheets/d/1BIDqLLg5jk3v59G8NlR8rk5xfQDKne0sAvZHSj7TI6I/edit?usp=sharing"",""พระนครศรีอยุธยา!S177"")+IMPORTRANGE(""https://docs.google.com/spreadsheets/d/1YXvxf8Yu6_rV4hTBrwMqAcAnv6DfhUxh5emyM3CJp_w/edit?usp=sharing"",""เพชรบุรี!S177"")+IMPORTRA"&amp;"NGE(""https://docs.google.com/spreadsheets/d/19KBlQQs7uwvsao6t2n-KvW3Ax8J8uRRfZPq1zPbXgKc/edit?usp=sharing"",""ระยอง!S177"")+IMPORTRANGE(""https://docs.google.com/spreadsheets/d/1jQ6P4QcrGM89YfqcC_PxOHGCMq5ezhucwJd8ci-NHng/edit?usp=sharing"",""ราชบุรี!S17"&amp;"7"")+IMPORTRANGE(""https://docs.google.com/spreadsheets/d/1lufeA2cfFqM-elVq2hznhDzC6Pr7wkJ9ZG_sYNGCMCU/edit?usp=sharing"",""ลพบุรี!S177"")+IMPORTRANGE(""https://docs.google.com/spreadsheets/d/10oOiF7loTyfsTkbd4MpaIm0HQ9SwB7IYHdIUvt-U1Uc/edit?usp=sharing"""&amp;",""สระแก้ว!S177"")+IMPORTRANGE(""https://docs.google.com/spreadsheets/d/1xmPlrr1QbdSIKvl1dWUl9K4PjAfSL9oeMr_37QVzcxc/edit?usp=sharing"",""สระบุรี!S177"")+IMPORTRANGE(""https://docs.google.com/spreadsheets/d/1j51vR6CYVGhABJpv6tkstgok82RLpXieLzW1yOY5rHw/edi"&amp;"t?usp=sharing"",""สิงห์บุรี!S177"")+IMPORTRANGE(""https://docs.google.com/spreadsheets/d/1H1EalTWKUSzO4Z1-1CwzoDUaVffgrThEBe2sl74kKG0/edit?usp=sharing"",""สุพรรณบุรี!S177"")+IMPORTRANGE(""https://docs.google.com/spreadsheets/d/1BmIruG_sIrJLYao_Pdr7zVArWsf"&amp;"oBt2692TMi6x_854/edit?usp=sharing"",""อ่างทอง!S177"")"),0)</f>
        <v>0</v>
      </c>
      <c r="T178" s="133">
        <f t="shared" ca="1" si="145"/>
        <v>0</v>
      </c>
      <c r="U178" s="133">
        <f t="shared" ca="1" si="146"/>
        <v>0</v>
      </c>
    </row>
    <row r="179" spans="1:21" ht="18.75" x14ac:dyDescent="0.25">
      <c r="A179" s="209"/>
      <c r="B179" s="67"/>
      <c r="C179" s="67"/>
      <c r="D179" s="67"/>
      <c r="E179" s="75" t="s">
        <v>37</v>
      </c>
      <c r="F179" s="67"/>
      <c r="G179" s="69"/>
      <c r="H179" s="218" t="s">
        <v>14</v>
      </c>
      <c r="I179" s="219"/>
      <c r="J179" s="219"/>
      <c r="K179" s="220"/>
      <c r="L179" s="88">
        <f ca="1">IFERROR(__xludf.DUMMYFUNCTION("IMPORTRANGE(""https://docs.google.com/spreadsheets/d/13wPX838HrBrQMCywv1BsuMkt4PEKTChp52zj44s2izQ/edit?usp=sharing"",""กาญจนบุรี!L178"")+IMPORTRANGE(""https://docs.google.com/spreadsheets/d/1ddFKvqj1W1NEiWytbGlB1zMx_ykJDVtmfEQ-6-lIUBA/edit?usp=sharing"","&amp;"""จันทบุรี!L178"")+IMPORTRANGE(""https://docs.google.com/spreadsheets/d/1T1PQvRODqOBZk8BRht_U031fIS1beLA0Ub2CEytj2q0/edit?usp=sharing"",""ฉะเชิงเทรา!L178"")+IMPORTRANGE(""https://docs.google.com/spreadsheets/d/11tr1B-Bhyr79v2bkwVh5h_fR-PStkgjlZtkrZpYurG0/"&amp;"edit?usp=sharing"",""ชลบุรี!L178"")+IMPORTRANGE(""https://docs.google.com/spreadsheets/d/1hh-FVnSX0vozXhGluamEcS54Dw9_zqW0N7qJUWgJ0Sw/edit?usp=sharing"",""ชัยนาท!L178"")+IMPORTRANGE(""https://docs.google.com/spreadsheets/d/1jkqa6GXxSacMcY1eN8AHjMNJ_7dDXMJ"&amp;"VRLDlaFSOdPM/edit?usp=sharing"",""ตราด!L178"")+IMPORTRANGE(""https://docs.google.com/spreadsheets/d/18hSgUJ3VwClqi_qtULmmW3cLr0oe3OKaSYoKzdpTsYQ/edit?usp=sharing"",""นครนายก!L178"")+IMPORTRANGE(""https://docs.google.com/spreadsheets/d/1YTZo6WM2dQ6Ix6FSdnL"&amp;"5P7uVnVKu40sxZu975tgG10E/edit?usp=sharing"",""นครปฐม!L178"")+IMPORTRANGE(""https://docs.google.com/spreadsheets/d/1OYoGg4WDg5RIzwGeB10padOxJF9E_Vljuvvct_M7RDo/edit?usp=sharing"",""ปทุมธานี!L178"")+IMPORTRANGE(""https://docs.google.com/spreadsheets/d/1GbCI"&amp;"E4D4wk9FUozzqk7SxfDMxDVBwVmI5zcaVUSzKAc/edit?usp=sharing"",""ประจวบคีรีขันธ์!L178"")+IMPORTRANGE(""https://docs.google.com/spreadsheets/d/1vVf6wykvW_lAyu7Yo9L4hUTqHqIeP_qcVuxCtosJEbg/edit?usp=sharing"",""ปราจีนบุรี!L178"")+IMPORTRANGE(""https://docs.googl"&amp;"e.com/spreadsheets/d/1BIDqLLg5jk3v59G8NlR8rk5xfQDKne0sAvZHSj7TI6I/edit?usp=sharing"",""พระนครศรีอยุธยา!L178"")+IMPORTRANGE(""https://docs.google.com/spreadsheets/d/1YXvxf8Yu6_rV4hTBrwMqAcAnv6DfhUxh5emyM3CJp_w/edit?usp=sharing"",""เพชรบุรี!L178"")+IMPORTRA"&amp;"NGE(""https://docs.google.com/spreadsheets/d/19KBlQQs7uwvsao6t2n-KvW3Ax8J8uRRfZPq1zPbXgKc/edit?usp=sharing"",""ระยอง!L178"")+IMPORTRANGE(""https://docs.google.com/spreadsheets/d/1jQ6P4QcrGM89YfqcC_PxOHGCMq5ezhucwJd8ci-NHng/edit?usp=sharing"",""ราชบุรี!L17"&amp;"8"")+IMPORTRANGE(""https://docs.google.com/spreadsheets/d/1lufeA2cfFqM-elVq2hznhDzC6Pr7wkJ9ZG_sYNGCMCU/edit?usp=sharing"",""ลพบุรี!L178"")+IMPORTRANGE(""https://docs.google.com/spreadsheets/d/10oOiF7loTyfsTkbd4MpaIm0HQ9SwB7IYHdIUvt-U1Uc/edit?usp=sharing"""&amp;",""สระแก้ว!L178"")+IMPORTRANGE(""https://docs.google.com/spreadsheets/d/1xmPlrr1QbdSIKvl1dWUl9K4PjAfSL9oeMr_37QVzcxc/edit?usp=sharing"",""สระบุรี!L178"")+IMPORTRANGE(""https://docs.google.com/spreadsheets/d/1j51vR6CYVGhABJpv6tkstgok82RLpXieLzW1yOY5rHw/edi"&amp;"t?usp=sharing"",""สิงห์บุรี!L178"")+IMPORTRANGE(""https://docs.google.com/spreadsheets/d/1H1EalTWKUSzO4Z1-1CwzoDUaVffgrThEBe2sl74kKG0/edit?usp=sharing"",""สุพรรณบุรี!L178"")+IMPORTRANGE(""https://docs.google.com/spreadsheets/d/1BmIruG_sIrJLYao_Pdr7zVArWsf"&amp;"oBt2692TMi6x_854/edit?usp=sharing"",""อ่างทอง!L178"")"),372210)</f>
        <v>372210</v>
      </c>
      <c r="M179" s="88">
        <f ca="1">IFERROR(__xludf.DUMMYFUNCTION("IMPORTRANGE(""https://docs.google.com/spreadsheets/d/13wPX838HrBrQMCywv1BsuMkt4PEKTChp52zj44s2izQ/edit?usp=sharing"",""กาญจนบุรี!M178"")+IMPORTRANGE(""https://docs.google.com/spreadsheets/d/1ddFKvqj1W1NEiWytbGlB1zMx_ykJDVtmfEQ-6-lIUBA/edit?usp=sharing"","&amp;"""จันทบุรี!M178"")+IMPORTRANGE(""https://docs.google.com/spreadsheets/d/1T1PQvRODqOBZk8BRht_U031fIS1beLA0Ub2CEytj2q0/edit?usp=sharing"",""ฉะเชิงเทรา!M178"")+IMPORTRANGE(""https://docs.google.com/spreadsheets/d/11tr1B-Bhyr79v2bkwVh5h_fR-PStkgjlZtkrZpYurG0/"&amp;"edit?usp=sharing"",""ชลบุรี!M178"")+IMPORTRANGE(""https://docs.google.com/spreadsheets/d/1hh-FVnSX0vozXhGluamEcS54Dw9_zqW0N7qJUWgJ0Sw/edit?usp=sharing"",""ชัยนาท!M178"")+IMPORTRANGE(""https://docs.google.com/spreadsheets/d/1jkqa6GXxSacMcY1eN8AHjMNJ_7dDXMJ"&amp;"VRLDlaFSOdPM/edit?usp=sharing"",""ตราด!M178"")+IMPORTRANGE(""https://docs.google.com/spreadsheets/d/18hSgUJ3VwClqi_qtULmmW3cLr0oe3OKaSYoKzdpTsYQ/edit?usp=sharing"",""นครนายก!M178"")+IMPORTRANGE(""https://docs.google.com/spreadsheets/d/1YTZo6WM2dQ6Ix6FSdnL"&amp;"5P7uVnVKu40sxZu975tgG10E/edit?usp=sharing"",""นครปฐม!M178"")+IMPORTRANGE(""https://docs.google.com/spreadsheets/d/1OYoGg4WDg5RIzwGeB10padOxJF9E_Vljuvvct_M7RDo/edit?usp=sharing"",""ปทุมธานี!M178"")+IMPORTRANGE(""https://docs.google.com/spreadsheets/d/1GbCI"&amp;"E4D4wk9FUozzqk7SxfDMxDVBwVmI5zcaVUSzKAc/edit?usp=sharing"",""ประจวบคีรีขันธ์!M178"")+IMPORTRANGE(""https://docs.google.com/spreadsheets/d/1vVf6wykvW_lAyu7Yo9L4hUTqHqIeP_qcVuxCtosJEbg/edit?usp=sharing"",""ปราจีนบุรี!M178"")+IMPORTRANGE(""https://docs.googl"&amp;"e.com/spreadsheets/d/1BIDqLLg5jk3v59G8NlR8rk5xfQDKne0sAvZHSj7TI6I/edit?usp=sharing"",""พระนครศรีอยุธยา!M178"")+IMPORTRANGE(""https://docs.google.com/spreadsheets/d/1YXvxf8Yu6_rV4hTBrwMqAcAnv6DfhUxh5emyM3CJp_w/edit?usp=sharing"",""เพชรบุรี!M178"")+IMPORTRA"&amp;"NGE(""https://docs.google.com/spreadsheets/d/19KBlQQs7uwvsao6t2n-KvW3Ax8J8uRRfZPq1zPbXgKc/edit?usp=sharing"",""ระยอง!M178"")+IMPORTRANGE(""https://docs.google.com/spreadsheets/d/1jQ6P4QcrGM89YfqcC_PxOHGCMq5ezhucwJd8ci-NHng/edit?usp=sharing"",""ราชบุรี!M17"&amp;"8"")+IMPORTRANGE(""https://docs.google.com/spreadsheets/d/1lufeA2cfFqM-elVq2hznhDzC6Pr7wkJ9ZG_sYNGCMCU/edit?usp=sharing"",""ลพบุรี!M178"")+IMPORTRANGE(""https://docs.google.com/spreadsheets/d/10oOiF7loTyfsTkbd4MpaIm0HQ9SwB7IYHdIUvt-U1Uc/edit?usp=sharing"""&amp;",""สระแก้ว!M178"")+IMPORTRANGE(""https://docs.google.com/spreadsheets/d/1xmPlrr1QbdSIKvl1dWUl9K4PjAfSL9oeMr_37QVzcxc/edit?usp=sharing"",""สระบุรี!M178"")+IMPORTRANGE(""https://docs.google.com/spreadsheets/d/1j51vR6CYVGhABJpv6tkstgok82RLpXieLzW1yOY5rHw/edi"&amp;"t?usp=sharing"",""สิงห์บุรี!M178"")+IMPORTRANGE(""https://docs.google.com/spreadsheets/d/1H1EalTWKUSzO4Z1-1CwzoDUaVffgrThEBe2sl74kKG0/edit?usp=sharing"",""สุพรรณบุรี!M178"")+IMPORTRANGE(""https://docs.google.com/spreadsheets/d/1BmIruG_sIrJLYao_Pdr7zVArWsf"&amp;"oBt2692TMi6x_854/edit?usp=sharing"",""อ่างทอง!M178"")"),600140)</f>
        <v>600140</v>
      </c>
      <c r="N179" s="88">
        <f ca="1">IFERROR(__xludf.DUMMYFUNCTION("IMPORTRANGE(""https://docs.google.com/spreadsheets/d/13wPX838HrBrQMCywv1BsuMkt4PEKTChp52zj44s2izQ/edit?usp=sharing"",""กาญจนบุรี!N178"")+IMPORTRANGE(""https://docs.google.com/spreadsheets/d/1ddFKvqj1W1NEiWytbGlB1zMx_ykJDVtmfEQ-6-lIUBA/edit?usp=sharing"","&amp;"""จันทบุรี!N178"")+IMPORTRANGE(""https://docs.google.com/spreadsheets/d/1T1PQvRODqOBZk8BRht_U031fIS1beLA0Ub2CEytj2q0/edit?usp=sharing"",""ฉะเชิงเทรา!N178"")+IMPORTRANGE(""https://docs.google.com/spreadsheets/d/11tr1B-Bhyr79v2bkwVh5h_fR-PStkgjlZtkrZpYurG0/"&amp;"edit?usp=sharing"",""ชลบุรี!N178"")+IMPORTRANGE(""https://docs.google.com/spreadsheets/d/1hh-FVnSX0vozXhGluamEcS54Dw9_zqW0N7qJUWgJ0Sw/edit?usp=sharing"",""ชัยนาท!N178"")+IMPORTRANGE(""https://docs.google.com/spreadsheets/d/1jkqa6GXxSacMcY1eN8AHjMNJ_7dDXMJ"&amp;"VRLDlaFSOdPM/edit?usp=sharing"",""ตราด!N178"")+IMPORTRANGE(""https://docs.google.com/spreadsheets/d/18hSgUJ3VwClqi_qtULmmW3cLr0oe3OKaSYoKzdpTsYQ/edit?usp=sharing"",""นครนายก!N178"")+IMPORTRANGE(""https://docs.google.com/spreadsheets/d/1YTZo6WM2dQ6Ix6FSdnL"&amp;"5P7uVnVKu40sxZu975tgG10E/edit?usp=sharing"",""นครปฐม!N178"")+IMPORTRANGE(""https://docs.google.com/spreadsheets/d/1OYoGg4WDg5RIzwGeB10padOxJF9E_Vljuvvct_M7RDo/edit?usp=sharing"",""ปทุมธานี!N178"")+IMPORTRANGE(""https://docs.google.com/spreadsheets/d/1GbCI"&amp;"E4D4wk9FUozzqk7SxfDMxDVBwVmI5zcaVUSzKAc/edit?usp=sharing"",""ประจวบคีรีขันธ์!N178"")+IMPORTRANGE(""https://docs.google.com/spreadsheets/d/1vVf6wykvW_lAyu7Yo9L4hUTqHqIeP_qcVuxCtosJEbg/edit?usp=sharing"",""ปราจีนบุรี!N178"")+IMPORTRANGE(""https://docs.googl"&amp;"e.com/spreadsheets/d/1BIDqLLg5jk3v59G8NlR8rk5xfQDKne0sAvZHSj7TI6I/edit?usp=sharing"",""พระนครศรีอยุธยา!N178"")+IMPORTRANGE(""https://docs.google.com/spreadsheets/d/1YXvxf8Yu6_rV4hTBrwMqAcAnv6DfhUxh5emyM3CJp_w/edit?usp=sharing"",""เพชรบุรี!N178"")+IMPORTRA"&amp;"NGE(""https://docs.google.com/spreadsheets/d/19KBlQQs7uwvsao6t2n-KvW3Ax8J8uRRfZPq1zPbXgKc/edit?usp=sharing"",""ระยอง!N178"")+IMPORTRANGE(""https://docs.google.com/spreadsheets/d/1jQ6P4QcrGM89YfqcC_PxOHGCMq5ezhucwJd8ci-NHng/edit?usp=sharing"",""ราชบุรี!N17"&amp;"8"")+IMPORTRANGE(""https://docs.google.com/spreadsheets/d/1lufeA2cfFqM-elVq2hznhDzC6Pr7wkJ9ZG_sYNGCMCU/edit?usp=sharing"",""ลพบุรี!N178"")+IMPORTRANGE(""https://docs.google.com/spreadsheets/d/10oOiF7loTyfsTkbd4MpaIm0HQ9SwB7IYHdIUvt-U1Uc/edit?usp=sharing"""&amp;",""สระแก้ว!N178"")+IMPORTRANGE(""https://docs.google.com/spreadsheets/d/1xmPlrr1QbdSIKvl1dWUl9K4PjAfSL9oeMr_37QVzcxc/edit?usp=sharing"",""สระบุรี!N178"")+IMPORTRANGE(""https://docs.google.com/spreadsheets/d/1j51vR6CYVGhABJpv6tkstgok82RLpXieLzW1yOY5rHw/edi"&amp;"t?usp=sharing"",""สิงห์บุรี!N178"")+IMPORTRANGE(""https://docs.google.com/spreadsheets/d/1H1EalTWKUSzO4Z1-1CwzoDUaVffgrThEBe2sl74kKG0/edit?usp=sharing"",""สุพรรณบุรี!N178"")+IMPORTRANGE(""https://docs.google.com/spreadsheets/d/1BmIruG_sIrJLYao_Pdr7zVArWsf"&amp;"oBt2692TMi6x_854/edit?usp=sharing"",""อ่างทอง!N178"")"),393903)</f>
        <v>393903</v>
      </c>
      <c r="O179" s="88">
        <f t="shared" ca="1" si="142"/>
        <v>105.82816152172161</v>
      </c>
      <c r="P179" s="88">
        <f t="shared" ca="1" si="143"/>
        <v>65.635185123471189</v>
      </c>
      <c r="Q179" s="131">
        <f ca="1">IFERROR(__xludf.DUMMYFUNCTION("IMPORTRANGE(""https://docs.google.com/spreadsheets/d/13wPX838HrBrQMCywv1BsuMkt4PEKTChp52zj44s2izQ/edit?usp=sharing"",""กาญจนบุรี!Q178"")+IMPORTRANGE(""https://docs.google.com/spreadsheets/d/1ddFKvqj1W1NEiWytbGlB1zMx_ykJDVtmfEQ-6-lIUBA/edit?usp=sharing"","&amp;"""จันทบุรี!Q178"")+IMPORTRANGE(""https://docs.google.com/spreadsheets/d/1T1PQvRODqOBZk8BRht_U031fIS1beLA0Ub2CEytj2q0/edit?usp=sharing"",""ฉะเชิงเทรา!Q178"")+IMPORTRANGE(""https://docs.google.com/spreadsheets/d/11tr1B-Bhyr79v2bkwVh5h_fR-PStkgjlZtkrZpYurG0/"&amp;"edit?usp=sharing"",""ชลบุรี!Q178"")+IMPORTRANGE(""https://docs.google.com/spreadsheets/d/1hh-FVnSX0vozXhGluamEcS54Dw9_zqW0N7qJUWgJ0Sw/edit?usp=sharing"",""ชัยนาท!Q178"")+IMPORTRANGE(""https://docs.google.com/spreadsheets/d/1jkqa6GXxSacMcY1eN8AHjMNJ_7dDXMJ"&amp;"VRLDlaFSOdPM/edit?usp=sharing"",""ตราด!Q178"")+IMPORTRANGE(""https://docs.google.com/spreadsheets/d/18hSgUJ3VwClqi_qtULmmW3cLr0oe3OKaSYoKzdpTsYQ/edit?usp=sharing"",""นครนายก!Q178"")+IMPORTRANGE(""https://docs.google.com/spreadsheets/d/1YTZo6WM2dQ6Ix6FSdnL"&amp;"5P7uVnVKu40sxZu975tgG10E/edit?usp=sharing"",""นครปฐม!Q178"")+IMPORTRANGE(""https://docs.google.com/spreadsheets/d/1OYoGg4WDg5RIzwGeB10padOxJF9E_Vljuvvct_M7RDo/edit?usp=sharing"",""ปทุมธานี!Q178"")+IMPORTRANGE(""https://docs.google.com/spreadsheets/d/1GbCI"&amp;"E4D4wk9FUozzqk7SxfDMxDVBwVmI5zcaVUSzKAc/edit?usp=sharing"",""ประจวบคีรีขันธ์!Q178"")+IMPORTRANGE(""https://docs.google.com/spreadsheets/d/1vVf6wykvW_lAyu7Yo9L4hUTqHqIeP_qcVuxCtosJEbg/edit?usp=sharing"",""ปราจีนบุรี!Q178"")+IMPORTRANGE(""https://docs.googl"&amp;"e.com/spreadsheets/d/1BIDqLLg5jk3v59G8NlR8rk5xfQDKne0sAvZHSj7TI6I/edit?usp=sharing"",""พระนครศรีอยุธยา!Q178"")+IMPORTRANGE(""https://docs.google.com/spreadsheets/d/1YXvxf8Yu6_rV4hTBrwMqAcAnv6DfhUxh5emyM3CJp_w/edit?usp=sharing"",""เพชรบุรี!Q178"")+IMPORTRA"&amp;"NGE(""https://docs.google.com/spreadsheets/d/19KBlQQs7uwvsao6t2n-KvW3Ax8J8uRRfZPq1zPbXgKc/edit?usp=sharing"",""ระยอง!Q178"")+IMPORTRANGE(""https://docs.google.com/spreadsheets/d/1jQ6P4QcrGM89YfqcC_PxOHGCMq5ezhucwJd8ci-NHng/edit?usp=sharing"",""ราชบุรี!Q17"&amp;"8"")+IMPORTRANGE(""https://docs.google.com/spreadsheets/d/1lufeA2cfFqM-elVq2hznhDzC6Pr7wkJ9ZG_sYNGCMCU/edit?usp=sharing"",""ลพบุรี!Q178"")+IMPORTRANGE(""https://docs.google.com/spreadsheets/d/10oOiF7loTyfsTkbd4MpaIm0HQ9SwB7IYHdIUvt-U1Uc/edit?usp=sharing"""&amp;",""สระแก้ว!Q178"")+IMPORTRANGE(""https://docs.google.com/spreadsheets/d/1xmPlrr1QbdSIKvl1dWUl9K4PjAfSL9oeMr_37QVzcxc/edit?usp=sharing"",""สระบุรี!Q178"")+IMPORTRANGE(""https://docs.google.com/spreadsheets/d/1j51vR6CYVGhABJpv6tkstgok82RLpXieLzW1yOY5rHw/edi"&amp;"t?usp=sharing"",""สิงห์บุรี!Q178"")+IMPORTRANGE(""https://docs.google.com/spreadsheets/d/1H1EalTWKUSzO4Z1-1CwzoDUaVffgrThEBe2sl74kKG0/edit?usp=sharing"",""สุพรรณบุรี!Q178"")+IMPORTRANGE(""https://docs.google.com/spreadsheets/d/1BmIruG_sIrJLYao_Pdr7zVArWsf"&amp;"oBt2692TMi6x_854/edit?usp=sharing"",""อ่างทอง!Q178"")"),0)</f>
        <v>0</v>
      </c>
      <c r="R179" s="132">
        <f ca="1">IFERROR(__xludf.DUMMYFUNCTION("IMPORTRANGE(""https://docs.google.com/spreadsheets/d/13wPX838HrBrQMCywv1BsuMkt4PEKTChp52zj44s2izQ/edit?usp=sharing"",""กาญจนบุรี!R178"")+IMPORTRANGE(""https://docs.google.com/spreadsheets/d/1ddFKvqj1W1NEiWytbGlB1zMx_ykJDVtmfEQ-6-lIUBA/edit?usp=sharing"","&amp;"""จันทบุรี!R178"")+IMPORTRANGE(""https://docs.google.com/spreadsheets/d/1T1PQvRODqOBZk8BRht_U031fIS1beLA0Ub2CEytj2q0/edit?usp=sharing"",""ฉะเชิงเทรา!R178"")+IMPORTRANGE(""https://docs.google.com/spreadsheets/d/11tr1B-Bhyr79v2bkwVh5h_fR-PStkgjlZtkrZpYurG0/"&amp;"edit?usp=sharing"",""ชลบุรี!R178"")+IMPORTRANGE(""https://docs.google.com/spreadsheets/d/1hh-FVnSX0vozXhGluamEcS54Dw9_zqW0N7qJUWgJ0Sw/edit?usp=sharing"",""ชัยนาท!R178"")+IMPORTRANGE(""https://docs.google.com/spreadsheets/d/1jkqa6GXxSacMcY1eN8AHjMNJ_7dDXMJ"&amp;"VRLDlaFSOdPM/edit?usp=sharing"",""ตราด!R178"")+IMPORTRANGE(""https://docs.google.com/spreadsheets/d/18hSgUJ3VwClqi_qtULmmW3cLr0oe3OKaSYoKzdpTsYQ/edit?usp=sharing"",""นครนายก!R178"")+IMPORTRANGE(""https://docs.google.com/spreadsheets/d/1YTZo6WM2dQ6Ix6FSdnL"&amp;"5P7uVnVKu40sxZu975tgG10E/edit?usp=sharing"",""นครปฐม!R178"")+IMPORTRANGE(""https://docs.google.com/spreadsheets/d/1OYoGg4WDg5RIzwGeB10padOxJF9E_Vljuvvct_M7RDo/edit?usp=sharing"",""ปทุมธานี!R178"")+IMPORTRANGE(""https://docs.google.com/spreadsheets/d/1GbCI"&amp;"E4D4wk9FUozzqk7SxfDMxDVBwVmI5zcaVUSzKAc/edit?usp=sharing"",""ประจวบคีรีขันธ์!R178"")+IMPORTRANGE(""https://docs.google.com/spreadsheets/d/1vVf6wykvW_lAyu7Yo9L4hUTqHqIeP_qcVuxCtosJEbg/edit?usp=sharing"",""ปราจีนบุรี!R178"")+IMPORTRANGE(""https://docs.googl"&amp;"e.com/spreadsheets/d/1BIDqLLg5jk3v59G8NlR8rk5xfQDKne0sAvZHSj7TI6I/edit?usp=sharing"",""พระนครศรีอยุธยา!R178"")+IMPORTRANGE(""https://docs.google.com/spreadsheets/d/1YXvxf8Yu6_rV4hTBrwMqAcAnv6DfhUxh5emyM3CJp_w/edit?usp=sharing"",""เพชรบุรี!R178"")+IMPORTRA"&amp;"NGE(""https://docs.google.com/spreadsheets/d/19KBlQQs7uwvsao6t2n-KvW3Ax8J8uRRfZPq1zPbXgKc/edit?usp=sharing"",""ระยอง!R178"")+IMPORTRANGE(""https://docs.google.com/spreadsheets/d/1jQ6P4QcrGM89YfqcC_PxOHGCMq5ezhucwJd8ci-NHng/edit?usp=sharing"",""ราชบุรี!R17"&amp;"8"")+IMPORTRANGE(""https://docs.google.com/spreadsheets/d/1lufeA2cfFqM-elVq2hznhDzC6Pr7wkJ9ZG_sYNGCMCU/edit?usp=sharing"",""ลพบุรี!R178"")+IMPORTRANGE(""https://docs.google.com/spreadsheets/d/10oOiF7loTyfsTkbd4MpaIm0HQ9SwB7IYHdIUvt-U1Uc/edit?usp=sharing"""&amp;",""สระแก้ว!R178"")+IMPORTRANGE(""https://docs.google.com/spreadsheets/d/1xmPlrr1QbdSIKvl1dWUl9K4PjAfSL9oeMr_37QVzcxc/edit?usp=sharing"",""สระบุรี!R178"")+IMPORTRANGE(""https://docs.google.com/spreadsheets/d/1j51vR6CYVGhABJpv6tkstgok82RLpXieLzW1yOY5rHw/edi"&amp;"t?usp=sharing"",""สิงห์บุรี!R178"")+IMPORTRANGE(""https://docs.google.com/spreadsheets/d/1H1EalTWKUSzO4Z1-1CwzoDUaVffgrThEBe2sl74kKG0/edit?usp=sharing"",""สุพรรณบุรี!R178"")+IMPORTRANGE(""https://docs.google.com/spreadsheets/d/1BmIruG_sIrJLYao_Pdr7zVArWsf"&amp;"oBt2692TMi6x_854/edit?usp=sharing"",""อ่างทอง!R178"")"),0)</f>
        <v>0</v>
      </c>
      <c r="S179" s="132">
        <f ca="1">IFERROR(__xludf.DUMMYFUNCTION("IMPORTRANGE(""https://docs.google.com/spreadsheets/d/13wPX838HrBrQMCywv1BsuMkt4PEKTChp52zj44s2izQ/edit?usp=sharing"",""กาญจนบุรี!S178"")+IMPORTRANGE(""https://docs.google.com/spreadsheets/d/1ddFKvqj1W1NEiWytbGlB1zMx_ykJDVtmfEQ-6-lIUBA/edit?usp=sharing"","&amp;"""จันทบุรี!S178"")+IMPORTRANGE(""https://docs.google.com/spreadsheets/d/1T1PQvRODqOBZk8BRht_U031fIS1beLA0Ub2CEytj2q0/edit?usp=sharing"",""ฉะเชิงเทรา!S178"")+IMPORTRANGE(""https://docs.google.com/spreadsheets/d/11tr1B-Bhyr79v2bkwVh5h_fR-PStkgjlZtkrZpYurG0/"&amp;"edit?usp=sharing"",""ชลบุรี!S178"")+IMPORTRANGE(""https://docs.google.com/spreadsheets/d/1hh-FVnSX0vozXhGluamEcS54Dw9_zqW0N7qJUWgJ0Sw/edit?usp=sharing"",""ชัยนาท!S178"")+IMPORTRANGE(""https://docs.google.com/spreadsheets/d/1jkqa6GXxSacMcY1eN8AHjMNJ_7dDXMJ"&amp;"VRLDlaFSOdPM/edit?usp=sharing"",""ตราด!S178"")+IMPORTRANGE(""https://docs.google.com/spreadsheets/d/18hSgUJ3VwClqi_qtULmmW3cLr0oe3OKaSYoKzdpTsYQ/edit?usp=sharing"",""นครนายก!S178"")+IMPORTRANGE(""https://docs.google.com/spreadsheets/d/1YTZo6WM2dQ6Ix6FSdnL"&amp;"5P7uVnVKu40sxZu975tgG10E/edit?usp=sharing"",""นครปฐม!S178"")+IMPORTRANGE(""https://docs.google.com/spreadsheets/d/1OYoGg4WDg5RIzwGeB10padOxJF9E_Vljuvvct_M7RDo/edit?usp=sharing"",""ปทุมธานี!S178"")+IMPORTRANGE(""https://docs.google.com/spreadsheets/d/1GbCI"&amp;"E4D4wk9FUozzqk7SxfDMxDVBwVmI5zcaVUSzKAc/edit?usp=sharing"",""ประจวบคีรีขันธ์!S178"")+IMPORTRANGE(""https://docs.google.com/spreadsheets/d/1vVf6wykvW_lAyu7Yo9L4hUTqHqIeP_qcVuxCtosJEbg/edit?usp=sharing"",""ปราจีนบุรี!S178"")+IMPORTRANGE(""https://docs.googl"&amp;"e.com/spreadsheets/d/1BIDqLLg5jk3v59G8NlR8rk5xfQDKne0sAvZHSj7TI6I/edit?usp=sharing"",""พระนครศรีอยุธยา!S178"")+IMPORTRANGE(""https://docs.google.com/spreadsheets/d/1YXvxf8Yu6_rV4hTBrwMqAcAnv6DfhUxh5emyM3CJp_w/edit?usp=sharing"",""เพชรบุรี!S178"")+IMPORTRA"&amp;"NGE(""https://docs.google.com/spreadsheets/d/19KBlQQs7uwvsao6t2n-KvW3Ax8J8uRRfZPq1zPbXgKc/edit?usp=sharing"",""ระยอง!S178"")+IMPORTRANGE(""https://docs.google.com/spreadsheets/d/1jQ6P4QcrGM89YfqcC_PxOHGCMq5ezhucwJd8ci-NHng/edit?usp=sharing"",""ราชบุรี!S17"&amp;"8"")+IMPORTRANGE(""https://docs.google.com/spreadsheets/d/1lufeA2cfFqM-elVq2hznhDzC6Pr7wkJ9ZG_sYNGCMCU/edit?usp=sharing"",""ลพบุรี!S178"")+IMPORTRANGE(""https://docs.google.com/spreadsheets/d/10oOiF7loTyfsTkbd4MpaIm0HQ9SwB7IYHdIUvt-U1Uc/edit?usp=sharing"""&amp;",""สระแก้ว!S178"")+IMPORTRANGE(""https://docs.google.com/spreadsheets/d/1xmPlrr1QbdSIKvl1dWUl9K4PjAfSL9oeMr_37QVzcxc/edit?usp=sharing"",""สระบุรี!S178"")+IMPORTRANGE(""https://docs.google.com/spreadsheets/d/1j51vR6CYVGhABJpv6tkstgok82RLpXieLzW1yOY5rHw/edi"&amp;"t?usp=sharing"",""สิงห์บุรี!S178"")+IMPORTRANGE(""https://docs.google.com/spreadsheets/d/1H1EalTWKUSzO4Z1-1CwzoDUaVffgrThEBe2sl74kKG0/edit?usp=sharing"",""สุพรรณบุรี!S178"")+IMPORTRANGE(""https://docs.google.com/spreadsheets/d/1BmIruG_sIrJLYao_Pdr7zVArWsf"&amp;"oBt2692TMi6x_854/edit?usp=sharing"",""อ่างทอง!S178"")"),0)</f>
        <v>0</v>
      </c>
      <c r="T179" s="132">
        <f t="shared" ca="1" si="145"/>
        <v>0</v>
      </c>
      <c r="U179" s="132">
        <f t="shared" ca="1" si="146"/>
        <v>0</v>
      </c>
    </row>
    <row r="180" spans="1:21" ht="18.75" x14ac:dyDescent="0.25">
      <c r="A180" s="209"/>
      <c r="B180" s="67"/>
      <c r="C180" s="67"/>
      <c r="D180" s="68" t="s">
        <v>23</v>
      </c>
      <c r="E180" s="67"/>
      <c r="F180" s="67"/>
      <c r="G180" s="69"/>
      <c r="H180" s="221" t="s">
        <v>14</v>
      </c>
      <c r="I180" s="219"/>
      <c r="J180" s="219"/>
      <c r="K180" s="220"/>
      <c r="L180" s="88">
        <f t="shared" ref="L180:N180" ca="1" si="153">L181+L182</f>
        <v>0</v>
      </c>
      <c r="M180" s="88">
        <f t="shared" ca="1" si="153"/>
        <v>0</v>
      </c>
      <c r="N180" s="88">
        <f t="shared" ca="1" si="153"/>
        <v>0</v>
      </c>
      <c r="O180" s="88">
        <f t="shared" ca="1" si="142"/>
        <v>0</v>
      </c>
      <c r="P180" s="88">
        <f t="shared" ca="1" si="143"/>
        <v>0</v>
      </c>
      <c r="Q180" s="131">
        <f t="shared" ref="Q180:S180" ca="1" si="154">Q181+Q182</f>
        <v>0</v>
      </c>
      <c r="R180" s="132">
        <f t="shared" ca="1" si="154"/>
        <v>0</v>
      </c>
      <c r="S180" s="132">
        <f t="shared" ca="1" si="154"/>
        <v>0</v>
      </c>
      <c r="T180" s="132">
        <f t="shared" ca="1" si="145"/>
        <v>0</v>
      </c>
      <c r="U180" s="132">
        <f t="shared" ca="1" si="146"/>
        <v>0</v>
      </c>
    </row>
    <row r="181" spans="1:21" ht="18.75" x14ac:dyDescent="0.25">
      <c r="A181" s="209"/>
      <c r="B181" s="67"/>
      <c r="C181" s="67"/>
      <c r="D181" s="67"/>
      <c r="E181" s="75" t="s">
        <v>20</v>
      </c>
      <c r="F181" s="67"/>
      <c r="G181" s="69"/>
      <c r="H181" s="218" t="s">
        <v>14</v>
      </c>
      <c r="I181" s="219"/>
      <c r="J181" s="219"/>
      <c r="K181" s="220"/>
      <c r="L181" s="88">
        <f ca="1">IFERROR(__xludf.DUMMYFUNCTION("IMPORTRANGE(""https://docs.google.com/spreadsheets/d/13wPX838HrBrQMCywv1BsuMkt4PEKTChp52zj44s2izQ/edit?usp=sharing"",""กาญจนบุรี!L180"")+IMPORTRANGE(""https://docs.google.com/spreadsheets/d/1ddFKvqj1W1NEiWytbGlB1zMx_ykJDVtmfEQ-6-lIUBA/edit?usp=sharing"","&amp;"""จันทบุรี!L180"")+IMPORTRANGE(""https://docs.google.com/spreadsheets/d/1T1PQvRODqOBZk8BRht_U031fIS1beLA0Ub2CEytj2q0/edit?usp=sharing"",""ฉะเชิงเทรา!L180"")+IMPORTRANGE(""https://docs.google.com/spreadsheets/d/11tr1B-Bhyr79v2bkwVh5h_fR-PStkgjlZtkrZpYurG0/"&amp;"edit?usp=sharing"",""ชลบุรี!L180"")+IMPORTRANGE(""https://docs.google.com/spreadsheets/d/1hh-FVnSX0vozXhGluamEcS54Dw9_zqW0N7qJUWgJ0Sw/edit?usp=sharing"",""ชัยนาท!L180"")+IMPORTRANGE(""https://docs.google.com/spreadsheets/d/1jkqa6GXxSacMcY1eN8AHjMNJ_7dDXMJ"&amp;"VRLDlaFSOdPM/edit?usp=sharing"",""ตราด!L180"")+IMPORTRANGE(""https://docs.google.com/spreadsheets/d/18hSgUJ3VwClqi_qtULmmW3cLr0oe3OKaSYoKzdpTsYQ/edit?usp=sharing"",""นครนายก!L180"")+IMPORTRANGE(""https://docs.google.com/spreadsheets/d/1YTZo6WM2dQ6Ix6FSdnL"&amp;"5P7uVnVKu40sxZu975tgG10E/edit?usp=sharing"",""นครปฐม!L180"")+IMPORTRANGE(""https://docs.google.com/spreadsheets/d/1OYoGg4WDg5RIzwGeB10padOxJF9E_Vljuvvct_M7RDo/edit?usp=sharing"",""ปทุมธานี!L180"")+IMPORTRANGE(""https://docs.google.com/spreadsheets/d/1GbCI"&amp;"E4D4wk9FUozzqk7SxfDMxDVBwVmI5zcaVUSzKAc/edit?usp=sharing"",""ประจวบคีรีขันธ์!L180"")+IMPORTRANGE(""https://docs.google.com/spreadsheets/d/1vVf6wykvW_lAyu7Yo9L4hUTqHqIeP_qcVuxCtosJEbg/edit?usp=sharing"",""ปราจีนบุรี!L180"")+IMPORTRANGE(""https://docs.googl"&amp;"e.com/spreadsheets/d/1BIDqLLg5jk3v59G8NlR8rk5xfQDKne0sAvZHSj7TI6I/edit?usp=sharing"",""พระนครศรีอยุธยา!L180"")+IMPORTRANGE(""https://docs.google.com/spreadsheets/d/1YXvxf8Yu6_rV4hTBrwMqAcAnv6DfhUxh5emyM3CJp_w/edit?usp=sharing"",""เพชรบุรี!L180"")+IMPORTRA"&amp;"NGE(""https://docs.google.com/spreadsheets/d/19KBlQQs7uwvsao6t2n-KvW3Ax8J8uRRfZPq1zPbXgKc/edit?usp=sharing"",""ระยอง!L180"")+IMPORTRANGE(""https://docs.google.com/spreadsheets/d/1jQ6P4QcrGM89YfqcC_PxOHGCMq5ezhucwJd8ci-NHng/edit?usp=sharing"",""ราชบุรี!L18"&amp;"0"")+IMPORTRANGE(""https://docs.google.com/spreadsheets/d/1lufeA2cfFqM-elVq2hznhDzC6Pr7wkJ9ZG_sYNGCMCU/edit?usp=sharing"",""ลพบุรี!L180"")+IMPORTRANGE(""https://docs.google.com/spreadsheets/d/10oOiF7loTyfsTkbd4MpaIm0HQ9SwB7IYHdIUvt-U1Uc/edit?usp=sharing"""&amp;",""สระแก้ว!L180"")+IMPORTRANGE(""https://docs.google.com/spreadsheets/d/1xmPlrr1QbdSIKvl1dWUl9K4PjAfSL9oeMr_37QVzcxc/edit?usp=sharing"",""สระบุรี!L180"")+IMPORTRANGE(""https://docs.google.com/spreadsheets/d/1j51vR6CYVGhABJpv6tkstgok82RLpXieLzW1yOY5rHw/edi"&amp;"t?usp=sharing"",""สิงห์บุรี!L180"")+IMPORTRANGE(""https://docs.google.com/spreadsheets/d/1H1EalTWKUSzO4Z1-1CwzoDUaVffgrThEBe2sl74kKG0/edit?usp=sharing"",""สุพรรณบุรี!L180"")+IMPORTRANGE(""https://docs.google.com/spreadsheets/d/1BmIruG_sIrJLYao_Pdr7zVArWsf"&amp;"oBt2692TMi6x_854/edit?usp=sharing"",""อ่างทอง!L180"")"),0)</f>
        <v>0</v>
      </c>
      <c r="M181" s="88">
        <f ca="1">IFERROR(__xludf.DUMMYFUNCTION("IMPORTRANGE(""https://docs.google.com/spreadsheets/d/13wPX838HrBrQMCywv1BsuMkt4PEKTChp52zj44s2izQ/edit?usp=sharing"",""กาญจนบุรี!M180"")+IMPORTRANGE(""https://docs.google.com/spreadsheets/d/1ddFKvqj1W1NEiWytbGlB1zMx_ykJDVtmfEQ-6-lIUBA/edit?usp=sharing"","&amp;"""จันทบุรี!M180"")+IMPORTRANGE(""https://docs.google.com/spreadsheets/d/1T1PQvRODqOBZk8BRht_U031fIS1beLA0Ub2CEytj2q0/edit?usp=sharing"",""ฉะเชิงเทรา!M180"")+IMPORTRANGE(""https://docs.google.com/spreadsheets/d/11tr1B-Bhyr79v2bkwVh5h_fR-PStkgjlZtkrZpYurG0/"&amp;"edit?usp=sharing"",""ชลบุรี!M180"")+IMPORTRANGE(""https://docs.google.com/spreadsheets/d/1hh-FVnSX0vozXhGluamEcS54Dw9_zqW0N7qJUWgJ0Sw/edit?usp=sharing"",""ชัยนาท!M180"")+IMPORTRANGE(""https://docs.google.com/spreadsheets/d/1jkqa6GXxSacMcY1eN8AHjMNJ_7dDXMJ"&amp;"VRLDlaFSOdPM/edit?usp=sharing"",""ตราด!M180"")+IMPORTRANGE(""https://docs.google.com/spreadsheets/d/18hSgUJ3VwClqi_qtULmmW3cLr0oe3OKaSYoKzdpTsYQ/edit?usp=sharing"",""นครนายก!M180"")+IMPORTRANGE(""https://docs.google.com/spreadsheets/d/1YTZo6WM2dQ6Ix6FSdnL"&amp;"5P7uVnVKu40sxZu975tgG10E/edit?usp=sharing"",""นครปฐม!M180"")+IMPORTRANGE(""https://docs.google.com/spreadsheets/d/1OYoGg4WDg5RIzwGeB10padOxJF9E_Vljuvvct_M7RDo/edit?usp=sharing"",""ปทุมธานี!M180"")+IMPORTRANGE(""https://docs.google.com/spreadsheets/d/1GbCI"&amp;"E4D4wk9FUozzqk7SxfDMxDVBwVmI5zcaVUSzKAc/edit?usp=sharing"",""ประจวบคีรีขันธ์!M180"")+IMPORTRANGE(""https://docs.google.com/spreadsheets/d/1vVf6wykvW_lAyu7Yo9L4hUTqHqIeP_qcVuxCtosJEbg/edit?usp=sharing"",""ปราจีนบุรี!M180"")+IMPORTRANGE(""https://docs.googl"&amp;"e.com/spreadsheets/d/1BIDqLLg5jk3v59G8NlR8rk5xfQDKne0sAvZHSj7TI6I/edit?usp=sharing"",""พระนครศรีอยุธยา!M180"")+IMPORTRANGE(""https://docs.google.com/spreadsheets/d/1YXvxf8Yu6_rV4hTBrwMqAcAnv6DfhUxh5emyM3CJp_w/edit?usp=sharing"",""เพชรบุรี!M180"")+IMPORTRA"&amp;"NGE(""https://docs.google.com/spreadsheets/d/19KBlQQs7uwvsao6t2n-KvW3Ax8J8uRRfZPq1zPbXgKc/edit?usp=sharing"",""ระยอง!M180"")+IMPORTRANGE(""https://docs.google.com/spreadsheets/d/1jQ6P4QcrGM89YfqcC_PxOHGCMq5ezhucwJd8ci-NHng/edit?usp=sharing"",""ราชบุรี!M18"&amp;"0"")+IMPORTRANGE(""https://docs.google.com/spreadsheets/d/1lufeA2cfFqM-elVq2hznhDzC6Pr7wkJ9ZG_sYNGCMCU/edit?usp=sharing"",""ลพบุรี!M180"")+IMPORTRANGE(""https://docs.google.com/spreadsheets/d/10oOiF7loTyfsTkbd4MpaIm0HQ9SwB7IYHdIUvt-U1Uc/edit?usp=sharing"""&amp;",""สระแก้ว!M180"")+IMPORTRANGE(""https://docs.google.com/spreadsheets/d/1xmPlrr1QbdSIKvl1dWUl9K4PjAfSL9oeMr_37QVzcxc/edit?usp=sharing"",""สระบุรี!M180"")+IMPORTRANGE(""https://docs.google.com/spreadsheets/d/1j51vR6CYVGhABJpv6tkstgok82RLpXieLzW1yOY5rHw/edi"&amp;"t?usp=sharing"",""สิงห์บุรี!M180"")+IMPORTRANGE(""https://docs.google.com/spreadsheets/d/1H1EalTWKUSzO4Z1-1CwzoDUaVffgrThEBe2sl74kKG0/edit?usp=sharing"",""สุพรรณบุรี!M180"")+IMPORTRANGE(""https://docs.google.com/spreadsheets/d/1BmIruG_sIrJLYao_Pdr7zVArWsf"&amp;"oBt2692TMi6x_854/edit?usp=sharing"",""อ่างทอง!M180"")"),0)</f>
        <v>0</v>
      </c>
      <c r="N181" s="88">
        <f ca="1">IFERROR(__xludf.DUMMYFUNCTION("IMPORTRANGE(""https://docs.google.com/spreadsheets/d/13wPX838HrBrQMCywv1BsuMkt4PEKTChp52zj44s2izQ/edit?usp=sharing"",""กาญจนบุรี!N180"")+IMPORTRANGE(""https://docs.google.com/spreadsheets/d/1ddFKvqj1W1NEiWytbGlB1zMx_ykJDVtmfEQ-6-lIUBA/edit?usp=sharing"","&amp;"""จันทบุรี!N180"")+IMPORTRANGE(""https://docs.google.com/spreadsheets/d/1T1PQvRODqOBZk8BRht_U031fIS1beLA0Ub2CEytj2q0/edit?usp=sharing"",""ฉะเชิงเทรา!N180"")+IMPORTRANGE(""https://docs.google.com/spreadsheets/d/11tr1B-Bhyr79v2bkwVh5h_fR-PStkgjlZtkrZpYurG0/"&amp;"edit?usp=sharing"",""ชลบุรี!N180"")+IMPORTRANGE(""https://docs.google.com/spreadsheets/d/1hh-FVnSX0vozXhGluamEcS54Dw9_zqW0N7qJUWgJ0Sw/edit?usp=sharing"",""ชัยนาท!N180"")+IMPORTRANGE(""https://docs.google.com/spreadsheets/d/1jkqa6GXxSacMcY1eN8AHjMNJ_7dDXMJ"&amp;"VRLDlaFSOdPM/edit?usp=sharing"",""ตราด!N180"")+IMPORTRANGE(""https://docs.google.com/spreadsheets/d/18hSgUJ3VwClqi_qtULmmW3cLr0oe3OKaSYoKzdpTsYQ/edit?usp=sharing"",""นครนายก!N180"")+IMPORTRANGE(""https://docs.google.com/spreadsheets/d/1YTZo6WM2dQ6Ix6FSdnL"&amp;"5P7uVnVKu40sxZu975tgG10E/edit?usp=sharing"",""นครปฐม!N180"")+IMPORTRANGE(""https://docs.google.com/spreadsheets/d/1OYoGg4WDg5RIzwGeB10padOxJF9E_Vljuvvct_M7RDo/edit?usp=sharing"",""ปทุมธานี!N180"")+IMPORTRANGE(""https://docs.google.com/spreadsheets/d/1GbCI"&amp;"E4D4wk9FUozzqk7SxfDMxDVBwVmI5zcaVUSzKAc/edit?usp=sharing"",""ประจวบคีรีขันธ์!N180"")+IMPORTRANGE(""https://docs.google.com/spreadsheets/d/1vVf6wykvW_lAyu7Yo9L4hUTqHqIeP_qcVuxCtosJEbg/edit?usp=sharing"",""ปราจีนบุรี!N180"")+IMPORTRANGE(""https://docs.googl"&amp;"e.com/spreadsheets/d/1BIDqLLg5jk3v59G8NlR8rk5xfQDKne0sAvZHSj7TI6I/edit?usp=sharing"",""พระนครศรีอยุธยา!N180"")+IMPORTRANGE(""https://docs.google.com/spreadsheets/d/1YXvxf8Yu6_rV4hTBrwMqAcAnv6DfhUxh5emyM3CJp_w/edit?usp=sharing"",""เพชรบุรี!N180"")+IMPORTRA"&amp;"NGE(""https://docs.google.com/spreadsheets/d/19KBlQQs7uwvsao6t2n-KvW3Ax8J8uRRfZPq1zPbXgKc/edit?usp=sharing"",""ระยอง!N180"")+IMPORTRANGE(""https://docs.google.com/spreadsheets/d/1jQ6P4QcrGM89YfqcC_PxOHGCMq5ezhucwJd8ci-NHng/edit?usp=sharing"",""ราชบุรี!N18"&amp;"0"")+IMPORTRANGE(""https://docs.google.com/spreadsheets/d/1lufeA2cfFqM-elVq2hznhDzC6Pr7wkJ9ZG_sYNGCMCU/edit?usp=sharing"",""ลพบุรี!N180"")+IMPORTRANGE(""https://docs.google.com/spreadsheets/d/10oOiF7loTyfsTkbd4MpaIm0HQ9SwB7IYHdIUvt-U1Uc/edit?usp=sharing"""&amp;",""สระแก้ว!N180"")+IMPORTRANGE(""https://docs.google.com/spreadsheets/d/1xmPlrr1QbdSIKvl1dWUl9K4PjAfSL9oeMr_37QVzcxc/edit?usp=sharing"",""สระบุรี!N180"")+IMPORTRANGE(""https://docs.google.com/spreadsheets/d/1j51vR6CYVGhABJpv6tkstgok82RLpXieLzW1yOY5rHw/edi"&amp;"t?usp=sharing"",""สิงห์บุรี!N180"")+IMPORTRANGE(""https://docs.google.com/spreadsheets/d/1H1EalTWKUSzO4Z1-1CwzoDUaVffgrThEBe2sl74kKG0/edit?usp=sharing"",""สุพรรณบุรี!N180"")+IMPORTRANGE(""https://docs.google.com/spreadsheets/d/1BmIruG_sIrJLYao_Pdr7zVArWsf"&amp;"oBt2692TMi6x_854/edit?usp=sharing"",""อ่างทอง!N180"")"),0)</f>
        <v>0</v>
      </c>
      <c r="O181" s="88">
        <f t="shared" ca="1" si="142"/>
        <v>0</v>
      </c>
      <c r="P181" s="88">
        <f t="shared" ca="1" si="143"/>
        <v>0</v>
      </c>
      <c r="Q181" s="76">
        <f ca="1">IFERROR(__xludf.DUMMYFUNCTION("IMPORTRANGE(""https://docs.google.com/spreadsheets/d/13wPX838HrBrQMCywv1BsuMkt4PEKTChp52zj44s2izQ/edit?usp=sharing"",""กาญจนบุรี!Q180"")+IMPORTRANGE(""https://docs.google.com/spreadsheets/d/1ddFKvqj1W1NEiWytbGlB1zMx_ykJDVtmfEQ-6-lIUBA/edit?usp=sharing"","&amp;"""จันทบุรี!Q180"")+IMPORTRANGE(""https://docs.google.com/spreadsheets/d/1T1PQvRODqOBZk8BRht_U031fIS1beLA0Ub2CEytj2q0/edit?usp=sharing"",""ฉะเชิงเทรา!Q180"")+IMPORTRANGE(""https://docs.google.com/spreadsheets/d/11tr1B-Bhyr79v2bkwVh5h_fR-PStkgjlZtkrZpYurG0/"&amp;"edit?usp=sharing"",""ชลบุรี!Q180"")+IMPORTRANGE(""https://docs.google.com/spreadsheets/d/1hh-FVnSX0vozXhGluamEcS54Dw9_zqW0N7qJUWgJ0Sw/edit?usp=sharing"",""ชัยนาท!Q180"")+IMPORTRANGE(""https://docs.google.com/spreadsheets/d/1jkqa6GXxSacMcY1eN8AHjMNJ_7dDXMJ"&amp;"VRLDlaFSOdPM/edit?usp=sharing"",""ตราด!Q180"")+IMPORTRANGE(""https://docs.google.com/spreadsheets/d/18hSgUJ3VwClqi_qtULmmW3cLr0oe3OKaSYoKzdpTsYQ/edit?usp=sharing"",""นครนายก!Q180"")+IMPORTRANGE(""https://docs.google.com/spreadsheets/d/1YTZo6WM2dQ6Ix6FSdnL"&amp;"5P7uVnVKu40sxZu975tgG10E/edit?usp=sharing"",""นครปฐม!Q180"")+IMPORTRANGE(""https://docs.google.com/spreadsheets/d/1OYoGg4WDg5RIzwGeB10padOxJF9E_Vljuvvct_M7RDo/edit?usp=sharing"",""ปทุมธานี!Q180"")+IMPORTRANGE(""https://docs.google.com/spreadsheets/d/1GbCI"&amp;"E4D4wk9FUozzqk7SxfDMxDVBwVmI5zcaVUSzKAc/edit?usp=sharing"",""ประจวบคีรีขันธ์!Q180"")+IMPORTRANGE(""https://docs.google.com/spreadsheets/d/1vVf6wykvW_lAyu7Yo9L4hUTqHqIeP_qcVuxCtosJEbg/edit?usp=sharing"",""ปราจีนบุรี!Q180"")+IMPORTRANGE(""https://docs.googl"&amp;"e.com/spreadsheets/d/1BIDqLLg5jk3v59G8NlR8rk5xfQDKne0sAvZHSj7TI6I/edit?usp=sharing"",""พระนครศรีอยุธยา!Q180"")+IMPORTRANGE(""https://docs.google.com/spreadsheets/d/1YXvxf8Yu6_rV4hTBrwMqAcAnv6DfhUxh5emyM3CJp_w/edit?usp=sharing"",""เพชรบุรี!Q180"")+IMPORTRA"&amp;"NGE(""https://docs.google.com/spreadsheets/d/19KBlQQs7uwvsao6t2n-KvW3Ax8J8uRRfZPq1zPbXgKc/edit?usp=sharing"",""ระยอง!Q180"")+IMPORTRANGE(""https://docs.google.com/spreadsheets/d/1jQ6P4QcrGM89YfqcC_PxOHGCMq5ezhucwJd8ci-NHng/edit?usp=sharing"",""ราชบุรี!Q18"&amp;"0"")+IMPORTRANGE(""https://docs.google.com/spreadsheets/d/1lufeA2cfFqM-elVq2hznhDzC6Pr7wkJ9ZG_sYNGCMCU/edit?usp=sharing"",""ลพบุรี!Q180"")+IMPORTRANGE(""https://docs.google.com/spreadsheets/d/10oOiF7loTyfsTkbd4MpaIm0HQ9SwB7IYHdIUvt-U1Uc/edit?usp=sharing"""&amp;",""สระแก้ว!Q180"")+IMPORTRANGE(""https://docs.google.com/spreadsheets/d/1xmPlrr1QbdSIKvl1dWUl9K4PjAfSL9oeMr_37QVzcxc/edit?usp=sharing"",""สระบุรี!Q180"")+IMPORTRANGE(""https://docs.google.com/spreadsheets/d/1j51vR6CYVGhABJpv6tkstgok82RLpXieLzW1yOY5rHw/edi"&amp;"t?usp=sharing"",""สิงห์บุรี!Q180"")+IMPORTRANGE(""https://docs.google.com/spreadsheets/d/1H1EalTWKUSzO4Z1-1CwzoDUaVffgrThEBe2sl74kKG0/edit?usp=sharing"",""สุพรรณบุรี!Q180"")+IMPORTRANGE(""https://docs.google.com/spreadsheets/d/1BmIruG_sIrJLYao_Pdr7zVArWsf"&amp;"oBt2692TMi6x_854/edit?usp=sharing"",""อ่างทอง!Q180"")"),0)</f>
        <v>0</v>
      </c>
      <c r="R181" s="77">
        <f ca="1">IFERROR(__xludf.DUMMYFUNCTION("IMPORTRANGE(""https://docs.google.com/spreadsheets/d/13wPX838HrBrQMCywv1BsuMkt4PEKTChp52zj44s2izQ/edit?usp=sharing"",""กาญจนบุรี!R180"")+IMPORTRANGE(""https://docs.google.com/spreadsheets/d/1ddFKvqj1W1NEiWytbGlB1zMx_ykJDVtmfEQ-6-lIUBA/edit?usp=sharing"","&amp;"""จันทบุรี!R180"")+IMPORTRANGE(""https://docs.google.com/spreadsheets/d/1T1PQvRODqOBZk8BRht_U031fIS1beLA0Ub2CEytj2q0/edit?usp=sharing"",""ฉะเชิงเทรา!R180"")+IMPORTRANGE(""https://docs.google.com/spreadsheets/d/11tr1B-Bhyr79v2bkwVh5h_fR-PStkgjlZtkrZpYurG0/"&amp;"edit?usp=sharing"",""ชลบุรี!R180"")+IMPORTRANGE(""https://docs.google.com/spreadsheets/d/1hh-FVnSX0vozXhGluamEcS54Dw9_zqW0N7qJUWgJ0Sw/edit?usp=sharing"",""ชัยนาท!R180"")+IMPORTRANGE(""https://docs.google.com/spreadsheets/d/1jkqa6GXxSacMcY1eN8AHjMNJ_7dDXMJ"&amp;"VRLDlaFSOdPM/edit?usp=sharing"",""ตราด!R180"")+IMPORTRANGE(""https://docs.google.com/spreadsheets/d/18hSgUJ3VwClqi_qtULmmW3cLr0oe3OKaSYoKzdpTsYQ/edit?usp=sharing"",""นครนายก!R180"")+IMPORTRANGE(""https://docs.google.com/spreadsheets/d/1YTZo6WM2dQ6Ix6FSdnL"&amp;"5P7uVnVKu40sxZu975tgG10E/edit?usp=sharing"",""นครปฐม!R180"")+IMPORTRANGE(""https://docs.google.com/spreadsheets/d/1OYoGg4WDg5RIzwGeB10padOxJF9E_Vljuvvct_M7RDo/edit?usp=sharing"",""ปทุมธานี!R180"")+IMPORTRANGE(""https://docs.google.com/spreadsheets/d/1GbCI"&amp;"E4D4wk9FUozzqk7SxfDMxDVBwVmI5zcaVUSzKAc/edit?usp=sharing"",""ประจวบคีรีขันธ์!R180"")+IMPORTRANGE(""https://docs.google.com/spreadsheets/d/1vVf6wykvW_lAyu7Yo9L4hUTqHqIeP_qcVuxCtosJEbg/edit?usp=sharing"",""ปราจีนบุรี!R180"")+IMPORTRANGE(""https://docs.googl"&amp;"e.com/spreadsheets/d/1BIDqLLg5jk3v59G8NlR8rk5xfQDKne0sAvZHSj7TI6I/edit?usp=sharing"",""พระนครศรีอยุธยา!R180"")+IMPORTRANGE(""https://docs.google.com/spreadsheets/d/1YXvxf8Yu6_rV4hTBrwMqAcAnv6DfhUxh5emyM3CJp_w/edit?usp=sharing"",""เพชรบุรี!R180"")+IMPORTRA"&amp;"NGE(""https://docs.google.com/spreadsheets/d/19KBlQQs7uwvsao6t2n-KvW3Ax8J8uRRfZPq1zPbXgKc/edit?usp=sharing"",""ระยอง!R180"")+IMPORTRANGE(""https://docs.google.com/spreadsheets/d/1jQ6P4QcrGM89YfqcC_PxOHGCMq5ezhucwJd8ci-NHng/edit?usp=sharing"",""ราชบุรี!R18"&amp;"0"")+IMPORTRANGE(""https://docs.google.com/spreadsheets/d/1lufeA2cfFqM-elVq2hznhDzC6Pr7wkJ9ZG_sYNGCMCU/edit?usp=sharing"",""ลพบุรี!R180"")+IMPORTRANGE(""https://docs.google.com/spreadsheets/d/10oOiF7loTyfsTkbd4MpaIm0HQ9SwB7IYHdIUvt-U1Uc/edit?usp=sharing"""&amp;",""สระแก้ว!R180"")+IMPORTRANGE(""https://docs.google.com/spreadsheets/d/1xmPlrr1QbdSIKvl1dWUl9K4PjAfSL9oeMr_37QVzcxc/edit?usp=sharing"",""สระบุรี!R180"")+IMPORTRANGE(""https://docs.google.com/spreadsheets/d/1j51vR6CYVGhABJpv6tkstgok82RLpXieLzW1yOY5rHw/edi"&amp;"t?usp=sharing"",""สิงห์บุรี!R180"")+IMPORTRANGE(""https://docs.google.com/spreadsheets/d/1H1EalTWKUSzO4Z1-1CwzoDUaVffgrThEBe2sl74kKG0/edit?usp=sharing"",""สุพรรณบุรี!R180"")+IMPORTRANGE(""https://docs.google.com/spreadsheets/d/1BmIruG_sIrJLYao_Pdr7zVArWsf"&amp;"oBt2692TMi6x_854/edit?usp=sharing"",""อ่างทอง!R180"")"),0)</f>
        <v>0</v>
      </c>
      <c r="S181" s="77">
        <f ca="1">IFERROR(__xludf.DUMMYFUNCTION("IMPORTRANGE(""https://docs.google.com/spreadsheets/d/13wPX838HrBrQMCywv1BsuMkt4PEKTChp52zj44s2izQ/edit?usp=sharing"",""กาญจนบุรี!S180"")+IMPORTRANGE(""https://docs.google.com/spreadsheets/d/1ddFKvqj1W1NEiWytbGlB1zMx_ykJDVtmfEQ-6-lIUBA/edit?usp=sharing"","&amp;"""จันทบุรี!S180"")+IMPORTRANGE(""https://docs.google.com/spreadsheets/d/1T1PQvRODqOBZk8BRht_U031fIS1beLA0Ub2CEytj2q0/edit?usp=sharing"",""ฉะเชิงเทรา!S180"")+IMPORTRANGE(""https://docs.google.com/spreadsheets/d/11tr1B-Bhyr79v2bkwVh5h_fR-PStkgjlZtkrZpYurG0/"&amp;"edit?usp=sharing"",""ชลบุรี!S180"")+IMPORTRANGE(""https://docs.google.com/spreadsheets/d/1hh-FVnSX0vozXhGluamEcS54Dw9_zqW0N7qJUWgJ0Sw/edit?usp=sharing"",""ชัยนาท!S180"")+IMPORTRANGE(""https://docs.google.com/spreadsheets/d/1jkqa6GXxSacMcY1eN8AHjMNJ_7dDXMJ"&amp;"VRLDlaFSOdPM/edit?usp=sharing"",""ตราด!S180"")+IMPORTRANGE(""https://docs.google.com/spreadsheets/d/18hSgUJ3VwClqi_qtULmmW3cLr0oe3OKaSYoKzdpTsYQ/edit?usp=sharing"",""นครนายก!S180"")+IMPORTRANGE(""https://docs.google.com/spreadsheets/d/1YTZo6WM2dQ6Ix6FSdnL"&amp;"5P7uVnVKu40sxZu975tgG10E/edit?usp=sharing"",""นครปฐม!S180"")+IMPORTRANGE(""https://docs.google.com/spreadsheets/d/1OYoGg4WDg5RIzwGeB10padOxJF9E_Vljuvvct_M7RDo/edit?usp=sharing"",""ปทุมธานี!S180"")+IMPORTRANGE(""https://docs.google.com/spreadsheets/d/1GbCI"&amp;"E4D4wk9FUozzqk7SxfDMxDVBwVmI5zcaVUSzKAc/edit?usp=sharing"",""ประจวบคีรีขันธ์!S180"")+IMPORTRANGE(""https://docs.google.com/spreadsheets/d/1vVf6wykvW_lAyu7Yo9L4hUTqHqIeP_qcVuxCtosJEbg/edit?usp=sharing"",""ปราจีนบุรี!S180"")+IMPORTRANGE(""https://docs.googl"&amp;"e.com/spreadsheets/d/1BIDqLLg5jk3v59G8NlR8rk5xfQDKne0sAvZHSj7TI6I/edit?usp=sharing"",""พระนครศรีอยุธยา!S180"")+IMPORTRANGE(""https://docs.google.com/spreadsheets/d/1YXvxf8Yu6_rV4hTBrwMqAcAnv6DfhUxh5emyM3CJp_w/edit?usp=sharing"",""เพชรบุรี!S180"")+IMPORTRA"&amp;"NGE(""https://docs.google.com/spreadsheets/d/19KBlQQs7uwvsao6t2n-KvW3Ax8J8uRRfZPq1zPbXgKc/edit?usp=sharing"",""ระยอง!S180"")+IMPORTRANGE(""https://docs.google.com/spreadsheets/d/1jQ6P4QcrGM89YfqcC_PxOHGCMq5ezhucwJd8ci-NHng/edit?usp=sharing"",""ราชบุรี!S18"&amp;"0"")+IMPORTRANGE(""https://docs.google.com/spreadsheets/d/1lufeA2cfFqM-elVq2hznhDzC6Pr7wkJ9ZG_sYNGCMCU/edit?usp=sharing"",""ลพบุรี!S180"")+IMPORTRANGE(""https://docs.google.com/spreadsheets/d/10oOiF7loTyfsTkbd4MpaIm0HQ9SwB7IYHdIUvt-U1Uc/edit?usp=sharing"""&amp;",""สระแก้ว!S180"")+IMPORTRANGE(""https://docs.google.com/spreadsheets/d/1xmPlrr1QbdSIKvl1dWUl9K4PjAfSL9oeMr_37QVzcxc/edit?usp=sharing"",""สระบุรี!S180"")+IMPORTRANGE(""https://docs.google.com/spreadsheets/d/1j51vR6CYVGhABJpv6tkstgok82RLpXieLzW1yOY5rHw/edi"&amp;"t?usp=sharing"",""สิงห์บุรี!S180"")+IMPORTRANGE(""https://docs.google.com/spreadsheets/d/1H1EalTWKUSzO4Z1-1CwzoDUaVffgrThEBe2sl74kKG0/edit?usp=sharing"",""สุพรรณบุรี!S180"")+IMPORTRANGE(""https://docs.google.com/spreadsheets/d/1BmIruG_sIrJLYao_Pdr7zVArWsf"&amp;"oBt2692TMi6x_854/edit?usp=sharing"",""อ่างทอง!S180"")"),0)</f>
        <v>0</v>
      </c>
      <c r="T181" s="133">
        <f t="shared" ca="1" si="145"/>
        <v>0</v>
      </c>
      <c r="U181" s="133">
        <f t="shared" ca="1" si="146"/>
        <v>0</v>
      </c>
    </row>
    <row r="182" spans="1:21" ht="18.75" x14ac:dyDescent="0.25">
      <c r="A182" s="209"/>
      <c r="B182" s="67"/>
      <c r="C182" s="67"/>
      <c r="D182" s="67"/>
      <c r="E182" s="75" t="s">
        <v>21</v>
      </c>
      <c r="F182" s="67"/>
      <c r="G182" s="69"/>
      <c r="H182" s="221" t="s">
        <v>14</v>
      </c>
      <c r="I182" s="219"/>
      <c r="J182" s="219"/>
      <c r="K182" s="220"/>
      <c r="L182" s="88">
        <f ca="1">IFERROR(__xludf.DUMMYFUNCTION("IMPORTRANGE(""https://docs.google.com/spreadsheets/d/13wPX838HrBrQMCywv1BsuMkt4PEKTChp52zj44s2izQ/edit?usp=sharing"",""กาญจนบุรี!L181"")+IMPORTRANGE(""https://docs.google.com/spreadsheets/d/1ddFKvqj1W1NEiWytbGlB1zMx_ykJDVtmfEQ-6-lIUBA/edit?usp=sharing"","&amp;"""จันทบุรี!L181"")+IMPORTRANGE(""https://docs.google.com/spreadsheets/d/1T1PQvRODqOBZk8BRht_U031fIS1beLA0Ub2CEytj2q0/edit?usp=sharing"",""ฉะเชิงเทรา!L181"")+IMPORTRANGE(""https://docs.google.com/spreadsheets/d/11tr1B-Bhyr79v2bkwVh5h_fR-PStkgjlZtkrZpYurG0/"&amp;"edit?usp=sharing"",""ชลบุรี!L181"")+IMPORTRANGE(""https://docs.google.com/spreadsheets/d/1hh-FVnSX0vozXhGluamEcS54Dw9_zqW0N7qJUWgJ0Sw/edit?usp=sharing"",""ชัยนาท!L181"")+IMPORTRANGE(""https://docs.google.com/spreadsheets/d/1jkqa6GXxSacMcY1eN8AHjMNJ_7dDXMJ"&amp;"VRLDlaFSOdPM/edit?usp=sharing"",""ตราด!L181"")+IMPORTRANGE(""https://docs.google.com/spreadsheets/d/18hSgUJ3VwClqi_qtULmmW3cLr0oe3OKaSYoKzdpTsYQ/edit?usp=sharing"",""นครนายก!L181"")+IMPORTRANGE(""https://docs.google.com/spreadsheets/d/1YTZo6WM2dQ6Ix6FSdnL"&amp;"5P7uVnVKu40sxZu975tgG10E/edit?usp=sharing"",""นครปฐม!L181"")+IMPORTRANGE(""https://docs.google.com/spreadsheets/d/1OYoGg4WDg5RIzwGeB10padOxJF9E_Vljuvvct_M7RDo/edit?usp=sharing"",""ปทุมธานี!L181"")+IMPORTRANGE(""https://docs.google.com/spreadsheets/d/1GbCI"&amp;"E4D4wk9FUozzqk7SxfDMxDVBwVmI5zcaVUSzKAc/edit?usp=sharing"",""ประจวบคีรีขันธ์!L181"")+IMPORTRANGE(""https://docs.google.com/spreadsheets/d/1vVf6wykvW_lAyu7Yo9L4hUTqHqIeP_qcVuxCtosJEbg/edit?usp=sharing"",""ปราจีนบุรี!L181"")+IMPORTRANGE(""https://docs.googl"&amp;"e.com/spreadsheets/d/1BIDqLLg5jk3v59G8NlR8rk5xfQDKne0sAvZHSj7TI6I/edit?usp=sharing"",""พระนครศรีอยุธยา!L181"")+IMPORTRANGE(""https://docs.google.com/spreadsheets/d/1YXvxf8Yu6_rV4hTBrwMqAcAnv6DfhUxh5emyM3CJp_w/edit?usp=sharing"",""เพชรบุรี!L181"")+IMPORTRA"&amp;"NGE(""https://docs.google.com/spreadsheets/d/19KBlQQs7uwvsao6t2n-KvW3Ax8J8uRRfZPq1zPbXgKc/edit?usp=sharing"",""ระยอง!L181"")+IMPORTRANGE(""https://docs.google.com/spreadsheets/d/1jQ6P4QcrGM89YfqcC_PxOHGCMq5ezhucwJd8ci-NHng/edit?usp=sharing"",""ราชบุรี!L18"&amp;"1"")+IMPORTRANGE(""https://docs.google.com/spreadsheets/d/1lufeA2cfFqM-elVq2hznhDzC6Pr7wkJ9ZG_sYNGCMCU/edit?usp=sharing"",""ลพบุรี!L181"")+IMPORTRANGE(""https://docs.google.com/spreadsheets/d/10oOiF7loTyfsTkbd4MpaIm0HQ9SwB7IYHdIUvt-U1Uc/edit?usp=sharing"""&amp;",""สระแก้ว!L181"")+IMPORTRANGE(""https://docs.google.com/spreadsheets/d/1xmPlrr1QbdSIKvl1dWUl9K4PjAfSL9oeMr_37QVzcxc/edit?usp=sharing"",""สระบุรี!L181"")+IMPORTRANGE(""https://docs.google.com/spreadsheets/d/1j51vR6CYVGhABJpv6tkstgok82RLpXieLzW1yOY5rHw/edi"&amp;"t?usp=sharing"",""สิงห์บุรี!L181"")+IMPORTRANGE(""https://docs.google.com/spreadsheets/d/1H1EalTWKUSzO4Z1-1CwzoDUaVffgrThEBe2sl74kKG0/edit?usp=sharing"",""สุพรรณบุรี!L181"")+IMPORTRANGE(""https://docs.google.com/spreadsheets/d/1BmIruG_sIrJLYao_Pdr7zVArWsf"&amp;"oBt2692TMi6x_854/edit?usp=sharing"",""อ่างทอง!L181"")"),0)</f>
        <v>0</v>
      </c>
      <c r="M182" s="88">
        <f ca="1">IFERROR(__xludf.DUMMYFUNCTION("IMPORTRANGE(""https://docs.google.com/spreadsheets/d/13wPX838HrBrQMCywv1BsuMkt4PEKTChp52zj44s2izQ/edit?usp=sharing"",""กาญจนบุรี!M181"")+IMPORTRANGE(""https://docs.google.com/spreadsheets/d/1ddFKvqj1W1NEiWytbGlB1zMx_ykJDVtmfEQ-6-lIUBA/edit?usp=sharing"","&amp;"""จันทบุรี!M181"")+IMPORTRANGE(""https://docs.google.com/spreadsheets/d/1T1PQvRODqOBZk8BRht_U031fIS1beLA0Ub2CEytj2q0/edit?usp=sharing"",""ฉะเชิงเทรา!M181"")+IMPORTRANGE(""https://docs.google.com/spreadsheets/d/11tr1B-Bhyr79v2bkwVh5h_fR-PStkgjlZtkrZpYurG0/"&amp;"edit?usp=sharing"",""ชลบุรี!M181"")+IMPORTRANGE(""https://docs.google.com/spreadsheets/d/1hh-FVnSX0vozXhGluamEcS54Dw9_zqW0N7qJUWgJ0Sw/edit?usp=sharing"",""ชัยนาท!M181"")+IMPORTRANGE(""https://docs.google.com/spreadsheets/d/1jkqa6GXxSacMcY1eN8AHjMNJ_7dDXMJ"&amp;"VRLDlaFSOdPM/edit?usp=sharing"",""ตราด!M181"")+IMPORTRANGE(""https://docs.google.com/spreadsheets/d/18hSgUJ3VwClqi_qtULmmW3cLr0oe3OKaSYoKzdpTsYQ/edit?usp=sharing"",""นครนายก!M181"")+IMPORTRANGE(""https://docs.google.com/spreadsheets/d/1YTZo6WM2dQ6Ix6FSdnL"&amp;"5P7uVnVKu40sxZu975tgG10E/edit?usp=sharing"",""นครปฐม!M181"")+IMPORTRANGE(""https://docs.google.com/spreadsheets/d/1OYoGg4WDg5RIzwGeB10padOxJF9E_Vljuvvct_M7RDo/edit?usp=sharing"",""ปทุมธานี!M181"")+IMPORTRANGE(""https://docs.google.com/spreadsheets/d/1GbCI"&amp;"E4D4wk9FUozzqk7SxfDMxDVBwVmI5zcaVUSzKAc/edit?usp=sharing"",""ประจวบคีรีขันธ์!M181"")+IMPORTRANGE(""https://docs.google.com/spreadsheets/d/1vVf6wykvW_lAyu7Yo9L4hUTqHqIeP_qcVuxCtosJEbg/edit?usp=sharing"",""ปราจีนบุรี!M181"")+IMPORTRANGE(""https://docs.googl"&amp;"e.com/spreadsheets/d/1BIDqLLg5jk3v59G8NlR8rk5xfQDKne0sAvZHSj7TI6I/edit?usp=sharing"",""พระนครศรีอยุธยา!M181"")+IMPORTRANGE(""https://docs.google.com/spreadsheets/d/1YXvxf8Yu6_rV4hTBrwMqAcAnv6DfhUxh5emyM3CJp_w/edit?usp=sharing"",""เพชรบุรี!M181"")+IMPORTRA"&amp;"NGE(""https://docs.google.com/spreadsheets/d/19KBlQQs7uwvsao6t2n-KvW3Ax8J8uRRfZPq1zPbXgKc/edit?usp=sharing"",""ระยอง!M181"")+IMPORTRANGE(""https://docs.google.com/spreadsheets/d/1jQ6P4QcrGM89YfqcC_PxOHGCMq5ezhucwJd8ci-NHng/edit?usp=sharing"",""ราชบุรี!M18"&amp;"1"")+IMPORTRANGE(""https://docs.google.com/spreadsheets/d/1lufeA2cfFqM-elVq2hznhDzC6Pr7wkJ9ZG_sYNGCMCU/edit?usp=sharing"",""ลพบุรี!M181"")+IMPORTRANGE(""https://docs.google.com/spreadsheets/d/10oOiF7loTyfsTkbd4MpaIm0HQ9SwB7IYHdIUvt-U1Uc/edit?usp=sharing"""&amp;",""สระแก้ว!M181"")+IMPORTRANGE(""https://docs.google.com/spreadsheets/d/1xmPlrr1QbdSIKvl1dWUl9K4PjAfSL9oeMr_37QVzcxc/edit?usp=sharing"",""สระบุรี!M181"")+IMPORTRANGE(""https://docs.google.com/spreadsheets/d/1j51vR6CYVGhABJpv6tkstgok82RLpXieLzW1yOY5rHw/edi"&amp;"t?usp=sharing"",""สิงห์บุรี!M181"")+IMPORTRANGE(""https://docs.google.com/spreadsheets/d/1H1EalTWKUSzO4Z1-1CwzoDUaVffgrThEBe2sl74kKG0/edit?usp=sharing"",""สุพรรณบุรี!M181"")+IMPORTRANGE(""https://docs.google.com/spreadsheets/d/1BmIruG_sIrJLYao_Pdr7zVArWsf"&amp;"oBt2692TMi6x_854/edit?usp=sharing"",""อ่างทอง!M181"")"),0)</f>
        <v>0</v>
      </c>
      <c r="N182" s="88">
        <f ca="1">IFERROR(__xludf.DUMMYFUNCTION("IMPORTRANGE(""https://docs.google.com/spreadsheets/d/13wPX838HrBrQMCywv1BsuMkt4PEKTChp52zj44s2izQ/edit?usp=sharing"",""กาญจนบุรี!N181"")+IMPORTRANGE(""https://docs.google.com/spreadsheets/d/1ddFKvqj1W1NEiWytbGlB1zMx_ykJDVtmfEQ-6-lIUBA/edit?usp=sharing"","&amp;"""จันทบุรี!N181"")+IMPORTRANGE(""https://docs.google.com/spreadsheets/d/1T1PQvRODqOBZk8BRht_U031fIS1beLA0Ub2CEytj2q0/edit?usp=sharing"",""ฉะเชิงเทรา!N181"")+IMPORTRANGE(""https://docs.google.com/spreadsheets/d/11tr1B-Bhyr79v2bkwVh5h_fR-PStkgjlZtkrZpYurG0/"&amp;"edit?usp=sharing"",""ชลบุรี!N181"")+IMPORTRANGE(""https://docs.google.com/spreadsheets/d/1hh-FVnSX0vozXhGluamEcS54Dw9_zqW0N7qJUWgJ0Sw/edit?usp=sharing"",""ชัยนาท!N181"")+IMPORTRANGE(""https://docs.google.com/spreadsheets/d/1jkqa6GXxSacMcY1eN8AHjMNJ_7dDXMJ"&amp;"VRLDlaFSOdPM/edit?usp=sharing"",""ตราด!N181"")+IMPORTRANGE(""https://docs.google.com/spreadsheets/d/18hSgUJ3VwClqi_qtULmmW3cLr0oe3OKaSYoKzdpTsYQ/edit?usp=sharing"",""นครนายก!N181"")+IMPORTRANGE(""https://docs.google.com/spreadsheets/d/1YTZo6WM2dQ6Ix6FSdnL"&amp;"5P7uVnVKu40sxZu975tgG10E/edit?usp=sharing"",""นครปฐม!N181"")+IMPORTRANGE(""https://docs.google.com/spreadsheets/d/1OYoGg4WDg5RIzwGeB10padOxJF9E_Vljuvvct_M7RDo/edit?usp=sharing"",""ปทุมธานี!N181"")+IMPORTRANGE(""https://docs.google.com/spreadsheets/d/1GbCI"&amp;"E4D4wk9FUozzqk7SxfDMxDVBwVmI5zcaVUSzKAc/edit?usp=sharing"",""ประจวบคีรีขันธ์!N181"")+IMPORTRANGE(""https://docs.google.com/spreadsheets/d/1vVf6wykvW_lAyu7Yo9L4hUTqHqIeP_qcVuxCtosJEbg/edit?usp=sharing"",""ปราจีนบุรี!N181"")+IMPORTRANGE(""https://docs.googl"&amp;"e.com/spreadsheets/d/1BIDqLLg5jk3v59G8NlR8rk5xfQDKne0sAvZHSj7TI6I/edit?usp=sharing"",""พระนครศรีอยุธยา!N181"")+IMPORTRANGE(""https://docs.google.com/spreadsheets/d/1YXvxf8Yu6_rV4hTBrwMqAcAnv6DfhUxh5emyM3CJp_w/edit?usp=sharing"",""เพชรบุรี!N181"")+IMPORTRA"&amp;"NGE(""https://docs.google.com/spreadsheets/d/19KBlQQs7uwvsao6t2n-KvW3Ax8J8uRRfZPq1zPbXgKc/edit?usp=sharing"",""ระยอง!N181"")+IMPORTRANGE(""https://docs.google.com/spreadsheets/d/1jQ6P4QcrGM89YfqcC_PxOHGCMq5ezhucwJd8ci-NHng/edit?usp=sharing"",""ราชบุรี!N18"&amp;"1"")+IMPORTRANGE(""https://docs.google.com/spreadsheets/d/1lufeA2cfFqM-elVq2hznhDzC6Pr7wkJ9ZG_sYNGCMCU/edit?usp=sharing"",""ลพบุรี!N181"")+IMPORTRANGE(""https://docs.google.com/spreadsheets/d/10oOiF7loTyfsTkbd4MpaIm0HQ9SwB7IYHdIUvt-U1Uc/edit?usp=sharing"""&amp;",""สระแก้ว!N181"")+IMPORTRANGE(""https://docs.google.com/spreadsheets/d/1xmPlrr1QbdSIKvl1dWUl9K4PjAfSL9oeMr_37QVzcxc/edit?usp=sharing"",""สระบุรี!N181"")+IMPORTRANGE(""https://docs.google.com/spreadsheets/d/1j51vR6CYVGhABJpv6tkstgok82RLpXieLzW1yOY5rHw/edi"&amp;"t?usp=sharing"",""สิงห์บุรี!N181"")+IMPORTRANGE(""https://docs.google.com/spreadsheets/d/1H1EalTWKUSzO4Z1-1CwzoDUaVffgrThEBe2sl74kKG0/edit?usp=sharing"",""สุพรรณบุรี!N181"")+IMPORTRANGE(""https://docs.google.com/spreadsheets/d/1BmIruG_sIrJLYao_Pdr7zVArWsf"&amp;"oBt2692TMi6x_854/edit?usp=sharing"",""อ่างทอง!N181"")"),0)</f>
        <v>0</v>
      </c>
      <c r="O182" s="88">
        <f t="shared" ca="1" si="142"/>
        <v>0</v>
      </c>
      <c r="P182" s="88">
        <f t="shared" ca="1" si="143"/>
        <v>0</v>
      </c>
      <c r="Q182" s="73">
        <f ca="1">IFERROR(__xludf.DUMMYFUNCTION("IMPORTRANGE(""https://docs.google.com/spreadsheets/d/13wPX838HrBrQMCywv1BsuMkt4PEKTChp52zj44s2izQ/edit?usp=sharing"",""กาญจนบุรี!Q181"")+IMPORTRANGE(""https://docs.google.com/spreadsheets/d/1ddFKvqj1W1NEiWytbGlB1zMx_ykJDVtmfEQ-6-lIUBA/edit?usp=sharing"","&amp;"""จันทบุรี!Q181"")+IMPORTRANGE(""https://docs.google.com/spreadsheets/d/1T1PQvRODqOBZk8BRht_U031fIS1beLA0Ub2CEytj2q0/edit?usp=sharing"",""ฉะเชิงเทรา!Q181"")+IMPORTRANGE(""https://docs.google.com/spreadsheets/d/11tr1B-Bhyr79v2bkwVh5h_fR-PStkgjlZtkrZpYurG0/"&amp;"edit?usp=sharing"",""ชลบุรี!Q181"")+IMPORTRANGE(""https://docs.google.com/spreadsheets/d/1hh-FVnSX0vozXhGluamEcS54Dw9_zqW0N7qJUWgJ0Sw/edit?usp=sharing"",""ชัยนาท!Q181"")+IMPORTRANGE(""https://docs.google.com/spreadsheets/d/1jkqa6GXxSacMcY1eN8AHjMNJ_7dDXMJ"&amp;"VRLDlaFSOdPM/edit?usp=sharing"",""ตราด!Q181"")+IMPORTRANGE(""https://docs.google.com/spreadsheets/d/18hSgUJ3VwClqi_qtULmmW3cLr0oe3OKaSYoKzdpTsYQ/edit?usp=sharing"",""นครนายก!Q181"")+IMPORTRANGE(""https://docs.google.com/spreadsheets/d/1YTZo6WM2dQ6Ix6FSdnL"&amp;"5P7uVnVKu40sxZu975tgG10E/edit?usp=sharing"",""นครปฐม!Q181"")+IMPORTRANGE(""https://docs.google.com/spreadsheets/d/1OYoGg4WDg5RIzwGeB10padOxJF9E_Vljuvvct_M7RDo/edit?usp=sharing"",""ปทุมธานี!Q181"")+IMPORTRANGE(""https://docs.google.com/spreadsheets/d/1GbCI"&amp;"E4D4wk9FUozzqk7SxfDMxDVBwVmI5zcaVUSzKAc/edit?usp=sharing"",""ประจวบคีรีขันธ์!Q181"")+IMPORTRANGE(""https://docs.google.com/spreadsheets/d/1vVf6wykvW_lAyu7Yo9L4hUTqHqIeP_qcVuxCtosJEbg/edit?usp=sharing"",""ปราจีนบุรี!Q181"")+IMPORTRANGE(""https://docs.googl"&amp;"e.com/spreadsheets/d/1BIDqLLg5jk3v59G8NlR8rk5xfQDKne0sAvZHSj7TI6I/edit?usp=sharing"",""พระนครศรีอยุธยา!Q181"")+IMPORTRANGE(""https://docs.google.com/spreadsheets/d/1YXvxf8Yu6_rV4hTBrwMqAcAnv6DfhUxh5emyM3CJp_w/edit?usp=sharing"",""เพชรบุรี!Q181"")+IMPORTRA"&amp;"NGE(""https://docs.google.com/spreadsheets/d/19KBlQQs7uwvsao6t2n-KvW3Ax8J8uRRfZPq1zPbXgKc/edit?usp=sharing"",""ระยอง!Q181"")+IMPORTRANGE(""https://docs.google.com/spreadsheets/d/1jQ6P4QcrGM89YfqcC_PxOHGCMq5ezhucwJd8ci-NHng/edit?usp=sharing"",""ราชบุรี!Q18"&amp;"1"")+IMPORTRANGE(""https://docs.google.com/spreadsheets/d/1lufeA2cfFqM-elVq2hznhDzC6Pr7wkJ9ZG_sYNGCMCU/edit?usp=sharing"",""ลพบุรี!Q181"")+IMPORTRANGE(""https://docs.google.com/spreadsheets/d/10oOiF7loTyfsTkbd4MpaIm0HQ9SwB7IYHdIUvt-U1Uc/edit?usp=sharing"""&amp;",""สระแก้ว!Q181"")+IMPORTRANGE(""https://docs.google.com/spreadsheets/d/1xmPlrr1QbdSIKvl1dWUl9K4PjAfSL9oeMr_37QVzcxc/edit?usp=sharing"",""สระบุรี!Q181"")+IMPORTRANGE(""https://docs.google.com/spreadsheets/d/1j51vR6CYVGhABJpv6tkstgok82RLpXieLzW1yOY5rHw/edi"&amp;"t?usp=sharing"",""สิงห์บุรี!Q181"")+IMPORTRANGE(""https://docs.google.com/spreadsheets/d/1H1EalTWKUSzO4Z1-1CwzoDUaVffgrThEBe2sl74kKG0/edit?usp=sharing"",""สุพรรณบุรี!Q181"")+IMPORTRANGE(""https://docs.google.com/spreadsheets/d/1BmIruG_sIrJLYao_Pdr7zVArWsf"&amp;"oBt2692TMi6x_854/edit?usp=sharing"",""อ่างทอง!Q181"")"),0)</f>
        <v>0</v>
      </c>
      <c r="R182" s="74">
        <f ca="1">IFERROR(__xludf.DUMMYFUNCTION("IMPORTRANGE(""https://docs.google.com/spreadsheets/d/13wPX838HrBrQMCywv1BsuMkt4PEKTChp52zj44s2izQ/edit?usp=sharing"",""กาญจนบุรี!R181"")+IMPORTRANGE(""https://docs.google.com/spreadsheets/d/1ddFKvqj1W1NEiWytbGlB1zMx_ykJDVtmfEQ-6-lIUBA/edit?usp=sharing"","&amp;"""จันทบุรี!R181"")+IMPORTRANGE(""https://docs.google.com/spreadsheets/d/1T1PQvRODqOBZk8BRht_U031fIS1beLA0Ub2CEytj2q0/edit?usp=sharing"",""ฉะเชิงเทรา!R181"")+IMPORTRANGE(""https://docs.google.com/spreadsheets/d/11tr1B-Bhyr79v2bkwVh5h_fR-PStkgjlZtkrZpYurG0/"&amp;"edit?usp=sharing"",""ชลบุรี!R181"")+IMPORTRANGE(""https://docs.google.com/spreadsheets/d/1hh-FVnSX0vozXhGluamEcS54Dw9_zqW0N7qJUWgJ0Sw/edit?usp=sharing"",""ชัยนาท!R181"")+IMPORTRANGE(""https://docs.google.com/spreadsheets/d/1jkqa6GXxSacMcY1eN8AHjMNJ_7dDXMJ"&amp;"VRLDlaFSOdPM/edit?usp=sharing"",""ตราด!R181"")+IMPORTRANGE(""https://docs.google.com/spreadsheets/d/18hSgUJ3VwClqi_qtULmmW3cLr0oe3OKaSYoKzdpTsYQ/edit?usp=sharing"",""นครนายก!R181"")+IMPORTRANGE(""https://docs.google.com/spreadsheets/d/1YTZo6WM2dQ6Ix6FSdnL"&amp;"5P7uVnVKu40sxZu975tgG10E/edit?usp=sharing"",""นครปฐม!R181"")+IMPORTRANGE(""https://docs.google.com/spreadsheets/d/1OYoGg4WDg5RIzwGeB10padOxJF9E_Vljuvvct_M7RDo/edit?usp=sharing"",""ปทุมธานี!R181"")+IMPORTRANGE(""https://docs.google.com/spreadsheets/d/1GbCI"&amp;"E4D4wk9FUozzqk7SxfDMxDVBwVmI5zcaVUSzKAc/edit?usp=sharing"",""ประจวบคีรีขันธ์!R181"")+IMPORTRANGE(""https://docs.google.com/spreadsheets/d/1vVf6wykvW_lAyu7Yo9L4hUTqHqIeP_qcVuxCtosJEbg/edit?usp=sharing"",""ปราจีนบุรี!R181"")+IMPORTRANGE(""https://docs.googl"&amp;"e.com/spreadsheets/d/1BIDqLLg5jk3v59G8NlR8rk5xfQDKne0sAvZHSj7TI6I/edit?usp=sharing"",""พระนครศรีอยุธยา!R181"")+IMPORTRANGE(""https://docs.google.com/spreadsheets/d/1YXvxf8Yu6_rV4hTBrwMqAcAnv6DfhUxh5emyM3CJp_w/edit?usp=sharing"",""เพชรบุรี!R181"")+IMPORTRA"&amp;"NGE(""https://docs.google.com/spreadsheets/d/19KBlQQs7uwvsao6t2n-KvW3Ax8J8uRRfZPq1zPbXgKc/edit?usp=sharing"",""ระยอง!R181"")+IMPORTRANGE(""https://docs.google.com/spreadsheets/d/1jQ6P4QcrGM89YfqcC_PxOHGCMq5ezhucwJd8ci-NHng/edit?usp=sharing"",""ราชบุรี!R18"&amp;"1"")+IMPORTRANGE(""https://docs.google.com/spreadsheets/d/1lufeA2cfFqM-elVq2hznhDzC6Pr7wkJ9ZG_sYNGCMCU/edit?usp=sharing"",""ลพบุรี!R181"")+IMPORTRANGE(""https://docs.google.com/spreadsheets/d/10oOiF7loTyfsTkbd4MpaIm0HQ9SwB7IYHdIUvt-U1Uc/edit?usp=sharing"""&amp;",""สระแก้ว!R181"")+IMPORTRANGE(""https://docs.google.com/spreadsheets/d/1xmPlrr1QbdSIKvl1dWUl9K4PjAfSL9oeMr_37QVzcxc/edit?usp=sharing"",""สระบุรี!R181"")+IMPORTRANGE(""https://docs.google.com/spreadsheets/d/1j51vR6CYVGhABJpv6tkstgok82RLpXieLzW1yOY5rHw/edi"&amp;"t?usp=sharing"",""สิงห์บุรี!R181"")+IMPORTRANGE(""https://docs.google.com/spreadsheets/d/1H1EalTWKUSzO4Z1-1CwzoDUaVffgrThEBe2sl74kKG0/edit?usp=sharing"",""สุพรรณบุรี!R181"")+IMPORTRANGE(""https://docs.google.com/spreadsheets/d/1BmIruG_sIrJLYao_Pdr7zVArWsf"&amp;"oBt2692TMi6x_854/edit?usp=sharing"",""อ่างทอง!R181"")"),0)</f>
        <v>0</v>
      </c>
      <c r="S182" s="74">
        <f ca="1">IFERROR(__xludf.DUMMYFUNCTION("IMPORTRANGE(""https://docs.google.com/spreadsheets/d/13wPX838HrBrQMCywv1BsuMkt4PEKTChp52zj44s2izQ/edit?usp=sharing"",""กาญจนบุรี!S181"")+IMPORTRANGE(""https://docs.google.com/spreadsheets/d/1ddFKvqj1W1NEiWytbGlB1zMx_ykJDVtmfEQ-6-lIUBA/edit?usp=sharing"","&amp;"""จันทบุรี!S181"")+IMPORTRANGE(""https://docs.google.com/spreadsheets/d/1T1PQvRODqOBZk8BRht_U031fIS1beLA0Ub2CEytj2q0/edit?usp=sharing"",""ฉะเชิงเทรา!S181"")+IMPORTRANGE(""https://docs.google.com/spreadsheets/d/11tr1B-Bhyr79v2bkwVh5h_fR-PStkgjlZtkrZpYurG0/"&amp;"edit?usp=sharing"",""ชลบุรี!S181"")+IMPORTRANGE(""https://docs.google.com/spreadsheets/d/1hh-FVnSX0vozXhGluamEcS54Dw9_zqW0N7qJUWgJ0Sw/edit?usp=sharing"",""ชัยนาท!S181"")+IMPORTRANGE(""https://docs.google.com/spreadsheets/d/1jkqa6GXxSacMcY1eN8AHjMNJ_7dDXMJ"&amp;"VRLDlaFSOdPM/edit?usp=sharing"",""ตราด!S181"")+IMPORTRANGE(""https://docs.google.com/spreadsheets/d/18hSgUJ3VwClqi_qtULmmW3cLr0oe3OKaSYoKzdpTsYQ/edit?usp=sharing"",""นครนายก!S181"")+IMPORTRANGE(""https://docs.google.com/spreadsheets/d/1YTZo6WM2dQ6Ix6FSdnL"&amp;"5P7uVnVKu40sxZu975tgG10E/edit?usp=sharing"",""นครปฐม!S181"")+IMPORTRANGE(""https://docs.google.com/spreadsheets/d/1OYoGg4WDg5RIzwGeB10padOxJF9E_Vljuvvct_M7RDo/edit?usp=sharing"",""ปทุมธานี!S181"")+IMPORTRANGE(""https://docs.google.com/spreadsheets/d/1GbCI"&amp;"E4D4wk9FUozzqk7SxfDMxDVBwVmI5zcaVUSzKAc/edit?usp=sharing"",""ประจวบคีรีขันธ์!S181"")+IMPORTRANGE(""https://docs.google.com/spreadsheets/d/1vVf6wykvW_lAyu7Yo9L4hUTqHqIeP_qcVuxCtosJEbg/edit?usp=sharing"",""ปราจีนบุรี!S181"")+IMPORTRANGE(""https://docs.googl"&amp;"e.com/spreadsheets/d/1BIDqLLg5jk3v59G8NlR8rk5xfQDKne0sAvZHSj7TI6I/edit?usp=sharing"",""พระนครศรีอยุธยา!S181"")+IMPORTRANGE(""https://docs.google.com/spreadsheets/d/1YXvxf8Yu6_rV4hTBrwMqAcAnv6DfhUxh5emyM3CJp_w/edit?usp=sharing"",""เพชรบุรี!S181"")+IMPORTRA"&amp;"NGE(""https://docs.google.com/spreadsheets/d/19KBlQQs7uwvsao6t2n-KvW3Ax8J8uRRfZPq1zPbXgKc/edit?usp=sharing"",""ระยอง!S181"")+IMPORTRANGE(""https://docs.google.com/spreadsheets/d/1jQ6P4QcrGM89YfqcC_PxOHGCMq5ezhucwJd8ci-NHng/edit?usp=sharing"",""ราชบุรี!S18"&amp;"1"")+IMPORTRANGE(""https://docs.google.com/spreadsheets/d/1lufeA2cfFqM-elVq2hznhDzC6Pr7wkJ9ZG_sYNGCMCU/edit?usp=sharing"",""ลพบุรี!S181"")+IMPORTRANGE(""https://docs.google.com/spreadsheets/d/10oOiF7loTyfsTkbd4MpaIm0HQ9SwB7IYHdIUvt-U1Uc/edit?usp=sharing"""&amp;",""สระแก้ว!S181"")+IMPORTRANGE(""https://docs.google.com/spreadsheets/d/1xmPlrr1QbdSIKvl1dWUl9K4PjAfSL9oeMr_37QVzcxc/edit?usp=sharing"",""สระบุรี!S181"")+IMPORTRANGE(""https://docs.google.com/spreadsheets/d/1j51vR6CYVGhABJpv6tkstgok82RLpXieLzW1yOY5rHw/edi"&amp;"t?usp=sharing"",""สิงห์บุรี!S181"")+IMPORTRANGE(""https://docs.google.com/spreadsheets/d/1H1EalTWKUSzO4Z1-1CwzoDUaVffgrThEBe2sl74kKG0/edit?usp=sharing"",""สุพรรณบุรี!S181"")+IMPORTRANGE(""https://docs.google.com/spreadsheets/d/1BmIruG_sIrJLYao_Pdr7zVArWsf"&amp;"oBt2692TMi6x_854/edit?usp=sharing"",""อ่างทอง!S181"")"),0)</f>
        <v>0</v>
      </c>
      <c r="T182" s="132">
        <f t="shared" ca="1" si="145"/>
        <v>0</v>
      </c>
      <c r="U182" s="132">
        <f t="shared" ca="1" si="146"/>
        <v>0</v>
      </c>
    </row>
    <row r="183" spans="1:21" ht="19.5" x14ac:dyDescent="0.3">
      <c r="A183" s="222"/>
      <c r="B183" s="223"/>
      <c r="C183" s="210" t="s">
        <v>18</v>
      </c>
      <c r="D183" s="224" t="s">
        <v>38</v>
      </c>
      <c r="E183" s="225"/>
      <c r="F183" s="225"/>
      <c r="G183" s="226"/>
      <c r="H183" s="320"/>
      <c r="I183" s="71"/>
      <c r="J183" s="71"/>
      <c r="K183" s="72"/>
      <c r="L183" s="72"/>
      <c r="M183" s="72"/>
      <c r="N183" s="72"/>
      <c r="O183" s="72"/>
      <c r="P183" s="72"/>
      <c r="Q183" s="86"/>
      <c r="R183" s="87"/>
      <c r="S183" s="87"/>
      <c r="T183" s="87"/>
      <c r="U183" s="87"/>
    </row>
    <row r="184" spans="1:21" ht="18.75" x14ac:dyDescent="0.25">
      <c r="A184" s="377"/>
      <c r="B184" s="67"/>
      <c r="C184" s="378"/>
      <c r="D184" s="379" t="s">
        <v>75</v>
      </c>
      <c r="E184" s="67"/>
      <c r="F184" s="67"/>
      <c r="G184" s="69"/>
      <c r="H184" s="380" t="s">
        <v>35</v>
      </c>
      <c r="I184" s="239">
        <f ca="1">IFERROR(__xludf.DUMMYFUNCTION("IMPORTRANGE(""https://docs.google.com/spreadsheets/d/13wPX838HrBrQMCywv1BsuMkt4PEKTChp52zj44s2izQ/edit?usp=sharing"",""กาญจนบุรี!I183"")+IMPORTRANGE(""https://docs.google.com/spreadsheets/d/1ddFKvqj1W1NEiWytbGlB1zMx_ykJDVtmfEQ-6-lIUBA/edit?usp=sharing"","&amp;"""จันทบุรี!I183"")+IMPORTRANGE(""https://docs.google.com/spreadsheets/d/1T1PQvRODqOBZk8BRht_U031fIS1beLA0Ub2CEytj2q0/edit?usp=sharing"",""ฉะเชิงเทรา!I183"")+IMPORTRANGE(""https://docs.google.com/spreadsheets/d/11tr1B-Bhyr79v2bkwVh5h_fR-PStkgjlZtkrZpYurG0/"&amp;"edit?usp=sharing"",""ชลบุรี!I183"")+IMPORTRANGE(""https://docs.google.com/spreadsheets/d/1hh-FVnSX0vozXhGluamEcS54Dw9_zqW0N7qJUWgJ0Sw/edit?usp=sharing"",""ชัยนาท!I183"")+IMPORTRANGE(""https://docs.google.com/spreadsheets/d/1jkqa6GXxSacMcY1eN8AHjMNJ_7dDXMJ"&amp;"VRLDlaFSOdPM/edit?usp=sharing"",""ตราด!I183"")+IMPORTRANGE(""https://docs.google.com/spreadsheets/d/18hSgUJ3VwClqi_qtULmmW3cLr0oe3OKaSYoKzdpTsYQ/edit?usp=sharing"",""นครนายก!I183"")+IMPORTRANGE(""https://docs.google.com/spreadsheets/d/1YTZo6WM2dQ6Ix6FSdnL"&amp;"5P7uVnVKu40sxZu975tgG10E/edit?usp=sharing"",""นครปฐม!I183"")+IMPORTRANGE(""https://docs.google.com/spreadsheets/d/1OYoGg4WDg5RIzwGeB10padOxJF9E_Vljuvvct_M7RDo/edit?usp=sharing"",""ปทุมธานี!I183"")+IMPORTRANGE(""https://docs.google.com/spreadsheets/d/1GbCI"&amp;"E4D4wk9FUozzqk7SxfDMxDVBwVmI5zcaVUSzKAc/edit?usp=sharing"",""ประจวบคีรีขันธ์!I183"")+IMPORTRANGE(""https://docs.google.com/spreadsheets/d/1vVf6wykvW_lAyu7Yo9L4hUTqHqIeP_qcVuxCtosJEbg/edit?usp=sharing"",""ปราจีนบุรี!I183"")+IMPORTRANGE(""https://docs.googl"&amp;"e.com/spreadsheets/d/1BIDqLLg5jk3v59G8NlR8rk5xfQDKne0sAvZHSj7TI6I/edit?usp=sharing"",""พระนครศรีอยุธยา!I183"")+IMPORTRANGE(""https://docs.google.com/spreadsheets/d/1YXvxf8Yu6_rV4hTBrwMqAcAnv6DfhUxh5emyM3CJp_w/edit?usp=sharing"",""เพชรบุรี!I183"")+IMPORTRA"&amp;"NGE(""https://docs.google.com/spreadsheets/d/19KBlQQs7uwvsao6t2n-KvW3Ax8J8uRRfZPq1zPbXgKc/edit?usp=sharing"",""ระยอง!I183"")+IMPORTRANGE(""https://docs.google.com/spreadsheets/d/1jQ6P4QcrGM89YfqcC_PxOHGCMq5ezhucwJd8ci-NHng/edit?usp=sharing"",""ราชบุรี!I18"&amp;"3"")+IMPORTRANGE(""https://docs.google.com/spreadsheets/d/1lufeA2cfFqM-elVq2hznhDzC6Pr7wkJ9ZG_sYNGCMCU/edit?usp=sharing"",""ลพบุรี!I183"")+IMPORTRANGE(""https://docs.google.com/spreadsheets/d/10oOiF7loTyfsTkbd4MpaIm0HQ9SwB7IYHdIUvt-U1Uc/edit?usp=sharing"""&amp;",""สระแก้ว!I183"")+IMPORTRANGE(""https://docs.google.com/spreadsheets/d/1xmPlrr1QbdSIKvl1dWUl9K4PjAfSL9oeMr_37QVzcxc/edit?usp=sharing"",""สระบุรี!I183"")+IMPORTRANGE(""https://docs.google.com/spreadsheets/d/1j51vR6CYVGhABJpv6tkstgok82RLpXieLzW1yOY5rHw/edi"&amp;"t?usp=sharing"",""สิงห์บุรี!I183"")+IMPORTRANGE(""https://docs.google.com/spreadsheets/d/1H1EalTWKUSzO4Z1-1CwzoDUaVffgrThEBe2sl74kKG0/edit?usp=sharing"",""สุพรรณบุรี!I183"")+IMPORTRANGE(""https://docs.google.com/spreadsheets/d/1BmIruG_sIrJLYao_Pdr7zVArWsf"&amp;"oBt2692TMi6x_854/edit?usp=sharing"",""อ่างทอง!I183"")"),133)</f>
        <v>133</v>
      </c>
      <c r="J184" s="239">
        <f ca="1">IFERROR(__xludf.DUMMYFUNCTION("IMPORTRANGE(""https://docs.google.com/spreadsheets/d/13wPX838HrBrQMCywv1BsuMkt4PEKTChp52zj44s2izQ/edit?usp=sharing"",""กาญจนบุรี!J183"")+IMPORTRANGE(""https://docs.google.com/spreadsheets/d/1ddFKvqj1W1NEiWytbGlB1zMx_ykJDVtmfEQ-6-lIUBA/edit?usp=sharing"","&amp;"""จันทบุรี!J183"")+IMPORTRANGE(""https://docs.google.com/spreadsheets/d/1T1PQvRODqOBZk8BRht_U031fIS1beLA0Ub2CEytj2q0/edit?usp=sharing"",""ฉะเชิงเทรา!J183"")+IMPORTRANGE(""https://docs.google.com/spreadsheets/d/11tr1B-Bhyr79v2bkwVh5h_fR-PStkgjlZtkrZpYurG0/"&amp;"edit?usp=sharing"",""ชลบุรี!J183"")+IMPORTRANGE(""https://docs.google.com/spreadsheets/d/1hh-FVnSX0vozXhGluamEcS54Dw9_zqW0N7qJUWgJ0Sw/edit?usp=sharing"",""ชัยนาท!J183"")+IMPORTRANGE(""https://docs.google.com/spreadsheets/d/1jkqa6GXxSacMcY1eN8AHjMNJ_7dDXMJ"&amp;"VRLDlaFSOdPM/edit?usp=sharing"",""ตราด!J183"")+IMPORTRANGE(""https://docs.google.com/spreadsheets/d/18hSgUJ3VwClqi_qtULmmW3cLr0oe3OKaSYoKzdpTsYQ/edit?usp=sharing"",""นครนายก!J183"")+IMPORTRANGE(""https://docs.google.com/spreadsheets/d/1YTZo6WM2dQ6Ix6FSdnL"&amp;"5P7uVnVKu40sxZu975tgG10E/edit?usp=sharing"",""นครปฐม!J183"")+IMPORTRANGE(""https://docs.google.com/spreadsheets/d/1OYoGg4WDg5RIzwGeB10padOxJF9E_Vljuvvct_M7RDo/edit?usp=sharing"",""ปทุมธานี!J183"")+IMPORTRANGE(""https://docs.google.com/spreadsheets/d/1GbCI"&amp;"E4D4wk9FUozzqk7SxfDMxDVBwVmI5zcaVUSzKAc/edit?usp=sharing"",""ประจวบคีรีขันธ์!J183"")+IMPORTRANGE(""https://docs.google.com/spreadsheets/d/1vVf6wykvW_lAyu7Yo9L4hUTqHqIeP_qcVuxCtosJEbg/edit?usp=sharing"",""ปราจีนบุรี!J183"")+IMPORTRANGE(""https://docs.googl"&amp;"e.com/spreadsheets/d/1BIDqLLg5jk3v59G8NlR8rk5xfQDKne0sAvZHSj7TI6I/edit?usp=sharing"",""พระนครศรีอยุธยา!J183"")+IMPORTRANGE(""https://docs.google.com/spreadsheets/d/1YXvxf8Yu6_rV4hTBrwMqAcAnv6DfhUxh5emyM3CJp_w/edit?usp=sharing"",""เพชรบุรี!J183"")+IMPORTRA"&amp;"NGE(""https://docs.google.com/spreadsheets/d/19KBlQQs7uwvsao6t2n-KvW3Ax8J8uRRfZPq1zPbXgKc/edit?usp=sharing"",""ระยอง!J183"")+IMPORTRANGE(""https://docs.google.com/spreadsheets/d/1jQ6P4QcrGM89YfqcC_PxOHGCMq5ezhucwJd8ci-NHng/edit?usp=sharing"",""ราชบุรี!J18"&amp;"3"")+IMPORTRANGE(""https://docs.google.com/spreadsheets/d/1lufeA2cfFqM-elVq2hznhDzC6Pr7wkJ9ZG_sYNGCMCU/edit?usp=sharing"",""ลพบุรี!J183"")+IMPORTRANGE(""https://docs.google.com/spreadsheets/d/10oOiF7loTyfsTkbd4MpaIm0HQ9SwB7IYHdIUvt-U1Uc/edit?usp=sharing"""&amp;",""สระแก้ว!J183"")+IMPORTRANGE(""https://docs.google.com/spreadsheets/d/1xmPlrr1QbdSIKvl1dWUl9K4PjAfSL9oeMr_37QVzcxc/edit?usp=sharing"",""สระบุรี!J183"")+IMPORTRANGE(""https://docs.google.com/spreadsheets/d/1j51vR6CYVGhABJpv6tkstgok82RLpXieLzW1yOY5rHw/edi"&amp;"t?usp=sharing"",""สิงห์บุรี!J183"")+IMPORTRANGE(""https://docs.google.com/spreadsheets/d/1H1EalTWKUSzO4Z1-1CwzoDUaVffgrThEBe2sl74kKG0/edit?usp=sharing"",""สุพรรณบุรี!J183"")+IMPORTRANGE(""https://docs.google.com/spreadsheets/d/1BmIruG_sIrJLYao_Pdr7zVArWsf"&amp;"oBt2692TMi6x_854/edit?usp=sharing"",""อ่างทอง!J183"")"),91)</f>
        <v>91</v>
      </c>
      <c r="K184" s="88">
        <f t="shared" ref="K184:K186" ca="1" si="155">IF(I184&gt;0,J184*100/I184,0)</f>
        <v>68.421052631578945</v>
      </c>
      <c r="L184" s="72"/>
      <c r="M184" s="72"/>
      <c r="N184" s="72"/>
      <c r="O184" s="72"/>
      <c r="P184" s="72"/>
      <c r="Q184" s="86"/>
      <c r="R184" s="87"/>
      <c r="S184" s="87"/>
      <c r="T184" s="87"/>
      <c r="U184" s="87"/>
    </row>
    <row r="185" spans="1:21" ht="18.75" x14ac:dyDescent="0.25">
      <c r="A185" s="377"/>
      <c r="B185" s="381"/>
      <c r="C185" s="378"/>
      <c r="D185" s="379" t="s">
        <v>76</v>
      </c>
      <c r="E185" s="67"/>
      <c r="F185" s="67"/>
      <c r="G185" s="69"/>
      <c r="H185" s="380" t="s">
        <v>35</v>
      </c>
      <c r="I185" s="239">
        <v>70</v>
      </c>
      <c r="J185" s="239">
        <v>0</v>
      </c>
      <c r="K185" s="88">
        <f t="shared" si="155"/>
        <v>0</v>
      </c>
      <c r="L185" s="72"/>
      <c r="M185" s="72"/>
      <c r="N185" s="72"/>
      <c r="O185" s="72"/>
      <c r="P185" s="72"/>
      <c r="Q185" s="86"/>
      <c r="R185" s="87"/>
      <c r="S185" s="87"/>
      <c r="T185" s="87"/>
      <c r="U185" s="87"/>
    </row>
    <row r="186" spans="1:21" ht="19.5" x14ac:dyDescent="0.3">
      <c r="A186" s="368"/>
      <c r="B186" s="369" t="s">
        <v>77</v>
      </c>
      <c r="C186" s="370"/>
      <c r="D186" s="225"/>
      <c r="E186" s="225"/>
      <c r="F186" s="225"/>
      <c r="G186" s="226"/>
      <c r="H186" s="371" t="s">
        <v>35</v>
      </c>
      <c r="I186" s="372">
        <f t="shared" ref="I186:J186" ca="1" si="156">I231+I232</f>
        <v>0</v>
      </c>
      <c r="J186" s="372">
        <f t="shared" ca="1" si="156"/>
        <v>0</v>
      </c>
      <c r="K186" s="373">
        <f t="shared" ca="1" si="155"/>
        <v>0</v>
      </c>
      <c r="L186" s="374"/>
      <c r="M186" s="374"/>
      <c r="N186" s="374"/>
      <c r="O186" s="374"/>
      <c r="P186" s="374"/>
      <c r="Q186" s="375"/>
      <c r="R186" s="376"/>
      <c r="S186" s="376"/>
      <c r="T186" s="376"/>
      <c r="U186" s="376"/>
    </row>
    <row r="187" spans="1:21" ht="19.5" x14ac:dyDescent="0.3">
      <c r="A187" s="209"/>
      <c r="B187" s="67"/>
      <c r="C187" s="210" t="s">
        <v>18</v>
      </c>
      <c r="D187" s="211" t="s">
        <v>19</v>
      </c>
      <c r="E187" s="67"/>
      <c r="F187" s="67"/>
      <c r="G187" s="69"/>
      <c r="H187" s="212" t="s">
        <v>14</v>
      </c>
      <c r="I187" s="71"/>
      <c r="J187" s="71"/>
      <c r="K187" s="72"/>
      <c r="L187" s="213">
        <f t="shared" ref="L187:N187" ca="1" si="157">L188+L189</f>
        <v>3396000</v>
      </c>
      <c r="M187" s="213">
        <f t="shared" ca="1" si="157"/>
        <v>3290207</v>
      </c>
      <c r="N187" s="213">
        <f t="shared" ca="1" si="157"/>
        <v>1290151.75</v>
      </c>
      <c r="O187" s="213">
        <f t="shared" ref="O187:O195" ca="1" si="158">IF(L187&gt;0,N187*100/L187,0)</f>
        <v>37.990334216725557</v>
      </c>
      <c r="P187" s="213">
        <f t="shared" ref="P187:P195" ca="1" si="159">IF(M187&gt;0,N187*100/M187,0)</f>
        <v>39.211871775848756</v>
      </c>
      <c r="Q187" s="214">
        <f t="shared" ref="Q187:S187" ca="1" si="160">Q188+Q189</f>
        <v>1416738</v>
      </c>
      <c r="R187" s="215">
        <f t="shared" ca="1" si="160"/>
        <v>1416738</v>
      </c>
      <c r="S187" s="215">
        <f t="shared" ca="1" si="160"/>
        <v>0</v>
      </c>
      <c r="T187" s="215">
        <f t="shared" ref="T187:T195" ca="1" si="161">IF(Q187&gt;0,S187*100/Q187,0)</f>
        <v>0</v>
      </c>
      <c r="U187" s="215">
        <f t="shared" ref="U187:U195" ca="1" si="162">IF(R187&gt;0,S187*100/R187,0)</f>
        <v>0</v>
      </c>
    </row>
    <row r="188" spans="1:21" ht="18.75" x14ac:dyDescent="0.25">
      <c r="A188" s="209"/>
      <c r="B188" s="67"/>
      <c r="C188" s="67"/>
      <c r="D188" s="67"/>
      <c r="E188" s="75" t="s">
        <v>20</v>
      </c>
      <c r="F188" s="67"/>
      <c r="G188" s="69"/>
      <c r="H188" s="216" t="s">
        <v>14</v>
      </c>
      <c r="I188" s="71"/>
      <c r="J188" s="71"/>
      <c r="K188" s="72"/>
      <c r="L188" s="88">
        <f t="shared" ref="L188:N188" ca="1" si="163">L191+L194</f>
        <v>0</v>
      </c>
      <c r="M188" s="88">
        <f t="shared" ca="1" si="163"/>
        <v>0</v>
      </c>
      <c r="N188" s="88">
        <f t="shared" ca="1" si="163"/>
        <v>0</v>
      </c>
      <c r="O188" s="88">
        <f t="shared" ca="1" si="158"/>
        <v>0</v>
      </c>
      <c r="P188" s="88">
        <f t="shared" ca="1" si="159"/>
        <v>0</v>
      </c>
      <c r="Q188" s="217">
        <f t="shared" ref="Q188:S188" ca="1" si="164">Q191+Q194</f>
        <v>0</v>
      </c>
      <c r="R188" s="133">
        <f t="shared" ca="1" si="164"/>
        <v>0</v>
      </c>
      <c r="S188" s="133">
        <f t="shared" ca="1" si="164"/>
        <v>0</v>
      </c>
      <c r="T188" s="133">
        <f t="shared" ca="1" si="161"/>
        <v>0</v>
      </c>
      <c r="U188" s="133">
        <f t="shared" ca="1" si="162"/>
        <v>0</v>
      </c>
    </row>
    <row r="189" spans="1:21" ht="18.75" x14ac:dyDescent="0.25">
      <c r="A189" s="209"/>
      <c r="B189" s="67"/>
      <c r="C189" s="67"/>
      <c r="D189" s="67"/>
      <c r="E189" s="75" t="s">
        <v>21</v>
      </c>
      <c r="F189" s="67"/>
      <c r="G189" s="69"/>
      <c r="H189" s="216" t="s">
        <v>14</v>
      </c>
      <c r="I189" s="71"/>
      <c r="J189" s="71"/>
      <c r="K189" s="72"/>
      <c r="L189" s="88">
        <f t="shared" ref="L189:N189" ca="1" si="165">L192+L195</f>
        <v>3396000</v>
      </c>
      <c r="M189" s="88">
        <f t="shared" ca="1" si="165"/>
        <v>3290207</v>
      </c>
      <c r="N189" s="88">
        <f t="shared" ca="1" si="165"/>
        <v>1290151.75</v>
      </c>
      <c r="O189" s="88">
        <f t="shared" ca="1" si="158"/>
        <v>37.990334216725557</v>
      </c>
      <c r="P189" s="88">
        <f t="shared" ca="1" si="159"/>
        <v>39.211871775848756</v>
      </c>
      <c r="Q189" s="131">
        <f t="shared" ref="Q189:S189" ca="1" si="166">Q192+Q195</f>
        <v>1416738</v>
      </c>
      <c r="R189" s="132">
        <f t="shared" ca="1" si="166"/>
        <v>1416738</v>
      </c>
      <c r="S189" s="132">
        <f t="shared" ca="1" si="166"/>
        <v>0</v>
      </c>
      <c r="T189" s="132">
        <f t="shared" ca="1" si="161"/>
        <v>0</v>
      </c>
      <c r="U189" s="132">
        <f t="shared" ca="1" si="162"/>
        <v>0</v>
      </c>
    </row>
    <row r="190" spans="1:21" ht="18.75" x14ac:dyDescent="0.25">
      <c r="A190" s="209"/>
      <c r="B190" s="67"/>
      <c r="C190" s="67"/>
      <c r="D190" s="68" t="s">
        <v>22</v>
      </c>
      <c r="E190" s="67"/>
      <c r="F190" s="67"/>
      <c r="G190" s="69"/>
      <c r="H190" s="218" t="s">
        <v>14</v>
      </c>
      <c r="I190" s="219"/>
      <c r="J190" s="219"/>
      <c r="K190" s="220"/>
      <c r="L190" s="88">
        <f t="shared" ref="L190:N190" ca="1" si="167">L191+L192</f>
        <v>3396000</v>
      </c>
      <c r="M190" s="88">
        <f t="shared" ca="1" si="167"/>
        <v>3290207</v>
      </c>
      <c r="N190" s="88">
        <f t="shared" ca="1" si="167"/>
        <v>1290151.75</v>
      </c>
      <c r="O190" s="88">
        <f t="shared" ca="1" si="158"/>
        <v>37.990334216725557</v>
      </c>
      <c r="P190" s="88">
        <f t="shared" ca="1" si="159"/>
        <v>39.211871775848756</v>
      </c>
      <c r="Q190" s="131">
        <f t="shared" ref="Q190:S190" ca="1" si="168">Q191+Q192</f>
        <v>1416738</v>
      </c>
      <c r="R190" s="132">
        <f t="shared" ca="1" si="168"/>
        <v>1416738</v>
      </c>
      <c r="S190" s="132">
        <f t="shared" ca="1" si="168"/>
        <v>0</v>
      </c>
      <c r="T190" s="132">
        <f t="shared" ca="1" si="161"/>
        <v>0</v>
      </c>
      <c r="U190" s="132">
        <f t="shared" ca="1" si="162"/>
        <v>0</v>
      </c>
    </row>
    <row r="191" spans="1:21" ht="18.75" x14ac:dyDescent="0.25">
      <c r="A191" s="209"/>
      <c r="B191" s="67"/>
      <c r="C191" s="67"/>
      <c r="D191" s="67"/>
      <c r="E191" s="75" t="s">
        <v>36</v>
      </c>
      <c r="F191" s="67"/>
      <c r="G191" s="69"/>
      <c r="H191" s="218" t="s">
        <v>14</v>
      </c>
      <c r="I191" s="219"/>
      <c r="J191" s="219"/>
      <c r="K191" s="220"/>
      <c r="L191" s="88">
        <f ca="1">IFERROR(__xludf.DUMMYFUNCTION("IMPORTRANGE(""https://docs.google.com/spreadsheets/d/13wPX838HrBrQMCywv1BsuMkt4PEKTChp52zj44s2izQ/edit?usp=sharing"",""กาญจนบุรี!L190"")+IMPORTRANGE(""https://docs.google.com/spreadsheets/d/1ddFKvqj1W1NEiWytbGlB1zMx_ykJDVtmfEQ-6-lIUBA/edit?usp=sharing"","&amp;"""จันทบุรี!L190"")+IMPORTRANGE(""https://docs.google.com/spreadsheets/d/1T1PQvRODqOBZk8BRht_U031fIS1beLA0Ub2CEytj2q0/edit?usp=sharing"",""ฉะเชิงเทรา!L190"")+IMPORTRANGE(""https://docs.google.com/spreadsheets/d/11tr1B-Bhyr79v2bkwVh5h_fR-PStkgjlZtkrZpYurG0/"&amp;"edit?usp=sharing"",""ชลบุรี!L190"")+IMPORTRANGE(""https://docs.google.com/spreadsheets/d/1hh-FVnSX0vozXhGluamEcS54Dw9_zqW0N7qJUWgJ0Sw/edit?usp=sharing"",""ชัยนาท!L190"")+IMPORTRANGE(""https://docs.google.com/spreadsheets/d/1jkqa6GXxSacMcY1eN8AHjMNJ_7dDXMJ"&amp;"VRLDlaFSOdPM/edit?usp=sharing"",""ตราด!L190"")+IMPORTRANGE(""https://docs.google.com/spreadsheets/d/18hSgUJ3VwClqi_qtULmmW3cLr0oe3OKaSYoKzdpTsYQ/edit?usp=sharing"",""นครนายก!L190"")+IMPORTRANGE(""https://docs.google.com/spreadsheets/d/1YTZo6WM2dQ6Ix6FSdnL"&amp;"5P7uVnVKu40sxZu975tgG10E/edit?usp=sharing"",""นครปฐม!L190"")+IMPORTRANGE(""https://docs.google.com/spreadsheets/d/1OYoGg4WDg5RIzwGeB10padOxJF9E_Vljuvvct_M7RDo/edit?usp=sharing"",""ปทุมธานี!L190"")+IMPORTRANGE(""https://docs.google.com/spreadsheets/d/1GbCI"&amp;"E4D4wk9FUozzqk7SxfDMxDVBwVmI5zcaVUSzKAc/edit?usp=sharing"",""ประจวบคีรีขันธ์!L190"")+IMPORTRANGE(""https://docs.google.com/spreadsheets/d/1vVf6wykvW_lAyu7Yo9L4hUTqHqIeP_qcVuxCtosJEbg/edit?usp=sharing"",""ปราจีนบุรี!L190"")+IMPORTRANGE(""https://docs.googl"&amp;"e.com/spreadsheets/d/1BIDqLLg5jk3v59G8NlR8rk5xfQDKne0sAvZHSj7TI6I/edit?usp=sharing"",""พระนครศรีอยุธยา!L190"")+IMPORTRANGE(""https://docs.google.com/spreadsheets/d/1YXvxf8Yu6_rV4hTBrwMqAcAnv6DfhUxh5emyM3CJp_w/edit?usp=sharing"",""เพชรบุรี!L190"")+IMPORTRA"&amp;"NGE(""https://docs.google.com/spreadsheets/d/19KBlQQs7uwvsao6t2n-KvW3Ax8J8uRRfZPq1zPbXgKc/edit?usp=sharing"",""ระยอง!L190"")+IMPORTRANGE(""https://docs.google.com/spreadsheets/d/1jQ6P4QcrGM89YfqcC_PxOHGCMq5ezhucwJd8ci-NHng/edit?usp=sharing"",""ราชบุรี!L19"&amp;"0"")+IMPORTRANGE(""https://docs.google.com/spreadsheets/d/1lufeA2cfFqM-elVq2hznhDzC6Pr7wkJ9ZG_sYNGCMCU/edit?usp=sharing"",""ลพบุรี!L190"")+IMPORTRANGE(""https://docs.google.com/spreadsheets/d/10oOiF7loTyfsTkbd4MpaIm0HQ9SwB7IYHdIUvt-U1Uc/edit?usp=sharing"""&amp;",""สระแก้ว!L190"")+IMPORTRANGE(""https://docs.google.com/spreadsheets/d/1xmPlrr1QbdSIKvl1dWUl9K4PjAfSL9oeMr_37QVzcxc/edit?usp=sharing"",""สระบุรี!L190"")+IMPORTRANGE(""https://docs.google.com/spreadsheets/d/1j51vR6CYVGhABJpv6tkstgok82RLpXieLzW1yOY5rHw/edi"&amp;"t?usp=sharing"",""สิงห์บุรี!L190"")+IMPORTRANGE(""https://docs.google.com/spreadsheets/d/1H1EalTWKUSzO4Z1-1CwzoDUaVffgrThEBe2sl74kKG0/edit?usp=sharing"",""สุพรรณบุรี!L190"")+IMPORTRANGE(""https://docs.google.com/spreadsheets/d/1BmIruG_sIrJLYao_Pdr7zVArWsf"&amp;"oBt2692TMi6x_854/edit?usp=sharing"",""อ่างทอง!L190"")"),0)</f>
        <v>0</v>
      </c>
      <c r="M191" s="88">
        <f ca="1">IFERROR(__xludf.DUMMYFUNCTION("IMPORTRANGE(""https://docs.google.com/spreadsheets/d/13wPX838HrBrQMCywv1BsuMkt4PEKTChp52zj44s2izQ/edit?usp=sharing"",""กาญจนบุรี!M190"")+IMPORTRANGE(""https://docs.google.com/spreadsheets/d/1ddFKvqj1W1NEiWytbGlB1zMx_ykJDVtmfEQ-6-lIUBA/edit?usp=sharing"","&amp;"""จันทบุรี!M190"")+IMPORTRANGE(""https://docs.google.com/spreadsheets/d/1T1PQvRODqOBZk8BRht_U031fIS1beLA0Ub2CEytj2q0/edit?usp=sharing"",""ฉะเชิงเทรา!M190"")+IMPORTRANGE(""https://docs.google.com/spreadsheets/d/11tr1B-Bhyr79v2bkwVh5h_fR-PStkgjlZtkrZpYurG0/"&amp;"edit?usp=sharing"",""ชลบุรี!M190"")+IMPORTRANGE(""https://docs.google.com/spreadsheets/d/1hh-FVnSX0vozXhGluamEcS54Dw9_zqW0N7qJUWgJ0Sw/edit?usp=sharing"",""ชัยนาท!M190"")+IMPORTRANGE(""https://docs.google.com/spreadsheets/d/1jkqa6GXxSacMcY1eN8AHjMNJ_7dDXMJ"&amp;"VRLDlaFSOdPM/edit?usp=sharing"",""ตราด!M190"")+IMPORTRANGE(""https://docs.google.com/spreadsheets/d/18hSgUJ3VwClqi_qtULmmW3cLr0oe3OKaSYoKzdpTsYQ/edit?usp=sharing"",""นครนายก!M190"")+IMPORTRANGE(""https://docs.google.com/spreadsheets/d/1YTZo6WM2dQ6Ix6FSdnL"&amp;"5P7uVnVKu40sxZu975tgG10E/edit?usp=sharing"",""นครปฐม!M190"")+IMPORTRANGE(""https://docs.google.com/spreadsheets/d/1OYoGg4WDg5RIzwGeB10padOxJF9E_Vljuvvct_M7RDo/edit?usp=sharing"",""ปทุมธานี!M190"")+IMPORTRANGE(""https://docs.google.com/spreadsheets/d/1GbCI"&amp;"E4D4wk9FUozzqk7SxfDMxDVBwVmI5zcaVUSzKAc/edit?usp=sharing"",""ประจวบคีรีขันธ์!M190"")+IMPORTRANGE(""https://docs.google.com/spreadsheets/d/1vVf6wykvW_lAyu7Yo9L4hUTqHqIeP_qcVuxCtosJEbg/edit?usp=sharing"",""ปราจีนบุรี!M190"")+IMPORTRANGE(""https://docs.googl"&amp;"e.com/spreadsheets/d/1BIDqLLg5jk3v59G8NlR8rk5xfQDKne0sAvZHSj7TI6I/edit?usp=sharing"",""พระนครศรีอยุธยา!M190"")+IMPORTRANGE(""https://docs.google.com/spreadsheets/d/1YXvxf8Yu6_rV4hTBrwMqAcAnv6DfhUxh5emyM3CJp_w/edit?usp=sharing"",""เพชรบุรี!M190"")+IMPORTRA"&amp;"NGE(""https://docs.google.com/spreadsheets/d/19KBlQQs7uwvsao6t2n-KvW3Ax8J8uRRfZPq1zPbXgKc/edit?usp=sharing"",""ระยอง!M190"")+IMPORTRANGE(""https://docs.google.com/spreadsheets/d/1jQ6P4QcrGM89YfqcC_PxOHGCMq5ezhucwJd8ci-NHng/edit?usp=sharing"",""ราชบุรี!M19"&amp;"0"")+IMPORTRANGE(""https://docs.google.com/spreadsheets/d/1lufeA2cfFqM-elVq2hznhDzC6Pr7wkJ9ZG_sYNGCMCU/edit?usp=sharing"",""ลพบุรี!M190"")+IMPORTRANGE(""https://docs.google.com/spreadsheets/d/10oOiF7loTyfsTkbd4MpaIm0HQ9SwB7IYHdIUvt-U1Uc/edit?usp=sharing"""&amp;",""สระแก้ว!M190"")+IMPORTRANGE(""https://docs.google.com/spreadsheets/d/1xmPlrr1QbdSIKvl1dWUl9K4PjAfSL9oeMr_37QVzcxc/edit?usp=sharing"",""สระบุรี!M190"")+IMPORTRANGE(""https://docs.google.com/spreadsheets/d/1j51vR6CYVGhABJpv6tkstgok82RLpXieLzW1yOY5rHw/edi"&amp;"t?usp=sharing"",""สิงห์บุรี!M190"")+IMPORTRANGE(""https://docs.google.com/spreadsheets/d/1H1EalTWKUSzO4Z1-1CwzoDUaVffgrThEBe2sl74kKG0/edit?usp=sharing"",""สุพรรณบุรี!M190"")+IMPORTRANGE(""https://docs.google.com/spreadsheets/d/1BmIruG_sIrJLYao_Pdr7zVArWsf"&amp;"oBt2692TMi6x_854/edit?usp=sharing"",""อ่างทอง!M190"")"),0)</f>
        <v>0</v>
      </c>
      <c r="N191" s="88">
        <f ca="1">IFERROR(__xludf.DUMMYFUNCTION("IMPORTRANGE(""https://docs.google.com/spreadsheets/d/13wPX838HrBrQMCywv1BsuMkt4PEKTChp52zj44s2izQ/edit?usp=sharing"",""กาญจนบุรี!N190"")+IMPORTRANGE(""https://docs.google.com/spreadsheets/d/1ddFKvqj1W1NEiWytbGlB1zMx_ykJDVtmfEQ-6-lIUBA/edit?usp=sharing"","&amp;"""จันทบุรี!N190"")+IMPORTRANGE(""https://docs.google.com/spreadsheets/d/1T1PQvRODqOBZk8BRht_U031fIS1beLA0Ub2CEytj2q0/edit?usp=sharing"",""ฉะเชิงเทรา!N190"")+IMPORTRANGE(""https://docs.google.com/spreadsheets/d/11tr1B-Bhyr79v2bkwVh5h_fR-PStkgjlZtkrZpYurG0/"&amp;"edit?usp=sharing"",""ชลบุรี!N190"")+IMPORTRANGE(""https://docs.google.com/spreadsheets/d/1hh-FVnSX0vozXhGluamEcS54Dw9_zqW0N7qJUWgJ0Sw/edit?usp=sharing"",""ชัยนาท!N190"")+IMPORTRANGE(""https://docs.google.com/spreadsheets/d/1jkqa6GXxSacMcY1eN8AHjMNJ_7dDXMJ"&amp;"VRLDlaFSOdPM/edit?usp=sharing"",""ตราด!N190"")+IMPORTRANGE(""https://docs.google.com/spreadsheets/d/18hSgUJ3VwClqi_qtULmmW3cLr0oe3OKaSYoKzdpTsYQ/edit?usp=sharing"",""นครนายก!N190"")+IMPORTRANGE(""https://docs.google.com/spreadsheets/d/1YTZo6WM2dQ6Ix6FSdnL"&amp;"5P7uVnVKu40sxZu975tgG10E/edit?usp=sharing"",""นครปฐม!N190"")+IMPORTRANGE(""https://docs.google.com/spreadsheets/d/1OYoGg4WDg5RIzwGeB10padOxJF9E_Vljuvvct_M7RDo/edit?usp=sharing"",""ปทุมธานี!N190"")+IMPORTRANGE(""https://docs.google.com/spreadsheets/d/1GbCI"&amp;"E4D4wk9FUozzqk7SxfDMxDVBwVmI5zcaVUSzKAc/edit?usp=sharing"",""ประจวบคีรีขันธ์!N190"")+IMPORTRANGE(""https://docs.google.com/spreadsheets/d/1vVf6wykvW_lAyu7Yo9L4hUTqHqIeP_qcVuxCtosJEbg/edit?usp=sharing"",""ปราจีนบุรี!N190"")+IMPORTRANGE(""https://docs.googl"&amp;"e.com/spreadsheets/d/1BIDqLLg5jk3v59G8NlR8rk5xfQDKne0sAvZHSj7TI6I/edit?usp=sharing"",""พระนครศรีอยุธยา!N190"")+IMPORTRANGE(""https://docs.google.com/spreadsheets/d/1YXvxf8Yu6_rV4hTBrwMqAcAnv6DfhUxh5emyM3CJp_w/edit?usp=sharing"",""เพชรบุรี!N190"")+IMPORTRA"&amp;"NGE(""https://docs.google.com/spreadsheets/d/19KBlQQs7uwvsao6t2n-KvW3Ax8J8uRRfZPq1zPbXgKc/edit?usp=sharing"",""ระยอง!N190"")+IMPORTRANGE(""https://docs.google.com/spreadsheets/d/1jQ6P4QcrGM89YfqcC_PxOHGCMq5ezhucwJd8ci-NHng/edit?usp=sharing"",""ราชบุรี!N19"&amp;"0"")+IMPORTRANGE(""https://docs.google.com/spreadsheets/d/1lufeA2cfFqM-elVq2hznhDzC6Pr7wkJ9ZG_sYNGCMCU/edit?usp=sharing"",""ลพบุรี!N190"")+IMPORTRANGE(""https://docs.google.com/spreadsheets/d/10oOiF7loTyfsTkbd4MpaIm0HQ9SwB7IYHdIUvt-U1Uc/edit?usp=sharing"""&amp;",""สระแก้ว!N190"")+IMPORTRANGE(""https://docs.google.com/spreadsheets/d/1xmPlrr1QbdSIKvl1dWUl9K4PjAfSL9oeMr_37QVzcxc/edit?usp=sharing"",""สระบุรี!N190"")+IMPORTRANGE(""https://docs.google.com/spreadsheets/d/1j51vR6CYVGhABJpv6tkstgok82RLpXieLzW1yOY5rHw/edi"&amp;"t?usp=sharing"",""สิงห์บุรี!N190"")+IMPORTRANGE(""https://docs.google.com/spreadsheets/d/1H1EalTWKUSzO4Z1-1CwzoDUaVffgrThEBe2sl74kKG0/edit?usp=sharing"",""สุพรรณบุรี!N190"")+IMPORTRANGE(""https://docs.google.com/spreadsheets/d/1BmIruG_sIrJLYao_Pdr7zVArWsf"&amp;"oBt2692TMi6x_854/edit?usp=sharing"",""อ่างทอง!N190"")"),0)</f>
        <v>0</v>
      </c>
      <c r="O191" s="88">
        <f t="shared" ca="1" si="158"/>
        <v>0</v>
      </c>
      <c r="P191" s="88">
        <f t="shared" ca="1" si="159"/>
        <v>0</v>
      </c>
      <c r="Q191" s="76">
        <f ca="1">IFERROR(__xludf.DUMMYFUNCTION("IMPORTRANGE(""https://docs.google.com/spreadsheets/d/13wPX838HrBrQMCywv1BsuMkt4PEKTChp52zj44s2izQ/edit?usp=sharing"",""กาญจนบุรี!Q190"")+IMPORTRANGE(""https://docs.google.com/spreadsheets/d/1ddFKvqj1W1NEiWytbGlB1zMx_ykJDVtmfEQ-6-lIUBA/edit?usp=sharing"","&amp;"""จันทบุรี!Q190"")+IMPORTRANGE(""https://docs.google.com/spreadsheets/d/1T1PQvRODqOBZk8BRht_U031fIS1beLA0Ub2CEytj2q0/edit?usp=sharing"",""ฉะเชิงเทรา!Q190"")+IMPORTRANGE(""https://docs.google.com/spreadsheets/d/11tr1B-Bhyr79v2bkwVh5h_fR-PStkgjlZtkrZpYurG0/"&amp;"edit?usp=sharing"",""ชลบุรี!Q190"")+IMPORTRANGE(""https://docs.google.com/spreadsheets/d/1hh-FVnSX0vozXhGluamEcS54Dw9_zqW0N7qJUWgJ0Sw/edit?usp=sharing"",""ชัยนาท!Q190"")+IMPORTRANGE(""https://docs.google.com/spreadsheets/d/1jkqa6GXxSacMcY1eN8AHjMNJ_7dDXMJ"&amp;"VRLDlaFSOdPM/edit?usp=sharing"",""ตราด!Q190"")+IMPORTRANGE(""https://docs.google.com/spreadsheets/d/18hSgUJ3VwClqi_qtULmmW3cLr0oe3OKaSYoKzdpTsYQ/edit?usp=sharing"",""นครนายก!Q190"")+IMPORTRANGE(""https://docs.google.com/spreadsheets/d/1YTZo6WM2dQ6Ix6FSdnL"&amp;"5P7uVnVKu40sxZu975tgG10E/edit?usp=sharing"",""นครปฐม!Q190"")+IMPORTRANGE(""https://docs.google.com/spreadsheets/d/1OYoGg4WDg5RIzwGeB10padOxJF9E_Vljuvvct_M7RDo/edit?usp=sharing"",""ปทุมธานี!Q190"")+IMPORTRANGE(""https://docs.google.com/spreadsheets/d/1GbCI"&amp;"E4D4wk9FUozzqk7SxfDMxDVBwVmI5zcaVUSzKAc/edit?usp=sharing"",""ประจวบคีรีขันธ์!Q190"")+IMPORTRANGE(""https://docs.google.com/spreadsheets/d/1vVf6wykvW_lAyu7Yo9L4hUTqHqIeP_qcVuxCtosJEbg/edit?usp=sharing"",""ปราจีนบุรี!Q190"")+IMPORTRANGE(""https://docs.googl"&amp;"e.com/spreadsheets/d/1BIDqLLg5jk3v59G8NlR8rk5xfQDKne0sAvZHSj7TI6I/edit?usp=sharing"",""พระนครศรีอยุธยา!Q190"")+IMPORTRANGE(""https://docs.google.com/spreadsheets/d/1YXvxf8Yu6_rV4hTBrwMqAcAnv6DfhUxh5emyM3CJp_w/edit?usp=sharing"",""เพชรบุรี!Q190"")+IMPORTRA"&amp;"NGE(""https://docs.google.com/spreadsheets/d/19KBlQQs7uwvsao6t2n-KvW3Ax8J8uRRfZPq1zPbXgKc/edit?usp=sharing"",""ระยอง!Q190"")+IMPORTRANGE(""https://docs.google.com/spreadsheets/d/1jQ6P4QcrGM89YfqcC_PxOHGCMq5ezhucwJd8ci-NHng/edit?usp=sharing"",""ราชบุรี!Q19"&amp;"0"")+IMPORTRANGE(""https://docs.google.com/spreadsheets/d/1lufeA2cfFqM-elVq2hznhDzC6Pr7wkJ9ZG_sYNGCMCU/edit?usp=sharing"",""ลพบุรี!Q190"")+IMPORTRANGE(""https://docs.google.com/spreadsheets/d/10oOiF7loTyfsTkbd4MpaIm0HQ9SwB7IYHdIUvt-U1Uc/edit?usp=sharing"""&amp;",""สระแก้ว!Q190"")+IMPORTRANGE(""https://docs.google.com/spreadsheets/d/1xmPlrr1QbdSIKvl1dWUl9K4PjAfSL9oeMr_37QVzcxc/edit?usp=sharing"",""สระบุรี!Q190"")+IMPORTRANGE(""https://docs.google.com/spreadsheets/d/1j51vR6CYVGhABJpv6tkstgok82RLpXieLzW1yOY5rHw/edi"&amp;"t?usp=sharing"",""สิงห์บุรี!Q190"")+IMPORTRANGE(""https://docs.google.com/spreadsheets/d/1H1EalTWKUSzO4Z1-1CwzoDUaVffgrThEBe2sl74kKG0/edit?usp=sharing"",""สุพรรณบุรี!Q190"")+IMPORTRANGE(""https://docs.google.com/spreadsheets/d/1BmIruG_sIrJLYao_Pdr7zVArWsf"&amp;"oBt2692TMi6x_854/edit?usp=sharing"",""อ่างทอง!Q190"")"),0)</f>
        <v>0</v>
      </c>
      <c r="R191" s="77">
        <f ca="1">IFERROR(__xludf.DUMMYFUNCTION("IMPORTRANGE(""https://docs.google.com/spreadsheets/d/13wPX838HrBrQMCywv1BsuMkt4PEKTChp52zj44s2izQ/edit?usp=sharing"",""กาญจนบุรี!R190"")+IMPORTRANGE(""https://docs.google.com/spreadsheets/d/1ddFKvqj1W1NEiWytbGlB1zMx_ykJDVtmfEQ-6-lIUBA/edit?usp=sharing"","&amp;"""จันทบุรี!R190"")+IMPORTRANGE(""https://docs.google.com/spreadsheets/d/1T1PQvRODqOBZk8BRht_U031fIS1beLA0Ub2CEytj2q0/edit?usp=sharing"",""ฉะเชิงเทรา!R190"")+IMPORTRANGE(""https://docs.google.com/spreadsheets/d/11tr1B-Bhyr79v2bkwVh5h_fR-PStkgjlZtkrZpYurG0/"&amp;"edit?usp=sharing"",""ชลบุรี!R190"")+IMPORTRANGE(""https://docs.google.com/spreadsheets/d/1hh-FVnSX0vozXhGluamEcS54Dw9_zqW0N7qJUWgJ0Sw/edit?usp=sharing"",""ชัยนาท!R190"")+IMPORTRANGE(""https://docs.google.com/spreadsheets/d/1jkqa6GXxSacMcY1eN8AHjMNJ_7dDXMJ"&amp;"VRLDlaFSOdPM/edit?usp=sharing"",""ตราด!R190"")+IMPORTRANGE(""https://docs.google.com/spreadsheets/d/18hSgUJ3VwClqi_qtULmmW3cLr0oe3OKaSYoKzdpTsYQ/edit?usp=sharing"",""นครนายก!R190"")+IMPORTRANGE(""https://docs.google.com/spreadsheets/d/1YTZo6WM2dQ6Ix6FSdnL"&amp;"5P7uVnVKu40sxZu975tgG10E/edit?usp=sharing"",""นครปฐม!R190"")+IMPORTRANGE(""https://docs.google.com/spreadsheets/d/1OYoGg4WDg5RIzwGeB10padOxJF9E_Vljuvvct_M7RDo/edit?usp=sharing"",""ปทุมธานี!R190"")+IMPORTRANGE(""https://docs.google.com/spreadsheets/d/1GbCI"&amp;"E4D4wk9FUozzqk7SxfDMxDVBwVmI5zcaVUSzKAc/edit?usp=sharing"",""ประจวบคีรีขันธ์!R190"")+IMPORTRANGE(""https://docs.google.com/spreadsheets/d/1vVf6wykvW_lAyu7Yo9L4hUTqHqIeP_qcVuxCtosJEbg/edit?usp=sharing"",""ปราจีนบุรี!R190"")+IMPORTRANGE(""https://docs.googl"&amp;"e.com/spreadsheets/d/1BIDqLLg5jk3v59G8NlR8rk5xfQDKne0sAvZHSj7TI6I/edit?usp=sharing"",""พระนครศรีอยุธยา!R190"")+IMPORTRANGE(""https://docs.google.com/spreadsheets/d/1YXvxf8Yu6_rV4hTBrwMqAcAnv6DfhUxh5emyM3CJp_w/edit?usp=sharing"",""เพชรบุรี!R190"")+IMPORTRA"&amp;"NGE(""https://docs.google.com/spreadsheets/d/19KBlQQs7uwvsao6t2n-KvW3Ax8J8uRRfZPq1zPbXgKc/edit?usp=sharing"",""ระยอง!R190"")+IMPORTRANGE(""https://docs.google.com/spreadsheets/d/1jQ6P4QcrGM89YfqcC_PxOHGCMq5ezhucwJd8ci-NHng/edit?usp=sharing"",""ราชบุรี!R19"&amp;"0"")+IMPORTRANGE(""https://docs.google.com/spreadsheets/d/1lufeA2cfFqM-elVq2hznhDzC6Pr7wkJ9ZG_sYNGCMCU/edit?usp=sharing"",""ลพบุรี!R190"")+IMPORTRANGE(""https://docs.google.com/spreadsheets/d/10oOiF7loTyfsTkbd4MpaIm0HQ9SwB7IYHdIUvt-U1Uc/edit?usp=sharing"""&amp;",""สระแก้ว!R190"")+IMPORTRANGE(""https://docs.google.com/spreadsheets/d/1xmPlrr1QbdSIKvl1dWUl9K4PjAfSL9oeMr_37QVzcxc/edit?usp=sharing"",""สระบุรี!R190"")+IMPORTRANGE(""https://docs.google.com/spreadsheets/d/1j51vR6CYVGhABJpv6tkstgok82RLpXieLzW1yOY5rHw/edi"&amp;"t?usp=sharing"",""สิงห์บุรี!R190"")+IMPORTRANGE(""https://docs.google.com/spreadsheets/d/1H1EalTWKUSzO4Z1-1CwzoDUaVffgrThEBe2sl74kKG0/edit?usp=sharing"",""สุพรรณบุรี!R190"")+IMPORTRANGE(""https://docs.google.com/spreadsheets/d/1BmIruG_sIrJLYao_Pdr7zVArWsf"&amp;"oBt2692TMi6x_854/edit?usp=sharing"",""อ่างทอง!R190"")"),0)</f>
        <v>0</v>
      </c>
      <c r="S191" s="77">
        <f ca="1">IFERROR(__xludf.DUMMYFUNCTION("IMPORTRANGE(""https://docs.google.com/spreadsheets/d/13wPX838HrBrQMCywv1BsuMkt4PEKTChp52zj44s2izQ/edit?usp=sharing"",""กาญจนบุรี!S190"")+IMPORTRANGE(""https://docs.google.com/spreadsheets/d/1ddFKvqj1W1NEiWytbGlB1zMx_ykJDVtmfEQ-6-lIUBA/edit?usp=sharing"","&amp;"""จันทบุรี!S190"")+IMPORTRANGE(""https://docs.google.com/spreadsheets/d/1T1PQvRODqOBZk8BRht_U031fIS1beLA0Ub2CEytj2q0/edit?usp=sharing"",""ฉะเชิงเทรา!S190"")+IMPORTRANGE(""https://docs.google.com/spreadsheets/d/11tr1B-Bhyr79v2bkwVh5h_fR-PStkgjlZtkrZpYurG0/"&amp;"edit?usp=sharing"",""ชลบุรี!S190"")+IMPORTRANGE(""https://docs.google.com/spreadsheets/d/1hh-FVnSX0vozXhGluamEcS54Dw9_zqW0N7qJUWgJ0Sw/edit?usp=sharing"",""ชัยนาท!S190"")+IMPORTRANGE(""https://docs.google.com/spreadsheets/d/1jkqa6GXxSacMcY1eN8AHjMNJ_7dDXMJ"&amp;"VRLDlaFSOdPM/edit?usp=sharing"",""ตราด!S190"")+IMPORTRANGE(""https://docs.google.com/spreadsheets/d/18hSgUJ3VwClqi_qtULmmW3cLr0oe3OKaSYoKzdpTsYQ/edit?usp=sharing"",""นครนายก!S190"")+IMPORTRANGE(""https://docs.google.com/spreadsheets/d/1YTZo6WM2dQ6Ix6FSdnL"&amp;"5P7uVnVKu40sxZu975tgG10E/edit?usp=sharing"",""นครปฐม!S190"")+IMPORTRANGE(""https://docs.google.com/spreadsheets/d/1OYoGg4WDg5RIzwGeB10padOxJF9E_Vljuvvct_M7RDo/edit?usp=sharing"",""ปทุมธานี!S190"")+IMPORTRANGE(""https://docs.google.com/spreadsheets/d/1GbCI"&amp;"E4D4wk9FUozzqk7SxfDMxDVBwVmI5zcaVUSzKAc/edit?usp=sharing"",""ประจวบคีรีขันธ์!S190"")+IMPORTRANGE(""https://docs.google.com/spreadsheets/d/1vVf6wykvW_lAyu7Yo9L4hUTqHqIeP_qcVuxCtosJEbg/edit?usp=sharing"",""ปราจีนบุรี!S190"")+IMPORTRANGE(""https://docs.googl"&amp;"e.com/spreadsheets/d/1BIDqLLg5jk3v59G8NlR8rk5xfQDKne0sAvZHSj7TI6I/edit?usp=sharing"",""พระนครศรีอยุธยา!S190"")+IMPORTRANGE(""https://docs.google.com/spreadsheets/d/1YXvxf8Yu6_rV4hTBrwMqAcAnv6DfhUxh5emyM3CJp_w/edit?usp=sharing"",""เพชรบุรี!S190"")+IMPORTRA"&amp;"NGE(""https://docs.google.com/spreadsheets/d/19KBlQQs7uwvsao6t2n-KvW3Ax8J8uRRfZPq1zPbXgKc/edit?usp=sharing"",""ระยอง!S190"")+IMPORTRANGE(""https://docs.google.com/spreadsheets/d/1jQ6P4QcrGM89YfqcC_PxOHGCMq5ezhucwJd8ci-NHng/edit?usp=sharing"",""ราชบุรี!S19"&amp;"0"")+IMPORTRANGE(""https://docs.google.com/spreadsheets/d/1lufeA2cfFqM-elVq2hznhDzC6Pr7wkJ9ZG_sYNGCMCU/edit?usp=sharing"",""ลพบุรี!S190"")+IMPORTRANGE(""https://docs.google.com/spreadsheets/d/10oOiF7loTyfsTkbd4MpaIm0HQ9SwB7IYHdIUvt-U1Uc/edit?usp=sharing"""&amp;",""สระแก้ว!S190"")+IMPORTRANGE(""https://docs.google.com/spreadsheets/d/1xmPlrr1QbdSIKvl1dWUl9K4PjAfSL9oeMr_37QVzcxc/edit?usp=sharing"",""สระบุรี!S190"")+IMPORTRANGE(""https://docs.google.com/spreadsheets/d/1j51vR6CYVGhABJpv6tkstgok82RLpXieLzW1yOY5rHw/edi"&amp;"t?usp=sharing"",""สิงห์บุรี!S190"")+IMPORTRANGE(""https://docs.google.com/spreadsheets/d/1H1EalTWKUSzO4Z1-1CwzoDUaVffgrThEBe2sl74kKG0/edit?usp=sharing"",""สุพรรณบุรี!S190"")+IMPORTRANGE(""https://docs.google.com/spreadsheets/d/1BmIruG_sIrJLYao_Pdr7zVArWsf"&amp;"oBt2692TMi6x_854/edit?usp=sharing"",""อ่างทอง!S190"")"),0)</f>
        <v>0</v>
      </c>
      <c r="T191" s="133">
        <f t="shared" ca="1" si="161"/>
        <v>0</v>
      </c>
      <c r="U191" s="133">
        <f t="shared" ca="1" si="162"/>
        <v>0</v>
      </c>
    </row>
    <row r="192" spans="1:21" ht="18.75" x14ac:dyDescent="0.25">
      <c r="A192" s="209"/>
      <c r="B192" s="67"/>
      <c r="C192" s="67"/>
      <c r="D192" s="67"/>
      <c r="E192" s="75" t="s">
        <v>37</v>
      </c>
      <c r="F192" s="67"/>
      <c r="G192" s="69"/>
      <c r="H192" s="218" t="s">
        <v>14</v>
      </c>
      <c r="I192" s="219"/>
      <c r="J192" s="219"/>
      <c r="K192" s="220"/>
      <c r="L192" s="88">
        <f ca="1">IFERROR(__xludf.DUMMYFUNCTION("IMPORTRANGE(""https://docs.google.com/spreadsheets/d/13wPX838HrBrQMCywv1BsuMkt4PEKTChp52zj44s2izQ/edit?usp=sharing"",""กาญจนบุรี!L191"")+IMPORTRANGE(""https://docs.google.com/spreadsheets/d/1ddFKvqj1W1NEiWytbGlB1zMx_ykJDVtmfEQ-6-lIUBA/edit?usp=sharing"","&amp;"""จันทบุรี!L191"")+IMPORTRANGE(""https://docs.google.com/spreadsheets/d/1T1PQvRODqOBZk8BRht_U031fIS1beLA0Ub2CEytj2q0/edit?usp=sharing"",""ฉะเชิงเทรา!L191"")+IMPORTRANGE(""https://docs.google.com/spreadsheets/d/11tr1B-Bhyr79v2bkwVh5h_fR-PStkgjlZtkrZpYurG0/"&amp;"edit?usp=sharing"",""ชลบุรี!L191"")+IMPORTRANGE(""https://docs.google.com/spreadsheets/d/1hh-FVnSX0vozXhGluamEcS54Dw9_zqW0N7qJUWgJ0Sw/edit?usp=sharing"",""ชัยนาท!L191"")+IMPORTRANGE(""https://docs.google.com/spreadsheets/d/1jkqa6GXxSacMcY1eN8AHjMNJ_7dDXMJ"&amp;"VRLDlaFSOdPM/edit?usp=sharing"",""ตราด!L191"")+IMPORTRANGE(""https://docs.google.com/spreadsheets/d/18hSgUJ3VwClqi_qtULmmW3cLr0oe3OKaSYoKzdpTsYQ/edit?usp=sharing"",""นครนายก!L191"")+IMPORTRANGE(""https://docs.google.com/spreadsheets/d/1YTZo6WM2dQ6Ix6FSdnL"&amp;"5P7uVnVKu40sxZu975tgG10E/edit?usp=sharing"",""นครปฐม!L191"")+IMPORTRANGE(""https://docs.google.com/spreadsheets/d/1OYoGg4WDg5RIzwGeB10padOxJF9E_Vljuvvct_M7RDo/edit?usp=sharing"",""ปทุมธานี!L191"")+IMPORTRANGE(""https://docs.google.com/spreadsheets/d/1GbCI"&amp;"E4D4wk9FUozzqk7SxfDMxDVBwVmI5zcaVUSzKAc/edit?usp=sharing"",""ประจวบคีรีขันธ์!L191"")+IMPORTRANGE(""https://docs.google.com/spreadsheets/d/1vVf6wykvW_lAyu7Yo9L4hUTqHqIeP_qcVuxCtosJEbg/edit?usp=sharing"",""ปราจีนบุรี!L191"")+IMPORTRANGE(""https://docs.googl"&amp;"e.com/spreadsheets/d/1BIDqLLg5jk3v59G8NlR8rk5xfQDKne0sAvZHSj7TI6I/edit?usp=sharing"",""พระนครศรีอยุธยา!L191"")+IMPORTRANGE(""https://docs.google.com/spreadsheets/d/1YXvxf8Yu6_rV4hTBrwMqAcAnv6DfhUxh5emyM3CJp_w/edit?usp=sharing"",""เพชรบุรี!L191"")+IMPORTRA"&amp;"NGE(""https://docs.google.com/spreadsheets/d/19KBlQQs7uwvsao6t2n-KvW3Ax8J8uRRfZPq1zPbXgKc/edit?usp=sharing"",""ระยอง!L191"")+IMPORTRANGE(""https://docs.google.com/spreadsheets/d/1jQ6P4QcrGM89YfqcC_PxOHGCMq5ezhucwJd8ci-NHng/edit?usp=sharing"",""ราชบุรี!L19"&amp;"1"")+IMPORTRANGE(""https://docs.google.com/spreadsheets/d/1lufeA2cfFqM-elVq2hznhDzC6Pr7wkJ9ZG_sYNGCMCU/edit?usp=sharing"",""ลพบุรี!L191"")+IMPORTRANGE(""https://docs.google.com/spreadsheets/d/10oOiF7loTyfsTkbd4MpaIm0HQ9SwB7IYHdIUvt-U1Uc/edit?usp=sharing"""&amp;",""สระแก้ว!L191"")+IMPORTRANGE(""https://docs.google.com/spreadsheets/d/1xmPlrr1QbdSIKvl1dWUl9K4PjAfSL9oeMr_37QVzcxc/edit?usp=sharing"",""สระบุรี!L191"")+IMPORTRANGE(""https://docs.google.com/spreadsheets/d/1j51vR6CYVGhABJpv6tkstgok82RLpXieLzW1yOY5rHw/edi"&amp;"t?usp=sharing"",""สิงห์บุรี!L191"")+IMPORTRANGE(""https://docs.google.com/spreadsheets/d/1H1EalTWKUSzO4Z1-1CwzoDUaVffgrThEBe2sl74kKG0/edit?usp=sharing"",""สุพรรณบุรี!L191"")+IMPORTRANGE(""https://docs.google.com/spreadsheets/d/1BmIruG_sIrJLYao_Pdr7zVArWsf"&amp;"oBt2692TMi6x_854/edit?usp=sharing"",""อ่างทอง!L191"")"),3396000)</f>
        <v>3396000</v>
      </c>
      <c r="M192" s="88">
        <f ca="1">IFERROR(__xludf.DUMMYFUNCTION("IMPORTRANGE(""https://docs.google.com/spreadsheets/d/13wPX838HrBrQMCywv1BsuMkt4PEKTChp52zj44s2izQ/edit?usp=sharing"",""กาญจนบุรี!M191"")+IMPORTRANGE(""https://docs.google.com/spreadsheets/d/1ddFKvqj1W1NEiWytbGlB1zMx_ykJDVtmfEQ-6-lIUBA/edit?usp=sharing"","&amp;"""จันทบุรี!M191"")+IMPORTRANGE(""https://docs.google.com/spreadsheets/d/1T1PQvRODqOBZk8BRht_U031fIS1beLA0Ub2CEytj2q0/edit?usp=sharing"",""ฉะเชิงเทรา!M191"")+IMPORTRANGE(""https://docs.google.com/spreadsheets/d/11tr1B-Bhyr79v2bkwVh5h_fR-PStkgjlZtkrZpYurG0/"&amp;"edit?usp=sharing"",""ชลบุรี!M191"")+IMPORTRANGE(""https://docs.google.com/spreadsheets/d/1hh-FVnSX0vozXhGluamEcS54Dw9_zqW0N7qJUWgJ0Sw/edit?usp=sharing"",""ชัยนาท!M191"")+IMPORTRANGE(""https://docs.google.com/spreadsheets/d/1jkqa6GXxSacMcY1eN8AHjMNJ_7dDXMJ"&amp;"VRLDlaFSOdPM/edit?usp=sharing"",""ตราด!M191"")+IMPORTRANGE(""https://docs.google.com/spreadsheets/d/18hSgUJ3VwClqi_qtULmmW3cLr0oe3OKaSYoKzdpTsYQ/edit?usp=sharing"",""นครนายก!M191"")+IMPORTRANGE(""https://docs.google.com/spreadsheets/d/1YTZo6WM2dQ6Ix6FSdnL"&amp;"5P7uVnVKu40sxZu975tgG10E/edit?usp=sharing"",""นครปฐม!M191"")+IMPORTRANGE(""https://docs.google.com/spreadsheets/d/1OYoGg4WDg5RIzwGeB10padOxJF9E_Vljuvvct_M7RDo/edit?usp=sharing"",""ปทุมธานี!M191"")+IMPORTRANGE(""https://docs.google.com/spreadsheets/d/1GbCI"&amp;"E4D4wk9FUozzqk7SxfDMxDVBwVmI5zcaVUSzKAc/edit?usp=sharing"",""ประจวบคีรีขันธ์!M191"")+IMPORTRANGE(""https://docs.google.com/spreadsheets/d/1vVf6wykvW_lAyu7Yo9L4hUTqHqIeP_qcVuxCtosJEbg/edit?usp=sharing"",""ปราจีนบุรี!M191"")+IMPORTRANGE(""https://docs.googl"&amp;"e.com/spreadsheets/d/1BIDqLLg5jk3v59G8NlR8rk5xfQDKne0sAvZHSj7TI6I/edit?usp=sharing"",""พระนครศรีอยุธยา!M191"")+IMPORTRANGE(""https://docs.google.com/spreadsheets/d/1YXvxf8Yu6_rV4hTBrwMqAcAnv6DfhUxh5emyM3CJp_w/edit?usp=sharing"",""เพชรบุรี!M191"")+IMPORTRA"&amp;"NGE(""https://docs.google.com/spreadsheets/d/19KBlQQs7uwvsao6t2n-KvW3Ax8J8uRRfZPq1zPbXgKc/edit?usp=sharing"",""ระยอง!M191"")+IMPORTRANGE(""https://docs.google.com/spreadsheets/d/1jQ6P4QcrGM89YfqcC_PxOHGCMq5ezhucwJd8ci-NHng/edit?usp=sharing"",""ราชบุรี!M19"&amp;"1"")+IMPORTRANGE(""https://docs.google.com/spreadsheets/d/1lufeA2cfFqM-elVq2hznhDzC6Pr7wkJ9ZG_sYNGCMCU/edit?usp=sharing"",""ลพบุรี!M191"")+IMPORTRANGE(""https://docs.google.com/spreadsheets/d/10oOiF7loTyfsTkbd4MpaIm0HQ9SwB7IYHdIUvt-U1Uc/edit?usp=sharing"""&amp;",""สระแก้ว!M191"")+IMPORTRANGE(""https://docs.google.com/spreadsheets/d/1xmPlrr1QbdSIKvl1dWUl9K4PjAfSL9oeMr_37QVzcxc/edit?usp=sharing"",""สระบุรี!M191"")+IMPORTRANGE(""https://docs.google.com/spreadsheets/d/1j51vR6CYVGhABJpv6tkstgok82RLpXieLzW1yOY5rHw/edi"&amp;"t?usp=sharing"",""สิงห์บุรี!M191"")+IMPORTRANGE(""https://docs.google.com/spreadsheets/d/1H1EalTWKUSzO4Z1-1CwzoDUaVffgrThEBe2sl74kKG0/edit?usp=sharing"",""สุพรรณบุรี!M191"")+IMPORTRANGE(""https://docs.google.com/spreadsheets/d/1BmIruG_sIrJLYao_Pdr7zVArWsf"&amp;"oBt2692TMi6x_854/edit?usp=sharing"",""อ่างทอง!M191"")"),3290207)</f>
        <v>3290207</v>
      </c>
      <c r="N192" s="88">
        <f ca="1">IFERROR(__xludf.DUMMYFUNCTION("IMPORTRANGE(""https://docs.google.com/spreadsheets/d/13wPX838HrBrQMCywv1BsuMkt4PEKTChp52zj44s2izQ/edit?usp=sharing"",""กาญจนบุรี!N191"")+IMPORTRANGE(""https://docs.google.com/spreadsheets/d/1ddFKvqj1W1NEiWytbGlB1zMx_ykJDVtmfEQ-6-lIUBA/edit?usp=sharing"","&amp;"""จันทบุรี!N191"")+IMPORTRANGE(""https://docs.google.com/spreadsheets/d/1T1PQvRODqOBZk8BRht_U031fIS1beLA0Ub2CEytj2q0/edit?usp=sharing"",""ฉะเชิงเทรา!N191"")+IMPORTRANGE(""https://docs.google.com/spreadsheets/d/11tr1B-Bhyr79v2bkwVh5h_fR-PStkgjlZtkrZpYurG0/"&amp;"edit?usp=sharing"",""ชลบุรี!N191"")+IMPORTRANGE(""https://docs.google.com/spreadsheets/d/1hh-FVnSX0vozXhGluamEcS54Dw9_zqW0N7qJUWgJ0Sw/edit?usp=sharing"",""ชัยนาท!N191"")+IMPORTRANGE(""https://docs.google.com/spreadsheets/d/1jkqa6GXxSacMcY1eN8AHjMNJ_7dDXMJ"&amp;"VRLDlaFSOdPM/edit?usp=sharing"",""ตราด!N191"")+IMPORTRANGE(""https://docs.google.com/spreadsheets/d/18hSgUJ3VwClqi_qtULmmW3cLr0oe3OKaSYoKzdpTsYQ/edit?usp=sharing"",""นครนายก!N191"")+IMPORTRANGE(""https://docs.google.com/spreadsheets/d/1YTZo6WM2dQ6Ix6FSdnL"&amp;"5P7uVnVKu40sxZu975tgG10E/edit?usp=sharing"",""นครปฐม!N191"")+IMPORTRANGE(""https://docs.google.com/spreadsheets/d/1OYoGg4WDg5RIzwGeB10padOxJF9E_Vljuvvct_M7RDo/edit?usp=sharing"",""ปทุมธานี!N191"")+IMPORTRANGE(""https://docs.google.com/spreadsheets/d/1GbCI"&amp;"E4D4wk9FUozzqk7SxfDMxDVBwVmI5zcaVUSzKAc/edit?usp=sharing"",""ประจวบคีรีขันธ์!N191"")+IMPORTRANGE(""https://docs.google.com/spreadsheets/d/1vVf6wykvW_lAyu7Yo9L4hUTqHqIeP_qcVuxCtosJEbg/edit?usp=sharing"",""ปราจีนบุรี!N191"")+IMPORTRANGE(""https://docs.googl"&amp;"e.com/spreadsheets/d/1BIDqLLg5jk3v59G8NlR8rk5xfQDKne0sAvZHSj7TI6I/edit?usp=sharing"",""พระนครศรีอยุธยา!N191"")+IMPORTRANGE(""https://docs.google.com/spreadsheets/d/1YXvxf8Yu6_rV4hTBrwMqAcAnv6DfhUxh5emyM3CJp_w/edit?usp=sharing"",""เพชรบุรี!N191"")+IMPORTRA"&amp;"NGE(""https://docs.google.com/spreadsheets/d/19KBlQQs7uwvsao6t2n-KvW3Ax8J8uRRfZPq1zPbXgKc/edit?usp=sharing"",""ระยอง!N191"")+IMPORTRANGE(""https://docs.google.com/spreadsheets/d/1jQ6P4QcrGM89YfqcC_PxOHGCMq5ezhucwJd8ci-NHng/edit?usp=sharing"",""ราชบุรี!N19"&amp;"1"")+IMPORTRANGE(""https://docs.google.com/spreadsheets/d/1lufeA2cfFqM-elVq2hznhDzC6Pr7wkJ9ZG_sYNGCMCU/edit?usp=sharing"",""ลพบุรี!N191"")+IMPORTRANGE(""https://docs.google.com/spreadsheets/d/10oOiF7loTyfsTkbd4MpaIm0HQ9SwB7IYHdIUvt-U1Uc/edit?usp=sharing"""&amp;",""สระแก้ว!N191"")+IMPORTRANGE(""https://docs.google.com/spreadsheets/d/1xmPlrr1QbdSIKvl1dWUl9K4PjAfSL9oeMr_37QVzcxc/edit?usp=sharing"",""สระบุรี!N191"")+IMPORTRANGE(""https://docs.google.com/spreadsheets/d/1j51vR6CYVGhABJpv6tkstgok82RLpXieLzW1yOY5rHw/edi"&amp;"t?usp=sharing"",""สิงห์บุรี!N191"")+IMPORTRANGE(""https://docs.google.com/spreadsheets/d/1H1EalTWKUSzO4Z1-1CwzoDUaVffgrThEBe2sl74kKG0/edit?usp=sharing"",""สุพรรณบุรี!N191"")+IMPORTRANGE(""https://docs.google.com/spreadsheets/d/1BmIruG_sIrJLYao_Pdr7zVArWsf"&amp;"oBt2692TMi6x_854/edit?usp=sharing"",""อ่างทอง!N191"")"),1290151.75)</f>
        <v>1290151.75</v>
      </c>
      <c r="O192" s="88">
        <f t="shared" ca="1" si="158"/>
        <v>37.990334216725557</v>
      </c>
      <c r="P192" s="88">
        <f t="shared" ca="1" si="159"/>
        <v>39.211871775848756</v>
      </c>
      <c r="Q192" s="131">
        <f ca="1">IFERROR(__xludf.DUMMYFUNCTION("IMPORTRANGE(""https://docs.google.com/spreadsheets/d/13wPX838HrBrQMCywv1BsuMkt4PEKTChp52zj44s2izQ/edit?usp=sharing"",""กาญจนบุรี!Q191"")+IMPORTRANGE(""https://docs.google.com/spreadsheets/d/1ddFKvqj1W1NEiWytbGlB1zMx_ykJDVtmfEQ-6-lIUBA/edit?usp=sharing"","&amp;"""จันทบุรี!Q191"")+IMPORTRANGE(""https://docs.google.com/spreadsheets/d/1T1PQvRODqOBZk8BRht_U031fIS1beLA0Ub2CEytj2q0/edit?usp=sharing"",""ฉะเชิงเทรา!Q191"")+IMPORTRANGE(""https://docs.google.com/spreadsheets/d/11tr1B-Bhyr79v2bkwVh5h_fR-PStkgjlZtkrZpYurG0/"&amp;"edit?usp=sharing"",""ชลบุรี!Q191"")+IMPORTRANGE(""https://docs.google.com/spreadsheets/d/1hh-FVnSX0vozXhGluamEcS54Dw9_zqW0N7qJUWgJ0Sw/edit?usp=sharing"",""ชัยนาท!Q191"")+IMPORTRANGE(""https://docs.google.com/spreadsheets/d/1jkqa6GXxSacMcY1eN8AHjMNJ_7dDXMJ"&amp;"VRLDlaFSOdPM/edit?usp=sharing"",""ตราด!Q191"")+IMPORTRANGE(""https://docs.google.com/spreadsheets/d/18hSgUJ3VwClqi_qtULmmW3cLr0oe3OKaSYoKzdpTsYQ/edit?usp=sharing"",""นครนายก!Q191"")+IMPORTRANGE(""https://docs.google.com/spreadsheets/d/1YTZo6WM2dQ6Ix6FSdnL"&amp;"5P7uVnVKu40sxZu975tgG10E/edit?usp=sharing"",""นครปฐม!Q191"")+IMPORTRANGE(""https://docs.google.com/spreadsheets/d/1OYoGg4WDg5RIzwGeB10padOxJF9E_Vljuvvct_M7RDo/edit?usp=sharing"",""ปทุมธานี!Q191"")+IMPORTRANGE(""https://docs.google.com/spreadsheets/d/1GbCI"&amp;"E4D4wk9FUozzqk7SxfDMxDVBwVmI5zcaVUSzKAc/edit?usp=sharing"",""ประจวบคีรีขันธ์!Q191"")+IMPORTRANGE(""https://docs.google.com/spreadsheets/d/1vVf6wykvW_lAyu7Yo9L4hUTqHqIeP_qcVuxCtosJEbg/edit?usp=sharing"",""ปราจีนบุรี!Q191"")+IMPORTRANGE(""https://docs.googl"&amp;"e.com/spreadsheets/d/1BIDqLLg5jk3v59G8NlR8rk5xfQDKne0sAvZHSj7TI6I/edit?usp=sharing"",""พระนครศรีอยุธยา!Q191"")+IMPORTRANGE(""https://docs.google.com/spreadsheets/d/1YXvxf8Yu6_rV4hTBrwMqAcAnv6DfhUxh5emyM3CJp_w/edit?usp=sharing"",""เพชรบุรี!Q191"")+IMPORTRA"&amp;"NGE(""https://docs.google.com/spreadsheets/d/19KBlQQs7uwvsao6t2n-KvW3Ax8J8uRRfZPq1zPbXgKc/edit?usp=sharing"",""ระยอง!Q191"")+IMPORTRANGE(""https://docs.google.com/spreadsheets/d/1jQ6P4QcrGM89YfqcC_PxOHGCMq5ezhucwJd8ci-NHng/edit?usp=sharing"",""ราชบุรี!Q19"&amp;"1"")+IMPORTRANGE(""https://docs.google.com/spreadsheets/d/1lufeA2cfFqM-elVq2hznhDzC6Pr7wkJ9ZG_sYNGCMCU/edit?usp=sharing"",""ลพบุรี!Q191"")+IMPORTRANGE(""https://docs.google.com/spreadsheets/d/10oOiF7loTyfsTkbd4MpaIm0HQ9SwB7IYHdIUvt-U1Uc/edit?usp=sharing"""&amp;",""สระแก้ว!Q191"")+IMPORTRANGE(""https://docs.google.com/spreadsheets/d/1xmPlrr1QbdSIKvl1dWUl9K4PjAfSL9oeMr_37QVzcxc/edit?usp=sharing"",""สระบุรี!Q191"")+IMPORTRANGE(""https://docs.google.com/spreadsheets/d/1j51vR6CYVGhABJpv6tkstgok82RLpXieLzW1yOY5rHw/edi"&amp;"t?usp=sharing"",""สิงห์บุรี!Q191"")+IMPORTRANGE(""https://docs.google.com/spreadsheets/d/1H1EalTWKUSzO4Z1-1CwzoDUaVffgrThEBe2sl74kKG0/edit?usp=sharing"",""สุพรรณบุรี!Q191"")+IMPORTRANGE(""https://docs.google.com/spreadsheets/d/1BmIruG_sIrJLYao_Pdr7zVArWsf"&amp;"oBt2692TMi6x_854/edit?usp=sharing"",""อ่างทอง!Q191"")"),1416738)</f>
        <v>1416738</v>
      </c>
      <c r="R192" s="132">
        <f ca="1">IFERROR(__xludf.DUMMYFUNCTION("IMPORTRANGE(""https://docs.google.com/spreadsheets/d/13wPX838HrBrQMCywv1BsuMkt4PEKTChp52zj44s2izQ/edit?usp=sharing"",""กาญจนบุรี!R191"")+IMPORTRANGE(""https://docs.google.com/spreadsheets/d/1ddFKvqj1W1NEiWytbGlB1zMx_ykJDVtmfEQ-6-lIUBA/edit?usp=sharing"","&amp;"""จันทบุรี!R191"")+IMPORTRANGE(""https://docs.google.com/spreadsheets/d/1T1PQvRODqOBZk8BRht_U031fIS1beLA0Ub2CEytj2q0/edit?usp=sharing"",""ฉะเชิงเทรา!R191"")+IMPORTRANGE(""https://docs.google.com/spreadsheets/d/11tr1B-Bhyr79v2bkwVh5h_fR-PStkgjlZtkrZpYurG0/"&amp;"edit?usp=sharing"",""ชลบุรี!R191"")+IMPORTRANGE(""https://docs.google.com/spreadsheets/d/1hh-FVnSX0vozXhGluamEcS54Dw9_zqW0N7qJUWgJ0Sw/edit?usp=sharing"",""ชัยนาท!R191"")+IMPORTRANGE(""https://docs.google.com/spreadsheets/d/1jkqa6GXxSacMcY1eN8AHjMNJ_7dDXMJ"&amp;"VRLDlaFSOdPM/edit?usp=sharing"",""ตราด!R191"")+IMPORTRANGE(""https://docs.google.com/spreadsheets/d/18hSgUJ3VwClqi_qtULmmW3cLr0oe3OKaSYoKzdpTsYQ/edit?usp=sharing"",""นครนายก!R191"")+IMPORTRANGE(""https://docs.google.com/spreadsheets/d/1YTZo6WM2dQ6Ix6FSdnL"&amp;"5P7uVnVKu40sxZu975tgG10E/edit?usp=sharing"",""นครปฐม!R191"")+IMPORTRANGE(""https://docs.google.com/spreadsheets/d/1OYoGg4WDg5RIzwGeB10padOxJF9E_Vljuvvct_M7RDo/edit?usp=sharing"",""ปทุมธานี!R191"")+IMPORTRANGE(""https://docs.google.com/spreadsheets/d/1GbCI"&amp;"E4D4wk9FUozzqk7SxfDMxDVBwVmI5zcaVUSzKAc/edit?usp=sharing"",""ประจวบคีรีขันธ์!R191"")+IMPORTRANGE(""https://docs.google.com/spreadsheets/d/1vVf6wykvW_lAyu7Yo9L4hUTqHqIeP_qcVuxCtosJEbg/edit?usp=sharing"",""ปราจีนบุรี!R191"")+IMPORTRANGE(""https://docs.googl"&amp;"e.com/spreadsheets/d/1BIDqLLg5jk3v59G8NlR8rk5xfQDKne0sAvZHSj7TI6I/edit?usp=sharing"",""พระนครศรีอยุธยา!R191"")+IMPORTRANGE(""https://docs.google.com/spreadsheets/d/1YXvxf8Yu6_rV4hTBrwMqAcAnv6DfhUxh5emyM3CJp_w/edit?usp=sharing"",""เพชรบุรี!R191"")+IMPORTRA"&amp;"NGE(""https://docs.google.com/spreadsheets/d/19KBlQQs7uwvsao6t2n-KvW3Ax8J8uRRfZPq1zPbXgKc/edit?usp=sharing"",""ระยอง!R191"")+IMPORTRANGE(""https://docs.google.com/spreadsheets/d/1jQ6P4QcrGM89YfqcC_PxOHGCMq5ezhucwJd8ci-NHng/edit?usp=sharing"",""ราชบุรี!R19"&amp;"1"")+IMPORTRANGE(""https://docs.google.com/spreadsheets/d/1lufeA2cfFqM-elVq2hznhDzC6Pr7wkJ9ZG_sYNGCMCU/edit?usp=sharing"",""ลพบุรี!R191"")+IMPORTRANGE(""https://docs.google.com/spreadsheets/d/10oOiF7loTyfsTkbd4MpaIm0HQ9SwB7IYHdIUvt-U1Uc/edit?usp=sharing"""&amp;",""สระแก้ว!R191"")+IMPORTRANGE(""https://docs.google.com/spreadsheets/d/1xmPlrr1QbdSIKvl1dWUl9K4PjAfSL9oeMr_37QVzcxc/edit?usp=sharing"",""สระบุรี!R191"")+IMPORTRANGE(""https://docs.google.com/spreadsheets/d/1j51vR6CYVGhABJpv6tkstgok82RLpXieLzW1yOY5rHw/edi"&amp;"t?usp=sharing"",""สิงห์บุรี!R191"")+IMPORTRANGE(""https://docs.google.com/spreadsheets/d/1H1EalTWKUSzO4Z1-1CwzoDUaVffgrThEBe2sl74kKG0/edit?usp=sharing"",""สุพรรณบุรี!R191"")+IMPORTRANGE(""https://docs.google.com/spreadsheets/d/1BmIruG_sIrJLYao_Pdr7zVArWsf"&amp;"oBt2692TMi6x_854/edit?usp=sharing"",""อ่างทอง!R191"")"),1416738)</f>
        <v>1416738</v>
      </c>
      <c r="S192" s="132">
        <f ca="1">IFERROR(__xludf.DUMMYFUNCTION("IMPORTRANGE(""https://docs.google.com/spreadsheets/d/13wPX838HrBrQMCywv1BsuMkt4PEKTChp52zj44s2izQ/edit?usp=sharing"",""กาญจนบุรี!S191"")+IMPORTRANGE(""https://docs.google.com/spreadsheets/d/1ddFKvqj1W1NEiWytbGlB1zMx_ykJDVtmfEQ-6-lIUBA/edit?usp=sharing"","&amp;"""จันทบุรี!S191"")+IMPORTRANGE(""https://docs.google.com/spreadsheets/d/1T1PQvRODqOBZk8BRht_U031fIS1beLA0Ub2CEytj2q0/edit?usp=sharing"",""ฉะเชิงเทรา!S191"")+IMPORTRANGE(""https://docs.google.com/spreadsheets/d/11tr1B-Bhyr79v2bkwVh5h_fR-PStkgjlZtkrZpYurG0/"&amp;"edit?usp=sharing"",""ชลบุรี!S191"")+IMPORTRANGE(""https://docs.google.com/spreadsheets/d/1hh-FVnSX0vozXhGluamEcS54Dw9_zqW0N7qJUWgJ0Sw/edit?usp=sharing"",""ชัยนาท!S191"")+IMPORTRANGE(""https://docs.google.com/spreadsheets/d/1jkqa6GXxSacMcY1eN8AHjMNJ_7dDXMJ"&amp;"VRLDlaFSOdPM/edit?usp=sharing"",""ตราด!S191"")+IMPORTRANGE(""https://docs.google.com/spreadsheets/d/18hSgUJ3VwClqi_qtULmmW3cLr0oe3OKaSYoKzdpTsYQ/edit?usp=sharing"",""นครนายก!S191"")+IMPORTRANGE(""https://docs.google.com/spreadsheets/d/1YTZo6WM2dQ6Ix6FSdnL"&amp;"5P7uVnVKu40sxZu975tgG10E/edit?usp=sharing"",""นครปฐม!S191"")+IMPORTRANGE(""https://docs.google.com/spreadsheets/d/1OYoGg4WDg5RIzwGeB10padOxJF9E_Vljuvvct_M7RDo/edit?usp=sharing"",""ปทุมธานี!S191"")+IMPORTRANGE(""https://docs.google.com/spreadsheets/d/1GbCI"&amp;"E4D4wk9FUozzqk7SxfDMxDVBwVmI5zcaVUSzKAc/edit?usp=sharing"",""ประจวบคีรีขันธ์!S191"")+IMPORTRANGE(""https://docs.google.com/spreadsheets/d/1vVf6wykvW_lAyu7Yo9L4hUTqHqIeP_qcVuxCtosJEbg/edit?usp=sharing"",""ปราจีนบุรี!S191"")+IMPORTRANGE(""https://docs.googl"&amp;"e.com/spreadsheets/d/1BIDqLLg5jk3v59G8NlR8rk5xfQDKne0sAvZHSj7TI6I/edit?usp=sharing"",""พระนครศรีอยุธยา!S191"")+IMPORTRANGE(""https://docs.google.com/spreadsheets/d/1YXvxf8Yu6_rV4hTBrwMqAcAnv6DfhUxh5emyM3CJp_w/edit?usp=sharing"",""เพชรบุรี!S191"")+IMPORTRA"&amp;"NGE(""https://docs.google.com/spreadsheets/d/19KBlQQs7uwvsao6t2n-KvW3Ax8J8uRRfZPq1zPbXgKc/edit?usp=sharing"",""ระยอง!S191"")+IMPORTRANGE(""https://docs.google.com/spreadsheets/d/1jQ6P4QcrGM89YfqcC_PxOHGCMq5ezhucwJd8ci-NHng/edit?usp=sharing"",""ราชบุรี!S19"&amp;"1"")+IMPORTRANGE(""https://docs.google.com/spreadsheets/d/1lufeA2cfFqM-elVq2hznhDzC6Pr7wkJ9ZG_sYNGCMCU/edit?usp=sharing"",""ลพบุรี!S191"")+IMPORTRANGE(""https://docs.google.com/spreadsheets/d/10oOiF7loTyfsTkbd4MpaIm0HQ9SwB7IYHdIUvt-U1Uc/edit?usp=sharing"""&amp;",""สระแก้ว!S191"")+IMPORTRANGE(""https://docs.google.com/spreadsheets/d/1xmPlrr1QbdSIKvl1dWUl9K4PjAfSL9oeMr_37QVzcxc/edit?usp=sharing"",""สระบุรี!S191"")+IMPORTRANGE(""https://docs.google.com/spreadsheets/d/1j51vR6CYVGhABJpv6tkstgok82RLpXieLzW1yOY5rHw/edi"&amp;"t?usp=sharing"",""สิงห์บุรี!S191"")+IMPORTRANGE(""https://docs.google.com/spreadsheets/d/1H1EalTWKUSzO4Z1-1CwzoDUaVffgrThEBe2sl74kKG0/edit?usp=sharing"",""สุพรรณบุรี!S191"")+IMPORTRANGE(""https://docs.google.com/spreadsheets/d/1BmIruG_sIrJLYao_Pdr7zVArWsf"&amp;"oBt2692TMi6x_854/edit?usp=sharing"",""อ่างทอง!S191"")"),0)</f>
        <v>0</v>
      </c>
      <c r="T192" s="132">
        <f t="shared" ca="1" si="161"/>
        <v>0</v>
      </c>
      <c r="U192" s="132">
        <f t="shared" ca="1" si="162"/>
        <v>0</v>
      </c>
    </row>
    <row r="193" spans="1:21" ht="18.75" x14ac:dyDescent="0.25">
      <c r="A193" s="209"/>
      <c r="B193" s="67"/>
      <c r="C193" s="67"/>
      <c r="D193" s="68" t="s">
        <v>23</v>
      </c>
      <c r="E193" s="67"/>
      <c r="F193" s="67"/>
      <c r="G193" s="69"/>
      <c r="H193" s="221" t="s">
        <v>14</v>
      </c>
      <c r="I193" s="219"/>
      <c r="J193" s="219"/>
      <c r="K193" s="220"/>
      <c r="L193" s="88">
        <f t="shared" ref="L193:N193" ca="1" si="169">L194+L195</f>
        <v>0</v>
      </c>
      <c r="M193" s="88">
        <f t="shared" ca="1" si="169"/>
        <v>0</v>
      </c>
      <c r="N193" s="88">
        <f t="shared" ca="1" si="169"/>
        <v>0</v>
      </c>
      <c r="O193" s="88">
        <f t="shared" ca="1" si="158"/>
        <v>0</v>
      </c>
      <c r="P193" s="88">
        <f t="shared" ca="1" si="159"/>
        <v>0</v>
      </c>
      <c r="Q193" s="131">
        <f t="shared" ref="Q193:S193" ca="1" si="170">Q194+Q195</f>
        <v>0</v>
      </c>
      <c r="R193" s="132">
        <f t="shared" ca="1" si="170"/>
        <v>0</v>
      </c>
      <c r="S193" s="132">
        <f t="shared" ca="1" si="170"/>
        <v>0</v>
      </c>
      <c r="T193" s="132">
        <f t="shared" ca="1" si="161"/>
        <v>0</v>
      </c>
      <c r="U193" s="132">
        <f t="shared" ca="1" si="162"/>
        <v>0</v>
      </c>
    </row>
    <row r="194" spans="1:21" ht="18.75" x14ac:dyDescent="0.25">
      <c r="A194" s="209"/>
      <c r="B194" s="67"/>
      <c r="C194" s="67"/>
      <c r="D194" s="67"/>
      <c r="E194" s="75" t="s">
        <v>20</v>
      </c>
      <c r="F194" s="67"/>
      <c r="G194" s="69"/>
      <c r="H194" s="218" t="s">
        <v>14</v>
      </c>
      <c r="I194" s="219"/>
      <c r="J194" s="219"/>
      <c r="K194" s="220"/>
      <c r="L194" s="88">
        <f ca="1">IFERROR(__xludf.DUMMYFUNCTION("IMPORTRANGE(""https://docs.google.com/spreadsheets/d/13wPX838HrBrQMCywv1BsuMkt4PEKTChp52zj44s2izQ/edit?usp=sharing"",""กาญจนบุรี!L193"")+IMPORTRANGE(""https://docs.google.com/spreadsheets/d/1ddFKvqj1W1NEiWytbGlB1zMx_ykJDVtmfEQ-6-lIUBA/edit?usp=sharing"","&amp;"""จันทบุรี!L193"")+IMPORTRANGE(""https://docs.google.com/spreadsheets/d/1T1PQvRODqOBZk8BRht_U031fIS1beLA0Ub2CEytj2q0/edit?usp=sharing"",""ฉะเชิงเทรา!L193"")+IMPORTRANGE(""https://docs.google.com/spreadsheets/d/11tr1B-Bhyr79v2bkwVh5h_fR-PStkgjlZtkrZpYurG0/"&amp;"edit?usp=sharing"",""ชลบุรี!L193"")+IMPORTRANGE(""https://docs.google.com/spreadsheets/d/1hh-FVnSX0vozXhGluamEcS54Dw9_zqW0N7qJUWgJ0Sw/edit?usp=sharing"",""ชัยนาท!L193"")+IMPORTRANGE(""https://docs.google.com/spreadsheets/d/1jkqa6GXxSacMcY1eN8AHjMNJ_7dDXMJ"&amp;"VRLDlaFSOdPM/edit?usp=sharing"",""ตราด!L193"")+IMPORTRANGE(""https://docs.google.com/spreadsheets/d/18hSgUJ3VwClqi_qtULmmW3cLr0oe3OKaSYoKzdpTsYQ/edit?usp=sharing"",""นครนายก!L193"")+IMPORTRANGE(""https://docs.google.com/spreadsheets/d/1YTZo6WM2dQ6Ix6FSdnL"&amp;"5P7uVnVKu40sxZu975tgG10E/edit?usp=sharing"",""นครปฐม!L193"")+IMPORTRANGE(""https://docs.google.com/spreadsheets/d/1OYoGg4WDg5RIzwGeB10padOxJF9E_Vljuvvct_M7RDo/edit?usp=sharing"",""ปทุมธานี!L193"")+IMPORTRANGE(""https://docs.google.com/spreadsheets/d/1GbCI"&amp;"E4D4wk9FUozzqk7SxfDMxDVBwVmI5zcaVUSzKAc/edit?usp=sharing"",""ประจวบคีรีขันธ์!L193"")+IMPORTRANGE(""https://docs.google.com/spreadsheets/d/1vVf6wykvW_lAyu7Yo9L4hUTqHqIeP_qcVuxCtosJEbg/edit?usp=sharing"",""ปราจีนบุรี!L193"")+IMPORTRANGE(""https://docs.googl"&amp;"e.com/spreadsheets/d/1BIDqLLg5jk3v59G8NlR8rk5xfQDKne0sAvZHSj7TI6I/edit?usp=sharing"",""พระนครศรีอยุธยา!L193"")+IMPORTRANGE(""https://docs.google.com/spreadsheets/d/1YXvxf8Yu6_rV4hTBrwMqAcAnv6DfhUxh5emyM3CJp_w/edit?usp=sharing"",""เพชรบุรี!L193"")+IMPORTRA"&amp;"NGE(""https://docs.google.com/spreadsheets/d/19KBlQQs7uwvsao6t2n-KvW3Ax8J8uRRfZPq1zPbXgKc/edit?usp=sharing"",""ระยอง!L193"")+IMPORTRANGE(""https://docs.google.com/spreadsheets/d/1jQ6P4QcrGM89YfqcC_PxOHGCMq5ezhucwJd8ci-NHng/edit?usp=sharing"",""ราชบุรี!L19"&amp;"3"")+IMPORTRANGE(""https://docs.google.com/spreadsheets/d/1lufeA2cfFqM-elVq2hznhDzC6Pr7wkJ9ZG_sYNGCMCU/edit?usp=sharing"",""ลพบุรี!L193"")+IMPORTRANGE(""https://docs.google.com/spreadsheets/d/10oOiF7loTyfsTkbd4MpaIm0HQ9SwB7IYHdIUvt-U1Uc/edit?usp=sharing"""&amp;",""สระแก้ว!L193"")+IMPORTRANGE(""https://docs.google.com/spreadsheets/d/1xmPlrr1QbdSIKvl1dWUl9K4PjAfSL9oeMr_37QVzcxc/edit?usp=sharing"",""สระบุรี!L193"")+IMPORTRANGE(""https://docs.google.com/spreadsheets/d/1j51vR6CYVGhABJpv6tkstgok82RLpXieLzW1yOY5rHw/edi"&amp;"t?usp=sharing"",""สิงห์บุรี!L193"")+IMPORTRANGE(""https://docs.google.com/spreadsheets/d/1H1EalTWKUSzO4Z1-1CwzoDUaVffgrThEBe2sl74kKG0/edit?usp=sharing"",""สุพรรณบุรี!L193"")+IMPORTRANGE(""https://docs.google.com/spreadsheets/d/1BmIruG_sIrJLYao_Pdr7zVArWsf"&amp;"oBt2692TMi6x_854/edit?usp=sharing"",""อ่างทอง!L193"")"),0)</f>
        <v>0</v>
      </c>
      <c r="M194" s="88">
        <f ca="1">IFERROR(__xludf.DUMMYFUNCTION("IMPORTRANGE(""https://docs.google.com/spreadsheets/d/13wPX838HrBrQMCywv1BsuMkt4PEKTChp52zj44s2izQ/edit?usp=sharing"",""กาญจนบุรี!M193"")+IMPORTRANGE(""https://docs.google.com/spreadsheets/d/1ddFKvqj1W1NEiWytbGlB1zMx_ykJDVtmfEQ-6-lIUBA/edit?usp=sharing"","&amp;"""จันทบุรี!M193"")+IMPORTRANGE(""https://docs.google.com/spreadsheets/d/1T1PQvRODqOBZk8BRht_U031fIS1beLA0Ub2CEytj2q0/edit?usp=sharing"",""ฉะเชิงเทรา!M193"")+IMPORTRANGE(""https://docs.google.com/spreadsheets/d/11tr1B-Bhyr79v2bkwVh5h_fR-PStkgjlZtkrZpYurG0/"&amp;"edit?usp=sharing"",""ชลบุรี!M193"")+IMPORTRANGE(""https://docs.google.com/spreadsheets/d/1hh-FVnSX0vozXhGluamEcS54Dw9_zqW0N7qJUWgJ0Sw/edit?usp=sharing"",""ชัยนาท!M193"")+IMPORTRANGE(""https://docs.google.com/spreadsheets/d/1jkqa6GXxSacMcY1eN8AHjMNJ_7dDXMJ"&amp;"VRLDlaFSOdPM/edit?usp=sharing"",""ตราด!M193"")+IMPORTRANGE(""https://docs.google.com/spreadsheets/d/18hSgUJ3VwClqi_qtULmmW3cLr0oe3OKaSYoKzdpTsYQ/edit?usp=sharing"",""นครนายก!M193"")+IMPORTRANGE(""https://docs.google.com/spreadsheets/d/1YTZo6WM2dQ6Ix6FSdnL"&amp;"5P7uVnVKu40sxZu975tgG10E/edit?usp=sharing"",""นครปฐม!M193"")+IMPORTRANGE(""https://docs.google.com/spreadsheets/d/1OYoGg4WDg5RIzwGeB10padOxJF9E_Vljuvvct_M7RDo/edit?usp=sharing"",""ปทุมธานี!M193"")+IMPORTRANGE(""https://docs.google.com/spreadsheets/d/1GbCI"&amp;"E4D4wk9FUozzqk7SxfDMxDVBwVmI5zcaVUSzKAc/edit?usp=sharing"",""ประจวบคีรีขันธ์!M193"")+IMPORTRANGE(""https://docs.google.com/spreadsheets/d/1vVf6wykvW_lAyu7Yo9L4hUTqHqIeP_qcVuxCtosJEbg/edit?usp=sharing"",""ปราจีนบุรี!M193"")+IMPORTRANGE(""https://docs.googl"&amp;"e.com/spreadsheets/d/1BIDqLLg5jk3v59G8NlR8rk5xfQDKne0sAvZHSj7TI6I/edit?usp=sharing"",""พระนครศรีอยุธยา!M193"")+IMPORTRANGE(""https://docs.google.com/spreadsheets/d/1YXvxf8Yu6_rV4hTBrwMqAcAnv6DfhUxh5emyM3CJp_w/edit?usp=sharing"",""เพชรบุรี!M193"")+IMPORTRA"&amp;"NGE(""https://docs.google.com/spreadsheets/d/19KBlQQs7uwvsao6t2n-KvW3Ax8J8uRRfZPq1zPbXgKc/edit?usp=sharing"",""ระยอง!M193"")+IMPORTRANGE(""https://docs.google.com/spreadsheets/d/1jQ6P4QcrGM89YfqcC_PxOHGCMq5ezhucwJd8ci-NHng/edit?usp=sharing"",""ราชบุรี!M19"&amp;"3"")+IMPORTRANGE(""https://docs.google.com/spreadsheets/d/1lufeA2cfFqM-elVq2hznhDzC6Pr7wkJ9ZG_sYNGCMCU/edit?usp=sharing"",""ลพบุรี!M193"")+IMPORTRANGE(""https://docs.google.com/spreadsheets/d/10oOiF7loTyfsTkbd4MpaIm0HQ9SwB7IYHdIUvt-U1Uc/edit?usp=sharing"""&amp;",""สระแก้ว!M193"")+IMPORTRANGE(""https://docs.google.com/spreadsheets/d/1xmPlrr1QbdSIKvl1dWUl9K4PjAfSL9oeMr_37QVzcxc/edit?usp=sharing"",""สระบุรี!M193"")+IMPORTRANGE(""https://docs.google.com/spreadsheets/d/1j51vR6CYVGhABJpv6tkstgok82RLpXieLzW1yOY5rHw/edi"&amp;"t?usp=sharing"",""สิงห์บุรี!M193"")+IMPORTRANGE(""https://docs.google.com/spreadsheets/d/1H1EalTWKUSzO4Z1-1CwzoDUaVffgrThEBe2sl74kKG0/edit?usp=sharing"",""สุพรรณบุรี!M193"")+IMPORTRANGE(""https://docs.google.com/spreadsheets/d/1BmIruG_sIrJLYao_Pdr7zVArWsf"&amp;"oBt2692TMi6x_854/edit?usp=sharing"",""อ่างทอง!M193"")"),0)</f>
        <v>0</v>
      </c>
      <c r="N194" s="88">
        <f ca="1">IFERROR(__xludf.DUMMYFUNCTION("IMPORTRANGE(""https://docs.google.com/spreadsheets/d/13wPX838HrBrQMCywv1BsuMkt4PEKTChp52zj44s2izQ/edit?usp=sharing"",""กาญจนบุรี!N193"")+IMPORTRANGE(""https://docs.google.com/spreadsheets/d/1ddFKvqj1W1NEiWytbGlB1zMx_ykJDVtmfEQ-6-lIUBA/edit?usp=sharing"","&amp;"""จันทบุรี!N193"")+IMPORTRANGE(""https://docs.google.com/spreadsheets/d/1T1PQvRODqOBZk8BRht_U031fIS1beLA0Ub2CEytj2q0/edit?usp=sharing"",""ฉะเชิงเทรา!N193"")+IMPORTRANGE(""https://docs.google.com/spreadsheets/d/11tr1B-Bhyr79v2bkwVh5h_fR-PStkgjlZtkrZpYurG0/"&amp;"edit?usp=sharing"",""ชลบุรี!N193"")+IMPORTRANGE(""https://docs.google.com/spreadsheets/d/1hh-FVnSX0vozXhGluamEcS54Dw9_zqW0N7qJUWgJ0Sw/edit?usp=sharing"",""ชัยนาท!N193"")+IMPORTRANGE(""https://docs.google.com/spreadsheets/d/1jkqa6GXxSacMcY1eN8AHjMNJ_7dDXMJ"&amp;"VRLDlaFSOdPM/edit?usp=sharing"",""ตราด!N193"")+IMPORTRANGE(""https://docs.google.com/spreadsheets/d/18hSgUJ3VwClqi_qtULmmW3cLr0oe3OKaSYoKzdpTsYQ/edit?usp=sharing"",""นครนายก!N193"")+IMPORTRANGE(""https://docs.google.com/spreadsheets/d/1YTZo6WM2dQ6Ix6FSdnL"&amp;"5P7uVnVKu40sxZu975tgG10E/edit?usp=sharing"",""นครปฐม!N193"")+IMPORTRANGE(""https://docs.google.com/spreadsheets/d/1OYoGg4WDg5RIzwGeB10padOxJF9E_Vljuvvct_M7RDo/edit?usp=sharing"",""ปทุมธานี!N193"")+IMPORTRANGE(""https://docs.google.com/spreadsheets/d/1GbCI"&amp;"E4D4wk9FUozzqk7SxfDMxDVBwVmI5zcaVUSzKAc/edit?usp=sharing"",""ประจวบคีรีขันธ์!N193"")+IMPORTRANGE(""https://docs.google.com/spreadsheets/d/1vVf6wykvW_lAyu7Yo9L4hUTqHqIeP_qcVuxCtosJEbg/edit?usp=sharing"",""ปราจีนบุรี!N193"")+IMPORTRANGE(""https://docs.googl"&amp;"e.com/spreadsheets/d/1BIDqLLg5jk3v59G8NlR8rk5xfQDKne0sAvZHSj7TI6I/edit?usp=sharing"",""พระนครศรีอยุธยา!N193"")+IMPORTRANGE(""https://docs.google.com/spreadsheets/d/1YXvxf8Yu6_rV4hTBrwMqAcAnv6DfhUxh5emyM3CJp_w/edit?usp=sharing"",""เพชรบุรี!N193"")+IMPORTRA"&amp;"NGE(""https://docs.google.com/spreadsheets/d/19KBlQQs7uwvsao6t2n-KvW3Ax8J8uRRfZPq1zPbXgKc/edit?usp=sharing"",""ระยอง!N193"")+IMPORTRANGE(""https://docs.google.com/spreadsheets/d/1jQ6P4QcrGM89YfqcC_PxOHGCMq5ezhucwJd8ci-NHng/edit?usp=sharing"",""ราชบุรี!N19"&amp;"3"")+IMPORTRANGE(""https://docs.google.com/spreadsheets/d/1lufeA2cfFqM-elVq2hznhDzC6Pr7wkJ9ZG_sYNGCMCU/edit?usp=sharing"",""ลพบุรี!N193"")+IMPORTRANGE(""https://docs.google.com/spreadsheets/d/10oOiF7loTyfsTkbd4MpaIm0HQ9SwB7IYHdIUvt-U1Uc/edit?usp=sharing"""&amp;",""สระแก้ว!N193"")+IMPORTRANGE(""https://docs.google.com/spreadsheets/d/1xmPlrr1QbdSIKvl1dWUl9K4PjAfSL9oeMr_37QVzcxc/edit?usp=sharing"",""สระบุรี!N193"")+IMPORTRANGE(""https://docs.google.com/spreadsheets/d/1j51vR6CYVGhABJpv6tkstgok82RLpXieLzW1yOY5rHw/edi"&amp;"t?usp=sharing"",""สิงห์บุรี!N193"")+IMPORTRANGE(""https://docs.google.com/spreadsheets/d/1H1EalTWKUSzO4Z1-1CwzoDUaVffgrThEBe2sl74kKG0/edit?usp=sharing"",""สุพรรณบุรี!N193"")+IMPORTRANGE(""https://docs.google.com/spreadsheets/d/1BmIruG_sIrJLYao_Pdr7zVArWsf"&amp;"oBt2692TMi6x_854/edit?usp=sharing"",""อ่างทอง!N193"")"),0)</f>
        <v>0</v>
      </c>
      <c r="O194" s="88">
        <f t="shared" ca="1" si="158"/>
        <v>0</v>
      </c>
      <c r="P194" s="88">
        <f t="shared" ca="1" si="159"/>
        <v>0</v>
      </c>
      <c r="Q194" s="76">
        <f ca="1">IFERROR(__xludf.DUMMYFUNCTION("IMPORTRANGE(""https://docs.google.com/spreadsheets/d/13wPX838HrBrQMCywv1BsuMkt4PEKTChp52zj44s2izQ/edit?usp=sharing"",""กาญจนบุรี!Q193"")+IMPORTRANGE(""https://docs.google.com/spreadsheets/d/1ddFKvqj1W1NEiWytbGlB1zMx_ykJDVtmfEQ-6-lIUBA/edit?usp=sharing"","&amp;"""จันทบุรี!Q193"")+IMPORTRANGE(""https://docs.google.com/spreadsheets/d/1T1PQvRODqOBZk8BRht_U031fIS1beLA0Ub2CEytj2q0/edit?usp=sharing"",""ฉะเชิงเทรา!Q193"")+IMPORTRANGE(""https://docs.google.com/spreadsheets/d/11tr1B-Bhyr79v2bkwVh5h_fR-PStkgjlZtkrZpYurG0/"&amp;"edit?usp=sharing"",""ชลบุรี!Q193"")+IMPORTRANGE(""https://docs.google.com/spreadsheets/d/1hh-FVnSX0vozXhGluamEcS54Dw9_zqW0N7qJUWgJ0Sw/edit?usp=sharing"",""ชัยนาท!Q193"")+IMPORTRANGE(""https://docs.google.com/spreadsheets/d/1jkqa6GXxSacMcY1eN8AHjMNJ_7dDXMJ"&amp;"VRLDlaFSOdPM/edit?usp=sharing"",""ตราด!Q193"")+IMPORTRANGE(""https://docs.google.com/spreadsheets/d/18hSgUJ3VwClqi_qtULmmW3cLr0oe3OKaSYoKzdpTsYQ/edit?usp=sharing"",""นครนายก!Q193"")+IMPORTRANGE(""https://docs.google.com/spreadsheets/d/1YTZo6WM2dQ6Ix6FSdnL"&amp;"5P7uVnVKu40sxZu975tgG10E/edit?usp=sharing"",""นครปฐม!Q193"")+IMPORTRANGE(""https://docs.google.com/spreadsheets/d/1OYoGg4WDg5RIzwGeB10padOxJF9E_Vljuvvct_M7RDo/edit?usp=sharing"",""ปทุมธานี!Q193"")+IMPORTRANGE(""https://docs.google.com/spreadsheets/d/1GbCI"&amp;"E4D4wk9FUozzqk7SxfDMxDVBwVmI5zcaVUSzKAc/edit?usp=sharing"",""ประจวบคีรีขันธ์!Q193"")+IMPORTRANGE(""https://docs.google.com/spreadsheets/d/1vVf6wykvW_lAyu7Yo9L4hUTqHqIeP_qcVuxCtosJEbg/edit?usp=sharing"",""ปราจีนบุรี!Q193"")+IMPORTRANGE(""https://docs.googl"&amp;"e.com/spreadsheets/d/1BIDqLLg5jk3v59G8NlR8rk5xfQDKne0sAvZHSj7TI6I/edit?usp=sharing"",""พระนครศรีอยุธยา!Q193"")+IMPORTRANGE(""https://docs.google.com/spreadsheets/d/1YXvxf8Yu6_rV4hTBrwMqAcAnv6DfhUxh5emyM3CJp_w/edit?usp=sharing"",""เพชรบุรี!Q193"")+IMPORTRA"&amp;"NGE(""https://docs.google.com/spreadsheets/d/19KBlQQs7uwvsao6t2n-KvW3Ax8J8uRRfZPq1zPbXgKc/edit?usp=sharing"",""ระยอง!Q193"")+IMPORTRANGE(""https://docs.google.com/spreadsheets/d/1jQ6P4QcrGM89YfqcC_PxOHGCMq5ezhucwJd8ci-NHng/edit?usp=sharing"",""ราชบุรี!Q19"&amp;"3"")+IMPORTRANGE(""https://docs.google.com/spreadsheets/d/1lufeA2cfFqM-elVq2hznhDzC6Pr7wkJ9ZG_sYNGCMCU/edit?usp=sharing"",""ลพบุรี!Q193"")+IMPORTRANGE(""https://docs.google.com/spreadsheets/d/10oOiF7loTyfsTkbd4MpaIm0HQ9SwB7IYHdIUvt-U1Uc/edit?usp=sharing"""&amp;",""สระแก้ว!Q193"")+IMPORTRANGE(""https://docs.google.com/spreadsheets/d/1xmPlrr1QbdSIKvl1dWUl9K4PjAfSL9oeMr_37QVzcxc/edit?usp=sharing"",""สระบุรี!Q193"")+IMPORTRANGE(""https://docs.google.com/spreadsheets/d/1j51vR6CYVGhABJpv6tkstgok82RLpXieLzW1yOY5rHw/edi"&amp;"t?usp=sharing"",""สิงห์บุรี!Q193"")+IMPORTRANGE(""https://docs.google.com/spreadsheets/d/1H1EalTWKUSzO4Z1-1CwzoDUaVffgrThEBe2sl74kKG0/edit?usp=sharing"",""สุพรรณบุรี!Q193"")+IMPORTRANGE(""https://docs.google.com/spreadsheets/d/1BmIruG_sIrJLYao_Pdr7zVArWsf"&amp;"oBt2692TMi6x_854/edit?usp=sharing"",""อ่างทอง!Q193"")"),0)</f>
        <v>0</v>
      </c>
      <c r="R194" s="77">
        <f ca="1">IFERROR(__xludf.DUMMYFUNCTION("IMPORTRANGE(""https://docs.google.com/spreadsheets/d/13wPX838HrBrQMCywv1BsuMkt4PEKTChp52zj44s2izQ/edit?usp=sharing"",""กาญจนบุรี!R193"")+IMPORTRANGE(""https://docs.google.com/spreadsheets/d/1ddFKvqj1W1NEiWytbGlB1zMx_ykJDVtmfEQ-6-lIUBA/edit?usp=sharing"","&amp;"""จันทบุรี!R193"")+IMPORTRANGE(""https://docs.google.com/spreadsheets/d/1T1PQvRODqOBZk8BRht_U031fIS1beLA0Ub2CEytj2q0/edit?usp=sharing"",""ฉะเชิงเทรา!R193"")+IMPORTRANGE(""https://docs.google.com/spreadsheets/d/11tr1B-Bhyr79v2bkwVh5h_fR-PStkgjlZtkrZpYurG0/"&amp;"edit?usp=sharing"",""ชลบุรี!R193"")+IMPORTRANGE(""https://docs.google.com/spreadsheets/d/1hh-FVnSX0vozXhGluamEcS54Dw9_zqW0N7qJUWgJ0Sw/edit?usp=sharing"",""ชัยนาท!R193"")+IMPORTRANGE(""https://docs.google.com/spreadsheets/d/1jkqa6GXxSacMcY1eN8AHjMNJ_7dDXMJ"&amp;"VRLDlaFSOdPM/edit?usp=sharing"",""ตราด!R193"")+IMPORTRANGE(""https://docs.google.com/spreadsheets/d/18hSgUJ3VwClqi_qtULmmW3cLr0oe3OKaSYoKzdpTsYQ/edit?usp=sharing"",""นครนายก!R193"")+IMPORTRANGE(""https://docs.google.com/spreadsheets/d/1YTZo6WM2dQ6Ix6FSdnL"&amp;"5P7uVnVKu40sxZu975tgG10E/edit?usp=sharing"",""นครปฐม!R193"")+IMPORTRANGE(""https://docs.google.com/spreadsheets/d/1OYoGg4WDg5RIzwGeB10padOxJF9E_Vljuvvct_M7RDo/edit?usp=sharing"",""ปทุมธานี!R193"")+IMPORTRANGE(""https://docs.google.com/spreadsheets/d/1GbCI"&amp;"E4D4wk9FUozzqk7SxfDMxDVBwVmI5zcaVUSzKAc/edit?usp=sharing"",""ประจวบคีรีขันธ์!R193"")+IMPORTRANGE(""https://docs.google.com/spreadsheets/d/1vVf6wykvW_lAyu7Yo9L4hUTqHqIeP_qcVuxCtosJEbg/edit?usp=sharing"",""ปราจีนบุรี!R193"")+IMPORTRANGE(""https://docs.googl"&amp;"e.com/spreadsheets/d/1BIDqLLg5jk3v59G8NlR8rk5xfQDKne0sAvZHSj7TI6I/edit?usp=sharing"",""พระนครศรีอยุธยา!R193"")+IMPORTRANGE(""https://docs.google.com/spreadsheets/d/1YXvxf8Yu6_rV4hTBrwMqAcAnv6DfhUxh5emyM3CJp_w/edit?usp=sharing"",""เพชรบุรี!R193"")+IMPORTRA"&amp;"NGE(""https://docs.google.com/spreadsheets/d/19KBlQQs7uwvsao6t2n-KvW3Ax8J8uRRfZPq1zPbXgKc/edit?usp=sharing"",""ระยอง!R193"")+IMPORTRANGE(""https://docs.google.com/spreadsheets/d/1jQ6P4QcrGM89YfqcC_PxOHGCMq5ezhucwJd8ci-NHng/edit?usp=sharing"",""ราชบุรี!R19"&amp;"3"")+IMPORTRANGE(""https://docs.google.com/spreadsheets/d/1lufeA2cfFqM-elVq2hznhDzC6Pr7wkJ9ZG_sYNGCMCU/edit?usp=sharing"",""ลพบุรี!R193"")+IMPORTRANGE(""https://docs.google.com/spreadsheets/d/10oOiF7loTyfsTkbd4MpaIm0HQ9SwB7IYHdIUvt-U1Uc/edit?usp=sharing"""&amp;",""สระแก้ว!R193"")+IMPORTRANGE(""https://docs.google.com/spreadsheets/d/1xmPlrr1QbdSIKvl1dWUl9K4PjAfSL9oeMr_37QVzcxc/edit?usp=sharing"",""สระบุรี!R193"")+IMPORTRANGE(""https://docs.google.com/spreadsheets/d/1j51vR6CYVGhABJpv6tkstgok82RLpXieLzW1yOY5rHw/edi"&amp;"t?usp=sharing"",""สิงห์บุรี!R193"")+IMPORTRANGE(""https://docs.google.com/spreadsheets/d/1H1EalTWKUSzO4Z1-1CwzoDUaVffgrThEBe2sl74kKG0/edit?usp=sharing"",""สุพรรณบุรี!R193"")+IMPORTRANGE(""https://docs.google.com/spreadsheets/d/1BmIruG_sIrJLYao_Pdr7zVArWsf"&amp;"oBt2692TMi6x_854/edit?usp=sharing"",""อ่างทอง!R193"")"),0)</f>
        <v>0</v>
      </c>
      <c r="S194" s="77">
        <f ca="1">IFERROR(__xludf.DUMMYFUNCTION("IMPORTRANGE(""https://docs.google.com/spreadsheets/d/13wPX838HrBrQMCywv1BsuMkt4PEKTChp52zj44s2izQ/edit?usp=sharing"",""กาญจนบุรี!S193"")+IMPORTRANGE(""https://docs.google.com/spreadsheets/d/1ddFKvqj1W1NEiWytbGlB1zMx_ykJDVtmfEQ-6-lIUBA/edit?usp=sharing"","&amp;"""จันทบุรี!S193"")+IMPORTRANGE(""https://docs.google.com/spreadsheets/d/1T1PQvRODqOBZk8BRht_U031fIS1beLA0Ub2CEytj2q0/edit?usp=sharing"",""ฉะเชิงเทรา!S193"")+IMPORTRANGE(""https://docs.google.com/spreadsheets/d/11tr1B-Bhyr79v2bkwVh5h_fR-PStkgjlZtkrZpYurG0/"&amp;"edit?usp=sharing"",""ชลบุรี!S193"")+IMPORTRANGE(""https://docs.google.com/spreadsheets/d/1hh-FVnSX0vozXhGluamEcS54Dw9_zqW0N7qJUWgJ0Sw/edit?usp=sharing"",""ชัยนาท!S193"")+IMPORTRANGE(""https://docs.google.com/spreadsheets/d/1jkqa6GXxSacMcY1eN8AHjMNJ_7dDXMJ"&amp;"VRLDlaFSOdPM/edit?usp=sharing"",""ตราด!S193"")+IMPORTRANGE(""https://docs.google.com/spreadsheets/d/18hSgUJ3VwClqi_qtULmmW3cLr0oe3OKaSYoKzdpTsYQ/edit?usp=sharing"",""นครนายก!S193"")+IMPORTRANGE(""https://docs.google.com/spreadsheets/d/1YTZo6WM2dQ6Ix6FSdnL"&amp;"5P7uVnVKu40sxZu975tgG10E/edit?usp=sharing"",""นครปฐม!S193"")+IMPORTRANGE(""https://docs.google.com/spreadsheets/d/1OYoGg4WDg5RIzwGeB10padOxJF9E_Vljuvvct_M7RDo/edit?usp=sharing"",""ปทุมธานี!S193"")+IMPORTRANGE(""https://docs.google.com/spreadsheets/d/1GbCI"&amp;"E4D4wk9FUozzqk7SxfDMxDVBwVmI5zcaVUSzKAc/edit?usp=sharing"",""ประจวบคีรีขันธ์!S193"")+IMPORTRANGE(""https://docs.google.com/spreadsheets/d/1vVf6wykvW_lAyu7Yo9L4hUTqHqIeP_qcVuxCtosJEbg/edit?usp=sharing"",""ปราจีนบุรี!S193"")+IMPORTRANGE(""https://docs.googl"&amp;"e.com/spreadsheets/d/1BIDqLLg5jk3v59G8NlR8rk5xfQDKne0sAvZHSj7TI6I/edit?usp=sharing"",""พระนครศรีอยุธยา!S193"")+IMPORTRANGE(""https://docs.google.com/spreadsheets/d/1YXvxf8Yu6_rV4hTBrwMqAcAnv6DfhUxh5emyM3CJp_w/edit?usp=sharing"",""เพชรบุรี!S193"")+IMPORTRA"&amp;"NGE(""https://docs.google.com/spreadsheets/d/19KBlQQs7uwvsao6t2n-KvW3Ax8J8uRRfZPq1zPbXgKc/edit?usp=sharing"",""ระยอง!S193"")+IMPORTRANGE(""https://docs.google.com/spreadsheets/d/1jQ6P4QcrGM89YfqcC_PxOHGCMq5ezhucwJd8ci-NHng/edit?usp=sharing"",""ราชบุรี!S19"&amp;"3"")+IMPORTRANGE(""https://docs.google.com/spreadsheets/d/1lufeA2cfFqM-elVq2hznhDzC6Pr7wkJ9ZG_sYNGCMCU/edit?usp=sharing"",""ลพบุรี!S193"")+IMPORTRANGE(""https://docs.google.com/spreadsheets/d/10oOiF7loTyfsTkbd4MpaIm0HQ9SwB7IYHdIUvt-U1Uc/edit?usp=sharing"""&amp;",""สระแก้ว!S193"")+IMPORTRANGE(""https://docs.google.com/spreadsheets/d/1xmPlrr1QbdSIKvl1dWUl9K4PjAfSL9oeMr_37QVzcxc/edit?usp=sharing"",""สระบุรี!S193"")+IMPORTRANGE(""https://docs.google.com/spreadsheets/d/1j51vR6CYVGhABJpv6tkstgok82RLpXieLzW1yOY5rHw/edi"&amp;"t?usp=sharing"",""สิงห์บุรี!S193"")+IMPORTRANGE(""https://docs.google.com/spreadsheets/d/1H1EalTWKUSzO4Z1-1CwzoDUaVffgrThEBe2sl74kKG0/edit?usp=sharing"",""สุพรรณบุรี!S193"")+IMPORTRANGE(""https://docs.google.com/spreadsheets/d/1BmIruG_sIrJLYao_Pdr7zVArWsf"&amp;"oBt2692TMi6x_854/edit?usp=sharing"",""อ่างทอง!S193"")"),0)</f>
        <v>0</v>
      </c>
      <c r="T194" s="133">
        <f t="shared" ca="1" si="161"/>
        <v>0</v>
      </c>
      <c r="U194" s="133">
        <f t="shared" ca="1" si="162"/>
        <v>0</v>
      </c>
    </row>
    <row r="195" spans="1:21" ht="18.75" x14ac:dyDescent="0.25">
      <c r="A195" s="209"/>
      <c r="B195" s="67"/>
      <c r="C195" s="67"/>
      <c r="D195" s="67"/>
      <c r="E195" s="75" t="s">
        <v>21</v>
      </c>
      <c r="F195" s="67"/>
      <c r="G195" s="69"/>
      <c r="H195" s="221" t="s">
        <v>14</v>
      </c>
      <c r="I195" s="219"/>
      <c r="J195" s="219"/>
      <c r="K195" s="220"/>
      <c r="L195" s="88">
        <f ca="1">IFERROR(__xludf.DUMMYFUNCTION("IMPORTRANGE(""https://docs.google.com/spreadsheets/d/13wPX838HrBrQMCywv1BsuMkt4PEKTChp52zj44s2izQ/edit?usp=sharing"",""กาญจนบุรี!L194"")+IMPORTRANGE(""https://docs.google.com/spreadsheets/d/1ddFKvqj1W1NEiWytbGlB1zMx_ykJDVtmfEQ-6-lIUBA/edit?usp=sharing"","&amp;"""จันทบุรี!L194"")+IMPORTRANGE(""https://docs.google.com/spreadsheets/d/1T1PQvRODqOBZk8BRht_U031fIS1beLA0Ub2CEytj2q0/edit?usp=sharing"",""ฉะเชิงเทรา!L194"")+IMPORTRANGE(""https://docs.google.com/spreadsheets/d/11tr1B-Bhyr79v2bkwVh5h_fR-PStkgjlZtkrZpYurG0/"&amp;"edit?usp=sharing"",""ชลบุรี!L194"")+IMPORTRANGE(""https://docs.google.com/spreadsheets/d/1hh-FVnSX0vozXhGluamEcS54Dw9_zqW0N7qJUWgJ0Sw/edit?usp=sharing"",""ชัยนาท!L194"")+IMPORTRANGE(""https://docs.google.com/spreadsheets/d/1jkqa6GXxSacMcY1eN8AHjMNJ_7dDXMJ"&amp;"VRLDlaFSOdPM/edit?usp=sharing"",""ตราด!L194"")+IMPORTRANGE(""https://docs.google.com/spreadsheets/d/18hSgUJ3VwClqi_qtULmmW3cLr0oe3OKaSYoKzdpTsYQ/edit?usp=sharing"",""นครนายก!L194"")+IMPORTRANGE(""https://docs.google.com/spreadsheets/d/1YTZo6WM2dQ6Ix6FSdnL"&amp;"5P7uVnVKu40sxZu975tgG10E/edit?usp=sharing"",""นครปฐม!L194"")+IMPORTRANGE(""https://docs.google.com/spreadsheets/d/1OYoGg4WDg5RIzwGeB10padOxJF9E_Vljuvvct_M7RDo/edit?usp=sharing"",""ปทุมธานี!L194"")+IMPORTRANGE(""https://docs.google.com/spreadsheets/d/1GbCI"&amp;"E4D4wk9FUozzqk7SxfDMxDVBwVmI5zcaVUSzKAc/edit?usp=sharing"",""ประจวบคีรีขันธ์!L194"")+IMPORTRANGE(""https://docs.google.com/spreadsheets/d/1vVf6wykvW_lAyu7Yo9L4hUTqHqIeP_qcVuxCtosJEbg/edit?usp=sharing"",""ปราจีนบุรี!L194"")+IMPORTRANGE(""https://docs.googl"&amp;"e.com/spreadsheets/d/1BIDqLLg5jk3v59G8NlR8rk5xfQDKne0sAvZHSj7TI6I/edit?usp=sharing"",""พระนครศรีอยุธยา!L194"")+IMPORTRANGE(""https://docs.google.com/spreadsheets/d/1YXvxf8Yu6_rV4hTBrwMqAcAnv6DfhUxh5emyM3CJp_w/edit?usp=sharing"",""เพชรบุรี!L194"")+IMPORTRA"&amp;"NGE(""https://docs.google.com/spreadsheets/d/19KBlQQs7uwvsao6t2n-KvW3Ax8J8uRRfZPq1zPbXgKc/edit?usp=sharing"",""ระยอง!L194"")+IMPORTRANGE(""https://docs.google.com/spreadsheets/d/1jQ6P4QcrGM89YfqcC_PxOHGCMq5ezhucwJd8ci-NHng/edit?usp=sharing"",""ราชบุรี!L19"&amp;"4"")+IMPORTRANGE(""https://docs.google.com/spreadsheets/d/1lufeA2cfFqM-elVq2hznhDzC6Pr7wkJ9ZG_sYNGCMCU/edit?usp=sharing"",""ลพบุรี!L194"")+IMPORTRANGE(""https://docs.google.com/spreadsheets/d/10oOiF7loTyfsTkbd4MpaIm0HQ9SwB7IYHdIUvt-U1Uc/edit?usp=sharing"""&amp;",""สระแก้ว!L194"")+IMPORTRANGE(""https://docs.google.com/spreadsheets/d/1xmPlrr1QbdSIKvl1dWUl9K4PjAfSL9oeMr_37QVzcxc/edit?usp=sharing"",""สระบุรี!L194"")+IMPORTRANGE(""https://docs.google.com/spreadsheets/d/1j51vR6CYVGhABJpv6tkstgok82RLpXieLzW1yOY5rHw/edi"&amp;"t?usp=sharing"",""สิงห์บุรี!L194"")+IMPORTRANGE(""https://docs.google.com/spreadsheets/d/1H1EalTWKUSzO4Z1-1CwzoDUaVffgrThEBe2sl74kKG0/edit?usp=sharing"",""สุพรรณบุรี!L194"")+IMPORTRANGE(""https://docs.google.com/spreadsheets/d/1BmIruG_sIrJLYao_Pdr7zVArWsf"&amp;"oBt2692TMi6x_854/edit?usp=sharing"",""อ่างทอง!L194"")"),0)</f>
        <v>0</v>
      </c>
      <c r="M195" s="88">
        <f ca="1">IFERROR(__xludf.DUMMYFUNCTION("IMPORTRANGE(""https://docs.google.com/spreadsheets/d/13wPX838HrBrQMCywv1BsuMkt4PEKTChp52zj44s2izQ/edit?usp=sharing"",""กาญจนบุรี!M194"")+IMPORTRANGE(""https://docs.google.com/spreadsheets/d/1ddFKvqj1W1NEiWytbGlB1zMx_ykJDVtmfEQ-6-lIUBA/edit?usp=sharing"","&amp;"""จันทบุรี!M194"")+IMPORTRANGE(""https://docs.google.com/spreadsheets/d/1T1PQvRODqOBZk8BRht_U031fIS1beLA0Ub2CEytj2q0/edit?usp=sharing"",""ฉะเชิงเทรา!M194"")+IMPORTRANGE(""https://docs.google.com/spreadsheets/d/11tr1B-Bhyr79v2bkwVh5h_fR-PStkgjlZtkrZpYurG0/"&amp;"edit?usp=sharing"",""ชลบุรี!M194"")+IMPORTRANGE(""https://docs.google.com/spreadsheets/d/1hh-FVnSX0vozXhGluamEcS54Dw9_zqW0N7qJUWgJ0Sw/edit?usp=sharing"",""ชัยนาท!M194"")+IMPORTRANGE(""https://docs.google.com/spreadsheets/d/1jkqa6GXxSacMcY1eN8AHjMNJ_7dDXMJ"&amp;"VRLDlaFSOdPM/edit?usp=sharing"",""ตราด!M194"")+IMPORTRANGE(""https://docs.google.com/spreadsheets/d/18hSgUJ3VwClqi_qtULmmW3cLr0oe3OKaSYoKzdpTsYQ/edit?usp=sharing"",""นครนายก!M194"")+IMPORTRANGE(""https://docs.google.com/spreadsheets/d/1YTZo6WM2dQ6Ix6FSdnL"&amp;"5P7uVnVKu40sxZu975tgG10E/edit?usp=sharing"",""นครปฐม!M194"")+IMPORTRANGE(""https://docs.google.com/spreadsheets/d/1OYoGg4WDg5RIzwGeB10padOxJF9E_Vljuvvct_M7RDo/edit?usp=sharing"",""ปทุมธานี!M194"")+IMPORTRANGE(""https://docs.google.com/spreadsheets/d/1GbCI"&amp;"E4D4wk9FUozzqk7SxfDMxDVBwVmI5zcaVUSzKAc/edit?usp=sharing"",""ประจวบคีรีขันธ์!M194"")+IMPORTRANGE(""https://docs.google.com/spreadsheets/d/1vVf6wykvW_lAyu7Yo9L4hUTqHqIeP_qcVuxCtosJEbg/edit?usp=sharing"",""ปราจีนบุรี!M194"")+IMPORTRANGE(""https://docs.googl"&amp;"e.com/spreadsheets/d/1BIDqLLg5jk3v59G8NlR8rk5xfQDKne0sAvZHSj7TI6I/edit?usp=sharing"",""พระนครศรีอยุธยา!M194"")+IMPORTRANGE(""https://docs.google.com/spreadsheets/d/1YXvxf8Yu6_rV4hTBrwMqAcAnv6DfhUxh5emyM3CJp_w/edit?usp=sharing"",""เพชรบุรี!M194"")+IMPORTRA"&amp;"NGE(""https://docs.google.com/spreadsheets/d/19KBlQQs7uwvsao6t2n-KvW3Ax8J8uRRfZPq1zPbXgKc/edit?usp=sharing"",""ระยอง!M194"")+IMPORTRANGE(""https://docs.google.com/spreadsheets/d/1jQ6P4QcrGM89YfqcC_PxOHGCMq5ezhucwJd8ci-NHng/edit?usp=sharing"",""ราชบุรี!M19"&amp;"4"")+IMPORTRANGE(""https://docs.google.com/spreadsheets/d/1lufeA2cfFqM-elVq2hznhDzC6Pr7wkJ9ZG_sYNGCMCU/edit?usp=sharing"",""ลพบุรี!M194"")+IMPORTRANGE(""https://docs.google.com/spreadsheets/d/10oOiF7loTyfsTkbd4MpaIm0HQ9SwB7IYHdIUvt-U1Uc/edit?usp=sharing"""&amp;",""สระแก้ว!M194"")+IMPORTRANGE(""https://docs.google.com/spreadsheets/d/1xmPlrr1QbdSIKvl1dWUl9K4PjAfSL9oeMr_37QVzcxc/edit?usp=sharing"",""สระบุรี!M194"")+IMPORTRANGE(""https://docs.google.com/spreadsheets/d/1j51vR6CYVGhABJpv6tkstgok82RLpXieLzW1yOY5rHw/edi"&amp;"t?usp=sharing"",""สิงห์บุรี!M194"")+IMPORTRANGE(""https://docs.google.com/spreadsheets/d/1H1EalTWKUSzO4Z1-1CwzoDUaVffgrThEBe2sl74kKG0/edit?usp=sharing"",""สุพรรณบุรี!M194"")+IMPORTRANGE(""https://docs.google.com/spreadsheets/d/1BmIruG_sIrJLYao_Pdr7zVArWsf"&amp;"oBt2692TMi6x_854/edit?usp=sharing"",""อ่างทอง!M194"")"),0)</f>
        <v>0</v>
      </c>
      <c r="N195" s="88">
        <f ca="1">IFERROR(__xludf.DUMMYFUNCTION("IMPORTRANGE(""https://docs.google.com/spreadsheets/d/13wPX838HrBrQMCywv1BsuMkt4PEKTChp52zj44s2izQ/edit?usp=sharing"",""กาญจนบุรี!N194"")+IMPORTRANGE(""https://docs.google.com/spreadsheets/d/1ddFKvqj1W1NEiWytbGlB1zMx_ykJDVtmfEQ-6-lIUBA/edit?usp=sharing"","&amp;"""จันทบุรี!N194"")+IMPORTRANGE(""https://docs.google.com/spreadsheets/d/1T1PQvRODqOBZk8BRht_U031fIS1beLA0Ub2CEytj2q0/edit?usp=sharing"",""ฉะเชิงเทรา!N194"")+IMPORTRANGE(""https://docs.google.com/spreadsheets/d/11tr1B-Bhyr79v2bkwVh5h_fR-PStkgjlZtkrZpYurG0/"&amp;"edit?usp=sharing"",""ชลบุรี!N194"")+IMPORTRANGE(""https://docs.google.com/spreadsheets/d/1hh-FVnSX0vozXhGluamEcS54Dw9_zqW0N7qJUWgJ0Sw/edit?usp=sharing"",""ชัยนาท!N194"")+IMPORTRANGE(""https://docs.google.com/spreadsheets/d/1jkqa6GXxSacMcY1eN8AHjMNJ_7dDXMJ"&amp;"VRLDlaFSOdPM/edit?usp=sharing"",""ตราด!N194"")+IMPORTRANGE(""https://docs.google.com/spreadsheets/d/18hSgUJ3VwClqi_qtULmmW3cLr0oe3OKaSYoKzdpTsYQ/edit?usp=sharing"",""นครนายก!N194"")+IMPORTRANGE(""https://docs.google.com/spreadsheets/d/1YTZo6WM2dQ6Ix6FSdnL"&amp;"5P7uVnVKu40sxZu975tgG10E/edit?usp=sharing"",""นครปฐม!N194"")+IMPORTRANGE(""https://docs.google.com/spreadsheets/d/1OYoGg4WDg5RIzwGeB10padOxJF9E_Vljuvvct_M7RDo/edit?usp=sharing"",""ปทุมธานี!N194"")+IMPORTRANGE(""https://docs.google.com/spreadsheets/d/1GbCI"&amp;"E4D4wk9FUozzqk7SxfDMxDVBwVmI5zcaVUSzKAc/edit?usp=sharing"",""ประจวบคีรีขันธ์!N194"")+IMPORTRANGE(""https://docs.google.com/spreadsheets/d/1vVf6wykvW_lAyu7Yo9L4hUTqHqIeP_qcVuxCtosJEbg/edit?usp=sharing"",""ปราจีนบุรี!N194"")+IMPORTRANGE(""https://docs.googl"&amp;"e.com/spreadsheets/d/1BIDqLLg5jk3v59G8NlR8rk5xfQDKne0sAvZHSj7TI6I/edit?usp=sharing"",""พระนครศรีอยุธยา!N194"")+IMPORTRANGE(""https://docs.google.com/spreadsheets/d/1YXvxf8Yu6_rV4hTBrwMqAcAnv6DfhUxh5emyM3CJp_w/edit?usp=sharing"",""เพชรบุรี!N194"")+IMPORTRA"&amp;"NGE(""https://docs.google.com/spreadsheets/d/19KBlQQs7uwvsao6t2n-KvW3Ax8J8uRRfZPq1zPbXgKc/edit?usp=sharing"",""ระยอง!N194"")+IMPORTRANGE(""https://docs.google.com/spreadsheets/d/1jQ6P4QcrGM89YfqcC_PxOHGCMq5ezhucwJd8ci-NHng/edit?usp=sharing"",""ราชบุรี!N19"&amp;"4"")+IMPORTRANGE(""https://docs.google.com/spreadsheets/d/1lufeA2cfFqM-elVq2hznhDzC6Pr7wkJ9ZG_sYNGCMCU/edit?usp=sharing"",""ลพบุรี!N194"")+IMPORTRANGE(""https://docs.google.com/spreadsheets/d/10oOiF7loTyfsTkbd4MpaIm0HQ9SwB7IYHdIUvt-U1Uc/edit?usp=sharing"""&amp;",""สระแก้ว!N194"")+IMPORTRANGE(""https://docs.google.com/spreadsheets/d/1xmPlrr1QbdSIKvl1dWUl9K4PjAfSL9oeMr_37QVzcxc/edit?usp=sharing"",""สระบุรี!N194"")+IMPORTRANGE(""https://docs.google.com/spreadsheets/d/1j51vR6CYVGhABJpv6tkstgok82RLpXieLzW1yOY5rHw/edi"&amp;"t?usp=sharing"",""สิงห์บุรี!N194"")+IMPORTRANGE(""https://docs.google.com/spreadsheets/d/1H1EalTWKUSzO4Z1-1CwzoDUaVffgrThEBe2sl74kKG0/edit?usp=sharing"",""สุพรรณบุรี!N194"")+IMPORTRANGE(""https://docs.google.com/spreadsheets/d/1BmIruG_sIrJLYao_Pdr7zVArWsf"&amp;"oBt2692TMi6x_854/edit?usp=sharing"",""อ่างทอง!N194"")"),0)</f>
        <v>0</v>
      </c>
      <c r="O195" s="88">
        <f t="shared" ca="1" si="158"/>
        <v>0</v>
      </c>
      <c r="P195" s="88">
        <f t="shared" ca="1" si="159"/>
        <v>0</v>
      </c>
      <c r="Q195" s="73">
        <f ca="1">IFERROR(__xludf.DUMMYFUNCTION("IMPORTRANGE(""https://docs.google.com/spreadsheets/d/13wPX838HrBrQMCywv1BsuMkt4PEKTChp52zj44s2izQ/edit?usp=sharing"",""กาญจนบุรี!Q194"")+IMPORTRANGE(""https://docs.google.com/spreadsheets/d/1ddFKvqj1W1NEiWytbGlB1zMx_ykJDVtmfEQ-6-lIUBA/edit?usp=sharing"","&amp;"""จันทบุรี!Q194"")+IMPORTRANGE(""https://docs.google.com/spreadsheets/d/1T1PQvRODqOBZk8BRht_U031fIS1beLA0Ub2CEytj2q0/edit?usp=sharing"",""ฉะเชิงเทรา!Q194"")+IMPORTRANGE(""https://docs.google.com/spreadsheets/d/11tr1B-Bhyr79v2bkwVh5h_fR-PStkgjlZtkrZpYurG0/"&amp;"edit?usp=sharing"",""ชลบุรี!Q194"")+IMPORTRANGE(""https://docs.google.com/spreadsheets/d/1hh-FVnSX0vozXhGluamEcS54Dw9_zqW0N7qJUWgJ0Sw/edit?usp=sharing"",""ชัยนาท!Q194"")+IMPORTRANGE(""https://docs.google.com/spreadsheets/d/1jkqa6GXxSacMcY1eN8AHjMNJ_7dDXMJ"&amp;"VRLDlaFSOdPM/edit?usp=sharing"",""ตราด!Q194"")+IMPORTRANGE(""https://docs.google.com/spreadsheets/d/18hSgUJ3VwClqi_qtULmmW3cLr0oe3OKaSYoKzdpTsYQ/edit?usp=sharing"",""นครนายก!Q194"")+IMPORTRANGE(""https://docs.google.com/spreadsheets/d/1YTZo6WM2dQ6Ix6FSdnL"&amp;"5P7uVnVKu40sxZu975tgG10E/edit?usp=sharing"",""นครปฐม!Q194"")+IMPORTRANGE(""https://docs.google.com/spreadsheets/d/1OYoGg4WDg5RIzwGeB10padOxJF9E_Vljuvvct_M7RDo/edit?usp=sharing"",""ปทุมธานี!Q194"")+IMPORTRANGE(""https://docs.google.com/spreadsheets/d/1GbCI"&amp;"E4D4wk9FUozzqk7SxfDMxDVBwVmI5zcaVUSzKAc/edit?usp=sharing"",""ประจวบคีรีขันธ์!Q194"")+IMPORTRANGE(""https://docs.google.com/spreadsheets/d/1vVf6wykvW_lAyu7Yo9L4hUTqHqIeP_qcVuxCtosJEbg/edit?usp=sharing"",""ปราจีนบุรี!Q194"")+IMPORTRANGE(""https://docs.googl"&amp;"e.com/spreadsheets/d/1BIDqLLg5jk3v59G8NlR8rk5xfQDKne0sAvZHSj7TI6I/edit?usp=sharing"",""พระนครศรีอยุธยา!Q194"")+IMPORTRANGE(""https://docs.google.com/spreadsheets/d/1YXvxf8Yu6_rV4hTBrwMqAcAnv6DfhUxh5emyM3CJp_w/edit?usp=sharing"",""เพชรบุรี!Q194"")+IMPORTRA"&amp;"NGE(""https://docs.google.com/spreadsheets/d/19KBlQQs7uwvsao6t2n-KvW3Ax8J8uRRfZPq1zPbXgKc/edit?usp=sharing"",""ระยอง!Q194"")+IMPORTRANGE(""https://docs.google.com/spreadsheets/d/1jQ6P4QcrGM89YfqcC_PxOHGCMq5ezhucwJd8ci-NHng/edit?usp=sharing"",""ราชบุรี!Q19"&amp;"4"")+IMPORTRANGE(""https://docs.google.com/spreadsheets/d/1lufeA2cfFqM-elVq2hznhDzC6Pr7wkJ9ZG_sYNGCMCU/edit?usp=sharing"",""ลพบุรี!Q194"")+IMPORTRANGE(""https://docs.google.com/spreadsheets/d/10oOiF7loTyfsTkbd4MpaIm0HQ9SwB7IYHdIUvt-U1Uc/edit?usp=sharing"""&amp;",""สระแก้ว!Q194"")+IMPORTRANGE(""https://docs.google.com/spreadsheets/d/1xmPlrr1QbdSIKvl1dWUl9K4PjAfSL9oeMr_37QVzcxc/edit?usp=sharing"",""สระบุรี!Q194"")+IMPORTRANGE(""https://docs.google.com/spreadsheets/d/1j51vR6CYVGhABJpv6tkstgok82RLpXieLzW1yOY5rHw/edi"&amp;"t?usp=sharing"",""สิงห์บุรี!Q194"")+IMPORTRANGE(""https://docs.google.com/spreadsheets/d/1H1EalTWKUSzO4Z1-1CwzoDUaVffgrThEBe2sl74kKG0/edit?usp=sharing"",""สุพรรณบุรี!Q194"")+IMPORTRANGE(""https://docs.google.com/spreadsheets/d/1BmIruG_sIrJLYao_Pdr7zVArWsf"&amp;"oBt2692TMi6x_854/edit?usp=sharing"",""อ่างทอง!Q194"")"),0)</f>
        <v>0</v>
      </c>
      <c r="R195" s="74">
        <f ca="1">IFERROR(__xludf.DUMMYFUNCTION("IMPORTRANGE(""https://docs.google.com/spreadsheets/d/13wPX838HrBrQMCywv1BsuMkt4PEKTChp52zj44s2izQ/edit?usp=sharing"",""กาญจนบุรี!R194"")+IMPORTRANGE(""https://docs.google.com/spreadsheets/d/1ddFKvqj1W1NEiWytbGlB1zMx_ykJDVtmfEQ-6-lIUBA/edit?usp=sharing"","&amp;"""จันทบุรี!R194"")+IMPORTRANGE(""https://docs.google.com/spreadsheets/d/1T1PQvRODqOBZk8BRht_U031fIS1beLA0Ub2CEytj2q0/edit?usp=sharing"",""ฉะเชิงเทรา!R194"")+IMPORTRANGE(""https://docs.google.com/spreadsheets/d/11tr1B-Bhyr79v2bkwVh5h_fR-PStkgjlZtkrZpYurG0/"&amp;"edit?usp=sharing"",""ชลบุรี!R194"")+IMPORTRANGE(""https://docs.google.com/spreadsheets/d/1hh-FVnSX0vozXhGluamEcS54Dw9_zqW0N7qJUWgJ0Sw/edit?usp=sharing"",""ชัยนาท!R194"")+IMPORTRANGE(""https://docs.google.com/spreadsheets/d/1jkqa6GXxSacMcY1eN8AHjMNJ_7dDXMJ"&amp;"VRLDlaFSOdPM/edit?usp=sharing"",""ตราด!R194"")+IMPORTRANGE(""https://docs.google.com/spreadsheets/d/18hSgUJ3VwClqi_qtULmmW3cLr0oe3OKaSYoKzdpTsYQ/edit?usp=sharing"",""นครนายก!R194"")+IMPORTRANGE(""https://docs.google.com/spreadsheets/d/1YTZo6WM2dQ6Ix6FSdnL"&amp;"5P7uVnVKu40sxZu975tgG10E/edit?usp=sharing"",""นครปฐม!R194"")+IMPORTRANGE(""https://docs.google.com/spreadsheets/d/1OYoGg4WDg5RIzwGeB10padOxJF9E_Vljuvvct_M7RDo/edit?usp=sharing"",""ปทุมธานี!R194"")+IMPORTRANGE(""https://docs.google.com/spreadsheets/d/1GbCI"&amp;"E4D4wk9FUozzqk7SxfDMxDVBwVmI5zcaVUSzKAc/edit?usp=sharing"",""ประจวบคีรีขันธ์!R194"")+IMPORTRANGE(""https://docs.google.com/spreadsheets/d/1vVf6wykvW_lAyu7Yo9L4hUTqHqIeP_qcVuxCtosJEbg/edit?usp=sharing"",""ปราจีนบุรี!R194"")+IMPORTRANGE(""https://docs.googl"&amp;"e.com/spreadsheets/d/1BIDqLLg5jk3v59G8NlR8rk5xfQDKne0sAvZHSj7TI6I/edit?usp=sharing"",""พระนครศรีอยุธยา!R194"")+IMPORTRANGE(""https://docs.google.com/spreadsheets/d/1YXvxf8Yu6_rV4hTBrwMqAcAnv6DfhUxh5emyM3CJp_w/edit?usp=sharing"",""เพชรบุรี!R194"")+IMPORTRA"&amp;"NGE(""https://docs.google.com/spreadsheets/d/19KBlQQs7uwvsao6t2n-KvW3Ax8J8uRRfZPq1zPbXgKc/edit?usp=sharing"",""ระยอง!R194"")+IMPORTRANGE(""https://docs.google.com/spreadsheets/d/1jQ6P4QcrGM89YfqcC_PxOHGCMq5ezhucwJd8ci-NHng/edit?usp=sharing"",""ราชบุรี!R19"&amp;"4"")+IMPORTRANGE(""https://docs.google.com/spreadsheets/d/1lufeA2cfFqM-elVq2hznhDzC6Pr7wkJ9ZG_sYNGCMCU/edit?usp=sharing"",""ลพบุรี!R194"")+IMPORTRANGE(""https://docs.google.com/spreadsheets/d/10oOiF7loTyfsTkbd4MpaIm0HQ9SwB7IYHdIUvt-U1Uc/edit?usp=sharing"""&amp;",""สระแก้ว!R194"")+IMPORTRANGE(""https://docs.google.com/spreadsheets/d/1xmPlrr1QbdSIKvl1dWUl9K4PjAfSL9oeMr_37QVzcxc/edit?usp=sharing"",""สระบุรี!R194"")+IMPORTRANGE(""https://docs.google.com/spreadsheets/d/1j51vR6CYVGhABJpv6tkstgok82RLpXieLzW1yOY5rHw/edi"&amp;"t?usp=sharing"",""สิงห์บุรี!R194"")+IMPORTRANGE(""https://docs.google.com/spreadsheets/d/1H1EalTWKUSzO4Z1-1CwzoDUaVffgrThEBe2sl74kKG0/edit?usp=sharing"",""สุพรรณบุรี!R194"")+IMPORTRANGE(""https://docs.google.com/spreadsheets/d/1BmIruG_sIrJLYao_Pdr7zVArWsf"&amp;"oBt2692TMi6x_854/edit?usp=sharing"",""อ่างทอง!R194"")"),0)</f>
        <v>0</v>
      </c>
      <c r="S195" s="74">
        <f ca="1">IFERROR(__xludf.DUMMYFUNCTION("IMPORTRANGE(""https://docs.google.com/spreadsheets/d/13wPX838HrBrQMCywv1BsuMkt4PEKTChp52zj44s2izQ/edit?usp=sharing"",""กาญจนบุรี!S194"")+IMPORTRANGE(""https://docs.google.com/spreadsheets/d/1ddFKvqj1W1NEiWytbGlB1zMx_ykJDVtmfEQ-6-lIUBA/edit?usp=sharing"","&amp;"""จันทบุรี!S194"")+IMPORTRANGE(""https://docs.google.com/spreadsheets/d/1T1PQvRODqOBZk8BRht_U031fIS1beLA0Ub2CEytj2q0/edit?usp=sharing"",""ฉะเชิงเทรา!S194"")+IMPORTRANGE(""https://docs.google.com/spreadsheets/d/11tr1B-Bhyr79v2bkwVh5h_fR-PStkgjlZtkrZpYurG0/"&amp;"edit?usp=sharing"",""ชลบุรี!S194"")+IMPORTRANGE(""https://docs.google.com/spreadsheets/d/1hh-FVnSX0vozXhGluamEcS54Dw9_zqW0N7qJUWgJ0Sw/edit?usp=sharing"",""ชัยนาท!S194"")+IMPORTRANGE(""https://docs.google.com/spreadsheets/d/1jkqa6GXxSacMcY1eN8AHjMNJ_7dDXMJ"&amp;"VRLDlaFSOdPM/edit?usp=sharing"",""ตราด!S194"")+IMPORTRANGE(""https://docs.google.com/spreadsheets/d/18hSgUJ3VwClqi_qtULmmW3cLr0oe3OKaSYoKzdpTsYQ/edit?usp=sharing"",""นครนายก!S194"")+IMPORTRANGE(""https://docs.google.com/spreadsheets/d/1YTZo6WM2dQ6Ix6FSdnL"&amp;"5P7uVnVKu40sxZu975tgG10E/edit?usp=sharing"",""นครปฐม!S194"")+IMPORTRANGE(""https://docs.google.com/spreadsheets/d/1OYoGg4WDg5RIzwGeB10padOxJF9E_Vljuvvct_M7RDo/edit?usp=sharing"",""ปทุมธานี!S194"")+IMPORTRANGE(""https://docs.google.com/spreadsheets/d/1GbCI"&amp;"E4D4wk9FUozzqk7SxfDMxDVBwVmI5zcaVUSzKAc/edit?usp=sharing"",""ประจวบคีรีขันธ์!S194"")+IMPORTRANGE(""https://docs.google.com/spreadsheets/d/1vVf6wykvW_lAyu7Yo9L4hUTqHqIeP_qcVuxCtosJEbg/edit?usp=sharing"",""ปราจีนบุรี!S194"")+IMPORTRANGE(""https://docs.googl"&amp;"e.com/spreadsheets/d/1BIDqLLg5jk3v59G8NlR8rk5xfQDKne0sAvZHSj7TI6I/edit?usp=sharing"",""พระนครศรีอยุธยา!S194"")+IMPORTRANGE(""https://docs.google.com/spreadsheets/d/1YXvxf8Yu6_rV4hTBrwMqAcAnv6DfhUxh5emyM3CJp_w/edit?usp=sharing"",""เพชรบุรี!S194"")+IMPORTRA"&amp;"NGE(""https://docs.google.com/spreadsheets/d/19KBlQQs7uwvsao6t2n-KvW3Ax8J8uRRfZPq1zPbXgKc/edit?usp=sharing"",""ระยอง!S194"")+IMPORTRANGE(""https://docs.google.com/spreadsheets/d/1jQ6P4QcrGM89YfqcC_PxOHGCMq5ezhucwJd8ci-NHng/edit?usp=sharing"",""ราชบุรี!S19"&amp;"4"")+IMPORTRANGE(""https://docs.google.com/spreadsheets/d/1lufeA2cfFqM-elVq2hznhDzC6Pr7wkJ9ZG_sYNGCMCU/edit?usp=sharing"",""ลพบุรี!S194"")+IMPORTRANGE(""https://docs.google.com/spreadsheets/d/10oOiF7loTyfsTkbd4MpaIm0HQ9SwB7IYHdIUvt-U1Uc/edit?usp=sharing"""&amp;",""สระแก้ว!S194"")+IMPORTRANGE(""https://docs.google.com/spreadsheets/d/1xmPlrr1QbdSIKvl1dWUl9K4PjAfSL9oeMr_37QVzcxc/edit?usp=sharing"",""สระบุรี!S194"")+IMPORTRANGE(""https://docs.google.com/spreadsheets/d/1j51vR6CYVGhABJpv6tkstgok82RLpXieLzW1yOY5rHw/edi"&amp;"t?usp=sharing"",""สิงห์บุรี!S194"")+IMPORTRANGE(""https://docs.google.com/spreadsheets/d/1H1EalTWKUSzO4Z1-1CwzoDUaVffgrThEBe2sl74kKG0/edit?usp=sharing"",""สุพรรณบุรี!S194"")+IMPORTRANGE(""https://docs.google.com/spreadsheets/d/1BmIruG_sIrJLYao_Pdr7zVArWsf"&amp;"oBt2692TMi6x_854/edit?usp=sharing"",""อ่างทอง!S194"")"),0)</f>
        <v>0</v>
      </c>
      <c r="T195" s="132">
        <f t="shared" ca="1" si="161"/>
        <v>0</v>
      </c>
      <c r="U195" s="132">
        <f t="shared" ca="1" si="162"/>
        <v>0</v>
      </c>
    </row>
    <row r="196" spans="1:21" ht="19.5" x14ac:dyDescent="0.3">
      <c r="A196" s="382"/>
      <c r="B196" s="383"/>
      <c r="C196" s="384" t="s">
        <v>78</v>
      </c>
      <c r="D196" s="385"/>
      <c r="E196" s="385"/>
      <c r="F196" s="385"/>
      <c r="G196" s="386"/>
      <c r="H196" s="387" t="s">
        <v>79</v>
      </c>
      <c r="I196" s="388">
        <f t="shared" ref="I196:J196" ca="1" si="171">I199</f>
        <v>84</v>
      </c>
      <c r="J196" s="388">
        <f t="shared" ca="1" si="171"/>
        <v>22</v>
      </c>
      <c r="K196" s="389">
        <f ca="1">IF(I196&gt;0,J196*100/I196,0)</f>
        <v>26.19047619047619</v>
      </c>
      <c r="L196" s="390"/>
      <c r="M196" s="390"/>
      <c r="N196" s="390"/>
      <c r="O196" s="390"/>
      <c r="P196" s="390"/>
      <c r="Q196" s="391"/>
      <c r="R196" s="392"/>
      <c r="S196" s="392"/>
      <c r="T196" s="392"/>
      <c r="U196" s="392"/>
    </row>
    <row r="197" spans="1:21" ht="19.5" x14ac:dyDescent="0.3">
      <c r="A197" s="209"/>
      <c r="B197" s="67"/>
      <c r="C197" s="210" t="s">
        <v>18</v>
      </c>
      <c r="D197" s="393" t="s">
        <v>19</v>
      </c>
      <c r="E197" s="67"/>
      <c r="F197" s="67"/>
      <c r="G197" s="69"/>
      <c r="H197" s="394" t="s">
        <v>14</v>
      </c>
      <c r="I197" s="71"/>
      <c r="J197" s="71"/>
      <c r="K197" s="72"/>
      <c r="L197" s="213">
        <f ca="1">IFERROR(__xludf.DUMMYFUNCTION("IMPORTRANGE(""https://docs.google.com/spreadsheets/d/13wPX838HrBrQMCywv1BsuMkt4PEKTChp52zj44s2izQ/edit?usp=sharing"",""กาญจนบุรี!L196"")+IMPORTRANGE(""https://docs.google.com/spreadsheets/d/1ddFKvqj1W1NEiWytbGlB1zMx_ykJDVtmfEQ-6-lIUBA/edit?usp=sharing"","&amp;"""จันทบุรี!L196"")+IMPORTRANGE(""https://docs.google.com/spreadsheets/d/1T1PQvRODqOBZk8BRht_U031fIS1beLA0Ub2CEytj2q0/edit?usp=sharing"",""ฉะเชิงเทรา!L196"")+IMPORTRANGE(""https://docs.google.com/spreadsheets/d/11tr1B-Bhyr79v2bkwVh5h_fR-PStkgjlZtkrZpYurG0/"&amp;"edit?usp=sharing"",""ชลบุรี!L196"")+IMPORTRANGE(""https://docs.google.com/spreadsheets/d/1hh-FVnSX0vozXhGluamEcS54Dw9_zqW0N7qJUWgJ0Sw/edit?usp=sharing"",""ชัยนาท!L196"")+IMPORTRANGE(""https://docs.google.com/spreadsheets/d/1jkqa6GXxSacMcY1eN8AHjMNJ_7dDXMJ"&amp;"VRLDlaFSOdPM/edit?usp=sharing"",""ตราด!L196"")+IMPORTRANGE(""https://docs.google.com/spreadsheets/d/18hSgUJ3VwClqi_qtULmmW3cLr0oe3OKaSYoKzdpTsYQ/edit?usp=sharing"",""นครนายก!L196"")+IMPORTRANGE(""https://docs.google.com/spreadsheets/d/1YTZo6WM2dQ6Ix6FSdnL"&amp;"5P7uVnVKu40sxZu975tgG10E/edit?usp=sharing"",""นครปฐม!L196"")+IMPORTRANGE(""https://docs.google.com/spreadsheets/d/1OYoGg4WDg5RIzwGeB10padOxJF9E_Vljuvvct_M7RDo/edit?usp=sharing"",""ปทุมธานี!L196"")+IMPORTRANGE(""https://docs.google.com/spreadsheets/d/1GbCI"&amp;"E4D4wk9FUozzqk7SxfDMxDVBwVmI5zcaVUSzKAc/edit?usp=sharing"",""ประจวบคีรีขันธ์!L196"")+IMPORTRANGE(""https://docs.google.com/spreadsheets/d/1vVf6wykvW_lAyu7Yo9L4hUTqHqIeP_qcVuxCtosJEbg/edit?usp=sharing"",""ปราจีนบุรี!L196"")+IMPORTRANGE(""https://docs.googl"&amp;"e.com/spreadsheets/d/1BIDqLLg5jk3v59G8NlR8rk5xfQDKne0sAvZHSj7TI6I/edit?usp=sharing"",""พระนครศรีอยุธยา!L196"")+IMPORTRANGE(""https://docs.google.com/spreadsheets/d/1YXvxf8Yu6_rV4hTBrwMqAcAnv6DfhUxh5emyM3CJp_w/edit?usp=sharing"",""เพชรบุรี!L196"")+IMPORTRA"&amp;"NGE(""https://docs.google.com/spreadsheets/d/19KBlQQs7uwvsao6t2n-KvW3Ax8J8uRRfZPq1zPbXgKc/edit?usp=sharing"",""ระยอง!L196"")+IMPORTRANGE(""https://docs.google.com/spreadsheets/d/1jQ6P4QcrGM89YfqcC_PxOHGCMq5ezhucwJd8ci-NHng/edit?usp=sharing"",""ราชบุรี!L19"&amp;"6"")+IMPORTRANGE(""https://docs.google.com/spreadsheets/d/1lufeA2cfFqM-elVq2hznhDzC6Pr7wkJ9ZG_sYNGCMCU/edit?usp=sharing"",""ลพบุรี!L196"")+IMPORTRANGE(""https://docs.google.com/spreadsheets/d/10oOiF7loTyfsTkbd4MpaIm0HQ9SwB7IYHdIUvt-U1Uc/edit?usp=sharing"""&amp;",""สระแก้ว!L196"")+IMPORTRANGE(""https://docs.google.com/spreadsheets/d/1xmPlrr1QbdSIKvl1dWUl9K4PjAfSL9oeMr_37QVzcxc/edit?usp=sharing"",""สระบุรี!L196"")+IMPORTRANGE(""https://docs.google.com/spreadsheets/d/1j51vR6CYVGhABJpv6tkstgok82RLpXieLzW1yOY5rHw/edi"&amp;"t?usp=sharing"",""สิงห์บุรี!L196"")+IMPORTRANGE(""https://docs.google.com/spreadsheets/d/1H1EalTWKUSzO4Z1-1CwzoDUaVffgrThEBe2sl74kKG0/edit?usp=sharing"",""สุพรรณบุรี!L196"")+IMPORTRANGE(""https://docs.google.com/spreadsheets/d/1BmIruG_sIrJLYao_Pdr7zVArWsf"&amp;"oBt2692TMi6x_854/edit?usp=sharing"",""อ่างทอง!L196"")"),126000)</f>
        <v>126000</v>
      </c>
      <c r="M197" s="72"/>
      <c r="N197" s="213">
        <f ca="1">IFERROR(__xludf.DUMMYFUNCTION("IMPORTRANGE(""https://docs.google.com/spreadsheets/d/13wPX838HrBrQMCywv1BsuMkt4PEKTChp52zj44s2izQ/edit?usp=sharing"",""กาญจนบุรี!N196"")+IMPORTRANGE(""https://docs.google.com/spreadsheets/d/1ddFKvqj1W1NEiWytbGlB1zMx_ykJDVtmfEQ-6-lIUBA/edit?usp=sharing"","&amp;"""จันทบุรี!N196"")+IMPORTRANGE(""https://docs.google.com/spreadsheets/d/1T1PQvRODqOBZk8BRht_U031fIS1beLA0Ub2CEytj2q0/edit?usp=sharing"",""ฉะเชิงเทรา!N196"")+IMPORTRANGE(""https://docs.google.com/spreadsheets/d/11tr1B-Bhyr79v2bkwVh5h_fR-PStkgjlZtkrZpYurG0/"&amp;"edit?usp=sharing"",""ชลบุรี!N196"")+IMPORTRANGE(""https://docs.google.com/spreadsheets/d/1hh-FVnSX0vozXhGluamEcS54Dw9_zqW0N7qJUWgJ0Sw/edit?usp=sharing"",""ชัยนาท!N196"")+IMPORTRANGE(""https://docs.google.com/spreadsheets/d/1jkqa6GXxSacMcY1eN8AHjMNJ_7dDXMJ"&amp;"VRLDlaFSOdPM/edit?usp=sharing"",""ตราด!N196"")+IMPORTRANGE(""https://docs.google.com/spreadsheets/d/18hSgUJ3VwClqi_qtULmmW3cLr0oe3OKaSYoKzdpTsYQ/edit?usp=sharing"",""นครนายก!N196"")+IMPORTRANGE(""https://docs.google.com/spreadsheets/d/1YTZo6WM2dQ6Ix6FSdnL"&amp;"5P7uVnVKu40sxZu975tgG10E/edit?usp=sharing"",""นครปฐม!N196"")+IMPORTRANGE(""https://docs.google.com/spreadsheets/d/1OYoGg4WDg5RIzwGeB10padOxJF9E_Vljuvvct_M7RDo/edit?usp=sharing"",""ปทุมธานี!N196"")+IMPORTRANGE(""https://docs.google.com/spreadsheets/d/1GbCI"&amp;"E4D4wk9FUozzqk7SxfDMxDVBwVmI5zcaVUSzKAc/edit?usp=sharing"",""ประจวบคีรีขันธ์!N196"")+IMPORTRANGE(""https://docs.google.com/spreadsheets/d/1vVf6wykvW_lAyu7Yo9L4hUTqHqIeP_qcVuxCtosJEbg/edit?usp=sharing"",""ปราจีนบุรี!N196"")+IMPORTRANGE(""https://docs.googl"&amp;"e.com/spreadsheets/d/1BIDqLLg5jk3v59G8NlR8rk5xfQDKne0sAvZHSj7TI6I/edit?usp=sharing"",""พระนครศรีอยุธยา!N196"")+IMPORTRANGE(""https://docs.google.com/spreadsheets/d/1YXvxf8Yu6_rV4hTBrwMqAcAnv6DfhUxh5emyM3CJp_w/edit?usp=sharing"",""เพชรบุรี!N196"")+IMPORTRA"&amp;"NGE(""https://docs.google.com/spreadsheets/d/19KBlQQs7uwvsao6t2n-KvW3Ax8J8uRRfZPq1zPbXgKc/edit?usp=sharing"",""ระยอง!N196"")+IMPORTRANGE(""https://docs.google.com/spreadsheets/d/1jQ6P4QcrGM89YfqcC_PxOHGCMq5ezhucwJd8ci-NHng/edit?usp=sharing"",""ราชบุรี!N19"&amp;"6"")+IMPORTRANGE(""https://docs.google.com/spreadsheets/d/1lufeA2cfFqM-elVq2hznhDzC6Pr7wkJ9ZG_sYNGCMCU/edit?usp=sharing"",""ลพบุรี!N196"")+IMPORTRANGE(""https://docs.google.com/spreadsheets/d/10oOiF7loTyfsTkbd4MpaIm0HQ9SwB7IYHdIUvt-U1Uc/edit?usp=sharing"""&amp;",""สระแก้ว!N196"")+IMPORTRANGE(""https://docs.google.com/spreadsheets/d/1xmPlrr1QbdSIKvl1dWUl9K4PjAfSL9oeMr_37QVzcxc/edit?usp=sharing"",""สระบุรี!N196"")+IMPORTRANGE(""https://docs.google.com/spreadsheets/d/1j51vR6CYVGhABJpv6tkstgok82RLpXieLzW1yOY5rHw/edi"&amp;"t?usp=sharing"",""สิงห์บุรี!N196"")+IMPORTRANGE(""https://docs.google.com/spreadsheets/d/1H1EalTWKUSzO4Z1-1CwzoDUaVffgrThEBe2sl74kKG0/edit?usp=sharing"",""สุพรรณบุรี!N196"")+IMPORTRANGE(""https://docs.google.com/spreadsheets/d/1BmIruG_sIrJLYao_Pdr7zVArWsf"&amp;"oBt2692TMi6x_854/edit?usp=sharing"",""อ่างทอง!N196"")"),18730)</f>
        <v>18730</v>
      </c>
      <c r="O197" s="213">
        <f ca="1">IF(L197&gt;0,N197*100/L197,0)</f>
        <v>14.865079365079366</v>
      </c>
      <c r="P197" s="213"/>
      <c r="Q197" s="86"/>
      <c r="R197" s="87"/>
      <c r="S197" s="87"/>
      <c r="T197" s="87"/>
      <c r="U197" s="87"/>
    </row>
    <row r="198" spans="1:21" ht="19.5" x14ac:dyDescent="0.3">
      <c r="A198" s="222"/>
      <c r="B198" s="223"/>
      <c r="C198" s="210" t="s">
        <v>18</v>
      </c>
      <c r="D198" s="224" t="s">
        <v>38</v>
      </c>
      <c r="E198" s="225"/>
      <c r="F198" s="225"/>
      <c r="G198" s="226"/>
      <c r="H198" s="227"/>
      <c r="I198" s="71"/>
      <c r="J198" s="71"/>
      <c r="K198" s="72"/>
      <c r="L198" s="72"/>
      <c r="M198" s="72"/>
      <c r="N198" s="72"/>
      <c r="O198" s="72"/>
      <c r="P198" s="72"/>
      <c r="Q198" s="86"/>
      <c r="R198" s="87"/>
      <c r="S198" s="87"/>
      <c r="T198" s="87"/>
      <c r="U198" s="87"/>
    </row>
    <row r="199" spans="1:21" ht="18.75" x14ac:dyDescent="0.25">
      <c r="A199" s="222"/>
      <c r="B199" s="223"/>
      <c r="C199" s="223"/>
      <c r="D199" s="395" t="s">
        <v>80</v>
      </c>
      <c r="E199" s="231"/>
      <c r="F199" s="231"/>
      <c r="G199" s="227"/>
      <c r="H199" s="237" t="s">
        <v>79</v>
      </c>
      <c r="I199" s="321">
        <f ca="1">IFERROR(__xludf.DUMMYFUNCTION("IMPORTRANGE(""https://docs.google.com/spreadsheets/d/13wPX838HrBrQMCywv1BsuMkt4PEKTChp52zj44s2izQ/edit?usp=sharing"",""กาญจนบุรี!I198"")+IMPORTRANGE(""https://docs.google.com/spreadsheets/d/1ddFKvqj1W1NEiWytbGlB1zMx_ykJDVtmfEQ-6-lIUBA/edit?usp=sharing"","&amp;"""จันทบุรี!I198"")+IMPORTRANGE(""https://docs.google.com/spreadsheets/d/1T1PQvRODqOBZk8BRht_U031fIS1beLA0Ub2CEytj2q0/edit?usp=sharing"",""ฉะเชิงเทรา!I198"")+IMPORTRANGE(""https://docs.google.com/spreadsheets/d/11tr1B-Bhyr79v2bkwVh5h_fR-PStkgjlZtkrZpYurG0/"&amp;"edit?usp=sharing"",""ชลบุรี!I198"")+IMPORTRANGE(""https://docs.google.com/spreadsheets/d/1hh-FVnSX0vozXhGluamEcS54Dw9_zqW0N7qJUWgJ0Sw/edit?usp=sharing"",""ชัยนาท!I198"")+IMPORTRANGE(""https://docs.google.com/spreadsheets/d/1jkqa6GXxSacMcY1eN8AHjMNJ_7dDXMJ"&amp;"VRLDlaFSOdPM/edit?usp=sharing"",""ตราด!I198"")+IMPORTRANGE(""https://docs.google.com/spreadsheets/d/18hSgUJ3VwClqi_qtULmmW3cLr0oe3OKaSYoKzdpTsYQ/edit?usp=sharing"",""นครนายก!I198"")+IMPORTRANGE(""https://docs.google.com/spreadsheets/d/1YTZo6WM2dQ6Ix6FSdnL"&amp;"5P7uVnVKu40sxZu975tgG10E/edit?usp=sharing"",""นครปฐม!I198"")+IMPORTRANGE(""https://docs.google.com/spreadsheets/d/1OYoGg4WDg5RIzwGeB10padOxJF9E_Vljuvvct_M7RDo/edit?usp=sharing"",""ปทุมธานี!I198"")+IMPORTRANGE(""https://docs.google.com/spreadsheets/d/1GbCI"&amp;"E4D4wk9FUozzqk7SxfDMxDVBwVmI5zcaVUSzKAc/edit?usp=sharing"",""ประจวบคีรีขันธ์!I198"")+IMPORTRANGE(""https://docs.google.com/spreadsheets/d/1vVf6wykvW_lAyu7Yo9L4hUTqHqIeP_qcVuxCtosJEbg/edit?usp=sharing"",""ปราจีนบุรี!I198"")+IMPORTRANGE(""https://docs.googl"&amp;"e.com/spreadsheets/d/1BIDqLLg5jk3v59G8NlR8rk5xfQDKne0sAvZHSj7TI6I/edit?usp=sharing"",""พระนครศรีอยุธยา!I198"")+IMPORTRANGE(""https://docs.google.com/spreadsheets/d/1YXvxf8Yu6_rV4hTBrwMqAcAnv6DfhUxh5emyM3CJp_w/edit?usp=sharing"",""เพชรบุรี!I198"")+IMPORTRA"&amp;"NGE(""https://docs.google.com/spreadsheets/d/19KBlQQs7uwvsao6t2n-KvW3Ax8J8uRRfZPq1zPbXgKc/edit?usp=sharing"",""ระยอง!I198"")+IMPORTRANGE(""https://docs.google.com/spreadsheets/d/1jQ6P4QcrGM89YfqcC_PxOHGCMq5ezhucwJd8ci-NHng/edit?usp=sharing"",""ราชบุรี!I19"&amp;"8"")+IMPORTRANGE(""https://docs.google.com/spreadsheets/d/1lufeA2cfFqM-elVq2hznhDzC6Pr7wkJ9ZG_sYNGCMCU/edit?usp=sharing"",""ลพบุรี!I198"")+IMPORTRANGE(""https://docs.google.com/spreadsheets/d/10oOiF7loTyfsTkbd4MpaIm0HQ9SwB7IYHdIUvt-U1Uc/edit?usp=sharing"""&amp;",""สระแก้ว!I198"")+IMPORTRANGE(""https://docs.google.com/spreadsheets/d/1xmPlrr1QbdSIKvl1dWUl9K4PjAfSL9oeMr_37QVzcxc/edit?usp=sharing"",""สระบุรี!I198"")+IMPORTRANGE(""https://docs.google.com/spreadsheets/d/1j51vR6CYVGhABJpv6tkstgok82RLpXieLzW1yOY5rHw/edi"&amp;"t?usp=sharing"",""สิงห์บุรี!I198"")+IMPORTRANGE(""https://docs.google.com/spreadsheets/d/1H1EalTWKUSzO4Z1-1CwzoDUaVffgrThEBe2sl74kKG0/edit?usp=sharing"",""สุพรรณบุรี!I198"")+IMPORTRANGE(""https://docs.google.com/spreadsheets/d/1BmIruG_sIrJLYao_Pdr7zVArWsf"&amp;"oBt2692TMi6x_854/edit?usp=sharing"",""อ่างทอง!I198"")"),84)</f>
        <v>84</v>
      </c>
      <c r="J199" s="239">
        <f ca="1">IFERROR(__xludf.DUMMYFUNCTION("IMPORTRANGE(""https://docs.google.com/spreadsheets/d/13wPX838HrBrQMCywv1BsuMkt4PEKTChp52zj44s2izQ/edit?usp=sharing"",""กาญจนบุรี!J198"")+IMPORTRANGE(""https://docs.google.com/spreadsheets/d/1ddFKvqj1W1NEiWytbGlB1zMx_ykJDVtmfEQ-6-lIUBA/edit?usp=sharing"","&amp;"""จันทบุรี!J198"")+IMPORTRANGE(""https://docs.google.com/spreadsheets/d/1T1PQvRODqOBZk8BRht_U031fIS1beLA0Ub2CEytj2q0/edit?usp=sharing"",""ฉะเชิงเทรา!J198"")+IMPORTRANGE(""https://docs.google.com/spreadsheets/d/11tr1B-Bhyr79v2bkwVh5h_fR-PStkgjlZtkrZpYurG0/"&amp;"edit?usp=sharing"",""ชลบุรี!J198"")+IMPORTRANGE(""https://docs.google.com/spreadsheets/d/1hh-FVnSX0vozXhGluamEcS54Dw9_zqW0N7qJUWgJ0Sw/edit?usp=sharing"",""ชัยนาท!J198"")+IMPORTRANGE(""https://docs.google.com/spreadsheets/d/1jkqa6GXxSacMcY1eN8AHjMNJ_7dDXMJ"&amp;"VRLDlaFSOdPM/edit?usp=sharing"",""ตราด!J198"")+IMPORTRANGE(""https://docs.google.com/spreadsheets/d/18hSgUJ3VwClqi_qtULmmW3cLr0oe3OKaSYoKzdpTsYQ/edit?usp=sharing"",""นครนายก!J198"")+IMPORTRANGE(""https://docs.google.com/spreadsheets/d/1YTZo6WM2dQ6Ix6FSdnL"&amp;"5P7uVnVKu40sxZu975tgG10E/edit?usp=sharing"",""นครปฐม!J198"")+IMPORTRANGE(""https://docs.google.com/spreadsheets/d/1OYoGg4WDg5RIzwGeB10padOxJF9E_Vljuvvct_M7RDo/edit?usp=sharing"",""ปทุมธานี!J198"")+IMPORTRANGE(""https://docs.google.com/spreadsheets/d/1GbCI"&amp;"E4D4wk9FUozzqk7SxfDMxDVBwVmI5zcaVUSzKAc/edit?usp=sharing"",""ประจวบคีรีขันธ์!J198"")+IMPORTRANGE(""https://docs.google.com/spreadsheets/d/1vVf6wykvW_lAyu7Yo9L4hUTqHqIeP_qcVuxCtosJEbg/edit?usp=sharing"",""ปราจีนบุรี!J198"")+IMPORTRANGE(""https://docs.googl"&amp;"e.com/spreadsheets/d/1BIDqLLg5jk3v59G8NlR8rk5xfQDKne0sAvZHSj7TI6I/edit?usp=sharing"",""พระนครศรีอยุธยา!J198"")+IMPORTRANGE(""https://docs.google.com/spreadsheets/d/1YXvxf8Yu6_rV4hTBrwMqAcAnv6DfhUxh5emyM3CJp_w/edit?usp=sharing"",""เพชรบุรี!J198"")+IMPORTRA"&amp;"NGE(""https://docs.google.com/spreadsheets/d/19KBlQQs7uwvsao6t2n-KvW3Ax8J8uRRfZPq1zPbXgKc/edit?usp=sharing"",""ระยอง!J198"")+IMPORTRANGE(""https://docs.google.com/spreadsheets/d/1jQ6P4QcrGM89YfqcC_PxOHGCMq5ezhucwJd8ci-NHng/edit?usp=sharing"",""ราชบุรี!J19"&amp;"8"")+IMPORTRANGE(""https://docs.google.com/spreadsheets/d/1lufeA2cfFqM-elVq2hznhDzC6Pr7wkJ9ZG_sYNGCMCU/edit?usp=sharing"",""ลพบุรี!J198"")+IMPORTRANGE(""https://docs.google.com/spreadsheets/d/10oOiF7loTyfsTkbd4MpaIm0HQ9SwB7IYHdIUvt-U1Uc/edit?usp=sharing"""&amp;",""สระแก้ว!J198"")+IMPORTRANGE(""https://docs.google.com/spreadsheets/d/1xmPlrr1QbdSIKvl1dWUl9K4PjAfSL9oeMr_37QVzcxc/edit?usp=sharing"",""สระบุรี!J198"")+IMPORTRANGE(""https://docs.google.com/spreadsheets/d/1j51vR6CYVGhABJpv6tkstgok82RLpXieLzW1yOY5rHw/edi"&amp;"t?usp=sharing"",""สิงห์บุรี!J198"")+IMPORTRANGE(""https://docs.google.com/spreadsheets/d/1H1EalTWKUSzO4Z1-1CwzoDUaVffgrThEBe2sl74kKG0/edit?usp=sharing"",""สุพรรณบุรี!J198"")+IMPORTRANGE(""https://docs.google.com/spreadsheets/d/1BmIruG_sIrJLYao_Pdr7zVArWsf"&amp;"oBt2692TMi6x_854/edit?usp=sharing"",""อ่างทอง!J198"")"),22)</f>
        <v>22</v>
      </c>
      <c r="K199" s="88">
        <f ca="1">IF(I199&gt;0,J199*100/I199,0)</f>
        <v>26.19047619047619</v>
      </c>
      <c r="L199" s="72"/>
      <c r="M199" s="72"/>
      <c r="N199" s="72"/>
      <c r="O199" s="72"/>
      <c r="P199" s="72"/>
      <c r="Q199" s="86"/>
      <c r="R199" s="87"/>
      <c r="S199" s="87"/>
      <c r="T199" s="87"/>
      <c r="U199" s="87"/>
    </row>
    <row r="200" spans="1:21" ht="19.5" x14ac:dyDescent="0.3">
      <c r="A200" s="222"/>
      <c r="B200" s="223"/>
      <c r="C200" s="223"/>
      <c r="D200" s="395" t="s">
        <v>81</v>
      </c>
      <c r="E200" s="231"/>
      <c r="F200" s="231"/>
      <c r="G200" s="227"/>
      <c r="H200" s="396" t="s">
        <v>35</v>
      </c>
      <c r="I200" s="71"/>
      <c r="J200" s="233">
        <f ca="1">J201+J202</f>
        <v>952</v>
      </c>
      <c r="K200" s="72"/>
      <c r="L200" s="72"/>
      <c r="M200" s="72"/>
      <c r="N200" s="72"/>
      <c r="O200" s="72"/>
      <c r="P200" s="72"/>
      <c r="Q200" s="86"/>
      <c r="R200" s="87"/>
      <c r="S200" s="87"/>
      <c r="T200" s="87"/>
      <c r="U200" s="87"/>
    </row>
    <row r="201" spans="1:21" ht="18.75" x14ac:dyDescent="0.25">
      <c r="A201" s="222"/>
      <c r="B201" s="223"/>
      <c r="C201" s="223"/>
      <c r="D201" s="223"/>
      <c r="E201" s="395" t="s">
        <v>82</v>
      </c>
      <c r="F201" s="231"/>
      <c r="G201" s="227"/>
      <c r="H201" s="380" t="s">
        <v>35</v>
      </c>
      <c r="I201" s="71"/>
      <c r="J201" s="239">
        <f ca="1">IFERROR(__xludf.DUMMYFUNCTION("IMPORTRANGE(""https://docs.google.com/spreadsheets/d/13wPX838HrBrQMCywv1BsuMkt4PEKTChp52zj44s2izQ/edit?usp=sharing"",""กาญจนบุรี!J200"")+IMPORTRANGE(""https://docs.google.com/spreadsheets/d/1ddFKvqj1W1NEiWytbGlB1zMx_ykJDVtmfEQ-6-lIUBA/edit?usp=sharing"","&amp;"""จันทบุรี!J200"")+IMPORTRANGE(""https://docs.google.com/spreadsheets/d/1T1PQvRODqOBZk8BRht_U031fIS1beLA0Ub2CEytj2q0/edit?usp=sharing"",""ฉะเชิงเทรา!J200"")+IMPORTRANGE(""https://docs.google.com/spreadsheets/d/11tr1B-Bhyr79v2bkwVh5h_fR-PStkgjlZtkrZpYurG0/"&amp;"edit?usp=sharing"",""ชลบุรี!J200"")+IMPORTRANGE(""https://docs.google.com/spreadsheets/d/1hh-FVnSX0vozXhGluamEcS54Dw9_zqW0N7qJUWgJ0Sw/edit?usp=sharing"",""ชัยนาท!J200"")+IMPORTRANGE(""https://docs.google.com/spreadsheets/d/1jkqa6GXxSacMcY1eN8AHjMNJ_7dDXMJ"&amp;"VRLDlaFSOdPM/edit?usp=sharing"",""ตราด!J200"")+IMPORTRANGE(""https://docs.google.com/spreadsheets/d/18hSgUJ3VwClqi_qtULmmW3cLr0oe3OKaSYoKzdpTsYQ/edit?usp=sharing"",""นครนายก!J200"")+IMPORTRANGE(""https://docs.google.com/spreadsheets/d/1YTZo6WM2dQ6Ix6FSdnL"&amp;"5P7uVnVKu40sxZu975tgG10E/edit?usp=sharing"",""นครปฐม!J200"")+IMPORTRANGE(""https://docs.google.com/spreadsheets/d/1OYoGg4WDg5RIzwGeB10padOxJF9E_Vljuvvct_M7RDo/edit?usp=sharing"",""ปทุมธานี!J200"")+IMPORTRANGE(""https://docs.google.com/spreadsheets/d/1GbCI"&amp;"E4D4wk9FUozzqk7SxfDMxDVBwVmI5zcaVUSzKAc/edit?usp=sharing"",""ประจวบคีรีขันธ์!J200"")+IMPORTRANGE(""https://docs.google.com/spreadsheets/d/1vVf6wykvW_lAyu7Yo9L4hUTqHqIeP_qcVuxCtosJEbg/edit?usp=sharing"",""ปราจีนบุรี!J200"")+IMPORTRANGE(""https://docs.googl"&amp;"e.com/spreadsheets/d/1BIDqLLg5jk3v59G8NlR8rk5xfQDKne0sAvZHSj7TI6I/edit?usp=sharing"",""พระนครศรีอยุธยา!J200"")+IMPORTRANGE(""https://docs.google.com/spreadsheets/d/1YXvxf8Yu6_rV4hTBrwMqAcAnv6DfhUxh5emyM3CJp_w/edit?usp=sharing"",""เพชรบุรี!J200"")+IMPORTRA"&amp;"NGE(""https://docs.google.com/spreadsheets/d/19KBlQQs7uwvsao6t2n-KvW3Ax8J8uRRfZPq1zPbXgKc/edit?usp=sharing"",""ระยอง!J200"")+IMPORTRANGE(""https://docs.google.com/spreadsheets/d/1jQ6P4QcrGM89YfqcC_PxOHGCMq5ezhucwJd8ci-NHng/edit?usp=sharing"",""ราชบุรี!J20"&amp;"0"")+IMPORTRANGE(""https://docs.google.com/spreadsheets/d/1lufeA2cfFqM-elVq2hznhDzC6Pr7wkJ9ZG_sYNGCMCU/edit?usp=sharing"",""ลพบุรี!J200"")+IMPORTRANGE(""https://docs.google.com/spreadsheets/d/10oOiF7loTyfsTkbd4MpaIm0HQ9SwB7IYHdIUvt-U1Uc/edit?usp=sharing"""&amp;",""สระแก้ว!J200"")+IMPORTRANGE(""https://docs.google.com/spreadsheets/d/1xmPlrr1QbdSIKvl1dWUl9K4PjAfSL9oeMr_37QVzcxc/edit?usp=sharing"",""สระบุรี!J200"")+IMPORTRANGE(""https://docs.google.com/spreadsheets/d/1j51vR6CYVGhABJpv6tkstgok82RLpXieLzW1yOY5rHw/edi"&amp;"t?usp=sharing"",""สิงห์บุรี!J200"")+IMPORTRANGE(""https://docs.google.com/spreadsheets/d/1H1EalTWKUSzO4Z1-1CwzoDUaVffgrThEBe2sl74kKG0/edit?usp=sharing"",""สุพรรณบุรี!J200"")+IMPORTRANGE(""https://docs.google.com/spreadsheets/d/1BmIruG_sIrJLYao_Pdr7zVArWsf"&amp;"oBt2692TMi6x_854/edit?usp=sharing"",""อ่างทอง!J200"")"),952)</f>
        <v>952</v>
      </c>
      <c r="K201" s="72"/>
      <c r="L201" s="72"/>
      <c r="M201" s="72"/>
      <c r="N201" s="72"/>
      <c r="O201" s="72"/>
      <c r="P201" s="72"/>
      <c r="Q201" s="86"/>
      <c r="R201" s="87"/>
      <c r="S201" s="87"/>
      <c r="T201" s="87"/>
      <c r="U201" s="87"/>
    </row>
    <row r="202" spans="1:21" ht="18.75" x14ac:dyDescent="0.25">
      <c r="A202" s="222"/>
      <c r="B202" s="223"/>
      <c r="C202" s="223"/>
      <c r="D202" s="223"/>
      <c r="E202" s="395" t="s">
        <v>83</v>
      </c>
      <c r="F202" s="231"/>
      <c r="G202" s="227"/>
      <c r="H202" s="380" t="s">
        <v>35</v>
      </c>
      <c r="I202" s="71"/>
      <c r="J202" s="239">
        <f ca="1">IFERROR(__xludf.DUMMYFUNCTION("IMPORTRANGE(""https://docs.google.com/spreadsheets/d/13wPX838HrBrQMCywv1BsuMkt4PEKTChp52zj44s2izQ/edit?usp=sharing"",""กาญจนบุรี!J201"")+IMPORTRANGE(""https://docs.google.com/spreadsheets/d/1ddFKvqj1W1NEiWytbGlB1zMx_ykJDVtmfEQ-6-lIUBA/edit?usp=sharing"","&amp;"""จันทบุรี!J201"")+IMPORTRANGE(""https://docs.google.com/spreadsheets/d/1T1PQvRODqOBZk8BRht_U031fIS1beLA0Ub2CEytj2q0/edit?usp=sharing"",""ฉะเชิงเทรา!J201"")+IMPORTRANGE(""https://docs.google.com/spreadsheets/d/11tr1B-Bhyr79v2bkwVh5h_fR-PStkgjlZtkrZpYurG0/"&amp;"edit?usp=sharing"",""ชลบุรี!J201"")+IMPORTRANGE(""https://docs.google.com/spreadsheets/d/1hh-FVnSX0vozXhGluamEcS54Dw9_zqW0N7qJUWgJ0Sw/edit?usp=sharing"",""ชัยนาท!J201"")+IMPORTRANGE(""https://docs.google.com/spreadsheets/d/1jkqa6GXxSacMcY1eN8AHjMNJ_7dDXMJ"&amp;"VRLDlaFSOdPM/edit?usp=sharing"",""ตราด!J201"")+IMPORTRANGE(""https://docs.google.com/spreadsheets/d/18hSgUJ3VwClqi_qtULmmW3cLr0oe3OKaSYoKzdpTsYQ/edit?usp=sharing"",""นครนายก!J201"")+IMPORTRANGE(""https://docs.google.com/spreadsheets/d/1YTZo6WM2dQ6Ix6FSdnL"&amp;"5P7uVnVKu40sxZu975tgG10E/edit?usp=sharing"",""นครปฐม!J201"")+IMPORTRANGE(""https://docs.google.com/spreadsheets/d/1OYoGg4WDg5RIzwGeB10padOxJF9E_Vljuvvct_M7RDo/edit?usp=sharing"",""ปทุมธานี!J201"")+IMPORTRANGE(""https://docs.google.com/spreadsheets/d/1GbCI"&amp;"E4D4wk9FUozzqk7SxfDMxDVBwVmI5zcaVUSzKAc/edit?usp=sharing"",""ประจวบคีรีขันธ์!J201"")+IMPORTRANGE(""https://docs.google.com/spreadsheets/d/1vVf6wykvW_lAyu7Yo9L4hUTqHqIeP_qcVuxCtosJEbg/edit?usp=sharing"",""ปราจีนบุรี!J201"")+IMPORTRANGE(""https://docs.googl"&amp;"e.com/spreadsheets/d/1BIDqLLg5jk3v59G8NlR8rk5xfQDKne0sAvZHSj7TI6I/edit?usp=sharing"",""พระนครศรีอยุธยา!J201"")+IMPORTRANGE(""https://docs.google.com/spreadsheets/d/1YXvxf8Yu6_rV4hTBrwMqAcAnv6DfhUxh5emyM3CJp_w/edit?usp=sharing"",""เพชรบุรี!J201"")+IMPORTRA"&amp;"NGE(""https://docs.google.com/spreadsheets/d/19KBlQQs7uwvsao6t2n-KvW3Ax8J8uRRfZPq1zPbXgKc/edit?usp=sharing"",""ระยอง!J201"")+IMPORTRANGE(""https://docs.google.com/spreadsheets/d/1jQ6P4QcrGM89YfqcC_PxOHGCMq5ezhucwJd8ci-NHng/edit?usp=sharing"",""ราชบุรี!J20"&amp;"1"")+IMPORTRANGE(""https://docs.google.com/spreadsheets/d/1lufeA2cfFqM-elVq2hznhDzC6Pr7wkJ9ZG_sYNGCMCU/edit?usp=sharing"",""ลพบุรี!J201"")+IMPORTRANGE(""https://docs.google.com/spreadsheets/d/10oOiF7loTyfsTkbd4MpaIm0HQ9SwB7IYHdIUvt-U1Uc/edit?usp=sharing"""&amp;",""สระแก้ว!J201"")+IMPORTRANGE(""https://docs.google.com/spreadsheets/d/1xmPlrr1QbdSIKvl1dWUl9K4PjAfSL9oeMr_37QVzcxc/edit?usp=sharing"",""สระบุรี!J201"")+IMPORTRANGE(""https://docs.google.com/spreadsheets/d/1j51vR6CYVGhABJpv6tkstgok82RLpXieLzW1yOY5rHw/edi"&amp;"t?usp=sharing"",""สิงห์บุรี!J201"")+IMPORTRANGE(""https://docs.google.com/spreadsheets/d/1H1EalTWKUSzO4Z1-1CwzoDUaVffgrThEBe2sl74kKG0/edit?usp=sharing"",""สุพรรณบุรี!J201"")+IMPORTRANGE(""https://docs.google.com/spreadsheets/d/1BmIruG_sIrJLYao_Pdr7zVArWsf"&amp;"oBt2692TMi6x_854/edit?usp=sharing"",""อ่างทอง!J201"")"),0)</f>
        <v>0</v>
      </c>
      <c r="K202" s="72"/>
      <c r="L202" s="72"/>
      <c r="M202" s="72"/>
      <c r="N202" s="72"/>
      <c r="O202" s="72"/>
      <c r="P202" s="72"/>
      <c r="Q202" s="86"/>
      <c r="R202" s="87"/>
      <c r="S202" s="87"/>
      <c r="T202" s="87"/>
      <c r="U202" s="87"/>
    </row>
    <row r="203" spans="1:21" ht="19.5" x14ac:dyDescent="0.3">
      <c r="A203" s="382"/>
      <c r="B203" s="383"/>
      <c r="C203" s="384" t="s">
        <v>84</v>
      </c>
      <c r="D203" s="385"/>
      <c r="E203" s="385"/>
      <c r="F203" s="385"/>
      <c r="G203" s="386"/>
      <c r="H203" s="397" t="s">
        <v>85</v>
      </c>
      <c r="I203" s="388">
        <f t="shared" ref="I203:J203" ca="1" si="172">I210</f>
        <v>30</v>
      </c>
      <c r="J203" s="388">
        <f t="shared" ca="1" si="172"/>
        <v>3</v>
      </c>
      <c r="K203" s="389">
        <f ca="1">IF(I203&gt;0,J203*100/I203,0)</f>
        <v>10</v>
      </c>
      <c r="L203" s="390"/>
      <c r="M203" s="390"/>
      <c r="N203" s="390"/>
      <c r="O203" s="390"/>
      <c r="P203" s="390"/>
      <c r="Q203" s="391"/>
      <c r="R203" s="392"/>
      <c r="S203" s="392"/>
      <c r="T203" s="392"/>
      <c r="U203" s="392"/>
    </row>
    <row r="204" spans="1:21" ht="19.5" x14ac:dyDescent="0.3">
      <c r="A204" s="209"/>
      <c r="B204" s="67"/>
      <c r="C204" s="210" t="s">
        <v>18</v>
      </c>
      <c r="D204" s="393" t="s">
        <v>19</v>
      </c>
      <c r="E204" s="67"/>
      <c r="F204" s="67"/>
      <c r="G204" s="69"/>
      <c r="H204" s="394" t="s">
        <v>14</v>
      </c>
      <c r="I204" s="219"/>
      <c r="J204" s="219"/>
      <c r="K204" s="220"/>
      <c r="L204" s="213">
        <f ca="1">L205+L206+L207+L208</f>
        <v>403000</v>
      </c>
      <c r="M204" s="72"/>
      <c r="N204" s="213">
        <f ca="1">N205+N206+N207+N208</f>
        <v>54467</v>
      </c>
      <c r="O204" s="213">
        <f ca="1">IF(L204&gt;0,N204*100/L204,0)</f>
        <v>13.515384615384615</v>
      </c>
      <c r="P204" s="213"/>
      <c r="Q204" s="86"/>
      <c r="R204" s="87"/>
      <c r="S204" s="87"/>
      <c r="T204" s="87"/>
      <c r="U204" s="87"/>
    </row>
    <row r="205" spans="1:21" ht="18.75" x14ac:dyDescent="0.25">
      <c r="A205" s="209"/>
      <c r="B205" s="381"/>
      <c r="C205" s="67"/>
      <c r="D205" s="398" t="s">
        <v>86</v>
      </c>
      <c r="E205" s="67"/>
      <c r="F205" s="67"/>
      <c r="G205" s="69"/>
      <c r="H205" s="218" t="s">
        <v>14</v>
      </c>
      <c r="I205" s="219"/>
      <c r="J205" s="219"/>
      <c r="K205" s="220"/>
      <c r="L205" s="88">
        <f ca="1">IFERROR(__xludf.DUMMYFUNCTION("IMPORTRANGE(""https://docs.google.com/spreadsheets/d/13wPX838HrBrQMCywv1BsuMkt4PEKTChp52zj44s2izQ/edit?usp=sharing"",""กาญจนบุรี!L204"")+IMPORTRANGE(""https://docs.google.com/spreadsheets/d/1ddFKvqj1W1NEiWytbGlB1zMx_ykJDVtmfEQ-6-lIUBA/edit?usp=sharing"","&amp;"""จันทบุรี!L204"")+IMPORTRANGE(""https://docs.google.com/spreadsheets/d/1T1PQvRODqOBZk8BRht_U031fIS1beLA0Ub2CEytj2q0/edit?usp=sharing"",""ฉะเชิงเทรา!L204"")+IMPORTRANGE(""https://docs.google.com/spreadsheets/d/11tr1B-Bhyr79v2bkwVh5h_fR-PStkgjlZtkrZpYurG0/"&amp;"edit?usp=sharing"",""ชลบุรี!L204"")+IMPORTRANGE(""https://docs.google.com/spreadsheets/d/1hh-FVnSX0vozXhGluamEcS54Dw9_zqW0N7qJUWgJ0Sw/edit?usp=sharing"",""ชัยนาท!L204"")+IMPORTRANGE(""https://docs.google.com/spreadsheets/d/1jkqa6GXxSacMcY1eN8AHjMNJ_7dDXMJ"&amp;"VRLDlaFSOdPM/edit?usp=sharing"",""ตราด!L204"")+IMPORTRANGE(""https://docs.google.com/spreadsheets/d/18hSgUJ3VwClqi_qtULmmW3cLr0oe3OKaSYoKzdpTsYQ/edit?usp=sharing"",""นครนายก!L204"")+IMPORTRANGE(""https://docs.google.com/spreadsheets/d/1YTZo6WM2dQ6Ix6FSdnL"&amp;"5P7uVnVKu40sxZu975tgG10E/edit?usp=sharing"",""นครปฐม!L204"")+IMPORTRANGE(""https://docs.google.com/spreadsheets/d/1OYoGg4WDg5RIzwGeB10padOxJF9E_Vljuvvct_M7RDo/edit?usp=sharing"",""ปทุมธานี!L204"")+IMPORTRANGE(""https://docs.google.com/spreadsheets/d/1GbCI"&amp;"E4D4wk9FUozzqk7SxfDMxDVBwVmI5zcaVUSzKAc/edit?usp=sharing"",""ประจวบคีรีขันธ์!L204"")+IMPORTRANGE(""https://docs.google.com/spreadsheets/d/1vVf6wykvW_lAyu7Yo9L4hUTqHqIeP_qcVuxCtosJEbg/edit?usp=sharing"",""ปราจีนบุรี!L204"")+IMPORTRANGE(""https://docs.googl"&amp;"e.com/spreadsheets/d/1BIDqLLg5jk3v59G8NlR8rk5xfQDKne0sAvZHSj7TI6I/edit?usp=sharing"",""พระนครศรีอยุธยา!L204"")+IMPORTRANGE(""https://docs.google.com/spreadsheets/d/1YXvxf8Yu6_rV4hTBrwMqAcAnv6DfhUxh5emyM3CJp_w/edit?usp=sharing"",""เพชรบุรี!L204"")+IMPORTRA"&amp;"NGE(""https://docs.google.com/spreadsheets/d/19KBlQQs7uwvsao6t2n-KvW3Ax8J8uRRfZPq1zPbXgKc/edit?usp=sharing"",""ระยอง!L204"")+IMPORTRANGE(""https://docs.google.com/spreadsheets/d/1jQ6P4QcrGM89YfqcC_PxOHGCMq5ezhucwJd8ci-NHng/edit?usp=sharing"",""ราชบุรี!L20"&amp;"4"")+IMPORTRANGE(""https://docs.google.com/spreadsheets/d/1lufeA2cfFqM-elVq2hznhDzC6Pr7wkJ9ZG_sYNGCMCU/edit?usp=sharing"",""ลพบุรี!L204"")+IMPORTRANGE(""https://docs.google.com/spreadsheets/d/10oOiF7loTyfsTkbd4MpaIm0HQ9SwB7IYHdIUvt-U1Uc/edit?usp=sharing"""&amp;",""สระแก้ว!L204"")+IMPORTRANGE(""https://docs.google.com/spreadsheets/d/1xmPlrr1QbdSIKvl1dWUl9K4PjAfSL9oeMr_37QVzcxc/edit?usp=sharing"",""สระบุรี!L204"")+IMPORTRANGE(""https://docs.google.com/spreadsheets/d/1j51vR6CYVGhABJpv6tkstgok82RLpXieLzW1yOY5rHw/edi"&amp;"t?usp=sharing"",""สิงห์บุรี!L204"")+IMPORTRANGE(""https://docs.google.com/spreadsheets/d/1H1EalTWKUSzO4Z1-1CwzoDUaVffgrThEBe2sl74kKG0/edit?usp=sharing"",""สุพรรณบุรี!L204"")+IMPORTRANGE(""https://docs.google.com/spreadsheets/d/1BmIruG_sIrJLYao_Pdr7zVArWsf"&amp;"oBt2692TMi6x_854/edit?usp=sharing"",""อ่างทอง!L204"")"),30000)</f>
        <v>30000</v>
      </c>
      <c r="M205" s="72"/>
      <c r="N205" s="88">
        <f ca="1">IFERROR(__xludf.DUMMYFUNCTION("IMPORTRANGE(""https://docs.google.com/spreadsheets/d/13wPX838HrBrQMCywv1BsuMkt4PEKTChp52zj44s2izQ/edit?usp=sharing"",""กาญจนบุรี!N204"")+IMPORTRANGE(""https://docs.google.com/spreadsheets/d/1ddFKvqj1W1NEiWytbGlB1zMx_ykJDVtmfEQ-6-lIUBA/edit?usp=sharing"","&amp;"""จันทบุรี!N204"")+IMPORTRANGE(""https://docs.google.com/spreadsheets/d/1T1PQvRODqOBZk8BRht_U031fIS1beLA0Ub2CEytj2q0/edit?usp=sharing"",""ฉะเชิงเทรา!N204"")+IMPORTRANGE(""https://docs.google.com/spreadsheets/d/11tr1B-Bhyr79v2bkwVh5h_fR-PStkgjlZtkrZpYurG0/"&amp;"edit?usp=sharing"",""ชลบุรี!N204"")+IMPORTRANGE(""https://docs.google.com/spreadsheets/d/1hh-FVnSX0vozXhGluamEcS54Dw9_zqW0N7qJUWgJ0Sw/edit?usp=sharing"",""ชัยนาท!N204"")+IMPORTRANGE(""https://docs.google.com/spreadsheets/d/1jkqa6GXxSacMcY1eN8AHjMNJ_7dDXMJ"&amp;"VRLDlaFSOdPM/edit?usp=sharing"",""ตราด!N204"")+IMPORTRANGE(""https://docs.google.com/spreadsheets/d/18hSgUJ3VwClqi_qtULmmW3cLr0oe3OKaSYoKzdpTsYQ/edit?usp=sharing"",""นครนายก!N204"")+IMPORTRANGE(""https://docs.google.com/spreadsheets/d/1YTZo6WM2dQ6Ix6FSdnL"&amp;"5P7uVnVKu40sxZu975tgG10E/edit?usp=sharing"",""นครปฐม!N204"")+IMPORTRANGE(""https://docs.google.com/spreadsheets/d/1OYoGg4WDg5RIzwGeB10padOxJF9E_Vljuvvct_M7RDo/edit?usp=sharing"",""ปทุมธานี!N204"")+IMPORTRANGE(""https://docs.google.com/spreadsheets/d/1GbCI"&amp;"E4D4wk9FUozzqk7SxfDMxDVBwVmI5zcaVUSzKAc/edit?usp=sharing"",""ประจวบคีรีขันธ์!N204"")+IMPORTRANGE(""https://docs.google.com/spreadsheets/d/1vVf6wykvW_lAyu7Yo9L4hUTqHqIeP_qcVuxCtosJEbg/edit?usp=sharing"",""ปราจีนบุรี!N204"")+IMPORTRANGE(""https://docs.googl"&amp;"e.com/spreadsheets/d/1BIDqLLg5jk3v59G8NlR8rk5xfQDKne0sAvZHSj7TI6I/edit?usp=sharing"",""พระนครศรีอยุธยา!N204"")+IMPORTRANGE(""https://docs.google.com/spreadsheets/d/1YXvxf8Yu6_rV4hTBrwMqAcAnv6DfhUxh5emyM3CJp_w/edit?usp=sharing"",""เพชรบุรี!N204"")+IMPORTRA"&amp;"NGE(""https://docs.google.com/spreadsheets/d/19KBlQQs7uwvsao6t2n-KvW3Ax8J8uRRfZPq1zPbXgKc/edit?usp=sharing"",""ระยอง!N204"")+IMPORTRANGE(""https://docs.google.com/spreadsheets/d/1jQ6P4QcrGM89YfqcC_PxOHGCMq5ezhucwJd8ci-NHng/edit?usp=sharing"",""ราชบุรี!N20"&amp;"4"")+IMPORTRANGE(""https://docs.google.com/spreadsheets/d/1lufeA2cfFqM-elVq2hznhDzC6Pr7wkJ9ZG_sYNGCMCU/edit?usp=sharing"",""ลพบุรี!N204"")+IMPORTRANGE(""https://docs.google.com/spreadsheets/d/10oOiF7loTyfsTkbd4MpaIm0HQ9SwB7IYHdIUvt-U1Uc/edit?usp=sharing"""&amp;",""สระแก้ว!N204"")+IMPORTRANGE(""https://docs.google.com/spreadsheets/d/1xmPlrr1QbdSIKvl1dWUl9K4PjAfSL9oeMr_37QVzcxc/edit?usp=sharing"",""สระบุรี!N204"")+IMPORTRANGE(""https://docs.google.com/spreadsheets/d/1j51vR6CYVGhABJpv6tkstgok82RLpXieLzW1yOY5rHw/edi"&amp;"t?usp=sharing"",""สิงห์บุรี!N204"")+IMPORTRANGE(""https://docs.google.com/spreadsheets/d/1H1EalTWKUSzO4Z1-1CwzoDUaVffgrThEBe2sl74kKG0/edit?usp=sharing"",""สุพรรณบุรี!N204"")+IMPORTRANGE(""https://docs.google.com/spreadsheets/d/1BmIruG_sIrJLYao_Pdr7zVArWsf"&amp;"oBt2692TMi6x_854/edit?usp=sharing"",""อ่างทอง!N204"")"),2720)</f>
        <v>2720</v>
      </c>
      <c r="O205" s="240"/>
      <c r="P205" s="72"/>
      <c r="Q205" s="86"/>
      <c r="R205" s="87"/>
      <c r="S205" s="87"/>
      <c r="T205" s="229"/>
      <c r="U205" s="87"/>
    </row>
    <row r="206" spans="1:21" ht="18.75" x14ac:dyDescent="0.25">
      <c r="A206" s="377"/>
      <c r="B206" s="381"/>
      <c r="C206" s="67"/>
      <c r="D206" s="267" t="s">
        <v>87</v>
      </c>
      <c r="E206" s="67"/>
      <c r="F206" s="67"/>
      <c r="G206" s="69"/>
      <c r="H206" s="70" t="s">
        <v>14</v>
      </c>
      <c r="I206" s="71"/>
      <c r="J206" s="71"/>
      <c r="K206" s="72"/>
      <c r="L206" s="399">
        <v>0</v>
      </c>
      <c r="M206" s="72"/>
      <c r="N206" s="399">
        <v>0</v>
      </c>
      <c r="O206" s="240"/>
      <c r="P206" s="72"/>
      <c r="Q206" s="86"/>
      <c r="R206" s="87"/>
      <c r="S206" s="87"/>
      <c r="T206" s="229"/>
      <c r="U206" s="87"/>
    </row>
    <row r="207" spans="1:21" ht="18.75" x14ac:dyDescent="0.25">
      <c r="A207" s="377"/>
      <c r="B207" s="381"/>
      <c r="C207" s="67"/>
      <c r="D207" s="267" t="s">
        <v>88</v>
      </c>
      <c r="E207" s="67"/>
      <c r="F207" s="67"/>
      <c r="G207" s="69"/>
      <c r="H207" s="70" t="s">
        <v>14</v>
      </c>
      <c r="I207" s="71"/>
      <c r="J207" s="71"/>
      <c r="K207" s="72"/>
      <c r="L207" s="88">
        <f ca="1">IFERROR(__xludf.DUMMYFUNCTION("IMPORTRANGE(""https://docs.google.com/spreadsheets/d/13wPX838HrBrQMCywv1BsuMkt4PEKTChp52zj44s2izQ/edit?usp=sharing"",""กาญจนบุรี!L206"")+IMPORTRANGE(""https://docs.google.com/spreadsheets/d/1ddFKvqj1W1NEiWytbGlB1zMx_ykJDVtmfEQ-6-lIUBA/edit?usp=sharing"","&amp;"""จันทบุรี!L206"")+IMPORTRANGE(""https://docs.google.com/spreadsheets/d/1T1PQvRODqOBZk8BRht_U031fIS1beLA0Ub2CEytj2q0/edit?usp=sharing"",""ฉะเชิงเทรา!L206"")+IMPORTRANGE(""https://docs.google.com/spreadsheets/d/11tr1B-Bhyr79v2bkwVh5h_fR-PStkgjlZtkrZpYurG0/"&amp;"edit?usp=sharing"",""ชลบุรี!L206"")+IMPORTRANGE(""https://docs.google.com/spreadsheets/d/1hh-FVnSX0vozXhGluamEcS54Dw9_zqW0N7qJUWgJ0Sw/edit?usp=sharing"",""ชัยนาท!L206"")+IMPORTRANGE(""https://docs.google.com/spreadsheets/d/1jkqa6GXxSacMcY1eN8AHjMNJ_7dDXMJ"&amp;"VRLDlaFSOdPM/edit?usp=sharing"",""ตราด!L206"")+IMPORTRANGE(""https://docs.google.com/spreadsheets/d/18hSgUJ3VwClqi_qtULmmW3cLr0oe3OKaSYoKzdpTsYQ/edit?usp=sharing"",""นครนายก!L206"")+IMPORTRANGE(""https://docs.google.com/spreadsheets/d/1YTZo6WM2dQ6Ix6FSdnL"&amp;"5P7uVnVKu40sxZu975tgG10E/edit?usp=sharing"",""นครปฐม!L206"")+IMPORTRANGE(""https://docs.google.com/spreadsheets/d/1OYoGg4WDg5RIzwGeB10padOxJF9E_Vljuvvct_M7RDo/edit?usp=sharing"",""ปทุมธานี!L206"")+IMPORTRANGE(""https://docs.google.com/spreadsheets/d/1GbCI"&amp;"E4D4wk9FUozzqk7SxfDMxDVBwVmI5zcaVUSzKAc/edit?usp=sharing"",""ประจวบคีรีขันธ์!L206"")+IMPORTRANGE(""https://docs.google.com/spreadsheets/d/1vVf6wykvW_lAyu7Yo9L4hUTqHqIeP_qcVuxCtosJEbg/edit?usp=sharing"",""ปราจีนบุรี!L206"")+IMPORTRANGE(""https://docs.googl"&amp;"e.com/spreadsheets/d/1BIDqLLg5jk3v59G8NlR8rk5xfQDKne0sAvZHSj7TI6I/edit?usp=sharing"",""พระนครศรีอยุธยา!L206"")+IMPORTRANGE(""https://docs.google.com/spreadsheets/d/1YXvxf8Yu6_rV4hTBrwMqAcAnv6DfhUxh5emyM3CJp_w/edit?usp=sharing"",""เพชรบุรี!L206"")+IMPORTRA"&amp;"NGE(""https://docs.google.com/spreadsheets/d/19KBlQQs7uwvsao6t2n-KvW3Ax8J8uRRfZPq1zPbXgKc/edit?usp=sharing"",""ระยอง!L206"")+IMPORTRANGE(""https://docs.google.com/spreadsheets/d/1jQ6P4QcrGM89YfqcC_PxOHGCMq5ezhucwJd8ci-NHng/edit?usp=sharing"",""ราชบุรี!L20"&amp;"6"")+IMPORTRANGE(""https://docs.google.com/spreadsheets/d/1lufeA2cfFqM-elVq2hznhDzC6Pr7wkJ9ZG_sYNGCMCU/edit?usp=sharing"",""ลพบุรี!L206"")+IMPORTRANGE(""https://docs.google.com/spreadsheets/d/10oOiF7loTyfsTkbd4MpaIm0HQ9SwB7IYHdIUvt-U1Uc/edit?usp=sharing"""&amp;",""สระแก้ว!L206"")+IMPORTRANGE(""https://docs.google.com/spreadsheets/d/1xmPlrr1QbdSIKvl1dWUl9K4PjAfSL9oeMr_37QVzcxc/edit?usp=sharing"",""สระบุรี!L206"")+IMPORTRANGE(""https://docs.google.com/spreadsheets/d/1j51vR6CYVGhABJpv6tkstgok82RLpXieLzW1yOY5rHw/edi"&amp;"t?usp=sharing"",""สิงห์บุรี!L206"")+IMPORTRANGE(""https://docs.google.com/spreadsheets/d/1H1EalTWKUSzO4Z1-1CwzoDUaVffgrThEBe2sl74kKG0/edit?usp=sharing"",""สุพรรณบุรี!L206"")+IMPORTRANGE(""https://docs.google.com/spreadsheets/d/1BmIruG_sIrJLYao_Pdr7zVArWsf"&amp;"oBt2692TMi6x_854/edit?usp=sharing"",""อ่างทอง!L206"")"),240000)</f>
        <v>240000</v>
      </c>
      <c r="M207" s="72"/>
      <c r="N207" s="88">
        <f ca="1">IFERROR(__xludf.DUMMYFUNCTION("IMPORTRANGE(""https://docs.google.com/spreadsheets/d/13wPX838HrBrQMCywv1BsuMkt4PEKTChp52zj44s2izQ/edit?usp=sharing"",""กาญจนบุรี!N206"")+IMPORTRANGE(""https://docs.google.com/spreadsheets/d/1ddFKvqj1W1NEiWytbGlB1zMx_ykJDVtmfEQ-6-lIUBA/edit?usp=sharing"","&amp;"""จันทบุรี!N206"")+IMPORTRANGE(""https://docs.google.com/spreadsheets/d/1T1PQvRODqOBZk8BRht_U031fIS1beLA0Ub2CEytj2q0/edit?usp=sharing"",""ฉะเชิงเทรา!N206"")+IMPORTRANGE(""https://docs.google.com/spreadsheets/d/11tr1B-Bhyr79v2bkwVh5h_fR-PStkgjlZtkrZpYurG0/"&amp;"edit?usp=sharing"",""ชลบุรี!N206"")+IMPORTRANGE(""https://docs.google.com/spreadsheets/d/1hh-FVnSX0vozXhGluamEcS54Dw9_zqW0N7qJUWgJ0Sw/edit?usp=sharing"",""ชัยนาท!N206"")+IMPORTRANGE(""https://docs.google.com/spreadsheets/d/1jkqa6GXxSacMcY1eN8AHjMNJ_7dDXMJ"&amp;"VRLDlaFSOdPM/edit?usp=sharing"",""ตราด!N206"")+IMPORTRANGE(""https://docs.google.com/spreadsheets/d/18hSgUJ3VwClqi_qtULmmW3cLr0oe3OKaSYoKzdpTsYQ/edit?usp=sharing"",""นครนายก!N206"")+IMPORTRANGE(""https://docs.google.com/spreadsheets/d/1YTZo6WM2dQ6Ix6FSdnL"&amp;"5P7uVnVKu40sxZu975tgG10E/edit?usp=sharing"",""นครปฐม!N206"")+IMPORTRANGE(""https://docs.google.com/spreadsheets/d/1OYoGg4WDg5RIzwGeB10padOxJF9E_Vljuvvct_M7RDo/edit?usp=sharing"",""ปทุมธานี!N206"")+IMPORTRANGE(""https://docs.google.com/spreadsheets/d/1GbCI"&amp;"E4D4wk9FUozzqk7SxfDMxDVBwVmI5zcaVUSzKAc/edit?usp=sharing"",""ประจวบคีรีขันธ์!N206"")+IMPORTRANGE(""https://docs.google.com/spreadsheets/d/1vVf6wykvW_lAyu7Yo9L4hUTqHqIeP_qcVuxCtosJEbg/edit?usp=sharing"",""ปราจีนบุรี!N206"")+IMPORTRANGE(""https://docs.googl"&amp;"e.com/spreadsheets/d/1BIDqLLg5jk3v59G8NlR8rk5xfQDKne0sAvZHSj7TI6I/edit?usp=sharing"",""พระนครศรีอยุธยา!N206"")+IMPORTRANGE(""https://docs.google.com/spreadsheets/d/1YXvxf8Yu6_rV4hTBrwMqAcAnv6DfhUxh5emyM3CJp_w/edit?usp=sharing"",""เพชรบุรี!N206"")+IMPORTRA"&amp;"NGE(""https://docs.google.com/spreadsheets/d/19KBlQQs7uwvsao6t2n-KvW3Ax8J8uRRfZPq1zPbXgKc/edit?usp=sharing"",""ระยอง!N206"")+IMPORTRANGE(""https://docs.google.com/spreadsheets/d/1jQ6P4QcrGM89YfqcC_PxOHGCMq5ezhucwJd8ci-NHng/edit?usp=sharing"",""ราชบุรี!N20"&amp;"6"")+IMPORTRANGE(""https://docs.google.com/spreadsheets/d/1lufeA2cfFqM-elVq2hznhDzC6Pr7wkJ9ZG_sYNGCMCU/edit?usp=sharing"",""ลพบุรี!N206"")+IMPORTRANGE(""https://docs.google.com/spreadsheets/d/10oOiF7loTyfsTkbd4MpaIm0HQ9SwB7IYHdIUvt-U1Uc/edit?usp=sharing"""&amp;",""สระแก้ว!N206"")+IMPORTRANGE(""https://docs.google.com/spreadsheets/d/1xmPlrr1QbdSIKvl1dWUl9K4PjAfSL9oeMr_37QVzcxc/edit?usp=sharing"",""สระบุรี!N206"")+IMPORTRANGE(""https://docs.google.com/spreadsheets/d/1j51vR6CYVGhABJpv6tkstgok82RLpXieLzW1yOY5rHw/edi"&amp;"t?usp=sharing"",""สิงห์บุรี!N206"")+IMPORTRANGE(""https://docs.google.com/spreadsheets/d/1H1EalTWKUSzO4Z1-1CwzoDUaVffgrThEBe2sl74kKG0/edit?usp=sharing"",""สุพรรณบุรี!N206"")+IMPORTRANGE(""https://docs.google.com/spreadsheets/d/1BmIruG_sIrJLYao_Pdr7zVArWsf"&amp;"oBt2692TMi6x_854/edit?usp=sharing"",""อ่างทอง!N206"")"),36747)</f>
        <v>36747</v>
      </c>
      <c r="O207" s="240"/>
      <c r="P207" s="72"/>
      <c r="Q207" s="86"/>
      <c r="R207" s="87"/>
      <c r="S207" s="87"/>
      <c r="T207" s="229"/>
      <c r="U207" s="87"/>
    </row>
    <row r="208" spans="1:21" ht="18.75" x14ac:dyDescent="0.25">
      <c r="A208" s="377"/>
      <c r="B208" s="381"/>
      <c r="C208" s="67"/>
      <c r="D208" s="267" t="s">
        <v>89</v>
      </c>
      <c r="E208" s="67"/>
      <c r="F208" s="67"/>
      <c r="G208" s="69"/>
      <c r="H208" s="70" t="s">
        <v>14</v>
      </c>
      <c r="I208" s="71"/>
      <c r="J208" s="71"/>
      <c r="K208" s="72"/>
      <c r="L208" s="88">
        <f ca="1">IFERROR(__xludf.DUMMYFUNCTION("IMPORTRANGE(""https://docs.google.com/spreadsheets/d/13wPX838HrBrQMCywv1BsuMkt4PEKTChp52zj44s2izQ/edit?usp=sharing"",""กาญจนบุรี!L207"")+IMPORTRANGE(""https://docs.google.com/spreadsheets/d/1ddFKvqj1W1NEiWytbGlB1zMx_ykJDVtmfEQ-6-lIUBA/edit?usp=sharing"","&amp;"""จันทบุรี!L207"")+IMPORTRANGE(""https://docs.google.com/spreadsheets/d/1T1PQvRODqOBZk8BRht_U031fIS1beLA0Ub2CEytj2q0/edit?usp=sharing"",""ฉะเชิงเทรา!L207"")+IMPORTRANGE(""https://docs.google.com/spreadsheets/d/11tr1B-Bhyr79v2bkwVh5h_fR-PStkgjlZtkrZpYurG0/"&amp;"edit?usp=sharing"",""ชลบุรี!L207"")+IMPORTRANGE(""https://docs.google.com/spreadsheets/d/1hh-FVnSX0vozXhGluamEcS54Dw9_zqW0N7qJUWgJ0Sw/edit?usp=sharing"",""ชัยนาท!L207"")+IMPORTRANGE(""https://docs.google.com/spreadsheets/d/1jkqa6GXxSacMcY1eN8AHjMNJ_7dDXMJ"&amp;"VRLDlaFSOdPM/edit?usp=sharing"",""ตราด!L207"")+IMPORTRANGE(""https://docs.google.com/spreadsheets/d/18hSgUJ3VwClqi_qtULmmW3cLr0oe3OKaSYoKzdpTsYQ/edit?usp=sharing"",""นครนายก!L207"")+IMPORTRANGE(""https://docs.google.com/spreadsheets/d/1YTZo6WM2dQ6Ix6FSdnL"&amp;"5P7uVnVKu40sxZu975tgG10E/edit?usp=sharing"",""นครปฐม!L207"")+IMPORTRANGE(""https://docs.google.com/spreadsheets/d/1OYoGg4WDg5RIzwGeB10padOxJF9E_Vljuvvct_M7RDo/edit?usp=sharing"",""ปทุมธานี!L207"")+IMPORTRANGE(""https://docs.google.com/spreadsheets/d/1GbCI"&amp;"E4D4wk9FUozzqk7SxfDMxDVBwVmI5zcaVUSzKAc/edit?usp=sharing"",""ประจวบคีรีขันธ์!L207"")+IMPORTRANGE(""https://docs.google.com/spreadsheets/d/1vVf6wykvW_lAyu7Yo9L4hUTqHqIeP_qcVuxCtosJEbg/edit?usp=sharing"",""ปราจีนบุรี!L207"")+IMPORTRANGE(""https://docs.googl"&amp;"e.com/spreadsheets/d/1BIDqLLg5jk3v59G8NlR8rk5xfQDKne0sAvZHSj7TI6I/edit?usp=sharing"",""พระนครศรีอยุธยา!L207"")+IMPORTRANGE(""https://docs.google.com/spreadsheets/d/1YXvxf8Yu6_rV4hTBrwMqAcAnv6DfhUxh5emyM3CJp_w/edit?usp=sharing"",""เพชรบุรี!L207"")+IMPORTRA"&amp;"NGE(""https://docs.google.com/spreadsheets/d/19KBlQQs7uwvsao6t2n-KvW3Ax8J8uRRfZPq1zPbXgKc/edit?usp=sharing"",""ระยอง!L207"")+IMPORTRANGE(""https://docs.google.com/spreadsheets/d/1jQ6P4QcrGM89YfqcC_PxOHGCMq5ezhucwJd8ci-NHng/edit?usp=sharing"",""ราชบุรี!L20"&amp;"7"")+IMPORTRANGE(""https://docs.google.com/spreadsheets/d/1lufeA2cfFqM-elVq2hznhDzC6Pr7wkJ9ZG_sYNGCMCU/edit?usp=sharing"",""ลพบุรี!L207"")+IMPORTRANGE(""https://docs.google.com/spreadsheets/d/10oOiF7loTyfsTkbd4MpaIm0HQ9SwB7IYHdIUvt-U1Uc/edit?usp=sharing"""&amp;",""สระแก้ว!L207"")+IMPORTRANGE(""https://docs.google.com/spreadsheets/d/1xmPlrr1QbdSIKvl1dWUl9K4PjAfSL9oeMr_37QVzcxc/edit?usp=sharing"",""สระบุรี!L207"")+IMPORTRANGE(""https://docs.google.com/spreadsheets/d/1j51vR6CYVGhABJpv6tkstgok82RLpXieLzW1yOY5rHw/edi"&amp;"t?usp=sharing"",""สิงห์บุรี!L207"")+IMPORTRANGE(""https://docs.google.com/spreadsheets/d/1H1EalTWKUSzO4Z1-1CwzoDUaVffgrThEBe2sl74kKG0/edit?usp=sharing"",""สุพรรณบุรี!L207"")+IMPORTRANGE(""https://docs.google.com/spreadsheets/d/1BmIruG_sIrJLYao_Pdr7zVArWsf"&amp;"oBt2692TMi6x_854/edit?usp=sharing"",""อ่างทอง!L207"")"),133000)</f>
        <v>133000</v>
      </c>
      <c r="M208" s="72"/>
      <c r="N208" s="88">
        <f ca="1">IFERROR(__xludf.DUMMYFUNCTION("IMPORTRANGE(""https://docs.google.com/spreadsheets/d/13wPX838HrBrQMCywv1BsuMkt4PEKTChp52zj44s2izQ/edit?usp=sharing"",""กาญจนบุรี!N207"")+IMPORTRANGE(""https://docs.google.com/spreadsheets/d/1ddFKvqj1W1NEiWytbGlB1zMx_ykJDVtmfEQ-6-lIUBA/edit?usp=sharing"","&amp;"""จันทบุรี!N207"")+IMPORTRANGE(""https://docs.google.com/spreadsheets/d/1T1PQvRODqOBZk8BRht_U031fIS1beLA0Ub2CEytj2q0/edit?usp=sharing"",""ฉะเชิงเทรา!N207"")+IMPORTRANGE(""https://docs.google.com/spreadsheets/d/11tr1B-Bhyr79v2bkwVh5h_fR-PStkgjlZtkrZpYurG0/"&amp;"edit?usp=sharing"",""ชลบุรี!N207"")+IMPORTRANGE(""https://docs.google.com/spreadsheets/d/1hh-FVnSX0vozXhGluamEcS54Dw9_zqW0N7qJUWgJ0Sw/edit?usp=sharing"",""ชัยนาท!N207"")+IMPORTRANGE(""https://docs.google.com/spreadsheets/d/1jkqa6GXxSacMcY1eN8AHjMNJ_7dDXMJ"&amp;"VRLDlaFSOdPM/edit?usp=sharing"",""ตราด!N207"")+IMPORTRANGE(""https://docs.google.com/spreadsheets/d/18hSgUJ3VwClqi_qtULmmW3cLr0oe3OKaSYoKzdpTsYQ/edit?usp=sharing"",""นครนายก!N207"")+IMPORTRANGE(""https://docs.google.com/spreadsheets/d/1YTZo6WM2dQ6Ix6FSdnL"&amp;"5P7uVnVKu40sxZu975tgG10E/edit?usp=sharing"",""นครปฐม!N207"")+IMPORTRANGE(""https://docs.google.com/spreadsheets/d/1OYoGg4WDg5RIzwGeB10padOxJF9E_Vljuvvct_M7RDo/edit?usp=sharing"",""ปทุมธานี!N207"")+IMPORTRANGE(""https://docs.google.com/spreadsheets/d/1GbCI"&amp;"E4D4wk9FUozzqk7SxfDMxDVBwVmI5zcaVUSzKAc/edit?usp=sharing"",""ประจวบคีรีขันธ์!N207"")+IMPORTRANGE(""https://docs.google.com/spreadsheets/d/1vVf6wykvW_lAyu7Yo9L4hUTqHqIeP_qcVuxCtosJEbg/edit?usp=sharing"",""ปราจีนบุรี!N207"")+IMPORTRANGE(""https://docs.googl"&amp;"e.com/spreadsheets/d/1BIDqLLg5jk3v59G8NlR8rk5xfQDKne0sAvZHSj7TI6I/edit?usp=sharing"",""พระนครศรีอยุธยา!N207"")+IMPORTRANGE(""https://docs.google.com/spreadsheets/d/1YXvxf8Yu6_rV4hTBrwMqAcAnv6DfhUxh5emyM3CJp_w/edit?usp=sharing"",""เพชรบุรี!N207"")+IMPORTRA"&amp;"NGE(""https://docs.google.com/spreadsheets/d/19KBlQQs7uwvsao6t2n-KvW3Ax8J8uRRfZPq1zPbXgKc/edit?usp=sharing"",""ระยอง!N207"")+IMPORTRANGE(""https://docs.google.com/spreadsheets/d/1jQ6P4QcrGM89YfqcC_PxOHGCMq5ezhucwJd8ci-NHng/edit?usp=sharing"",""ราชบุรี!N20"&amp;"7"")+IMPORTRANGE(""https://docs.google.com/spreadsheets/d/1lufeA2cfFqM-elVq2hznhDzC6Pr7wkJ9ZG_sYNGCMCU/edit?usp=sharing"",""ลพบุรี!N207"")+IMPORTRANGE(""https://docs.google.com/spreadsheets/d/10oOiF7loTyfsTkbd4MpaIm0HQ9SwB7IYHdIUvt-U1Uc/edit?usp=sharing"""&amp;",""สระแก้ว!N207"")+IMPORTRANGE(""https://docs.google.com/spreadsheets/d/1xmPlrr1QbdSIKvl1dWUl9K4PjAfSL9oeMr_37QVzcxc/edit?usp=sharing"",""สระบุรี!N207"")+IMPORTRANGE(""https://docs.google.com/spreadsheets/d/1j51vR6CYVGhABJpv6tkstgok82RLpXieLzW1yOY5rHw/edi"&amp;"t?usp=sharing"",""สิงห์บุรี!N207"")+IMPORTRANGE(""https://docs.google.com/spreadsheets/d/1H1EalTWKUSzO4Z1-1CwzoDUaVffgrThEBe2sl74kKG0/edit?usp=sharing"",""สุพรรณบุรี!N207"")+IMPORTRANGE(""https://docs.google.com/spreadsheets/d/1BmIruG_sIrJLYao_Pdr7zVArWsf"&amp;"oBt2692TMi6x_854/edit?usp=sharing"",""อ่างทอง!N207"")"),15000)</f>
        <v>15000</v>
      </c>
      <c r="O208" s="240"/>
      <c r="P208" s="72"/>
      <c r="Q208" s="86"/>
      <c r="R208" s="87"/>
      <c r="S208" s="87"/>
      <c r="T208" s="229"/>
      <c r="U208" s="87"/>
    </row>
    <row r="209" spans="1:21" ht="19.5" x14ac:dyDescent="0.3">
      <c r="A209" s="222"/>
      <c r="B209" s="223"/>
      <c r="C209" s="210" t="s">
        <v>18</v>
      </c>
      <c r="D209" s="224" t="s">
        <v>38</v>
      </c>
      <c r="E209" s="225"/>
      <c r="F209" s="225"/>
      <c r="G209" s="226"/>
      <c r="H209" s="227"/>
      <c r="I209" s="219"/>
      <c r="J209" s="219"/>
      <c r="K209" s="220"/>
      <c r="L209" s="220"/>
      <c r="M209" s="220"/>
      <c r="N209" s="220"/>
      <c r="O209" s="220"/>
      <c r="P209" s="220"/>
      <c r="Q209" s="228"/>
      <c r="R209" s="229"/>
      <c r="S209" s="229"/>
      <c r="T209" s="229"/>
      <c r="U209" s="229"/>
    </row>
    <row r="210" spans="1:21" ht="18.75" x14ac:dyDescent="0.25">
      <c r="A210" s="222"/>
      <c r="B210" s="223"/>
      <c r="C210" s="223"/>
      <c r="D210" s="230" t="s">
        <v>90</v>
      </c>
      <c r="E210" s="231"/>
      <c r="F210" s="231"/>
      <c r="G210" s="227"/>
      <c r="H210" s="400" t="s">
        <v>85</v>
      </c>
      <c r="I210" s="321">
        <f ca="1">IFERROR(__xludf.DUMMYFUNCTION("IMPORTRANGE(""https://docs.google.com/spreadsheets/d/13wPX838HrBrQMCywv1BsuMkt4PEKTChp52zj44s2izQ/edit?usp=sharing"",""กาญจนบุรี!I209"")+IMPORTRANGE(""https://docs.google.com/spreadsheets/d/1ddFKvqj1W1NEiWytbGlB1zMx_ykJDVtmfEQ-6-lIUBA/edit?usp=sharing"","&amp;"""จันทบุรี!I209"")+IMPORTRANGE(""https://docs.google.com/spreadsheets/d/1T1PQvRODqOBZk8BRht_U031fIS1beLA0Ub2CEytj2q0/edit?usp=sharing"",""ฉะเชิงเทรา!I209"")+IMPORTRANGE(""https://docs.google.com/spreadsheets/d/11tr1B-Bhyr79v2bkwVh5h_fR-PStkgjlZtkrZpYurG0/"&amp;"edit?usp=sharing"",""ชลบุรี!I209"")+IMPORTRANGE(""https://docs.google.com/spreadsheets/d/1hh-FVnSX0vozXhGluamEcS54Dw9_zqW0N7qJUWgJ0Sw/edit?usp=sharing"",""ชัยนาท!I209"")+IMPORTRANGE(""https://docs.google.com/spreadsheets/d/1jkqa6GXxSacMcY1eN8AHjMNJ_7dDXMJ"&amp;"VRLDlaFSOdPM/edit?usp=sharing"",""ตราด!I209"")+IMPORTRANGE(""https://docs.google.com/spreadsheets/d/18hSgUJ3VwClqi_qtULmmW3cLr0oe3OKaSYoKzdpTsYQ/edit?usp=sharing"",""นครนายก!I209"")+IMPORTRANGE(""https://docs.google.com/spreadsheets/d/1YTZo6WM2dQ6Ix6FSdnL"&amp;"5P7uVnVKu40sxZu975tgG10E/edit?usp=sharing"",""นครปฐม!I209"")+IMPORTRANGE(""https://docs.google.com/spreadsheets/d/1OYoGg4WDg5RIzwGeB10padOxJF9E_Vljuvvct_M7RDo/edit?usp=sharing"",""ปทุมธานี!I209"")+IMPORTRANGE(""https://docs.google.com/spreadsheets/d/1GbCI"&amp;"E4D4wk9FUozzqk7SxfDMxDVBwVmI5zcaVUSzKAc/edit?usp=sharing"",""ประจวบคีรีขันธ์!I209"")+IMPORTRANGE(""https://docs.google.com/spreadsheets/d/1vVf6wykvW_lAyu7Yo9L4hUTqHqIeP_qcVuxCtosJEbg/edit?usp=sharing"",""ปราจีนบุรี!I209"")+IMPORTRANGE(""https://docs.googl"&amp;"e.com/spreadsheets/d/1BIDqLLg5jk3v59G8NlR8rk5xfQDKne0sAvZHSj7TI6I/edit?usp=sharing"",""พระนครศรีอยุธยา!I209"")+IMPORTRANGE(""https://docs.google.com/spreadsheets/d/1YXvxf8Yu6_rV4hTBrwMqAcAnv6DfhUxh5emyM3CJp_w/edit?usp=sharing"",""เพชรบุรี!I209"")+IMPORTRA"&amp;"NGE(""https://docs.google.com/spreadsheets/d/19KBlQQs7uwvsao6t2n-KvW3Ax8J8uRRfZPq1zPbXgKc/edit?usp=sharing"",""ระยอง!I209"")+IMPORTRANGE(""https://docs.google.com/spreadsheets/d/1jQ6P4QcrGM89YfqcC_PxOHGCMq5ezhucwJd8ci-NHng/edit?usp=sharing"",""ราชบุรี!I20"&amp;"9"")+IMPORTRANGE(""https://docs.google.com/spreadsheets/d/1lufeA2cfFqM-elVq2hznhDzC6Pr7wkJ9ZG_sYNGCMCU/edit?usp=sharing"",""ลพบุรี!I209"")+IMPORTRANGE(""https://docs.google.com/spreadsheets/d/10oOiF7loTyfsTkbd4MpaIm0HQ9SwB7IYHdIUvt-U1Uc/edit?usp=sharing"""&amp;",""สระแก้ว!I209"")+IMPORTRANGE(""https://docs.google.com/spreadsheets/d/1xmPlrr1QbdSIKvl1dWUl9K4PjAfSL9oeMr_37QVzcxc/edit?usp=sharing"",""สระบุรี!I209"")+IMPORTRANGE(""https://docs.google.com/spreadsheets/d/1j51vR6CYVGhABJpv6tkstgok82RLpXieLzW1yOY5rHw/edi"&amp;"t?usp=sharing"",""สิงห์บุรี!I209"")+IMPORTRANGE(""https://docs.google.com/spreadsheets/d/1H1EalTWKUSzO4Z1-1CwzoDUaVffgrThEBe2sl74kKG0/edit?usp=sharing"",""สุพรรณบุรี!I209"")+IMPORTRANGE(""https://docs.google.com/spreadsheets/d/1BmIruG_sIrJLYao_Pdr7zVArWsf"&amp;"oBt2692TMi6x_854/edit?usp=sharing"",""อ่างทอง!I209"")"),30)</f>
        <v>30</v>
      </c>
      <c r="J210" s="321">
        <f ca="1">IFERROR(__xludf.DUMMYFUNCTION("IMPORTRANGE(""https://docs.google.com/spreadsheets/d/13wPX838HrBrQMCywv1BsuMkt4PEKTChp52zj44s2izQ/edit?usp=sharing"",""กาญจนบุรี!J209"")+IMPORTRANGE(""https://docs.google.com/spreadsheets/d/1ddFKvqj1W1NEiWytbGlB1zMx_ykJDVtmfEQ-6-lIUBA/edit?usp=sharing"","&amp;"""จันทบุรี!J209"")+IMPORTRANGE(""https://docs.google.com/spreadsheets/d/1T1PQvRODqOBZk8BRht_U031fIS1beLA0Ub2CEytj2q0/edit?usp=sharing"",""ฉะเชิงเทรา!J209"")+IMPORTRANGE(""https://docs.google.com/spreadsheets/d/11tr1B-Bhyr79v2bkwVh5h_fR-PStkgjlZtkrZpYurG0/"&amp;"edit?usp=sharing"",""ชลบุรี!J209"")+IMPORTRANGE(""https://docs.google.com/spreadsheets/d/1hh-FVnSX0vozXhGluamEcS54Dw9_zqW0N7qJUWgJ0Sw/edit?usp=sharing"",""ชัยนาท!J209"")+IMPORTRANGE(""https://docs.google.com/spreadsheets/d/1jkqa6GXxSacMcY1eN8AHjMNJ_7dDXMJ"&amp;"VRLDlaFSOdPM/edit?usp=sharing"",""ตราด!J209"")+IMPORTRANGE(""https://docs.google.com/spreadsheets/d/18hSgUJ3VwClqi_qtULmmW3cLr0oe3OKaSYoKzdpTsYQ/edit?usp=sharing"",""นครนายก!J209"")+IMPORTRANGE(""https://docs.google.com/spreadsheets/d/1YTZo6WM2dQ6Ix6FSdnL"&amp;"5P7uVnVKu40sxZu975tgG10E/edit?usp=sharing"",""นครปฐม!J209"")+IMPORTRANGE(""https://docs.google.com/spreadsheets/d/1OYoGg4WDg5RIzwGeB10padOxJF9E_Vljuvvct_M7RDo/edit?usp=sharing"",""ปทุมธานี!J209"")+IMPORTRANGE(""https://docs.google.com/spreadsheets/d/1GbCI"&amp;"E4D4wk9FUozzqk7SxfDMxDVBwVmI5zcaVUSzKAc/edit?usp=sharing"",""ประจวบคีรีขันธ์!J209"")+IMPORTRANGE(""https://docs.google.com/spreadsheets/d/1vVf6wykvW_lAyu7Yo9L4hUTqHqIeP_qcVuxCtosJEbg/edit?usp=sharing"",""ปราจีนบุรี!J209"")+IMPORTRANGE(""https://docs.googl"&amp;"e.com/spreadsheets/d/1BIDqLLg5jk3v59G8NlR8rk5xfQDKne0sAvZHSj7TI6I/edit?usp=sharing"",""พระนครศรีอยุธยา!J209"")+IMPORTRANGE(""https://docs.google.com/spreadsheets/d/1YXvxf8Yu6_rV4hTBrwMqAcAnv6DfhUxh5emyM3CJp_w/edit?usp=sharing"",""เพชรบุรี!J209"")+IMPORTRA"&amp;"NGE(""https://docs.google.com/spreadsheets/d/19KBlQQs7uwvsao6t2n-KvW3Ax8J8uRRfZPq1zPbXgKc/edit?usp=sharing"",""ระยอง!J209"")+IMPORTRANGE(""https://docs.google.com/spreadsheets/d/1jQ6P4QcrGM89YfqcC_PxOHGCMq5ezhucwJd8ci-NHng/edit?usp=sharing"",""ราชบุรี!J20"&amp;"9"")+IMPORTRANGE(""https://docs.google.com/spreadsheets/d/1lufeA2cfFqM-elVq2hznhDzC6Pr7wkJ9ZG_sYNGCMCU/edit?usp=sharing"",""ลพบุรี!J209"")+IMPORTRANGE(""https://docs.google.com/spreadsheets/d/10oOiF7loTyfsTkbd4MpaIm0HQ9SwB7IYHdIUvt-U1Uc/edit?usp=sharing"""&amp;",""สระแก้ว!J209"")+IMPORTRANGE(""https://docs.google.com/spreadsheets/d/1xmPlrr1QbdSIKvl1dWUl9K4PjAfSL9oeMr_37QVzcxc/edit?usp=sharing"",""สระบุรี!J209"")+IMPORTRANGE(""https://docs.google.com/spreadsheets/d/1j51vR6CYVGhABJpv6tkstgok82RLpXieLzW1yOY5rHw/edi"&amp;"t?usp=sharing"",""สิงห์บุรี!J209"")+IMPORTRANGE(""https://docs.google.com/spreadsheets/d/1H1EalTWKUSzO4Z1-1CwzoDUaVffgrThEBe2sl74kKG0/edit?usp=sharing"",""สุพรรณบุรี!J209"")+IMPORTRANGE(""https://docs.google.com/spreadsheets/d/1BmIruG_sIrJLYao_Pdr7zVArWsf"&amp;"oBt2692TMi6x_854/edit?usp=sharing"",""อ่างทอง!J209"")"),3)</f>
        <v>3</v>
      </c>
      <c r="K210" s="240">
        <f ca="1">IF(I210&gt;0,J210*100/I210,0)</f>
        <v>10</v>
      </c>
      <c r="L210" s="72"/>
      <c r="M210" s="72"/>
      <c r="N210" s="72"/>
      <c r="O210" s="72"/>
      <c r="P210" s="72"/>
      <c r="Q210" s="86"/>
      <c r="R210" s="87"/>
      <c r="S210" s="87"/>
      <c r="T210" s="87"/>
      <c r="U210" s="87"/>
    </row>
    <row r="211" spans="1:21" ht="18.75" x14ac:dyDescent="0.25">
      <c r="A211" s="222"/>
      <c r="B211" s="223"/>
      <c r="C211" s="223"/>
      <c r="D211" s="395" t="s">
        <v>50</v>
      </c>
      <c r="E211" s="231"/>
      <c r="F211" s="231"/>
      <c r="G211" s="227"/>
      <c r="H211" s="227"/>
      <c r="I211" s="71"/>
      <c r="J211" s="71"/>
      <c r="K211" s="220"/>
      <c r="L211" s="72"/>
      <c r="M211" s="72"/>
      <c r="N211" s="72"/>
      <c r="O211" s="72"/>
      <c r="P211" s="72"/>
      <c r="Q211" s="86"/>
      <c r="R211" s="87"/>
      <c r="S211" s="87"/>
      <c r="T211" s="87"/>
      <c r="U211" s="87"/>
    </row>
    <row r="212" spans="1:21" ht="18.75" x14ac:dyDescent="0.25">
      <c r="A212" s="222"/>
      <c r="B212" s="223"/>
      <c r="C212" s="223"/>
      <c r="D212" s="231"/>
      <c r="E212" s="395" t="s">
        <v>91</v>
      </c>
      <c r="F212" s="231"/>
      <c r="G212" s="227"/>
      <c r="H212" s="400" t="s">
        <v>85</v>
      </c>
      <c r="I212" s="239">
        <v>0</v>
      </c>
      <c r="J212" s="321">
        <f ca="1">IFERROR(__xludf.DUMMYFUNCTION("IMPORTRANGE(""https://docs.google.com/spreadsheets/d/13wPX838HrBrQMCywv1BsuMkt4PEKTChp52zj44s2izQ/edit?usp=sharing"",""กาญจนบุรี!J211"")+IMPORTRANGE(""https://docs.google.com/spreadsheets/d/1ddFKvqj1W1NEiWytbGlB1zMx_ykJDVtmfEQ-6-lIUBA/edit?usp=sharing"","&amp;"""จันทบุรี!J211"")+IMPORTRANGE(""https://docs.google.com/spreadsheets/d/1T1PQvRODqOBZk8BRht_U031fIS1beLA0Ub2CEytj2q0/edit?usp=sharing"",""ฉะเชิงเทรา!J211"")+IMPORTRANGE(""https://docs.google.com/spreadsheets/d/11tr1B-Bhyr79v2bkwVh5h_fR-PStkgjlZtkrZpYurG0/"&amp;"edit?usp=sharing"",""ชลบุรี!J211"")+IMPORTRANGE(""https://docs.google.com/spreadsheets/d/1hh-FVnSX0vozXhGluamEcS54Dw9_zqW0N7qJUWgJ0Sw/edit?usp=sharing"",""ชัยนาท!J211"")+IMPORTRANGE(""https://docs.google.com/spreadsheets/d/1jkqa6GXxSacMcY1eN8AHjMNJ_7dDXMJ"&amp;"VRLDlaFSOdPM/edit?usp=sharing"",""ตราด!J211"")+IMPORTRANGE(""https://docs.google.com/spreadsheets/d/18hSgUJ3VwClqi_qtULmmW3cLr0oe3OKaSYoKzdpTsYQ/edit?usp=sharing"",""นครนายก!J211"")+IMPORTRANGE(""https://docs.google.com/spreadsheets/d/1YTZo6WM2dQ6Ix6FSdnL"&amp;"5P7uVnVKu40sxZu975tgG10E/edit?usp=sharing"",""นครปฐม!J211"")+IMPORTRANGE(""https://docs.google.com/spreadsheets/d/1OYoGg4WDg5RIzwGeB10padOxJF9E_Vljuvvct_M7RDo/edit?usp=sharing"",""ปทุมธานี!J211"")+IMPORTRANGE(""https://docs.google.com/spreadsheets/d/1GbCI"&amp;"E4D4wk9FUozzqk7SxfDMxDVBwVmI5zcaVUSzKAc/edit?usp=sharing"",""ประจวบคีรีขันธ์!J211"")+IMPORTRANGE(""https://docs.google.com/spreadsheets/d/1vVf6wykvW_lAyu7Yo9L4hUTqHqIeP_qcVuxCtosJEbg/edit?usp=sharing"",""ปราจีนบุรี!J211"")+IMPORTRANGE(""https://docs.googl"&amp;"e.com/spreadsheets/d/1BIDqLLg5jk3v59G8NlR8rk5xfQDKne0sAvZHSj7TI6I/edit?usp=sharing"",""พระนครศรีอยุธยา!J211"")+IMPORTRANGE(""https://docs.google.com/spreadsheets/d/1YXvxf8Yu6_rV4hTBrwMqAcAnv6DfhUxh5emyM3CJp_w/edit?usp=sharing"",""เพชรบุรี!J211"")+IMPORTRA"&amp;"NGE(""https://docs.google.com/spreadsheets/d/19KBlQQs7uwvsao6t2n-KvW3Ax8J8uRRfZPq1zPbXgKc/edit?usp=sharing"",""ระยอง!J211"")+IMPORTRANGE(""https://docs.google.com/spreadsheets/d/1jQ6P4QcrGM89YfqcC_PxOHGCMq5ezhucwJd8ci-NHng/edit?usp=sharing"",""ราชบุรี!J21"&amp;"1"")+IMPORTRANGE(""https://docs.google.com/spreadsheets/d/1lufeA2cfFqM-elVq2hznhDzC6Pr7wkJ9ZG_sYNGCMCU/edit?usp=sharing"",""ลพบุรี!J211"")+IMPORTRANGE(""https://docs.google.com/spreadsheets/d/10oOiF7loTyfsTkbd4MpaIm0HQ9SwB7IYHdIUvt-U1Uc/edit?usp=sharing"""&amp;",""สระแก้ว!J211"")+IMPORTRANGE(""https://docs.google.com/spreadsheets/d/1xmPlrr1QbdSIKvl1dWUl9K4PjAfSL9oeMr_37QVzcxc/edit?usp=sharing"",""สระบุรี!J211"")+IMPORTRANGE(""https://docs.google.com/spreadsheets/d/1j51vR6CYVGhABJpv6tkstgok82RLpXieLzW1yOY5rHw/edi"&amp;"t?usp=sharing"",""สิงห์บุรี!J211"")+IMPORTRANGE(""https://docs.google.com/spreadsheets/d/1H1EalTWKUSzO4Z1-1CwzoDUaVffgrThEBe2sl74kKG0/edit?usp=sharing"",""สุพรรณบุรี!J211"")+IMPORTRANGE(""https://docs.google.com/spreadsheets/d/1BmIruG_sIrJLYao_Pdr7zVArWsf"&amp;"oBt2692TMi6x_854/edit?usp=sharing"",""อ่างทอง!J211"")"),0)</f>
        <v>0</v>
      </c>
      <c r="K212" s="240">
        <f t="shared" ref="K212:K214" si="173">IF(I212&gt;0,J212*100/I212,0)</f>
        <v>0</v>
      </c>
      <c r="L212" s="72"/>
      <c r="M212" s="72"/>
      <c r="N212" s="72"/>
      <c r="O212" s="72"/>
      <c r="P212" s="72"/>
      <c r="Q212" s="86"/>
      <c r="R212" s="87"/>
      <c r="S212" s="87"/>
      <c r="T212" s="87"/>
      <c r="U212" s="87"/>
    </row>
    <row r="213" spans="1:21" ht="18.75" x14ac:dyDescent="0.25">
      <c r="A213" s="222"/>
      <c r="B213" s="223"/>
      <c r="C213" s="223"/>
      <c r="D213" s="231"/>
      <c r="E213" s="395" t="s">
        <v>92</v>
      </c>
      <c r="F213" s="231"/>
      <c r="G213" s="231"/>
      <c r="H213" s="401" t="s">
        <v>93</v>
      </c>
      <c r="I213" s="239">
        <v>0</v>
      </c>
      <c r="J213" s="321">
        <f ca="1">IFERROR(__xludf.DUMMYFUNCTION("IMPORTRANGE(""https://docs.google.com/spreadsheets/d/13wPX838HrBrQMCywv1BsuMkt4PEKTChp52zj44s2izQ/edit?usp=sharing"",""กาญจนบุรี!J212"")+IMPORTRANGE(""https://docs.google.com/spreadsheets/d/1ddFKvqj1W1NEiWytbGlB1zMx_ykJDVtmfEQ-6-lIUBA/edit?usp=sharing"","&amp;"""จันทบุรี!J212"")+IMPORTRANGE(""https://docs.google.com/spreadsheets/d/1T1PQvRODqOBZk8BRht_U031fIS1beLA0Ub2CEytj2q0/edit?usp=sharing"",""ฉะเชิงเทรา!J212"")+IMPORTRANGE(""https://docs.google.com/spreadsheets/d/11tr1B-Bhyr79v2bkwVh5h_fR-PStkgjlZtkrZpYurG0/"&amp;"edit?usp=sharing"",""ชลบุรี!J212"")+IMPORTRANGE(""https://docs.google.com/spreadsheets/d/1hh-FVnSX0vozXhGluamEcS54Dw9_zqW0N7qJUWgJ0Sw/edit?usp=sharing"",""ชัยนาท!J212"")+IMPORTRANGE(""https://docs.google.com/spreadsheets/d/1jkqa6GXxSacMcY1eN8AHjMNJ_7dDXMJ"&amp;"VRLDlaFSOdPM/edit?usp=sharing"",""ตราด!J212"")+IMPORTRANGE(""https://docs.google.com/spreadsheets/d/18hSgUJ3VwClqi_qtULmmW3cLr0oe3OKaSYoKzdpTsYQ/edit?usp=sharing"",""นครนายก!J212"")+IMPORTRANGE(""https://docs.google.com/spreadsheets/d/1YTZo6WM2dQ6Ix6FSdnL"&amp;"5P7uVnVKu40sxZu975tgG10E/edit?usp=sharing"",""นครปฐม!J212"")+IMPORTRANGE(""https://docs.google.com/spreadsheets/d/1OYoGg4WDg5RIzwGeB10padOxJF9E_Vljuvvct_M7RDo/edit?usp=sharing"",""ปทุมธานี!J212"")+IMPORTRANGE(""https://docs.google.com/spreadsheets/d/1GbCI"&amp;"E4D4wk9FUozzqk7SxfDMxDVBwVmI5zcaVUSzKAc/edit?usp=sharing"",""ประจวบคีรีขันธ์!J212"")+IMPORTRANGE(""https://docs.google.com/spreadsheets/d/1vVf6wykvW_lAyu7Yo9L4hUTqHqIeP_qcVuxCtosJEbg/edit?usp=sharing"",""ปราจีนบุรี!J212"")+IMPORTRANGE(""https://docs.googl"&amp;"e.com/spreadsheets/d/1BIDqLLg5jk3v59G8NlR8rk5xfQDKne0sAvZHSj7TI6I/edit?usp=sharing"",""พระนครศรีอยุธยา!J212"")+IMPORTRANGE(""https://docs.google.com/spreadsheets/d/1YXvxf8Yu6_rV4hTBrwMqAcAnv6DfhUxh5emyM3CJp_w/edit?usp=sharing"",""เพชรบุรี!J212"")+IMPORTRA"&amp;"NGE(""https://docs.google.com/spreadsheets/d/19KBlQQs7uwvsao6t2n-KvW3Ax8J8uRRfZPq1zPbXgKc/edit?usp=sharing"",""ระยอง!J212"")+IMPORTRANGE(""https://docs.google.com/spreadsheets/d/1jQ6P4QcrGM89YfqcC_PxOHGCMq5ezhucwJd8ci-NHng/edit?usp=sharing"",""ราชบุรี!J21"&amp;"2"")+IMPORTRANGE(""https://docs.google.com/spreadsheets/d/1lufeA2cfFqM-elVq2hznhDzC6Pr7wkJ9ZG_sYNGCMCU/edit?usp=sharing"",""ลพบุรี!J212"")+IMPORTRANGE(""https://docs.google.com/spreadsheets/d/10oOiF7loTyfsTkbd4MpaIm0HQ9SwB7IYHdIUvt-U1Uc/edit?usp=sharing"""&amp;",""สระแก้ว!J212"")+IMPORTRANGE(""https://docs.google.com/spreadsheets/d/1xmPlrr1QbdSIKvl1dWUl9K4PjAfSL9oeMr_37QVzcxc/edit?usp=sharing"",""สระบุรี!J212"")+IMPORTRANGE(""https://docs.google.com/spreadsheets/d/1j51vR6CYVGhABJpv6tkstgok82RLpXieLzW1yOY5rHw/edi"&amp;"t?usp=sharing"",""สิงห์บุรี!J212"")+IMPORTRANGE(""https://docs.google.com/spreadsheets/d/1H1EalTWKUSzO4Z1-1CwzoDUaVffgrThEBe2sl74kKG0/edit?usp=sharing"",""สุพรรณบุรี!J212"")+IMPORTRANGE(""https://docs.google.com/spreadsheets/d/1BmIruG_sIrJLYao_Pdr7zVArWsf"&amp;"oBt2692TMi6x_854/edit?usp=sharing"",""อ่างทอง!J212"")"),0)</f>
        <v>0</v>
      </c>
      <c r="K213" s="240">
        <f t="shared" si="173"/>
        <v>0</v>
      </c>
      <c r="L213" s="72"/>
      <c r="M213" s="72"/>
      <c r="N213" s="72"/>
      <c r="O213" s="72"/>
      <c r="P213" s="72"/>
      <c r="Q213" s="86"/>
      <c r="R213" s="87"/>
      <c r="S213" s="87"/>
      <c r="T213" s="87"/>
      <c r="U213" s="87"/>
    </row>
    <row r="214" spans="1:21" ht="19.5" x14ac:dyDescent="0.3">
      <c r="A214" s="382"/>
      <c r="B214" s="383"/>
      <c r="C214" s="384" t="s">
        <v>94</v>
      </c>
      <c r="D214" s="385"/>
      <c r="E214" s="385"/>
      <c r="F214" s="385"/>
      <c r="G214" s="386"/>
      <c r="H214" s="397" t="s">
        <v>85</v>
      </c>
      <c r="I214" s="388">
        <f t="shared" ref="I214:J214" ca="1" si="174">I221</f>
        <v>14</v>
      </c>
      <c r="J214" s="388">
        <f t="shared" ca="1" si="174"/>
        <v>3</v>
      </c>
      <c r="K214" s="389">
        <f t="shared" ca="1" si="173"/>
        <v>21.428571428571427</v>
      </c>
      <c r="L214" s="390"/>
      <c r="M214" s="390"/>
      <c r="N214" s="390"/>
      <c r="O214" s="390"/>
      <c r="P214" s="390"/>
      <c r="Q214" s="391"/>
      <c r="R214" s="392"/>
      <c r="S214" s="392"/>
      <c r="T214" s="392"/>
      <c r="U214" s="392"/>
    </row>
    <row r="215" spans="1:21" ht="19.5" x14ac:dyDescent="0.3">
      <c r="A215" s="209"/>
      <c r="B215" s="67"/>
      <c r="C215" s="210" t="s">
        <v>18</v>
      </c>
      <c r="D215" s="393" t="s">
        <v>19</v>
      </c>
      <c r="E215" s="67"/>
      <c r="F215" s="67"/>
      <c r="G215" s="69"/>
      <c r="H215" s="394" t="s">
        <v>14</v>
      </c>
      <c r="I215" s="219"/>
      <c r="J215" s="219"/>
      <c r="K215" s="220"/>
      <c r="L215" s="213">
        <f ca="1">L216+L217+L218</f>
        <v>196000</v>
      </c>
      <c r="M215" s="72"/>
      <c r="N215" s="213">
        <f ca="1">N216+N217+N218</f>
        <v>306440</v>
      </c>
      <c r="O215" s="213">
        <f ca="1">IF(L215&gt;0,N215*100/L215,0)</f>
        <v>156.34693877551021</v>
      </c>
      <c r="P215" s="213"/>
      <c r="Q215" s="86"/>
      <c r="R215" s="87"/>
      <c r="S215" s="87"/>
      <c r="T215" s="87"/>
      <c r="U215" s="87"/>
    </row>
    <row r="216" spans="1:21" ht="18.75" x14ac:dyDescent="0.25">
      <c r="A216" s="209"/>
      <c r="B216" s="381"/>
      <c r="C216" s="67"/>
      <c r="D216" s="75" t="s">
        <v>86</v>
      </c>
      <c r="E216" s="67"/>
      <c r="F216" s="67"/>
      <c r="G216" s="69"/>
      <c r="H216" s="218" t="s">
        <v>14</v>
      </c>
      <c r="I216" s="219"/>
      <c r="J216" s="219"/>
      <c r="K216" s="220"/>
      <c r="L216" s="88">
        <f ca="1">IFERROR(__xludf.DUMMYFUNCTION("IMPORTRANGE(""https://docs.google.com/spreadsheets/d/13wPX838HrBrQMCywv1BsuMkt4PEKTChp52zj44s2izQ/edit?usp=sharing"",""กาญจนบุรี!L215"")+IMPORTRANGE(""https://docs.google.com/spreadsheets/d/1ddFKvqj1W1NEiWytbGlB1zMx_ykJDVtmfEQ-6-lIUBA/edit?usp=sharing"","&amp;"""จันทบุรี!L215"")+IMPORTRANGE(""https://docs.google.com/spreadsheets/d/1T1PQvRODqOBZk8BRht_U031fIS1beLA0Ub2CEytj2q0/edit?usp=sharing"",""ฉะเชิงเทรา!L215"")+IMPORTRANGE(""https://docs.google.com/spreadsheets/d/11tr1B-Bhyr79v2bkwVh5h_fR-PStkgjlZtkrZpYurG0/"&amp;"edit?usp=sharing"",""ชลบุรี!L215"")+IMPORTRANGE(""https://docs.google.com/spreadsheets/d/1hh-FVnSX0vozXhGluamEcS54Dw9_zqW0N7qJUWgJ0Sw/edit?usp=sharing"",""ชัยนาท!L215"")+IMPORTRANGE(""https://docs.google.com/spreadsheets/d/1jkqa6GXxSacMcY1eN8AHjMNJ_7dDXMJ"&amp;"VRLDlaFSOdPM/edit?usp=sharing"",""ตราด!L215"")+IMPORTRANGE(""https://docs.google.com/spreadsheets/d/18hSgUJ3VwClqi_qtULmmW3cLr0oe3OKaSYoKzdpTsYQ/edit?usp=sharing"",""นครนายก!L215"")+IMPORTRANGE(""https://docs.google.com/spreadsheets/d/1YTZo6WM2dQ6Ix6FSdnL"&amp;"5P7uVnVKu40sxZu975tgG10E/edit?usp=sharing"",""นครปฐม!L215"")+IMPORTRANGE(""https://docs.google.com/spreadsheets/d/1OYoGg4WDg5RIzwGeB10padOxJF9E_Vljuvvct_M7RDo/edit?usp=sharing"",""ปทุมธานี!L215"")+IMPORTRANGE(""https://docs.google.com/spreadsheets/d/1GbCI"&amp;"E4D4wk9FUozzqk7SxfDMxDVBwVmI5zcaVUSzKAc/edit?usp=sharing"",""ประจวบคีรีขันธ์!L215"")+IMPORTRANGE(""https://docs.google.com/spreadsheets/d/1vVf6wykvW_lAyu7Yo9L4hUTqHqIeP_qcVuxCtosJEbg/edit?usp=sharing"",""ปราจีนบุรี!L215"")+IMPORTRANGE(""https://docs.googl"&amp;"e.com/spreadsheets/d/1BIDqLLg5jk3v59G8NlR8rk5xfQDKne0sAvZHSj7TI6I/edit?usp=sharing"",""พระนครศรีอยุธยา!L215"")+IMPORTRANGE(""https://docs.google.com/spreadsheets/d/1YXvxf8Yu6_rV4hTBrwMqAcAnv6DfhUxh5emyM3CJp_w/edit?usp=sharing"",""เพชรบุรี!L215"")+IMPORTRA"&amp;"NGE(""https://docs.google.com/spreadsheets/d/19KBlQQs7uwvsao6t2n-KvW3Ax8J8uRRfZPq1zPbXgKc/edit?usp=sharing"",""ระยอง!L215"")+IMPORTRANGE(""https://docs.google.com/spreadsheets/d/1jQ6P4QcrGM89YfqcC_PxOHGCMq5ezhucwJd8ci-NHng/edit?usp=sharing"",""ราชบุรี!L21"&amp;"5"")+IMPORTRANGE(""https://docs.google.com/spreadsheets/d/1lufeA2cfFqM-elVq2hznhDzC6Pr7wkJ9ZG_sYNGCMCU/edit?usp=sharing"",""ลพบุรี!L215"")+IMPORTRANGE(""https://docs.google.com/spreadsheets/d/10oOiF7loTyfsTkbd4MpaIm0HQ9SwB7IYHdIUvt-U1Uc/edit?usp=sharing"""&amp;",""สระแก้ว!L215"")+IMPORTRANGE(""https://docs.google.com/spreadsheets/d/1xmPlrr1QbdSIKvl1dWUl9K4PjAfSL9oeMr_37QVzcxc/edit?usp=sharing"",""สระบุรี!L215"")+IMPORTRANGE(""https://docs.google.com/spreadsheets/d/1j51vR6CYVGhABJpv6tkstgok82RLpXieLzW1yOY5rHw/edi"&amp;"t?usp=sharing"",""สิงห์บุรี!L215"")+IMPORTRANGE(""https://docs.google.com/spreadsheets/d/1H1EalTWKUSzO4Z1-1CwzoDUaVffgrThEBe2sl74kKG0/edit?usp=sharing"",""สุพรรณบุรี!L215"")+IMPORTRANGE(""https://docs.google.com/spreadsheets/d/1BmIruG_sIrJLYao_Pdr7zVArWsf"&amp;"oBt2692TMi6x_854/edit?usp=sharing"",""อ่างทอง!L215"")"),14000)</f>
        <v>14000</v>
      </c>
      <c r="M216" s="72"/>
      <c r="N216" s="88">
        <f ca="1">IFERROR(__xludf.DUMMYFUNCTION("IMPORTRANGE(""https://docs.google.com/spreadsheets/d/13wPX838HrBrQMCywv1BsuMkt4PEKTChp52zj44s2izQ/edit?usp=sharing"",""กาญจนบุรี!N215"")+IMPORTRANGE(""https://docs.google.com/spreadsheets/d/1ddFKvqj1W1NEiWytbGlB1zMx_ykJDVtmfEQ-6-lIUBA/edit?usp=sharing"","&amp;"""จันทบุรี!N215"")+IMPORTRANGE(""https://docs.google.com/spreadsheets/d/1T1PQvRODqOBZk8BRht_U031fIS1beLA0Ub2CEytj2q0/edit?usp=sharing"",""ฉะเชิงเทรา!N215"")+IMPORTRANGE(""https://docs.google.com/spreadsheets/d/11tr1B-Bhyr79v2bkwVh5h_fR-PStkgjlZtkrZpYurG0/"&amp;"edit?usp=sharing"",""ชลบุรี!N215"")+IMPORTRANGE(""https://docs.google.com/spreadsheets/d/1hh-FVnSX0vozXhGluamEcS54Dw9_zqW0N7qJUWgJ0Sw/edit?usp=sharing"",""ชัยนาท!N215"")+IMPORTRANGE(""https://docs.google.com/spreadsheets/d/1jkqa6GXxSacMcY1eN8AHjMNJ_7dDXMJ"&amp;"VRLDlaFSOdPM/edit?usp=sharing"",""ตราด!N215"")+IMPORTRANGE(""https://docs.google.com/spreadsheets/d/18hSgUJ3VwClqi_qtULmmW3cLr0oe3OKaSYoKzdpTsYQ/edit?usp=sharing"",""นครนายก!N215"")+IMPORTRANGE(""https://docs.google.com/spreadsheets/d/1YTZo6WM2dQ6Ix6FSdnL"&amp;"5P7uVnVKu40sxZu975tgG10E/edit?usp=sharing"",""นครปฐม!N215"")+IMPORTRANGE(""https://docs.google.com/spreadsheets/d/1OYoGg4WDg5RIzwGeB10padOxJF9E_Vljuvvct_M7RDo/edit?usp=sharing"",""ปทุมธานี!N215"")+IMPORTRANGE(""https://docs.google.com/spreadsheets/d/1GbCI"&amp;"E4D4wk9FUozzqk7SxfDMxDVBwVmI5zcaVUSzKAc/edit?usp=sharing"",""ประจวบคีรีขันธ์!N215"")+IMPORTRANGE(""https://docs.google.com/spreadsheets/d/1vVf6wykvW_lAyu7Yo9L4hUTqHqIeP_qcVuxCtosJEbg/edit?usp=sharing"",""ปราจีนบุรี!N215"")+IMPORTRANGE(""https://docs.googl"&amp;"e.com/spreadsheets/d/1BIDqLLg5jk3v59G8NlR8rk5xfQDKne0sAvZHSj7TI6I/edit?usp=sharing"",""พระนครศรีอยุธยา!N215"")+IMPORTRANGE(""https://docs.google.com/spreadsheets/d/1YXvxf8Yu6_rV4hTBrwMqAcAnv6DfhUxh5emyM3CJp_w/edit?usp=sharing"",""เพชรบุรี!N215"")+IMPORTRA"&amp;"NGE(""https://docs.google.com/spreadsheets/d/19KBlQQs7uwvsao6t2n-KvW3Ax8J8uRRfZPq1zPbXgKc/edit?usp=sharing"",""ระยอง!N215"")+IMPORTRANGE(""https://docs.google.com/spreadsheets/d/1jQ6P4QcrGM89YfqcC_PxOHGCMq5ezhucwJd8ci-NHng/edit?usp=sharing"",""ราชบุรี!N21"&amp;"5"")+IMPORTRANGE(""https://docs.google.com/spreadsheets/d/1lufeA2cfFqM-elVq2hznhDzC6Pr7wkJ9ZG_sYNGCMCU/edit?usp=sharing"",""ลพบุรี!N215"")+IMPORTRANGE(""https://docs.google.com/spreadsheets/d/10oOiF7loTyfsTkbd4MpaIm0HQ9SwB7IYHdIUvt-U1Uc/edit?usp=sharing"""&amp;",""สระแก้ว!N215"")+IMPORTRANGE(""https://docs.google.com/spreadsheets/d/1xmPlrr1QbdSIKvl1dWUl9K4PjAfSL9oeMr_37QVzcxc/edit?usp=sharing"",""สระบุรี!N215"")+IMPORTRANGE(""https://docs.google.com/spreadsheets/d/1j51vR6CYVGhABJpv6tkstgok82RLpXieLzW1yOY5rHw/edi"&amp;"t?usp=sharing"",""สิงห์บุรี!N215"")+IMPORTRANGE(""https://docs.google.com/spreadsheets/d/1H1EalTWKUSzO4Z1-1CwzoDUaVffgrThEBe2sl74kKG0/edit?usp=sharing"",""สุพรรณบุรี!N215"")+IMPORTRANGE(""https://docs.google.com/spreadsheets/d/1BmIruG_sIrJLYao_Pdr7zVArWsf"&amp;"oBt2692TMi6x_854/edit?usp=sharing"",""อ่างทอง!N215"")"),240)</f>
        <v>240</v>
      </c>
      <c r="O216" s="240"/>
      <c r="P216" s="72"/>
      <c r="Q216" s="86"/>
      <c r="R216" s="87"/>
      <c r="S216" s="87"/>
      <c r="T216" s="229"/>
      <c r="U216" s="87"/>
    </row>
    <row r="217" spans="1:21" ht="18.75" x14ac:dyDescent="0.25">
      <c r="A217" s="377"/>
      <c r="B217" s="381"/>
      <c r="C217" s="381"/>
      <c r="D217" s="75" t="s">
        <v>95</v>
      </c>
      <c r="E217" s="67"/>
      <c r="F217" s="67"/>
      <c r="G217" s="69"/>
      <c r="H217" s="218" t="s">
        <v>14</v>
      </c>
      <c r="I217" s="71"/>
      <c r="J217" s="71"/>
      <c r="K217" s="72"/>
      <c r="L217" s="88">
        <f ca="1">IFERROR(__xludf.DUMMYFUNCTION("IMPORTRANGE(""https://docs.google.com/spreadsheets/d/13wPX838HrBrQMCywv1BsuMkt4PEKTChp52zj44s2izQ/edit?usp=sharing"",""กาญจนบุรี!L216"")+IMPORTRANGE(""https://docs.google.com/spreadsheets/d/1ddFKvqj1W1NEiWytbGlB1zMx_ykJDVtmfEQ-6-lIUBA/edit?usp=sharing"","&amp;"""จันทบุรี!L216"")+IMPORTRANGE(""https://docs.google.com/spreadsheets/d/1T1PQvRODqOBZk8BRht_U031fIS1beLA0Ub2CEytj2q0/edit?usp=sharing"",""ฉะเชิงเทรา!L216"")+IMPORTRANGE(""https://docs.google.com/spreadsheets/d/11tr1B-Bhyr79v2bkwVh5h_fR-PStkgjlZtkrZpYurG0/"&amp;"edit?usp=sharing"",""ชลบุรี!L216"")+IMPORTRANGE(""https://docs.google.com/spreadsheets/d/1hh-FVnSX0vozXhGluamEcS54Dw9_zqW0N7qJUWgJ0Sw/edit?usp=sharing"",""ชัยนาท!L216"")+IMPORTRANGE(""https://docs.google.com/spreadsheets/d/1jkqa6GXxSacMcY1eN8AHjMNJ_7dDXMJ"&amp;"VRLDlaFSOdPM/edit?usp=sharing"",""ตราด!L216"")+IMPORTRANGE(""https://docs.google.com/spreadsheets/d/18hSgUJ3VwClqi_qtULmmW3cLr0oe3OKaSYoKzdpTsYQ/edit?usp=sharing"",""นครนายก!L216"")+IMPORTRANGE(""https://docs.google.com/spreadsheets/d/1YTZo6WM2dQ6Ix6FSdnL"&amp;"5P7uVnVKu40sxZu975tgG10E/edit?usp=sharing"",""นครปฐม!L216"")+IMPORTRANGE(""https://docs.google.com/spreadsheets/d/1OYoGg4WDg5RIzwGeB10padOxJF9E_Vljuvvct_M7RDo/edit?usp=sharing"",""ปทุมธานี!L216"")+IMPORTRANGE(""https://docs.google.com/spreadsheets/d/1GbCI"&amp;"E4D4wk9FUozzqk7SxfDMxDVBwVmI5zcaVUSzKAc/edit?usp=sharing"",""ประจวบคีรีขันธ์!L216"")+IMPORTRANGE(""https://docs.google.com/spreadsheets/d/1vVf6wykvW_lAyu7Yo9L4hUTqHqIeP_qcVuxCtosJEbg/edit?usp=sharing"",""ปราจีนบุรี!L216"")+IMPORTRANGE(""https://docs.googl"&amp;"e.com/spreadsheets/d/1BIDqLLg5jk3v59G8NlR8rk5xfQDKne0sAvZHSj7TI6I/edit?usp=sharing"",""พระนครศรีอยุธยา!L216"")+IMPORTRANGE(""https://docs.google.com/spreadsheets/d/1YXvxf8Yu6_rV4hTBrwMqAcAnv6DfhUxh5emyM3CJp_w/edit?usp=sharing"",""เพชรบุรี!L216"")+IMPORTRA"&amp;"NGE(""https://docs.google.com/spreadsheets/d/19KBlQQs7uwvsao6t2n-KvW3Ax8J8uRRfZPq1zPbXgKc/edit?usp=sharing"",""ระยอง!L216"")+IMPORTRANGE(""https://docs.google.com/spreadsheets/d/1jQ6P4QcrGM89YfqcC_PxOHGCMq5ezhucwJd8ci-NHng/edit?usp=sharing"",""ราชบุรี!L21"&amp;"6"")+IMPORTRANGE(""https://docs.google.com/spreadsheets/d/1lufeA2cfFqM-elVq2hznhDzC6Pr7wkJ9ZG_sYNGCMCU/edit?usp=sharing"",""ลพบุรี!L216"")+IMPORTRANGE(""https://docs.google.com/spreadsheets/d/10oOiF7loTyfsTkbd4MpaIm0HQ9SwB7IYHdIUvt-U1Uc/edit?usp=sharing"""&amp;",""สระแก้ว!L216"")+IMPORTRANGE(""https://docs.google.com/spreadsheets/d/1xmPlrr1QbdSIKvl1dWUl9K4PjAfSL9oeMr_37QVzcxc/edit?usp=sharing"",""สระบุรี!L216"")+IMPORTRANGE(""https://docs.google.com/spreadsheets/d/1j51vR6CYVGhABJpv6tkstgok82RLpXieLzW1yOY5rHw/edi"&amp;"t?usp=sharing"",""สิงห์บุรี!L216"")+IMPORTRANGE(""https://docs.google.com/spreadsheets/d/1H1EalTWKUSzO4Z1-1CwzoDUaVffgrThEBe2sl74kKG0/edit?usp=sharing"",""สุพรรณบุรี!L216"")+IMPORTRANGE(""https://docs.google.com/spreadsheets/d/1BmIruG_sIrJLYao_Pdr7zVArWsf"&amp;"oBt2692TMi6x_854/edit?usp=sharing"",""อ่างทอง!L216"")"),70000)</f>
        <v>70000</v>
      </c>
      <c r="M217" s="72"/>
      <c r="N217" s="88">
        <f ca="1">IFERROR(__xludf.DUMMYFUNCTION("IMPORTRANGE(""https://docs.google.com/spreadsheets/d/13wPX838HrBrQMCywv1BsuMkt4PEKTChp52zj44s2izQ/edit?usp=sharing"",""กาญจนบุรี!N216"")+IMPORTRANGE(""https://docs.google.com/spreadsheets/d/1ddFKvqj1W1NEiWytbGlB1zMx_ykJDVtmfEQ-6-lIUBA/edit?usp=sharing"","&amp;"""จันทบุรี!N216"")+IMPORTRANGE(""https://docs.google.com/spreadsheets/d/1T1PQvRODqOBZk8BRht_U031fIS1beLA0Ub2CEytj2q0/edit?usp=sharing"",""ฉะเชิงเทรา!N216"")+IMPORTRANGE(""https://docs.google.com/spreadsheets/d/11tr1B-Bhyr79v2bkwVh5h_fR-PStkgjlZtkrZpYurG0/"&amp;"edit?usp=sharing"",""ชลบุรี!N216"")+IMPORTRANGE(""https://docs.google.com/spreadsheets/d/1hh-FVnSX0vozXhGluamEcS54Dw9_zqW0N7qJUWgJ0Sw/edit?usp=sharing"",""ชัยนาท!N216"")+IMPORTRANGE(""https://docs.google.com/spreadsheets/d/1jkqa6GXxSacMcY1eN8AHjMNJ_7dDXMJ"&amp;"VRLDlaFSOdPM/edit?usp=sharing"",""ตราด!N216"")+IMPORTRANGE(""https://docs.google.com/spreadsheets/d/18hSgUJ3VwClqi_qtULmmW3cLr0oe3OKaSYoKzdpTsYQ/edit?usp=sharing"",""นครนายก!N216"")+IMPORTRANGE(""https://docs.google.com/spreadsheets/d/1YTZo6WM2dQ6Ix6FSdnL"&amp;"5P7uVnVKu40sxZu975tgG10E/edit?usp=sharing"",""นครปฐม!N216"")+IMPORTRANGE(""https://docs.google.com/spreadsheets/d/1OYoGg4WDg5RIzwGeB10padOxJF9E_Vljuvvct_M7RDo/edit?usp=sharing"",""ปทุมธานี!N216"")+IMPORTRANGE(""https://docs.google.com/spreadsheets/d/1GbCI"&amp;"E4D4wk9FUozzqk7SxfDMxDVBwVmI5zcaVUSzKAc/edit?usp=sharing"",""ประจวบคีรีขันธ์!N216"")+IMPORTRANGE(""https://docs.google.com/spreadsheets/d/1vVf6wykvW_lAyu7Yo9L4hUTqHqIeP_qcVuxCtosJEbg/edit?usp=sharing"",""ปราจีนบุรี!N216"")+IMPORTRANGE(""https://docs.googl"&amp;"e.com/spreadsheets/d/1BIDqLLg5jk3v59G8NlR8rk5xfQDKne0sAvZHSj7TI6I/edit?usp=sharing"",""พระนครศรีอยุธยา!N216"")+IMPORTRANGE(""https://docs.google.com/spreadsheets/d/1YXvxf8Yu6_rV4hTBrwMqAcAnv6DfhUxh5emyM3CJp_w/edit?usp=sharing"",""เพชรบุรี!N216"")+IMPORTRA"&amp;"NGE(""https://docs.google.com/spreadsheets/d/19KBlQQs7uwvsao6t2n-KvW3Ax8J8uRRfZPq1zPbXgKc/edit?usp=sharing"",""ระยอง!N216"")+IMPORTRANGE(""https://docs.google.com/spreadsheets/d/1jQ6P4QcrGM89YfqcC_PxOHGCMq5ezhucwJd8ci-NHng/edit?usp=sharing"",""ราชบุรี!N21"&amp;"6"")+IMPORTRANGE(""https://docs.google.com/spreadsheets/d/1lufeA2cfFqM-elVq2hznhDzC6Pr7wkJ9ZG_sYNGCMCU/edit?usp=sharing"",""ลพบุรี!N216"")+IMPORTRANGE(""https://docs.google.com/spreadsheets/d/10oOiF7loTyfsTkbd4MpaIm0HQ9SwB7IYHdIUvt-U1Uc/edit?usp=sharing"""&amp;",""สระแก้ว!N216"")+IMPORTRANGE(""https://docs.google.com/spreadsheets/d/1xmPlrr1QbdSIKvl1dWUl9K4PjAfSL9oeMr_37QVzcxc/edit?usp=sharing"",""สระบุรี!N216"")+IMPORTRANGE(""https://docs.google.com/spreadsheets/d/1j51vR6CYVGhABJpv6tkstgok82RLpXieLzW1yOY5rHw/edi"&amp;"t?usp=sharing"",""สิงห์บุรี!N216"")+IMPORTRANGE(""https://docs.google.com/spreadsheets/d/1H1EalTWKUSzO4Z1-1CwzoDUaVffgrThEBe2sl74kKG0/edit?usp=sharing"",""สุพรรณบุรี!N216"")+IMPORTRANGE(""https://docs.google.com/spreadsheets/d/1BmIruG_sIrJLYao_Pdr7zVArWsf"&amp;"oBt2692TMi6x_854/edit?usp=sharing"",""อ่างทอง!N216"")"),0)</f>
        <v>0</v>
      </c>
      <c r="O217" s="240"/>
      <c r="P217" s="72"/>
      <c r="Q217" s="86"/>
      <c r="R217" s="87"/>
      <c r="S217" s="87"/>
      <c r="T217" s="229"/>
      <c r="U217" s="87"/>
    </row>
    <row r="218" spans="1:21" ht="18.75" x14ac:dyDescent="0.25">
      <c r="A218" s="377"/>
      <c r="B218" s="381"/>
      <c r="C218" s="381"/>
      <c r="D218" s="75" t="s">
        <v>88</v>
      </c>
      <c r="E218" s="67"/>
      <c r="F218" s="67"/>
      <c r="G218" s="69"/>
      <c r="H218" s="218" t="s">
        <v>14</v>
      </c>
      <c r="I218" s="71"/>
      <c r="J218" s="71"/>
      <c r="K218" s="72"/>
      <c r="L218" s="88">
        <f ca="1">IFERROR(__xludf.DUMMYFUNCTION("IMPORTRANGE(""https://docs.google.com/spreadsheets/d/13wPX838HrBrQMCywv1BsuMkt4PEKTChp52zj44s2izQ/edit?usp=sharing"",""กาญจนบุรี!L217"")+IMPORTRANGE(""https://docs.google.com/spreadsheets/d/1ddFKvqj1W1NEiWytbGlB1zMx_ykJDVtmfEQ-6-lIUBA/edit?usp=sharing"","&amp;"""จันทบุรี!L217"")+IMPORTRANGE(""https://docs.google.com/spreadsheets/d/1T1PQvRODqOBZk8BRht_U031fIS1beLA0Ub2CEytj2q0/edit?usp=sharing"",""ฉะเชิงเทรา!L217"")+IMPORTRANGE(""https://docs.google.com/spreadsheets/d/11tr1B-Bhyr79v2bkwVh5h_fR-PStkgjlZtkrZpYurG0/"&amp;"edit?usp=sharing"",""ชลบุรี!L217"")+IMPORTRANGE(""https://docs.google.com/spreadsheets/d/1hh-FVnSX0vozXhGluamEcS54Dw9_zqW0N7qJUWgJ0Sw/edit?usp=sharing"",""ชัยนาท!L217"")+IMPORTRANGE(""https://docs.google.com/spreadsheets/d/1jkqa6GXxSacMcY1eN8AHjMNJ_7dDXMJ"&amp;"VRLDlaFSOdPM/edit?usp=sharing"",""ตราด!L217"")+IMPORTRANGE(""https://docs.google.com/spreadsheets/d/18hSgUJ3VwClqi_qtULmmW3cLr0oe3OKaSYoKzdpTsYQ/edit?usp=sharing"",""นครนายก!L217"")+IMPORTRANGE(""https://docs.google.com/spreadsheets/d/1YTZo6WM2dQ6Ix6FSdnL"&amp;"5P7uVnVKu40sxZu975tgG10E/edit?usp=sharing"",""นครปฐม!L217"")+IMPORTRANGE(""https://docs.google.com/spreadsheets/d/1OYoGg4WDg5RIzwGeB10padOxJF9E_Vljuvvct_M7RDo/edit?usp=sharing"",""ปทุมธานี!L217"")+IMPORTRANGE(""https://docs.google.com/spreadsheets/d/1GbCI"&amp;"E4D4wk9FUozzqk7SxfDMxDVBwVmI5zcaVUSzKAc/edit?usp=sharing"",""ประจวบคีรีขันธ์!L217"")+IMPORTRANGE(""https://docs.google.com/spreadsheets/d/1vVf6wykvW_lAyu7Yo9L4hUTqHqIeP_qcVuxCtosJEbg/edit?usp=sharing"",""ปราจีนบุรี!L217"")+IMPORTRANGE(""https://docs.googl"&amp;"e.com/spreadsheets/d/1BIDqLLg5jk3v59G8NlR8rk5xfQDKne0sAvZHSj7TI6I/edit?usp=sharing"",""พระนครศรีอยุธยา!L217"")+IMPORTRANGE(""https://docs.google.com/spreadsheets/d/1YXvxf8Yu6_rV4hTBrwMqAcAnv6DfhUxh5emyM3CJp_w/edit?usp=sharing"",""เพชรบุรี!L217"")+IMPORTRA"&amp;"NGE(""https://docs.google.com/spreadsheets/d/19KBlQQs7uwvsao6t2n-KvW3Ax8J8uRRfZPq1zPbXgKc/edit?usp=sharing"",""ระยอง!L217"")+IMPORTRANGE(""https://docs.google.com/spreadsheets/d/1jQ6P4QcrGM89YfqcC_PxOHGCMq5ezhucwJd8ci-NHng/edit?usp=sharing"",""ราชบุรี!L21"&amp;"7"")+IMPORTRANGE(""https://docs.google.com/spreadsheets/d/1lufeA2cfFqM-elVq2hznhDzC6Pr7wkJ9ZG_sYNGCMCU/edit?usp=sharing"",""ลพบุรี!L217"")+IMPORTRANGE(""https://docs.google.com/spreadsheets/d/10oOiF7loTyfsTkbd4MpaIm0HQ9SwB7IYHdIUvt-U1Uc/edit?usp=sharing"""&amp;",""สระแก้ว!L217"")+IMPORTRANGE(""https://docs.google.com/spreadsheets/d/1xmPlrr1QbdSIKvl1dWUl9K4PjAfSL9oeMr_37QVzcxc/edit?usp=sharing"",""สระบุรี!L217"")+IMPORTRANGE(""https://docs.google.com/spreadsheets/d/1j51vR6CYVGhABJpv6tkstgok82RLpXieLzW1yOY5rHw/edi"&amp;"t?usp=sharing"",""สิงห์บุรี!L217"")+IMPORTRANGE(""https://docs.google.com/spreadsheets/d/1H1EalTWKUSzO4Z1-1CwzoDUaVffgrThEBe2sl74kKG0/edit?usp=sharing"",""สุพรรณบุรี!L217"")+IMPORTRANGE(""https://docs.google.com/spreadsheets/d/1BmIruG_sIrJLYao_Pdr7zVArWsf"&amp;"oBt2692TMi6x_854/edit?usp=sharing"",""อ่างทอง!L217"")"),112000)</f>
        <v>112000</v>
      </c>
      <c r="M218" s="72"/>
      <c r="N218" s="88">
        <f ca="1">IFERROR(__xludf.DUMMYFUNCTION("IMPORTRANGE(""https://docs.google.com/spreadsheets/d/13wPX838HrBrQMCywv1BsuMkt4PEKTChp52zj44s2izQ/edit?usp=sharing"",""กาญจนบุรี!N217"")+IMPORTRANGE(""https://docs.google.com/spreadsheets/d/1ddFKvqj1W1NEiWytbGlB1zMx_ykJDVtmfEQ-6-lIUBA/edit?usp=sharing"","&amp;"""จันทบุรี!N217"")+IMPORTRANGE(""https://docs.google.com/spreadsheets/d/1T1PQvRODqOBZk8BRht_U031fIS1beLA0Ub2CEytj2q0/edit?usp=sharing"",""ฉะเชิงเทรา!N217"")+IMPORTRANGE(""https://docs.google.com/spreadsheets/d/11tr1B-Bhyr79v2bkwVh5h_fR-PStkgjlZtkrZpYurG0/"&amp;"edit?usp=sharing"",""ชลบุรี!N217"")+IMPORTRANGE(""https://docs.google.com/spreadsheets/d/1hh-FVnSX0vozXhGluamEcS54Dw9_zqW0N7qJUWgJ0Sw/edit?usp=sharing"",""ชัยนาท!N217"")+IMPORTRANGE(""https://docs.google.com/spreadsheets/d/1jkqa6GXxSacMcY1eN8AHjMNJ_7dDXMJ"&amp;"VRLDlaFSOdPM/edit?usp=sharing"",""ตราด!N217"")+IMPORTRANGE(""https://docs.google.com/spreadsheets/d/18hSgUJ3VwClqi_qtULmmW3cLr0oe3OKaSYoKzdpTsYQ/edit?usp=sharing"",""นครนายก!N217"")+IMPORTRANGE(""https://docs.google.com/spreadsheets/d/1YTZo6WM2dQ6Ix6FSdnL"&amp;"5P7uVnVKu40sxZu975tgG10E/edit?usp=sharing"",""นครปฐม!N217"")+IMPORTRANGE(""https://docs.google.com/spreadsheets/d/1OYoGg4WDg5RIzwGeB10padOxJF9E_Vljuvvct_M7RDo/edit?usp=sharing"",""ปทุมธานี!N217"")+IMPORTRANGE(""https://docs.google.com/spreadsheets/d/1GbCI"&amp;"E4D4wk9FUozzqk7SxfDMxDVBwVmI5zcaVUSzKAc/edit?usp=sharing"",""ประจวบคีรีขันธ์!N217"")+IMPORTRANGE(""https://docs.google.com/spreadsheets/d/1vVf6wykvW_lAyu7Yo9L4hUTqHqIeP_qcVuxCtosJEbg/edit?usp=sharing"",""ปราจีนบุรี!N217"")+IMPORTRANGE(""https://docs.googl"&amp;"e.com/spreadsheets/d/1BIDqLLg5jk3v59G8NlR8rk5xfQDKne0sAvZHSj7TI6I/edit?usp=sharing"",""พระนครศรีอยุธยา!N217"")+IMPORTRANGE(""https://docs.google.com/spreadsheets/d/1YXvxf8Yu6_rV4hTBrwMqAcAnv6DfhUxh5emyM3CJp_w/edit?usp=sharing"",""เพชรบุรี!N217"")+IMPORTRA"&amp;"NGE(""https://docs.google.com/spreadsheets/d/19KBlQQs7uwvsao6t2n-KvW3Ax8J8uRRfZPq1zPbXgKc/edit?usp=sharing"",""ระยอง!N217"")+IMPORTRANGE(""https://docs.google.com/spreadsheets/d/1jQ6P4QcrGM89YfqcC_PxOHGCMq5ezhucwJd8ci-NHng/edit?usp=sharing"",""ราชบุรี!N21"&amp;"7"")+IMPORTRANGE(""https://docs.google.com/spreadsheets/d/1lufeA2cfFqM-elVq2hznhDzC6Pr7wkJ9ZG_sYNGCMCU/edit?usp=sharing"",""ลพบุรี!N217"")+IMPORTRANGE(""https://docs.google.com/spreadsheets/d/10oOiF7loTyfsTkbd4MpaIm0HQ9SwB7IYHdIUvt-U1Uc/edit?usp=sharing"""&amp;",""สระแก้ว!N217"")+IMPORTRANGE(""https://docs.google.com/spreadsheets/d/1xmPlrr1QbdSIKvl1dWUl9K4PjAfSL9oeMr_37QVzcxc/edit?usp=sharing"",""สระบุรี!N217"")+IMPORTRANGE(""https://docs.google.com/spreadsheets/d/1j51vR6CYVGhABJpv6tkstgok82RLpXieLzW1yOY5rHw/edi"&amp;"t?usp=sharing"",""สิงห์บุรี!N217"")+IMPORTRANGE(""https://docs.google.com/spreadsheets/d/1H1EalTWKUSzO4Z1-1CwzoDUaVffgrThEBe2sl74kKG0/edit?usp=sharing"",""สุพรรณบุรี!N217"")+IMPORTRANGE(""https://docs.google.com/spreadsheets/d/1BmIruG_sIrJLYao_Pdr7zVArWsf"&amp;"oBt2692TMi6x_854/edit?usp=sharing"",""อ่างทอง!N217"")"),306200)</f>
        <v>306200</v>
      </c>
      <c r="O218" s="240"/>
      <c r="P218" s="72"/>
      <c r="Q218" s="86"/>
      <c r="R218" s="87"/>
      <c r="S218" s="87"/>
      <c r="T218" s="229"/>
      <c r="U218" s="87"/>
    </row>
    <row r="219" spans="1:21" ht="19.5" x14ac:dyDescent="0.3">
      <c r="A219" s="222"/>
      <c r="B219" s="223"/>
      <c r="C219" s="402" t="s">
        <v>18</v>
      </c>
      <c r="D219" s="224" t="s">
        <v>38</v>
      </c>
      <c r="E219" s="225"/>
      <c r="F219" s="225"/>
      <c r="G219" s="226"/>
      <c r="H219" s="227"/>
      <c r="I219" s="219"/>
      <c r="J219" s="71"/>
      <c r="K219" s="72"/>
      <c r="L219" s="72"/>
      <c r="M219" s="72"/>
      <c r="N219" s="72"/>
      <c r="O219" s="220"/>
      <c r="P219" s="220"/>
      <c r="Q219" s="86"/>
      <c r="R219" s="87"/>
      <c r="S219" s="87"/>
      <c r="T219" s="229"/>
      <c r="U219" s="229"/>
    </row>
    <row r="220" spans="1:21" ht="18.75" x14ac:dyDescent="0.25">
      <c r="A220" s="222"/>
      <c r="B220" s="223"/>
      <c r="C220" s="223"/>
      <c r="D220" s="230" t="s">
        <v>96</v>
      </c>
      <c r="E220" s="231"/>
      <c r="F220" s="231"/>
      <c r="G220" s="227"/>
      <c r="H220" s="400" t="s">
        <v>85</v>
      </c>
      <c r="I220" s="321">
        <f ca="1">IFERROR(__xludf.DUMMYFUNCTION("IMPORTRANGE(""https://docs.google.com/spreadsheets/d/13wPX838HrBrQMCywv1BsuMkt4PEKTChp52zj44s2izQ/edit?usp=sharing"",""กาญจนบุรี!I219"")+IMPORTRANGE(""https://docs.google.com/spreadsheets/d/1ddFKvqj1W1NEiWytbGlB1zMx_ykJDVtmfEQ-6-lIUBA/edit?usp=sharing"","&amp;"""จันทบุรี!I219"")+IMPORTRANGE(""https://docs.google.com/spreadsheets/d/1T1PQvRODqOBZk8BRht_U031fIS1beLA0Ub2CEytj2q0/edit?usp=sharing"",""ฉะเชิงเทรา!I219"")+IMPORTRANGE(""https://docs.google.com/spreadsheets/d/11tr1B-Bhyr79v2bkwVh5h_fR-PStkgjlZtkrZpYurG0/"&amp;"edit?usp=sharing"",""ชลบุรี!I219"")+IMPORTRANGE(""https://docs.google.com/spreadsheets/d/1hh-FVnSX0vozXhGluamEcS54Dw9_zqW0N7qJUWgJ0Sw/edit?usp=sharing"",""ชัยนาท!I219"")+IMPORTRANGE(""https://docs.google.com/spreadsheets/d/1jkqa6GXxSacMcY1eN8AHjMNJ_7dDXMJ"&amp;"VRLDlaFSOdPM/edit?usp=sharing"",""ตราด!I219"")+IMPORTRANGE(""https://docs.google.com/spreadsheets/d/18hSgUJ3VwClqi_qtULmmW3cLr0oe3OKaSYoKzdpTsYQ/edit?usp=sharing"",""นครนายก!I219"")+IMPORTRANGE(""https://docs.google.com/spreadsheets/d/1YTZo6WM2dQ6Ix6FSdnL"&amp;"5P7uVnVKu40sxZu975tgG10E/edit?usp=sharing"",""นครปฐม!I219"")+IMPORTRANGE(""https://docs.google.com/spreadsheets/d/1OYoGg4WDg5RIzwGeB10padOxJF9E_Vljuvvct_M7RDo/edit?usp=sharing"",""ปทุมธานี!I219"")+IMPORTRANGE(""https://docs.google.com/spreadsheets/d/1GbCI"&amp;"E4D4wk9FUozzqk7SxfDMxDVBwVmI5zcaVUSzKAc/edit?usp=sharing"",""ประจวบคีรีขันธ์!I219"")+IMPORTRANGE(""https://docs.google.com/spreadsheets/d/1vVf6wykvW_lAyu7Yo9L4hUTqHqIeP_qcVuxCtosJEbg/edit?usp=sharing"",""ปราจีนบุรี!I219"")+IMPORTRANGE(""https://docs.googl"&amp;"e.com/spreadsheets/d/1BIDqLLg5jk3v59G8NlR8rk5xfQDKne0sAvZHSj7TI6I/edit?usp=sharing"",""พระนครศรีอยุธยา!I219"")+IMPORTRANGE(""https://docs.google.com/spreadsheets/d/1YXvxf8Yu6_rV4hTBrwMqAcAnv6DfhUxh5emyM3CJp_w/edit?usp=sharing"",""เพชรบุรี!I219"")+IMPORTRA"&amp;"NGE(""https://docs.google.com/spreadsheets/d/19KBlQQs7uwvsao6t2n-KvW3Ax8J8uRRfZPq1zPbXgKc/edit?usp=sharing"",""ระยอง!I219"")+IMPORTRANGE(""https://docs.google.com/spreadsheets/d/1jQ6P4QcrGM89YfqcC_PxOHGCMq5ezhucwJd8ci-NHng/edit?usp=sharing"",""ราชบุรี!I21"&amp;"9"")+IMPORTRANGE(""https://docs.google.com/spreadsheets/d/1lufeA2cfFqM-elVq2hznhDzC6Pr7wkJ9ZG_sYNGCMCU/edit?usp=sharing"",""ลพบุรี!I219"")+IMPORTRANGE(""https://docs.google.com/spreadsheets/d/10oOiF7loTyfsTkbd4MpaIm0HQ9SwB7IYHdIUvt-U1Uc/edit?usp=sharing"""&amp;",""สระแก้ว!I219"")+IMPORTRANGE(""https://docs.google.com/spreadsheets/d/1xmPlrr1QbdSIKvl1dWUl9K4PjAfSL9oeMr_37QVzcxc/edit?usp=sharing"",""สระบุรี!I219"")+IMPORTRANGE(""https://docs.google.com/spreadsheets/d/1j51vR6CYVGhABJpv6tkstgok82RLpXieLzW1yOY5rHw/edi"&amp;"t?usp=sharing"",""สิงห์บุรี!I219"")+IMPORTRANGE(""https://docs.google.com/spreadsheets/d/1H1EalTWKUSzO4Z1-1CwzoDUaVffgrThEBe2sl74kKG0/edit?usp=sharing"",""สุพรรณบุรี!I219"")+IMPORTRANGE(""https://docs.google.com/spreadsheets/d/1BmIruG_sIrJLYao_Pdr7zVArWsf"&amp;"oBt2692TMi6x_854/edit?usp=sharing"",""อ่างทอง!I219"")"),14)</f>
        <v>14</v>
      </c>
      <c r="J220" s="239">
        <f ca="1">IFERROR(__xludf.DUMMYFUNCTION("IMPORTRANGE(""https://docs.google.com/spreadsheets/d/13wPX838HrBrQMCywv1BsuMkt4PEKTChp52zj44s2izQ/edit?usp=sharing"",""กาญจนบุรี!J219"")+IMPORTRANGE(""https://docs.google.com/spreadsheets/d/1ddFKvqj1W1NEiWytbGlB1zMx_ykJDVtmfEQ-6-lIUBA/edit?usp=sharing"","&amp;"""จันทบุรี!J219"")+IMPORTRANGE(""https://docs.google.com/spreadsheets/d/1T1PQvRODqOBZk8BRht_U031fIS1beLA0Ub2CEytj2q0/edit?usp=sharing"",""ฉะเชิงเทรา!J219"")+IMPORTRANGE(""https://docs.google.com/spreadsheets/d/11tr1B-Bhyr79v2bkwVh5h_fR-PStkgjlZtkrZpYurG0/"&amp;"edit?usp=sharing"",""ชลบุรี!J219"")+IMPORTRANGE(""https://docs.google.com/spreadsheets/d/1hh-FVnSX0vozXhGluamEcS54Dw9_zqW0N7qJUWgJ0Sw/edit?usp=sharing"",""ชัยนาท!J219"")+IMPORTRANGE(""https://docs.google.com/spreadsheets/d/1jkqa6GXxSacMcY1eN8AHjMNJ_7dDXMJ"&amp;"VRLDlaFSOdPM/edit?usp=sharing"",""ตราด!J219"")+IMPORTRANGE(""https://docs.google.com/spreadsheets/d/18hSgUJ3VwClqi_qtULmmW3cLr0oe3OKaSYoKzdpTsYQ/edit?usp=sharing"",""นครนายก!J219"")+IMPORTRANGE(""https://docs.google.com/spreadsheets/d/1YTZo6WM2dQ6Ix6FSdnL"&amp;"5P7uVnVKu40sxZu975tgG10E/edit?usp=sharing"",""นครปฐม!J219"")+IMPORTRANGE(""https://docs.google.com/spreadsheets/d/1OYoGg4WDg5RIzwGeB10padOxJF9E_Vljuvvct_M7RDo/edit?usp=sharing"",""ปทุมธานี!J219"")+IMPORTRANGE(""https://docs.google.com/spreadsheets/d/1GbCI"&amp;"E4D4wk9FUozzqk7SxfDMxDVBwVmI5zcaVUSzKAc/edit?usp=sharing"",""ประจวบคีรีขันธ์!J219"")+IMPORTRANGE(""https://docs.google.com/spreadsheets/d/1vVf6wykvW_lAyu7Yo9L4hUTqHqIeP_qcVuxCtosJEbg/edit?usp=sharing"",""ปราจีนบุรี!J219"")+IMPORTRANGE(""https://docs.googl"&amp;"e.com/spreadsheets/d/1BIDqLLg5jk3v59G8NlR8rk5xfQDKne0sAvZHSj7TI6I/edit?usp=sharing"",""พระนครศรีอยุธยา!J219"")+IMPORTRANGE(""https://docs.google.com/spreadsheets/d/1YXvxf8Yu6_rV4hTBrwMqAcAnv6DfhUxh5emyM3CJp_w/edit?usp=sharing"",""เพชรบุรี!J219"")+IMPORTRA"&amp;"NGE(""https://docs.google.com/spreadsheets/d/19KBlQQs7uwvsao6t2n-KvW3Ax8J8uRRfZPq1zPbXgKc/edit?usp=sharing"",""ระยอง!J219"")+IMPORTRANGE(""https://docs.google.com/spreadsheets/d/1jQ6P4QcrGM89YfqcC_PxOHGCMq5ezhucwJd8ci-NHng/edit?usp=sharing"",""ราชบุรี!J21"&amp;"9"")+IMPORTRANGE(""https://docs.google.com/spreadsheets/d/1lufeA2cfFqM-elVq2hznhDzC6Pr7wkJ9ZG_sYNGCMCU/edit?usp=sharing"",""ลพบุรี!J219"")+IMPORTRANGE(""https://docs.google.com/spreadsheets/d/10oOiF7loTyfsTkbd4MpaIm0HQ9SwB7IYHdIUvt-U1Uc/edit?usp=sharing"""&amp;",""สระแก้ว!J219"")+IMPORTRANGE(""https://docs.google.com/spreadsheets/d/1xmPlrr1QbdSIKvl1dWUl9K4PjAfSL9oeMr_37QVzcxc/edit?usp=sharing"",""สระบุรี!J219"")+IMPORTRANGE(""https://docs.google.com/spreadsheets/d/1j51vR6CYVGhABJpv6tkstgok82RLpXieLzW1yOY5rHw/edi"&amp;"t?usp=sharing"",""สิงห์บุรี!J219"")+IMPORTRANGE(""https://docs.google.com/spreadsheets/d/1H1EalTWKUSzO4Z1-1CwzoDUaVffgrThEBe2sl74kKG0/edit?usp=sharing"",""สุพรรณบุรี!J219"")+IMPORTRANGE(""https://docs.google.com/spreadsheets/d/1BmIruG_sIrJLYao_Pdr7zVArWsf"&amp;"oBt2692TMi6x_854/edit?usp=sharing"",""อ่างทอง!J219"")"),0)</f>
        <v>0</v>
      </c>
      <c r="K220" s="88">
        <f t="shared" ref="K220:K222" ca="1" si="175">IF(I220&gt;0,J220*100/I220,0)</f>
        <v>0</v>
      </c>
      <c r="L220" s="72"/>
      <c r="M220" s="72"/>
      <c r="N220" s="72"/>
      <c r="O220" s="72"/>
      <c r="P220" s="72"/>
      <c r="Q220" s="86"/>
      <c r="R220" s="87"/>
      <c r="S220" s="87"/>
      <c r="T220" s="87"/>
      <c r="U220" s="87"/>
    </row>
    <row r="221" spans="1:21" ht="18.75" x14ac:dyDescent="0.25">
      <c r="A221" s="222"/>
      <c r="B221" s="223"/>
      <c r="C221" s="223"/>
      <c r="D221" s="230" t="s">
        <v>97</v>
      </c>
      <c r="E221" s="231"/>
      <c r="F221" s="231"/>
      <c r="G221" s="227"/>
      <c r="H221" s="400" t="s">
        <v>85</v>
      </c>
      <c r="I221" s="321">
        <f ca="1">IFERROR(__xludf.DUMMYFUNCTION("IMPORTRANGE(""https://docs.google.com/spreadsheets/d/13wPX838HrBrQMCywv1BsuMkt4PEKTChp52zj44s2izQ/edit?usp=sharing"",""กาญจนบุรี!I220"")+IMPORTRANGE(""https://docs.google.com/spreadsheets/d/1ddFKvqj1W1NEiWytbGlB1zMx_ykJDVtmfEQ-6-lIUBA/edit?usp=sharing"","&amp;"""จันทบุรี!I220"")+IMPORTRANGE(""https://docs.google.com/spreadsheets/d/1T1PQvRODqOBZk8BRht_U031fIS1beLA0Ub2CEytj2q0/edit?usp=sharing"",""ฉะเชิงเทรา!I220"")+IMPORTRANGE(""https://docs.google.com/spreadsheets/d/11tr1B-Bhyr79v2bkwVh5h_fR-PStkgjlZtkrZpYurG0/"&amp;"edit?usp=sharing"",""ชลบุรี!I220"")+IMPORTRANGE(""https://docs.google.com/spreadsheets/d/1hh-FVnSX0vozXhGluamEcS54Dw9_zqW0N7qJUWgJ0Sw/edit?usp=sharing"",""ชัยนาท!I220"")+IMPORTRANGE(""https://docs.google.com/spreadsheets/d/1jkqa6GXxSacMcY1eN8AHjMNJ_7dDXMJ"&amp;"VRLDlaFSOdPM/edit?usp=sharing"",""ตราด!I220"")+IMPORTRANGE(""https://docs.google.com/spreadsheets/d/18hSgUJ3VwClqi_qtULmmW3cLr0oe3OKaSYoKzdpTsYQ/edit?usp=sharing"",""นครนายก!I220"")+IMPORTRANGE(""https://docs.google.com/spreadsheets/d/1YTZo6WM2dQ6Ix6FSdnL"&amp;"5P7uVnVKu40sxZu975tgG10E/edit?usp=sharing"",""นครปฐม!I220"")+IMPORTRANGE(""https://docs.google.com/spreadsheets/d/1OYoGg4WDg5RIzwGeB10padOxJF9E_Vljuvvct_M7RDo/edit?usp=sharing"",""ปทุมธานี!I220"")+IMPORTRANGE(""https://docs.google.com/spreadsheets/d/1GbCI"&amp;"E4D4wk9FUozzqk7SxfDMxDVBwVmI5zcaVUSzKAc/edit?usp=sharing"",""ประจวบคีรีขันธ์!I220"")+IMPORTRANGE(""https://docs.google.com/spreadsheets/d/1vVf6wykvW_lAyu7Yo9L4hUTqHqIeP_qcVuxCtosJEbg/edit?usp=sharing"",""ปราจีนบุรี!I220"")+IMPORTRANGE(""https://docs.googl"&amp;"e.com/spreadsheets/d/1BIDqLLg5jk3v59G8NlR8rk5xfQDKne0sAvZHSj7TI6I/edit?usp=sharing"",""พระนครศรีอยุธยา!I220"")+IMPORTRANGE(""https://docs.google.com/spreadsheets/d/1YXvxf8Yu6_rV4hTBrwMqAcAnv6DfhUxh5emyM3CJp_w/edit?usp=sharing"",""เพชรบุรี!I220"")+IMPORTRA"&amp;"NGE(""https://docs.google.com/spreadsheets/d/19KBlQQs7uwvsao6t2n-KvW3Ax8J8uRRfZPq1zPbXgKc/edit?usp=sharing"",""ระยอง!I220"")+IMPORTRANGE(""https://docs.google.com/spreadsheets/d/1jQ6P4QcrGM89YfqcC_PxOHGCMq5ezhucwJd8ci-NHng/edit?usp=sharing"",""ราชบุรี!I22"&amp;"0"")+IMPORTRANGE(""https://docs.google.com/spreadsheets/d/1lufeA2cfFqM-elVq2hznhDzC6Pr7wkJ9ZG_sYNGCMCU/edit?usp=sharing"",""ลพบุรี!I220"")+IMPORTRANGE(""https://docs.google.com/spreadsheets/d/10oOiF7loTyfsTkbd4MpaIm0HQ9SwB7IYHdIUvt-U1Uc/edit?usp=sharing"""&amp;",""สระแก้ว!I220"")+IMPORTRANGE(""https://docs.google.com/spreadsheets/d/1xmPlrr1QbdSIKvl1dWUl9K4PjAfSL9oeMr_37QVzcxc/edit?usp=sharing"",""สระบุรี!I220"")+IMPORTRANGE(""https://docs.google.com/spreadsheets/d/1j51vR6CYVGhABJpv6tkstgok82RLpXieLzW1yOY5rHw/edi"&amp;"t?usp=sharing"",""สิงห์บุรี!I220"")+IMPORTRANGE(""https://docs.google.com/spreadsheets/d/1H1EalTWKUSzO4Z1-1CwzoDUaVffgrThEBe2sl74kKG0/edit?usp=sharing"",""สุพรรณบุรี!I220"")+IMPORTRANGE(""https://docs.google.com/spreadsheets/d/1BmIruG_sIrJLYao_Pdr7zVArWsf"&amp;"oBt2692TMi6x_854/edit?usp=sharing"",""อ่างทอง!I220"")"),14)</f>
        <v>14</v>
      </c>
      <c r="J221" s="239">
        <f ca="1">IFERROR(__xludf.DUMMYFUNCTION("IMPORTRANGE(""https://docs.google.com/spreadsheets/d/13wPX838HrBrQMCywv1BsuMkt4PEKTChp52zj44s2izQ/edit?usp=sharing"",""กาญจนบุรี!J220"")+IMPORTRANGE(""https://docs.google.com/spreadsheets/d/1ddFKvqj1W1NEiWytbGlB1zMx_ykJDVtmfEQ-6-lIUBA/edit?usp=sharing"","&amp;"""จันทบุรี!J220"")+IMPORTRANGE(""https://docs.google.com/spreadsheets/d/1T1PQvRODqOBZk8BRht_U031fIS1beLA0Ub2CEytj2q0/edit?usp=sharing"",""ฉะเชิงเทรา!J220"")+IMPORTRANGE(""https://docs.google.com/spreadsheets/d/11tr1B-Bhyr79v2bkwVh5h_fR-PStkgjlZtkrZpYurG0/"&amp;"edit?usp=sharing"",""ชลบุรี!J220"")+IMPORTRANGE(""https://docs.google.com/spreadsheets/d/1hh-FVnSX0vozXhGluamEcS54Dw9_zqW0N7qJUWgJ0Sw/edit?usp=sharing"",""ชัยนาท!J220"")+IMPORTRANGE(""https://docs.google.com/spreadsheets/d/1jkqa6GXxSacMcY1eN8AHjMNJ_7dDXMJ"&amp;"VRLDlaFSOdPM/edit?usp=sharing"",""ตราด!J220"")+IMPORTRANGE(""https://docs.google.com/spreadsheets/d/18hSgUJ3VwClqi_qtULmmW3cLr0oe3OKaSYoKzdpTsYQ/edit?usp=sharing"",""นครนายก!J220"")+IMPORTRANGE(""https://docs.google.com/spreadsheets/d/1YTZo6WM2dQ6Ix6FSdnL"&amp;"5P7uVnVKu40sxZu975tgG10E/edit?usp=sharing"",""นครปฐม!J220"")+IMPORTRANGE(""https://docs.google.com/spreadsheets/d/1OYoGg4WDg5RIzwGeB10padOxJF9E_Vljuvvct_M7RDo/edit?usp=sharing"",""ปทุมธานี!J220"")+IMPORTRANGE(""https://docs.google.com/spreadsheets/d/1GbCI"&amp;"E4D4wk9FUozzqk7SxfDMxDVBwVmI5zcaVUSzKAc/edit?usp=sharing"",""ประจวบคีรีขันธ์!J220"")+IMPORTRANGE(""https://docs.google.com/spreadsheets/d/1vVf6wykvW_lAyu7Yo9L4hUTqHqIeP_qcVuxCtosJEbg/edit?usp=sharing"",""ปราจีนบุรี!J220"")+IMPORTRANGE(""https://docs.googl"&amp;"e.com/spreadsheets/d/1BIDqLLg5jk3v59G8NlR8rk5xfQDKne0sAvZHSj7TI6I/edit?usp=sharing"",""พระนครศรีอยุธยา!J220"")+IMPORTRANGE(""https://docs.google.com/spreadsheets/d/1YXvxf8Yu6_rV4hTBrwMqAcAnv6DfhUxh5emyM3CJp_w/edit?usp=sharing"",""เพชรบุรี!J220"")+IMPORTRA"&amp;"NGE(""https://docs.google.com/spreadsheets/d/19KBlQQs7uwvsao6t2n-KvW3Ax8J8uRRfZPq1zPbXgKc/edit?usp=sharing"",""ระยอง!J220"")+IMPORTRANGE(""https://docs.google.com/spreadsheets/d/1jQ6P4QcrGM89YfqcC_PxOHGCMq5ezhucwJd8ci-NHng/edit?usp=sharing"",""ราชบุรี!J22"&amp;"0"")+IMPORTRANGE(""https://docs.google.com/spreadsheets/d/1lufeA2cfFqM-elVq2hznhDzC6Pr7wkJ9ZG_sYNGCMCU/edit?usp=sharing"",""ลพบุรี!J220"")+IMPORTRANGE(""https://docs.google.com/spreadsheets/d/10oOiF7loTyfsTkbd4MpaIm0HQ9SwB7IYHdIUvt-U1Uc/edit?usp=sharing"""&amp;",""สระแก้ว!J220"")+IMPORTRANGE(""https://docs.google.com/spreadsheets/d/1xmPlrr1QbdSIKvl1dWUl9K4PjAfSL9oeMr_37QVzcxc/edit?usp=sharing"",""สระบุรี!J220"")+IMPORTRANGE(""https://docs.google.com/spreadsheets/d/1j51vR6CYVGhABJpv6tkstgok82RLpXieLzW1yOY5rHw/edi"&amp;"t?usp=sharing"",""สิงห์บุรี!J220"")+IMPORTRANGE(""https://docs.google.com/spreadsheets/d/1H1EalTWKUSzO4Z1-1CwzoDUaVffgrThEBe2sl74kKG0/edit?usp=sharing"",""สุพรรณบุรี!J220"")+IMPORTRANGE(""https://docs.google.com/spreadsheets/d/1BmIruG_sIrJLYao_Pdr7zVArWsf"&amp;"oBt2692TMi6x_854/edit?usp=sharing"",""อ่างทอง!J220"")"),3)</f>
        <v>3</v>
      </c>
      <c r="K221" s="88">
        <f t="shared" ca="1" si="175"/>
        <v>21.428571428571427</v>
      </c>
      <c r="L221" s="72"/>
      <c r="M221" s="72"/>
      <c r="N221" s="72"/>
      <c r="O221" s="72"/>
      <c r="P221" s="72"/>
      <c r="Q221" s="86"/>
      <c r="R221" s="87"/>
      <c r="S221" s="87"/>
      <c r="T221" s="87"/>
      <c r="U221" s="87"/>
    </row>
    <row r="222" spans="1:21" ht="19.5" x14ac:dyDescent="0.3">
      <c r="A222" s="382"/>
      <c r="B222" s="383"/>
      <c r="C222" s="384" t="s">
        <v>98</v>
      </c>
      <c r="D222" s="385"/>
      <c r="E222" s="385"/>
      <c r="F222" s="385"/>
      <c r="G222" s="386"/>
      <c r="H222" s="387" t="s">
        <v>99</v>
      </c>
      <c r="I222" s="388">
        <f t="shared" ref="I222:J222" ca="1" si="176">I230</f>
        <v>482200</v>
      </c>
      <c r="J222" s="388">
        <f t="shared" ca="1" si="176"/>
        <v>0</v>
      </c>
      <c r="K222" s="389">
        <f t="shared" ca="1" si="175"/>
        <v>0</v>
      </c>
      <c r="L222" s="390"/>
      <c r="M222" s="390"/>
      <c r="N222" s="390"/>
      <c r="O222" s="390"/>
      <c r="P222" s="390"/>
      <c r="Q222" s="391"/>
      <c r="R222" s="392"/>
      <c r="S222" s="392"/>
      <c r="T222" s="392"/>
      <c r="U222" s="392"/>
    </row>
    <row r="223" spans="1:21" ht="19.5" x14ac:dyDescent="0.3">
      <c r="A223" s="209"/>
      <c r="B223" s="67"/>
      <c r="C223" s="210" t="s">
        <v>18</v>
      </c>
      <c r="D223" s="393" t="s">
        <v>19</v>
      </c>
      <c r="E223" s="67"/>
      <c r="F223" s="67"/>
      <c r="G223" s="69"/>
      <c r="H223" s="394" t="s">
        <v>14</v>
      </c>
      <c r="I223" s="219"/>
      <c r="J223" s="219"/>
      <c r="K223" s="220"/>
      <c r="L223" s="213">
        <f ca="1">L224+L225+L226</f>
        <v>112500</v>
      </c>
      <c r="M223" s="72"/>
      <c r="N223" s="213">
        <f ca="1">N224+N225+N226</f>
        <v>800</v>
      </c>
      <c r="O223" s="213">
        <f ca="1">IF(L223&gt;0,N223*100/L223,0)</f>
        <v>0.71111111111111114</v>
      </c>
      <c r="P223" s="213"/>
      <c r="Q223" s="86"/>
      <c r="R223" s="87"/>
      <c r="S223" s="87"/>
      <c r="T223" s="87"/>
      <c r="U223" s="87"/>
    </row>
    <row r="224" spans="1:21" ht="18.75" x14ac:dyDescent="0.25">
      <c r="A224" s="209"/>
      <c r="B224" s="381"/>
      <c r="C224" s="67"/>
      <c r="D224" s="75" t="s">
        <v>86</v>
      </c>
      <c r="E224" s="67"/>
      <c r="F224" s="67"/>
      <c r="G224" s="69"/>
      <c r="H224" s="218" t="s">
        <v>14</v>
      </c>
      <c r="I224" s="219"/>
      <c r="J224" s="219"/>
      <c r="K224" s="220"/>
      <c r="L224" s="88">
        <f ca="1">IFERROR(__xludf.DUMMYFUNCTION("IMPORTRANGE(""https://docs.google.com/spreadsheets/d/13wPX838HrBrQMCywv1BsuMkt4PEKTChp52zj44s2izQ/edit?usp=sharing"",""กาญจนบุรี!L223"")+IMPORTRANGE(""https://docs.google.com/spreadsheets/d/1ddFKvqj1W1NEiWytbGlB1zMx_ykJDVtmfEQ-6-lIUBA/edit?usp=sharing"","&amp;"""จันทบุรี!L223"")+IMPORTRANGE(""https://docs.google.com/spreadsheets/d/1T1PQvRODqOBZk8BRht_U031fIS1beLA0Ub2CEytj2q0/edit?usp=sharing"",""ฉะเชิงเทรา!L223"")+IMPORTRANGE(""https://docs.google.com/spreadsheets/d/11tr1B-Bhyr79v2bkwVh5h_fR-PStkgjlZtkrZpYurG0/"&amp;"edit?usp=sharing"",""ชลบุรี!L223"")+IMPORTRANGE(""https://docs.google.com/spreadsheets/d/1hh-FVnSX0vozXhGluamEcS54Dw9_zqW0N7qJUWgJ0Sw/edit?usp=sharing"",""ชัยนาท!L223"")+IMPORTRANGE(""https://docs.google.com/spreadsheets/d/1jkqa6GXxSacMcY1eN8AHjMNJ_7dDXMJ"&amp;"VRLDlaFSOdPM/edit?usp=sharing"",""ตราด!L223"")+IMPORTRANGE(""https://docs.google.com/spreadsheets/d/18hSgUJ3VwClqi_qtULmmW3cLr0oe3OKaSYoKzdpTsYQ/edit?usp=sharing"",""นครนายก!L223"")+IMPORTRANGE(""https://docs.google.com/spreadsheets/d/1YTZo6WM2dQ6Ix6FSdnL"&amp;"5P7uVnVKu40sxZu975tgG10E/edit?usp=sharing"",""นครปฐม!L223"")+IMPORTRANGE(""https://docs.google.com/spreadsheets/d/1OYoGg4WDg5RIzwGeB10padOxJF9E_Vljuvvct_M7RDo/edit?usp=sharing"",""ปทุมธานี!L223"")+IMPORTRANGE(""https://docs.google.com/spreadsheets/d/1GbCI"&amp;"E4D4wk9FUozzqk7SxfDMxDVBwVmI5zcaVUSzKAc/edit?usp=sharing"",""ประจวบคีรีขันธ์!L223"")+IMPORTRANGE(""https://docs.google.com/spreadsheets/d/1vVf6wykvW_lAyu7Yo9L4hUTqHqIeP_qcVuxCtosJEbg/edit?usp=sharing"",""ปราจีนบุรี!L223"")+IMPORTRANGE(""https://docs.googl"&amp;"e.com/spreadsheets/d/1BIDqLLg5jk3v59G8NlR8rk5xfQDKne0sAvZHSj7TI6I/edit?usp=sharing"",""พระนครศรีอยุธยา!L223"")+IMPORTRANGE(""https://docs.google.com/spreadsheets/d/1YXvxf8Yu6_rV4hTBrwMqAcAnv6DfhUxh5emyM3CJp_w/edit?usp=sharing"",""เพชรบุรี!L223"")+IMPORTRA"&amp;"NGE(""https://docs.google.com/spreadsheets/d/19KBlQQs7uwvsao6t2n-KvW3Ax8J8uRRfZPq1zPbXgKc/edit?usp=sharing"",""ระยอง!L223"")+IMPORTRANGE(""https://docs.google.com/spreadsheets/d/1jQ6P4QcrGM89YfqcC_PxOHGCMq5ezhucwJd8ci-NHng/edit?usp=sharing"",""ราชบุรี!L22"&amp;"3"")+IMPORTRANGE(""https://docs.google.com/spreadsheets/d/1lufeA2cfFqM-elVq2hznhDzC6Pr7wkJ9ZG_sYNGCMCU/edit?usp=sharing"",""ลพบุรี!L223"")+IMPORTRANGE(""https://docs.google.com/spreadsheets/d/10oOiF7loTyfsTkbd4MpaIm0HQ9SwB7IYHdIUvt-U1Uc/edit?usp=sharing"""&amp;",""สระแก้ว!L223"")+IMPORTRANGE(""https://docs.google.com/spreadsheets/d/1xmPlrr1QbdSIKvl1dWUl9K4PjAfSL9oeMr_37QVzcxc/edit?usp=sharing"",""สระบุรี!L223"")+IMPORTRANGE(""https://docs.google.com/spreadsheets/d/1j51vR6CYVGhABJpv6tkstgok82RLpXieLzW1yOY5rHw/edi"&amp;"t?usp=sharing"",""สิงห์บุรี!L223"")+IMPORTRANGE(""https://docs.google.com/spreadsheets/d/1H1EalTWKUSzO4Z1-1CwzoDUaVffgrThEBe2sl74kKG0/edit?usp=sharing"",""สุพรรณบุรี!L223"")+IMPORTRANGE(""https://docs.google.com/spreadsheets/d/1BmIruG_sIrJLYao_Pdr7zVArWsf"&amp;"oBt2692TMi6x_854/edit?usp=sharing"",""อ่างทอง!L223"")"),81000)</f>
        <v>81000</v>
      </c>
      <c r="M224" s="72"/>
      <c r="N224" s="88">
        <f ca="1">IFERROR(__xludf.DUMMYFUNCTION("IMPORTRANGE(""https://docs.google.com/spreadsheets/d/13wPX838HrBrQMCywv1BsuMkt4PEKTChp52zj44s2izQ/edit?usp=sharing"",""กาญจนบุรี!N223"")+IMPORTRANGE(""https://docs.google.com/spreadsheets/d/1ddFKvqj1W1NEiWytbGlB1zMx_ykJDVtmfEQ-6-lIUBA/edit?usp=sharing"","&amp;"""จันทบุรี!N223"")+IMPORTRANGE(""https://docs.google.com/spreadsheets/d/1T1PQvRODqOBZk8BRht_U031fIS1beLA0Ub2CEytj2q0/edit?usp=sharing"",""ฉะเชิงเทรา!N223"")+IMPORTRANGE(""https://docs.google.com/spreadsheets/d/11tr1B-Bhyr79v2bkwVh5h_fR-PStkgjlZtkrZpYurG0/"&amp;"edit?usp=sharing"",""ชลบุรี!N223"")+IMPORTRANGE(""https://docs.google.com/spreadsheets/d/1hh-FVnSX0vozXhGluamEcS54Dw9_zqW0N7qJUWgJ0Sw/edit?usp=sharing"",""ชัยนาท!N223"")+IMPORTRANGE(""https://docs.google.com/spreadsheets/d/1jkqa6GXxSacMcY1eN8AHjMNJ_7dDXMJ"&amp;"VRLDlaFSOdPM/edit?usp=sharing"",""ตราด!N223"")+IMPORTRANGE(""https://docs.google.com/spreadsheets/d/18hSgUJ3VwClqi_qtULmmW3cLr0oe3OKaSYoKzdpTsYQ/edit?usp=sharing"",""นครนายก!N223"")+IMPORTRANGE(""https://docs.google.com/spreadsheets/d/1YTZo6WM2dQ6Ix6FSdnL"&amp;"5P7uVnVKu40sxZu975tgG10E/edit?usp=sharing"",""นครปฐม!N223"")+IMPORTRANGE(""https://docs.google.com/spreadsheets/d/1OYoGg4WDg5RIzwGeB10padOxJF9E_Vljuvvct_M7RDo/edit?usp=sharing"",""ปทุมธานี!N223"")+IMPORTRANGE(""https://docs.google.com/spreadsheets/d/1GbCI"&amp;"E4D4wk9FUozzqk7SxfDMxDVBwVmI5zcaVUSzKAc/edit?usp=sharing"",""ประจวบคีรีขันธ์!N223"")+IMPORTRANGE(""https://docs.google.com/spreadsheets/d/1vVf6wykvW_lAyu7Yo9L4hUTqHqIeP_qcVuxCtosJEbg/edit?usp=sharing"",""ปราจีนบุรี!N223"")+IMPORTRANGE(""https://docs.googl"&amp;"e.com/spreadsheets/d/1BIDqLLg5jk3v59G8NlR8rk5xfQDKne0sAvZHSj7TI6I/edit?usp=sharing"",""พระนครศรีอยุธยา!N223"")+IMPORTRANGE(""https://docs.google.com/spreadsheets/d/1YXvxf8Yu6_rV4hTBrwMqAcAnv6DfhUxh5emyM3CJp_w/edit?usp=sharing"",""เพชรบุรี!N223"")+IMPORTRA"&amp;"NGE(""https://docs.google.com/spreadsheets/d/19KBlQQs7uwvsao6t2n-KvW3Ax8J8uRRfZPq1zPbXgKc/edit?usp=sharing"",""ระยอง!N223"")+IMPORTRANGE(""https://docs.google.com/spreadsheets/d/1jQ6P4QcrGM89YfqcC_PxOHGCMq5ezhucwJd8ci-NHng/edit?usp=sharing"",""ราชบุรี!N22"&amp;"3"")+IMPORTRANGE(""https://docs.google.com/spreadsheets/d/1lufeA2cfFqM-elVq2hznhDzC6Pr7wkJ9ZG_sYNGCMCU/edit?usp=sharing"",""ลพบุรี!N223"")+IMPORTRANGE(""https://docs.google.com/spreadsheets/d/10oOiF7loTyfsTkbd4MpaIm0HQ9SwB7IYHdIUvt-U1Uc/edit?usp=sharing"""&amp;",""สระแก้ว!N223"")+IMPORTRANGE(""https://docs.google.com/spreadsheets/d/1xmPlrr1QbdSIKvl1dWUl9K4PjAfSL9oeMr_37QVzcxc/edit?usp=sharing"",""สระบุรี!N223"")+IMPORTRANGE(""https://docs.google.com/spreadsheets/d/1j51vR6CYVGhABJpv6tkstgok82RLpXieLzW1yOY5rHw/edi"&amp;"t?usp=sharing"",""สิงห์บุรี!N223"")+IMPORTRANGE(""https://docs.google.com/spreadsheets/d/1H1EalTWKUSzO4Z1-1CwzoDUaVffgrThEBe2sl74kKG0/edit?usp=sharing"",""สุพรรณบุรี!N223"")+IMPORTRANGE(""https://docs.google.com/spreadsheets/d/1BmIruG_sIrJLYao_Pdr7zVArWsf"&amp;"oBt2692TMi6x_854/edit?usp=sharing"",""อ่างทอง!N223"")"),0)</f>
        <v>0</v>
      </c>
      <c r="O224" s="240"/>
      <c r="P224" s="72"/>
      <c r="Q224" s="86"/>
      <c r="R224" s="87"/>
      <c r="S224" s="87"/>
      <c r="T224" s="229"/>
      <c r="U224" s="87"/>
    </row>
    <row r="225" spans="1:21" ht="18.75" x14ac:dyDescent="0.25">
      <c r="A225" s="377"/>
      <c r="B225" s="381"/>
      <c r="C225" s="381"/>
      <c r="D225" s="75" t="s">
        <v>100</v>
      </c>
      <c r="E225" s="67"/>
      <c r="F225" s="67"/>
      <c r="G225" s="69"/>
      <c r="H225" s="218" t="s">
        <v>14</v>
      </c>
      <c r="I225" s="71"/>
      <c r="J225" s="71"/>
      <c r="K225" s="72"/>
      <c r="L225" s="88">
        <f ca="1">IFERROR(__xludf.DUMMYFUNCTION("IMPORTRANGE(""https://docs.google.com/spreadsheets/d/13wPX838HrBrQMCywv1BsuMkt4PEKTChp52zj44s2izQ/edit?usp=sharing"",""กาญจนบุรี!L224"")+IMPORTRANGE(""https://docs.google.com/spreadsheets/d/1ddFKvqj1W1NEiWytbGlB1zMx_ykJDVtmfEQ-6-lIUBA/edit?usp=sharing"","&amp;"""จันทบุรี!L224"")+IMPORTRANGE(""https://docs.google.com/spreadsheets/d/1T1PQvRODqOBZk8BRht_U031fIS1beLA0Ub2CEytj2q0/edit?usp=sharing"",""ฉะเชิงเทรา!L224"")+IMPORTRANGE(""https://docs.google.com/spreadsheets/d/11tr1B-Bhyr79v2bkwVh5h_fR-PStkgjlZtkrZpYurG0/"&amp;"edit?usp=sharing"",""ชลบุรี!L224"")+IMPORTRANGE(""https://docs.google.com/spreadsheets/d/1hh-FVnSX0vozXhGluamEcS54Dw9_zqW0N7qJUWgJ0Sw/edit?usp=sharing"",""ชัยนาท!L224"")+IMPORTRANGE(""https://docs.google.com/spreadsheets/d/1jkqa6GXxSacMcY1eN8AHjMNJ_7dDXMJ"&amp;"VRLDlaFSOdPM/edit?usp=sharing"",""ตราด!L224"")+IMPORTRANGE(""https://docs.google.com/spreadsheets/d/18hSgUJ3VwClqi_qtULmmW3cLr0oe3OKaSYoKzdpTsYQ/edit?usp=sharing"",""นครนายก!L224"")+IMPORTRANGE(""https://docs.google.com/spreadsheets/d/1YTZo6WM2dQ6Ix6FSdnL"&amp;"5P7uVnVKu40sxZu975tgG10E/edit?usp=sharing"",""นครปฐม!L224"")+IMPORTRANGE(""https://docs.google.com/spreadsheets/d/1OYoGg4WDg5RIzwGeB10padOxJF9E_Vljuvvct_M7RDo/edit?usp=sharing"",""ปทุมธานี!L224"")+IMPORTRANGE(""https://docs.google.com/spreadsheets/d/1GbCI"&amp;"E4D4wk9FUozzqk7SxfDMxDVBwVmI5zcaVUSzKAc/edit?usp=sharing"",""ประจวบคีรีขันธ์!L224"")+IMPORTRANGE(""https://docs.google.com/spreadsheets/d/1vVf6wykvW_lAyu7Yo9L4hUTqHqIeP_qcVuxCtosJEbg/edit?usp=sharing"",""ปราจีนบุรี!L224"")+IMPORTRANGE(""https://docs.googl"&amp;"e.com/spreadsheets/d/1BIDqLLg5jk3v59G8NlR8rk5xfQDKne0sAvZHSj7TI6I/edit?usp=sharing"",""พระนครศรีอยุธยา!L224"")+IMPORTRANGE(""https://docs.google.com/spreadsheets/d/1YXvxf8Yu6_rV4hTBrwMqAcAnv6DfhUxh5emyM3CJp_w/edit?usp=sharing"",""เพชรบุรี!L224"")+IMPORTRA"&amp;"NGE(""https://docs.google.com/spreadsheets/d/19KBlQQs7uwvsao6t2n-KvW3Ax8J8uRRfZPq1zPbXgKc/edit?usp=sharing"",""ระยอง!L224"")+IMPORTRANGE(""https://docs.google.com/spreadsheets/d/1jQ6P4QcrGM89YfqcC_PxOHGCMq5ezhucwJd8ci-NHng/edit?usp=sharing"",""ราชบุรี!L22"&amp;"4"")+IMPORTRANGE(""https://docs.google.com/spreadsheets/d/1lufeA2cfFqM-elVq2hznhDzC6Pr7wkJ9ZG_sYNGCMCU/edit?usp=sharing"",""ลพบุรี!L224"")+IMPORTRANGE(""https://docs.google.com/spreadsheets/d/10oOiF7loTyfsTkbd4MpaIm0HQ9SwB7IYHdIUvt-U1Uc/edit?usp=sharing"""&amp;",""สระแก้ว!L224"")+IMPORTRANGE(""https://docs.google.com/spreadsheets/d/1xmPlrr1QbdSIKvl1dWUl9K4PjAfSL9oeMr_37QVzcxc/edit?usp=sharing"",""สระบุรี!L224"")+IMPORTRANGE(""https://docs.google.com/spreadsheets/d/1j51vR6CYVGhABJpv6tkstgok82RLpXieLzW1yOY5rHw/edi"&amp;"t?usp=sharing"",""สิงห์บุรี!L224"")+IMPORTRANGE(""https://docs.google.com/spreadsheets/d/1H1EalTWKUSzO4Z1-1CwzoDUaVffgrThEBe2sl74kKG0/edit?usp=sharing"",""สุพรรณบุรี!L224"")+IMPORTRANGE(""https://docs.google.com/spreadsheets/d/1BmIruG_sIrJLYao_Pdr7zVArWsf"&amp;"oBt2692TMi6x_854/edit?usp=sharing"",""อ่างทอง!L224"")"),31500)</f>
        <v>31500</v>
      </c>
      <c r="M225" s="72"/>
      <c r="N225" s="88">
        <f ca="1">IFERROR(__xludf.DUMMYFUNCTION("IMPORTRANGE(""https://docs.google.com/spreadsheets/d/13wPX838HrBrQMCywv1BsuMkt4PEKTChp52zj44s2izQ/edit?usp=sharing"",""กาญจนบุรี!N224"")+IMPORTRANGE(""https://docs.google.com/spreadsheets/d/1ddFKvqj1W1NEiWytbGlB1zMx_ykJDVtmfEQ-6-lIUBA/edit?usp=sharing"","&amp;"""จันทบุรี!N224"")+IMPORTRANGE(""https://docs.google.com/spreadsheets/d/1T1PQvRODqOBZk8BRht_U031fIS1beLA0Ub2CEytj2q0/edit?usp=sharing"",""ฉะเชิงเทรา!N224"")+IMPORTRANGE(""https://docs.google.com/spreadsheets/d/11tr1B-Bhyr79v2bkwVh5h_fR-PStkgjlZtkrZpYurG0/"&amp;"edit?usp=sharing"",""ชลบุรี!N224"")+IMPORTRANGE(""https://docs.google.com/spreadsheets/d/1hh-FVnSX0vozXhGluamEcS54Dw9_zqW0N7qJUWgJ0Sw/edit?usp=sharing"",""ชัยนาท!N224"")+IMPORTRANGE(""https://docs.google.com/spreadsheets/d/1jkqa6GXxSacMcY1eN8AHjMNJ_7dDXMJ"&amp;"VRLDlaFSOdPM/edit?usp=sharing"",""ตราด!N224"")+IMPORTRANGE(""https://docs.google.com/spreadsheets/d/18hSgUJ3VwClqi_qtULmmW3cLr0oe3OKaSYoKzdpTsYQ/edit?usp=sharing"",""นครนายก!N224"")+IMPORTRANGE(""https://docs.google.com/spreadsheets/d/1YTZo6WM2dQ6Ix6FSdnL"&amp;"5P7uVnVKu40sxZu975tgG10E/edit?usp=sharing"",""นครปฐม!N224"")+IMPORTRANGE(""https://docs.google.com/spreadsheets/d/1OYoGg4WDg5RIzwGeB10padOxJF9E_Vljuvvct_M7RDo/edit?usp=sharing"",""ปทุมธานี!N224"")+IMPORTRANGE(""https://docs.google.com/spreadsheets/d/1GbCI"&amp;"E4D4wk9FUozzqk7SxfDMxDVBwVmI5zcaVUSzKAc/edit?usp=sharing"",""ประจวบคีรีขันธ์!N224"")+IMPORTRANGE(""https://docs.google.com/spreadsheets/d/1vVf6wykvW_lAyu7Yo9L4hUTqHqIeP_qcVuxCtosJEbg/edit?usp=sharing"",""ปราจีนบุรี!N224"")+IMPORTRANGE(""https://docs.googl"&amp;"e.com/spreadsheets/d/1BIDqLLg5jk3v59G8NlR8rk5xfQDKne0sAvZHSj7TI6I/edit?usp=sharing"",""พระนครศรีอยุธยา!N224"")+IMPORTRANGE(""https://docs.google.com/spreadsheets/d/1YXvxf8Yu6_rV4hTBrwMqAcAnv6DfhUxh5emyM3CJp_w/edit?usp=sharing"",""เพชรบุรี!N224"")+IMPORTRA"&amp;"NGE(""https://docs.google.com/spreadsheets/d/19KBlQQs7uwvsao6t2n-KvW3Ax8J8uRRfZPq1zPbXgKc/edit?usp=sharing"",""ระยอง!N224"")+IMPORTRANGE(""https://docs.google.com/spreadsheets/d/1jQ6P4QcrGM89YfqcC_PxOHGCMq5ezhucwJd8ci-NHng/edit?usp=sharing"",""ราชบุรี!N22"&amp;"4"")+IMPORTRANGE(""https://docs.google.com/spreadsheets/d/1lufeA2cfFqM-elVq2hznhDzC6Pr7wkJ9ZG_sYNGCMCU/edit?usp=sharing"",""ลพบุรี!N224"")+IMPORTRANGE(""https://docs.google.com/spreadsheets/d/10oOiF7loTyfsTkbd4MpaIm0HQ9SwB7IYHdIUvt-U1Uc/edit?usp=sharing"""&amp;",""สระแก้ว!N224"")+IMPORTRANGE(""https://docs.google.com/spreadsheets/d/1xmPlrr1QbdSIKvl1dWUl9K4PjAfSL9oeMr_37QVzcxc/edit?usp=sharing"",""สระบุรี!N224"")+IMPORTRANGE(""https://docs.google.com/spreadsheets/d/1j51vR6CYVGhABJpv6tkstgok82RLpXieLzW1yOY5rHw/edi"&amp;"t?usp=sharing"",""สิงห์บุรี!N224"")+IMPORTRANGE(""https://docs.google.com/spreadsheets/d/1H1EalTWKUSzO4Z1-1CwzoDUaVffgrThEBe2sl74kKG0/edit?usp=sharing"",""สุพรรณบุรี!N224"")+IMPORTRANGE(""https://docs.google.com/spreadsheets/d/1BmIruG_sIrJLYao_Pdr7zVArWsf"&amp;"oBt2692TMi6x_854/edit?usp=sharing"",""อ่างทอง!N224"")"),800)</f>
        <v>800</v>
      </c>
      <c r="O225" s="240"/>
      <c r="P225" s="72"/>
      <c r="Q225" s="86"/>
      <c r="R225" s="87"/>
      <c r="S225" s="87"/>
      <c r="T225" s="229"/>
      <c r="U225" s="87"/>
    </row>
    <row r="226" spans="1:21" ht="18.75" hidden="1" x14ac:dyDescent="0.25">
      <c r="A226" s="403"/>
      <c r="B226" s="404"/>
      <c r="C226" s="404"/>
      <c r="D226" s="405"/>
      <c r="E226" s="406"/>
      <c r="F226" s="406"/>
      <c r="G226" s="407"/>
      <c r="H226" s="408"/>
      <c r="I226" s="409"/>
      <c r="J226" s="409"/>
      <c r="K226" s="410"/>
      <c r="L226" s="411"/>
      <c r="M226" s="410"/>
      <c r="N226" s="411"/>
      <c r="O226" s="411"/>
      <c r="P226" s="410"/>
      <c r="Q226" s="86"/>
      <c r="R226" s="87"/>
      <c r="S226" s="87"/>
      <c r="T226" s="229"/>
      <c r="U226" s="87"/>
    </row>
    <row r="227" spans="1:21" ht="19.5" x14ac:dyDescent="0.3">
      <c r="A227" s="222"/>
      <c r="B227" s="223"/>
      <c r="C227" s="402" t="s">
        <v>18</v>
      </c>
      <c r="D227" s="224" t="s">
        <v>38</v>
      </c>
      <c r="E227" s="225"/>
      <c r="F227" s="225"/>
      <c r="G227" s="226"/>
      <c r="H227" s="227"/>
      <c r="I227" s="219"/>
      <c r="J227" s="219"/>
      <c r="K227" s="220"/>
      <c r="L227" s="220"/>
      <c r="M227" s="220"/>
      <c r="N227" s="220"/>
      <c r="O227" s="220"/>
      <c r="P227" s="220"/>
      <c r="Q227" s="228"/>
      <c r="R227" s="229"/>
      <c r="S227" s="229"/>
      <c r="T227" s="229"/>
      <c r="U227" s="229"/>
    </row>
    <row r="228" spans="1:21" ht="18.75" x14ac:dyDescent="0.25">
      <c r="A228" s="222"/>
      <c r="B228" s="223"/>
      <c r="C228" s="223"/>
      <c r="D228" s="75" t="s">
        <v>101</v>
      </c>
      <c r="E228" s="231"/>
      <c r="F228" s="231"/>
      <c r="G228" s="227"/>
      <c r="H228" s="227"/>
      <c r="I228" s="71"/>
      <c r="J228" s="71"/>
      <c r="K228" s="220"/>
      <c r="L228" s="220"/>
      <c r="M228" s="220"/>
      <c r="N228" s="220"/>
      <c r="O228" s="220"/>
      <c r="P228" s="220"/>
      <c r="Q228" s="228"/>
      <c r="R228" s="229"/>
      <c r="S228" s="229"/>
      <c r="T228" s="229"/>
      <c r="U228" s="229"/>
    </row>
    <row r="229" spans="1:21" ht="18.75" x14ac:dyDescent="0.25">
      <c r="A229" s="222"/>
      <c r="B229" s="223"/>
      <c r="C229" s="223"/>
      <c r="D229" s="223"/>
      <c r="E229" s="230" t="s">
        <v>102</v>
      </c>
      <c r="F229" s="231"/>
      <c r="G229" s="227"/>
      <c r="H229" s="237" t="s">
        <v>99</v>
      </c>
      <c r="I229" s="321">
        <f ca="1">IFERROR(__xludf.DUMMYFUNCTION("IMPORTRANGE(""https://docs.google.com/spreadsheets/d/13wPX838HrBrQMCywv1BsuMkt4PEKTChp52zj44s2izQ/edit?usp=sharing"",""กาญจนบุรี!I228"")+IMPORTRANGE(""https://docs.google.com/spreadsheets/d/1ddFKvqj1W1NEiWytbGlB1zMx_ykJDVtmfEQ-6-lIUBA/edit?usp=sharing"","&amp;"""จันทบุรี!I228"")+IMPORTRANGE(""https://docs.google.com/spreadsheets/d/1T1PQvRODqOBZk8BRht_U031fIS1beLA0Ub2CEytj2q0/edit?usp=sharing"",""ฉะเชิงเทรา!I228"")+IMPORTRANGE(""https://docs.google.com/spreadsheets/d/11tr1B-Bhyr79v2bkwVh5h_fR-PStkgjlZtkrZpYurG0/"&amp;"edit?usp=sharing"",""ชลบุรี!I228"")+IMPORTRANGE(""https://docs.google.com/spreadsheets/d/1hh-FVnSX0vozXhGluamEcS54Dw9_zqW0N7qJUWgJ0Sw/edit?usp=sharing"",""ชัยนาท!I228"")+IMPORTRANGE(""https://docs.google.com/spreadsheets/d/1jkqa6GXxSacMcY1eN8AHjMNJ_7dDXMJ"&amp;"VRLDlaFSOdPM/edit?usp=sharing"",""ตราด!I228"")+IMPORTRANGE(""https://docs.google.com/spreadsheets/d/18hSgUJ3VwClqi_qtULmmW3cLr0oe3OKaSYoKzdpTsYQ/edit?usp=sharing"",""นครนายก!I228"")+IMPORTRANGE(""https://docs.google.com/spreadsheets/d/1YTZo6WM2dQ6Ix6FSdnL"&amp;"5P7uVnVKu40sxZu975tgG10E/edit?usp=sharing"",""นครปฐม!I228"")+IMPORTRANGE(""https://docs.google.com/spreadsheets/d/1OYoGg4WDg5RIzwGeB10padOxJF9E_Vljuvvct_M7RDo/edit?usp=sharing"",""ปทุมธานี!I228"")+IMPORTRANGE(""https://docs.google.com/spreadsheets/d/1GbCI"&amp;"E4D4wk9FUozzqk7SxfDMxDVBwVmI5zcaVUSzKAc/edit?usp=sharing"",""ประจวบคีรีขันธ์!I228"")+IMPORTRANGE(""https://docs.google.com/spreadsheets/d/1vVf6wykvW_lAyu7Yo9L4hUTqHqIeP_qcVuxCtosJEbg/edit?usp=sharing"",""ปราจีนบุรี!I228"")+IMPORTRANGE(""https://docs.googl"&amp;"e.com/spreadsheets/d/1BIDqLLg5jk3v59G8NlR8rk5xfQDKne0sAvZHSj7TI6I/edit?usp=sharing"",""พระนครศรีอยุธยา!I228"")+IMPORTRANGE(""https://docs.google.com/spreadsheets/d/1YXvxf8Yu6_rV4hTBrwMqAcAnv6DfhUxh5emyM3CJp_w/edit?usp=sharing"",""เพชรบุรี!I228"")+IMPORTRA"&amp;"NGE(""https://docs.google.com/spreadsheets/d/19KBlQQs7uwvsao6t2n-KvW3Ax8J8uRRfZPq1zPbXgKc/edit?usp=sharing"",""ระยอง!I228"")+IMPORTRANGE(""https://docs.google.com/spreadsheets/d/1jQ6P4QcrGM89YfqcC_PxOHGCMq5ezhucwJd8ci-NHng/edit?usp=sharing"",""ราชบุรี!I22"&amp;"8"")+IMPORTRANGE(""https://docs.google.com/spreadsheets/d/1lufeA2cfFqM-elVq2hznhDzC6Pr7wkJ9ZG_sYNGCMCU/edit?usp=sharing"",""ลพบุรี!I228"")+IMPORTRANGE(""https://docs.google.com/spreadsheets/d/10oOiF7loTyfsTkbd4MpaIm0HQ9SwB7IYHdIUvt-U1Uc/edit?usp=sharing"""&amp;",""สระแก้ว!I228"")+IMPORTRANGE(""https://docs.google.com/spreadsheets/d/1xmPlrr1QbdSIKvl1dWUl9K4PjAfSL9oeMr_37QVzcxc/edit?usp=sharing"",""สระบุรี!I228"")+IMPORTRANGE(""https://docs.google.com/spreadsheets/d/1j51vR6CYVGhABJpv6tkstgok82RLpXieLzW1yOY5rHw/edi"&amp;"t?usp=sharing"",""สิงห์บุรี!I228"")+IMPORTRANGE(""https://docs.google.com/spreadsheets/d/1H1EalTWKUSzO4Z1-1CwzoDUaVffgrThEBe2sl74kKG0/edit?usp=sharing"",""สุพรรณบุรี!I228"")+IMPORTRANGE(""https://docs.google.com/spreadsheets/d/1BmIruG_sIrJLYao_Pdr7zVArWsf"&amp;"oBt2692TMi6x_854/edit?usp=sharing"",""อ่างทอง!I228"")"),482200)</f>
        <v>482200</v>
      </c>
      <c r="J229" s="239">
        <f ca="1">IFERROR(__xludf.DUMMYFUNCTION("IMPORTRANGE(""https://docs.google.com/spreadsheets/d/13wPX838HrBrQMCywv1BsuMkt4PEKTChp52zj44s2izQ/edit?usp=sharing"",""กาญจนบุรี!J228"")+IMPORTRANGE(""https://docs.google.com/spreadsheets/d/1ddFKvqj1W1NEiWytbGlB1zMx_ykJDVtmfEQ-6-lIUBA/edit?usp=sharing"","&amp;"""จันทบุรี!J228"")+IMPORTRANGE(""https://docs.google.com/spreadsheets/d/1T1PQvRODqOBZk8BRht_U031fIS1beLA0Ub2CEytj2q0/edit?usp=sharing"",""ฉะเชิงเทรา!J228"")+IMPORTRANGE(""https://docs.google.com/spreadsheets/d/11tr1B-Bhyr79v2bkwVh5h_fR-PStkgjlZtkrZpYurG0/"&amp;"edit?usp=sharing"",""ชลบุรี!J228"")+IMPORTRANGE(""https://docs.google.com/spreadsheets/d/1hh-FVnSX0vozXhGluamEcS54Dw9_zqW0N7qJUWgJ0Sw/edit?usp=sharing"",""ชัยนาท!J228"")+IMPORTRANGE(""https://docs.google.com/spreadsheets/d/1jkqa6GXxSacMcY1eN8AHjMNJ_7dDXMJ"&amp;"VRLDlaFSOdPM/edit?usp=sharing"",""ตราด!J228"")+IMPORTRANGE(""https://docs.google.com/spreadsheets/d/18hSgUJ3VwClqi_qtULmmW3cLr0oe3OKaSYoKzdpTsYQ/edit?usp=sharing"",""นครนายก!J228"")+IMPORTRANGE(""https://docs.google.com/spreadsheets/d/1YTZo6WM2dQ6Ix6FSdnL"&amp;"5P7uVnVKu40sxZu975tgG10E/edit?usp=sharing"",""นครปฐม!J228"")+IMPORTRANGE(""https://docs.google.com/spreadsheets/d/1OYoGg4WDg5RIzwGeB10padOxJF9E_Vljuvvct_M7RDo/edit?usp=sharing"",""ปทุมธานี!J228"")+IMPORTRANGE(""https://docs.google.com/spreadsheets/d/1GbCI"&amp;"E4D4wk9FUozzqk7SxfDMxDVBwVmI5zcaVUSzKAc/edit?usp=sharing"",""ประจวบคีรีขันธ์!J228"")+IMPORTRANGE(""https://docs.google.com/spreadsheets/d/1vVf6wykvW_lAyu7Yo9L4hUTqHqIeP_qcVuxCtosJEbg/edit?usp=sharing"",""ปราจีนบุรี!J228"")+IMPORTRANGE(""https://docs.googl"&amp;"e.com/spreadsheets/d/1BIDqLLg5jk3v59G8NlR8rk5xfQDKne0sAvZHSj7TI6I/edit?usp=sharing"",""พระนครศรีอยุธยา!J228"")+IMPORTRANGE(""https://docs.google.com/spreadsheets/d/1YXvxf8Yu6_rV4hTBrwMqAcAnv6DfhUxh5emyM3CJp_w/edit?usp=sharing"",""เพชรบุรี!J228"")+IMPORTRA"&amp;"NGE(""https://docs.google.com/spreadsheets/d/19KBlQQs7uwvsao6t2n-KvW3Ax8J8uRRfZPq1zPbXgKc/edit?usp=sharing"",""ระยอง!J228"")+IMPORTRANGE(""https://docs.google.com/spreadsheets/d/1jQ6P4QcrGM89YfqcC_PxOHGCMq5ezhucwJd8ci-NHng/edit?usp=sharing"",""ราชบุรี!J22"&amp;"8"")+IMPORTRANGE(""https://docs.google.com/spreadsheets/d/1lufeA2cfFqM-elVq2hznhDzC6Pr7wkJ9ZG_sYNGCMCU/edit?usp=sharing"",""ลพบุรี!J228"")+IMPORTRANGE(""https://docs.google.com/spreadsheets/d/10oOiF7loTyfsTkbd4MpaIm0HQ9SwB7IYHdIUvt-U1Uc/edit?usp=sharing"""&amp;",""สระแก้ว!J228"")+IMPORTRANGE(""https://docs.google.com/spreadsheets/d/1xmPlrr1QbdSIKvl1dWUl9K4PjAfSL9oeMr_37QVzcxc/edit?usp=sharing"",""สระบุรี!J228"")+IMPORTRANGE(""https://docs.google.com/spreadsheets/d/1j51vR6CYVGhABJpv6tkstgok82RLpXieLzW1yOY5rHw/edi"&amp;"t?usp=sharing"",""สิงห์บุรี!J228"")+IMPORTRANGE(""https://docs.google.com/spreadsheets/d/1H1EalTWKUSzO4Z1-1CwzoDUaVffgrThEBe2sl74kKG0/edit?usp=sharing"",""สุพรรณบุรี!J228"")+IMPORTRANGE(""https://docs.google.com/spreadsheets/d/1BmIruG_sIrJLYao_Pdr7zVArWsf"&amp;"oBt2692TMi6x_854/edit?usp=sharing"",""อ่างทอง!J228"")"),102800)</f>
        <v>102800</v>
      </c>
      <c r="K229" s="240">
        <f t="shared" ref="K229:K232" ca="1" si="177">IF(I229&gt;0,J229*100/I229,0)</f>
        <v>21.318954790543344</v>
      </c>
      <c r="L229" s="220"/>
      <c r="M229" s="220"/>
      <c r="N229" s="220"/>
      <c r="O229" s="220"/>
      <c r="P229" s="220"/>
      <c r="Q229" s="228"/>
      <c r="R229" s="229"/>
      <c r="S229" s="229"/>
      <c r="T229" s="229"/>
      <c r="U229" s="229"/>
    </row>
    <row r="230" spans="1:21" ht="18.75" x14ac:dyDescent="0.25">
      <c r="A230" s="222"/>
      <c r="B230" s="223"/>
      <c r="C230" s="223"/>
      <c r="D230" s="223"/>
      <c r="E230" s="230" t="s">
        <v>103</v>
      </c>
      <c r="F230" s="231"/>
      <c r="G230" s="227"/>
      <c r="H230" s="237" t="s">
        <v>99</v>
      </c>
      <c r="I230" s="321">
        <f ca="1">IFERROR(__xludf.DUMMYFUNCTION("IMPORTRANGE(""https://docs.google.com/spreadsheets/d/13wPX838HrBrQMCywv1BsuMkt4PEKTChp52zj44s2izQ/edit?usp=sharing"",""กาญจนบุรี!I229"")+IMPORTRANGE(""https://docs.google.com/spreadsheets/d/1ddFKvqj1W1NEiWytbGlB1zMx_ykJDVtmfEQ-6-lIUBA/edit?usp=sharing"","&amp;"""จันทบุรี!I229"")+IMPORTRANGE(""https://docs.google.com/spreadsheets/d/1T1PQvRODqOBZk8BRht_U031fIS1beLA0Ub2CEytj2q0/edit?usp=sharing"",""ฉะเชิงเทรา!I229"")+IMPORTRANGE(""https://docs.google.com/spreadsheets/d/11tr1B-Bhyr79v2bkwVh5h_fR-PStkgjlZtkrZpYurG0/"&amp;"edit?usp=sharing"",""ชลบุรี!I229"")+IMPORTRANGE(""https://docs.google.com/spreadsheets/d/1hh-FVnSX0vozXhGluamEcS54Dw9_zqW0N7qJUWgJ0Sw/edit?usp=sharing"",""ชัยนาท!I229"")+IMPORTRANGE(""https://docs.google.com/spreadsheets/d/1jkqa6GXxSacMcY1eN8AHjMNJ_7dDXMJ"&amp;"VRLDlaFSOdPM/edit?usp=sharing"",""ตราด!I229"")+IMPORTRANGE(""https://docs.google.com/spreadsheets/d/18hSgUJ3VwClqi_qtULmmW3cLr0oe3OKaSYoKzdpTsYQ/edit?usp=sharing"",""นครนายก!I229"")+IMPORTRANGE(""https://docs.google.com/spreadsheets/d/1YTZo6WM2dQ6Ix6FSdnL"&amp;"5P7uVnVKu40sxZu975tgG10E/edit?usp=sharing"",""นครปฐม!I229"")+IMPORTRANGE(""https://docs.google.com/spreadsheets/d/1OYoGg4WDg5RIzwGeB10padOxJF9E_Vljuvvct_M7RDo/edit?usp=sharing"",""ปทุมธานี!I229"")+IMPORTRANGE(""https://docs.google.com/spreadsheets/d/1GbCI"&amp;"E4D4wk9FUozzqk7SxfDMxDVBwVmI5zcaVUSzKAc/edit?usp=sharing"",""ประจวบคีรีขันธ์!I229"")+IMPORTRANGE(""https://docs.google.com/spreadsheets/d/1vVf6wykvW_lAyu7Yo9L4hUTqHqIeP_qcVuxCtosJEbg/edit?usp=sharing"",""ปราจีนบุรี!I229"")+IMPORTRANGE(""https://docs.googl"&amp;"e.com/spreadsheets/d/1BIDqLLg5jk3v59G8NlR8rk5xfQDKne0sAvZHSj7TI6I/edit?usp=sharing"",""พระนครศรีอยุธยา!I229"")+IMPORTRANGE(""https://docs.google.com/spreadsheets/d/1YXvxf8Yu6_rV4hTBrwMqAcAnv6DfhUxh5emyM3CJp_w/edit?usp=sharing"",""เพชรบุรี!I229"")+IMPORTRA"&amp;"NGE(""https://docs.google.com/spreadsheets/d/19KBlQQs7uwvsao6t2n-KvW3Ax8J8uRRfZPq1zPbXgKc/edit?usp=sharing"",""ระยอง!I229"")+IMPORTRANGE(""https://docs.google.com/spreadsheets/d/1jQ6P4QcrGM89YfqcC_PxOHGCMq5ezhucwJd8ci-NHng/edit?usp=sharing"",""ราชบุรี!I22"&amp;"9"")+IMPORTRANGE(""https://docs.google.com/spreadsheets/d/1lufeA2cfFqM-elVq2hznhDzC6Pr7wkJ9ZG_sYNGCMCU/edit?usp=sharing"",""ลพบุรี!I229"")+IMPORTRANGE(""https://docs.google.com/spreadsheets/d/10oOiF7loTyfsTkbd4MpaIm0HQ9SwB7IYHdIUvt-U1Uc/edit?usp=sharing"""&amp;",""สระแก้ว!I229"")+IMPORTRANGE(""https://docs.google.com/spreadsheets/d/1xmPlrr1QbdSIKvl1dWUl9K4PjAfSL9oeMr_37QVzcxc/edit?usp=sharing"",""สระบุรี!I229"")+IMPORTRANGE(""https://docs.google.com/spreadsheets/d/1j51vR6CYVGhABJpv6tkstgok82RLpXieLzW1yOY5rHw/edi"&amp;"t?usp=sharing"",""สิงห์บุรี!I229"")+IMPORTRANGE(""https://docs.google.com/spreadsheets/d/1H1EalTWKUSzO4Z1-1CwzoDUaVffgrThEBe2sl74kKG0/edit?usp=sharing"",""สุพรรณบุรี!I229"")+IMPORTRANGE(""https://docs.google.com/spreadsheets/d/1BmIruG_sIrJLYao_Pdr7zVArWsf"&amp;"oBt2692TMi6x_854/edit?usp=sharing"",""อ่างทอง!I229"")"),482200)</f>
        <v>482200</v>
      </c>
      <c r="J230" s="239">
        <f ca="1">IFERROR(__xludf.DUMMYFUNCTION("IMPORTRANGE(""https://docs.google.com/spreadsheets/d/13wPX838HrBrQMCywv1BsuMkt4PEKTChp52zj44s2izQ/edit?usp=sharing"",""กาญจนบุรี!J229"")+IMPORTRANGE(""https://docs.google.com/spreadsheets/d/1ddFKvqj1W1NEiWytbGlB1zMx_ykJDVtmfEQ-6-lIUBA/edit?usp=sharing"","&amp;"""จันทบุรี!J229"")+IMPORTRANGE(""https://docs.google.com/spreadsheets/d/1T1PQvRODqOBZk8BRht_U031fIS1beLA0Ub2CEytj2q0/edit?usp=sharing"",""ฉะเชิงเทรา!J229"")+IMPORTRANGE(""https://docs.google.com/spreadsheets/d/11tr1B-Bhyr79v2bkwVh5h_fR-PStkgjlZtkrZpYurG0/"&amp;"edit?usp=sharing"",""ชลบุรี!J229"")+IMPORTRANGE(""https://docs.google.com/spreadsheets/d/1hh-FVnSX0vozXhGluamEcS54Dw9_zqW0N7qJUWgJ0Sw/edit?usp=sharing"",""ชัยนาท!J229"")+IMPORTRANGE(""https://docs.google.com/spreadsheets/d/1jkqa6GXxSacMcY1eN8AHjMNJ_7dDXMJ"&amp;"VRLDlaFSOdPM/edit?usp=sharing"",""ตราด!J229"")+IMPORTRANGE(""https://docs.google.com/spreadsheets/d/18hSgUJ3VwClqi_qtULmmW3cLr0oe3OKaSYoKzdpTsYQ/edit?usp=sharing"",""นครนายก!J229"")+IMPORTRANGE(""https://docs.google.com/spreadsheets/d/1YTZo6WM2dQ6Ix6FSdnL"&amp;"5P7uVnVKu40sxZu975tgG10E/edit?usp=sharing"",""นครปฐม!J229"")+IMPORTRANGE(""https://docs.google.com/spreadsheets/d/1OYoGg4WDg5RIzwGeB10padOxJF9E_Vljuvvct_M7RDo/edit?usp=sharing"",""ปทุมธานี!J229"")+IMPORTRANGE(""https://docs.google.com/spreadsheets/d/1GbCI"&amp;"E4D4wk9FUozzqk7SxfDMxDVBwVmI5zcaVUSzKAc/edit?usp=sharing"",""ประจวบคีรีขันธ์!J229"")+IMPORTRANGE(""https://docs.google.com/spreadsheets/d/1vVf6wykvW_lAyu7Yo9L4hUTqHqIeP_qcVuxCtosJEbg/edit?usp=sharing"",""ปราจีนบุรี!J229"")+IMPORTRANGE(""https://docs.googl"&amp;"e.com/spreadsheets/d/1BIDqLLg5jk3v59G8NlR8rk5xfQDKne0sAvZHSj7TI6I/edit?usp=sharing"",""พระนครศรีอยุธยา!J229"")+IMPORTRANGE(""https://docs.google.com/spreadsheets/d/1YXvxf8Yu6_rV4hTBrwMqAcAnv6DfhUxh5emyM3CJp_w/edit?usp=sharing"",""เพชรบุรี!J229"")+IMPORTRA"&amp;"NGE(""https://docs.google.com/spreadsheets/d/19KBlQQs7uwvsao6t2n-KvW3Ax8J8uRRfZPq1zPbXgKc/edit?usp=sharing"",""ระยอง!J229"")+IMPORTRANGE(""https://docs.google.com/spreadsheets/d/1jQ6P4QcrGM89YfqcC_PxOHGCMq5ezhucwJd8ci-NHng/edit?usp=sharing"",""ราชบุรี!J22"&amp;"9"")+IMPORTRANGE(""https://docs.google.com/spreadsheets/d/1lufeA2cfFqM-elVq2hznhDzC6Pr7wkJ9ZG_sYNGCMCU/edit?usp=sharing"",""ลพบุรี!J229"")+IMPORTRANGE(""https://docs.google.com/spreadsheets/d/10oOiF7loTyfsTkbd4MpaIm0HQ9SwB7IYHdIUvt-U1Uc/edit?usp=sharing"""&amp;",""สระแก้ว!J229"")+IMPORTRANGE(""https://docs.google.com/spreadsheets/d/1xmPlrr1QbdSIKvl1dWUl9K4PjAfSL9oeMr_37QVzcxc/edit?usp=sharing"",""สระบุรี!J229"")+IMPORTRANGE(""https://docs.google.com/spreadsheets/d/1j51vR6CYVGhABJpv6tkstgok82RLpXieLzW1yOY5rHw/edi"&amp;"t?usp=sharing"",""สิงห์บุรี!J229"")+IMPORTRANGE(""https://docs.google.com/spreadsheets/d/1H1EalTWKUSzO4Z1-1CwzoDUaVffgrThEBe2sl74kKG0/edit?usp=sharing"",""สุพรรณบุรี!J229"")+IMPORTRANGE(""https://docs.google.com/spreadsheets/d/1BmIruG_sIrJLYao_Pdr7zVArWsf"&amp;"oBt2692TMi6x_854/edit?usp=sharing"",""อ่างทอง!J229"")"),0)</f>
        <v>0</v>
      </c>
      <c r="K230" s="240">
        <f t="shared" ca="1" si="177"/>
        <v>0</v>
      </c>
      <c r="L230" s="72"/>
      <c r="M230" s="72"/>
      <c r="N230" s="72"/>
      <c r="O230" s="72"/>
      <c r="P230" s="72"/>
      <c r="Q230" s="86"/>
      <c r="R230" s="87"/>
      <c r="S230" s="87"/>
      <c r="T230" s="87"/>
      <c r="U230" s="87"/>
    </row>
    <row r="231" spans="1:21" ht="18.75" x14ac:dyDescent="0.25">
      <c r="A231" s="222"/>
      <c r="B231" s="223"/>
      <c r="C231" s="223"/>
      <c r="D231" s="75" t="s">
        <v>104</v>
      </c>
      <c r="E231" s="231"/>
      <c r="F231" s="231"/>
      <c r="G231" s="227"/>
      <c r="H231" s="237" t="s">
        <v>35</v>
      </c>
      <c r="I231" s="321">
        <f ca="1">IFERROR(__xludf.DUMMYFUNCTION("IMPORTRANGE(""https://docs.google.com/spreadsheets/d/13wPX838HrBrQMCywv1BsuMkt4PEKTChp52zj44s2izQ/edit?usp=sharing"",""กาญจนบุรี!I230"")+IMPORTRANGE(""https://docs.google.com/spreadsheets/d/1ddFKvqj1W1NEiWytbGlB1zMx_ykJDVtmfEQ-6-lIUBA/edit?usp=sharing"","&amp;"""จันทบุรี!I230"")+IMPORTRANGE(""https://docs.google.com/spreadsheets/d/1T1PQvRODqOBZk8BRht_U031fIS1beLA0Ub2CEytj2q0/edit?usp=sharing"",""ฉะเชิงเทรา!I230"")+IMPORTRANGE(""https://docs.google.com/spreadsheets/d/11tr1B-Bhyr79v2bkwVh5h_fR-PStkgjlZtkrZpYurG0/"&amp;"edit?usp=sharing"",""ชลบุรี!I230"")+IMPORTRANGE(""https://docs.google.com/spreadsheets/d/1hh-FVnSX0vozXhGluamEcS54Dw9_zqW0N7qJUWgJ0Sw/edit?usp=sharing"",""ชัยนาท!I230"")+IMPORTRANGE(""https://docs.google.com/spreadsheets/d/1jkqa6GXxSacMcY1eN8AHjMNJ_7dDXMJ"&amp;"VRLDlaFSOdPM/edit?usp=sharing"",""ตราด!I230"")+IMPORTRANGE(""https://docs.google.com/spreadsheets/d/18hSgUJ3VwClqi_qtULmmW3cLr0oe3OKaSYoKzdpTsYQ/edit?usp=sharing"",""นครนายก!I230"")+IMPORTRANGE(""https://docs.google.com/spreadsheets/d/1YTZo6WM2dQ6Ix6FSdnL"&amp;"5P7uVnVKu40sxZu975tgG10E/edit?usp=sharing"",""นครปฐม!I230"")+IMPORTRANGE(""https://docs.google.com/spreadsheets/d/1OYoGg4WDg5RIzwGeB10padOxJF9E_Vljuvvct_M7RDo/edit?usp=sharing"",""ปทุมธานี!I230"")+IMPORTRANGE(""https://docs.google.com/spreadsheets/d/1GbCI"&amp;"E4D4wk9FUozzqk7SxfDMxDVBwVmI5zcaVUSzKAc/edit?usp=sharing"",""ประจวบคีรีขันธ์!I230"")+IMPORTRANGE(""https://docs.google.com/spreadsheets/d/1vVf6wykvW_lAyu7Yo9L4hUTqHqIeP_qcVuxCtosJEbg/edit?usp=sharing"",""ปราจีนบุรี!I230"")+IMPORTRANGE(""https://docs.googl"&amp;"e.com/spreadsheets/d/1BIDqLLg5jk3v59G8NlR8rk5xfQDKne0sAvZHSj7TI6I/edit?usp=sharing"",""พระนครศรีอยุธยา!I230"")+IMPORTRANGE(""https://docs.google.com/spreadsheets/d/1YXvxf8Yu6_rV4hTBrwMqAcAnv6DfhUxh5emyM3CJp_w/edit?usp=sharing"",""เพชรบุรี!I230"")+IMPORTRA"&amp;"NGE(""https://docs.google.com/spreadsheets/d/19KBlQQs7uwvsao6t2n-KvW3Ax8J8uRRfZPq1zPbXgKc/edit?usp=sharing"",""ระยอง!I230"")+IMPORTRANGE(""https://docs.google.com/spreadsheets/d/1jQ6P4QcrGM89YfqcC_PxOHGCMq5ezhucwJd8ci-NHng/edit?usp=sharing"",""ราชบุรี!I23"&amp;"0"")+IMPORTRANGE(""https://docs.google.com/spreadsheets/d/1lufeA2cfFqM-elVq2hznhDzC6Pr7wkJ9ZG_sYNGCMCU/edit?usp=sharing"",""ลพบุรี!I230"")+IMPORTRANGE(""https://docs.google.com/spreadsheets/d/10oOiF7loTyfsTkbd4MpaIm0HQ9SwB7IYHdIUvt-U1Uc/edit?usp=sharing"""&amp;",""สระแก้ว!I230"")+IMPORTRANGE(""https://docs.google.com/spreadsheets/d/1xmPlrr1QbdSIKvl1dWUl9K4PjAfSL9oeMr_37QVzcxc/edit?usp=sharing"",""สระบุรี!I230"")+IMPORTRANGE(""https://docs.google.com/spreadsheets/d/1j51vR6CYVGhABJpv6tkstgok82RLpXieLzW1yOY5rHw/edi"&amp;"t?usp=sharing"",""สิงห์บุรี!I230"")+IMPORTRANGE(""https://docs.google.com/spreadsheets/d/1H1EalTWKUSzO4Z1-1CwzoDUaVffgrThEBe2sl74kKG0/edit?usp=sharing"",""สุพรรณบุรี!I230"")+IMPORTRANGE(""https://docs.google.com/spreadsheets/d/1BmIruG_sIrJLYao_Pdr7zVArWsf"&amp;"oBt2692TMi6x_854/edit?usp=sharing"",""อ่างทอง!I230"")"),0)</f>
        <v>0</v>
      </c>
      <c r="J231" s="321">
        <f ca="1">IFERROR(__xludf.DUMMYFUNCTION("IMPORTRANGE(""https://docs.google.com/spreadsheets/d/13wPX838HrBrQMCywv1BsuMkt4PEKTChp52zj44s2izQ/edit?usp=sharing"",""กาญจนบุรี!J230"")+IMPORTRANGE(""https://docs.google.com/spreadsheets/d/1ddFKvqj1W1NEiWytbGlB1zMx_ykJDVtmfEQ-6-lIUBA/edit?usp=sharing"","&amp;"""จันทบุรี!J230"")+IMPORTRANGE(""https://docs.google.com/spreadsheets/d/1T1PQvRODqOBZk8BRht_U031fIS1beLA0Ub2CEytj2q0/edit?usp=sharing"",""ฉะเชิงเทรา!J230"")+IMPORTRANGE(""https://docs.google.com/spreadsheets/d/11tr1B-Bhyr79v2bkwVh5h_fR-PStkgjlZtkrZpYurG0/"&amp;"edit?usp=sharing"",""ชลบุรี!J230"")+IMPORTRANGE(""https://docs.google.com/spreadsheets/d/1hh-FVnSX0vozXhGluamEcS54Dw9_zqW0N7qJUWgJ0Sw/edit?usp=sharing"",""ชัยนาท!J230"")+IMPORTRANGE(""https://docs.google.com/spreadsheets/d/1jkqa6GXxSacMcY1eN8AHjMNJ_7dDXMJ"&amp;"VRLDlaFSOdPM/edit?usp=sharing"",""ตราด!J230"")+IMPORTRANGE(""https://docs.google.com/spreadsheets/d/18hSgUJ3VwClqi_qtULmmW3cLr0oe3OKaSYoKzdpTsYQ/edit?usp=sharing"",""นครนายก!J230"")+IMPORTRANGE(""https://docs.google.com/spreadsheets/d/1YTZo6WM2dQ6Ix6FSdnL"&amp;"5P7uVnVKu40sxZu975tgG10E/edit?usp=sharing"",""นครปฐม!J230"")+IMPORTRANGE(""https://docs.google.com/spreadsheets/d/1OYoGg4WDg5RIzwGeB10padOxJF9E_Vljuvvct_M7RDo/edit?usp=sharing"",""ปทุมธานี!J230"")+IMPORTRANGE(""https://docs.google.com/spreadsheets/d/1GbCI"&amp;"E4D4wk9FUozzqk7SxfDMxDVBwVmI5zcaVUSzKAc/edit?usp=sharing"",""ประจวบคีรีขันธ์!J230"")+IMPORTRANGE(""https://docs.google.com/spreadsheets/d/1vVf6wykvW_lAyu7Yo9L4hUTqHqIeP_qcVuxCtosJEbg/edit?usp=sharing"",""ปราจีนบุรี!J230"")+IMPORTRANGE(""https://docs.googl"&amp;"e.com/spreadsheets/d/1BIDqLLg5jk3v59G8NlR8rk5xfQDKne0sAvZHSj7TI6I/edit?usp=sharing"",""พระนครศรีอยุธยา!J230"")+IMPORTRANGE(""https://docs.google.com/spreadsheets/d/1YXvxf8Yu6_rV4hTBrwMqAcAnv6DfhUxh5emyM3CJp_w/edit?usp=sharing"",""เพชรบุรี!J230"")+IMPORTRA"&amp;"NGE(""https://docs.google.com/spreadsheets/d/19KBlQQs7uwvsao6t2n-KvW3Ax8J8uRRfZPq1zPbXgKc/edit?usp=sharing"",""ระยอง!J230"")+IMPORTRANGE(""https://docs.google.com/spreadsheets/d/1jQ6P4QcrGM89YfqcC_PxOHGCMq5ezhucwJd8ci-NHng/edit?usp=sharing"",""ราชบุรี!J23"&amp;"0"")+IMPORTRANGE(""https://docs.google.com/spreadsheets/d/1lufeA2cfFqM-elVq2hznhDzC6Pr7wkJ9ZG_sYNGCMCU/edit?usp=sharing"",""ลพบุรี!J230"")+IMPORTRANGE(""https://docs.google.com/spreadsheets/d/10oOiF7loTyfsTkbd4MpaIm0HQ9SwB7IYHdIUvt-U1Uc/edit?usp=sharing"""&amp;",""สระแก้ว!J230"")+IMPORTRANGE(""https://docs.google.com/spreadsheets/d/1xmPlrr1QbdSIKvl1dWUl9K4PjAfSL9oeMr_37QVzcxc/edit?usp=sharing"",""สระบุรี!J230"")+IMPORTRANGE(""https://docs.google.com/spreadsheets/d/1j51vR6CYVGhABJpv6tkstgok82RLpXieLzW1yOY5rHw/edi"&amp;"t?usp=sharing"",""สิงห์บุรี!J230"")+IMPORTRANGE(""https://docs.google.com/spreadsheets/d/1H1EalTWKUSzO4Z1-1CwzoDUaVffgrThEBe2sl74kKG0/edit?usp=sharing"",""สุพรรณบุรี!J230"")+IMPORTRANGE(""https://docs.google.com/spreadsheets/d/1BmIruG_sIrJLYao_Pdr7zVArWsf"&amp;"oBt2692TMi6x_854/edit?usp=sharing"",""อ่างทอง!J230"")"),0)</f>
        <v>0</v>
      </c>
      <c r="K231" s="240">
        <f t="shared" ca="1" si="177"/>
        <v>0</v>
      </c>
      <c r="L231" s="72"/>
      <c r="M231" s="72"/>
      <c r="N231" s="72"/>
      <c r="O231" s="72"/>
      <c r="P231" s="72"/>
      <c r="Q231" s="86"/>
      <c r="R231" s="87"/>
      <c r="S231" s="87"/>
      <c r="T231" s="87"/>
      <c r="U231" s="87"/>
    </row>
    <row r="232" spans="1:21" ht="19.5" x14ac:dyDescent="0.3">
      <c r="A232" s="382"/>
      <c r="B232" s="383"/>
      <c r="C232" s="384" t="s">
        <v>105</v>
      </c>
      <c r="D232" s="385"/>
      <c r="E232" s="385"/>
      <c r="F232" s="385"/>
      <c r="G232" s="386"/>
      <c r="H232" s="387" t="s">
        <v>35</v>
      </c>
      <c r="I232" s="388">
        <f t="shared" ref="I232:J232" si="178">I243+I254</f>
        <v>0</v>
      </c>
      <c r="J232" s="388">
        <f t="shared" si="178"/>
        <v>0</v>
      </c>
      <c r="K232" s="389">
        <f t="shared" si="177"/>
        <v>0</v>
      </c>
      <c r="L232" s="390"/>
      <c r="M232" s="390"/>
      <c r="N232" s="390"/>
      <c r="O232" s="390"/>
      <c r="P232" s="390"/>
      <c r="Q232" s="391"/>
      <c r="R232" s="392"/>
      <c r="S232" s="392"/>
      <c r="T232" s="392"/>
      <c r="U232" s="392"/>
    </row>
    <row r="233" spans="1:21" ht="19.5" x14ac:dyDescent="0.3">
      <c r="A233" s="209"/>
      <c r="B233" s="67"/>
      <c r="C233" s="210" t="s">
        <v>18</v>
      </c>
      <c r="D233" s="211" t="s">
        <v>19</v>
      </c>
      <c r="E233" s="67"/>
      <c r="F233" s="67"/>
      <c r="G233" s="69"/>
      <c r="H233" s="394" t="s">
        <v>14</v>
      </c>
      <c r="I233" s="219"/>
      <c r="J233" s="219"/>
      <c r="K233" s="220"/>
      <c r="L233" s="213">
        <f ca="1">L234+L235+L236+L237</f>
        <v>983900</v>
      </c>
      <c r="M233" s="72"/>
      <c r="N233" s="213">
        <f ca="1">N234+N235+N236+N237</f>
        <v>200558</v>
      </c>
      <c r="O233" s="213">
        <f ca="1">IF(L233&gt;0,N233*100/L233,0)</f>
        <v>20.383982112003252</v>
      </c>
      <c r="P233" s="72"/>
      <c r="Q233" s="86"/>
      <c r="R233" s="87"/>
      <c r="S233" s="87"/>
      <c r="T233" s="87"/>
      <c r="U233" s="87"/>
    </row>
    <row r="234" spans="1:21" ht="18.75" x14ac:dyDescent="0.25">
      <c r="A234" s="209"/>
      <c r="B234" s="381"/>
      <c r="C234" s="67"/>
      <c r="D234" s="75" t="s">
        <v>86</v>
      </c>
      <c r="E234" s="67"/>
      <c r="F234" s="67"/>
      <c r="G234" s="69"/>
      <c r="H234" s="218" t="s">
        <v>14</v>
      </c>
      <c r="I234" s="219"/>
      <c r="J234" s="219"/>
      <c r="K234" s="220"/>
      <c r="L234" s="88">
        <f ca="1">IFERROR(__xludf.DUMMYFUNCTION("IMPORTRANGE(""https://docs.google.com/spreadsheets/d/13wPX838HrBrQMCywv1BsuMkt4PEKTChp52zj44s2izQ/edit?usp=sharing"",""กาญจนบุรี!L233"")+IMPORTRANGE(""https://docs.google.com/spreadsheets/d/1ddFKvqj1W1NEiWytbGlB1zMx_ykJDVtmfEQ-6-lIUBA/edit?usp=sharing"","&amp;"""จันทบุรี!L233"")+IMPORTRANGE(""https://docs.google.com/spreadsheets/d/1T1PQvRODqOBZk8BRht_U031fIS1beLA0Ub2CEytj2q0/edit?usp=sharing"",""ฉะเชิงเทรา!L233"")+IMPORTRANGE(""https://docs.google.com/spreadsheets/d/11tr1B-Bhyr79v2bkwVh5h_fR-PStkgjlZtkrZpYurG0/"&amp;"edit?usp=sharing"",""ชลบุรี!L233"")+IMPORTRANGE(""https://docs.google.com/spreadsheets/d/1hh-FVnSX0vozXhGluamEcS54Dw9_zqW0N7qJUWgJ0Sw/edit?usp=sharing"",""ชัยนาท!L233"")+IMPORTRANGE(""https://docs.google.com/spreadsheets/d/1jkqa6GXxSacMcY1eN8AHjMNJ_7dDXMJ"&amp;"VRLDlaFSOdPM/edit?usp=sharing"",""ตราด!L233"")+IMPORTRANGE(""https://docs.google.com/spreadsheets/d/18hSgUJ3VwClqi_qtULmmW3cLr0oe3OKaSYoKzdpTsYQ/edit?usp=sharing"",""นครนายก!L233"")+IMPORTRANGE(""https://docs.google.com/spreadsheets/d/1YTZo6WM2dQ6Ix6FSdnL"&amp;"5P7uVnVKu40sxZu975tgG10E/edit?usp=sharing"",""นครปฐม!L233"")+IMPORTRANGE(""https://docs.google.com/spreadsheets/d/1OYoGg4WDg5RIzwGeB10padOxJF9E_Vljuvvct_M7RDo/edit?usp=sharing"",""ปทุมธานี!L233"")+IMPORTRANGE(""https://docs.google.com/spreadsheets/d/1GbCI"&amp;"E4D4wk9FUozzqk7SxfDMxDVBwVmI5zcaVUSzKAc/edit?usp=sharing"",""ประจวบคีรีขันธ์!L233"")+IMPORTRANGE(""https://docs.google.com/spreadsheets/d/1vVf6wykvW_lAyu7Yo9L4hUTqHqIeP_qcVuxCtosJEbg/edit?usp=sharing"",""ปราจีนบุรี!L233"")+IMPORTRANGE(""https://docs.googl"&amp;"e.com/spreadsheets/d/1BIDqLLg5jk3v59G8NlR8rk5xfQDKne0sAvZHSj7TI6I/edit?usp=sharing"",""พระนครศรีอยุธยา!L233"")+IMPORTRANGE(""https://docs.google.com/spreadsheets/d/1YXvxf8Yu6_rV4hTBrwMqAcAnv6DfhUxh5emyM3CJp_w/edit?usp=sharing"",""เพชรบุรี!L233"")+IMPORTRA"&amp;"NGE(""https://docs.google.com/spreadsheets/d/19KBlQQs7uwvsao6t2n-KvW3Ax8J8uRRfZPq1zPbXgKc/edit?usp=sharing"",""ระยอง!L233"")+IMPORTRANGE(""https://docs.google.com/spreadsheets/d/1jQ6P4QcrGM89YfqcC_PxOHGCMq5ezhucwJd8ci-NHng/edit?usp=sharing"",""ราชบุรี!L23"&amp;"3"")+IMPORTRANGE(""https://docs.google.com/spreadsheets/d/1lufeA2cfFqM-elVq2hznhDzC6Pr7wkJ9ZG_sYNGCMCU/edit?usp=sharing"",""ลพบุรี!L233"")+IMPORTRANGE(""https://docs.google.com/spreadsheets/d/10oOiF7loTyfsTkbd4MpaIm0HQ9SwB7IYHdIUvt-U1Uc/edit?usp=sharing"""&amp;",""สระแก้ว!L233"")+IMPORTRANGE(""https://docs.google.com/spreadsheets/d/1xmPlrr1QbdSIKvl1dWUl9K4PjAfSL9oeMr_37QVzcxc/edit?usp=sharing"",""สระบุรี!L233"")+IMPORTRANGE(""https://docs.google.com/spreadsheets/d/1j51vR6CYVGhABJpv6tkstgok82RLpXieLzW1yOY5rHw/edi"&amp;"t?usp=sharing"",""สิงห์บุรี!L233"")+IMPORTRANGE(""https://docs.google.com/spreadsheets/d/1H1EalTWKUSzO4Z1-1CwzoDUaVffgrThEBe2sl74kKG0/edit?usp=sharing"",""สุพรรณบุรี!L233"")+IMPORTRANGE(""https://docs.google.com/spreadsheets/d/1BmIruG_sIrJLYao_Pdr7zVArWsf"&amp;"oBt2692TMi6x_854/edit?usp=sharing"",""อ่างทอง!L233"")"),189000)</f>
        <v>189000</v>
      </c>
      <c r="M234" s="72"/>
      <c r="N234" s="88">
        <f ca="1">IFERROR(__xludf.DUMMYFUNCTION("IMPORTRANGE(""https://docs.google.com/spreadsheets/d/13wPX838HrBrQMCywv1BsuMkt4PEKTChp52zj44s2izQ/edit?usp=sharing"",""กาญจนบุรี!N233"")+IMPORTRANGE(""https://docs.google.com/spreadsheets/d/1ddFKvqj1W1NEiWytbGlB1zMx_ykJDVtmfEQ-6-lIUBA/edit?usp=sharing"","&amp;"""จันทบุรี!N233"")+IMPORTRANGE(""https://docs.google.com/spreadsheets/d/1T1PQvRODqOBZk8BRht_U031fIS1beLA0Ub2CEytj2q0/edit?usp=sharing"",""ฉะเชิงเทรา!N233"")+IMPORTRANGE(""https://docs.google.com/spreadsheets/d/11tr1B-Bhyr79v2bkwVh5h_fR-PStkgjlZtkrZpYurG0/"&amp;"edit?usp=sharing"",""ชลบุรี!N233"")+IMPORTRANGE(""https://docs.google.com/spreadsheets/d/1hh-FVnSX0vozXhGluamEcS54Dw9_zqW0N7qJUWgJ0Sw/edit?usp=sharing"",""ชัยนาท!N233"")+IMPORTRANGE(""https://docs.google.com/spreadsheets/d/1jkqa6GXxSacMcY1eN8AHjMNJ_7dDXMJ"&amp;"VRLDlaFSOdPM/edit?usp=sharing"",""ตราด!N233"")+IMPORTRANGE(""https://docs.google.com/spreadsheets/d/18hSgUJ3VwClqi_qtULmmW3cLr0oe3OKaSYoKzdpTsYQ/edit?usp=sharing"",""นครนายก!N233"")+IMPORTRANGE(""https://docs.google.com/spreadsheets/d/1YTZo6WM2dQ6Ix6FSdnL"&amp;"5P7uVnVKu40sxZu975tgG10E/edit?usp=sharing"",""นครปฐม!N233"")+IMPORTRANGE(""https://docs.google.com/spreadsheets/d/1OYoGg4WDg5RIzwGeB10padOxJF9E_Vljuvvct_M7RDo/edit?usp=sharing"",""ปทุมธานี!N233"")+IMPORTRANGE(""https://docs.google.com/spreadsheets/d/1GbCI"&amp;"E4D4wk9FUozzqk7SxfDMxDVBwVmI5zcaVUSzKAc/edit?usp=sharing"",""ประจวบคีรีขันธ์!N233"")+IMPORTRANGE(""https://docs.google.com/spreadsheets/d/1vVf6wykvW_lAyu7Yo9L4hUTqHqIeP_qcVuxCtosJEbg/edit?usp=sharing"",""ปราจีนบุรี!N233"")+IMPORTRANGE(""https://docs.googl"&amp;"e.com/spreadsheets/d/1BIDqLLg5jk3v59G8NlR8rk5xfQDKne0sAvZHSj7TI6I/edit?usp=sharing"",""พระนครศรีอยุธยา!N233"")+IMPORTRANGE(""https://docs.google.com/spreadsheets/d/1YXvxf8Yu6_rV4hTBrwMqAcAnv6DfhUxh5emyM3CJp_w/edit?usp=sharing"",""เพชรบุรี!N233"")+IMPORTRA"&amp;"NGE(""https://docs.google.com/spreadsheets/d/19KBlQQs7uwvsao6t2n-KvW3Ax8J8uRRfZPq1zPbXgKc/edit?usp=sharing"",""ระยอง!N233"")+IMPORTRANGE(""https://docs.google.com/spreadsheets/d/1jQ6P4QcrGM89YfqcC_PxOHGCMq5ezhucwJd8ci-NHng/edit?usp=sharing"",""ราชบุรี!N23"&amp;"3"")+IMPORTRANGE(""https://docs.google.com/spreadsheets/d/1lufeA2cfFqM-elVq2hznhDzC6Pr7wkJ9ZG_sYNGCMCU/edit?usp=sharing"",""ลพบุรี!N233"")+IMPORTRANGE(""https://docs.google.com/spreadsheets/d/10oOiF7loTyfsTkbd4MpaIm0HQ9SwB7IYHdIUvt-U1Uc/edit?usp=sharing"""&amp;",""สระแก้ว!N233"")+IMPORTRANGE(""https://docs.google.com/spreadsheets/d/1xmPlrr1QbdSIKvl1dWUl9K4PjAfSL9oeMr_37QVzcxc/edit?usp=sharing"",""สระบุรี!N233"")+IMPORTRANGE(""https://docs.google.com/spreadsheets/d/1j51vR6CYVGhABJpv6tkstgok82RLpXieLzW1yOY5rHw/edi"&amp;"t?usp=sharing"",""สิงห์บุรี!N233"")+IMPORTRANGE(""https://docs.google.com/spreadsheets/d/1H1EalTWKUSzO4Z1-1CwzoDUaVffgrThEBe2sl74kKG0/edit?usp=sharing"",""สุพรรณบุรี!N233"")+IMPORTRANGE(""https://docs.google.com/spreadsheets/d/1BmIruG_sIrJLYao_Pdr7zVArWsf"&amp;"oBt2692TMi6x_854/edit?usp=sharing"",""อ่างทอง!N233"")"),71928)</f>
        <v>71928</v>
      </c>
      <c r="O234" s="72"/>
      <c r="P234" s="72"/>
      <c r="Q234" s="86"/>
      <c r="R234" s="87"/>
      <c r="S234" s="87"/>
      <c r="T234" s="87"/>
      <c r="U234" s="87"/>
    </row>
    <row r="235" spans="1:21" ht="18.75" x14ac:dyDescent="0.25">
      <c r="A235" s="377"/>
      <c r="B235" s="381"/>
      <c r="C235" s="381"/>
      <c r="D235" s="75" t="s">
        <v>88</v>
      </c>
      <c r="E235" s="67"/>
      <c r="F235" s="67"/>
      <c r="G235" s="69"/>
      <c r="H235" s="218" t="s">
        <v>14</v>
      </c>
      <c r="I235" s="71"/>
      <c r="J235" s="71"/>
      <c r="K235" s="72"/>
      <c r="L235" s="88">
        <f ca="1">IFERROR(__xludf.DUMMYFUNCTION("IMPORTRANGE(""https://docs.google.com/spreadsheets/d/13wPX838HrBrQMCywv1BsuMkt4PEKTChp52zj44s2izQ/edit?usp=sharing"",""กาญจนบุรี!L234"")+IMPORTRANGE(""https://docs.google.com/spreadsheets/d/1ddFKvqj1W1NEiWytbGlB1zMx_ykJDVtmfEQ-6-lIUBA/edit?usp=sharing"","&amp;"""จันทบุรี!L234"")+IMPORTRANGE(""https://docs.google.com/spreadsheets/d/1T1PQvRODqOBZk8BRht_U031fIS1beLA0Ub2CEytj2q0/edit?usp=sharing"",""ฉะเชิงเทรา!L234"")+IMPORTRANGE(""https://docs.google.com/spreadsheets/d/11tr1B-Bhyr79v2bkwVh5h_fR-PStkgjlZtkrZpYurG0/"&amp;"edit?usp=sharing"",""ชลบุรี!L234"")+IMPORTRANGE(""https://docs.google.com/spreadsheets/d/1hh-FVnSX0vozXhGluamEcS54Dw9_zqW0N7qJUWgJ0Sw/edit?usp=sharing"",""ชัยนาท!L234"")+IMPORTRANGE(""https://docs.google.com/spreadsheets/d/1jkqa6GXxSacMcY1eN8AHjMNJ_7dDXMJ"&amp;"VRLDlaFSOdPM/edit?usp=sharing"",""ตราด!L234"")+IMPORTRANGE(""https://docs.google.com/spreadsheets/d/18hSgUJ3VwClqi_qtULmmW3cLr0oe3OKaSYoKzdpTsYQ/edit?usp=sharing"",""นครนายก!L234"")+IMPORTRANGE(""https://docs.google.com/spreadsheets/d/1YTZo6WM2dQ6Ix6FSdnL"&amp;"5P7uVnVKu40sxZu975tgG10E/edit?usp=sharing"",""นครปฐม!L234"")+IMPORTRANGE(""https://docs.google.com/spreadsheets/d/1OYoGg4WDg5RIzwGeB10padOxJF9E_Vljuvvct_M7RDo/edit?usp=sharing"",""ปทุมธานี!L234"")+IMPORTRANGE(""https://docs.google.com/spreadsheets/d/1GbCI"&amp;"E4D4wk9FUozzqk7SxfDMxDVBwVmI5zcaVUSzKAc/edit?usp=sharing"",""ประจวบคีรีขันธ์!L234"")+IMPORTRANGE(""https://docs.google.com/spreadsheets/d/1vVf6wykvW_lAyu7Yo9L4hUTqHqIeP_qcVuxCtosJEbg/edit?usp=sharing"",""ปราจีนบุรี!L234"")+IMPORTRANGE(""https://docs.googl"&amp;"e.com/spreadsheets/d/1BIDqLLg5jk3v59G8NlR8rk5xfQDKne0sAvZHSj7TI6I/edit?usp=sharing"",""พระนครศรีอยุธยา!L234"")+IMPORTRANGE(""https://docs.google.com/spreadsheets/d/1YXvxf8Yu6_rV4hTBrwMqAcAnv6DfhUxh5emyM3CJp_w/edit?usp=sharing"",""เพชรบุรี!L234"")+IMPORTRA"&amp;"NGE(""https://docs.google.com/spreadsheets/d/19KBlQQs7uwvsao6t2n-KvW3Ax8J8uRRfZPq1zPbXgKc/edit?usp=sharing"",""ระยอง!L234"")+IMPORTRANGE(""https://docs.google.com/spreadsheets/d/1jQ6P4QcrGM89YfqcC_PxOHGCMq5ezhucwJd8ci-NHng/edit?usp=sharing"",""ราชบุรี!L23"&amp;"4"")+IMPORTRANGE(""https://docs.google.com/spreadsheets/d/1lufeA2cfFqM-elVq2hznhDzC6Pr7wkJ9ZG_sYNGCMCU/edit?usp=sharing"",""ลพบุรี!L234"")+IMPORTRANGE(""https://docs.google.com/spreadsheets/d/10oOiF7loTyfsTkbd4MpaIm0HQ9SwB7IYHdIUvt-U1Uc/edit?usp=sharing"""&amp;",""สระแก้ว!L234"")+IMPORTRANGE(""https://docs.google.com/spreadsheets/d/1xmPlrr1QbdSIKvl1dWUl9K4PjAfSL9oeMr_37QVzcxc/edit?usp=sharing"",""สระบุรี!L234"")+IMPORTRANGE(""https://docs.google.com/spreadsheets/d/1j51vR6CYVGhABJpv6tkstgok82RLpXieLzW1yOY5rHw/edi"&amp;"t?usp=sharing"",""สิงห์บุรี!L234"")+IMPORTRANGE(""https://docs.google.com/spreadsheets/d/1H1EalTWKUSzO4Z1-1CwzoDUaVffgrThEBe2sl74kKG0/edit?usp=sharing"",""สุพรรณบุรี!L234"")+IMPORTRANGE(""https://docs.google.com/spreadsheets/d/1BmIruG_sIrJLYao_Pdr7zVArWsf"&amp;"oBt2692TMi6x_854/edit?usp=sharing"",""อ่างทอง!L234"")"),31000)</f>
        <v>31000</v>
      </c>
      <c r="M235" s="72"/>
      <c r="N235" s="88">
        <f ca="1">IFERROR(__xludf.DUMMYFUNCTION("IMPORTRANGE(""https://docs.google.com/spreadsheets/d/13wPX838HrBrQMCywv1BsuMkt4PEKTChp52zj44s2izQ/edit?usp=sharing"",""กาญจนบุรี!N234"")+IMPORTRANGE(""https://docs.google.com/spreadsheets/d/1ddFKvqj1W1NEiWytbGlB1zMx_ykJDVtmfEQ-6-lIUBA/edit?usp=sharing"","&amp;"""จันทบุรี!N234"")+IMPORTRANGE(""https://docs.google.com/spreadsheets/d/1T1PQvRODqOBZk8BRht_U031fIS1beLA0Ub2CEytj2q0/edit?usp=sharing"",""ฉะเชิงเทรา!N234"")+IMPORTRANGE(""https://docs.google.com/spreadsheets/d/11tr1B-Bhyr79v2bkwVh5h_fR-PStkgjlZtkrZpYurG0/"&amp;"edit?usp=sharing"",""ชลบุรี!N234"")+IMPORTRANGE(""https://docs.google.com/spreadsheets/d/1hh-FVnSX0vozXhGluamEcS54Dw9_zqW0N7qJUWgJ0Sw/edit?usp=sharing"",""ชัยนาท!N234"")+IMPORTRANGE(""https://docs.google.com/spreadsheets/d/1jkqa6GXxSacMcY1eN8AHjMNJ_7dDXMJ"&amp;"VRLDlaFSOdPM/edit?usp=sharing"",""ตราด!N234"")+IMPORTRANGE(""https://docs.google.com/spreadsheets/d/18hSgUJ3VwClqi_qtULmmW3cLr0oe3OKaSYoKzdpTsYQ/edit?usp=sharing"",""นครนายก!N234"")+IMPORTRANGE(""https://docs.google.com/spreadsheets/d/1YTZo6WM2dQ6Ix6FSdnL"&amp;"5P7uVnVKu40sxZu975tgG10E/edit?usp=sharing"",""นครปฐม!N234"")+IMPORTRANGE(""https://docs.google.com/spreadsheets/d/1OYoGg4WDg5RIzwGeB10padOxJF9E_Vljuvvct_M7RDo/edit?usp=sharing"",""ปทุมธานี!N234"")+IMPORTRANGE(""https://docs.google.com/spreadsheets/d/1GbCI"&amp;"E4D4wk9FUozzqk7SxfDMxDVBwVmI5zcaVUSzKAc/edit?usp=sharing"",""ประจวบคีรีขันธ์!N234"")+IMPORTRANGE(""https://docs.google.com/spreadsheets/d/1vVf6wykvW_lAyu7Yo9L4hUTqHqIeP_qcVuxCtosJEbg/edit?usp=sharing"",""ปราจีนบุรี!N234"")+IMPORTRANGE(""https://docs.googl"&amp;"e.com/spreadsheets/d/1BIDqLLg5jk3v59G8NlR8rk5xfQDKne0sAvZHSj7TI6I/edit?usp=sharing"",""พระนครศรีอยุธยา!N234"")+IMPORTRANGE(""https://docs.google.com/spreadsheets/d/1YXvxf8Yu6_rV4hTBrwMqAcAnv6DfhUxh5emyM3CJp_w/edit?usp=sharing"",""เพชรบุรี!N234"")+IMPORTRA"&amp;"NGE(""https://docs.google.com/spreadsheets/d/19KBlQQs7uwvsao6t2n-KvW3Ax8J8uRRfZPq1zPbXgKc/edit?usp=sharing"",""ระยอง!N234"")+IMPORTRANGE(""https://docs.google.com/spreadsheets/d/1jQ6P4QcrGM89YfqcC_PxOHGCMq5ezhucwJd8ci-NHng/edit?usp=sharing"",""ราชบุรี!N23"&amp;"4"")+IMPORTRANGE(""https://docs.google.com/spreadsheets/d/1lufeA2cfFqM-elVq2hznhDzC6Pr7wkJ9ZG_sYNGCMCU/edit?usp=sharing"",""ลพบุรี!N234"")+IMPORTRANGE(""https://docs.google.com/spreadsheets/d/10oOiF7loTyfsTkbd4MpaIm0HQ9SwB7IYHdIUvt-U1Uc/edit?usp=sharing"""&amp;",""สระแก้ว!N234"")+IMPORTRANGE(""https://docs.google.com/spreadsheets/d/1xmPlrr1QbdSIKvl1dWUl9K4PjAfSL9oeMr_37QVzcxc/edit?usp=sharing"",""สระบุรี!N234"")+IMPORTRANGE(""https://docs.google.com/spreadsheets/d/1j51vR6CYVGhABJpv6tkstgok82RLpXieLzW1yOY5rHw/edi"&amp;"t?usp=sharing"",""สิงห์บุรี!N234"")+IMPORTRANGE(""https://docs.google.com/spreadsheets/d/1H1EalTWKUSzO4Z1-1CwzoDUaVffgrThEBe2sl74kKG0/edit?usp=sharing"",""สุพรรณบุรี!N234"")+IMPORTRANGE(""https://docs.google.com/spreadsheets/d/1BmIruG_sIrJLYao_Pdr7zVArWsf"&amp;"oBt2692TMi6x_854/edit?usp=sharing"",""อ่างทอง!N234"")"),4130)</f>
        <v>4130</v>
      </c>
      <c r="O235" s="72"/>
      <c r="P235" s="72"/>
      <c r="Q235" s="86"/>
      <c r="R235" s="87"/>
      <c r="S235" s="87"/>
      <c r="T235" s="87"/>
      <c r="U235" s="87"/>
    </row>
    <row r="236" spans="1:21" ht="18.75" x14ac:dyDescent="0.25">
      <c r="A236" s="377"/>
      <c r="B236" s="381"/>
      <c r="C236" s="381"/>
      <c r="D236" s="75" t="s">
        <v>106</v>
      </c>
      <c r="E236" s="67"/>
      <c r="F236" s="67"/>
      <c r="G236" s="69"/>
      <c r="H236" s="218" t="s">
        <v>14</v>
      </c>
      <c r="I236" s="71"/>
      <c r="J236" s="71"/>
      <c r="K236" s="72"/>
      <c r="L236" s="88">
        <f ca="1">IFERROR(__xludf.DUMMYFUNCTION("IMPORTRANGE(""https://docs.google.com/spreadsheets/d/13wPX838HrBrQMCywv1BsuMkt4PEKTChp52zj44s2izQ/edit?usp=sharing"",""กาญจนบุรี!L235"")+IMPORTRANGE(""https://docs.google.com/spreadsheets/d/1ddFKvqj1W1NEiWytbGlB1zMx_ykJDVtmfEQ-6-lIUBA/edit?usp=sharing"","&amp;"""จันทบุรี!L235"")+IMPORTRANGE(""https://docs.google.com/spreadsheets/d/1T1PQvRODqOBZk8BRht_U031fIS1beLA0Ub2CEytj2q0/edit?usp=sharing"",""ฉะเชิงเทรา!L235"")+IMPORTRANGE(""https://docs.google.com/spreadsheets/d/11tr1B-Bhyr79v2bkwVh5h_fR-PStkgjlZtkrZpYurG0/"&amp;"edit?usp=sharing"",""ชลบุรี!L235"")+IMPORTRANGE(""https://docs.google.com/spreadsheets/d/1hh-FVnSX0vozXhGluamEcS54Dw9_zqW0N7qJUWgJ0Sw/edit?usp=sharing"",""ชัยนาท!L235"")+IMPORTRANGE(""https://docs.google.com/spreadsheets/d/1jkqa6GXxSacMcY1eN8AHjMNJ_7dDXMJ"&amp;"VRLDlaFSOdPM/edit?usp=sharing"",""ตราด!L235"")+IMPORTRANGE(""https://docs.google.com/spreadsheets/d/18hSgUJ3VwClqi_qtULmmW3cLr0oe3OKaSYoKzdpTsYQ/edit?usp=sharing"",""นครนายก!L235"")+IMPORTRANGE(""https://docs.google.com/spreadsheets/d/1YTZo6WM2dQ6Ix6FSdnL"&amp;"5P7uVnVKu40sxZu975tgG10E/edit?usp=sharing"",""นครปฐม!L235"")+IMPORTRANGE(""https://docs.google.com/spreadsheets/d/1OYoGg4WDg5RIzwGeB10padOxJF9E_Vljuvvct_M7RDo/edit?usp=sharing"",""ปทุมธานี!L235"")+IMPORTRANGE(""https://docs.google.com/spreadsheets/d/1GbCI"&amp;"E4D4wk9FUozzqk7SxfDMxDVBwVmI5zcaVUSzKAc/edit?usp=sharing"",""ประจวบคีรีขันธ์!L235"")+IMPORTRANGE(""https://docs.google.com/spreadsheets/d/1vVf6wykvW_lAyu7Yo9L4hUTqHqIeP_qcVuxCtosJEbg/edit?usp=sharing"",""ปราจีนบุรี!L235"")+IMPORTRANGE(""https://docs.googl"&amp;"e.com/spreadsheets/d/1BIDqLLg5jk3v59G8NlR8rk5xfQDKne0sAvZHSj7TI6I/edit?usp=sharing"",""พระนครศรีอยุธยา!L235"")+IMPORTRANGE(""https://docs.google.com/spreadsheets/d/1YXvxf8Yu6_rV4hTBrwMqAcAnv6DfhUxh5emyM3CJp_w/edit?usp=sharing"",""เพชรบุรี!L235"")+IMPORTRA"&amp;"NGE(""https://docs.google.com/spreadsheets/d/19KBlQQs7uwvsao6t2n-KvW3Ax8J8uRRfZPq1zPbXgKc/edit?usp=sharing"",""ระยอง!L235"")+IMPORTRANGE(""https://docs.google.com/spreadsheets/d/1jQ6P4QcrGM89YfqcC_PxOHGCMq5ezhucwJd8ci-NHng/edit?usp=sharing"",""ราชบุรี!L23"&amp;"5"")+IMPORTRANGE(""https://docs.google.com/spreadsheets/d/1lufeA2cfFqM-elVq2hznhDzC6Pr7wkJ9ZG_sYNGCMCU/edit?usp=sharing"",""ลพบุรี!L235"")+IMPORTRANGE(""https://docs.google.com/spreadsheets/d/10oOiF7loTyfsTkbd4MpaIm0HQ9SwB7IYHdIUvt-U1Uc/edit?usp=sharing"""&amp;",""สระแก้ว!L235"")+IMPORTRANGE(""https://docs.google.com/spreadsheets/d/1xmPlrr1QbdSIKvl1dWUl9K4PjAfSL9oeMr_37QVzcxc/edit?usp=sharing"",""สระบุรี!L235"")+IMPORTRANGE(""https://docs.google.com/spreadsheets/d/1j51vR6CYVGhABJpv6tkstgok82RLpXieLzW1yOY5rHw/edi"&amp;"t?usp=sharing"",""สิงห์บุรี!L235"")+IMPORTRANGE(""https://docs.google.com/spreadsheets/d/1H1EalTWKUSzO4Z1-1CwzoDUaVffgrThEBe2sl74kKG0/edit?usp=sharing"",""สุพรรณบุรี!L235"")+IMPORTRANGE(""https://docs.google.com/spreadsheets/d/1BmIruG_sIrJLYao_Pdr7zVArWsf"&amp;"oBt2692TMi6x_854/edit?usp=sharing"",""อ่างทอง!L235"")"),397900)</f>
        <v>397900</v>
      </c>
      <c r="M236" s="72"/>
      <c r="N236" s="88">
        <f ca="1">IFERROR(__xludf.DUMMYFUNCTION("IMPORTRANGE(""https://docs.google.com/spreadsheets/d/13wPX838HrBrQMCywv1BsuMkt4PEKTChp52zj44s2izQ/edit?usp=sharing"",""กาญจนบุรี!N235"")+IMPORTRANGE(""https://docs.google.com/spreadsheets/d/1ddFKvqj1W1NEiWytbGlB1zMx_ykJDVtmfEQ-6-lIUBA/edit?usp=sharing"","&amp;"""จันทบุรี!N235"")+IMPORTRANGE(""https://docs.google.com/spreadsheets/d/1T1PQvRODqOBZk8BRht_U031fIS1beLA0Ub2CEytj2q0/edit?usp=sharing"",""ฉะเชิงเทรา!N235"")+IMPORTRANGE(""https://docs.google.com/spreadsheets/d/11tr1B-Bhyr79v2bkwVh5h_fR-PStkgjlZtkrZpYurG0/"&amp;"edit?usp=sharing"",""ชลบุรี!N235"")+IMPORTRANGE(""https://docs.google.com/spreadsheets/d/1hh-FVnSX0vozXhGluamEcS54Dw9_zqW0N7qJUWgJ0Sw/edit?usp=sharing"",""ชัยนาท!N235"")+IMPORTRANGE(""https://docs.google.com/spreadsheets/d/1jkqa6GXxSacMcY1eN8AHjMNJ_7dDXMJ"&amp;"VRLDlaFSOdPM/edit?usp=sharing"",""ตราด!N235"")+IMPORTRANGE(""https://docs.google.com/spreadsheets/d/18hSgUJ3VwClqi_qtULmmW3cLr0oe3OKaSYoKzdpTsYQ/edit?usp=sharing"",""นครนายก!N235"")+IMPORTRANGE(""https://docs.google.com/spreadsheets/d/1YTZo6WM2dQ6Ix6FSdnL"&amp;"5P7uVnVKu40sxZu975tgG10E/edit?usp=sharing"",""นครปฐม!N235"")+IMPORTRANGE(""https://docs.google.com/spreadsheets/d/1OYoGg4WDg5RIzwGeB10padOxJF9E_Vljuvvct_M7RDo/edit?usp=sharing"",""ปทุมธานี!N235"")+IMPORTRANGE(""https://docs.google.com/spreadsheets/d/1GbCI"&amp;"E4D4wk9FUozzqk7SxfDMxDVBwVmI5zcaVUSzKAc/edit?usp=sharing"",""ประจวบคีรีขันธ์!N235"")+IMPORTRANGE(""https://docs.google.com/spreadsheets/d/1vVf6wykvW_lAyu7Yo9L4hUTqHqIeP_qcVuxCtosJEbg/edit?usp=sharing"",""ปราจีนบุรี!N235"")+IMPORTRANGE(""https://docs.googl"&amp;"e.com/spreadsheets/d/1BIDqLLg5jk3v59G8NlR8rk5xfQDKne0sAvZHSj7TI6I/edit?usp=sharing"",""พระนครศรีอยุธยา!N235"")+IMPORTRANGE(""https://docs.google.com/spreadsheets/d/1YXvxf8Yu6_rV4hTBrwMqAcAnv6DfhUxh5emyM3CJp_w/edit?usp=sharing"",""เพชรบุรี!N235"")+IMPORTRA"&amp;"NGE(""https://docs.google.com/spreadsheets/d/19KBlQQs7uwvsao6t2n-KvW3Ax8J8uRRfZPq1zPbXgKc/edit?usp=sharing"",""ระยอง!N235"")+IMPORTRANGE(""https://docs.google.com/spreadsheets/d/1jQ6P4QcrGM89YfqcC_PxOHGCMq5ezhucwJd8ci-NHng/edit?usp=sharing"",""ราชบุรี!N23"&amp;"5"")+IMPORTRANGE(""https://docs.google.com/spreadsheets/d/1lufeA2cfFqM-elVq2hznhDzC6Pr7wkJ9ZG_sYNGCMCU/edit?usp=sharing"",""ลพบุรี!N235"")+IMPORTRANGE(""https://docs.google.com/spreadsheets/d/10oOiF7loTyfsTkbd4MpaIm0HQ9SwB7IYHdIUvt-U1Uc/edit?usp=sharing"""&amp;",""สระแก้ว!N235"")+IMPORTRANGE(""https://docs.google.com/spreadsheets/d/1xmPlrr1QbdSIKvl1dWUl9K4PjAfSL9oeMr_37QVzcxc/edit?usp=sharing"",""สระบุรี!N235"")+IMPORTRANGE(""https://docs.google.com/spreadsheets/d/1j51vR6CYVGhABJpv6tkstgok82RLpXieLzW1yOY5rHw/edi"&amp;"t?usp=sharing"",""สิงห์บุรี!N235"")+IMPORTRANGE(""https://docs.google.com/spreadsheets/d/1H1EalTWKUSzO4Z1-1CwzoDUaVffgrThEBe2sl74kKG0/edit?usp=sharing"",""สุพรรณบุรี!N235"")+IMPORTRANGE(""https://docs.google.com/spreadsheets/d/1BmIruG_sIrJLYao_Pdr7zVArWsf"&amp;"oBt2692TMi6x_854/edit?usp=sharing"",""อ่างทอง!N235"")"),88500)</f>
        <v>88500</v>
      </c>
      <c r="O236" s="72"/>
      <c r="P236" s="72"/>
      <c r="Q236" s="86"/>
      <c r="R236" s="87"/>
      <c r="S236" s="87"/>
      <c r="T236" s="87"/>
      <c r="U236" s="87"/>
    </row>
    <row r="237" spans="1:21" ht="18.75" x14ac:dyDescent="0.25">
      <c r="A237" s="377"/>
      <c r="B237" s="381"/>
      <c r="C237" s="381"/>
      <c r="D237" s="75" t="s">
        <v>107</v>
      </c>
      <c r="E237" s="67"/>
      <c r="F237" s="67"/>
      <c r="G237" s="69"/>
      <c r="H237" s="218" t="s">
        <v>14</v>
      </c>
      <c r="I237" s="71"/>
      <c r="J237" s="71"/>
      <c r="K237" s="72"/>
      <c r="L237" s="88">
        <f ca="1">IFERROR(__xludf.DUMMYFUNCTION("IMPORTRANGE(""https://docs.google.com/spreadsheets/d/13wPX838HrBrQMCywv1BsuMkt4PEKTChp52zj44s2izQ/edit?usp=sharing"",""กาญจนบุรี!L236"")+IMPORTRANGE(""https://docs.google.com/spreadsheets/d/1ddFKvqj1W1NEiWytbGlB1zMx_ykJDVtmfEQ-6-lIUBA/edit?usp=sharing"","&amp;"""จันทบุรี!L236"")+IMPORTRANGE(""https://docs.google.com/spreadsheets/d/1T1PQvRODqOBZk8BRht_U031fIS1beLA0Ub2CEytj2q0/edit?usp=sharing"",""ฉะเชิงเทรา!L236"")+IMPORTRANGE(""https://docs.google.com/spreadsheets/d/11tr1B-Bhyr79v2bkwVh5h_fR-PStkgjlZtkrZpYurG0/"&amp;"edit?usp=sharing"",""ชลบุรี!L236"")+IMPORTRANGE(""https://docs.google.com/spreadsheets/d/1hh-FVnSX0vozXhGluamEcS54Dw9_zqW0N7qJUWgJ0Sw/edit?usp=sharing"",""ชัยนาท!L236"")+IMPORTRANGE(""https://docs.google.com/spreadsheets/d/1jkqa6GXxSacMcY1eN8AHjMNJ_7dDXMJ"&amp;"VRLDlaFSOdPM/edit?usp=sharing"",""ตราด!L236"")+IMPORTRANGE(""https://docs.google.com/spreadsheets/d/18hSgUJ3VwClqi_qtULmmW3cLr0oe3OKaSYoKzdpTsYQ/edit?usp=sharing"",""นครนายก!L236"")+IMPORTRANGE(""https://docs.google.com/spreadsheets/d/1YTZo6WM2dQ6Ix6FSdnL"&amp;"5P7uVnVKu40sxZu975tgG10E/edit?usp=sharing"",""นครปฐม!L236"")+IMPORTRANGE(""https://docs.google.com/spreadsheets/d/1OYoGg4WDg5RIzwGeB10padOxJF9E_Vljuvvct_M7RDo/edit?usp=sharing"",""ปทุมธานี!L236"")+IMPORTRANGE(""https://docs.google.com/spreadsheets/d/1GbCI"&amp;"E4D4wk9FUozzqk7SxfDMxDVBwVmI5zcaVUSzKAc/edit?usp=sharing"",""ประจวบคีรีขันธ์!L236"")+IMPORTRANGE(""https://docs.google.com/spreadsheets/d/1vVf6wykvW_lAyu7Yo9L4hUTqHqIeP_qcVuxCtosJEbg/edit?usp=sharing"",""ปราจีนบุรี!L236"")+IMPORTRANGE(""https://docs.googl"&amp;"e.com/spreadsheets/d/1BIDqLLg5jk3v59G8NlR8rk5xfQDKne0sAvZHSj7TI6I/edit?usp=sharing"",""พระนครศรีอยุธยา!L236"")+IMPORTRANGE(""https://docs.google.com/spreadsheets/d/1YXvxf8Yu6_rV4hTBrwMqAcAnv6DfhUxh5emyM3CJp_w/edit?usp=sharing"",""เพชรบุรี!L236"")+IMPORTRA"&amp;"NGE(""https://docs.google.com/spreadsheets/d/19KBlQQs7uwvsao6t2n-KvW3Ax8J8uRRfZPq1zPbXgKc/edit?usp=sharing"",""ระยอง!L236"")+IMPORTRANGE(""https://docs.google.com/spreadsheets/d/1jQ6P4QcrGM89YfqcC_PxOHGCMq5ezhucwJd8ci-NHng/edit?usp=sharing"",""ราชบุรี!L23"&amp;"6"")+IMPORTRANGE(""https://docs.google.com/spreadsheets/d/1lufeA2cfFqM-elVq2hznhDzC6Pr7wkJ9ZG_sYNGCMCU/edit?usp=sharing"",""ลพบุรี!L236"")+IMPORTRANGE(""https://docs.google.com/spreadsheets/d/10oOiF7loTyfsTkbd4MpaIm0HQ9SwB7IYHdIUvt-U1Uc/edit?usp=sharing"""&amp;",""สระแก้ว!L236"")+IMPORTRANGE(""https://docs.google.com/spreadsheets/d/1xmPlrr1QbdSIKvl1dWUl9K4PjAfSL9oeMr_37QVzcxc/edit?usp=sharing"",""สระบุรี!L236"")+IMPORTRANGE(""https://docs.google.com/spreadsheets/d/1j51vR6CYVGhABJpv6tkstgok82RLpXieLzW1yOY5rHw/edi"&amp;"t?usp=sharing"",""สิงห์บุรี!L236"")+IMPORTRANGE(""https://docs.google.com/spreadsheets/d/1H1EalTWKUSzO4Z1-1CwzoDUaVffgrThEBe2sl74kKG0/edit?usp=sharing"",""สุพรรณบุรี!L236"")+IMPORTRANGE(""https://docs.google.com/spreadsheets/d/1BmIruG_sIrJLYao_Pdr7zVArWsf"&amp;"oBt2692TMi6x_854/edit?usp=sharing"",""อ่างทอง!L236"")"),366000)</f>
        <v>366000</v>
      </c>
      <c r="M237" s="72"/>
      <c r="N237" s="88">
        <f ca="1">IFERROR(__xludf.DUMMYFUNCTION("IMPORTRANGE(""https://docs.google.com/spreadsheets/d/13wPX838HrBrQMCywv1BsuMkt4PEKTChp52zj44s2izQ/edit?usp=sharing"",""กาญจนบุรี!N236"")+IMPORTRANGE(""https://docs.google.com/spreadsheets/d/1ddFKvqj1W1NEiWytbGlB1zMx_ykJDVtmfEQ-6-lIUBA/edit?usp=sharing"","&amp;"""จันทบุรี!N236"")+IMPORTRANGE(""https://docs.google.com/spreadsheets/d/1T1PQvRODqOBZk8BRht_U031fIS1beLA0Ub2CEytj2q0/edit?usp=sharing"",""ฉะเชิงเทรา!N236"")+IMPORTRANGE(""https://docs.google.com/spreadsheets/d/11tr1B-Bhyr79v2bkwVh5h_fR-PStkgjlZtkrZpYurG0/"&amp;"edit?usp=sharing"",""ชลบุรี!N236"")+IMPORTRANGE(""https://docs.google.com/spreadsheets/d/1hh-FVnSX0vozXhGluamEcS54Dw9_zqW0N7qJUWgJ0Sw/edit?usp=sharing"",""ชัยนาท!N236"")+IMPORTRANGE(""https://docs.google.com/spreadsheets/d/1jkqa6GXxSacMcY1eN8AHjMNJ_7dDXMJ"&amp;"VRLDlaFSOdPM/edit?usp=sharing"",""ตราด!N236"")+IMPORTRANGE(""https://docs.google.com/spreadsheets/d/18hSgUJ3VwClqi_qtULmmW3cLr0oe3OKaSYoKzdpTsYQ/edit?usp=sharing"",""นครนายก!N236"")+IMPORTRANGE(""https://docs.google.com/spreadsheets/d/1YTZo6WM2dQ6Ix6FSdnL"&amp;"5P7uVnVKu40sxZu975tgG10E/edit?usp=sharing"",""นครปฐม!N236"")+IMPORTRANGE(""https://docs.google.com/spreadsheets/d/1OYoGg4WDg5RIzwGeB10padOxJF9E_Vljuvvct_M7RDo/edit?usp=sharing"",""ปทุมธานี!N236"")+IMPORTRANGE(""https://docs.google.com/spreadsheets/d/1GbCI"&amp;"E4D4wk9FUozzqk7SxfDMxDVBwVmI5zcaVUSzKAc/edit?usp=sharing"",""ประจวบคีรีขันธ์!N236"")+IMPORTRANGE(""https://docs.google.com/spreadsheets/d/1vVf6wykvW_lAyu7Yo9L4hUTqHqIeP_qcVuxCtosJEbg/edit?usp=sharing"",""ปราจีนบุรี!N236"")+IMPORTRANGE(""https://docs.googl"&amp;"e.com/spreadsheets/d/1BIDqLLg5jk3v59G8NlR8rk5xfQDKne0sAvZHSj7TI6I/edit?usp=sharing"",""พระนครศรีอยุธยา!N236"")+IMPORTRANGE(""https://docs.google.com/spreadsheets/d/1YXvxf8Yu6_rV4hTBrwMqAcAnv6DfhUxh5emyM3CJp_w/edit?usp=sharing"",""เพชรบุรี!N236"")+IMPORTRA"&amp;"NGE(""https://docs.google.com/spreadsheets/d/19KBlQQs7uwvsao6t2n-KvW3Ax8J8uRRfZPq1zPbXgKc/edit?usp=sharing"",""ระยอง!N236"")+IMPORTRANGE(""https://docs.google.com/spreadsheets/d/1jQ6P4QcrGM89YfqcC_PxOHGCMq5ezhucwJd8ci-NHng/edit?usp=sharing"",""ราชบุรี!N23"&amp;"6"")+IMPORTRANGE(""https://docs.google.com/spreadsheets/d/1lufeA2cfFqM-elVq2hznhDzC6Pr7wkJ9ZG_sYNGCMCU/edit?usp=sharing"",""ลพบุรี!N236"")+IMPORTRANGE(""https://docs.google.com/spreadsheets/d/10oOiF7loTyfsTkbd4MpaIm0HQ9SwB7IYHdIUvt-U1Uc/edit?usp=sharing"""&amp;",""สระแก้ว!N236"")+IMPORTRANGE(""https://docs.google.com/spreadsheets/d/1xmPlrr1QbdSIKvl1dWUl9K4PjAfSL9oeMr_37QVzcxc/edit?usp=sharing"",""สระบุรี!N236"")+IMPORTRANGE(""https://docs.google.com/spreadsheets/d/1j51vR6CYVGhABJpv6tkstgok82RLpXieLzW1yOY5rHw/edi"&amp;"t?usp=sharing"",""สิงห์บุรี!N236"")+IMPORTRANGE(""https://docs.google.com/spreadsheets/d/1H1EalTWKUSzO4Z1-1CwzoDUaVffgrThEBe2sl74kKG0/edit?usp=sharing"",""สุพรรณบุรี!N236"")+IMPORTRANGE(""https://docs.google.com/spreadsheets/d/1BmIruG_sIrJLYao_Pdr7zVArWsf"&amp;"oBt2692TMi6x_854/edit?usp=sharing"",""อ่างทอง!N236"")"),36000)</f>
        <v>36000</v>
      </c>
      <c r="O237" s="72"/>
      <c r="P237" s="72"/>
      <c r="Q237" s="86"/>
      <c r="R237" s="87"/>
      <c r="S237" s="87"/>
      <c r="T237" s="87"/>
      <c r="U237" s="87"/>
    </row>
    <row r="238" spans="1:21" ht="19.5" x14ac:dyDescent="0.3">
      <c r="A238" s="222"/>
      <c r="B238" s="223"/>
      <c r="C238" s="402" t="s">
        <v>18</v>
      </c>
      <c r="D238" s="224" t="s">
        <v>38</v>
      </c>
      <c r="E238" s="225"/>
      <c r="F238" s="225"/>
      <c r="G238" s="226"/>
      <c r="H238" s="227"/>
      <c r="I238" s="219"/>
      <c r="J238" s="71"/>
      <c r="K238" s="72"/>
      <c r="L238" s="72"/>
      <c r="M238" s="72"/>
      <c r="N238" s="72"/>
      <c r="O238" s="220"/>
      <c r="P238" s="220"/>
      <c r="Q238" s="86"/>
      <c r="R238" s="87"/>
      <c r="S238" s="87"/>
      <c r="T238" s="229"/>
      <c r="U238" s="229"/>
    </row>
    <row r="239" spans="1:21" ht="18.75" x14ac:dyDescent="0.25">
      <c r="A239" s="222"/>
      <c r="B239" s="223"/>
      <c r="C239" s="223"/>
      <c r="D239" s="395" t="s">
        <v>108</v>
      </c>
      <c r="E239" s="231"/>
      <c r="F239" s="231"/>
      <c r="G239" s="227"/>
      <c r="H239" s="237" t="s">
        <v>35</v>
      </c>
      <c r="I239" s="321">
        <f ca="1">IFERROR(__xludf.DUMMYFUNCTION("IMPORTRANGE(""https://docs.google.com/spreadsheets/d/13wPX838HrBrQMCywv1BsuMkt4PEKTChp52zj44s2izQ/edit?usp=sharing"",""กาญจนบุรี!I238"")+IMPORTRANGE(""https://docs.google.com/spreadsheets/d/1ddFKvqj1W1NEiWytbGlB1zMx_ykJDVtmfEQ-6-lIUBA/edit?usp=sharing"","&amp;"""จันทบุรี!I238"")+IMPORTRANGE(""https://docs.google.com/spreadsheets/d/1T1PQvRODqOBZk8BRht_U031fIS1beLA0Ub2CEytj2q0/edit?usp=sharing"",""ฉะเชิงเทรา!I238"")+IMPORTRANGE(""https://docs.google.com/spreadsheets/d/11tr1B-Bhyr79v2bkwVh5h_fR-PStkgjlZtkrZpYurG0/"&amp;"edit?usp=sharing"",""ชลบุรี!I238"")+IMPORTRANGE(""https://docs.google.com/spreadsheets/d/1hh-FVnSX0vozXhGluamEcS54Dw9_zqW0N7qJUWgJ0Sw/edit?usp=sharing"",""ชัยนาท!I238"")+IMPORTRANGE(""https://docs.google.com/spreadsheets/d/1jkqa6GXxSacMcY1eN8AHjMNJ_7dDXMJ"&amp;"VRLDlaFSOdPM/edit?usp=sharing"",""ตราด!I238"")+IMPORTRANGE(""https://docs.google.com/spreadsheets/d/18hSgUJ3VwClqi_qtULmmW3cLr0oe3OKaSYoKzdpTsYQ/edit?usp=sharing"",""นครนายก!I238"")+IMPORTRANGE(""https://docs.google.com/spreadsheets/d/1YTZo6WM2dQ6Ix6FSdnL"&amp;"5P7uVnVKu40sxZu975tgG10E/edit?usp=sharing"",""นครปฐม!I238"")+IMPORTRANGE(""https://docs.google.com/spreadsheets/d/1OYoGg4WDg5RIzwGeB10padOxJF9E_Vljuvvct_M7RDo/edit?usp=sharing"",""ปทุมธานี!I238"")+IMPORTRANGE(""https://docs.google.com/spreadsheets/d/1GbCI"&amp;"E4D4wk9FUozzqk7SxfDMxDVBwVmI5zcaVUSzKAc/edit?usp=sharing"",""ประจวบคีรีขันธ์!I238"")+IMPORTRANGE(""https://docs.google.com/spreadsheets/d/1vVf6wykvW_lAyu7Yo9L4hUTqHqIeP_qcVuxCtosJEbg/edit?usp=sharing"",""ปราจีนบุรี!I238"")+IMPORTRANGE(""https://docs.googl"&amp;"e.com/spreadsheets/d/1BIDqLLg5jk3v59G8NlR8rk5xfQDKne0sAvZHSj7TI6I/edit?usp=sharing"",""พระนครศรีอยุธยา!I238"")+IMPORTRANGE(""https://docs.google.com/spreadsheets/d/1YXvxf8Yu6_rV4hTBrwMqAcAnv6DfhUxh5emyM3CJp_w/edit?usp=sharing"",""เพชรบุรี!I238"")+IMPORTRA"&amp;"NGE(""https://docs.google.com/spreadsheets/d/19KBlQQs7uwvsao6t2n-KvW3Ax8J8uRRfZPq1zPbXgKc/edit?usp=sharing"",""ระยอง!I238"")+IMPORTRANGE(""https://docs.google.com/spreadsheets/d/1jQ6P4QcrGM89YfqcC_PxOHGCMq5ezhucwJd8ci-NHng/edit?usp=sharing"",""ราชบุรี!I23"&amp;"8"")+IMPORTRANGE(""https://docs.google.com/spreadsheets/d/1lufeA2cfFqM-elVq2hznhDzC6Pr7wkJ9ZG_sYNGCMCU/edit?usp=sharing"",""ลพบุรี!I238"")+IMPORTRANGE(""https://docs.google.com/spreadsheets/d/10oOiF7loTyfsTkbd4MpaIm0HQ9SwB7IYHdIUvt-U1Uc/edit?usp=sharing"""&amp;",""สระแก้ว!I238"")+IMPORTRANGE(""https://docs.google.com/spreadsheets/d/1xmPlrr1QbdSIKvl1dWUl9K4PjAfSL9oeMr_37QVzcxc/edit?usp=sharing"",""สระบุรี!I238"")+IMPORTRANGE(""https://docs.google.com/spreadsheets/d/1j51vR6CYVGhABJpv6tkstgok82RLpXieLzW1yOY5rHw/edi"&amp;"t?usp=sharing"",""สิงห์บุรี!I238"")+IMPORTRANGE(""https://docs.google.com/spreadsheets/d/1H1EalTWKUSzO4Z1-1CwzoDUaVffgrThEBe2sl74kKG0/edit?usp=sharing"",""สุพรรณบุรี!I238"")+IMPORTRANGE(""https://docs.google.com/spreadsheets/d/1BmIruG_sIrJLYao_Pdr7zVArWsf"&amp;"oBt2692TMi6x_854/edit?usp=sharing"",""อ่างทอง!I238"")"),330)</f>
        <v>330</v>
      </c>
      <c r="J239" s="321">
        <f ca="1">IFERROR(__xludf.DUMMYFUNCTION("IMPORTRANGE(""https://docs.google.com/spreadsheets/d/13wPX838HrBrQMCywv1BsuMkt4PEKTChp52zj44s2izQ/edit?usp=sharing"",""กาญจนบุรี!J238"")+IMPORTRANGE(""https://docs.google.com/spreadsheets/d/1ddFKvqj1W1NEiWytbGlB1zMx_ykJDVtmfEQ-6-lIUBA/edit?usp=sharing"","&amp;"""จันทบุรี!J238"")+IMPORTRANGE(""https://docs.google.com/spreadsheets/d/1T1PQvRODqOBZk8BRht_U031fIS1beLA0Ub2CEytj2q0/edit?usp=sharing"",""ฉะเชิงเทรา!J238"")+IMPORTRANGE(""https://docs.google.com/spreadsheets/d/11tr1B-Bhyr79v2bkwVh5h_fR-PStkgjlZtkrZpYurG0/"&amp;"edit?usp=sharing"",""ชลบุรี!J238"")+IMPORTRANGE(""https://docs.google.com/spreadsheets/d/1hh-FVnSX0vozXhGluamEcS54Dw9_zqW0N7qJUWgJ0Sw/edit?usp=sharing"",""ชัยนาท!J238"")+IMPORTRANGE(""https://docs.google.com/spreadsheets/d/1jkqa6GXxSacMcY1eN8AHjMNJ_7dDXMJ"&amp;"VRLDlaFSOdPM/edit?usp=sharing"",""ตราด!J238"")+IMPORTRANGE(""https://docs.google.com/spreadsheets/d/18hSgUJ3VwClqi_qtULmmW3cLr0oe3OKaSYoKzdpTsYQ/edit?usp=sharing"",""นครนายก!J238"")+IMPORTRANGE(""https://docs.google.com/spreadsheets/d/1YTZo6WM2dQ6Ix6FSdnL"&amp;"5P7uVnVKu40sxZu975tgG10E/edit?usp=sharing"",""นครปฐม!J238"")+IMPORTRANGE(""https://docs.google.com/spreadsheets/d/1OYoGg4WDg5RIzwGeB10padOxJF9E_Vljuvvct_M7RDo/edit?usp=sharing"",""ปทุมธานี!J238"")+IMPORTRANGE(""https://docs.google.com/spreadsheets/d/1GbCI"&amp;"E4D4wk9FUozzqk7SxfDMxDVBwVmI5zcaVUSzKAc/edit?usp=sharing"",""ประจวบคีรีขันธ์!J238"")+IMPORTRANGE(""https://docs.google.com/spreadsheets/d/1vVf6wykvW_lAyu7Yo9L4hUTqHqIeP_qcVuxCtosJEbg/edit?usp=sharing"",""ปราจีนบุรี!J238"")+IMPORTRANGE(""https://docs.googl"&amp;"e.com/spreadsheets/d/1BIDqLLg5jk3v59G8NlR8rk5xfQDKne0sAvZHSj7TI6I/edit?usp=sharing"",""พระนครศรีอยุธยา!J238"")+IMPORTRANGE(""https://docs.google.com/spreadsheets/d/1YXvxf8Yu6_rV4hTBrwMqAcAnv6DfhUxh5emyM3CJp_w/edit?usp=sharing"",""เพชรบุรี!J238"")+IMPORTRA"&amp;"NGE(""https://docs.google.com/spreadsheets/d/19KBlQQs7uwvsao6t2n-KvW3Ax8J8uRRfZPq1zPbXgKc/edit?usp=sharing"",""ระยอง!J238"")+IMPORTRANGE(""https://docs.google.com/spreadsheets/d/1jQ6P4QcrGM89YfqcC_PxOHGCMq5ezhucwJd8ci-NHng/edit?usp=sharing"",""ราชบุรี!J23"&amp;"8"")+IMPORTRANGE(""https://docs.google.com/spreadsheets/d/1lufeA2cfFqM-elVq2hznhDzC6Pr7wkJ9ZG_sYNGCMCU/edit?usp=sharing"",""ลพบุรี!J238"")+IMPORTRANGE(""https://docs.google.com/spreadsheets/d/10oOiF7loTyfsTkbd4MpaIm0HQ9SwB7IYHdIUvt-U1Uc/edit?usp=sharing"""&amp;",""สระแก้ว!J238"")+IMPORTRANGE(""https://docs.google.com/spreadsheets/d/1xmPlrr1QbdSIKvl1dWUl9K4PjAfSL9oeMr_37QVzcxc/edit?usp=sharing"",""สระบุรี!J238"")+IMPORTRANGE(""https://docs.google.com/spreadsheets/d/1j51vR6CYVGhABJpv6tkstgok82RLpXieLzW1yOY5rHw/edi"&amp;"t?usp=sharing"",""สิงห์บุรี!J238"")+IMPORTRANGE(""https://docs.google.com/spreadsheets/d/1H1EalTWKUSzO4Z1-1CwzoDUaVffgrThEBe2sl74kKG0/edit?usp=sharing"",""สุพรรณบุรี!J238"")+IMPORTRANGE(""https://docs.google.com/spreadsheets/d/1BmIruG_sIrJLYao_Pdr7zVArWsf"&amp;"oBt2692TMi6x_854/edit?usp=sharing"",""อ่างทอง!J238"")"),80)</f>
        <v>80</v>
      </c>
      <c r="K239" s="88">
        <f ca="1">IF(I239&gt;0,J239*100/I239,0)</f>
        <v>24.242424242424242</v>
      </c>
      <c r="L239" s="72"/>
      <c r="M239" s="72"/>
      <c r="N239" s="72"/>
      <c r="O239" s="72"/>
      <c r="P239" s="72"/>
      <c r="Q239" s="86"/>
      <c r="R239" s="87"/>
      <c r="S239" s="87"/>
      <c r="T239" s="87"/>
      <c r="U239" s="87"/>
    </row>
    <row r="240" spans="1:21" ht="18.75" x14ac:dyDescent="0.25">
      <c r="A240" s="222"/>
      <c r="B240" s="223"/>
      <c r="C240" s="223"/>
      <c r="D240" s="412" t="s">
        <v>43</v>
      </c>
      <c r="E240" s="231"/>
      <c r="F240" s="231"/>
      <c r="G240" s="227"/>
      <c r="H240" s="227"/>
      <c r="I240" s="71"/>
      <c r="J240" s="71"/>
      <c r="K240" s="72"/>
      <c r="L240" s="72"/>
      <c r="M240" s="72"/>
      <c r="N240" s="72"/>
      <c r="O240" s="220"/>
      <c r="P240" s="220"/>
      <c r="Q240" s="86"/>
      <c r="R240" s="87"/>
      <c r="S240" s="87"/>
      <c r="T240" s="229"/>
      <c r="U240" s="229"/>
    </row>
    <row r="241" spans="1:21" ht="18.75" x14ac:dyDescent="0.25">
      <c r="A241" s="222"/>
      <c r="B241" s="223"/>
      <c r="C241" s="223"/>
      <c r="D241" s="223"/>
      <c r="E241" s="230" t="s">
        <v>109</v>
      </c>
      <c r="F241" s="231"/>
      <c r="G241" s="227"/>
      <c r="H241" s="237" t="s">
        <v>35</v>
      </c>
      <c r="I241" s="239">
        <v>0</v>
      </c>
      <c r="J241" s="321">
        <f ca="1">IFERROR(__xludf.DUMMYFUNCTION("IMPORTRANGE(""https://docs.google.com/spreadsheets/d/13wPX838HrBrQMCywv1BsuMkt4PEKTChp52zj44s2izQ/edit?usp=sharing"",""กาญจนบุรี!J240"")+IMPORTRANGE(""https://docs.google.com/spreadsheets/d/1ddFKvqj1W1NEiWytbGlB1zMx_ykJDVtmfEQ-6-lIUBA/edit?usp=sharing"","&amp;"""จันทบุรี!J240"")+IMPORTRANGE(""https://docs.google.com/spreadsheets/d/1T1PQvRODqOBZk8BRht_U031fIS1beLA0Ub2CEytj2q0/edit?usp=sharing"",""ฉะเชิงเทรา!J240"")+IMPORTRANGE(""https://docs.google.com/spreadsheets/d/11tr1B-Bhyr79v2bkwVh5h_fR-PStkgjlZtkrZpYurG0/"&amp;"edit?usp=sharing"",""ชลบุรี!J240"")+IMPORTRANGE(""https://docs.google.com/spreadsheets/d/1hh-FVnSX0vozXhGluamEcS54Dw9_zqW0N7qJUWgJ0Sw/edit?usp=sharing"",""ชัยนาท!J240"")+IMPORTRANGE(""https://docs.google.com/spreadsheets/d/1jkqa6GXxSacMcY1eN8AHjMNJ_7dDXMJ"&amp;"VRLDlaFSOdPM/edit?usp=sharing"",""ตราด!J240"")+IMPORTRANGE(""https://docs.google.com/spreadsheets/d/18hSgUJ3VwClqi_qtULmmW3cLr0oe3OKaSYoKzdpTsYQ/edit?usp=sharing"",""นครนายก!J240"")+IMPORTRANGE(""https://docs.google.com/spreadsheets/d/1YTZo6WM2dQ6Ix6FSdnL"&amp;"5P7uVnVKu40sxZu975tgG10E/edit?usp=sharing"",""นครปฐม!J240"")+IMPORTRANGE(""https://docs.google.com/spreadsheets/d/1OYoGg4WDg5RIzwGeB10padOxJF9E_Vljuvvct_M7RDo/edit?usp=sharing"",""ปทุมธานี!J240"")+IMPORTRANGE(""https://docs.google.com/spreadsheets/d/1GbCI"&amp;"E4D4wk9FUozzqk7SxfDMxDVBwVmI5zcaVUSzKAc/edit?usp=sharing"",""ประจวบคีรีขันธ์!J240"")+IMPORTRANGE(""https://docs.google.com/spreadsheets/d/1vVf6wykvW_lAyu7Yo9L4hUTqHqIeP_qcVuxCtosJEbg/edit?usp=sharing"",""ปราจีนบุรี!J240"")+IMPORTRANGE(""https://docs.googl"&amp;"e.com/spreadsheets/d/1BIDqLLg5jk3v59G8NlR8rk5xfQDKne0sAvZHSj7TI6I/edit?usp=sharing"",""พระนครศรีอยุธยา!J240"")+IMPORTRANGE(""https://docs.google.com/spreadsheets/d/1YXvxf8Yu6_rV4hTBrwMqAcAnv6DfhUxh5emyM3CJp_w/edit?usp=sharing"",""เพชรบุรี!J240"")+IMPORTRA"&amp;"NGE(""https://docs.google.com/spreadsheets/d/19KBlQQs7uwvsao6t2n-KvW3Ax8J8uRRfZPq1zPbXgKc/edit?usp=sharing"",""ระยอง!J240"")+IMPORTRANGE(""https://docs.google.com/spreadsheets/d/1jQ6P4QcrGM89YfqcC_PxOHGCMq5ezhucwJd8ci-NHng/edit?usp=sharing"",""ราชบุรี!J24"&amp;"0"")+IMPORTRANGE(""https://docs.google.com/spreadsheets/d/1lufeA2cfFqM-elVq2hznhDzC6Pr7wkJ9ZG_sYNGCMCU/edit?usp=sharing"",""ลพบุรี!J240"")+IMPORTRANGE(""https://docs.google.com/spreadsheets/d/10oOiF7loTyfsTkbd4MpaIm0HQ9SwB7IYHdIUvt-U1Uc/edit?usp=sharing"""&amp;",""สระแก้ว!J240"")+IMPORTRANGE(""https://docs.google.com/spreadsheets/d/1xmPlrr1QbdSIKvl1dWUl9K4PjAfSL9oeMr_37QVzcxc/edit?usp=sharing"",""สระบุรี!J240"")+IMPORTRANGE(""https://docs.google.com/spreadsheets/d/1j51vR6CYVGhABJpv6tkstgok82RLpXieLzW1yOY5rHw/edi"&amp;"t?usp=sharing"",""สิงห์บุรี!J240"")+IMPORTRANGE(""https://docs.google.com/spreadsheets/d/1H1EalTWKUSzO4Z1-1CwzoDUaVffgrThEBe2sl74kKG0/edit?usp=sharing"",""สุพรรณบุรี!J240"")+IMPORTRANGE(""https://docs.google.com/spreadsheets/d/1BmIruG_sIrJLYao_Pdr7zVArWsf"&amp;"oBt2692TMi6x_854/edit?usp=sharing"",""อ่างทอง!J240"")"),30)</f>
        <v>30</v>
      </c>
      <c r="K241" s="88">
        <f t="shared" ref="K241:K242" si="179">IF(I241&gt;0,J241*100/I241,0)</f>
        <v>0</v>
      </c>
      <c r="L241" s="72"/>
      <c r="M241" s="72"/>
      <c r="N241" s="72"/>
      <c r="O241" s="72"/>
      <c r="P241" s="72"/>
      <c r="Q241" s="86"/>
      <c r="R241" s="87"/>
      <c r="S241" s="87"/>
      <c r="T241" s="87"/>
      <c r="U241" s="87"/>
    </row>
    <row r="242" spans="1:21" ht="18.75" x14ac:dyDescent="0.25">
      <c r="A242" s="222"/>
      <c r="B242" s="223"/>
      <c r="C242" s="223"/>
      <c r="D242" s="223"/>
      <c r="E242" s="230" t="s">
        <v>110</v>
      </c>
      <c r="F242" s="231"/>
      <c r="G242" s="227"/>
      <c r="H242" s="237" t="s">
        <v>61</v>
      </c>
      <c r="I242" s="239">
        <v>0</v>
      </c>
      <c r="J242" s="321">
        <f ca="1">IFERROR(__xludf.DUMMYFUNCTION("IMPORTRANGE(""https://docs.google.com/spreadsheets/d/13wPX838HrBrQMCywv1BsuMkt4PEKTChp52zj44s2izQ/edit?usp=sharing"",""กาญจนบุรี!J241"")+IMPORTRANGE(""https://docs.google.com/spreadsheets/d/1ddFKvqj1W1NEiWytbGlB1zMx_ykJDVtmfEQ-6-lIUBA/edit?usp=sharing"","&amp;"""จันทบุรี!J241"")+IMPORTRANGE(""https://docs.google.com/spreadsheets/d/1T1PQvRODqOBZk8BRht_U031fIS1beLA0Ub2CEytj2q0/edit?usp=sharing"",""ฉะเชิงเทรา!J241"")+IMPORTRANGE(""https://docs.google.com/spreadsheets/d/11tr1B-Bhyr79v2bkwVh5h_fR-PStkgjlZtkrZpYurG0/"&amp;"edit?usp=sharing"",""ชลบุรี!J241"")+IMPORTRANGE(""https://docs.google.com/spreadsheets/d/1hh-FVnSX0vozXhGluamEcS54Dw9_zqW0N7qJUWgJ0Sw/edit?usp=sharing"",""ชัยนาท!J241"")+IMPORTRANGE(""https://docs.google.com/spreadsheets/d/1jkqa6GXxSacMcY1eN8AHjMNJ_7dDXMJ"&amp;"VRLDlaFSOdPM/edit?usp=sharing"",""ตราด!J241"")+IMPORTRANGE(""https://docs.google.com/spreadsheets/d/18hSgUJ3VwClqi_qtULmmW3cLr0oe3OKaSYoKzdpTsYQ/edit?usp=sharing"",""นครนายก!J241"")+IMPORTRANGE(""https://docs.google.com/spreadsheets/d/1YTZo6WM2dQ6Ix6FSdnL"&amp;"5P7uVnVKu40sxZu975tgG10E/edit?usp=sharing"",""นครปฐม!J241"")+IMPORTRANGE(""https://docs.google.com/spreadsheets/d/1OYoGg4WDg5RIzwGeB10padOxJF9E_Vljuvvct_M7RDo/edit?usp=sharing"",""ปทุมธานี!J241"")+IMPORTRANGE(""https://docs.google.com/spreadsheets/d/1GbCI"&amp;"E4D4wk9FUozzqk7SxfDMxDVBwVmI5zcaVUSzKAc/edit?usp=sharing"",""ประจวบคีรีขันธ์!J241"")+IMPORTRANGE(""https://docs.google.com/spreadsheets/d/1vVf6wykvW_lAyu7Yo9L4hUTqHqIeP_qcVuxCtosJEbg/edit?usp=sharing"",""ปราจีนบุรี!J241"")+IMPORTRANGE(""https://docs.googl"&amp;"e.com/spreadsheets/d/1BIDqLLg5jk3v59G8NlR8rk5xfQDKne0sAvZHSj7TI6I/edit?usp=sharing"",""พระนครศรีอยุธยา!J241"")+IMPORTRANGE(""https://docs.google.com/spreadsheets/d/1YXvxf8Yu6_rV4hTBrwMqAcAnv6DfhUxh5emyM3CJp_w/edit?usp=sharing"",""เพชรบุรี!J241"")+IMPORTRA"&amp;"NGE(""https://docs.google.com/spreadsheets/d/19KBlQQs7uwvsao6t2n-KvW3Ax8J8uRRfZPq1zPbXgKc/edit?usp=sharing"",""ระยอง!J241"")+IMPORTRANGE(""https://docs.google.com/spreadsheets/d/1jQ6P4QcrGM89YfqcC_PxOHGCMq5ezhucwJd8ci-NHng/edit?usp=sharing"",""ราชบุรี!J24"&amp;"1"")+IMPORTRANGE(""https://docs.google.com/spreadsheets/d/1lufeA2cfFqM-elVq2hznhDzC6Pr7wkJ9ZG_sYNGCMCU/edit?usp=sharing"",""ลพบุรี!J241"")+IMPORTRANGE(""https://docs.google.com/spreadsheets/d/10oOiF7loTyfsTkbd4MpaIm0HQ9SwB7IYHdIUvt-U1Uc/edit?usp=sharing"""&amp;",""สระแก้ว!J241"")+IMPORTRANGE(""https://docs.google.com/spreadsheets/d/1xmPlrr1QbdSIKvl1dWUl9K4PjAfSL9oeMr_37QVzcxc/edit?usp=sharing"",""สระบุรี!J241"")+IMPORTRANGE(""https://docs.google.com/spreadsheets/d/1j51vR6CYVGhABJpv6tkstgok82RLpXieLzW1yOY5rHw/edi"&amp;"t?usp=sharing"",""สิงห์บุรี!J241"")+IMPORTRANGE(""https://docs.google.com/spreadsheets/d/1H1EalTWKUSzO4Z1-1CwzoDUaVffgrThEBe2sl74kKG0/edit?usp=sharing"",""สุพรรณบุรี!J241"")+IMPORTRANGE(""https://docs.google.com/spreadsheets/d/1BmIruG_sIrJLYao_Pdr7zVArWsf"&amp;"oBt2692TMi6x_854/edit?usp=sharing"",""อ่างทอง!J241"")"),0)</f>
        <v>0</v>
      </c>
      <c r="K242" s="88">
        <f t="shared" si="179"/>
        <v>0</v>
      </c>
      <c r="L242" s="72"/>
      <c r="M242" s="72"/>
      <c r="N242" s="72"/>
      <c r="O242" s="72"/>
      <c r="P242" s="72"/>
      <c r="Q242" s="86"/>
      <c r="R242" s="87"/>
      <c r="S242" s="87"/>
      <c r="T242" s="87"/>
      <c r="U242" s="87"/>
    </row>
    <row r="243" spans="1:21" ht="19.5" hidden="1" x14ac:dyDescent="0.3">
      <c r="A243" s="413"/>
      <c r="B243" s="414"/>
      <c r="C243" s="415" t="s">
        <v>111</v>
      </c>
      <c r="D243" s="416"/>
      <c r="E243" s="416"/>
      <c r="F243" s="416"/>
      <c r="G243" s="417"/>
      <c r="H243" s="418" t="s">
        <v>35</v>
      </c>
      <c r="I243" s="419"/>
      <c r="J243" s="419"/>
      <c r="K243" s="420"/>
      <c r="L243" s="410"/>
      <c r="M243" s="410"/>
      <c r="N243" s="410"/>
      <c r="O243" s="410"/>
      <c r="P243" s="410"/>
      <c r="Q243" s="391"/>
      <c r="R243" s="392"/>
      <c r="S243" s="392"/>
      <c r="T243" s="392"/>
      <c r="U243" s="392"/>
    </row>
    <row r="244" spans="1:21" ht="19.5" hidden="1" x14ac:dyDescent="0.3">
      <c r="A244" s="421"/>
      <c r="B244" s="416"/>
      <c r="C244" s="422" t="s">
        <v>18</v>
      </c>
      <c r="D244" s="423" t="s">
        <v>19</v>
      </c>
      <c r="E244" s="416"/>
      <c r="F244" s="416"/>
      <c r="G244" s="417"/>
      <c r="H244" s="424" t="s">
        <v>14</v>
      </c>
      <c r="I244" s="425"/>
      <c r="J244" s="425"/>
      <c r="K244" s="426"/>
      <c r="L244" s="427"/>
      <c r="M244" s="410"/>
      <c r="N244" s="427"/>
      <c r="O244" s="427"/>
      <c r="P244" s="427"/>
      <c r="Q244" s="86"/>
      <c r="R244" s="87"/>
      <c r="S244" s="87"/>
      <c r="T244" s="87"/>
      <c r="U244" s="87"/>
    </row>
    <row r="245" spans="1:21" ht="18.75" hidden="1" x14ac:dyDescent="0.25">
      <c r="A245" s="421"/>
      <c r="B245" s="414"/>
      <c r="C245" s="416"/>
      <c r="D245" s="428" t="s">
        <v>86</v>
      </c>
      <c r="E245" s="416"/>
      <c r="F245" s="416"/>
      <c r="G245" s="417"/>
      <c r="H245" s="429" t="s">
        <v>14</v>
      </c>
      <c r="I245" s="425"/>
      <c r="J245" s="425"/>
      <c r="K245" s="426"/>
      <c r="L245" s="411"/>
      <c r="M245" s="410"/>
      <c r="N245" s="430"/>
      <c r="O245" s="410"/>
      <c r="P245" s="410"/>
      <c r="Q245" s="86"/>
      <c r="R245" s="87"/>
      <c r="S245" s="87"/>
      <c r="T245" s="87"/>
      <c r="U245" s="87"/>
    </row>
    <row r="246" spans="1:21" ht="18.75" hidden="1" x14ac:dyDescent="0.25">
      <c r="A246" s="413"/>
      <c r="B246" s="414"/>
      <c r="C246" s="414"/>
      <c r="D246" s="428" t="s">
        <v>88</v>
      </c>
      <c r="E246" s="416"/>
      <c r="F246" s="416"/>
      <c r="G246" s="417"/>
      <c r="H246" s="429" t="s">
        <v>14</v>
      </c>
      <c r="I246" s="425"/>
      <c r="J246" s="425"/>
      <c r="K246" s="426"/>
      <c r="L246" s="411"/>
      <c r="M246" s="410"/>
      <c r="N246" s="430"/>
      <c r="O246" s="410"/>
      <c r="P246" s="410"/>
      <c r="Q246" s="86"/>
      <c r="R246" s="87"/>
      <c r="S246" s="87"/>
      <c r="T246" s="87"/>
      <c r="U246" s="87"/>
    </row>
    <row r="247" spans="1:21" ht="18.75" hidden="1" x14ac:dyDescent="0.25">
      <c r="A247" s="413"/>
      <c r="B247" s="414"/>
      <c r="C247" s="414"/>
      <c r="D247" s="428" t="s">
        <v>106</v>
      </c>
      <c r="E247" s="416"/>
      <c r="F247" s="416"/>
      <c r="G247" s="417"/>
      <c r="H247" s="429" t="s">
        <v>14</v>
      </c>
      <c r="I247" s="425"/>
      <c r="J247" s="425"/>
      <c r="K247" s="426"/>
      <c r="L247" s="411"/>
      <c r="M247" s="410"/>
      <c r="N247" s="430"/>
      <c r="O247" s="410"/>
      <c r="P247" s="410"/>
      <c r="Q247" s="86"/>
      <c r="R247" s="87"/>
      <c r="S247" s="87"/>
      <c r="T247" s="87"/>
      <c r="U247" s="87"/>
    </row>
    <row r="248" spans="1:21" ht="18.75" hidden="1" x14ac:dyDescent="0.25">
      <c r="A248" s="413"/>
      <c r="B248" s="414"/>
      <c r="C248" s="414"/>
      <c r="D248" s="428" t="s">
        <v>107</v>
      </c>
      <c r="E248" s="416"/>
      <c r="F248" s="416"/>
      <c r="G248" s="417"/>
      <c r="H248" s="429" t="s">
        <v>14</v>
      </c>
      <c r="I248" s="425"/>
      <c r="J248" s="425"/>
      <c r="K248" s="426"/>
      <c r="L248" s="411"/>
      <c r="M248" s="410"/>
      <c r="N248" s="430"/>
      <c r="O248" s="410"/>
      <c r="P248" s="410"/>
      <c r="Q248" s="86"/>
      <c r="R248" s="87"/>
      <c r="S248" s="87"/>
      <c r="T248" s="87"/>
      <c r="U248" s="87"/>
    </row>
    <row r="249" spans="1:21" ht="19.5" hidden="1" x14ac:dyDescent="0.3">
      <c r="A249" s="413"/>
      <c r="B249" s="414"/>
      <c r="C249" s="431" t="s">
        <v>18</v>
      </c>
      <c r="D249" s="432" t="s">
        <v>38</v>
      </c>
      <c r="E249" s="416"/>
      <c r="F249" s="416"/>
      <c r="G249" s="417"/>
      <c r="H249" s="417"/>
      <c r="I249" s="425"/>
      <c r="J249" s="425"/>
      <c r="K249" s="426"/>
      <c r="L249" s="410"/>
      <c r="M249" s="410"/>
      <c r="N249" s="410"/>
      <c r="O249" s="410"/>
      <c r="P249" s="410"/>
      <c r="Q249" s="86"/>
      <c r="R249" s="87"/>
      <c r="S249" s="87"/>
      <c r="T249" s="229"/>
      <c r="U249" s="229"/>
    </row>
    <row r="250" spans="1:21" ht="18.75" hidden="1" x14ac:dyDescent="0.25">
      <c r="A250" s="413"/>
      <c r="B250" s="414"/>
      <c r="C250" s="414"/>
      <c r="D250" s="428" t="s">
        <v>108</v>
      </c>
      <c r="E250" s="416"/>
      <c r="F250" s="416"/>
      <c r="G250" s="417"/>
      <c r="H250" s="433" t="s">
        <v>35</v>
      </c>
      <c r="I250" s="434"/>
      <c r="J250" s="435"/>
      <c r="K250" s="436"/>
      <c r="L250" s="410"/>
      <c r="M250" s="410"/>
      <c r="N250" s="410"/>
      <c r="O250" s="410"/>
      <c r="P250" s="410"/>
      <c r="Q250" s="86"/>
      <c r="R250" s="87"/>
      <c r="S250" s="87"/>
      <c r="T250" s="87"/>
      <c r="U250" s="87"/>
    </row>
    <row r="251" spans="1:21" ht="18.75" hidden="1" x14ac:dyDescent="0.25">
      <c r="A251" s="413"/>
      <c r="B251" s="414"/>
      <c r="C251" s="414"/>
      <c r="D251" s="437" t="s">
        <v>43</v>
      </c>
      <c r="E251" s="416"/>
      <c r="F251" s="416"/>
      <c r="G251" s="417"/>
      <c r="H251" s="417"/>
      <c r="I251" s="425"/>
      <c r="J251" s="425"/>
      <c r="K251" s="426"/>
      <c r="L251" s="410"/>
      <c r="M251" s="410"/>
      <c r="N251" s="410"/>
      <c r="O251" s="410"/>
      <c r="P251" s="410"/>
      <c r="Q251" s="86"/>
      <c r="R251" s="87"/>
      <c r="S251" s="87"/>
      <c r="T251" s="229"/>
      <c r="U251" s="229"/>
    </row>
    <row r="252" spans="1:21" ht="18.75" hidden="1" x14ac:dyDescent="0.25">
      <c r="A252" s="413"/>
      <c r="B252" s="414"/>
      <c r="C252" s="414"/>
      <c r="D252" s="414"/>
      <c r="E252" s="438" t="s">
        <v>109</v>
      </c>
      <c r="F252" s="416"/>
      <c r="G252" s="417"/>
      <c r="H252" s="433" t="s">
        <v>35</v>
      </c>
      <c r="I252" s="435"/>
      <c r="J252" s="435"/>
      <c r="K252" s="436"/>
      <c r="L252" s="410"/>
      <c r="M252" s="410"/>
      <c r="N252" s="410"/>
      <c r="O252" s="410"/>
      <c r="P252" s="410"/>
      <c r="Q252" s="86"/>
      <c r="R252" s="87"/>
      <c r="S252" s="87"/>
      <c r="T252" s="87"/>
      <c r="U252" s="87"/>
    </row>
    <row r="253" spans="1:21" ht="18.75" hidden="1" x14ac:dyDescent="0.25">
      <c r="A253" s="413"/>
      <c r="B253" s="414"/>
      <c r="C253" s="414"/>
      <c r="D253" s="414"/>
      <c r="E253" s="438" t="s">
        <v>110</v>
      </c>
      <c r="F253" s="416"/>
      <c r="G253" s="417"/>
      <c r="H253" s="433" t="s">
        <v>61</v>
      </c>
      <c r="I253" s="435"/>
      <c r="J253" s="435"/>
      <c r="K253" s="436"/>
      <c r="L253" s="410"/>
      <c r="M253" s="410"/>
      <c r="N253" s="410"/>
      <c r="O253" s="410"/>
      <c r="P253" s="410"/>
      <c r="Q253" s="86"/>
      <c r="R253" s="87"/>
      <c r="S253" s="87"/>
      <c r="T253" s="87"/>
      <c r="U253" s="87"/>
    </row>
    <row r="254" spans="1:21" ht="19.5" hidden="1" x14ac:dyDescent="0.3">
      <c r="A254" s="413"/>
      <c r="B254" s="414"/>
      <c r="C254" s="415" t="s">
        <v>112</v>
      </c>
      <c r="D254" s="416"/>
      <c r="E254" s="416"/>
      <c r="F254" s="416"/>
      <c r="G254" s="417"/>
      <c r="H254" s="418" t="s">
        <v>35</v>
      </c>
      <c r="I254" s="419"/>
      <c r="J254" s="419"/>
      <c r="K254" s="420"/>
      <c r="L254" s="410"/>
      <c r="M254" s="410"/>
      <c r="N254" s="410"/>
      <c r="O254" s="410"/>
      <c r="P254" s="410"/>
      <c r="Q254" s="391"/>
      <c r="R254" s="392"/>
      <c r="S254" s="392"/>
      <c r="T254" s="392"/>
      <c r="U254" s="392"/>
    </row>
    <row r="255" spans="1:21" ht="19.5" hidden="1" x14ac:dyDescent="0.3">
      <c r="A255" s="421"/>
      <c r="B255" s="416"/>
      <c r="C255" s="422" t="s">
        <v>18</v>
      </c>
      <c r="D255" s="432" t="s">
        <v>19</v>
      </c>
      <c r="E255" s="416"/>
      <c r="F255" s="416"/>
      <c r="G255" s="417"/>
      <c r="H255" s="424" t="s">
        <v>14</v>
      </c>
      <c r="I255" s="425"/>
      <c r="J255" s="425"/>
      <c r="K255" s="426"/>
      <c r="L255" s="427"/>
      <c r="M255" s="410"/>
      <c r="N255" s="427"/>
      <c r="O255" s="427"/>
      <c r="P255" s="427"/>
      <c r="Q255" s="86"/>
      <c r="R255" s="87"/>
      <c r="S255" s="87"/>
      <c r="T255" s="87"/>
      <c r="U255" s="87"/>
    </row>
    <row r="256" spans="1:21" ht="18.75" hidden="1" x14ac:dyDescent="0.25">
      <c r="A256" s="421"/>
      <c r="B256" s="414"/>
      <c r="C256" s="416"/>
      <c r="D256" s="428" t="s">
        <v>86</v>
      </c>
      <c r="E256" s="416"/>
      <c r="F256" s="416"/>
      <c r="G256" s="417"/>
      <c r="H256" s="429" t="s">
        <v>14</v>
      </c>
      <c r="I256" s="425"/>
      <c r="J256" s="425"/>
      <c r="K256" s="426"/>
      <c r="L256" s="411"/>
      <c r="M256" s="410"/>
      <c r="N256" s="411"/>
      <c r="O256" s="410"/>
      <c r="P256" s="410"/>
      <c r="Q256" s="86"/>
      <c r="R256" s="87"/>
      <c r="S256" s="87"/>
      <c r="T256" s="87"/>
      <c r="U256" s="87"/>
    </row>
    <row r="257" spans="1:21" ht="18.75" hidden="1" x14ac:dyDescent="0.25">
      <c r="A257" s="413"/>
      <c r="B257" s="414"/>
      <c r="C257" s="414"/>
      <c r="D257" s="428" t="s">
        <v>88</v>
      </c>
      <c r="E257" s="416"/>
      <c r="F257" s="416"/>
      <c r="G257" s="417"/>
      <c r="H257" s="429" t="s">
        <v>14</v>
      </c>
      <c r="I257" s="425"/>
      <c r="J257" s="425"/>
      <c r="K257" s="426"/>
      <c r="L257" s="411"/>
      <c r="M257" s="410"/>
      <c r="N257" s="411"/>
      <c r="O257" s="410"/>
      <c r="P257" s="410"/>
      <c r="Q257" s="86"/>
      <c r="R257" s="87"/>
      <c r="S257" s="87"/>
      <c r="T257" s="87"/>
      <c r="U257" s="87"/>
    </row>
    <row r="258" spans="1:21" ht="18.75" hidden="1" x14ac:dyDescent="0.25">
      <c r="A258" s="413"/>
      <c r="B258" s="414"/>
      <c r="C258" s="414"/>
      <c r="D258" s="428" t="s">
        <v>106</v>
      </c>
      <c r="E258" s="416"/>
      <c r="F258" s="416"/>
      <c r="G258" s="417"/>
      <c r="H258" s="429" t="s">
        <v>14</v>
      </c>
      <c r="I258" s="425"/>
      <c r="J258" s="425"/>
      <c r="K258" s="426"/>
      <c r="L258" s="411"/>
      <c r="M258" s="410"/>
      <c r="N258" s="411"/>
      <c r="O258" s="410"/>
      <c r="P258" s="410"/>
      <c r="Q258" s="86"/>
      <c r="R258" s="87"/>
      <c r="S258" s="87"/>
      <c r="T258" s="87"/>
      <c r="U258" s="87"/>
    </row>
    <row r="259" spans="1:21" ht="18.75" hidden="1" x14ac:dyDescent="0.25">
      <c r="A259" s="413"/>
      <c r="B259" s="414"/>
      <c r="C259" s="414"/>
      <c r="D259" s="428" t="s">
        <v>107</v>
      </c>
      <c r="E259" s="416"/>
      <c r="F259" s="416"/>
      <c r="G259" s="417"/>
      <c r="H259" s="429" t="s">
        <v>14</v>
      </c>
      <c r="I259" s="425"/>
      <c r="J259" s="425"/>
      <c r="K259" s="426"/>
      <c r="L259" s="411"/>
      <c r="M259" s="410"/>
      <c r="N259" s="411"/>
      <c r="O259" s="410"/>
      <c r="P259" s="410"/>
      <c r="Q259" s="86"/>
      <c r="R259" s="87"/>
      <c r="S259" s="87"/>
      <c r="T259" s="87"/>
      <c r="U259" s="87"/>
    </row>
    <row r="260" spans="1:21" ht="19.5" hidden="1" x14ac:dyDescent="0.3">
      <c r="A260" s="413"/>
      <c r="B260" s="414"/>
      <c r="C260" s="431" t="s">
        <v>18</v>
      </c>
      <c r="D260" s="432" t="s">
        <v>38</v>
      </c>
      <c r="E260" s="416"/>
      <c r="F260" s="416"/>
      <c r="G260" s="417"/>
      <c r="H260" s="417"/>
      <c r="I260" s="425"/>
      <c r="J260" s="425"/>
      <c r="K260" s="426"/>
      <c r="L260" s="410"/>
      <c r="M260" s="410"/>
      <c r="N260" s="410"/>
      <c r="O260" s="410"/>
      <c r="P260" s="410"/>
      <c r="Q260" s="86"/>
      <c r="R260" s="87"/>
      <c r="S260" s="87"/>
      <c r="T260" s="229"/>
      <c r="U260" s="229"/>
    </row>
    <row r="261" spans="1:21" ht="18.75" hidden="1" x14ac:dyDescent="0.25">
      <c r="A261" s="413"/>
      <c r="B261" s="414"/>
      <c r="C261" s="414"/>
      <c r="D261" s="428" t="s">
        <v>108</v>
      </c>
      <c r="E261" s="416"/>
      <c r="F261" s="416"/>
      <c r="G261" s="417"/>
      <c r="H261" s="433" t="s">
        <v>35</v>
      </c>
      <c r="I261" s="434"/>
      <c r="J261" s="434"/>
      <c r="K261" s="436"/>
      <c r="L261" s="410"/>
      <c r="M261" s="410"/>
      <c r="N261" s="410"/>
      <c r="O261" s="410"/>
      <c r="P261" s="410"/>
      <c r="Q261" s="86"/>
      <c r="R261" s="87"/>
      <c r="S261" s="87"/>
      <c r="T261" s="87"/>
      <c r="U261" s="87"/>
    </row>
    <row r="262" spans="1:21" ht="18.75" hidden="1" x14ac:dyDescent="0.25">
      <c r="A262" s="413"/>
      <c r="B262" s="414"/>
      <c r="C262" s="414"/>
      <c r="D262" s="437" t="s">
        <v>43</v>
      </c>
      <c r="E262" s="416"/>
      <c r="F262" s="416"/>
      <c r="G262" s="417"/>
      <c r="H262" s="417"/>
      <c r="I262" s="425"/>
      <c r="J262" s="425"/>
      <c r="K262" s="426"/>
      <c r="L262" s="410"/>
      <c r="M262" s="410"/>
      <c r="N262" s="410"/>
      <c r="O262" s="410"/>
      <c r="P262" s="410"/>
      <c r="Q262" s="86"/>
      <c r="R262" s="87"/>
      <c r="S262" s="87"/>
      <c r="T262" s="229"/>
      <c r="U262" s="229"/>
    </row>
    <row r="263" spans="1:21" ht="18.75" hidden="1" x14ac:dyDescent="0.25">
      <c r="A263" s="413"/>
      <c r="B263" s="414"/>
      <c r="C263" s="414"/>
      <c r="D263" s="414"/>
      <c r="E263" s="438" t="s">
        <v>109</v>
      </c>
      <c r="F263" s="416"/>
      <c r="G263" s="417"/>
      <c r="H263" s="433" t="s">
        <v>35</v>
      </c>
      <c r="I263" s="425"/>
      <c r="J263" s="434"/>
      <c r="K263" s="436"/>
      <c r="L263" s="410"/>
      <c r="M263" s="410"/>
      <c r="N263" s="410"/>
      <c r="O263" s="410"/>
      <c r="P263" s="410"/>
      <c r="Q263" s="86"/>
      <c r="R263" s="87"/>
      <c r="S263" s="87"/>
      <c r="T263" s="87"/>
      <c r="U263" s="87"/>
    </row>
    <row r="264" spans="1:21" ht="18.75" hidden="1" x14ac:dyDescent="0.25">
      <c r="A264" s="413"/>
      <c r="B264" s="414"/>
      <c r="C264" s="414"/>
      <c r="D264" s="414"/>
      <c r="E264" s="438" t="s">
        <v>110</v>
      </c>
      <c r="F264" s="416"/>
      <c r="G264" s="417"/>
      <c r="H264" s="433" t="s">
        <v>61</v>
      </c>
      <c r="I264" s="425"/>
      <c r="J264" s="434"/>
      <c r="K264" s="436"/>
      <c r="L264" s="410"/>
      <c r="M264" s="410"/>
      <c r="N264" s="410"/>
      <c r="O264" s="410"/>
      <c r="P264" s="410"/>
      <c r="Q264" s="86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363"/>
      <c r="I265" s="364"/>
      <c r="J265" s="364"/>
      <c r="K265" s="365"/>
      <c r="L265" s="365"/>
      <c r="M265" s="365"/>
      <c r="N265" s="365"/>
      <c r="O265" s="365"/>
      <c r="P265" s="365"/>
      <c r="Q265" s="366"/>
      <c r="R265" s="367"/>
      <c r="S265" s="367"/>
      <c r="T265" s="367"/>
      <c r="U265" s="367"/>
    </row>
    <row r="266" spans="1:21" ht="19.5" x14ac:dyDescent="0.3">
      <c r="A266" s="368"/>
      <c r="B266" s="369" t="s">
        <v>114</v>
      </c>
      <c r="C266" s="370"/>
      <c r="D266" s="225"/>
      <c r="E266" s="225"/>
      <c r="F266" s="225"/>
      <c r="G266" s="226"/>
      <c r="H266" s="371" t="s">
        <v>35</v>
      </c>
      <c r="I266" s="439">
        <f ca="1">IFERROR(__xludf.DUMMYFUNCTION("IMPORTRANGE(""https://docs.google.com/spreadsheets/d/13wPX838HrBrQMCywv1BsuMkt4PEKTChp52zj44s2izQ/edit?usp=sharing"",""กาญจนบุรี!I265"")+IMPORTRANGE(""https://docs.google.com/spreadsheets/d/1ddFKvqj1W1NEiWytbGlB1zMx_ykJDVtmfEQ-6-lIUBA/edit?usp=sharing"","&amp;"""จันทบุรี!I265"")+IMPORTRANGE(""https://docs.google.com/spreadsheets/d/1T1PQvRODqOBZk8BRht_U031fIS1beLA0Ub2CEytj2q0/edit?usp=sharing"",""ฉะเชิงเทรา!I265"")+IMPORTRANGE(""https://docs.google.com/spreadsheets/d/11tr1B-Bhyr79v2bkwVh5h_fR-PStkgjlZtkrZpYurG0/"&amp;"edit?usp=sharing"",""ชลบุรี!I265"")+IMPORTRANGE(""https://docs.google.com/spreadsheets/d/1hh-FVnSX0vozXhGluamEcS54Dw9_zqW0N7qJUWgJ0Sw/edit?usp=sharing"",""ชัยนาท!I265"")+IMPORTRANGE(""https://docs.google.com/spreadsheets/d/1jkqa6GXxSacMcY1eN8AHjMNJ_7dDXMJ"&amp;"VRLDlaFSOdPM/edit?usp=sharing"",""ตราด!I265"")+IMPORTRANGE(""https://docs.google.com/spreadsheets/d/18hSgUJ3VwClqi_qtULmmW3cLr0oe3OKaSYoKzdpTsYQ/edit?usp=sharing"",""นครนายก!I265"")+IMPORTRANGE(""https://docs.google.com/spreadsheets/d/1YTZo6WM2dQ6Ix6FSdnL"&amp;"5P7uVnVKu40sxZu975tgG10E/edit?usp=sharing"",""นครปฐม!I265"")+IMPORTRANGE(""https://docs.google.com/spreadsheets/d/1OYoGg4WDg5RIzwGeB10padOxJF9E_Vljuvvct_M7RDo/edit?usp=sharing"",""ปทุมธานี!I265"")+IMPORTRANGE(""https://docs.google.com/spreadsheets/d/1GbCI"&amp;"E4D4wk9FUozzqk7SxfDMxDVBwVmI5zcaVUSzKAc/edit?usp=sharing"",""ประจวบคีรีขันธ์!I265"")+IMPORTRANGE(""https://docs.google.com/spreadsheets/d/1vVf6wykvW_lAyu7Yo9L4hUTqHqIeP_qcVuxCtosJEbg/edit?usp=sharing"",""ปราจีนบุรี!I265"")+IMPORTRANGE(""https://docs.googl"&amp;"e.com/spreadsheets/d/1BIDqLLg5jk3v59G8NlR8rk5xfQDKne0sAvZHSj7TI6I/edit?usp=sharing"",""พระนครศรีอยุธยา!I265"")+IMPORTRANGE(""https://docs.google.com/spreadsheets/d/1YXvxf8Yu6_rV4hTBrwMqAcAnv6DfhUxh5emyM3CJp_w/edit?usp=sharing"",""เพชรบุรี!I265"")+IMPORTRA"&amp;"NGE(""https://docs.google.com/spreadsheets/d/19KBlQQs7uwvsao6t2n-KvW3Ax8J8uRRfZPq1zPbXgKc/edit?usp=sharing"",""ระยอง!I265"")+IMPORTRANGE(""https://docs.google.com/spreadsheets/d/1jQ6P4QcrGM89YfqcC_PxOHGCMq5ezhucwJd8ci-NHng/edit?usp=sharing"",""ราชบุรี!I26"&amp;"5"")+IMPORTRANGE(""https://docs.google.com/spreadsheets/d/1lufeA2cfFqM-elVq2hznhDzC6Pr7wkJ9ZG_sYNGCMCU/edit?usp=sharing"",""ลพบุรี!I265"")+IMPORTRANGE(""https://docs.google.com/spreadsheets/d/10oOiF7loTyfsTkbd4MpaIm0HQ9SwB7IYHdIUvt-U1Uc/edit?usp=sharing"""&amp;",""สระแก้ว!I265"")+IMPORTRANGE(""https://docs.google.com/spreadsheets/d/1xmPlrr1QbdSIKvl1dWUl9K4PjAfSL9oeMr_37QVzcxc/edit?usp=sharing"",""สระบุรี!I265"")+IMPORTRANGE(""https://docs.google.com/spreadsheets/d/1j51vR6CYVGhABJpv6tkstgok82RLpXieLzW1yOY5rHw/edi"&amp;"t?usp=sharing"",""สิงห์บุรี!I265"")+IMPORTRANGE(""https://docs.google.com/spreadsheets/d/1H1EalTWKUSzO4Z1-1CwzoDUaVffgrThEBe2sl74kKG0/edit?usp=sharing"",""สุพรรณบุรี!I265"")+IMPORTRANGE(""https://docs.google.com/spreadsheets/d/1BmIruG_sIrJLYao_Pdr7zVArWsf"&amp;"oBt2692TMi6x_854/edit?usp=sharing"",""อ่างทอง!I265"")"),446)</f>
        <v>446</v>
      </c>
      <c r="J266" s="439">
        <f ca="1">IFERROR(__xludf.DUMMYFUNCTION("IMPORTRANGE(""https://docs.google.com/spreadsheets/d/13wPX838HrBrQMCywv1BsuMkt4PEKTChp52zj44s2izQ/edit?usp=sharing"",""กาญจนบุรี!J265"")+IMPORTRANGE(""https://docs.google.com/spreadsheets/d/1ddFKvqj1W1NEiWytbGlB1zMx_ykJDVtmfEQ-6-lIUBA/edit?usp=sharing"","&amp;"""จันทบุรี!J265"")+IMPORTRANGE(""https://docs.google.com/spreadsheets/d/1T1PQvRODqOBZk8BRht_U031fIS1beLA0Ub2CEytj2q0/edit?usp=sharing"",""ฉะเชิงเทรา!J265"")+IMPORTRANGE(""https://docs.google.com/spreadsheets/d/11tr1B-Bhyr79v2bkwVh5h_fR-PStkgjlZtkrZpYurG0/"&amp;"edit?usp=sharing"",""ชลบุรี!J265"")+IMPORTRANGE(""https://docs.google.com/spreadsheets/d/1hh-FVnSX0vozXhGluamEcS54Dw9_zqW0N7qJUWgJ0Sw/edit?usp=sharing"",""ชัยนาท!J265"")+IMPORTRANGE(""https://docs.google.com/spreadsheets/d/1jkqa6GXxSacMcY1eN8AHjMNJ_7dDXMJ"&amp;"VRLDlaFSOdPM/edit?usp=sharing"",""ตราด!J265"")+IMPORTRANGE(""https://docs.google.com/spreadsheets/d/18hSgUJ3VwClqi_qtULmmW3cLr0oe3OKaSYoKzdpTsYQ/edit?usp=sharing"",""นครนายก!J265"")+IMPORTRANGE(""https://docs.google.com/spreadsheets/d/1YTZo6WM2dQ6Ix6FSdnL"&amp;"5P7uVnVKu40sxZu975tgG10E/edit?usp=sharing"",""นครปฐม!J265"")+IMPORTRANGE(""https://docs.google.com/spreadsheets/d/1OYoGg4WDg5RIzwGeB10padOxJF9E_Vljuvvct_M7RDo/edit?usp=sharing"",""ปทุมธานี!J265"")+IMPORTRANGE(""https://docs.google.com/spreadsheets/d/1GbCI"&amp;"E4D4wk9FUozzqk7SxfDMxDVBwVmI5zcaVUSzKAc/edit?usp=sharing"",""ประจวบคีรีขันธ์!J265"")+IMPORTRANGE(""https://docs.google.com/spreadsheets/d/1vVf6wykvW_lAyu7Yo9L4hUTqHqIeP_qcVuxCtosJEbg/edit?usp=sharing"",""ปราจีนบุรี!J265"")+IMPORTRANGE(""https://docs.googl"&amp;"e.com/spreadsheets/d/1BIDqLLg5jk3v59G8NlR8rk5xfQDKne0sAvZHSj7TI6I/edit?usp=sharing"",""พระนครศรีอยุธยา!J265"")+IMPORTRANGE(""https://docs.google.com/spreadsheets/d/1YXvxf8Yu6_rV4hTBrwMqAcAnv6DfhUxh5emyM3CJp_w/edit?usp=sharing"",""เพชรบุรี!J265"")+IMPORTRA"&amp;"NGE(""https://docs.google.com/spreadsheets/d/19KBlQQs7uwvsao6t2n-KvW3Ax8J8uRRfZPq1zPbXgKc/edit?usp=sharing"",""ระยอง!J265"")+IMPORTRANGE(""https://docs.google.com/spreadsheets/d/1jQ6P4QcrGM89YfqcC_PxOHGCMq5ezhucwJd8ci-NHng/edit?usp=sharing"",""ราชบุรี!J26"&amp;"5"")+IMPORTRANGE(""https://docs.google.com/spreadsheets/d/1lufeA2cfFqM-elVq2hznhDzC6Pr7wkJ9ZG_sYNGCMCU/edit?usp=sharing"",""ลพบุรี!J265"")+IMPORTRANGE(""https://docs.google.com/spreadsheets/d/10oOiF7loTyfsTkbd4MpaIm0HQ9SwB7IYHdIUvt-U1Uc/edit?usp=sharing"""&amp;",""สระแก้ว!J265"")+IMPORTRANGE(""https://docs.google.com/spreadsheets/d/1xmPlrr1QbdSIKvl1dWUl9K4PjAfSL9oeMr_37QVzcxc/edit?usp=sharing"",""สระบุรี!J265"")+IMPORTRANGE(""https://docs.google.com/spreadsheets/d/1j51vR6CYVGhABJpv6tkstgok82RLpXieLzW1yOY5rHw/edi"&amp;"t?usp=sharing"",""สิงห์บุรี!J265"")+IMPORTRANGE(""https://docs.google.com/spreadsheets/d/1H1EalTWKUSzO4Z1-1CwzoDUaVffgrThEBe2sl74kKG0/edit?usp=sharing"",""สุพรรณบุรี!J265"")+IMPORTRANGE(""https://docs.google.com/spreadsheets/d/1BmIruG_sIrJLYao_Pdr7zVArWsf"&amp;"oBt2692TMi6x_854/edit?usp=sharing"",""อ่างทอง!J265"")"),0)</f>
        <v>0</v>
      </c>
      <c r="K266" s="373">
        <f ca="1">IF(I266&gt;0,J266*100/I266,0)</f>
        <v>0</v>
      </c>
      <c r="L266" s="374"/>
      <c r="M266" s="374"/>
      <c r="N266" s="374"/>
      <c r="O266" s="374"/>
      <c r="P266" s="374"/>
      <c r="Q266" s="375"/>
      <c r="R266" s="376"/>
      <c r="S266" s="376"/>
      <c r="T266" s="376"/>
      <c r="U266" s="376"/>
    </row>
    <row r="267" spans="1:21" ht="19.5" x14ac:dyDescent="0.3">
      <c r="A267" s="209"/>
      <c r="B267" s="67"/>
      <c r="C267" s="210" t="s">
        <v>18</v>
      </c>
      <c r="D267" s="211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213">
        <f t="shared" ref="L267:N267" ca="1" si="180">L268+L269</f>
        <v>0</v>
      </c>
      <c r="M267" s="213">
        <f t="shared" ca="1" si="180"/>
        <v>118030</v>
      </c>
      <c r="N267" s="213">
        <f t="shared" ca="1" si="180"/>
        <v>0</v>
      </c>
      <c r="O267" s="213">
        <f t="shared" ref="O267:O275" ca="1" si="181">IF(L267&gt;0,N267*100/L267,0)</f>
        <v>0</v>
      </c>
      <c r="P267" s="213">
        <f t="shared" ref="P267:P275" ca="1" si="182">IF(M267&gt;0,N267*100/M267,0)</f>
        <v>0</v>
      </c>
      <c r="Q267" s="214">
        <f t="shared" ref="Q267:S267" ca="1" si="183">Q268+Q269</f>
        <v>1041620</v>
      </c>
      <c r="R267" s="215">
        <f t="shared" ca="1" si="183"/>
        <v>1041620</v>
      </c>
      <c r="S267" s="215">
        <f t="shared" ca="1" si="183"/>
        <v>740</v>
      </c>
      <c r="T267" s="215">
        <f t="shared" ref="T267:T275" ca="1" si="184">IF(Q267&gt;0,S267*100/Q267,0)</f>
        <v>7.1043182734586513E-2</v>
      </c>
      <c r="U267" s="215">
        <f t="shared" ref="U267:U275" ca="1" si="185">IF(R267&gt;0,S267*100/R267,0)</f>
        <v>7.1043182734586513E-2</v>
      </c>
    </row>
    <row r="268" spans="1:21" ht="18.75" x14ac:dyDescent="0.25">
      <c r="A268" s="209"/>
      <c r="B268" s="67"/>
      <c r="C268" s="67"/>
      <c r="D268" s="67"/>
      <c r="E268" s="75" t="s">
        <v>20</v>
      </c>
      <c r="F268" s="67"/>
      <c r="G268" s="69"/>
      <c r="H268" s="216" t="s">
        <v>14</v>
      </c>
      <c r="I268" s="71"/>
      <c r="J268" s="71"/>
      <c r="K268" s="72"/>
      <c r="L268" s="88">
        <f t="shared" ref="L268:N268" ca="1" si="186">L271+L274</f>
        <v>0</v>
      </c>
      <c r="M268" s="88">
        <f t="shared" ca="1" si="186"/>
        <v>0</v>
      </c>
      <c r="N268" s="88">
        <f t="shared" ca="1" si="186"/>
        <v>0</v>
      </c>
      <c r="O268" s="88">
        <f t="shared" ca="1" si="181"/>
        <v>0</v>
      </c>
      <c r="P268" s="88">
        <f t="shared" ca="1" si="182"/>
        <v>0</v>
      </c>
      <c r="Q268" s="217">
        <f t="shared" ref="Q268:S268" ca="1" si="187">Q271+Q274</f>
        <v>0</v>
      </c>
      <c r="R268" s="133">
        <f t="shared" ca="1" si="187"/>
        <v>0</v>
      </c>
      <c r="S268" s="133">
        <f t="shared" ca="1" si="187"/>
        <v>0</v>
      </c>
      <c r="T268" s="133">
        <f t="shared" ca="1" si="184"/>
        <v>0</v>
      </c>
      <c r="U268" s="133">
        <f t="shared" ca="1" si="185"/>
        <v>0</v>
      </c>
    </row>
    <row r="269" spans="1:21" ht="18.75" x14ac:dyDescent="0.25">
      <c r="A269" s="209"/>
      <c r="B269" s="67"/>
      <c r="C269" s="67"/>
      <c r="D269" s="67"/>
      <c r="E269" s="75" t="s">
        <v>21</v>
      </c>
      <c r="F269" s="67"/>
      <c r="G269" s="69"/>
      <c r="H269" s="216" t="s">
        <v>14</v>
      </c>
      <c r="I269" s="71"/>
      <c r="J269" s="71"/>
      <c r="K269" s="72"/>
      <c r="L269" s="88">
        <f t="shared" ref="L269:N269" ca="1" si="188">L272+L275</f>
        <v>0</v>
      </c>
      <c r="M269" s="88">
        <f t="shared" ca="1" si="188"/>
        <v>118030</v>
      </c>
      <c r="N269" s="88">
        <f t="shared" ca="1" si="188"/>
        <v>0</v>
      </c>
      <c r="O269" s="88">
        <f t="shared" ca="1" si="181"/>
        <v>0</v>
      </c>
      <c r="P269" s="88">
        <f t="shared" ca="1" si="182"/>
        <v>0</v>
      </c>
      <c r="Q269" s="131">
        <f t="shared" ref="Q269:S269" ca="1" si="189">Q272+Q275</f>
        <v>1041620</v>
      </c>
      <c r="R269" s="132">
        <f t="shared" ca="1" si="189"/>
        <v>1041620</v>
      </c>
      <c r="S269" s="132">
        <f t="shared" ca="1" si="189"/>
        <v>740</v>
      </c>
      <c r="T269" s="132">
        <f t="shared" ca="1" si="184"/>
        <v>7.1043182734586513E-2</v>
      </c>
      <c r="U269" s="132">
        <f t="shared" ca="1" si="185"/>
        <v>7.1043182734586513E-2</v>
      </c>
    </row>
    <row r="270" spans="1:21" ht="18.75" x14ac:dyDescent="0.25">
      <c r="A270" s="209"/>
      <c r="B270" s="67"/>
      <c r="C270" s="67"/>
      <c r="D270" s="68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88">
        <f t="shared" ref="L270:N270" ca="1" si="190">L271+L272</f>
        <v>0</v>
      </c>
      <c r="M270" s="88">
        <f t="shared" ca="1" si="190"/>
        <v>118030</v>
      </c>
      <c r="N270" s="88">
        <f t="shared" ca="1" si="190"/>
        <v>0</v>
      </c>
      <c r="O270" s="88">
        <f t="shared" ca="1" si="181"/>
        <v>0</v>
      </c>
      <c r="P270" s="88">
        <f t="shared" ca="1" si="182"/>
        <v>0</v>
      </c>
      <c r="Q270" s="131">
        <f t="shared" ref="Q270:S270" ca="1" si="191">Q271+Q272</f>
        <v>1041620</v>
      </c>
      <c r="R270" s="132">
        <f t="shared" ca="1" si="191"/>
        <v>1041620</v>
      </c>
      <c r="S270" s="132">
        <f t="shared" ca="1" si="191"/>
        <v>740</v>
      </c>
      <c r="T270" s="132">
        <f t="shared" ca="1" si="184"/>
        <v>7.1043182734586513E-2</v>
      </c>
      <c r="U270" s="132">
        <f t="shared" ca="1" si="185"/>
        <v>7.1043182734586513E-2</v>
      </c>
    </row>
    <row r="271" spans="1:21" ht="18.75" x14ac:dyDescent="0.25">
      <c r="A271" s="209"/>
      <c r="B271" s="67"/>
      <c r="C271" s="67"/>
      <c r="D271" s="67"/>
      <c r="E271" s="75" t="s">
        <v>36</v>
      </c>
      <c r="F271" s="67"/>
      <c r="G271" s="69"/>
      <c r="H271" s="218" t="s">
        <v>14</v>
      </c>
      <c r="I271" s="219"/>
      <c r="J271" s="219"/>
      <c r="K271" s="220"/>
      <c r="L271" s="88">
        <f ca="1">IFERROR(__xludf.DUMMYFUNCTION("IMPORTRANGE(""https://docs.google.com/spreadsheets/d/13wPX838HrBrQMCywv1BsuMkt4PEKTChp52zj44s2izQ/edit?usp=sharing"",""กาญจนบุรี!L270"")+IMPORTRANGE(""https://docs.google.com/spreadsheets/d/1ddFKvqj1W1NEiWytbGlB1zMx_ykJDVtmfEQ-6-lIUBA/edit?usp=sharing"","&amp;"""จันทบุรี!L270"")+IMPORTRANGE(""https://docs.google.com/spreadsheets/d/1T1PQvRODqOBZk8BRht_U031fIS1beLA0Ub2CEytj2q0/edit?usp=sharing"",""ฉะเชิงเทรา!L270"")+IMPORTRANGE(""https://docs.google.com/spreadsheets/d/11tr1B-Bhyr79v2bkwVh5h_fR-PStkgjlZtkrZpYurG0/"&amp;"edit?usp=sharing"",""ชลบุรี!L270"")+IMPORTRANGE(""https://docs.google.com/spreadsheets/d/1hh-FVnSX0vozXhGluamEcS54Dw9_zqW0N7qJUWgJ0Sw/edit?usp=sharing"",""ชัยนาท!L270"")+IMPORTRANGE(""https://docs.google.com/spreadsheets/d/1jkqa6GXxSacMcY1eN8AHjMNJ_7dDXMJ"&amp;"VRLDlaFSOdPM/edit?usp=sharing"",""ตราด!L270"")+IMPORTRANGE(""https://docs.google.com/spreadsheets/d/18hSgUJ3VwClqi_qtULmmW3cLr0oe3OKaSYoKzdpTsYQ/edit?usp=sharing"",""นครนายก!L270"")+IMPORTRANGE(""https://docs.google.com/spreadsheets/d/1YTZo6WM2dQ6Ix6FSdnL"&amp;"5P7uVnVKu40sxZu975tgG10E/edit?usp=sharing"",""นครปฐม!L270"")+IMPORTRANGE(""https://docs.google.com/spreadsheets/d/1OYoGg4WDg5RIzwGeB10padOxJF9E_Vljuvvct_M7RDo/edit?usp=sharing"",""ปทุมธานี!L270"")+IMPORTRANGE(""https://docs.google.com/spreadsheets/d/1GbCI"&amp;"E4D4wk9FUozzqk7SxfDMxDVBwVmI5zcaVUSzKAc/edit?usp=sharing"",""ประจวบคีรีขันธ์!L270"")+IMPORTRANGE(""https://docs.google.com/spreadsheets/d/1vVf6wykvW_lAyu7Yo9L4hUTqHqIeP_qcVuxCtosJEbg/edit?usp=sharing"",""ปราจีนบุรี!L270"")+IMPORTRANGE(""https://docs.googl"&amp;"e.com/spreadsheets/d/1BIDqLLg5jk3v59G8NlR8rk5xfQDKne0sAvZHSj7TI6I/edit?usp=sharing"",""พระนครศรีอยุธยา!L270"")+IMPORTRANGE(""https://docs.google.com/spreadsheets/d/1YXvxf8Yu6_rV4hTBrwMqAcAnv6DfhUxh5emyM3CJp_w/edit?usp=sharing"",""เพชรบุรี!L270"")+IMPORTRA"&amp;"NGE(""https://docs.google.com/spreadsheets/d/19KBlQQs7uwvsao6t2n-KvW3Ax8J8uRRfZPq1zPbXgKc/edit?usp=sharing"",""ระยอง!L270"")+IMPORTRANGE(""https://docs.google.com/spreadsheets/d/1jQ6P4QcrGM89YfqcC_PxOHGCMq5ezhucwJd8ci-NHng/edit?usp=sharing"",""ราชบุรี!L27"&amp;"0"")+IMPORTRANGE(""https://docs.google.com/spreadsheets/d/1lufeA2cfFqM-elVq2hznhDzC6Pr7wkJ9ZG_sYNGCMCU/edit?usp=sharing"",""ลพบุรี!L270"")+IMPORTRANGE(""https://docs.google.com/spreadsheets/d/10oOiF7loTyfsTkbd4MpaIm0HQ9SwB7IYHdIUvt-U1Uc/edit?usp=sharing"""&amp;",""สระแก้ว!L270"")+IMPORTRANGE(""https://docs.google.com/spreadsheets/d/1xmPlrr1QbdSIKvl1dWUl9K4PjAfSL9oeMr_37QVzcxc/edit?usp=sharing"",""สระบุรี!L270"")+IMPORTRANGE(""https://docs.google.com/spreadsheets/d/1j51vR6CYVGhABJpv6tkstgok82RLpXieLzW1yOY5rHw/edi"&amp;"t?usp=sharing"",""สิงห์บุรี!L270"")+IMPORTRANGE(""https://docs.google.com/spreadsheets/d/1H1EalTWKUSzO4Z1-1CwzoDUaVffgrThEBe2sl74kKG0/edit?usp=sharing"",""สุพรรณบุรี!L270"")+IMPORTRANGE(""https://docs.google.com/spreadsheets/d/1BmIruG_sIrJLYao_Pdr7zVArWsf"&amp;"oBt2692TMi6x_854/edit?usp=sharing"",""อ่างทอง!L270"")"),0)</f>
        <v>0</v>
      </c>
      <c r="M271" s="88">
        <f ca="1">IFERROR(__xludf.DUMMYFUNCTION("IMPORTRANGE(""https://docs.google.com/spreadsheets/d/13wPX838HrBrQMCywv1BsuMkt4PEKTChp52zj44s2izQ/edit?usp=sharing"",""กาญจนบุรี!M270"")+IMPORTRANGE(""https://docs.google.com/spreadsheets/d/1ddFKvqj1W1NEiWytbGlB1zMx_ykJDVtmfEQ-6-lIUBA/edit?usp=sharing"","&amp;"""จันทบุรี!M270"")+IMPORTRANGE(""https://docs.google.com/spreadsheets/d/1T1PQvRODqOBZk8BRht_U031fIS1beLA0Ub2CEytj2q0/edit?usp=sharing"",""ฉะเชิงเทรา!M270"")+IMPORTRANGE(""https://docs.google.com/spreadsheets/d/11tr1B-Bhyr79v2bkwVh5h_fR-PStkgjlZtkrZpYurG0/"&amp;"edit?usp=sharing"",""ชลบุรี!M270"")+IMPORTRANGE(""https://docs.google.com/spreadsheets/d/1hh-FVnSX0vozXhGluamEcS54Dw9_zqW0N7qJUWgJ0Sw/edit?usp=sharing"",""ชัยนาท!M270"")+IMPORTRANGE(""https://docs.google.com/spreadsheets/d/1jkqa6GXxSacMcY1eN8AHjMNJ_7dDXMJ"&amp;"VRLDlaFSOdPM/edit?usp=sharing"",""ตราด!M270"")+IMPORTRANGE(""https://docs.google.com/spreadsheets/d/18hSgUJ3VwClqi_qtULmmW3cLr0oe3OKaSYoKzdpTsYQ/edit?usp=sharing"",""นครนายก!M270"")+IMPORTRANGE(""https://docs.google.com/spreadsheets/d/1YTZo6WM2dQ6Ix6FSdnL"&amp;"5P7uVnVKu40sxZu975tgG10E/edit?usp=sharing"",""นครปฐม!M270"")+IMPORTRANGE(""https://docs.google.com/spreadsheets/d/1OYoGg4WDg5RIzwGeB10padOxJF9E_Vljuvvct_M7RDo/edit?usp=sharing"",""ปทุมธานี!M270"")+IMPORTRANGE(""https://docs.google.com/spreadsheets/d/1GbCI"&amp;"E4D4wk9FUozzqk7SxfDMxDVBwVmI5zcaVUSzKAc/edit?usp=sharing"",""ประจวบคีรีขันธ์!M270"")+IMPORTRANGE(""https://docs.google.com/spreadsheets/d/1vVf6wykvW_lAyu7Yo9L4hUTqHqIeP_qcVuxCtosJEbg/edit?usp=sharing"",""ปราจีนบุรี!M270"")+IMPORTRANGE(""https://docs.googl"&amp;"e.com/spreadsheets/d/1BIDqLLg5jk3v59G8NlR8rk5xfQDKne0sAvZHSj7TI6I/edit?usp=sharing"",""พระนครศรีอยุธยา!M270"")+IMPORTRANGE(""https://docs.google.com/spreadsheets/d/1YXvxf8Yu6_rV4hTBrwMqAcAnv6DfhUxh5emyM3CJp_w/edit?usp=sharing"",""เพชรบุรี!M270"")+IMPORTRA"&amp;"NGE(""https://docs.google.com/spreadsheets/d/19KBlQQs7uwvsao6t2n-KvW3Ax8J8uRRfZPq1zPbXgKc/edit?usp=sharing"",""ระยอง!M270"")+IMPORTRANGE(""https://docs.google.com/spreadsheets/d/1jQ6P4QcrGM89YfqcC_PxOHGCMq5ezhucwJd8ci-NHng/edit?usp=sharing"",""ราชบุรี!M27"&amp;"0"")+IMPORTRANGE(""https://docs.google.com/spreadsheets/d/1lufeA2cfFqM-elVq2hznhDzC6Pr7wkJ9ZG_sYNGCMCU/edit?usp=sharing"",""ลพบุรี!M270"")+IMPORTRANGE(""https://docs.google.com/spreadsheets/d/10oOiF7loTyfsTkbd4MpaIm0HQ9SwB7IYHdIUvt-U1Uc/edit?usp=sharing"""&amp;",""สระแก้ว!M270"")+IMPORTRANGE(""https://docs.google.com/spreadsheets/d/1xmPlrr1QbdSIKvl1dWUl9K4PjAfSL9oeMr_37QVzcxc/edit?usp=sharing"",""สระบุรี!M270"")+IMPORTRANGE(""https://docs.google.com/spreadsheets/d/1j51vR6CYVGhABJpv6tkstgok82RLpXieLzW1yOY5rHw/edi"&amp;"t?usp=sharing"",""สิงห์บุรี!M270"")+IMPORTRANGE(""https://docs.google.com/spreadsheets/d/1H1EalTWKUSzO4Z1-1CwzoDUaVffgrThEBe2sl74kKG0/edit?usp=sharing"",""สุพรรณบุรี!M270"")+IMPORTRANGE(""https://docs.google.com/spreadsheets/d/1BmIruG_sIrJLYao_Pdr7zVArWsf"&amp;"oBt2692TMi6x_854/edit?usp=sharing"",""อ่างทอง!M270"")"),0)</f>
        <v>0</v>
      </c>
      <c r="N271" s="88">
        <f ca="1">IFERROR(__xludf.DUMMYFUNCTION("IMPORTRANGE(""https://docs.google.com/spreadsheets/d/13wPX838HrBrQMCywv1BsuMkt4PEKTChp52zj44s2izQ/edit?usp=sharing"",""กาญจนบุรี!N270"")+IMPORTRANGE(""https://docs.google.com/spreadsheets/d/1ddFKvqj1W1NEiWytbGlB1zMx_ykJDVtmfEQ-6-lIUBA/edit?usp=sharing"","&amp;"""จันทบุรี!N270"")+IMPORTRANGE(""https://docs.google.com/spreadsheets/d/1T1PQvRODqOBZk8BRht_U031fIS1beLA0Ub2CEytj2q0/edit?usp=sharing"",""ฉะเชิงเทรา!N270"")+IMPORTRANGE(""https://docs.google.com/spreadsheets/d/11tr1B-Bhyr79v2bkwVh5h_fR-PStkgjlZtkrZpYurG0/"&amp;"edit?usp=sharing"",""ชลบุรี!N270"")+IMPORTRANGE(""https://docs.google.com/spreadsheets/d/1hh-FVnSX0vozXhGluamEcS54Dw9_zqW0N7qJUWgJ0Sw/edit?usp=sharing"",""ชัยนาท!N270"")+IMPORTRANGE(""https://docs.google.com/spreadsheets/d/1jkqa6GXxSacMcY1eN8AHjMNJ_7dDXMJ"&amp;"VRLDlaFSOdPM/edit?usp=sharing"",""ตราด!N270"")+IMPORTRANGE(""https://docs.google.com/spreadsheets/d/18hSgUJ3VwClqi_qtULmmW3cLr0oe3OKaSYoKzdpTsYQ/edit?usp=sharing"",""นครนายก!N270"")+IMPORTRANGE(""https://docs.google.com/spreadsheets/d/1YTZo6WM2dQ6Ix6FSdnL"&amp;"5P7uVnVKu40sxZu975tgG10E/edit?usp=sharing"",""นครปฐม!N270"")+IMPORTRANGE(""https://docs.google.com/spreadsheets/d/1OYoGg4WDg5RIzwGeB10padOxJF9E_Vljuvvct_M7RDo/edit?usp=sharing"",""ปทุมธานี!N270"")+IMPORTRANGE(""https://docs.google.com/spreadsheets/d/1GbCI"&amp;"E4D4wk9FUozzqk7SxfDMxDVBwVmI5zcaVUSzKAc/edit?usp=sharing"",""ประจวบคีรีขันธ์!N270"")+IMPORTRANGE(""https://docs.google.com/spreadsheets/d/1vVf6wykvW_lAyu7Yo9L4hUTqHqIeP_qcVuxCtosJEbg/edit?usp=sharing"",""ปราจีนบุรี!N270"")+IMPORTRANGE(""https://docs.googl"&amp;"e.com/spreadsheets/d/1BIDqLLg5jk3v59G8NlR8rk5xfQDKne0sAvZHSj7TI6I/edit?usp=sharing"",""พระนครศรีอยุธยา!N270"")+IMPORTRANGE(""https://docs.google.com/spreadsheets/d/1YXvxf8Yu6_rV4hTBrwMqAcAnv6DfhUxh5emyM3CJp_w/edit?usp=sharing"",""เพชรบุรี!N270"")+IMPORTRA"&amp;"NGE(""https://docs.google.com/spreadsheets/d/19KBlQQs7uwvsao6t2n-KvW3Ax8J8uRRfZPq1zPbXgKc/edit?usp=sharing"",""ระยอง!N270"")+IMPORTRANGE(""https://docs.google.com/spreadsheets/d/1jQ6P4QcrGM89YfqcC_PxOHGCMq5ezhucwJd8ci-NHng/edit?usp=sharing"",""ราชบุรี!N27"&amp;"0"")+IMPORTRANGE(""https://docs.google.com/spreadsheets/d/1lufeA2cfFqM-elVq2hznhDzC6Pr7wkJ9ZG_sYNGCMCU/edit?usp=sharing"",""ลพบุรี!N270"")+IMPORTRANGE(""https://docs.google.com/spreadsheets/d/10oOiF7loTyfsTkbd4MpaIm0HQ9SwB7IYHdIUvt-U1Uc/edit?usp=sharing"""&amp;",""สระแก้ว!N270"")+IMPORTRANGE(""https://docs.google.com/spreadsheets/d/1xmPlrr1QbdSIKvl1dWUl9K4PjAfSL9oeMr_37QVzcxc/edit?usp=sharing"",""สระบุรี!N270"")+IMPORTRANGE(""https://docs.google.com/spreadsheets/d/1j51vR6CYVGhABJpv6tkstgok82RLpXieLzW1yOY5rHw/edi"&amp;"t?usp=sharing"",""สิงห์บุรี!N270"")+IMPORTRANGE(""https://docs.google.com/spreadsheets/d/1H1EalTWKUSzO4Z1-1CwzoDUaVffgrThEBe2sl74kKG0/edit?usp=sharing"",""สุพรรณบุรี!N270"")+IMPORTRANGE(""https://docs.google.com/spreadsheets/d/1BmIruG_sIrJLYao_Pdr7zVArWsf"&amp;"oBt2692TMi6x_854/edit?usp=sharing"",""อ่างทอง!N270"")"),0)</f>
        <v>0</v>
      </c>
      <c r="O271" s="88">
        <f t="shared" ca="1" si="181"/>
        <v>0</v>
      </c>
      <c r="P271" s="88">
        <f t="shared" ca="1" si="182"/>
        <v>0</v>
      </c>
      <c r="Q271" s="76">
        <f ca="1">IFERROR(__xludf.DUMMYFUNCTION("IMPORTRANGE(""https://docs.google.com/spreadsheets/d/13wPX838HrBrQMCywv1BsuMkt4PEKTChp52zj44s2izQ/edit?usp=sharing"",""กาญจนบุรี!Q270"")+IMPORTRANGE(""https://docs.google.com/spreadsheets/d/1ddFKvqj1W1NEiWytbGlB1zMx_ykJDVtmfEQ-6-lIUBA/edit?usp=sharing"","&amp;"""จันทบุรี!Q270"")+IMPORTRANGE(""https://docs.google.com/spreadsheets/d/1T1PQvRODqOBZk8BRht_U031fIS1beLA0Ub2CEytj2q0/edit?usp=sharing"",""ฉะเชิงเทรา!Q270"")+IMPORTRANGE(""https://docs.google.com/spreadsheets/d/11tr1B-Bhyr79v2bkwVh5h_fR-PStkgjlZtkrZpYurG0/"&amp;"edit?usp=sharing"",""ชลบุรี!Q270"")+IMPORTRANGE(""https://docs.google.com/spreadsheets/d/1hh-FVnSX0vozXhGluamEcS54Dw9_zqW0N7qJUWgJ0Sw/edit?usp=sharing"",""ชัยนาท!Q270"")+IMPORTRANGE(""https://docs.google.com/spreadsheets/d/1jkqa6GXxSacMcY1eN8AHjMNJ_7dDXMJ"&amp;"VRLDlaFSOdPM/edit?usp=sharing"",""ตราด!Q270"")+IMPORTRANGE(""https://docs.google.com/spreadsheets/d/18hSgUJ3VwClqi_qtULmmW3cLr0oe3OKaSYoKzdpTsYQ/edit?usp=sharing"",""นครนายก!Q270"")+IMPORTRANGE(""https://docs.google.com/spreadsheets/d/1YTZo6WM2dQ6Ix6FSdnL"&amp;"5P7uVnVKu40sxZu975tgG10E/edit?usp=sharing"",""นครปฐม!Q270"")+IMPORTRANGE(""https://docs.google.com/spreadsheets/d/1OYoGg4WDg5RIzwGeB10padOxJF9E_Vljuvvct_M7RDo/edit?usp=sharing"",""ปทุมธานี!Q270"")+IMPORTRANGE(""https://docs.google.com/spreadsheets/d/1GbCI"&amp;"E4D4wk9FUozzqk7SxfDMxDVBwVmI5zcaVUSzKAc/edit?usp=sharing"",""ประจวบคีรีขันธ์!Q270"")+IMPORTRANGE(""https://docs.google.com/spreadsheets/d/1vVf6wykvW_lAyu7Yo9L4hUTqHqIeP_qcVuxCtosJEbg/edit?usp=sharing"",""ปราจีนบุรี!Q270"")+IMPORTRANGE(""https://docs.googl"&amp;"e.com/spreadsheets/d/1BIDqLLg5jk3v59G8NlR8rk5xfQDKne0sAvZHSj7TI6I/edit?usp=sharing"",""พระนครศรีอยุธยา!Q270"")+IMPORTRANGE(""https://docs.google.com/spreadsheets/d/1YXvxf8Yu6_rV4hTBrwMqAcAnv6DfhUxh5emyM3CJp_w/edit?usp=sharing"",""เพชรบุรี!Q270"")+IMPORTRA"&amp;"NGE(""https://docs.google.com/spreadsheets/d/19KBlQQs7uwvsao6t2n-KvW3Ax8J8uRRfZPq1zPbXgKc/edit?usp=sharing"",""ระยอง!Q270"")+IMPORTRANGE(""https://docs.google.com/spreadsheets/d/1jQ6P4QcrGM89YfqcC_PxOHGCMq5ezhucwJd8ci-NHng/edit?usp=sharing"",""ราชบุรี!Q27"&amp;"0"")+IMPORTRANGE(""https://docs.google.com/spreadsheets/d/1lufeA2cfFqM-elVq2hznhDzC6Pr7wkJ9ZG_sYNGCMCU/edit?usp=sharing"",""ลพบุรี!Q270"")+IMPORTRANGE(""https://docs.google.com/spreadsheets/d/10oOiF7loTyfsTkbd4MpaIm0HQ9SwB7IYHdIUvt-U1Uc/edit?usp=sharing"""&amp;",""สระแก้ว!Q270"")+IMPORTRANGE(""https://docs.google.com/spreadsheets/d/1xmPlrr1QbdSIKvl1dWUl9K4PjAfSL9oeMr_37QVzcxc/edit?usp=sharing"",""สระบุรี!Q270"")+IMPORTRANGE(""https://docs.google.com/spreadsheets/d/1j51vR6CYVGhABJpv6tkstgok82RLpXieLzW1yOY5rHw/edi"&amp;"t?usp=sharing"",""สิงห์บุรี!Q270"")+IMPORTRANGE(""https://docs.google.com/spreadsheets/d/1H1EalTWKUSzO4Z1-1CwzoDUaVffgrThEBe2sl74kKG0/edit?usp=sharing"",""สุพรรณบุรี!Q270"")+IMPORTRANGE(""https://docs.google.com/spreadsheets/d/1BmIruG_sIrJLYao_Pdr7zVArWsf"&amp;"oBt2692TMi6x_854/edit?usp=sharing"",""อ่างทอง!Q270"")"),0)</f>
        <v>0</v>
      </c>
      <c r="R271" s="77">
        <f ca="1">IFERROR(__xludf.DUMMYFUNCTION("IMPORTRANGE(""https://docs.google.com/spreadsheets/d/13wPX838HrBrQMCywv1BsuMkt4PEKTChp52zj44s2izQ/edit?usp=sharing"",""กาญจนบุรี!R270"")+IMPORTRANGE(""https://docs.google.com/spreadsheets/d/1ddFKvqj1W1NEiWytbGlB1zMx_ykJDVtmfEQ-6-lIUBA/edit?usp=sharing"","&amp;"""จันทบุรี!R270"")+IMPORTRANGE(""https://docs.google.com/spreadsheets/d/1T1PQvRODqOBZk8BRht_U031fIS1beLA0Ub2CEytj2q0/edit?usp=sharing"",""ฉะเชิงเทรา!R270"")+IMPORTRANGE(""https://docs.google.com/spreadsheets/d/11tr1B-Bhyr79v2bkwVh5h_fR-PStkgjlZtkrZpYurG0/"&amp;"edit?usp=sharing"",""ชลบุรี!R270"")+IMPORTRANGE(""https://docs.google.com/spreadsheets/d/1hh-FVnSX0vozXhGluamEcS54Dw9_zqW0N7qJUWgJ0Sw/edit?usp=sharing"",""ชัยนาท!R270"")+IMPORTRANGE(""https://docs.google.com/spreadsheets/d/1jkqa6GXxSacMcY1eN8AHjMNJ_7dDXMJ"&amp;"VRLDlaFSOdPM/edit?usp=sharing"",""ตราด!R270"")+IMPORTRANGE(""https://docs.google.com/spreadsheets/d/18hSgUJ3VwClqi_qtULmmW3cLr0oe3OKaSYoKzdpTsYQ/edit?usp=sharing"",""นครนายก!R270"")+IMPORTRANGE(""https://docs.google.com/spreadsheets/d/1YTZo6WM2dQ6Ix6FSdnL"&amp;"5P7uVnVKu40sxZu975tgG10E/edit?usp=sharing"",""นครปฐม!R270"")+IMPORTRANGE(""https://docs.google.com/spreadsheets/d/1OYoGg4WDg5RIzwGeB10padOxJF9E_Vljuvvct_M7RDo/edit?usp=sharing"",""ปทุมธานี!R270"")+IMPORTRANGE(""https://docs.google.com/spreadsheets/d/1GbCI"&amp;"E4D4wk9FUozzqk7SxfDMxDVBwVmI5zcaVUSzKAc/edit?usp=sharing"",""ประจวบคีรีขันธ์!R270"")+IMPORTRANGE(""https://docs.google.com/spreadsheets/d/1vVf6wykvW_lAyu7Yo9L4hUTqHqIeP_qcVuxCtosJEbg/edit?usp=sharing"",""ปราจีนบุรี!R270"")+IMPORTRANGE(""https://docs.googl"&amp;"e.com/spreadsheets/d/1BIDqLLg5jk3v59G8NlR8rk5xfQDKne0sAvZHSj7TI6I/edit?usp=sharing"",""พระนครศรีอยุธยา!R270"")+IMPORTRANGE(""https://docs.google.com/spreadsheets/d/1YXvxf8Yu6_rV4hTBrwMqAcAnv6DfhUxh5emyM3CJp_w/edit?usp=sharing"",""เพชรบุรี!R270"")+IMPORTRA"&amp;"NGE(""https://docs.google.com/spreadsheets/d/19KBlQQs7uwvsao6t2n-KvW3Ax8J8uRRfZPq1zPbXgKc/edit?usp=sharing"",""ระยอง!R270"")+IMPORTRANGE(""https://docs.google.com/spreadsheets/d/1jQ6P4QcrGM89YfqcC_PxOHGCMq5ezhucwJd8ci-NHng/edit?usp=sharing"",""ราชบุรี!R27"&amp;"0"")+IMPORTRANGE(""https://docs.google.com/spreadsheets/d/1lufeA2cfFqM-elVq2hznhDzC6Pr7wkJ9ZG_sYNGCMCU/edit?usp=sharing"",""ลพบุรี!R270"")+IMPORTRANGE(""https://docs.google.com/spreadsheets/d/10oOiF7loTyfsTkbd4MpaIm0HQ9SwB7IYHdIUvt-U1Uc/edit?usp=sharing"""&amp;",""สระแก้ว!R270"")+IMPORTRANGE(""https://docs.google.com/spreadsheets/d/1xmPlrr1QbdSIKvl1dWUl9K4PjAfSL9oeMr_37QVzcxc/edit?usp=sharing"",""สระบุรี!R270"")+IMPORTRANGE(""https://docs.google.com/spreadsheets/d/1j51vR6CYVGhABJpv6tkstgok82RLpXieLzW1yOY5rHw/edi"&amp;"t?usp=sharing"",""สิงห์บุรี!R270"")+IMPORTRANGE(""https://docs.google.com/spreadsheets/d/1H1EalTWKUSzO4Z1-1CwzoDUaVffgrThEBe2sl74kKG0/edit?usp=sharing"",""สุพรรณบุรี!R270"")+IMPORTRANGE(""https://docs.google.com/spreadsheets/d/1BmIruG_sIrJLYao_Pdr7zVArWsf"&amp;"oBt2692TMi6x_854/edit?usp=sharing"",""อ่างทอง!R270"")"),0)</f>
        <v>0</v>
      </c>
      <c r="S271" s="77">
        <f ca="1">IFERROR(__xludf.DUMMYFUNCTION("IMPORTRANGE(""https://docs.google.com/spreadsheets/d/13wPX838HrBrQMCywv1BsuMkt4PEKTChp52zj44s2izQ/edit?usp=sharing"",""กาญจนบุรี!S270"")+IMPORTRANGE(""https://docs.google.com/spreadsheets/d/1ddFKvqj1W1NEiWytbGlB1zMx_ykJDVtmfEQ-6-lIUBA/edit?usp=sharing"","&amp;"""จันทบุรี!S270"")+IMPORTRANGE(""https://docs.google.com/spreadsheets/d/1T1PQvRODqOBZk8BRht_U031fIS1beLA0Ub2CEytj2q0/edit?usp=sharing"",""ฉะเชิงเทรา!S270"")+IMPORTRANGE(""https://docs.google.com/spreadsheets/d/11tr1B-Bhyr79v2bkwVh5h_fR-PStkgjlZtkrZpYurG0/"&amp;"edit?usp=sharing"",""ชลบุรี!S270"")+IMPORTRANGE(""https://docs.google.com/spreadsheets/d/1hh-FVnSX0vozXhGluamEcS54Dw9_zqW0N7qJUWgJ0Sw/edit?usp=sharing"",""ชัยนาท!S270"")+IMPORTRANGE(""https://docs.google.com/spreadsheets/d/1jkqa6GXxSacMcY1eN8AHjMNJ_7dDXMJ"&amp;"VRLDlaFSOdPM/edit?usp=sharing"",""ตราด!S270"")+IMPORTRANGE(""https://docs.google.com/spreadsheets/d/18hSgUJ3VwClqi_qtULmmW3cLr0oe3OKaSYoKzdpTsYQ/edit?usp=sharing"",""นครนายก!S270"")+IMPORTRANGE(""https://docs.google.com/spreadsheets/d/1YTZo6WM2dQ6Ix6FSdnL"&amp;"5P7uVnVKu40sxZu975tgG10E/edit?usp=sharing"",""นครปฐม!S270"")+IMPORTRANGE(""https://docs.google.com/spreadsheets/d/1OYoGg4WDg5RIzwGeB10padOxJF9E_Vljuvvct_M7RDo/edit?usp=sharing"",""ปทุมธานี!S270"")+IMPORTRANGE(""https://docs.google.com/spreadsheets/d/1GbCI"&amp;"E4D4wk9FUozzqk7SxfDMxDVBwVmI5zcaVUSzKAc/edit?usp=sharing"",""ประจวบคีรีขันธ์!S270"")+IMPORTRANGE(""https://docs.google.com/spreadsheets/d/1vVf6wykvW_lAyu7Yo9L4hUTqHqIeP_qcVuxCtosJEbg/edit?usp=sharing"",""ปราจีนบุรี!S270"")+IMPORTRANGE(""https://docs.googl"&amp;"e.com/spreadsheets/d/1BIDqLLg5jk3v59G8NlR8rk5xfQDKne0sAvZHSj7TI6I/edit?usp=sharing"",""พระนครศรีอยุธยา!S270"")+IMPORTRANGE(""https://docs.google.com/spreadsheets/d/1YXvxf8Yu6_rV4hTBrwMqAcAnv6DfhUxh5emyM3CJp_w/edit?usp=sharing"",""เพชรบุรี!S270"")+IMPORTRA"&amp;"NGE(""https://docs.google.com/spreadsheets/d/19KBlQQs7uwvsao6t2n-KvW3Ax8J8uRRfZPq1zPbXgKc/edit?usp=sharing"",""ระยอง!S270"")+IMPORTRANGE(""https://docs.google.com/spreadsheets/d/1jQ6P4QcrGM89YfqcC_PxOHGCMq5ezhucwJd8ci-NHng/edit?usp=sharing"",""ราชบุรี!S27"&amp;"0"")+IMPORTRANGE(""https://docs.google.com/spreadsheets/d/1lufeA2cfFqM-elVq2hznhDzC6Pr7wkJ9ZG_sYNGCMCU/edit?usp=sharing"",""ลพบุรี!S270"")+IMPORTRANGE(""https://docs.google.com/spreadsheets/d/10oOiF7loTyfsTkbd4MpaIm0HQ9SwB7IYHdIUvt-U1Uc/edit?usp=sharing"""&amp;",""สระแก้ว!S270"")+IMPORTRANGE(""https://docs.google.com/spreadsheets/d/1xmPlrr1QbdSIKvl1dWUl9K4PjAfSL9oeMr_37QVzcxc/edit?usp=sharing"",""สระบุรี!S270"")+IMPORTRANGE(""https://docs.google.com/spreadsheets/d/1j51vR6CYVGhABJpv6tkstgok82RLpXieLzW1yOY5rHw/edi"&amp;"t?usp=sharing"",""สิงห์บุรี!S270"")+IMPORTRANGE(""https://docs.google.com/spreadsheets/d/1H1EalTWKUSzO4Z1-1CwzoDUaVffgrThEBe2sl74kKG0/edit?usp=sharing"",""สุพรรณบุรี!S270"")+IMPORTRANGE(""https://docs.google.com/spreadsheets/d/1BmIruG_sIrJLYao_Pdr7zVArWsf"&amp;"oBt2692TMi6x_854/edit?usp=sharing"",""อ่างทอง!S270"")"),0)</f>
        <v>0</v>
      </c>
      <c r="T271" s="133">
        <f t="shared" ca="1" si="184"/>
        <v>0</v>
      </c>
      <c r="U271" s="133">
        <f t="shared" ca="1" si="185"/>
        <v>0</v>
      </c>
    </row>
    <row r="272" spans="1:21" ht="18.75" x14ac:dyDescent="0.25">
      <c r="A272" s="209"/>
      <c r="B272" s="67"/>
      <c r="C272" s="67"/>
      <c r="D272" s="67"/>
      <c r="E272" s="75" t="s">
        <v>37</v>
      </c>
      <c r="F272" s="67"/>
      <c r="G272" s="69"/>
      <c r="H272" s="218" t="s">
        <v>14</v>
      </c>
      <c r="I272" s="219"/>
      <c r="J272" s="219"/>
      <c r="K272" s="220"/>
      <c r="L272" s="88">
        <f ca="1">IFERROR(__xludf.DUMMYFUNCTION("IMPORTRANGE(""https://docs.google.com/spreadsheets/d/13wPX838HrBrQMCywv1BsuMkt4PEKTChp52zj44s2izQ/edit?usp=sharing"",""กาญจนบุรี!L271"")+IMPORTRANGE(""https://docs.google.com/spreadsheets/d/1ddFKvqj1W1NEiWytbGlB1zMx_ykJDVtmfEQ-6-lIUBA/edit?usp=sharing"","&amp;"""จันทบุรี!L271"")+IMPORTRANGE(""https://docs.google.com/spreadsheets/d/1T1PQvRODqOBZk8BRht_U031fIS1beLA0Ub2CEytj2q0/edit?usp=sharing"",""ฉะเชิงเทรา!L271"")+IMPORTRANGE(""https://docs.google.com/spreadsheets/d/11tr1B-Bhyr79v2bkwVh5h_fR-PStkgjlZtkrZpYurG0/"&amp;"edit?usp=sharing"",""ชลบุรี!L271"")+IMPORTRANGE(""https://docs.google.com/spreadsheets/d/1hh-FVnSX0vozXhGluamEcS54Dw9_zqW0N7qJUWgJ0Sw/edit?usp=sharing"",""ชัยนาท!L271"")+IMPORTRANGE(""https://docs.google.com/spreadsheets/d/1jkqa6GXxSacMcY1eN8AHjMNJ_7dDXMJ"&amp;"VRLDlaFSOdPM/edit?usp=sharing"",""ตราด!L271"")+IMPORTRANGE(""https://docs.google.com/spreadsheets/d/18hSgUJ3VwClqi_qtULmmW3cLr0oe3OKaSYoKzdpTsYQ/edit?usp=sharing"",""นครนายก!L271"")+IMPORTRANGE(""https://docs.google.com/spreadsheets/d/1YTZo6WM2dQ6Ix6FSdnL"&amp;"5P7uVnVKu40sxZu975tgG10E/edit?usp=sharing"",""นครปฐม!L271"")+IMPORTRANGE(""https://docs.google.com/spreadsheets/d/1OYoGg4WDg5RIzwGeB10padOxJF9E_Vljuvvct_M7RDo/edit?usp=sharing"",""ปทุมธานี!L271"")+IMPORTRANGE(""https://docs.google.com/spreadsheets/d/1GbCI"&amp;"E4D4wk9FUozzqk7SxfDMxDVBwVmI5zcaVUSzKAc/edit?usp=sharing"",""ประจวบคีรีขันธ์!L271"")+IMPORTRANGE(""https://docs.google.com/spreadsheets/d/1vVf6wykvW_lAyu7Yo9L4hUTqHqIeP_qcVuxCtosJEbg/edit?usp=sharing"",""ปราจีนบุรี!L271"")+IMPORTRANGE(""https://docs.googl"&amp;"e.com/spreadsheets/d/1BIDqLLg5jk3v59G8NlR8rk5xfQDKne0sAvZHSj7TI6I/edit?usp=sharing"",""พระนครศรีอยุธยา!L271"")+IMPORTRANGE(""https://docs.google.com/spreadsheets/d/1YXvxf8Yu6_rV4hTBrwMqAcAnv6DfhUxh5emyM3CJp_w/edit?usp=sharing"",""เพชรบุรี!L271"")+IMPORTRA"&amp;"NGE(""https://docs.google.com/spreadsheets/d/19KBlQQs7uwvsao6t2n-KvW3Ax8J8uRRfZPq1zPbXgKc/edit?usp=sharing"",""ระยอง!L271"")+IMPORTRANGE(""https://docs.google.com/spreadsheets/d/1jQ6P4QcrGM89YfqcC_PxOHGCMq5ezhucwJd8ci-NHng/edit?usp=sharing"",""ราชบุรี!L27"&amp;"1"")+IMPORTRANGE(""https://docs.google.com/spreadsheets/d/1lufeA2cfFqM-elVq2hznhDzC6Pr7wkJ9ZG_sYNGCMCU/edit?usp=sharing"",""ลพบุรี!L271"")+IMPORTRANGE(""https://docs.google.com/spreadsheets/d/10oOiF7loTyfsTkbd4MpaIm0HQ9SwB7IYHdIUvt-U1Uc/edit?usp=sharing"""&amp;",""สระแก้ว!L271"")+IMPORTRANGE(""https://docs.google.com/spreadsheets/d/1xmPlrr1QbdSIKvl1dWUl9K4PjAfSL9oeMr_37QVzcxc/edit?usp=sharing"",""สระบุรี!L271"")+IMPORTRANGE(""https://docs.google.com/spreadsheets/d/1j51vR6CYVGhABJpv6tkstgok82RLpXieLzW1yOY5rHw/edi"&amp;"t?usp=sharing"",""สิงห์บุรี!L271"")+IMPORTRANGE(""https://docs.google.com/spreadsheets/d/1H1EalTWKUSzO4Z1-1CwzoDUaVffgrThEBe2sl74kKG0/edit?usp=sharing"",""สุพรรณบุรี!L271"")+IMPORTRANGE(""https://docs.google.com/spreadsheets/d/1BmIruG_sIrJLYao_Pdr7zVArWsf"&amp;"oBt2692TMi6x_854/edit?usp=sharing"",""อ่างทอง!L271"")"),0)</f>
        <v>0</v>
      </c>
      <c r="M272" s="88">
        <f ca="1">IFERROR(__xludf.DUMMYFUNCTION("IMPORTRANGE(""https://docs.google.com/spreadsheets/d/13wPX838HrBrQMCywv1BsuMkt4PEKTChp52zj44s2izQ/edit?usp=sharing"",""กาญจนบุรี!M271"")+IMPORTRANGE(""https://docs.google.com/spreadsheets/d/1ddFKvqj1W1NEiWytbGlB1zMx_ykJDVtmfEQ-6-lIUBA/edit?usp=sharing"","&amp;"""จันทบุรี!M271"")+IMPORTRANGE(""https://docs.google.com/spreadsheets/d/1T1PQvRODqOBZk8BRht_U031fIS1beLA0Ub2CEytj2q0/edit?usp=sharing"",""ฉะเชิงเทรา!M271"")+IMPORTRANGE(""https://docs.google.com/spreadsheets/d/11tr1B-Bhyr79v2bkwVh5h_fR-PStkgjlZtkrZpYurG0/"&amp;"edit?usp=sharing"",""ชลบุรี!M271"")+IMPORTRANGE(""https://docs.google.com/spreadsheets/d/1hh-FVnSX0vozXhGluamEcS54Dw9_zqW0N7qJUWgJ0Sw/edit?usp=sharing"",""ชัยนาท!M271"")+IMPORTRANGE(""https://docs.google.com/spreadsheets/d/1jkqa6GXxSacMcY1eN8AHjMNJ_7dDXMJ"&amp;"VRLDlaFSOdPM/edit?usp=sharing"",""ตราด!M271"")+IMPORTRANGE(""https://docs.google.com/spreadsheets/d/18hSgUJ3VwClqi_qtULmmW3cLr0oe3OKaSYoKzdpTsYQ/edit?usp=sharing"",""นครนายก!M271"")+IMPORTRANGE(""https://docs.google.com/spreadsheets/d/1YTZo6WM2dQ6Ix6FSdnL"&amp;"5P7uVnVKu40sxZu975tgG10E/edit?usp=sharing"",""นครปฐม!M271"")+IMPORTRANGE(""https://docs.google.com/spreadsheets/d/1OYoGg4WDg5RIzwGeB10padOxJF9E_Vljuvvct_M7RDo/edit?usp=sharing"",""ปทุมธานี!M271"")+IMPORTRANGE(""https://docs.google.com/spreadsheets/d/1GbCI"&amp;"E4D4wk9FUozzqk7SxfDMxDVBwVmI5zcaVUSzKAc/edit?usp=sharing"",""ประจวบคีรีขันธ์!M271"")+IMPORTRANGE(""https://docs.google.com/spreadsheets/d/1vVf6wykvW_lAyu7Yo9L4hUTqHqIeP_qcVuxCtosJEbg/edit?usp=sharing"",""ปราจีนบุรี!M271"")+IMPORTRANGE(""https://docs.googl"&amp;"e.com/spreadsheets/d/1BIDqLLg5jk3v59G8NlR8rk5xfQDKne0sAvZHSj7TI6I/edit?usp=sharing"",""พระนครศรีอยุธยา!M271"")+IMPORTRANGE(""https://docs.google.com/spreadsheets/d/1YXvxf8Yu6_rV4hTBrwMqAcAnv6DfhUxh5emyM3CJp_w/edit?usp=sharing"",""เพชรบุรี!M271"")+IMPORTRA"&amp;"NGE(""https://docs.google.com/spreadsheets/d/19KBlQQs7uwvsao6t2n-KvW3Ax8J8uRRfZPq1zPbXgKc/edit?usp=sharing"",""ระยอง!M271"")+IMPORTRANGE(""https://docs.google.com/spreadsheets/d/1jQ6P4QcrGM89YfqcC_PxOHGCMq5ezhucwJd8ci-NHng/edit?usp=sharing"",""ราชบุรี!M27"&amp;"1"")+IMPORTRANGE(""https://docs.google.com/spreadsheets/d/1lufeA2cfFqM-elVq2hznhDzC6Pr7wkJ9ZG_sYNGCMCU/edit?usp=sharing"",""ลพบุรี!M271"")+IMPORTRANGE(""https://docs.google.com/spreadsheets/d/10oOiF7loTyfsTkbd4MpaIm0HQ9SwB7IYHdIUvt-U1Uc/edit?usp=sharing"""&amp;",""สระแก้ว!M271"")+IMPORTRANGE(""https://docs.google.com/spreadsheets/d/1xmPlrr1QbdSIKvl1dWUl9K4PjAfSL9oeMr_37QVzcxc/edit?usp=sharing"",""สระบุรี!M271"")+IMPORTRANGE(""https://docs.google.com/spreadsheets/d/1j51vR6CYVGhABJpv6tkstgok82RLpXieLzW1yOY5rHw/edi"&amp;"t?usp=sharing"",""สิงห์บุรี!M271"")+IMPORTRANGE(""https://docs.google.com/spreadsheets/d/1H1EalTWKUSzO4Z1-1CwzoDUaVffgrThEBe2sl74kKG0/edit?usp=sharing"",""สุพรรณบุรี!M271"")+IMPORTRANGE(""https://docs.google.com/spreadsheets/d/1BmIruG_sIrJLYao_Pdr7zVArWsf"&amp;"oBt2692TMi6x_854/edit?usp=sharing"",""อ่างทอง!M271"")"),118030)</f>
        <v>118030</v>
      </c>
      <c r="N272" s="88">
        <f ca="1">IFERROR(__xludf.DUMMYFUNCTION("IMPORTRANGE(""https://docs.google.com/spreadsheets/d/13wPX838HrBrQMCywv1BsuMkt4PEKTChp52zj44s2izQ/edit?usp=sharing"",""กาญจนบุรี!N271"")+IMPORTRANGE(""https://docs.google.com/spreadsheets/d/1ddFKvqj1W1NEiWytbGlB1zMx_ykJDVtmfEQ-6-lIUBA/edit?usp=sharing"","&amp;"""จันทบุรี!N271"")+IMPORTRANGE(""https://docs.google.com/spreadsheets/d/1T1PQvRODqOBZk8BRht_U031fIS1beLA0Ub2CEytj2q0/edit?usp=sharing"",""ฉะเชิงเทรา!N271"")+IMPORTRANGE(""https://docs.google.com/spreadsheets/d/11tr1B-Bhyr79v2bkwVh5h_fR-PStkgjlZtkrZpYurG0/"&amp;"edit?usp=sharing"",""ชลบุรี!N271"")+IMPORTRANGE(""https://docs.google.com/spreadsheets/d/1hh-FVnSX0vozXhGluamEcS54Dw9_zqW0N7qJUWgJ0Sw/edit?usp=sharing"",""ชัยนาท!N271"")+IMPORTRANGE(""https://docs.google.com/spreadsheets/d/1jkqa6GXxSacMcY1eN8AHjMNJ_7dDXMJ"&amp;"VRLDlaFSOdPM/edit?usp=sharing"",""ตราด!N271"")+IMPORTRANGE(""https://docs.google.com/spreadsheets/d/18hSgUJ3VwClqi_qtULmmW3cLr0oe3OKaSYoKzdpTsYQ/edit?usp=sharing"",""นครนายก!N271"")+IMPORTRANGE(""https://docs.google.com/spreadsheets/d/1YTZo6WM2dQ6Ix6FSdnL"&amp;"5P7uVnVKu40sxZu975tgG10E/edit?usp=sharing"",""นครปฐม!N271"")+IMPORTRANGE(""https://docs.google.com/spreadsheets/d/1OYoGg4WDg5RIzwGeB10padOxJF9E_Vljuvvct_M7RDo/edit?usp=sharing"",""ปทุมธานี!N271"")+IMPORTRANGE(""https://docs.google.com/spreadsheets/d/1GbCI"&amp;"E4D4wk9FUozzqk7SxfDMxDVBwVmI5zcaVUSzKAc/edit?usp=sharing"",""ประจวบคีรีขันธ์!N271"")+IMPORTRANGE(""https://docs.google.com/spreadsheets/d/1vVf6wykvW_lAyu7Yo9L4hUTqHqIeP_qcVuxCtosJEbg/edit?usp=sharing"",""ปราจีนบุรี!N271"")+IMPORTRANGE(""https://docs.googl"&amp;"e.com/spreadsheets/d/1BIDqLLg5jk3v59G8NlR8rk5xfQDKne0sAvZHSj7TI6I/edit?usp=sharing"",""พระนครศรีอยุธยา!N271"")+IMPORTRANGE(""https://docs.google.com/spreadsheets/d/1YXvxf8Yu6_rV4hTBrwMqAcAnv6DfhUxh5emyM3CJp_w/edit?usp=sharing"",""เพชรบุรี!N271"")+IMPORTRA"&amp;"NGE(""https://docs.google.com/spreadsheets/d/19KBlQQs7uwvsao6t2n-KvW3Ax8J8uRRfZPq1zPbXgKc/edit?usp=sharing"",""ระยอง!N271"")+IMPORTRANGE(""https://docs.google.com/spreadsheets/d/1jQ6P4QcrGM89YfqcC_PxOHGCMq5ezhucwJd8ci-NHng/edit?usp=sharing"",""ราชบุรี!N27"&amp;"1"")+IMPORTRANGE(""https://docs.google.com/spreadsheets/d/1lufeA2cfFqM-elVq2hznhDzC6Pr7wkJ9ZG_sYNGCMCU/edit?usp=sharing"",""ลพบุรี!N271"")+IMPORTRANGE(""https://docs.google.com/spreadsheets/d/10oOiF7loTyfsTkbd4MpaIm0HQ9SwB7IYHdIUvt-U1Uc/edit?usp=sharing"""&amp;",""สระแก้ว!N271"")+IMPORTRANGE(""https://docs.google.com/spreadsheets/d/1xmPlrr1QbdSIKvl1dWUl9K4PjAfSL9oeMr_37QVzcxc/edit?usp=sharing"",""สระบุรี!N271"")+IMPORTRANGE(""https://docs.google.com/spreadsheets/d/1j51vR6CYVGhABJpv6tkstgok82RLpXieLzW1yOY5rHw/edi"&amp;"t?usp=sharing"",""สิงห์บุรี!N271"")+IMPORTRANGE(""https://docs.google.com/spreadsheets/d/1H1EalTWKUSzO4Z1-1CwzoDUaVffgrThEBe2sl74kKG0/edit?usp=sharing"",""สุพรรณบุรี!N271"")+IMPORTRANGE(""https://docs.google.com/spreadsheets/d/1BmIruG_sIrJLYao_Pdr7zVArWsf"&amp;"oBt2692TMi6x_854/edit?usp=sharing"",""อ่างทอง!N271"")"),0)</f>
        <v>0</v>
      </c>
      <c r="O272" s="88">
        <f t="shared" ca="1" si="181"/>
        <v>0</v>
      </c>
      <c r="P272" s="88">
        <f t="shared" ca="1" si="182"/>
        <v>0</v>
      </c>
      <c r="Q272" s="131">
        <f ca="1">IFERROR(__xludf.DUMMYFUNCTION("IMPORTRANGE(""https://docs.google.com/spreadsheets/d/13wPX838HrBrQMCywv1BsuMkt4PEKTChp52zj44s2izQ/edit?usp=sharing"",""กาญจนบุรี!Q271"")+IMPORTRANGE(""https://docs.google.com/spreadsheets/d/1ddFKvqj1W1NEiWytbGlB1zMx_ykJDVtmfEQ-6-lIUBA/edit?usp=sharing"","&amp;"""จันทบุรี!Q271"")+IMPORTRANGE(""https://docs.google.com/spreadsheets/d/1T1PQvRODqOBZk8BRht_U031fIS1beLA0Ub2CEytj2q0/edit?usp=sharing"",""ฉะเชิงเทรา!Q271"")+IMPORTRANGE(""https://docs.google.com/spreadsheets/d/11tr1B-Bhyr79v2bkwVh5h_fR-PStkgjlZtkrZpYurG0/"&amp;"edit?usp=sharing"",""ชลบุรี!Q271"")+IMPORTRANGE(""https://docs.google.com/spreadsheets/d/1hh-FVnSX0vozXhGluamEcS54Dw9_zqW0N7qJUWgJ0Sw/edit?usp=sharing"",""ชัยนาท!Q271"")+IMPORTRANGE(""https://docs.google.com/spreadsheets/d/1jkqa6GXxSacMcY1eN8AHjMNJ_7dDXMJ"&amp;"VRLDlaFSOdPM/edit?usp=sharing"",""ตราด!Q271"")+IMPORTRANGE(""https://docs.google.com/spreadsheets/d/18hSgUJ3VwClqi_qtULmmW3cLr0oe3OKaSYoKzdpTsYQ/edit?usp=sharing"",""นครนายก!Q271"")+IMPORTRANGE(""https://docs.google.com/spreadsheets/d/1YTZo6WM2dQ6Ix6FSdnL"&amp;"5P7uVnVKu40sxZu975tgG10E/edit?usp=sharing"",""นครปฐม!Q271"")+IMPORTRANGE(""https://docs.google.com/spreadsheets/d/1OYoGg4WDg5RIzwGeB10padOxJF9E_Vljuvvct_M7RDo/edit?usp=sharing"",""ปทุมธานี!Q271"")+IMPORTRANGE(""https://docs.google.com/spreadsheets/d/1GbCI"&amp;"E4D4wk9FUozzqk7SxfDMxDVBwVmI5zcaVUSzKAc/edit?usp=sharing"",""ประจวบคีรีขันธ์!Q271"")+IMPORTRANGE(""https://docs.google.com/spreadsheets/d/1vVf6wykvW_lAyu7Yo9L4hUTqHqIeP_qcVuxCtosJEbg/edit?usp=sharing"",""ปราจีนบุรี!Q271"")+IMPORTRANGE(""https://docs.googl"&amp;"e.com/spreadsheets/d/1BIDqLLg5jk3v59G8NlR8rk5xfQDKne0sAvZHSj7TI6I/edit?usp=sharing"",""พระนครศรีอยุธยา!Q271"")+IMPORTRANGE(""https://docs.google.com/spreadsheets/d/1YXvxf8Yu6_rV4hTBrwMqAcAnv6DfhUxh5emyM3CJp_w/edit?usp=sharing"",""เพชรบุรี!Q271"")+IMPORTRA"&amp;"NGE(""https://docs.google.com/spreadsheets/d/19KBlQQs7uwvsao6t2n-KvW3Ax8J8uRRfZPq1zPbXgKc/edit?usp=sharing"",""ระยอง!Q271"")+IMPORTRANGE(""https://docs.google.com/spreadsheets/d/1jQ6P4QcrGM89YfqcC_PxOHGCMq5ezhucwJd8ci-NHng/edit?usp=sharing"",""ราชบุรี!Q27"&amp;"1"")+IMPORTRANGE(""https://docs.google.com/spreadsheets/d/1lufeA2cfFqM-elVq2hznhDzC6Pr7wkJ9ZG_sYNGCMCU/edit?usp=sharing"",""ลพบุรี!Q271"")+IMPORTRANGE(""https://docs.google.com/spreadsheets/d/10oOiF7loTyfsTkbd4MpaIm0HQ9SwB7IYHdIUvt-U1Uc/edit?usp=sharing"""&amp;",""สระแก้ว!Q271"")+IMPORTRANGE(""https://docs.google.com/spreadsheets/d/1xmPlrr1QbdSIKvl1dWUl9K4PjAfSL9oeMr_37QVzcxc/edit?usp=sharing"",""สระบุรี!Q271"")+IMPORTRANGE(""https://docs.google.com/spreadsheets/d/1j51vR6CYVGhABJpv6tkstgok82RLpXieLzW1yOY5rHw/edi"&amp;"t?usp=sharing"",""สิงห์บุรี!Q271"")+IMPORTRANGE(""https://docs.google.com/spreadsheets/d/1H1EalTWKUSzO4Z1-1CwzoDUaVffgrThEBe2sl74kKG0/edit?usp=sharing"",""สุพรรณบุรี!Q271"")+IMPORTRANGE(""https://docs.google.com/spreadsheets/d/1BmIruG_sIrJLYao_Pdr7zVArWsf"&amp;"oBt2692TMi6x_854/edit?usp=sharing"",""อ่างทอง!Q271"")"),1041620)</f>
        <v>1041620</v>
      </c>
      <c r="R272" s="132">
        <f ca="1">IFERROR(__xludf.DUMMYFUNCTION("IMPORTRANGE(""https://docs.google.com/spreadsheets/d/13wPX838HrBrQMCywv1BsuMkt4PEKTChp52zj44s2izQ/edit?usp=sharing"",""กาญจนบุรี!R271"")+IMPORTRANGE(""https://docs.google.com/spreadsheets/d/1ddFKvqj1W1NEiWytbGlB1zMx_ykJDVtmfEQ-6-lIUBA/edit?usp=sharing"","&amp;"""จันทบุรี!R271"")+IMPORTRANGE(""https://docs.google.com/spreadsheets/d/1T1PQvRODqOBZk8BRht_U031fIS1beLA0Ub2CEytj2q0/edit?usp=sharing"",""ฉะเชิงเทรา!R271"")+IMPORTRANGE(""https://docs.google.com/spreadsheets/d/11tr1B-Bhyr79v2bkwVh5h_fR-PStkgjlZtkrZpYurG0/"&amp;"edit?usp=sharing"",""ชลบุรี!R271"")+IMPORTRANGE(""https://docs.google.com/spreadsheets/d/1hh-FVnSX0vozXhGluamEcS54Dw9_zqW0N7qJUWgJ0Sw/edit?usp=sharing"",""ชัยนาท!R271"")+IMPORTRANGE(""https://docs.google.com/spreadsheets/d/1jkqa6GXxSacMcY1eN8AHjMNJ_7dDXMJ"&amp;"VRLDlaFSOdPM/edit?usp=sharing"",""ตราด!R271"")+IMPORTRANGE(""https://docs.google.com/spreadsheets/d/18hSgUJ3VwClqi_qtULmmW3cLr0oe3OKaSYoKzdpTsYQ/edit?usp=sharing"",""นครนายก!R271"")+IMPORTRANGE(""https://docs.google.com/spreadsheets/d/1YTZo6WM2dQ6Ix6FSdnL"&amp;"5P7uVnVKu40sxZu975tgG10E/edit?usp=sharing"",""นครปฐม!R271"")+IMPORTRANGE(""https://docs.google.com/spreadsheets/d/1OYoGg4WDg5RIzwGeB10padOxJF9E_Vljuvvct_M7RDo/edit?usp=sharing"",""ปทุมธานี!R271"")+IMPORTRANGE(""https://docs.google.com/spreadsheets/d/1GbCI"&amp;"E4D4wk9FUozzqk7SxfDMxDVBwVmI5zcaVUSzKAc/edit?usp=sharing"",""ประจวบคีรีขันธ์!R271"")+IMPORTRANGE(""https://docs.google.com/spreadsheets/d/1vVf6wykvW_lAyu7Yo9L4hUTqHqIeP_qcVuxCtosJEbg/edit?usp=sharing"",""ปราจีนบุรี!R271"")+IMPORTRANGE(""https://docs.googl"&amp;"e.com/spreadsheets/d/1BIDqLLg5jk3v59G8NlR8rk5xfQDKne0sAvZHSj7TI6I/edit?usp=sharing"",""พระนครศรีอยุธยา!R271"")+IMPORTRANGE(""https://docs.google.com/spreadsheets/d/1YXvxf8Yu6_rV4hTBrwMqAcAnv6DfhUxh5emyM3CJp_w/edit?usp=sharing"",""เพชรบุรี!R271"")+IMPORTRA"&amp;"NGE(""https://docs.google.com/spreadsheets/d/19KBlQQs7uwvsao6t2n-KvW3Ax8J8uRRfZPq1zPbXgKc/edit?usp=sharing"",""ระยอง!R271"")+IMPORTRANGE(""https://docs.google.com/spreadsheets/d/1jQ6P4QcrGM89YfqcC_PxOHGCMq5ezhucwJd8ci-NHng/edit?usp=sharing"",""ราชบุรี!R27"&amp;"1"")+IMPORTRANGE(""https://docs.google.com/spreadsheets/d/1lufeA2cfFqM-elVq2hznhDzC6Pr7wkJ9ZG_sYNGCMCU/edit?usp=sharing"",""ลพบุรี!R271"")+IMPORTRANGE(""https://docs.google.com/spreadsheets/d/10oOiF7loTyfsTkbd4MpaIm0HQ9SwB7IYHdIUvt-U1Uc/edit?usp=sharing"""&amp;",""สระแก้ว!R271"")+IMPORTRANGE(""https://docs.google.com/spreadsheets/d/1xmPlrr1QbdSIKvl1dWUl9K4PjAfSL9oeMr_37QVzcxc/edit?usp=sharing"",""สระบุรี!R271"")+IMPORTRANGE(""https://docs.google.com/spreadsheets/d/1j51vR6CYVGhABJpv6tkstgok82RLpXieLzW1yOY5rHw/edi"&amp;"t?usp=sharing"",""สิงห์บุรี!R271"")+IMPORTRANGE(""https://docs.google.com/spreadsheets/d/1H1EalTWKUSzO4Z1-1CwzoDUaVffgrThEBe2sl74kKG0/edit?usp=sharing"",""สุพรรณบุรี!R271"")+IMPORTRANGE(""https://docs.google.com/spreadsheets/d/1BmIruG_sIrJLYao_Pdr7zVArWsf"&amp;"oBt2692TMi6x_854/edit?usp=sharing"",""อ่างทอง!R271"")"),1041620)</f>
        <v>1041620</v>
      </c>
      <c r="S272" s="132">
        <f ca="1">IFERROR(__xludf.DUMMYFUNCTION("IMPORTRANGE(""https://docs.google.com/spreadsheets/d/13wPX838HrBrQMCywv1BsuMkt4PEKTChp52zj44s2izQ/edit?usp=sharing"",""กาญจนบุรี!S271"")+IMPORTRANGE(""https://docs.google.com/spreadsheets/d/1ddFKvqj1W1NEiWytbGlB1zMx_ykJDVtmfEQ-6-lIUBA/edit?usp=sharing"","&amp;"""จันทบุรี!S271"")+IMPORTRANGE(""https://docs.google.com/spreadsheets/d/1T1PQvRODqOBZk8BRht_U031fIS1beLA0Ub2CEytj2q0/edit?usp=sharing"",""ฉะเชิงเทรา!S271"")+IMPORTRANGE(""https://docs.google.com/spreadsheets/d/11tr1B-Bhyr79v2bkwVh5h_fR-PStkgjlZtkrZpYurG0/"&amp;"edit?usp=sharing"",""ชลบุรี!S271"")+IMPORTRANGE(""https://docs.google.com/spreadsheets/d/1hh-FVnSX0vozXhGluamEcS54Dw9_zqW0N7qJUWgJ0Sw/edit?usp=sharing"",""ชัยนาท!S271"")+IMPORTRANGE(""https://docs.google.com/spreadsheets/d/1jkqa6GXxSacMcY1eN8AHjMNJ_7dDXMJ"&amp;"VRLDlaFSOdPM/edit?usp=sharing"",""ตราด!S271"")+IMPORTRANGE(""https://docs.google.com/spreadsheets/d/18hSgUJ3VwClqi_qtULmmW3cLr0oe3OKaSYoKzdpTsYQ/edit?usp=sharing"",""นครนายก!S271"")+IMPORTRANGE(""https://docs.google.com/spreadsheets/d/1YTZo6WM2dQ6Ix6FSdnL"&amp;"5P7uVnVKu40sxZu975tgG10E/edit?usp=sharing"",""นครปฐม!S271"")+IMPORTRANGE(""https://docs.google.com/spreadsheets/d/1OYoGg4WDg5RIzwGeB10padOxJF9E_Vljuvvct_M7RDo/edit?usp=sharing"",""ปทุมธานี!S271"")+IMPORTRANGE(""https://docs.google.com/spreadsheets/d/1GbCI"&amp;"E4D4wk9FUozzqk7SxfDMxDVBwVmI5zcaVUSzKAc/edit?usp=sharing"",""ประจวบคีรีขันธ์!S271"")+IMPORTRANGE(""https://docs.google.com/spreadsheets/d/1vVf6wykvW_lAyu7Yo9L4hUTqHqIeP_qcVuxCtosJEbg/edit?usp=sharing"",""ปราจีนบุรี!S271"")+IMPORTRANGE(""https://docs.googl"&amp;"e.com/spreadsheets/d/1BIDqLLg5jk3v59G8NlR8rk5xfQDKne0sAvZHSj7TI6I/edit?usp=sharing"",""พระนครศรีอยุธยา!S271"")+IMPORTRANGE(""https://docs.google.com/spreadsheets/d/1YXvxf8Yu6_rV4hTBrwMqAcAnv6DfhUxh5emyM3CJp_w/edit?usp=sharing"",""เพชรบุรี!S271"")+IMPORTRA"&amp;"NGE(""https://docs.google.com/spreadsheets/d/19KBlQQs7uwvsao6t2n-KvW3Ax8J8uRRfZPq1zPbXgKc/edit?usp=sharing"",""ระยอง!S271"")+IMPORTRANGE(""https://docs.google.com/spreadsheets/d/1jQ6P4QcrGM89YfqcC_PxOHGCMq5ezhucwJd8ci-NHng/edit?usp=sharing"",""ราชบุรี!S27"&amp;"1"")+IMPORTRANGE(""https://docs.google.com/spreadsheets/d/1lufeA2cfFqM-elVq2hznhDzC6Pr7wkJ9ZG_sYNGCMCU/edit?usp=sharing"",""ลพบุรี!S271"")+IMPORTRANGE(""https://docs.google.com/spreadsheets/d/10oOiF7loTyfsTkbd4MpaIm0HQ9SwB7IYHdIUvt-U1Uc/edit?usp=sharing"""&amp;",""สระแก้ว!S271"")+IMPORTRANGE(""https://docs.google.com/spreadsheets/d/1xmPlrr1QbdSIKvl1dWUl9K4PjAfSL9oeMr_37QVzcxc/edit?usp=sharing"",""สระบุรี!S271"")+IMPORTRANGE(""https://docs.google.com/spreadsheets/d/1j51vR6CYVGhABJpv6tkstgok82RLpXieLzW1yOY5rHw/edi"&amp;"t?usp=sharing"",""สิงห์บุรี!S271"")+IMPORTRANGE(""https://docs.google.com/spreadsheets/d/1H1EalTWKUSzO4Z1-1CwzoDUaVffgrThEBe2sl74kKG0/edit?usp=sharing"",""สุพรรณบุรี!S271"")+IMPORTRANGE(""https://docs.google.com/spreadsheets/d/1BmIruG_sIrJLYao_Pdr7zVArWsf"&amp;"oBt2692TMi6x_854/edit?usp=sharing"",""อ่างทอง!S271"")"),740)</f>
        <v>740</v>
      </c>
      <c r="T272" s="132">
        <f t="shared" ca="1" si="184"/>
        <v>7.1043182734586513E-2</v>
      </c>
      <c r="U272" s="132">
        <f t="shared" ca="1" si="185"/>
        <v>7.1043182734586513E-2</v>
      </c>
    </row>
    <row r="273" spans="1:21" ht="18.75" x14ac:dyDescent="0.25">
      <c r="A273" s="209"/>
      <c r="B273" s="67"/>
      <c r="C273" s="67"/>
      <c r="D273" s="68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88">
        <f t="shared" ref="L273:N273" ca="1" si="192">L274+L275</f>
        <v>0</v>
      </c>
      <c r="M273" s="88">
        <f t="shared" ca="1" si="192"/>
        <v>0</v>
      </c>
      <c r="N273" s="88">
        <f t="shared" ca="1" si="192"/>
        <v>0</v>
      </c>
      <c r="O273" s="88">
        <f t="shared" ca="1" si="181"/>
        <v>0</v>
      </c>
      <c r="P273" s="88">
        <f t="shared" ca="1" si="182"/>
        <v>0</v>
      </c>
      <c r="Q273" s="131">
        <f t="shared" ref="Q273:S273" ca="1" si="193">Q274+Q275</f>
        <v>0</v>
      </c>
      <c r="R273" s="132">
        <f t="shared" ca="1" si="193"/>
        <v>0</v>
      </c>
      <c r="S273" s="132">
        <f t="shared" ca="1" si="193"/>
        <v>0</v>
      </c>
      <c r="T273" s="132">
        <f t="shared" ca="1" si="184"/>
        <v>0</v>
      </c>
      <c r="U273" s="132">
        <f t="shared" ca="1" si="185"/>
        <v>0</v>
      </c>
    </row>
    <row r="274" spans="1:21" ht="18.75" x14ac:dyDescent="0.25">
      <c r="A274" s="209"/>
      <c r="B274" s="67"/>
      <c r="C274" s="67"/>
      <c r="D274" s="67"/>
      <c r="E274" s="75" t="s">
        <v>20</v>
      </c>
      <c r="F274" s="67"/>
      <c r="G274" s="69"/>
      <c r="H274" s="218" t="s">
        <v>14</v>
      </c>
      <c r="I274" s="219"/>
      <c r="J274" s="219"/>
      <c r="K274" s="220"/>
      <c r="L274" s="88">
        <f ca="1">IFERROR(__xludf.DUMMYFUNCTION("IMPORTRANGE(""https://docs.google.com/spreadsheets/d/13wPX838HrBrQMCywv1BsuMkt4PEKTChp52zj44s2izQ/edit?usp=sharing"",""กาญจนบุรี!L273"")+IMPORTRANGE(""https://docs.google.com/spreadsheets/d/1ddFKvqj1W1NEiWytbGlB1zMx_ykJDVtmfEQ-6-lIUBA/edit?usp=sharing"","&amp;"""จันทบุรี!L273"")+IMPORTRANGE(""https://docs.google.com/spreadsheets/d/1T1PQvRODqOBZk8BRht_U031fIS1beLA0Ub2CEytj2q0/edit?usp=sharing"",""ฉะเชิงเทรา!L273"")+IMPORTRANGE(""https://docs.google.com/spreadsheets/d/11tr1B-Bhyr79v2bkwVh5h_fR-PStkgjlZtkrZpYurG0/"&amp;"edit?usp=sharing"",""ชลบุรี!L273"")+IMPORTRANGE(""https://docs.google.com/spreadsheets/d/1hh-FVnSX0vozXhGluamEcS54Dw9_zqW0N7qJUWgJ0Sw/edit?usp=sharing"",""ชัยนาท!L273"")+IMPORTRANGE(""https://docs.google.com/spreadsheets/d/1jkqa6GXxSacMcY1eN8AHjMNJ_7dDXMJ"&amp;"VRLDlaFSOdPM/edit?usp=sharing"",""ตราด!L273"")+IMPORTRANGE(""https://docs.google.com/spreadsheets/d/18hSgUJ3VwClqi_qtULmmW3cLr0oe3OKaSYoKzdpTsYQ/edit?usp=sharing"",""นครนายก!L273"")+IMPORTRANGE(""https://docs.google.com/spreadsheets/d/1YTZo6WM2dQ6Ix6FSdnL"&amp;"5P7uVnVKu40sxZu975tgG10E/edit?usp=sharing"",""นครปฐม!L273"")+IMPORTRANGE(""https://docs.google.com/spreadsheets/d/1OYoGg4WDg5RIzwGeB10padOxJF9E_Vljuvvct_M7RDo/edit?usp=sharing"",""ปทุมธานี!L273"")+IMPORTRANGE(""https://docs.google.com/spreadsheets/d/1GbCI"&amp;"E4D4wk9FUozzqk7SxfDMxDVBwVmI5zcaVUSzKAc/edit?usp=sharing"",""ประจวบคีรีขันธ์!L273"")+IMPORTRANGE(""https://docs.google.com/spreadsheets/d/1vVf6wykvW_lAyu7Yo9L4hUTqHqIeP_qcVuxCtosJEbg/edit?usp=sharing"",""ปราจีนบุรี!L273"")+IMPORTRANGE(""https://docs.googl"&amp;"e.com/spreadsheets/d/1BIDqLLg5jk3v59G8NlR8rk5xfQDKne0sAvZHSj7TI6I/edit?usp=sharing"",""พระนครศรีอยุธยา!L273"")+IMPORTRANGE(""https://docs.google.com/spreadsheets/d/1YXvxf8Yu6_rV4hTBrwMqAcAnv6DfhUxh5emyM3CJp_w/edit?usp=sharing"",""เพชรบุรี!L273"")+IMPORTRA"&amp;"NGE(""https://docs.google.com/spreadsheets/d/19KBlQQs7uwvsao6t2n-KvW3Ax8J8uRRfZPq1zPbXgKc/edit?usp=sharing"",""ระยอง!L273"")+IMPORTRANGE(""https://docs.google.com/spreadsheets/d/1jQ6P4QcrGM89YfqcC_PxOHGCMq5ezhucwJd8ci-NHng/edit?usp=sharing"",""ราชบุรี!L27"&amp;"3"")+IMPORTRANGE(""https://docs.google.com/spreadsheets/d/1lufeA2cfFqM-elVq2hznhDzC6Pr7wkJ9ZG_sYNGCMCU/edit?usp=sharing"",""ลพบุรี!L273"")+IMPORTRANGE(""https://docs.google.com/spreadsheets/d/10oOiF7loTyfsTkbd4MpaIm0HQ9SwB7IYHdIUvt-U1Uc/edit?usp=sharing"""&amp;",""สระแก้ว!L273"")+IMPORTRANGE(""https://docs.google.com/spreadsheets/d/1xmPlrr1QbdSIKvl1dWUl9K4PjAfSL9oeMr_37QVzcxc/edit?usp=sharing"",""สระบุรี!L273"")+IMPORTRANGE(""https://docs.google.com/spreadsheets/d/1j51vR6CYVGhABJpv6tkstgok82RLpXieLzW1yOY5rHw/edi"&amp;"t?usp=sharing"",""สิงห์บุรี!L273"")+IMPORTRANGE(""https://docs.google.com/spreadsheets/d/1H1EalTWKUSzO4Z1-1CwzoDUaVffgrThEBe2sl74kKG0/edit?usp=sharing"",""สุพรรณบุรี!L273"")+IMPORTRANGE(""https://docs.google.com/spreadsheets/d/1BmIruG_sIrJLYao_Pdr7zVArWsf"&amp;"oBt2692TMi6x_854/edit?usp=sharing"",""อ่างทอง!L273"")"),0)</f>
        <v>0</v>
      </c>
      <c r="M274" s="88">
        <f ca="1">IFERROR(__xludf.DUMMYFUNCTION("IMPORTRANGE(""https://docs.google.com/spreadsheets/d/13wPX838HrBrQMCywv1BsuMkt4PEKTChp52zj44s2izQ/edit?usp=sharing"",""กาญจนบุรี!M273"")+IMPORTRANGE(""https://docs.google.com/spreadsheets/d/1ddFKvqj1W1NEiWytbGlB1zMx_ykJDVtmfEQ-6-lIUBA/edit?usp=sharing"","&amp;"""จันทบุรี!M273"")+IMPORTRANGE(""https://docs.google.com/spreadsheets/d/1T1PQvRODqOBZk8BRht_U031fIS1beLA0Ub2CEytj2q0/edit?usp=sharing"",""ฉะเชิงเทรา!M273"")+IMPORTRANGE(""https://docs.google.com/spreadsheets/d/11tr1B-Bhyr79v2bkwVh5h_fR-PStkgjlZtkrZpYurG0/"&amp;"edit?usp=sharing"",""ชลบุรี!M273"")+IMPORTRANGE(""https://docs.google.com/spreadsheets/d/1hh-FVnSX0vozXhGluamEcS54Dw9_zqW0N7qJUWgJ0Sw/edit?usp=sharing"",""ชัยนาท!M273"")+IMPORTRANGE(""https://docs.google.com/spreadsheets/d/1jkqa6GXxSacMcY1eN8AHjMNJ_7dDXMJ"&amp;"VRLDlaFSOdPM/edit?usp=sharing"",""ตราด!M273"")+IMPORTRANGE(""https://docs.google.com/spreadsheets/d/18hSgUJ3VwClqi_qtULmmW3cLr0oe3OKaSYoKzdpTsYQ/edit?usp=sharing"",""นครนายก!M273"")+IMPORTRANGE(""https://docs.google.com/spreadsheets/d/1YTZo6WM2dQ6Ix6FSdnL"&amp;"5P7uVnVKu40sxZu975tgG10E/edit?usp=sharing"",""นครปฐม!M273"")+IMPORTRANGE(""https://docs.google.com/spreadsheets/d/1OYoGg4WDg5RIzwGeB10padOxJF9E_Vljuvvct_M7RDo/edit?usp=sharing"",""ปทุมธานี!M273"")+IMPORTRANGE(""https://docs.google.com/spreadsheets/d/1GbCI"&amp;"E4D4wk9FUozzqk7SxfDMxDVBwVmI5zcaVUSzKAc/edit?usp=sharing"",""ประจวบคีรีขันธ์!M273"")+IMPORTRANGE(""https://docs.google.com/spreadsheets/d/1vVf6wykvW_lAyu7Yo9L4hUTqHqIeP_qcVuxCtosJEbg/edit?usp=sharing"",""ปราจีนบุรี!M273"")+IMPORTRANGE(""https://docs.googl"&amp;"e.com/spreadsheets/d/1BIDqLLg5jk3v59G8NlR8rk5xfQDKne0sAvZHSj7TI6I/edit?usp=sharing"",""พระนครศรีอยุธยา!M273"")+IMPORTRANGE(""https://docs.google.com/spreadsheets/d/1YXvxf8Yu6_rV4hTBrwMqAcAnv6DfhUxh5emyM3CJp_w/edit?usp=sharing"",""เพชรบุรี!M273"")+IMPORTRA"&amp;"NGE(""https://docs.google.com/spreadsheets/d/19KBlQQs7uwvsao6t2n-KvW3Ax8J8uRRfZPq1zPbXgKc/edit?usp=sharing"",""ระยอง!M273"")+IMPORTRANGE(""https://docs.google.com/spreadsheets/d/1jQ6P4QcrGM89YfqcC_PxOHGCMq5ezhucwJd8ci-NHng/edit?usp=sharing"",""ราชบุรี!M27"&amp;"3"")+IMPORTRANGE(""https://docs.google.com/spreadsheets/d/1lufeA2cfFqM-elVq2hznhDzC6Pr7wkJ9ZG_sYNGCMCU/edit?usp=sharing"",""ลพบุรี!M273"")+IMPORTRANGE(""https://docs.google.com/spreadsheets/d/10oOiF7loTyfsTkbd4MpaIm0HQ9SwB7IYHdIUvt-U1Uc/edit?usp=sharing"""&amp;",""สระแก้ว!M273"")+IMPORTRANGE(""https://docs.google.com/spreadsheets/d/1xmPlrr1QbdSIKvl1dWUl9K4PjAfSL9oeMr_37QVzcxc/edit?usp=sharing"",""สระบุรี!M273"")+IMPORTRANGE(""https://docs.google.com/spreadsheets/d/1j51vR6CYVGhABJpv6tkstgok82RLpXieLzW1yOY5rHw/edi"&amp;"t?usp=sharing"",""สิงห์บุรี!M273"")+IMPORTRANGE(""https://docs.google.com/spreadsheets/d/1H1EalTWKUSzO4Z1-1CwzoDUaVffgrThEBe2sl74kKG0/edit?usp=sharing"",""สุพรรณบุรี!M273"")+IMPORTRANGE(""https://docs.google.com/spreadsheets/d/1BmIruG_sIrJLYao_Pdr7zVArWsf"&amp;"oBt2692TMi6x_854/edit?usp=sharing"",""อ่างทอง!M273"")"),0)</f>
        <v>0</v>
      </c>
      <c r="N274" s="88">
        <f ca="1">IFERROR(__xludf.DUMMYFUNCTION("IMPORTRANGE(""https://docs.google.com/spreadsheets/d/13wPX838HrBrQMCywv1BsuMkt4PEKTChp52zj44s2izQ/edit?usp=sharing"",""กาญจนบุรี!N273"")+IMPORTRANGE(""https://docs.google.com/spreadsheets/d/1ddFKvqj1W1NEiWytbGlB1zMx_ykJDVtmfEQ-6-lIUBA/edit?usp=sharing"","&amp;"""จันทบุรี!N273"")+IMPORTRANGE(""https://docs.google.com/spreadsheets/d/1T1PQvRODqOBZk8BRht_U031fIS1beLA0Ub2CEytj2q0/edit?usp=sharing"",""ฉะเชิงเทรา!N273"")+IMPORTRANGE(""https://docs.google.com/spreadsheets/d/11tr1B-Bhyr79v2bkwVh5h_fR-PStkgjlZtkrZpYurG0/"&amp;"edit?usp=sharing"",""ชลบุรี!N273"")+IMPORTRANGE(""https://docs.google.com/spreadsheets/d/1hh-FVnSX0vozXhGluamEcS54Dw9_zqW0N7qJUWgJ0Sw/edit?usp=sharing"",""ชัยนาท!N273"")+IMPORTRANGE(""https://docs.google.com/spreadsheets/d/1jkqa6GXxSacMcY1eN8AHjMNJ_7dDXMJ"&amp;"VRLDlaFSOdPM/edit?usp=sharing"",""ตราด!N273"")+IMPORTRANGE(""https://docs.google.com/spreadsheets/d/18hSgUJ3VwClqi_qtULmmW3cLr0oe3OKaSYoKzdpTsYQ/edit?usp=sharing"",""นครนายก!N273"")+IMPORTRANGE(""https://docs.google.com/spreadsheets/d/1YTZo6WM2dQ6Ix6FSdnL"&amp;"5P7uVnVKu40sxZu975tgG10E/edit?usp=sharing"",""นครปฐม!N273"")+IMPORTRANGE(""https://docs.google.com/spreadsheets/d/1OYoGg4WDg5RIzwGeB10padOxJF9E_Vljuvvct_M7RDo/edit?usp=sharing"",""ปทุมธานี!N273"")+IMPORTRANGE(""https://docs.google.com/spreadsheets/d/1GbCI"&amp;"E4D4wk9FUozzqk7SxfDMxDVBwVmI5zcaVUSzKAc/edit?usp=sharing"",""ประจวบคีรีขันธ์!N273"")+IMPORTRANGE(""https://docs.google.com/spreadsheets/d/1vVf6wykvW_lAyu7Yo9L4hUTqHqIeP_qcVuxCtosJEbg/edit?usp=sharing"",""ปราจีนบุรี!N273"")+IMPORTRANGE(""https://docs.googl"&amp;"e.com/spreadsheets/d/1BIDqLLg5jk3v59G8NlR8rk5xfQDKne0sAvZHSj7TI6I/edit?usp=sharing"",""พระนครศรีอยุธยา!N273"")+IMPORTRANGE(""https://docs.google.com/spreadsheets/d/1YXvxf8Yu6_rV4hTBrwMqAcAnv6DfhUxh5emyM3CJp_w/edit?usp=sharing"",""เพชรบุรี!N273"")+IMPORTRA"&amp;"NGE(""https://docs.google.com/spreadsheets/d/19KBlQQs7uwvsao6t2n-KvW3Ax8J8uRRfZPq1zPbXgKc/edit?usp=sharing"",""ระยอง!N273"")+IMPORTRANGE(""https://docs.google.com/spreadsheets/d/1jQ6P4QcrGM89YfqcC_PxOHGCMq5ezhucwJd8ci-NHng/edit?usp=sharing"",""ราชบุรี!N27"&amp;"3"")+IMPORTRANGE(""https://docs.google.com/spreadsheets/d/1lufeA2cfFqM-elVq2hznhDzC6Pr7wkJ9ZG_sYNGCMCU/edit?usp=sharing"",""ลพบุรี!N273"")+IMPORTRANGE(""https://docs.google.com/spreadsheets/d/10oOiF7loTyfsTkbd4MpaIm0HQ9SwB7IYHdIUvt-U1Uc/edit?usp=sharing"""&amp;",""สระแก้ว!N273"")+IMPORTRANGE(""https://docs.google.com/spreadsheets/d/1xmPlrr1QbdSIKvl1dWUl9K4PjAfSL9oeMr_37QVzcxc/edit?usp=sharing"",""สระบุรี!N273"")+IMPORTRANGE(""https://docs.google.com/spreadsheets/d/1j51vR6CYVGhABJpv6tkstgok82RLpXieLzW1yOY5rHw/edi"&amp;"t?usp=sharing"",""สิงห์บุรี!N273"")+IMPORTRANGE(""https://docs.google.com/spreadsheets/d/1H1EalTWKUSzO4Z1-1CwzoDUaVffgrThEBe2sl74kKG0/edit?usp=sharing"",""สุพรรณบุรี!N273"")+IMPORTRANGE(""https://docs.google.com/spreadsheets/d/1BmIruG_sIrJLYao_Pdr7zVArWsf"&amp;"oBt2692TMi6x_854/edit?usp=sharing"",""อ่างทอง!N273"")"),0)</f>
        <v>0</v>
      </c>
      <c r="O274" s="88">
        <f t="shared" ca="1" si="181"/>
        <v>0</v>
      </c>
      <c r="P274" s="88">
        <f t="shared" ca="1" si="182"/>
        <v>0</v>
      </c>
      <c r="Q274" s="76">
        <f ca="1">IFERROR(__xludf.DUMMYFUNCTION("IMPORTRANGE(""https://docs.google.com/spreadsheets/d/13wPX838HrBrQMCywv1BsuMkt4PEKTChp52zj44s2izQ/edit?usp=sharing"",""กาญจนบุรี!Q273"")+IMPORTRANGE(""https://docs.google.com/spreadsheets/d/1ddFKvqj1W1NEiWytbGlB1zMx_ykJDVtmfEQ-6-lIUBA/edit?usp=sharing"","&amp;"""จันทบุรี!Q273"")+IMPORTRANGE(""https://docs.google.com/spreadsheets/d/1T1PQvRODqOBZk8BRht_U031fIS1beLA0Ub2CEytj2q0/edit?usp=sharing"",""ฉะเชิงเทรา!Q273"")+IMPORTRANGE(""https://docs.google.com/spreadsheets/d/11tr1B-Bhyr79v2bkwVh5h_fR-PStkgjlZtkrZpYurG0/"&amp;"edit?usp=sharing"",""ชลบุรี!Q273"")+IMPORTRANGE(""https://docs.google.com/spreadsheets/d/1hh-FVnSX0vozXhGluamEcS54Dw9_zqW0N7qJUWgJ0Sw/edit?usp=sharing"",""ชัยนาท!Q273"")+IMPORTRANGE(""https://docs.google.com/spreadsheets/d/1jkqa6GXxSacMcY1eN8AHjMNJ_7dDXMJ"&amp;"VRLDlaFSOdPM/edit?usp=sharing"",""ตราด!Q273"")+IMPORTRANGE(""https://docs.google.com/spreadsheets/d/18hSgUJ3VwClqi_qtULmmW3cLr0oe3OKaSYoKzdpTsYQ/edit?usp=sharing"",""นครนายก!Q273"")+IMPORTRANGE(""https://docs.google.com/spreadsheets/d/1YTZo6WM2dQ6Ix6FSdnL"&amp;"5P7uVnVKu40sxZu975tgG10E/edit?usp=sharing"",""นครปฐม!Q273"")+IMPORTRANGE(""https://docs.google.com/spreadsheets/d/1OYoGg4WDg5RIzwGeB10padOxJF9E_Vljuvvct_M7RDo/edit?usp=sharing"",""ปทุมธานี!Q273"")+IMPORTRANGE(""https://docs.google.com/spreadsheets/d/1GbCI"&amp;"E4D4wk9FUozzqk7SxfDMxDVBwVmI5zcaVUSzKAc/edit?usp=sharing"",""ประจวบคีรีขันธ์!Q273"")+IMPORTRANGE(""https://docs.google.com/spreadsheets/d/1vVf6wykvW_lAyu7Yo9L4hUTqHqIeP_qcVuxCtosJEbg/edit?usp=sharing"",""ปราจีนบุรี!Q273"")+IMPORTRANGE(""https://docs.googl"&amp;"e.com/spreadsheets/d/1BIDqLLg5jk3v59G8NlR8rk5xfQDKne0sAvZHSj7TI6I/edit?usp=sharing"",""พระนครศรีอยุธยา!Q273"")+IMPORTRANGE(""https://docs.google.com/spreadsheets/d/1YXvxf8Yu6_rV4hTBrwMqAcAnv6DfhUxh5emyM3CJp_w/edit?usp=sharing"",""เพชรบุรี!Q273"")+IMPORTRA"&amp;"NGE(""https://docs.google.com/spreadsheets/d/19KBlQQs7uwvsao6t2n-KvW3Ax8J8uRRfZPq1zPbXgKc/edit?usp=sharing"",""ระยอง!Q273"")+IMPORTRANGE(""https://docs.google.com/spreadsheets/d/1jQ6P4QcrGM89YfqcC_PxOHGCMq5ezhucwJd8ci-NHng/edit?usp=sharing"",""ราชบุรี!Q27"&amp;"3"")+IMPORTRANGE(""https://docs.google.com/spreadsheets/d/1lufeA2cfFqM-elVq2hznhDzC6Pr7wkJ9ZG_sYNGCMCU/edit?usp=sharing"",""ลพบุรี!Q273"")+IMPORTRANGE(""https://docs.google.com/spreadsheets/d/10oOiF7loTyfsTkbd4MpaIm0HQ9SwB7IYHdIUvt-U1Uc/edit?usp=sharing"""&amp;",""สระแก้ว!Q273"")+IMPORTRANGE(""https://docs.google.com/spreadsheets/d/1xmPlrr1QbdSIKvl1dWUl9K4PjAfSL9oeMr_37QVzcxc/edit?usp=sharing"",""สระบุรี!Q273"")+IMPORTRANGE(""https://docs.google.com/spreadsheets/d/1j51vR6CYVGhABJpv6tkstgok82RLpXieLzW1yOY5rHw/edi"&amp;"t?usp=sharing"",""สิงห์บุรี!Q273"")+IMPORTRANGE(""https://docs.google.com/spreadsheets/d/1H1EalTWKUSzO4Z1-1CwzoDUaVffgrThEBe2sl74kKG0/edit?usp=sharing"",""สุพรรณบุรี!Q273"")+IMPORTRANGE(""https://docs.google.com/spreadsheets/d/1BmIruG_sIrJLYao_Pdr7zVArWsf"&amp;"oBt2692TMi6x_854/edit?usp=sharing"",""อ่างทอง!Q273"")"),0)</f>
        <v>0</v>
      </c>
      <c r="R274" s="77">
        <f ca="1">IFERROR(__xludf.DUMMYFUNCTION("IMPORTRANGE(""https://docs.google.com/spreadsheets/d/13wPX838HrBrQMCywv1BsuMkt4PEKTChp52zj44s2izQ/edit?usp=sharing"",""กาญจนบุรี!R273"")+IMPORTRANGE(""https://docs.google.com/spreadsheets/d/1ddFKvqj1W1NEiWytbGlB1zMx_ykJDVtmfEQ-6-lIUBA/edit?usp=sharing"","&amp;"""จันทบุรี!R273"")+IMPORTRANGE(""https://docs.google.com/spreadsheets/d/1T1PQvRODqOBZk8BRht_U031fIS1beLA0Ub2CEytj2q0/edit?usp=sharing"",""ฉะเชิงเทรา!R273"")+IMPORTRANGE(""https://docs.google.com/spreadsheets/d/11tr1B-Bhyr79v2bkwVh5h_fR-PStkgjlZtkrZpYurG0/"&amp;"edit?usp=sharing"",""ชลบุรี!R273"")+IMPORTRANGE(""https://docs.google.com/spreadsheets/d/1hh-FVnSX0vozXhGluamEcS54Dw9_zqW0N7qJUWgJ0Sw/edit?usp=sharing"",""ชัยนาท!R273"")+IMPORTRANGE(""https://docs.google.com/spreadsheets/d/1jkqa6GXxSacMcY1eN8AHjMNJ_7dDXMJ"&amp;"VRLDlaFSOdPM/edit?usp=sharing"",""ตราด!R273"")+IMPORTRANGE(""https://docs.google.com/spreadsheets/d/18hSgUJ3VwClqi_qtULmmW3cLr0oe3OKaSYoKzdpTsYQ/edit?usp=sharing"",""นครนายก!R273"")+IMPORTRANGE(""https://docs.google.com/spreadsheets/d/1YTZo6WM2dQ6Ix6FSdnL"&amp;"5P7uVnVKu40sxZu975tgG10E/edit?usp=sharing"",""นครปฐม!R273"")+IMPORTRANGE(""https://docs.google.com/spreadsheets/d/1OYoGg4WDg5RIzwGeB10padOxJF9E_Vljuvvct_M7RDo/edit?usp=sharing"",""ปทุมธานี!R273"")+IMPORTRANGE(""https://docs.google.com/spreadsheets/d/1GbCI"&amp;"E4D4wk9FUozzqk7SxfDMxDVBwVmI5zcaVUSzKAc/edit?usp=sharing"",""ประจวบคีรีขันธ์!R273"")+IMPORTRANGE(""https://docs.google.com/spreadsheets/d/1vVf6wykvW_lAyu7Yo9L4hUTqHqIeP_qcVuxCtosJEbg/edit?usp=sharing"",""ปราจีนบุรี!R273"")+IMPORTRANGE(""https://docs.googl"&amp;"e.com/spreadsheets/d/1BIDqLLg5jk3v59G8NlR8rk5xfQDKne0sAvZHSj7TI6I/edit?usp=sharing"",""พระนครศรีอยุธยา!R273"")+IMPORTRANGE(""https://docs.google.com/spreadsheets/d/1YXvxf8Yu6_rV4hTBrwMqAcAnv6DfhUxh5emyM3CJp_w/edit?usp=sharing"",""เพชรบุรี!R273"")+IMPORTRA"&amp;"NGE(""https://docs.google.com/spreadsheets/d/19KBlQQs7uwvsao6t2n-KvW3Ax8J8uRRfZPq1zPbXgKc/edit?usp=sharing"",""ระยอง!R273"")+IMPORTRANGE(""https://docs.google.com/spreadsheets/d/1jQ6P4QcrGM89YfqcC_PxOHGCMq5ezhucwJd8ci-NHng/edit?usp=sharing"",""ราชบุรี!R27"&amp;"3"")+IMPORTRANGE(""https://docs.google.com/spreadsheets/d/1lufeA2cfFqM-elVq2hznhDzC6Pr7wkJ9ZG_sYNGCMCU/edit?usp=sharing"",""ลพบุรี!R273"")+IMPORTRANGE(""https://docs.google.com/spreadsheets/d/10oOiF7loTyfsTkbd4MpaIm0HQ9SwB7IYHdIUvt-U1Uc/edit?usp=sharing"""&amp;",""สระแก้ว!R273"")+IMPORTRANGE(""https://docs.google.com/spreadsheets/d/1xmPlrr1QbdSIKvl1dWUl9K4PjAfSL9oeMr_37QVzcxc/edit?usp=sharing"",""สระบุรี!R273"")+IMPORTRANGE(""https://docs.google.com/spreadsheets/d/1j51vR6CYVGhABJpv6tkstgok82RLpXieLzW1yOY5rHw/edi"&amp;"t?usp=sharing"",""สิงห์บุรี!R273"")+IMPORTRANGE(""https://docs.google.com/spreadsheets/d/1H1EalTWKUSzO4Z1-1CwzoDUaVffgrThEBe2sl74kKG0/edit?usp=sharing"",""สุพรรณบุรี!R273"")+IMPORTRANGE(""https://docs.google.com/spreadsheets/d/1BmIruG_sIrJLYao_Pdr7zVArWsf"&amp;"oBt2692TMi6x_854/edit?usp=sharing"",""อ่างทอง!R273"")"),0)</f>
        <v>0</v>
      </c>
      <c r="S274" s="77">
        <f ca="1">IFERROR(__xludf.DUMMYFUNCTION("IMPORTRANGE(""https://docs.google.com/spreadsheets/d/13wPX838HrBrQMCywv1BsuMkt4PEKTChp52zj44s2izQ/edit?usp=sharing"",""กาญจนบุรี!S273"")+IMPORTRANGE(""https://docs.google.com/spreadsheets/d/1ddFKvqj1W1NEiWytbGlB1zMx_ykJDVtmfEQ-6-lIUBA/edit?usp=sharing"","&amp;"""จันทบุรี!S273"")+IMPORTRANGE(""https://docs.google.com/spreadsheets/d/1T1PQvRODqOBZk8BRht_U031fIS1beLA0Ub2CEytj2q0/edit?usp=sharing"",""ฉะเชิงเทรา!S273"")+IMPORTRANGE(""https://docs.google.com/spreadsheets/d/11tr1B-Bhyr79v2bkwVh5h_fR-PStkgjlZtkrZpYurG0/"&amp;"edit?usp=sharing"",""ชลบุรี!S273"")+IMPORTRANGE(""https://docs.google.com/spreadsheets/d/1hh-FVnSX0vozXhGluamEcS54Dw9_zqW0N7qJUWgJ0Sw/edit?usp=sharing"",""ชัยนาท!S273"")+IMPORTRANGE(""https://docs.google.com/spreadsheets/d/1jkqa6GXxSacMcY1eN8AHjMNJ_7dDXMJ"&amp;"VRLDlaFSOdPM/edit?usp=sharing"",""ตราด!S273"")+IMPORTRANGE(""https://docs.google.com/spreadsheets/d/18hSgUJ3VwClqi_qtULmmW3cLr0oe3OKaSYoKzdpTsYQ/edit?usp=sharing"",""นครนายก!S273"")+IMPORTRANGE(""https://docs.google.com/spreadsheets/d/1YTZo6WM2dQ6Ix6FSdnL"&amp;"5P7uVnVKu40sxZu975tgG10E/edit?usp=sharing"",""นครปฐม!S273"")+IMPORTRANGE(""https://docs.google.com/spreadsheets/d/1OYoGg4WDg5RIzwGeB10padOxJF9E_Vljuvvct_M7RDo/edit?usp=sharing"",""ปทุมธานี!S273"")+IMPORTRANGE(""https://docs.google.com/spreadsheets/d/1GbCI"&amp;"E4D4wk9FUozzqk7SxfDMxDVBwVmI5zcaVUSzKAc/edit?usp=sharing"",""ประจวบคีรีขันธ์!S273"")+IMPORTRANGE(""https://docs.google.com/spreadsheets/d/1vVf6wykvW_lAyu7Yo9L4hUTqHqIeP_qcVuxCtosJEbg/edit?usp=sharing"",""ปราจีนบุรี!S273"")+IMPORTRANGE(""https://docs.googl"&amp;"e.com/spreadsheets/d/1BIDqLLg5jk3v59G8NlR8rk5xfQDKne0sAvZHSj7TI6I/edit?usp=sharing"",""พระนครศรีอยุธยา!S273"")+IMPORTRANGE(""https://docs.google.com/spreadsheets/d/1YXvxf8Yu6_rV4hTBrwMqAcAnv6DfhUxh5emyM3CJp_w/edit?usp=sharing"",""เพชรบุรี!S273"")+IMPORTRA"&amp;"NGE(""https://docs.google.com/spreadsheets/d/19KBlQQs7uwvsao6t2n-KvW3Ax8J8uRRfZPq1zPbXgKc/edit?usp=sharing"",""ระยอง!S273"")+IMPORTRANGE(""https://docs.google.com/spreadsheets/d/1jQ6P4QcrGM89YfqcC_PxOHGCMq5ezhucwJd8ci-NHng/edit?usp=sharing"",""ราชบุรี!S27"&amp;"3"")+IMPORTRANGE(""https://docs.google.com/spreadsheets/d/1lufeA2cfFqM-elVq2hznhDzC6Pr7wkJ9ZG_sYNGCMCU/edit?usp=sharing"",""ลพบุรี!S273"")+IMPORTRANGE(""https://docs.google.com/spreadsheets/d/10oOiF7loTyfsTkbd4MpaIm0HQ9SwB7IYHdIUvt-U1Uc/edit?usp=sharing"""&amp;",""สระแก้ว!S273"")+IMPORTRANGE(""https://docs.google.com/spreadsheets/d/1xmPlrr1QbdSIKvl1dWUl9K4PjAfSL9oeMr_37QVzcxc/edit?usp=sharing"",""สระบุรี!S273"")+IMPORTRANGE(""https://docs.google.com/spreadsheets/d/1j51vR6CYVGhABJpv6tkstgok82RLpXieLzW1yOY5rHw/edi"&amp;"t?usp=sharing"",""สิงห์บุรี!S273"")+IMPORTRANGE(""https://docs.google.com/spreadsheets/d/1H1EalTWKUSzO4Z1-1CwzoDUaVffgrThEBe2sl74kKG0/edit?usp=sharing"",""สุพรรณบุรี!S273"")+IMPORTRANGE(""https://docs.google.com/spreadsheets/d/1BmIruG_sIrJLYao_Pdr7zVArWsf"&amp;"oBt2692TMi6x_854/edit?usp=sharing"",""อ่างทอง!S273"")"),0)</f>
        <v>0</v>
      </c>
      <c r="T274" s="133">
        <f t="shared" ca="1" si="184"/>
        <v>0</v>
      </c>
      <c r="U274" s="133">
        <f t="shared" ca="1" si="185"/>
        <v>0</v>
      </c>
    </row>
    <row r="275" spans="1:21" ht="18.75" x14ac:dyDescent="0.25">
      <c r="A275" s="209"/>
      <c r="B275" s="67"/>
      <c r="C275" s="67"/>
      <c r="D275" s="67"/>
      <c r="E275" s="75" t="s">
        <v>21</v>
      </c>
      <c r="F275" s="67"/>
      <c r="G275" s="69"/>
      <c r="H275" s="221" t="s">
        <v>14</v>
      </c>
      <c r="I275" s="219"/>
      <c r="J275" s="219"/>
      <c r="K275" s="220"/>
      <c r="L275" s="88">
        <f ca="1">IFERROR(__xludf.DUMMYFUNCTION("IMPORTRANGE(""https://docs.google.com/spreadsheets/d/13wPX838HrBrQMCywv1BsuMkt4PEKTChp52zj44s2izQ/edit?usp=sharing"",""กาญจนบุรี!L274"")+IMPORTRANGE(""https://docs.google.com/spreadsheets/d/1ddFKvqj1W1NEiWytbGlB1zMx_ykJDVtmfEQ-6-lIUBA/edit?usp=sharing"","&amp;"""จันทบุรี!L274"")+IMPORTRANGE(""https://docs.google.com/spreadsheets/d/1T1PQvRODqOBZk8BRht_U031fIS1beLA0Ub2CEytj2q0/edit?usp=sharing"",""ฉะเชิงเทรา!L274"")+IMPORTRANGE(""https://docs.google.com/spreadsheets/d/11tr1B-Bhyr79v2bkwVh5h_fR-PStkgjlZtkrZpYurG0/"&amp;"edit?usp=sharing"",""ชลบุรี!L274"")+IMPORTRANGE(""https://docs.google.com/spreadsheets/d/1hh-FVnSX0vozXhGluamEcS54Dw9_zqW0N7qJUWgJ0Sw/edit?usp=sharing"",""ชัยนาท!L274"")+IMPORTRANGE(""https://docs.google.com/spreadsheets/d/1jkqa6GXxSacMcY1eN8AHjMNJ_7dDXMJ"&amp;"VRLDlaFSOdPM/edit?usp=sharing"",""ตราด!L274"")+IMPORTRANGE(""https://docs.google.com/spreadsheets/d/18hSgUJ3VwClqi_qtULmmW3cLr0oe3OKaSYoKzdpTsYQ/edit?usp=sharing"",""นครนายก!L274"")+IMPORTRANGE(""https://docs.google.com/spreadsheets/d/1YTZo6WM2dQ6Ix6FSdnL"&amp;"5P7uVnVKu40sxZu975tgG10E/edit?usp=sharing"",""นครปฐม!L274"")+IMPORTRANGE(""https://docs.google.com/spreadsheets/d/1OYoGg4WDg5RIzwGeB10padOxJF9E_Vljuvvct_M7RDo/edit?usp=sharing"",""ปทุมธานี!L274"")+IMPORTRANGE(""https://docs.google.com/spreadsheets/d/1GbCI"&amp;"E4D4wk9FUozzqk7SxfDMxDVBwVmI5zcaVUSzKAc/edit?usp=sharing"",""ประจวบคีรีขันธ์!L274"")+IMPORTRANGE(""https://docs.google.com/spreadsheets/d/1vVf6wykvW_lAyu7Yo9L4hUTqHqIeP_qcVuxCtosJEbg/edit?usp=sharing"",""ปราจีนบุรี!L274"")+IMPORTRANGE(""https://docs.googl"&amp;"e.com/spreadsheets/d/1BIDqLLg5jk3v59G8NlR8rk5xfQDKne0sAvZHSj7TI6I/edit?usp=sharing"",""พระนครศรีอยุธยา!L274"")+IMPORTRANGE(""https://docs.google.com/spreadsheets/d/1YXvxf8Yu6_rV4hTBrwMqAcAnv6DfhUxh5emyM3CJp_w/edit?usp=sharing"",""เพชรบุรี!L274"")+IMPORTRA"&amp;"NGE(""https://docs.google.com/spreadsheets/d/19KBlQQs7uwvsao6t2n-KvW3Ax8J8uRRfZPq1zPbXgKc/edit?usp=sharing"",""ระยอง!L274"")+IMPORTRANGE(""https://docs.google.com/spreadsheets/d/1jQ6P4QcrGM89YfqcC_PxOHGCMq5ezhucwJd8ci-NHng/edit?usp=sharing"",""ราชบุรี!L27"&amp;"4"")+IMPORTRANGE(""https://docs.google.com/spreadsheets/d/1lufeA2cfFqM-elVq2hznhDzC6Pr7wkJ9ZG_sYNGCMCU/edit?usp=sharing"",""ลพบุรี!L274"")+IMPORTRANGE(""https://docs.google.com/spreadsheets/d/10oOiF7loTyfsTkbd4MpaIm0HQ9SwB7IYHdIUvt-U1Uc/edit?usp=sharing"""&amp;",""สระแก้ว!L274"")+IMPORTRANGE(""https://docs.google.com/spreadsheets/d/1xmPlrr1QbdSIKvl1dWUl9K4PjAfSL9oeMr_37QVzcxc/edit?usp=sharing"",""สระบุรี!L274"")+IMPORTRANGE(""https://docs.google.com/spreadsheets/d/1j51vR6CYVGhABJpv6tkstgok82RLpXieLzW1yOY5rHw/edi"&amp;"t?usp=sharing"",""สิงห์บุรี!L274"")+IMPORTRANGE(""https://docs.google.com/spreadsheets/d/1H1EalTWKUSzO4Z1-1CwzoDUaVffgrThEBe2sl74kKG0/edit?usp=sharing"",""สุพรรณบุรี!L274"")+IMPORTRANGE(""https://docs.google.com/spreadsheets/d/1BmIruG_sIrJLYao_Pdr7zVArWsf"&amp;"oBt2692TMi6x_854/edit?usp=sharing"",""อ่างทอง!L274"")"),0)</f>
        <v>0</v>
      </c>
      <c r="M275" s="88">
        <f ca="1">IFERROR(__xludf.DUMMYFUNCTION("IMPORTRANGE(""https://docs.google.com/spreadsheets/d/13wPX838HrBrQMCywv1BsuMkt4PEKTChp52zj44s2izQ/edit?usp=sharing"",""กาญจนบุรี!M274"")+IMPORTRANGE(""https://docs.google.com/spreadsheets/d/1ddFKvqj1W1NEiWytbGlB1zMx_ykJDVtmfEQ-6-lIUBA/edit?usp=sharing"","&amp;"""จันทบุรี!M274"")+IMPORTRANGE(""https://docs.google.com/spreadsheets/d/1T1PQvRODqOBZk8BRht_U031fIS1beLA0Ub2CEytj2q0/edit?usp=sharing"",""ฉะเชิงเทรา!M274"")+IMPORTRANGE(""https://docs.google.com/spreadsheets/d/11tr1B-Bhyr79v2bkwVh5h_fR-PStkgjlZtkrZpYurG0/"&amp;"edit?usp=sharing"",""ชลบุรี!M274"")+IMPORTRANGE(""https://docs.google.com/spreadsheets/d/1hh-FVnSX0vozXhGluamEcS54Dw9_zqW0N7qJUWgJ0Sw/edit?usp=sharing"",""ชัยนาท!M274"")+IMPORTRANGE(""https://docs.google.com/spreadsheets/d/1jkqa6GXxSacMcY1eN8AHjMNJ_7dDXMJ"&amp;"VRLDlaFSOdPM/edit?usp=sharing"",""ตราด!M274"")+IMPORTRANGE(""https://docs.google.com/spreadsheets/d/18hSgUJ3VwClqi_qtULmmW3cLr0oe3OKaSYoKzdpTsYQ/edit?usp=sharing"",""นครนายก!M274"")+IMPORTRANGE(""https://docs.google.com/spreadsheets/d/1YTZo6WM2dQ6Ix6FSdnL"&amp;"5P7uVnVKu40sxZu975tgG10E/edit?usp=sharing"",""นครปฐม!M274"")+IMPORTRANGE(""https://docs.google.com/spreadsheets/d/1OYoGg4WDg5RIzwGeB10padOxJF9E_Vljuvvct_M7RDo/edit?usp=sharing"",""ปทุมธานี!M274"")+IMPORTRANGE(""https://docs.google.com/spreadsheets/d/1GbCI"&amp;"E4D4wk9FUozzqk7SxfDMxDVBwVmI5zcaVUSzKAc/edit?usp=sharing"",""ประจวบคีรีขันธ์!M274"")+IMPORTRANGE(""https://docs.google.com/spreadsheets/d/1vVf6wykvW_lAyu7Yo9L4hUTqHqIeP_qcVuxCtosJEbg/edit?usp=sharing"",""ปราจีนบุรี!M274"")+IMPORTRANGE(""https://docs.googl"&amp;"e.com/spreadsheets/d/1BIDqLLg5jk3v59G8NlR8rk5xfQDKne0sAvZHSj7TI6I/edit?usp=sharing"",""พระนครศรีอยุธยา!M274"")+IMPORTRANGE(""https://docs.google.com/spreadsheets/d/1YXvxf8Yu6_rV4hTBrwMqAcAnv6DfhUxh5emyM3CJp_w/edit?usp=sharing"",""เพชรบุรี!M274"")+IMPORTRA"&amp;"NGE(""https://docs.google.com/spreadsheets/d/19KBlQQs7uwvsao6t2n-KvW3Ax8J8uRRfZPq1zPbXgKc/edit?usp=sharing"",""ระยอง!M274"")+IMPORTRANGE(""https://docs.google.com/spreadsheets/d/1jQ6P4QcrGM89YfqcC_PxOHGCMq5ezhucwJd8ci-NHng/edit?usp=sharing"",""ราชบุรี!M27"&amp;"4"")+IMPORTRANGE(""https://docs.google.com/spreadsheets/d/1lufeA2cfFqM-elVq2hznhDzC6Pr7wkJ9ZG_sYNGCMCU/edit?usp=sharing"",""ลพบุรี!M274"")+IMPORTRANGE(""https://docs.google.com/spreadsheets/d/10oOiF7loTyfsTkbd4MpaIm0HQ9SwB7IYHdIUvt-U1Uc/edit?usp=sharing"""&amp;",""สระแก้ว!M274"")+IMPORTRANGE(""https://docs.google.com/spreadsheets/d/1xmPlrr1QbdSIKvl1dWUl9K4PjAfSL9oeMr_37QVzcxc/edit?usp=sharing"",""สระบุรี!M274"")+IMPORTRANGE(""https://docs.google.com/spreadsheets/d/1j51vR6CYVGhABJpv6tkstgok82RLpXieLzW1yOY5rHw/edi"&amp;"t?usp=sharing"",""สิงห์บุรี!M274"")+IMPORTRANGE(""https://docs.google.com/spreadsheets/d/1H1EalTWKUSzO4Z1-1CwzoDUaVffgrThEBe2sl74kKG0/edit?usp=sharing"",""สุพรรณบุรี!M274"")+IMPORTRANGE(""https://docs.google.com/spreadsheets/d/1BmIruG_sIrJLYao_Pdr7zVArWsf"&amp;"oBt2692TMi6x_854/edit?usp=sharing"",""อ่างทอง!M274"")"),0)</f>
        <v>0</v>
      </c>
      <c r="N275" s="88">
        <f ca="1">IFERROR(__xludf.DUMMYFUNCTION("IMPORTRANGE(""https://docs.google.com/spreadsheets/d/13wPX838HrBrQMCywv1BsuMkt4PEKTChp52zj44s2izQ/edit?usp=sharing"",""กาญจนบุรี!N274"")+IMPORTRANGE(""https://docs.google.com/spreadsheets/d/1ddFKvqj1W1NEiWytbGlB1zMx_ykJDVtmfEQ-6-lIUBA/edit?usp=sharing"","&amp;"""จันทบุรี!N274"")+IMPORTRANGE(""https://docs.google.com/spreadsheets/d/1T1PQvRODqOBZk8BRht_U031fIS1beLA0Ub2CEytj2q0/edit?usp=sharing"",""ฉะเชิงเทรา!N274"")+IMPORTRANGE(""https://docs.google.com/spreadsheets/d/11tr1B-Bhyr79v2bkwVh5h_fR-PStkgjlZtkrZpYurG0/"&amp;"edit?usp=sharing"",""ชลบุรี!N274"")+IMPORTRANGE(""https://docs.google.com/spreadsheets/d/1hh-FVnSX0vozXhGluamEcS54Dw9_zqW0N7qJUWgJ0Sw/edit?usp=sharing"",""ชัยนาท!N274"")+IMPORTRANGE(""https://docs.google.com/spreadsheets/d/1jkqa6GXxSacMcY1eN8AHjMNJ_7dDXMJ"&amp;"VRLDlaFSOdPM/edit?usp=sharing"",""ตราด!N274"")+IMPORTRANGE(""https://docs.google.com/spreadsheets/d/18hSgUJ3VwClqi_qtULmmW3cLr0oe3OKaSYoKzdpTsYQ/edit?usp=sharing"",""นครนายก!N274"")+IMPORTRANGE(""https://docs.google.com/spreadsheets/d/1YTZo6WM2dQ6Ix6FSdnL"&amp;"5P7uVnVKu40sxZu975tgG10E/edit?usp=sharing"",""นครปฐม!N274"")+IMPORTRANGE(""https://docs.google.com/spreadsheets/d/1OYoGg4WDg5RIzwGeB10padOxJF9E_Vljuvvct_M7RDo/edit?usp=sharing"",""ปทุมธานี!N274"")+IMPORTRANGE(""https://docs.google.com/spreadsheets/d/1GbCI"&amp;"E4D4wk9FUozzqk7SxfDMxDVBwVmI5zcaVUSzKAc/edit?usp=sharing"",""ประจวบคีรีขันธ์!N274"")+IMPORTRANGE(""https://docs.google.com/spreadsheets/d/1vVf6wykvW_lAyu7Yo9L4hUTqHqIeP_qcVuxCtosJEbg/edit?usp=sharing"",""ปราจีนบุรี!N274"")+IMPORTRANGE(""https://docs.googl"&amp;"e.com/spreadsheets/d/1BIDqLLg5jk3v59G8NlR8rk5xfQDKne0sAvZHSj7TI6I/edit?usp=sharing"",""พระนครศรีอยุธยา!N274"")+IMPORTRANGE(""https://docs.google.com/spreadsheets/d/1YXvxf8Yu6_rV4hTBrwMqAcAnv6DfhUxh5emyM3CJp_w/edit?usp=sharing"",""เพชรบุรี!N274"")+IMPORTRA"&amp;"NGE(""https://docs.google.com/spreadsheets/d/19KBlQQs7uwvsao6t2n-KvW3Ax8J8uRRfZPq1zPbXgKc/edit?usp=sharing"",""ระยอง!N274"")+IMPORTRANGE(""https://docs.google.com/spreadsheets/d/1jQ6P4QcrGM89YfqcC_PxOHGCMq5ezhucwJd8ci-NHng/edit?usp=sharing"",""ราชบุรี!N27"&amp;"4"")+IMPORTRANGE(""https://docs.google.com/spreadsheets/d/1lufeA2cfFqM-elVq2hznhDzC6Pr7wkJ9ZG_sYNGCMCU/edit?usp=sharing"",""ลพบุรี!N274"")+IMPORTRANGE(""https://docs.google.com/spreadsheets/d/10oOiF7loTyfsTkbd4MpaIm0HQ9SwB7IYHdIUvt-U1Uc/edit?usp=sharing"""&amp;",""สระแก้ว!N274"")+IMPORTRANGE(""https://docs.google.com/spreadsheets/d/1xmPlrr1QbdSIKvl1dWUl9K4PjAfSL9oeMr_37QVzcxc/edit?usp=sharing"",""สระบุรี!N274"")+IMPORTRANGE(""https://docs.google.com/spreadsheets/d/1j51vR6CYVGhABJpv6tkstgok82RLpXieLzW1yOY5rHw/edi"&amp;"t?usp=sharing"",""สิงห์บุรี!N274"")+IMPORTRANGE(""https://docs.google.com/spreadsheets/d/1H1EalTWKUSzO4Z1-1CwzoDUaVffgrThEBe2sl74kKG0/edit?usp=sharing"",""สุพรรณบุรี!N274"")+IMPORTRANGE(""https://docs.google.com/spreadsheets/d/1BmIruG_sIrJLYao_Pdr7zVArWsf"&amp;"oBt2692TMi6x_854/edit?usp=sharing"",""อ่างทอง!N274"")"),0)</f>
        <v>0</v>
      </c>
      <c r="O275" s="88">
        <f t="shared" ca="1" si="181"/>
        <v>0</v>
      </c>
      <c r="P275" s="88">
        <f t="shared" ca="1" si="182"/>
        <v>0</v>
      </c>
      <c r="Q275" s="73">
        <f ca="1">IFERROR(__xludf.DUMMYFUNCTION("IMPORTRANGE(""https://docs.google.com/spreadsheets/d/13wPX838HrBrQMCywv1BsuMkt4PEKTChp52zj44s2izQ/edit?usp=sharing"",""กาญจนบุรี!Q274"")+IMPORTRANGE(""https://docs.google.com/spreadsheets/d/1ddFKvqj1W1NEiWytbGlB1zMx_ykJDVtmfEQ-6-lIUBA/edit?usp=sharing"","&amp;"""จันทบุรี!Q274"")+IMPORTRANGE(""https://docs.google.com/spreadsheets/d/1T1PQvRODqOBZk8BRht_U031fIS1beLA0Ub2CEytj2q0/edit?usp=sharing"",""ฉะเชิงเทรา!Q274"")+IMPORTRANGE(""https://docs.google.com/spreadsheets/d/11tr1B-Bhyr79v2bkwVh5h_fR-PStkgjlZtkrZpYurG0/"&amp;"edit?usp=sharing"",""ชลบุรี!Q274"")+IMPORTRANGE(""https://docs.google.com/spreadsheets/d/1hh-FVnSX0vozXhGluamEcS54Dw9_zqW0N7qJUWgJ0Sw/edit?usp=sharing"",""ชัยนาท!Q274"")+IMPORTRANGE(""https://docs.google.com/spreadsheets/d/1jkqa6GXxSacMcY1eN8AHjMNJ_7dDXMJ"&amp;"VRLDlaFSOdPM/edit?usp=sharing"",""ตราด!Q274"")+IMPORTRANGE(""https://docs.google.com/spreadsheets/d/18hSgUJ3VwClqi_qtULmmW3cLr0oe3OKaSYoKzdpTsYQ/edit?usp=sharing"",""นครนายก!Q274"")+IMPORTRANGE(""https://docs.google.com/spreadsheets/d/1YTZo6WM2dQ6Ix6FSdnL"&amp;"5P7uVnVKu40sxZu975tgG10E/edit?usp=sharing"",""นครปฐม!Q274"")+IMPORTRANGE(""https://docs.google.com/spreadsheets/d/1OYoGg4WDg5RIzwGeB10padOxJF9E_Vljuvvct_M7RDo/edit?usp=sharing"",""ปทุมธานี!Q274"")+IMPORTRANGE(""https://docs.google.com/spreadsheets/d/1GbCI"&amp;"E4D4wk9FUozzqk7SxfDMxDVBwVmI5zcaVUSzKAc/edit?usp=sharing"",""ประจวบคีรีขันธ์!Q274"")+IMPORTRANGE(""https://docs.google.com/spreadsheets/d/1vVf6wykvW_lAyu7Yo9L4hUTqHqIeP_qcVuxCtosJEbg/edit?usp=sharing"",""ปราจีนบุรี!Q274"")+IMPORTRANGE(""https://docs.googl"&amp;"e.com/spreadsheets/d/1BIDqLLg5jk3v59G8NlR8rk5xfQDKne0sAvZHSj7TI6I/edit?usp=sharing"",""พระนครศรีอยุธยา!Q274"")+IMPORTRANGE(""https://docs.google.com/spreadsheets/d/1YXvxf8Yu6_rV4hTBrwMqAcAnv6DfhUxh5emyM3CJp_w/edit?usp=sharing"",""เพชรบุรี!Q274"")+IMPORTRA"&amp;"NGE(""https://docs.google.com/spreadsheets/d/19KBlQQs7uwvsao6t2n-KvW3Ax8J8uRRfZPq1zPbXgKc/edit?usp=sharing"",""ระยอง!Q274"")+IMPORTRANGE(""https://docs.google.com/spreadsheets/d/1jQ6P4QcrGM89YfqcC_PxOHGCMq5ezhucwJd8ci-NHng/edit?usp=sharing"",""ราชบุรี!Q27"&amp;"4"")+IMPORTRANGE(""https://docs.google.com/spreadsheets/d/1lufeA2cfFqM-elVq2hznhDzC6Pr7wkJ9ZG_sYNGCMCU/edit?usp=sharing"",""ลพบุรี!Q274"")+IMPORTRANGE(""https://docs.google.com/spreadsheets/d/10oOiF7loTyfsTkbd4MpaIm0HQ9SwB7IYHdIUvt-U1Uc/edit?usp=sharing"""&amp;",""สระแก้ว!Q274"")+IMPORTRANGE(""https://docs.google.com/spreadsheets/d/1xmPlrr1QbdSIKvl1dWUl9K4PjAfSL9oeMr_37QVzcxc/edit?usp=sharing"",""สระบุรี!Q274"")+IMPORTRANGE(""https://docs.google.com/spreadsheets/d/1j51vR6CYVGhABJpv6tkstgok82RLpXieLzW1yOY5rHw/edi"&amp;"t?usp=sharing"",""สิงห์บุรี!Q274"")+IMPORTRANGE(""https://docs.google.com/spreadsheets/d/1H1EalTWKUSzO4Z1-1CwzoDUaVffgrThEBe2sl74kKG0/edit?usp=sharing"",""สุพรรณบุรี!Q274"")+IMPORTRANGE(""https://docs.google.com/spreadsheets/d/1BmIruG_sIrJLYao_Pdr7zVArWsf"&amp;"oBt2692TMi6x_854/edit?usp=sharing"",""อ่างทอง!Q274"")"),0)</f>
        <v>0</v>
      </c>
      <c r="R275" s="74">
        <f ca="1">IFERROR(__xludf.DUMMYFUNCTION("IMPORTRANGE(""https://docs.google.com/spreadsheets/d/13wPX838HrBrQMCywv1BsuMkt4PEKTChp52zj44s2izQ/edit?usp=sharing"",""กาญจนบุรี!R274"")+IMPORTRANGE(""https://docs.google.com/spreadsheets/d/1ddFKvqj1W1NEiWytbGlB1zMx_ykJDVtmfEQ-6-lIUBA/edit?usp=sharing"","&amp;"""จันทบุรี!R274"")+IMPORTRANGE(""https://docs.google.com/spreadsheets/d/1T1PQvRODqOBZk8BRht_U031fIS1beLA0Ub2CEytj2q0/edit?usp=sharing"",""ฉะเชิงเทรา!R274"")+IMPORTRANGE(""https://docs.google.com/spreadsheets/d/11tr1B-Bhyr79v2bkwVh5h_fR-PStkgjlZtkrZpYurG0/"&amp;"edit?usp=sharing"",""ชลบุรี!R274"")+IMPORTRANGE(""https://docs.google.com/spreadsheets/d/1hh-FVnSX0vozXhGluamEcS54Dw9_zqW0N7qJUWgJ0Sw/edit?usp=sharing"",""ชัยนาท!R274"")+IMPORTRANGE(""https://docs.google.com/spreadsheets/d/1jkqa6GXxSacMcY1eN8AHjMNJ_7dDXMJ"&amp;"VRLDlaFSOdPM/edit?usp=sharing"",""ตราด!R274"")+IMPORTRANGE(""https://docs.google.com/spreadsheets/d/18hSgUJ3VwClqi_qtULmmW3cLr0oe3OKaSYoKzdpTsYQ/edit?usp=sharing"",""นครนายก!R274"")+IMPORTRANGE(""https://docs.google.com/spreadsheets/d/1YTZo6WM2dQ6Ix6FSdnL"&amp;"5P7uVnVKu40sxZu975tgG10E/edit?usp=sharing"",""นครปฐม!R274"")+IMPORTRANGE(""https://docs.google.com/spreadsheets/d/1OYoGg4WDg5RIzwGeB10padOxJF9E_Vljuvvct_M7RDo/edit?usp=sharing"",""ปทุมธานี!R274"")+IMPORTRANGE(""https://docs.google.com/spreadsheets/d/1GbCI"&amp;"E4D4wk9FUozzqk7SxfDMxDVBwVmI5zcaVUSzKAc/edit?usp=sharing"",""ประจวบคีรีขันธ์!R274"")+IMPORTRANGE(""https://docs.google.com/spreadsheets/d/1vVf6wykvW_lAyu7Yo9L4hUTqHqIeP_qcVuxCtosJEbg/edit?usp=sharing"",""ปราจีนบุรี!R274"")+IMPORTRANGE(""https://docs.googl"&amp;"e.com/spreadsheets/d/1BIDqLLg5jk3v59G8NlR8rk5xfQDKne0sAvZHSj7TI6I/edit?usp=sharing"",""พระนครศรีอยุธยา!R274"")+IMPORTRANGE(""https://docs.google.com/spreadsheets/d/1YXvxf8Yu6_rV4hTBrwMqAcAnv6DfhUxh5emyM3CJp_w/edit?usp=sharing"",""เพชรบุรี!R274"")+IMPORTRA"&amp;"NGE(""https://docs.google.com/spreadsheets/d/19KBlQQs7uwvsao6t2n-KvW3Ax8J8uRRfZPq1zPbXgKc/edit?usp=sharing"",""ระยอง!R274"")+IMPORTRANGE(""https://docs.google.com/spreadsheets/d/1jQ6P4QcrGM89YfqcC_PxOHGCMq5ezhucwJd8ci-NHng/edit?usp=sharing"",""ราชบุรี!R27"&amp;"4"")+IMPORTRANGE(""https://docs.google.com/spreadsheets/d/1lufeA2cfFqM-elVq2hznhDzC6Pr7wkJ9ZG_sYNGCMCU/edit?usp=sharing"",""ลพบุรี!R274"")+IMPORTRANGE(""https://docs.google.com/spreadsheets/d/10oOiF7loTyfsTkbd4MpaIm0HQ9SwB7IYHdIUvt-U1Uc/edit?usp=sharing"""&amp;",""สระแก้ว!R274"")+IMPORTRANGE(""https://docs.google.com/spreadsheets/d/1xmPlrr1QbdSIKvl1dWUl9K4PjAfSL9oeMr_37QVzcxc/edit?usp=sharing"",""สระบุรี!R274"")+IMPORTRANGE(""https://docs.google.com/spreadsheets/d/1j51vR6CYVGhABJpv6tkstgok82RLpXieLzW1yOY5rHw/edi"&amp;"t?usp=sharing"",""สิงห์บุรี!R274"")+IMPORTRANGE(""https://docs.google.com/spreadsheets/d/1H1EalTWKUSzO4Z1-1CwzoDUaVffgrThEBe2sl74kKG0/edit?usp=sharing"",""สุพรรณบุรี!R274"")+IMPORTRANGE(""https://docs.google.com/spreadsheets/d/1BmIruG_sIrJLYao_Pdr7zVArWsf"&amp;"oBt2692TMi6x_854/edit?usp=sharing"",""อ่างทอง!R274"")"),0)</f>
        <v>0</v>
      </c>
      <c r="S275" s="74">
        <f ca="1">IFERROR(__xludf.DUMMYFUNCTION("IMPORTRANGE(""https://docs.google.com/spreadsheets/d/13wPX838HrBrQMCywv1BsuMkt4PEKTChp52zj44s2izQ/edit?usp=sharing"",""กาญจนบุรี!S274"")+IMPORTRANGE(""https://docs.google.com/spreadsheets/d/1ddFKvqj1W1NEiWytbGlB1zMx_ykJDVtmfEQ-6-lIUBA/edit?usp=sharing"","&amp;"""จันทบุรี!S274"")+IMPORTRANGE(""https://docs.google.com/spreadsheets/d/1T1PQvRODqOBZk8BRht_U031fIS1beLA0Ub2CEytj2q0/edit?usp=sharing"",""ฉะเชิงเทรา!S274"")+IMPORTRANGE(""https://docs.google.com/spreadsheets/d/11tr1B-Bhyr79v2bkwVh5h_fR-PStkgjlZtkrZpYurG0/"&amp;"edit?usp=sharing"",""ชลบุรี!S274"")+IMPORTRANGE(""https://docs.google.com/spreadsheets/d/1hh-FVnSX0vozXhGluamEcS54Dw9_zqW0N7qJUWgJ0Sw/edit?usp=sharing"",""ชัยนาท!S274"")+IMPORTRANGE(""https://docs.google.com/spreadsheets/d/1jkqa6GXxSacMcY1eN8AHjMNJ_7dDXMJ"&amp;"VRLDlaFSOdPM/edit?usp=sharing"",""ตราด!S274"")+IMPORTRANGE(""https://docs.google.com/spreadsheets/d/18hSgUJ3VwClqi_qtULmmW3cLr0oe3OKaSYoKzdpTsYQ/edit?usp=sharing"",""นครนายก!S274"")+IMPORTRANGE(""https://docs.google.com/spreadsheets/d/1YTZo6WM2dQ6Ix6FSdnL"&amp;"5P7uVnVKu40sxZu975tgG10E/edit?usp=sharing"",""นครปฐม!S274"")+IMPORTRANGE(""https://docs.google.com/spreadsheets/d/1OYoGg4WDg5RIzwGeB10padOxJF9E_Vljuvvct_M7RDo/edit?usp=sharing"",""ปทุมธานี!S274"")+IMPORTRANGE(""https://docs.google.com/spreadsheets/d/1GbCI"&amp;"E4D4wk9FUozzqk7SxfDMxDVBwVmI5zcaVUSzKAc/edit?usp=sharing"",""ประจวบคีรีขันธ์!S274"")+IMPORTRANGE(""https://docs.google.com/spreadsheets/d/1vVf6wykvW_lAyu7Yo9L4hUTqHqIeP_qcVuxCtosJEbg/edit?usp=sharing"",""ปราจีนบุรี!S274"")+IMPORTRANGE(""https://docs.googl"&amp;"e.com/spreadsheets/d/1BIDqLLg5jk3v59G8NlR8rk5xfQDKne0sAvZHSj7TI6I/edit?usp=sharing"",""พระนครศรีอยุธยา!S274"")+IMPORTRANGE(""https://docs.google.com/spreadsheets/d/1YXvxf8Yu6_rV4hTBrwMqAcAnv6DfhUxh5emyM3CJp_w/edit?usp=sharing"",""เพชรบุรี!S274"")+IMPORTRA"&amp;"NGE(""https://docs.google.com/spreadsheets/d/19KBlQQs7uwvsao6t2n-KvW3Ax8J8uRRfZPq1zPbXgKc/edit?usp=sharing"",""ระยอง!S274"")+IMPORTRANGE(""https://docs.google.com/spreadsheets/d/1jQ6P4QcrGM89YfqcC_PxOHGCMq5ezhucwJd8ci-NHng/edit?usp=sharing"",""ราชบุรี!S27"&amp;"4"")+IMPORTRANGE(""https://docs.google.com/spreadsheets/d/1lufeA2cfFqM-elVq2hznhDzC6Pr7wkJ9ZG_sYNGCMCU/edit?usp=sharing"",""ลพบุรี!S274"")+IMPORTRANGE(""https://docs.google.com/spreadsheets/d/10oOiF7loTyfsTkbd4MpaIm0HQ9SwB7IYHdIUvt-U1Uc/edit?usp=sharing"""&amp;",""สระแก้ว!S274"")+IMPORTRANGE(""https://docs.google.com/spreadsheets/d/1xmPlrr1QbdSIKvl1dWUl9K4PjAfSL9oeMr_37QVzcxc/edit?usp=sharing"",""สระบุรี!S274"")+IMPORTRANGE(""https://docs.google.com/spreadsheets/d/1j51vR6CYVGhABJpv6tkstgok82RLpXieLzW1yOY5rHw/edi"&amp;"t?usp=sharing"",""สิงห์บุรี!S274"")+IMPORTRANGE(""https://docs.google.com/spreadsheets/d/1H1EalTWKUSzO4Z1-1CwzoDUaVffgrThEBe2sl74kKG0/edit?usp=sharing"",""สุพรรณบุรี!S274"")+IMPORTRANGE(""https://docs.google.com/spreadsheets/d/1BmIruG_sIrJLYao_Pdr7zVArWsf"&amp;"oBt2692TMi6x_854/edit?usp=sharing"",""อ่างทอง!S274"")"),0)</f>
        <v>0</v>
      </c>
      <c r="T275" s="132">
        <f t="shared" ca="1" si="184"/>
        <v>0</v>
      </c>
      <c r="U275" s="132">
        <f t="shared" ca="1" si="185"/>
        <v>0</v>
      </c>
    </row>
    <row r="276" spans="1:21" ht="19.5" x14ac:dyDescent="0.3">
      <c r="A276" s="222"/>
      <c r="B276" s="223"/>
      <c r="C276" s="440" t="s">
        <v>18</v>
      </c>
      <c r="D276" s="224" t="s">
        <v>38</v>
      </c>
      <c r="E276" s="225"/>
      <c r="F276" s="225"/>
      <c r="G276" s="226"/>
      <c r="H276" s="227"/>
      <c r="I276" s="219"/>
      <c r="J276" s="219"/>
      <c r="K276" s="220"/>
      <c r="L276" s="220"/>
      <c r="M276" s="220"/>
      <c r="N276" s="220"/>
      <c r="O276" s="220"/>
      <c r="P276" s="220"/>
      <c r="Q276" s="228"/>
      <c r="R276" s="229"/>
      <c r="S276" s="229"/>
      <c r="T276" s="229"/>
      <c r="U276" s="229"/>
    </row>
    <row r="277" spans="1:21" ht="18.75" x14ac:dyDescent="0.25">
      <c r="A277" s="441"/>
      <c r="B277" s="442"/>
      <c r="C277" s="442"/>
      <c r="D277" s="443" t="s">
        <v>115</v>
      </c>
      <c r="E277" s="444"/>
      <c r="F277" s="444"/>
      <c r="G277" s="445"/>
      <c r="H277" s="446" t="s">
        <v>35</v>
      </c>
      <c r="I277" s="447">
        <f ca="1">IFERROR(__xludf.DUMMYFUNCTION("IMPORTRANGE(""https://docs.google.com/spreadsheets/d/13wPX838HrBrQMCywv1BsuMkt4PEKTChp52zj44s2izQ/edit?usp=sharing"",""กาญจนบุรี!I276"")+IMPORTRANGE(""https://docs.google.com/spreadsheets/d/1ddFKvqj1W1NEiWytbGlB1zMx_ykJDVtmfEQ-6-lIUBA/edit?usp=sharing"","&amp;"""จันทบุรี!I276"")+IMPORTRANGE(""https://docs.google.com/spreadsheets/d/1T1PQvRODqOBZk8BRht_U031fIS1beLA0Ub2CEytj2q0/edit?usp=sharing"",""ฉะเชิงเทรา!I276"")+IMPORTRANGE(""https://docs.google.com/spreadsheets/d/11tr1B-Bhyr79v2bkwVh5h_fR-PStkgjlZtkrZpYurG0/"&amp;"edit?usp=sharing"",""ชลบุรี!I276"")+IMPORTRANGE(""https://docs.google.com/spreadsheets/d/1hh-FVnSX0vozXhGluamEcS54Dw9_zqW0N7qJUWgJ0Sw/edit?usp=sharing"",""ชัยนาท!I276"")+IMPORTRANGE(""https://docs.google.com/spreadsheets/d/1jkqa6GXxSacMcY1eN8AHjMNJ_7dDXMJ"&amp;"VRLDlaFSOdPM/edit?usp=sharing"",""ตราด!I276"")+IMPORTRANGE(""https://docs.google.com/spreadsheets/d/18hSgUJ3VwClqi_qtULmmW3cLr0oe3OKaSYoKzdpTsYQ/edit?usp=sharing"",""นครนายก!I276"")+IMPORTRANGE(""https://docs.google.com/spreadsheets/d/1YTZo6WM2dQ6Ix6FSdnL"&amp;"5P7uVnVKu40sxZu975tgG10E/edit?usp=sharing"",""นครปฐม!I276"")+IMPORTRANGE(""https://docs.google.com/spreadsheets/d/1OYoGg4WDg5RIzwGeB10padOxJF9E_Vljuvvct_M7RDo/edit?usp=sharing"",""ปทุมธานี!I276"")+IMPORTRANGE(""https://docs.google.com/spreadsheets/d/1GbCI"&amp;"E4D4wk9FUozzqk7SxfDMxDVBwVmI5zcaVUSzKAc/edit?usp=sharing"",""ประจวบคีรีขันธ์!I276"")+IMPORTRANGE(""https://docs.google.com/spreadsheets/d/1vVf6wykvW_lAyu7Yo9L4hUTqHqIeP_qcVuxCtosJEbg/edit?usp=sharing"",""ปราจีนบุรี!I276"")+IMPORTRANGE(""https://docs.googl"&amp;"e.com/spreadsheets/d/1BIDqLLg5jk3v59G8NlR8rk5xfQDKne0sAvZHSj7TI6I/edit?usp=sharing"",""พระนครศรีอยุธยา!I276"")+IMPORTRANGE(""https://docs.google.com/spreadsheets/d/1YXvxf8Yu6_rV4hTBrwMqAcAnv6DfhUxh5emyM3CJp_w/edit?usp=sharing"",""เพชรบุรี!I276"")+IMPORTRA"&amp;"NGE(""https://docs.google.com/spreadsheets/d/19KBlQQs7uwvsao6t2n-KvW3Ax8J8uRRfZPq1zPbXgKc/edit?usp=sharing"",""ระยอง!I276"")+IMPORTRANGE(""https://docs.google.com/spreadsheets/d/1jQ6P4QcrGM89YfqcC_PxOHGCMq5ezhucwJd8ci-NHng/edit?usp=sharing"",""ราชบุรี!I27"&amp;"6"")+IMPORTRANGE(""https://docs.google.com/spreadsheets/d/1lufeA2cfFqM-elVq2hznhDzC6Pr7wkJ9ZG_sYNGCMCU/edit?usp=sharing"",""ลพบุรี!I276"")+IMPORTRANGE(""https://docs.google.com/spreadsheets/d/10oOiF7loTyfsTkbd4MpaIm0HQ9SwB7IYHdIUvt-U1Uc/edit?usp=sharing"""&amp;",""สระแก้ว!I276"")+IMPORTRANGE(""https://docs.google.com/spreadsheets/d/1xmPlrr1QbdSIKvl1dWUl9K4PjAfSL9oeMr_37QVzcxc/edit?usp=sharing"",""สระบุรี!I276"")+IMPORTRANGE(""https://docs.google.com/spreadsheets/d/1j51vR6CYVGhABJpv6tkstgok82RLpXieLzW1yOY5rHw/edi"&amp;"t?usp=sharing"",""สิงห์บุรี!I276"")+IMPORTRANGE(""https://docs.google.com/spreadsheets/d/1H1EalTWKUSzO4Z1-1CwzoDUaVffgrThEBe2sl74kKG0/edit?usp=sharing"",""สุพรรณบุรี!I276"")+IMPORTRANGE(""https://docs.google.com/spreadsheets/d/1BmIruG_sIrJLYao_Pdr7zVArWsf"&amp;"oBt2692TMi6x_854/edit?usp=sharing"",""อ่างทอง!I276"")"),446)</f>
        <v>446</v>
      </c>
      <c r="J277" s="448">
        <f ca="1">IFERROR(__xludf.DUMMYFUNCTION("IMPORTRANGE(""https://docs.google.com/spreadsheets/d/13wPX838HrBrQMCywv1BsuMkt4PEKTChp52zj44s2izQ/edit?usp=sharing"",""กาญจนบุรี!J276"")+IMPORTRANGE(""https://docs.google.com/spreadsheets/d/1ddFKvqj1W1NEiWytbGlB1zMx_ykJDVtmfEQ-6-lIUBA/edit?usp=sharing"","&amp;"""จันทบุรี!J276"")+IMPORTRANGE(""https://docs.google.com/spreadsheets/d/1T1PQvRODqOBZk8BRht_U031fIS1beLA0Ub2CEytj2q0/edit?usp=sharing"",""ฉะเชิงเทรา!J276"")+IMPORTRANGE(""https://docs.google.com/spreadsheets/d/11tr1B-Bhyr79v2bkwVh5h_fR-PStkgjlZtkrZpYurG0/"&amp;"edit?usp=sharing"",""ชลบุรี!J276"")+IMPORTRANGE(""https://docs.google.com/spreadsheets/d/1hh-FVnSX0vozXhGluamEcS54Dw9_zqW0N7qJUWgJ0Sw/edit?usp=sharing"",""ชัยนาท!J276"")+IMPORTRANGE(""https://docs.google.com/spreadsheets/d/1jkqa6GXxSacMcY1eN8AHjMNJ_7dDXMJ"&amp;"VRLDlaFSOdPM/edit?usp=sharing"",""ตราด!J276"")+IMPORTRANGE(""https://docs.google.com/spreadsheets/d/18hSgUJ3VwClqi_qtULmmW3cLr0oe3OKaSYoKzdpTsYQ/edit?usp=sharing"",""นครนายก!J276"")+IMPORTRANGE(""https://docs.google.com/spreadsheets/d/1YTZo6WM2dQ6Ix6FSdnL"&amp;"5P7uVnVKu40sxZu975tgG10E/edit?usp=sharing"",""นครปฐม!J276"")+IMPORTRANGE(""https://docs.google.com/spreadsheets/d/1OYoGg4WDg5RIzwGeB10padOxJF9E_Vljuvvct_M7RDo/edit?usp=sharing"",""ปทุมธานี!J276"")+IMPORTRANGE(""https://docs.google.com/spreadsheets/d/1GbCI"&amp;"E4D4wk9FUozzqk7SxfDMxDVBwVmI5zcaVUSzKAc/edit?usp=sharing"",""ประจวบคีรีขันธ์!J276"")+IMPORTRANGE(""https://docs.google.com/spreadsheets/d/1vVf6wykvW_lAyu7Yo9L4hUTqHqIeP_qcVuxCtosJEbg/edit?usp=sharing"",""ปราจีนบุรี!J276"")+IMPORTRANGE(""https://docs.googl"&amp;"e.com/spreadsheets/d/1BIDqLLg5jk3v59G8NlR8rk5xfQDKne0sAvZHSj7TI6I/edit?usp=sharing"",""พระนครศรีอยุธยา!J276"")+IMPORTRANGE(""https://docs.google.com/spreadsheets/d/1YXvxf8Yu6_rV4hTBrwMqAcAnv6DfhUxh5emyM3CJp_w/edit?usp=sharing"",""เพชรบุรี!J276"")+IMPORTRA"&amp;"NGE(""https://docs.google.com/spreadsheets/d/19KBlQQs7uwvsao6t2n-KvW3Ax8J8uRRfZPq1zPbXgKc/edit?usp=sharing"",""ระยอง!J276"")+IMPORTRANGE(""https://docs.google.com/spreadsheets/d/1jQ6P4QcrGM89YfqcC_PxOHGCMq5ezhucwJd8ci-NHng/edit?usp=sharing"",""ราชบุรี!J27"&amp;"6"")+IMPORTRANGE(""https://docs.google.com/spreadsheets/d/1lufeA2cfFqM-elVq2hznhDzC6Pr7wkJ9ZG_sYNGCMCU/edit?usp=sharing"",""ลพบุรี!J276"")+IMPORTRANGE(""https://docs.google.com/spreadsheets/d/10oOiF7loTyfsTkbd4MpaIm0HQ9SwB7IYHdIUvt-U1Uc/edit?usp=sharing"""&amp;",""สระแก้ว!J276"")+IMPORTRANGE(""https://docs.google.com/spreadsheets/d/1xmPlrr1QbdSIKvl1dWUl9K4PjAfSL9oeMr_37QVzcxc/edit?usp=sharing"",""สระบุรี!J276"")+IMPORTRANGE(""https://docs.google.com/spreadsheets/d/1j51vR6CYVGhABJpv6tkstgok82RLpXieLzW1yOY5rHw/edi"&amp;"t?usp=sharing"",""สิงห์บุรี!J276"")+IMPORTRANGE(""https://docs.google.com/spreadsheets/d/1H1EalTWKUSzO4Z1-1CwzoDUaVffgrThEBe2sl74kKG0/edit?usp=sharing"",""สุพรรณบุรี!J276"")+IMPORTRANGE(""https://docs.google.com/spreadsheets/d/1BmIruG_sIrJLYao_Pdr7zVArWsf"&amp;"oBt2692TMi6x_854/edit?usp=sharing"",""อ่างทอง!J276"")"),0)</f>
        <v>0</v>
      </c>
      <c r="K277" s="449">
        <f ca="1">IF(I277&gt;0,J277*100/I277,0)</f>
        <v>0</v>
      </c>
      <c r="L277" s="450"/>
      <c r="M277" s="450"/>
      <c r="N277" s="450"/>
      <c r="O277" s="450"/>
      <c r="P277" s="450"/>
      <c r="Q277" s="450"/>
      <c r="R277" s="450"/>
      <c r="S277" s="450"/>
      <c r="T277" s="450"/>
      <c r="U277" s="450"/>
    </row>
    <row r="278" spans="1:21" ht="18.75" x14ac:dyDescent="0.25">
      <c r="A278" s="451"/>
      <c r="B278" s="452"/>
      <c r="C278" s="452"/>
      <c r="D278" s="453" t="s">
        <v>116</v>
      </c>
      <c r="E278" s="454"/>
      <c r="F278" s="454"/>
      <c r="G278" s="455"/>
      <c r="H278" s="177" t="s">
        <v>35</v>
      </c>
      <c r="I278" s="456">
        <v>0</v>
      </c>
      <c r="J278" s="456">
        <v>0</v>
      </c>
      <c r="K278" s="457">
        <v>0</v>
      </c>
      <c r="L278" s="458"/>
      <c r="M278" s="458"/>
      <c r="N278" s="458"/>
      <c r="O278" s="458"/>
      <c r="P278" s="458"/>
      <c r="Q278" s="459"/>
      <c r="R278" s="460"/>
      <c r="S278" s="460"/>
      <c r="T278" s="460"/>
      <c r="U278" s="460"/>
    </row>
    <row r="279" spans="1:21" ht="19.5" x14ac:dyDescent="0.3">
      <c r="A279" s="461" t="s">
        <v>117</v>
      </c>
      <c r="B279" s="462"/>
      <c r="C279" s="462"/>
      <c r="D279" s="462"/>
      <c r="E279" s="463"/>
      <c r="F279" s="463"/>
      <c r="G279" s="463"/>
      <c r="H279" s="463"/>
      <c r="I279" s="464"/>
      <c r="J279" s="464"/>
      <c r="K279" s="465"/>
      <c r="L279" s="466"/>
      <c r="M279" s="466"/>
      <c r="N279" s="466"/>
      <c r="O279" s="466"/>
      <c r="P279" s="467"/>
      <c r="Q279" s="468"/>
      <c r="R279" s="469"/>
      <c r="S279" s="469"/>
      <c r="T279" s="469"/>
      <c r="U279" s="470"/>
    </row>
    <row r="280" spans="1:21" ht="19.5" x14ac:dyDescent="0.3">
      <c r="A280" s="471" t="s">
        <v>118</v>
      </c>
      <c r="B280" s="472"/>
      <c r="C280" s="473"/>
      <c r="D280" s="472"/>
      <c r="E280" s="472"/>
      <c r="F280" s="472"/>
      <c r="G280" s="472"/>
      <c r="H280" s="472"/>
      <c r="I280" s="474"/>
      <c r="J280" s="475"/>
      <c r="K280" s="476"/>
      <c r="L280" s="476"/>
      <c r="M280" s="476"/>
      <c r="N280" s="476"/>
      <c r="O280" s="476"/>
      <c r="P280" s="476"/>
      <c r="Q280" s="477"/>
      <c r="R280" s="478"/>
      <c r="S280" s="478"/>
      <c r="T280" s="478"/>
      <c r="U280" s="478"/>
    </row>
    <row r="281" spans="1:21" ht="19.5" x14ac:dyDescent="0.3">
      <c r="A281" s="479"/>
      <c r="B281" s="480" t="s">
        <v>119</v>
      </c>
      <c r="C281" s="481"/>
      <c r="D281" s="482"/>
      <c r="E281" s="481"/>
      <c r="F281" s="481"/>
      <c r="G281" s="483"/>
      <c r="H281" s="484" t="s">
        <v>35</v>
      </c>
      <c r="I281" s="485">
        <f t="shared" ref="I281:J281" ca="1" si="194">I294</f>
        <v>10</v>
      </c>
      <c r="J281" s="485">
        <f t="shared" ca="1" si="194"/>
        <v>0</v>
      </c>
      <c r="K281" s="486">
        <f t="shared" ref="K281:K282" ca="1" si="195">IF(I281&gt;0,J281*100/I281,0)</f>
        <v>0</v>
      </c>
      <c r="L281" s="487"/>
      <c r="M281" s="487"/>
      <c r="N281" s="487"/>
      <c r="O281" s="487"/>
      <c r="P281" s="487"/>
      <c r="Q281" s="488"/>
      <c r="R281" s="489"/>
      <c r="S281" s="489"/>
      <c r="T281" s="489"/>
      <c r="U281" s="489"/>
    </row>
    <row r="282" spans="1:21" ht="19.5" x14ac:dyDescent="0.3">
      <c r="A282" s="479"/>
      <c r="B282" s="481"/>
      <c r="C282" s="481"/>
      <c r="D282" s="482"/>
      <c r="E282" s="481"/>
      <c r="F282" s="481"/>
      <c r="G282" s="483"/>
      <c r="H282" s="484" t="s">
        <v>46</v>
      </c>
      <c r="I282" s="485">
        <f t="shared" ref="I282:J282" ca="1" si="196">I293</f>
        <v>100</v>
      </c>
      <c r="J282" s="485">
        <f t="shared" ca="1" si="196"/>
        <v>0</v>
      </c>
      <c r="K282" s="486">
        <f t="shared" ca="1" si="195"/>
        <v>0</v>
      </c>
      <c r="L282" s="487"/>
      <c r="M282" s="487"/>
      <c r="N282" s="487"/>
      <c r="O282" s="487"/>
      <c r="P282" s="487"/>
      <c r="Q282" s="488"/>
      <c r="R282" s="489"/>
      <c r="S282" s="489"/>
      <c r="T282" s="489"/>
      <c r="U282" s="489"/>
    </row>
    <row r="283" spans="1:21" ht="19.5" x14ac:dyDescent="0.3">
      <c r="A283" s="209"/>
      <c r="B283" s="67"/>
      <c r="C283" s="210" t="s">
        <v>18</v>
      </c>
      <c r="D283" s="211" t="s">
        <v>19</v>
      </c>
      <c r="E283" s="67"/>
      <c r="F283" s="67"/>
      <c r="G283" s="69"/>
      <c r="H283" s="212" t="s">
        <v>14</v>
      </c>
      <c r="I283" s="71"/>
      <c r="J283" s="71"/>
      <c r="K283" s="72"/>
      <c r="L283" s="213">
        <f t="shared" ref="L283:N283" ca="1" si="197">L284+L285</f>
        <v>137720</v>
      </c>
      <c r="M283" s="213">
        <f t="shared" ca="1" si="197"/>
        <v>137720</v>
      </c>
      <c r="N283" s="213">
        <f t="shared" ca="1" si="197"/>
        <v>68450</v>
      </c>
      <c r="O283" s="213">
        <f t="shared" ref="O283:O291" ca="1" si="198">IF(L283&gt;0,N283*100/L283,0)</f>
        <v>49.70229451060122</v>
      </c>
      <c r="P283" s="213">
        <f t="shared" ref="P283:P291" ca="1" si="199">IF(M283&gt;0,N283*100/M283,0)</f>
        <v>49.70229451060122</v>
      </c>
      <c r="Q283" s="214">
        <f t="shared" ref="Q283:S283" ca="1" si="200">Q284+Q285</f>
        <v>0</v>
      </c>
      <c r="R283" s="215">
        <f t="shared" ca="1" si="200"/>
        <v>0</v>
      </c>
      <c r="S283" s="215">
        <f t="shared" ca="1" si="200"/>
        <v>0</v>
      </c>
      <c r="T283" s="215">
        <f t="shared" ref="T283:T291" ca="1" si="201">IF(Q283&gt;0,S283*100/Q283,0)</f>
        <v>0</v>
      </c>
      <c r="U283" s="215">
        <f t="shared" ref="U283:U291" ca="1" si="202">IF(R283&gt;0,S283*100/R283,0)</f>
        <v>0</v>
      </c>
    </row>
    <row r="284" spans="1:21" ht="18.75" x14ac:dyDescent="0.25">
      <c r="A284" s="209"/>
      <c r="B284" s="67"/>
      <c r="C284" s="67"/>
      <c r="D284" s="67"/>
      <c r="E284" s="75" t="s">
        <v>20</v>
      </c>
      <c r="F284" s="67"/>
      <c r="G284" s="69"/>
      <c r="H284" s="216" t="s">
        <v>14</v>
      </c>
      <c r="I284" s="71"/>
      <c r="J284" s="71"/>
      <c r="K284" s="72"/>
      <c r="L284" s="88">
        <f t="shared" ref="L284:N284" ca="1" si="203">L287+L290</f>
        <v>0</v>
      </c>
      <c r="M284" s="88">
        <f t="shared" ca="1" si="203"/>
        <v>0</v>
      </c>
      <c r="N284" s="88">
        <f t="shared" ca="1" si="203"/>
        <v>0</v>
      </c>
      <c r="O284" s="88">
        <f t="shared" ca="1" si="198"/>
        <v>0</v>
      </c>
      <c r="P284" s="88">
        <f t="shared" ca="1" si="199"/>
        <v>0</v>
      </c>
      <c r="Q284" s="217">
        <f t="shared" ref="Q284:S284" ca="1" si="204">Q287+Q290</f>
        <v>0</v>
      </c>
      <c r="R284" s="133">
        <f t="shared" ca="1" si="204"/>
        <v>0</v>
      </c>
      <c r="S284" s="133">
        <f t="shared" ca="1" si="204"/>
        <v>0</v>
      </c>
      <c r="T284" s="133">
        <f t="shared" ca="1" si="201"/>
        <v>0</v>
      </c>
      <c r="U284" s="133">
        <f t="shared" ca="1" si="202"/>
        <v>0</v>
      </c>
    </row>
    <row r="285" spans="1:21" ht="18.75" x14ac:dyDescent="0.25">
      <c r="A285" s="209"/>
      <c r="B285" s="67"/>
      <c r="C285" s="67"/>
      <c r="D285" s="67"/>
      <c r="E285" s="75" t="s">
        <v>21</v>
      </c>
      <c r="F285" s="67"/>
      <c r="G285" s="69"/>
      <c r="H285" s="216" t="s">
        <v>14</v>
      </c>
      <c r="I285" s="71"/>
      <c r="J285" s="71"/>
      <c r="K285" s="72"/>
      <c r="L285" s="88">
        <f t="shared" ref="L285:N285" ca="1" si="205">L288+L291</f>
        <v>137720</v>
      </c>
      <c r="M285" s="88">
        <f t="shared" ca="1" si="205"/>
        <v>137720</v>
      </c>
      <c r="N285" s="88">
        <f t="shared" ca="1" si="205"/>
        <v>68450</v>
      </c>
      <c r="O285" s="88">
        <f t="shared" ca="1" si="198"/>
        <v>49.70229451060122</v>
      </c>
      <c r="P285" s="88">
        <f t="shared" ca="1" si="199"/>
        <v>49.70229451060122</v>
      </c>
      <c r="Q285" s="131">
        <f t="shared" ref="Q285:S285" ca="1" si="206">Q288+Q291</f>
        <v>0</v>
      </c>
      <c r="R285" s="132">
        <f t="shared" ca="1" si="206"/>
        <v>0</v>
      </c>
      <c r="S285" s="132">
        <f t="shared" ca="1" si="206"/>
        <v>0</v>
      </c>
      <c r="T285" s="132">
        <f t="shared" ca="1" si="201"/>
        <v>0</v>
      </c>
      <c r="U285" s="132">
        <f t="shared" ca="1" si="202"/>
        <v>0</v>
      </c>
    </row>
    <row r="286" spans="1:21" ht="18.75" x14ac:dyDescent="0.25">
      <c r="A286" s="209"/>
      <c r="B286" s="67"/>
      <c r="C286" s="67"/>
      <c r="D286" s="68" t="s">
        <v>22</v>
      </c>
      <c r="E286" s="67"/>
      <c r="F286" s="67"/>
      <c r="G286" s="69"/>
      <c r="H286" s="218" t="s">
        <v>14</v>
      </c>
      <c r="I286" s="219"/>
      <c r="J286" s="219"/>
      <c r="K286" s="220"/>
      <c r="L286" s="88">
        <f t="shared" ref="L286:N286" ca="1" si="207">L287+L288</f>
        <v>137720</v>
      </c>
      <c r="M286" s="88">
        <f t="shared" ca="1" si="207"/>
        <v>137720</v>
      </c>
      <c r="N286" s="88">
        <f t="shared" ca="1" si="207"/>
        <v>68450</v>
      </c>
      <c r="O286" s="88">
        <f t="shared" ca="1" si="198"/>
        <v>49.70229451060122</v>
      </c>
      <c r="P286" s="88">
        <f t="shared" ca="1" si="199"/>
        <v>49.70229451060122</v>
      </c>
      <c r="Q286" s="131">
        <f t="shared" ref="Q286:S286" ca="1" si="208">Q287+Q288</f>
        <v>0</v>
      </c>
      <c r="R286" s="132">
        <f t="shared" ca="1" si="208"/>
        <v>0</v>
      </c>
      <c r="S286" s="132">
        <f t="shared" ca="1" si="208"/>
        <v>0</v>
      </c>
      <c r="T286" s="132">
        <f t="shared" ca="1" si="201"/>
        <v>0</v>
      </c>
      <c r="U286" s="132">
        <f t="shared" ca="1" si="202"/>
        <v>0</v>
      </c>
    </row>
    <row r="287" spans="1:21" ht="18.75" x14ac:dyDescent="0.25">
      <c r="A287" s="209"/>
      <c r="B287" s="67"/>
      <c r="C287" s="67"/>
      <c r="D287" s="67"/>
      <c r="E287" s="75" t="s">
        <v>36</v>
      </c>
      <c r="F287" s="67"/>
      <c r="G287" s="69"/>
      <c r="H287" s="218" t="s">
        <v>14</v>
      </c>
      <c r="I287" s="219"/>
      <c r="J287" s="219"/>
      <c r="K287" s="220"/>
      <c r="L287" s="88">
        <f ca="1">IFERROR(__xludf.DUMMYFUNCTION("IMPORTRANGE(""https://docs.google.com/spreadsheets/d/13wPX838HrBrQMCywv1BsuMkt4PEKTChp52zj44s2izQ/edit?usp=sharing"",""กาญจนบุรี!L286"")+IMPORTRANGE(""https://docs.google.com/spreadsheets/d/1ddFKvqj1W1NEiWytbGlB1zMx_ykJDVtmfEQ-6-lIUBA/edit?usp=sharing"","&amp;"""จันทบุรี!L286"")+IMPORTRANGE(""https://docs.google.com/spreadsheets/d/1T1PQvRODqOBZk8BRht_U031fIS1beLA0Ub2CEytj2q0/edit?usp=sharing"",""ฉะเชิงเทรา!L286"")+IMPORTRANGE(""https://docs.google.com/spreadsheets/d/11tr1B-Bhyr79v2bkwVh5h_fR-PStkgjlZtkrZpYurG0/"&amp;"edit?usp=sharing"",""ชลบุรี!L286"")+IMPORTRANGE(""https://docs.google.com/spreadsheets/d/1hh-FVnSX0vozXhGluamEcS54Dw9_zqW0N7qJUWgJ0Sw/edit?usp=sharing"",""ชัยนาท!L286"")+IMPORTRANGE(""https://docs.google.com/spreadsheets/d/1jkqa6GXxSacMcY1eN8AHjMNJ_7dDXMJ"&amp;"VRLDlaFSOdPM/edit?usp=sharing"",""ตราด!L286"")+IMPORTRANGE(""https://docs.google.com/spreadsheets/d/18hSgUJ3VwClqi_qtULmmW3cLr0oe3OKaSYoKzdpTsYQ/edit?usp=sharing"",""นครนายก!L286"")+IMPORTRANGE(""https://docs.google.com/spreadsheets/d/1YTZo6WM2dQ6Ix6FSdnL"&amp;"5P7uVnVKu40sxZu975tgG10E/edit?usp=sharing"",""นครปฐม!L286"")+IMPORTRANGE(""https://docs.google.com/spreadsheets/d/1OYoGg4WDg5RIzwGeB10padOxJF9E_Vljuvvct_M7RDo/edit?usp=sharing"",""ปทุมธานี!L286"")+IMPORTRANGE(""https://docs.google.com/spreadsheets/d/1GbCI"&amp;"E4D4wk9FUozzqk7SxfDMxDVBwVmI5zcaVUSzKAc/edit?usp=sharing"",""ประจวบคีรีขันธ์!L286"")+IMPORTRANGE(""https://docs.google.com/spreadsheets/d/1vVf6wykvW_lAyu7Yo9L4hUTqHqIeP_qcVuxCtosJEbg/edit?usp=sharing"",""ปราจีนบุรี!L286"")+IMPORTRANGE(""https://docs.googl"&amp;"e.com/spreadsheets/d/1BIDqLLg5jk3v59G8NlR8rk5xfQDKne0sAvZHSj7TI6I/edit?usp=sharing"",""พระนครศรีอยุธยา!L286"")+IMPORTRANGE(""https://docs.google.com/spreadsheets/d/1YXvxf8Yu6_rV4hTBrwMqAcAnv6DfhUxh5emyM3CJp_w/edit?usp=sharing"",""เพชรบุรี!L286"")+IMPORTRA"&amp;"NGE(""https://docs.google.com/spreadsheets/d/19KBlQQs7uwvsao6t2n-KvW3Ax8J8uRRfZPq1zPbXgKc/edit?usp=sharing"",""ระยอง!L286"")+IMPORTRANGE(""https://docs.google.com/spreadsheets/d/1jQ6P4QcrGM89YfqcC_PxOHGCMq5ezhucwJd8ci-NHng/edit?usp=sharing"",""ราชบุรี!L28"&amp;"6"")+IMPORTRANGE(""https://docs.google.com/spreadsheets/d/1lufeA2cfFqM-elVq2hznhDzC6Pr7wkJ9ZG_sYNGCMCU/edit?usp=sharing"",""ลพบุรี!L286"")+IMPORTRANGE(""https://docs.google.com/spreadsheets/d/10oOiF7loTyfsTkbd4MpaIm0HQ9SwB7IYHdIUvt-U1Uc/edit?usp=sharing"""&amp;",""สระแก้ว!L286"")+IMPORTRANGE(""https://docs.google.com/spreadsheets/d/1xmPlrr1QbdSIKvl1dWUl9K4PjAfSL9oeMr_37QVzcxc/edit?usp=sharing"",""สระบุรี!L286"")+IMPORTRANGE(""https://docs.google.com/spreadsheets/d/1j51vR6CYVGhABJpv6tkstgok82RLpXieLzW1yOY5rHw/edi"&amp;"t?usp=sharing"",""สิงห์บุรี!L286"")+IMPORTRANGE(""https://docs.google.com/spreadsheets/d/1H1EalTWKUSzO4Z1-1CwzoDUaVffgrThEBe2sl74kKG0/edit?usp=sharing"",""สุพรรณบุรี!L286"")+IMPORTRANGE(""https://docs.google.com/spreadsheets/d/1BmIruG_sIrJLYao_Pdr7zVArWsf"&amp;"oBt2692TMi6x_854/edit?usp=sharing"",""อ่างทอง!L286"")"),0)</f>
        <v>0</v>
      </c>
      <c r="M287" s="88">
        <f ca="1">IFERROR(__xludf.DUMMYFUNCTION("IMPORTRANGE(""https://docs.google.com/spreadsheets/d/13wPX838HrBrQMCywv1BsuMkt4PEKTChp52zj44s2izQ/edit?usp=sharing"",""กาญจนบุรี!M286"")+IMPORTRANGE(""https://docs.google.com/spreadsheets/d/1ddFKvqj1W1NEiWytbGlB1zMx_ykJDVtmfEQ-6-lIUBA/edit?usp=sharing"","&amp;"""จันทบุรี!M286"")+IMPORTRANGE(""https://docs.google.com/spreadsheets/d/1T1PQvRODqOBZk8BRht_U031fIS1beLA0Ub2CEytj2q0/edit?usp=sharing"",""ฉะเชิงเทรา!M286"")+IMPORTRANGE(""https://docs.google.com/spreadsheets/d/11tr1B-Bhyr79v2bkwVh5h_fR-PStkgjlZtkrZpYurG0/"&amp;"edit?usp=sharing"",""ชลบุรี!M286"")+IMPORTRANGE(""https://docs.google.com/spreadsheets/d/1hh-FVnSX0vozXhGluamEcS54Dw9_zqW0N7qJUWgJ0Sw/edit?usp=sharing"",""ชัยนาท!M286"")+IMPORTRANGE(""https://docs.google.com/spreadsheets/d/1jkqa6GXxSacMcY1eN8AHjMNJ_7dDXMJ"&amp;"VRLDlaFSOdPM/edit?usp=sharing"",""ตราด!M286"")+IMPORTRANGE(""https://docs.google.com/spreadsheets/d/18hSgUJ3VwClqi_qtULmmW3cLr0oe3OKaSYoKzdpTsYQ/edit?usp=sharing"",""นครนายก!M286"")+IMPORTRANGE(""https://docs.google.com/spreadsheets/d/1YTZo6WM2dQ6Ix6FSdnL"&amp;"5P7uVnVKu40sxZu975tgG10E/edit?usp=sharing"",""นครปฐม!M286"")+IMPORTRANGE(""https://docs.google.com/spreadsheets/d/1OYoGg4WDg5RIzwGeB10padOxJF9E_Vljuvvct_M7RDo/edit?usp=sharing"",""ปทุมธานี!M286"")+IMPORTRANGE(""https://docs.google.com/spreadsheets/d/1GbCI"&amp;"E4D4wk9FUozzqk7SxfDMxDVBwVmI5zcaVUSzKAc/edit?usp=sharing"",""ประจวบคีรีขันธ์!M286"")+IMPORTRANGE(""https://docs.google.com/spreadsheets/d/1vVf6wykvW_lAyu7Yo9L4hUTqHqIeP_qcVuxCtosJEbg/edit?usp=sharing"",""ปราจีนบุรี!M286"")+IMPORTRANGE(""https://docs.googl"&amp;"e.com/spreadsheets/d/1BIDqLLg5jk3v59G8NlR8rk5xfQDKne0sAvZHSj7TI6I/edit?usp=sharing"",""พระนครศรีอยุธยา!M286"")+IMPORTRANGE(""https://docs.google.com/spreadsheets/d/1YXvxf8Yu6_rV4hTBrwMqAcAnv6DfhUxh5emyM3CJp_w/edit?usp=sharing"",""เพชรบุรี!M286"")+IMPORTRA"&amp;"NGE(""https://docs.google.com/spreadsheets/d/19KBlQQs7uwvsao6t2n-KvW3Ax8J8uRRfZPq1zPbXgKc/edit?usp=sharing"",""ระยอง!M286"")+IMPORTRANGE(""https://docs.google.com/spreadsheets/d/1jQ6P4QcrGM89YfqcC_PxOHGCMq5ezhucwJd8ci-NHng/edit?usp=sharing"",""ราชบุรี!M28"&amp;"6"")+IMPORTRANGE(""https://docs.google.com/spreadsheets/d/1lufeA2cfFqM-elVq2hznhDzC6Pr7wkJ9ZG_sYNGCMCU/edit?usp=sharing"",""ลพบุรี!M286"")+IMPORTRANGE(""https://docs.google.com/spreadsheets/d/10oOiF7loTyfsTkbd4MpaIm0HQ9SwB7IYHdIUvt-U1Uc/edit?usp=sharing"""&amp;",""สระแก้ว!M286"")+IMPORTRANGE(""https://docs.google.com/spreadsheets/d/1xmPlrr1QbdSIKvl1dWUl9K4PjAfSL9oeMr_37QVzcxc/edit?usp=sharing"",""สระบุรี!M286"")+IMPORTRANGE(""https://docs.google.com/spreadsheets/d/1j51vR6CYVGhABJpv6tkstgok82RLpXieLzW1yOY5rHw/edi"&amp;"t?usp=sharing"",""สิงห์บุรี!M286"")+IMPORTRANGE(""https://docs.google.com/spreadsheets/d/1H1EalTWKUSzO4Z1-1CwzoDUaVffgrThEBe2sl74kKG0/edit?usp=sharing"",""สุพรรณบุรี!M286"")+IMPORTRANGE(""https://docs.google.com/spreadsheets/d/1BmIruG_sIrJLYao_Pdr7zVArWsf"&amp;"oBt2692TMi6x_854/edit?usp=sharing"",""อ่างทอง!M286"")"),0)</f>
        <v>0</v>
      </c>
      <c r="N287" s="88">
        <f ca="1">IFERROR(__xludf.DUMMYFUNCTION("IMPORTRANGE(""https://docs.google.com/spreadsheets/d/13wPX838HrBrQMCywv1BsuMkt4PEKTChp52zj44s2izQ/edit?usp=sharing"",""กาญจนบุรี!N286"")+IMPORTRANGE(""https://docs.google.com/spreadsheets/d/1ddFKvqj1W1NEiWytbGlB1zMx_ykJDVtmfEQ-6-lIUBA/edit?usp=sharing"","&amp;"""จันทบุรี!N286"")+IMPORTRANGE(""https://docs.google.com/spreadsheets/d/1T1PQvRODqOBZk8BRht_U031fIS1beLA0Ub2CEytj2q0/edit?usp=sharing"",""ฉะเชิงเทรา!N286"")+IMPORTRANGE(""https://docs.google.com/spreadsheets/d/11tr1B-Bhyr79v2bkwVh5h_fR-PStkgjlZtkrZpYurG0/"&amp;"edit?usp=sharing"",""ชลบุรี!N286"")+IMPORTRANGE(""https://docs.google.com/spreadsheets/d/1hh-FVnSX0vozXhGluamEcS54Dw9_zqW0N7qJUWgJ0Sw/edit?usp=sharing"",""ชัยนาท!N286"")+IMPORTRANGE(""https://docs.google.com/spreadsheets/d/1jkqa6GXxSacMcY1eN8AHjMNJ_7dDXMJ"&amp;"VRLDlaFSOdPM/edit?usp=sharing"",""ตราด!N286"")+IMPORTRANGE(""https://docs.google.com/spreadsheets/d/18hSgUJ3VwClqi_qtULmmW3cLr0oe3OKaSYoKzdpTsYQ/edit?usp=sharing"",""นครนายก!N286"")+IMPORTRANGE(""https://docs.google.com/spreadsheets/d/1YTZo6WM2dQ6Ix6FSdnL"&amp;"5P7uVnVKu40sxZu975tgG10E/edit?usp=sharing"",""นครปฐม!N286"")+IMPORTRANGE(""https://docs.google.com/spreadsheets/d/1OYoGg4WDg5RIzwGeB10padOxJF9E_Vljuvvct_M7RDo/edit?usp=sharing"",""ปทุมธานี!N286"")+IMPORTRANGE(""https://docs.google.com/spreadsheets/d/1GbCI"&amp;"E4D4wk9FUozzqk7SxfDMxDVBwVmI5zcaVUSzKAc/edit?usp=sharing"",""ประจวบคีรีขันธ์!N286"")+IMPORTRANGE(""https://docs.google.com/spreadsheets/d/1vVf6wykvW_lAyu7Yo9L4hUTqHqIeP_qcVuxCtosJEbg/edit?usp=sharing"",""ปราจีนบุรี!N286"")+IMPORTRANGE(""https://docs.googl"&amp;"e.com/spreadsheets/d/1BIDqLLg5jk3v59G8NlR8rk5xfQDKne0sAvZHSj7TI6I/edit?usp=sharing"",""พระนครศรีอยุธยา!N286"")+IMPORTRANGE(""https://docs.google.com/spreadsheets/d/1YXvxf8Yu6_rV4hTBrwMqAcAnv6DfhUxh5emyM3CJp_w/edit?usp=sharing"",""เพชรบุรี!N286"")+IMPORTRA"&amp;"NGE(""https://docs.google.com/spreadsheets/d/19KBlQQs7uwvsao6t2n-KvW3Ax8J8uRRfZPq1zPbXgKc/edit?usp=sharing"",""ระยอง!N286"")+IMPORTRANGE(""https://docs.google.com/spreadsheets/d/1jQ6P4QcrGM89YfqcC_PxOHGCMq5ezhucwJd8ci-NHng/edit?usp=sharing"",""ราชบุรี!N28"&amp;"6"")+IMPORTRANGE(""https://docs.google.com/spreadsheets/d/1lufeA2cfFqM-elVq2hznhDzC6Pr7wkJ9ZG_sYNGCMCU/edit?usp=sharing"",""ลพบุรี!N286"")+IMPORTRANGE(""https://docs.google.com/spreadsheets/d/10oOiF7loTyfsTkbd4MpaIm0HQ9SwB7IYHdIUvt-U1Uc/edit?usp=sharing"""&amp;",""สระแก้ว!N286"")+IMPORTRANGE(""https://docs.google.com/spreadsheets/d/1xmPlrr1QbdSIKvl1dWUl9K4PjAfSL9oeMr_37QVzcxc/edit?usp=sharing"",""สระบุรี!N286"")+IMPORTRANGE(""https://docs.google.com/spreadsheets/d/1j51vR6CYVGhABJpv6tkstgok82RLpXieLzW1yOY5rHw/edi"&amp;"t?usp=sharing"",""สิงห์บุรี!N286"")+IMPORTRANGE(""https://docs.google.com/spreadsheets/d/1H1EalTWKUSzO4Z1-1CwzoDUaVffgrThEBe2sl74kKG0/edit?usp=sharing"",""สุพรรณบุรี!N286"")+IMPORTRANGE(""https://docs.google.com/spreadsheets/d/1BmIruG_sIrJLYao_Pdr7zVArWsf"&amp;"oBt2692TMi6x_854/edit?usp=sharing"",""อ่างทอง!N286"")"),0)</f>
        <v>0</v>
      </c>
      <c r="O287" s="88">
        <f t="shared" ca="1" si="198"/>
        <v>0</v>
      </c>
      <c r="P287" s="88">
        <f t="shared" ca="1" si="199"/>
        <v>0</v>
      </c>
      <c r="Q287" s="76">
        <f ca="1">IFERROR(__xludf.DUMMYFUNCTION("IMPORTRANGE(""https://docs.google.com/spreadsheets/d/13wPX838HrBrQMCywv1BsuMkt4PEKTChp52zj44s2izQ/edit?usp=sharing"",""กาญจนบุรี!Q286"")+IMPORTRANGE(""https://docs.google.com/spreadsheets/d/1ddFKvqj1W1NEiWytbGlB1zMx_ykJDVtmfEQ-6-lIUBA/edit?usp=sharing"","&amp;"""จันทบุรี!Q286"")+IMPORTRANGE(""https://docs.google.com/spreadsheets/d/1T1PQvRODqOBZk8BRht_U031fIS1beLA0Ub2CEytj2q0/edit?usp=sharing"",""ฉะเชิงเทรา!Q286"")+IMPORTRANGE(""https://docs.google.com/spreadsheets/d/11tr1B-Bhyr79v2bkwVh5h_fR-PStkgjlZtkrZpYurG0/"&amp;"edit?usp=sharing"",""ชลบุรี!Q286"")+IMPORTRANGE(""https://docs.google.com/spreadsheets/d/1hh-FVnSX0vozXhGluamEcS54Dw9_zqW0N7qJUWgJ0Sw/edit?usp=sharing"",""ชัยนาท!Q286"")+IMPORTRANGE(""https://docs.google.com/spreadsheets/d/1jkqa6GXxSacMcY1eN8AHjMNJ_7dDXMJ"&amp;"VRLDlaFSOdPM/edit?usp=sharing"",""ตราด!Q286"")+IMPORTRANGE(""https://docs.google.com/spreadsheets/d/18hSgUJ3VwClqi_qtULmmW3cLr0oe3OKaSYoKzdpTsYQ/edit?usp=sharing"",""นครนายก!Q286"")+IMPORTRANGE(""https://docs.google.com/spreadsheets/d/1YTZo6WM2dQ6Ix6FSdnL"&amp;"5P7uVnVKu40sxZu975tgG10E/edit?usp=sharing"",""นครปฐม!Q286"")+IMPORTRANGE(""https://docs.google.com/spreadsheets/d/1OYoGg4WDg5RIzwGeB10padOxJF9E_Vljuvvct_M7RDo/edit?usp=sharing"",""ปทุมธานี!Q286"")+IMPORTRANGE(""https://docs.google.com/spreadsheets/d/1GbCI"&amp;"E4D4wk9FUozzqk7SxfDMxDVBwVmI5zcaVUSzKAc/edit?usp=sharing"",""ประจวบคีรีขันธ์!Q286"")+IMPORTRANGE(""https://docs.google.com/spreadsheets/d/1vVf6wykvW_lAyu7Yo9L4hUTqHqIeP_qcVuxCtosJEbg/edit?usp=sharing"",""ปราจีนบุรี!Q286"")+IMPORTRANGE(""https://docs.googl"&amp;"e.com/spreadsheets/d/1BIDqLLg5jk3v59G8NlR8rk5xfQDKne0sAvZHSj7TI6I/edit?usp=sharing"",""พระนครศรีอยุธยา!Q286"")+IMPORTRANGE(""https://docs.google.com/spreadsheets/d/1YXvxf8Yu6_rV4hTBrwMqAcAnv6DfhUxh5emyM3CJp_w/edit?usp=sharing"",""เพชรบุรี!Q286"")+IMPORTRA"&amp;"NGE(""https://docs.google.com/spreadsheets/d/19KBlQQs7uwvsao6t2n-KvW3Ax8J8uRRfZPq1zPbXgKc/edit?usp=sharing"",""ระยอง!Q286"")+IMPORTRANGE(""https://docs.google.com/spreadsheets/d/1jQ6P4QcrGM89YfqcC_PxOHGCMq5ezhucwJd8ci-NHng/edit?usp=sharing"",""ราชบุรี!Q28"&amp;"6"")+IMPORTRANGE(""https://docs.google.com/spreadsheets/d/1lufeA2cfFqM-elVq2hznhDzC6Pr7wkJ9ZG_sYNGCMCU/edit?usp=sharing"",""ลพบุรี!Q286"")+IMPORTRANGE(""https://docs.google.com/spreadsheets/d/10oOiF7loTyfsTkbd4MpaIm0HQ9SwB7IYHdIUvt-U1Uc/edit?usp=sharing"""&amp;",""สระแก้ว!Q286"")+IMPORTRANGE(""https://docs.google.com/spreadsheets/d/1xmPlrr1QbdSIKvl1dWUl9K4PjAfSL9oeMr_37QVzcxc/edit?usp=sharing"",""สระบุรี!Q286"")+IMPORTRANGE(""https://docs.google.com/spreadsheets/d/1j51vR6CYVGhABJpv6tkstgok82RLpXieLzW1yOY5rHw/edi"&amp;"t?usp=sharing"",""สิงห์บุรี!Q286"")+IMPORTRANGE(""https://docs.google.com/spreadsheets/d/1H1EalTWKUSzO4Z1-1CwzoDUaVffgrThEBe2sl74kKG0/edit?usp=sharing"",""สุพรรณบุรี!Q286"")+IMPORTRANGE(""https://docs.google.com/spreadsheets/d/1BmIruG_sIrJLYao_Pdr7zVArWsf"&amp;"oBt2692TMi6x_854/edit?usp=sharing"",""อ่างทอง!Q286"")"),0)</f>
        <v>0</v>
      </c>
      <c r="R287" s="77">
        <f ca="1">IFERROR(__xludf.DUMMYFUNCTION("IMPORTRANGE(""https://docs.google.com/spreadsheets/d/13wPX838HrBrQMCywv1BsuMkt4PEKTChp52zj44s2izQ/edit?usp=sharing"",""กาญจนบุรี!R286"")+IMPORTRANGE(""https://docs.google.com/spreadsheets/d/1ddFKvqj1W1NEiWytbGlB1zMx_ykJDVtmfEQ-6-lIUBA/edit?usp=sharing"","&amp;"""จันทบุรี!R286"")+IMPORTRANGE(""https://docs.google.com/spreadsheets/d/1T1PQvRODqOBZk8BRht_U031fIS1beLA0Ub2CEytj2q0/edit?usp=sharing"",""ฉะเชิงเทรา!R286"")+IMPORTRANGE(""https://docs.google.com/spreadsheets/d/11tr1B-Bhyr79v2bkwVh5h_fR-PStkgjlZtkrZpYurG0/"&amp;"edit?usp=sharing"",""ชลบุรี!R286"")+IMPORTRANGE(""https://docs.google.com/spreadsheets/d/1hh-FVnSX0vozXhGluamEcS54Dw9_zqW0N7qJUWgJ0Sw/edit?usp=sharing"",""ชัยนาท!R286"")+IMPORTRANGE(""https://docs.google.com/spreadsheets/d/1jkqa6GXxSacMcY1eN8AHjMNJ_7dDXMJ"&amp;"VRLDlaFSOdPM/edit?usp=sharing"",""ตราด!R286"")+IMPORTRANGE(""https://docs.google.com/spreadsheets/d/18hSgUJ3VwClqi_qtULmmW3cLr0oe3OKaSYoKzdpTsYQ/edit?usp=sharing"",""นครนายก!R286"")+IMPORTRANGE(""https://docs.google.com/spreadsheets/d/1YTZo6WM2dQ6Ix6FSdnL"&amp;"5P7uVnVKu40sxZu975tgG10E/edit?usp=sharing"",""นครปฐม!R286"")+IMPORTRANGE(""https://docs.google.com/spreadsheets/d/1OYoGg4WDg5RIzwGeB10padOxJF9E_Vljuvvct_M7RDo/edit?usp=sharing"",""ปทุมธานี!R286"")+IMPORTRANGE(""https://docs.google.com/spreadsheets/d/1GbCI"&amp;"E4D4wk9FUozzqk7SxfDMxDVBwVmI5zcaVUSzKAc/edit?usp=sharing"",""ประจวบคีรีขันธ์!R286"")+IMPORTRANGE(""https://docs.google.com/spreadsheets/d/1vVf6wykvW_lAyu7Yo9L4hUTqHqIeP_qcVuxCtosJEbg/edit?usp=sharing"",""ปราจีนบุรี!R286"")+IMPORTRANGE(""https://docs.googl"&amp;"e.com/spreadsheets/d/1BIDqLLg5jk3v59G8NlR8rk5xfQDKne0sAvZHSj7TI6I/edit?usp=sharing"",""พระนครศรีอยุธยา!R286"")+IMPORTRANGE(""https://docs.google.com/spreadsheets/d/1YXvxf8Yu6_rV4hTBrwMqAcAnv6DfhUxh5emyM3CJp_w/edit?usp=sharing"",""เพชรบุรี!R286"")+IMPORTRA"&amp;"NGE(""https://docs.google.com/spreadsheets/d/19KBlQQs7uwvsao6t2n-KvW3Ax8J8uRRfZPq1zPbXgKc/edit?usp=sharing"",""ระยอง!R286"")+IMPORTRANGE(""https://docs.google.com/spreadsheets/d/1jQ6P4QcrGM89YfqcC_PxOHGCMq5ezhucwJd8ci-NHng/edit?usp=sharing"",""ราชบุรี!R28"&amp;"6"")+IMPORTRANGE(""https://docs.google.com/spreadsheets/d/1lufeA2cfFqM-elVq2hznhDzC6Pr7wkJ9ZG_sYNGCMCU/edit?usp=sharing"",""ลพบุรี!R286"")+IMPORTRANGE(""https://docs.google.com/spreadsheets/d/10oOiF7loTyfsTkbd4MpaIm0HQ9SwB7IYHdIUvt-U1Uc/edit?usp=sharing"""&amp;",""สระแก้ว!R286"")+IMPORTRANGE(""https://docs.google.com/spreadsheets/d/1xmPlrr1QbdSIKvl1dWUl9K4PjAfSL9oeMr_37QVzcxc/edit?usp=sharing"",""สระบุรี!R286"")+IMPORTRANGE(""https://docs.google.com/spreadsheets/d/1j51vR6CYVGhABJpv6tkstgok82RLpXieLzW1yOY5rHw/edi"&amp;"t?usp=sharing"",""สิงห์บุรี!R286"")+IMPORTRANGE(""https://docs.google.com/spreadsheets/d/1H1EalTWKUSzO4Z1-1CwzoDUaVffgrThEBe2sl74kKG0/edit?usp=sharing"",""สุพรรณบุรี!R286"")+IMPORTRANGE(""https://docs.google.com/spreadsheets/d/1BmIruG_sIrJLYao_Pdr7zVArWsf"&amp;"oBt2692TMi6x_854/edit?usp=sharing"",""อ่างทอง!R286"")"),0)</f>
        <v>0</v>
      </c>
      <c r="S287" s="77">
        <f ca="1">IFERROR(__xludf.DUMMYFUNCTION("IMPORTRANGE(""https://docs.google.com/spreadsheets/d/13wPX838HrBrQMCywv1BsuMkt4PEKTChp52zj44s2izQ/edit?usp=sharing"",""กาญจนบุรี!S286"")+IMPORTRANGE(""https://docs.google.com/spreadsheets/d/1ddFKvqj1W1NEiWytbGlB1zMx_ykJDVtmfEQ-6-lIUBA/edit?usp=sharing"","&amp;"""จันทบุรี!S286"")+IMPORTRANGE(""https://docs.google.com/spreadsheets/d/1T1PQvRODqOBZk8BRht_U031fIS1beLA0Ub2CEytj2q0/edit?usp=sharing"",""ฉะเชิงเทรา!S286"")+IMPORTRANGE(""https://docs.google.com/spreadsheets/d/11tr1B-Bhyr79v2bkwVh5h_fR-PStkgjlZtkrZpYurG0/"&amp;"edit?usp=sharing"",""ชลบุรี!S286"")+IMPORTRANGE(""https://docs.google.com/spreadsheets/d/1hh-FVnSX0vozXhGluamEcS54Dw9_zqW0N7qJUWgJ0Sw/edit?usp=sharing"",""ชัยนาท!S286"")+IMPORTRANGE(""https://docs.google.com/spreadsheets/d/1jkqa6GXxSacMcY1eN8AHjMNJ_7dDXMJ"&amp;"VRLDlaFSOdPM/edit?usp=sharing"",""ตราด!S286"")+IMPORTRANGE(""https://docs.google.com/spreadsheets/d/18hSgUJ3VwClqi_qtULmmW3cLr0oe3OKaSYoKzdpTsYQ/edit?usp=sharing"",""นครนายก!S286"")+IMPORTRANGE(""https://docs.google.com/spreadsheets/d/1YTZo6WM2dQ6Ix6FSdnL"&amp;"5P7uVnVKu40sxZu975tgG10E/edit?usp=sharing"",""นครปฐม!S286"")+IMPORTRANGE(""https://docs.google.com/spreadsheets/d/1OYoGg4WDg5RIzwGeB10padOxJF9E_Vljuvvct_M7RDo/edit?usp=sharing"",""ปทุมธานี!S286"")+IMPORTRANGE(""https://docs.google.com/spreadsheets/d/1GbCI"&amp;"E4D4wk9FUozzqk7SxfDMxDVBwVmI5zcaVUSzKAc/edit?usp=sharing"",""ประจวบคีรีขันธ์!S286"")+IMPORTRANGE(""https://docs.google.com/spreadsheets/d/1vVf6wykvW_lAyu7Yo9L4hUTqHqIeP_qcVuxCtosJEbg/edit?usp=sharing"",""ปราจีนบุรี!S286"")+IMPORTRANGE(""https://docs.googl"&amp;"e.com/spreadsheets/d/1BIDqLLg5jk3v59G8NlR8rk5xfQDKne0sAvZHSj7TI6I/edit?usp=sharing"",""พระนครศรีอยุธยา!S286"")+IMPORTRANGE(""https://docs.google.com/spreadsheets/d/1YXvxf8Yu6_rV4hTBrwMqAcAnv6DfhUxh5emyM3CJp_w/edit?usp=sharing"",""เพชรบุรี!S286"")+IMPORTRA"&amp;"NGE(""https://docs.google.com/spreadsheets/d/19KBlQQs7uwvsao6t2n-KvW3Ax8J8uRRfZPq1zPbXgKc/edit?usp=sharing"",""ระยอง!S286"")+IMPORTRANGE(""https://docs.google.com/spreadsheets/d/1jQ6P4QcrGM89YfqcC_PxOHGCMq5ezhucwJd8ci-NHng/edit?usp=sharing"",""ราชบุรี!S28"&amp;"6"")+IMPORTRANGE(""https://docs.google.com/spreadsheets/d/1lufeA2cfFqM-elVq2hznhDzC6Pr7wkJ9ZG_sYNGCMCU/edit?usp=sharing"",""ลพบุรี!S286"")+IMPORTRANGE(""https://docs.google.com/spreadsheets/d/10oOiF7loTyfsTkbd4MpaIm0HQ9SwB7IYHdIUvt-U1Uc/edit?usp=sharing"""&amp;",""สระแก้ว!S286"")+IMPORTRANGE(""https://docs.google.com/spreadsheets/d/1xmPlrr1QbdSIKvl1dWUl9K4PjAfSL9oeMr_37QVzcxc/edit?usp=sharing"",""สระบุรี!S286"")+IMPORTRANGE(""https://docs.google.com/spreadsheets/d/1j51vR6CYVGhABJpv6tkstgok82RLpXieLzW1yOY5rHw/edi"&amp;"t?usp=sharing"",""สิงห์บุรี!S286"")+IMPORTRANGE(""https://docs.google.com/spreadsheets/d/1H1EalTWKUSzO4Z1-1CwzoDUaVffgrThEBe2sl74kKG0/edit?usp=sharing"",""สุพรรณบุรี!S286"")+IMPORTRANGE(""https://docs.google.com/spreadsheets/d/1BmIruG_sIrJLYao_Pdr7zVArWsf"&amp;"oBt2692TMi6x_854/edit?usp=sharing"",""อ่างทอง!S286"")"),0)</f>
        <v>0</v>
      </c>
      <c r="T287" s="133">
        <f t="shared" ca="1" si="201"/>
        <v>0</v>
      </c>
      <c r="U287" s="133">
        <f t="shared" ca="1" si="202"/>
        <v>0</v>
      </c>
    </row>
    <row r="288" spans="1:21" ht="18.75" x14ac:dyDescent="0.25">
      <c r="A288" s="209"/>
      <c r="B288" s="67"/>
      <c r="C288" s="67"/>
      <c r="D288" s="67"/>
      <c r="E288" s="75" t="s">
        <v>37</v>
      </c>
      <c r="F288" s="67"/>
      <c r="G288" s="69"/>
      <c r="H288" s="218" t="s">
        <v>14</v>
      </c>
      <c r="I288" s="219"/>
      <c r="J288" s="219"/>
      <c r="K288" s="220"/>
      <c r="L288" s="88">
        <f ca="1">IFERROR(__xludf.DUMMYFUNCTION("IMPORTRANGE(""https://docs.google.com/spreadsheets/d/13wPX838HrBrQMCywv1BsuMkt4PEKTChp52zj44s2izQ/edit?usp=sharing"",""กาญจนบุรี!L287"")+IMPORTRANGE(""https://docs.google.com/spreadsheets/d/1ddFKvqj1W1NEiWytbGlB1zMx_ykJDVtmfEQ-6-lIUBA/edit?usp=sharing"","&amp;"""จันทบุรี!L287"")+IMPORTRANGE(""https://docs.google.com/spreadsheets/d/1T1PQvRODqOBZk8BRht_U031fIS1beLA0Ub2CEytj2q0/edit?usp=sharing"",""ฉะเชิงเทรา!L287"")+IMPORTRANGE(""https://docs.google.com/spreadsheets/d/11tr1B-Bhyr79v2bkwVh5h_fR-PStkgjlZtkrZpYurG0/"&amp;"edit?usp=sharing"",""ชลบุรี!L287"")+IMPORTRANGE(""https://docs.google.com/spreadsheets/d/1hh-FVnSX0vozXhGluamEcS54Dw9_zqW0N7qJUWgJ0Sw/edit?usp=sharing"",""ชัยนาท!L287"")+IMPORTRANGE(""https://docs.google.com/spreadsheets/d/1jkqa6GXxSacMcY1eN8AHjMNJ_7dDXMJ"&amp;"VRLDlaFSOdPM/edit?usp=sharing"",""ตราด!L287"")+IMPORTRANGE(""https://docs.google.com/spreadsheets/d/18hSgUJ3VwClqi_qtULmmW3cLr0oe3OKaSYoKzdpTsYQ/edit?usp=sharing"",""นครนายก!L287"")+IMPORTRANGE(""https://docs.google.com/spreadsheets/d/1YTZo6WM2dQ6Ix6FSdnL"&amp;"5P7uVnVKu40sxZu975tgG10E/edit?usp=sharing"",""นครปฐม!L287"")+IMPORTRANGE(""https://docs.google.com/spreadsheets/d/1OYoGg4WDg5RIzwGeB10padOxJF9E_Vljuvvct_M7RDo/edit?usp=sharing"",""ปทุมธานี!L287"")+IMPORTRANGE(""https://docs.google.com/spreadsheets/d/1GbCI"&amp;"E4D4wk9FUozzqk7SxfDMxDVBwVmI5zcaVUSzKAc/edit?usp=sharing"",""ประจวบคีรีขันธ์!L287"")+IMPORTRANGE(""https://docs.google.com/spreadsheets/d/1vVf6wykvW_lAyu7Yo9L4hUTqHqIeP_qcVuxCtosJEbg/edit?usp=sharing"",""ปราจีนบุรี!L287"")+IMPORTRANGE(""https://docs.googl"&amp;"e.com/spreadsheets/d/1BIDqLLg5jk3v59G8NlR8rk5xfQDKne0sAvZHSj7TI6I/edit?usp=sharing"",""พระนครศรีอยุธยา!L287"")+IMPORTRANGE(""https://docs.google.com/spreadsheets/d/1YXvxf8Yu6_rV4hTBrwMqAcAnv6DfhUxh5emyM3CJp_w/edit?usp=sharing"",""เพชรบุรี!L287"")+IMPORTRA"&amp;"NGE(""https://docs.google.com/spreadsheets/d/19KBlQQs7uwvsao6t2n-KvW3Ax8J8uRRfZPq1zPbXgKc/edit?usp=sharing"",""ระยอง!L287"")+IMPORTRANGE(""https://docs.google.com/spreadsheets/d/1jQ6P4QcrGM89YfqcC_PxOHGCMq5ezhucwJd8ci-NHng/edit?usp=sharing"",""ราชบุรี!L28"&amp;"7"")+IMPORTRANGE(""https://docs.google.com/spreadsheets/d/1lufeA2cfFqM-elVq2hznhDzC6Pr7wkJ9ZG_sYNGCMCU/edit?usp=sharing"",""ลพบุรี!L287"")+IMPORTRANGE(""https://docs.google.com/spreadsheets/d/10oOiF7loTyfsTkbd4MpaIm0HQ9SwB7IYHdIUvt-U1Uc/edit?usp=sharing"""&amp;",""สระแก้ว!L287"")+IMPORTRANGE(""https://docs.google.com/spreadsheets/d/1xmPlrr1QbdSIKvl1dWUl9K4PjAfSL9oeMr_37QVzcxc/edit?usp=sharing"",""สระบุรี!L287"")+IMPORTRANGE(""https://docs.google.com/spreadsheets/d/1j51vR6CYVGhABJpv6tkstgok82RLpXieLzW1yOY5rHw/edi"&amp;"t?usp=sharing"",""สิงห์บุรี!L287"")+IMPORTRANGE(""https://docs.google.com/spreadsheets/d/1H1EalTWKUSzO4Z1-1CwzoDUaVffgrThEBe2sl74kKG0/edit?usp=sharing"",""สุพรรณบุรี!L287"")+IMPORTRANGE(""https://docs.google.com/spreadsheets/d/1BmIruG_sIrJLYao_Pdr7zVArWsf"&amp;"oBt2692TMi6x_854/edit?usp=sharing"",""อ่างทอง!L287"")"),137720)</f>
        <v>137720</v>
      </c>
      <c r="M288" s="88">
        <f ca="1">IFERROR(__xludf.DUMMYFUNCTION("IMPORTRANGE(""https://docs.google.com/spreadsheets/d/13wPX838HrBrQMCywv1BsuMkt4PEKTChp52zj44s2izQ/edit?usp=sharing"",""กาญจนบุรี!M287"")+IMPORTRANGE(""https://docs.google.com/spreadsheets/d/1ddFKvqj1W1NEiWytbGlB1zMx_ykJDVtmfEQ-6-lIUBA/edit?usp=sharing"","&amp;"""จันทบุรี!M287"")+IMPORTRANGE(""https://docs.google.com/spreadsheets/d/1T1PQvRODqOBZk8BRht_U031fIS1beLA0Ub2CEytj2q0/edit?usp=sharing"",""ฉะเชิงเทรา!M287"")+IMPORTRANGE(""https://docs.google.com/spreadsheets/d/11tr1B-Bhyr79v2bkwVh5h_fR-PStkgjlZtkrZpYurG0/"&amp;"edit?usp=sharing"",""ชลบุรี!M287"")+IMPORTRANGE(""https://docs.google.com/spreadsheets/d/1hh-FVnSX0vozXhGluamEcS54Dw9_zqW0N7qJUWgJ0Sw/edit?usp=sharing"",""ชัยนาท!M287"")+IMPORTRANGE(""https://docs.google.com/spreadsheets/d/1jkqa6GXxSacMcY1eN8AHjMNJ_7dDXMJ"&amp;"VRLDlaFSOdPM/edit?usp=sharing"",""ตราด!M287"")+IMPORTRANGE(""https://docs.google.com/spreadsheets/d/18hSgUJ3VwClqi_qtULmmW3cLr0oe3OKaSYoKzdpTsYQ/edit?usp=sharing"",""นครนายก!M287"")+IMPORTRANGE(""https://docs.google.com/spreadsheets/d/1YTZo6WM2dQ6Ix6FSdnL"&amp;"5P7uVnVKu40sxZu975tgG10E/edit?usp=sharing"",""นครปฐม!M287"")+IMPORTRANGE(""https://docs.google.com/spreadsheets/d/1OYoGg4WDg5RIzwGeB10padOxJF9E_Vljuvvct_M7RDo/edit?usp=sharing"",""ปทุมธานี!M287"")+IMPORTRANGE(""https://docs.google.com/spreadsheets/d/1GbCI"&amp;"E4D4wk9FUozzqk7SxfDMxDVBwVmI5zcaVUSzKAc/edit?usp=sharing"",""ประจวบคีรีขันธ์!M287"")+IMPORTRANGE(""https://docs.google.com/spreadsheets/d/1vVf6wykvW_lAyu7Yo9L4hUTqHqIeP_qcVuxCtosJEbg/edit?usp=sharing"",""ปราจีนบุรี!M287"")+IMPORTRANGE(""https://docs.googl"&amp;"e.com/spreadsheets/d/1BIDqLLg5jk3v59G8NlR8rk5xfQDKne0sAvZHSj7TI6I/edit?usp=sharing"",""พระนครศรีอยุธยา!M287"")+IMPORTRANGE(""https://docs.google.com/spreadsheets/d/1YXvxf8Yu6_rV4hTBrwMqAcAnv6DfhUxh5emyM3CJp_w/edit?usp=sharing"",""เพชรบุรี!M287"")+IMPORTRA"&amp;"NGE(""https://docs.google.com/spreadsheets/d/19KBlQQs7uwvsao6t2n-KvW3Ax8J8uRRfZPq1zPbXgKc/edit?usp=sharing"",""ระยอง!M287"")+IMPORTRANGE(""https://docs.google.com/spreadsheets/d/1jQ6P4QcrGM89YfqcC_PxOHGCMq5ezhucwJd8ci-NHng/edit?usp=sharing"",""ราชบุรี!M28"&amp;"7"")+IMPORTRANGE(""https://docs.google.com/spreadsheets/d/1lufeA2cfFqM-elVq2hznhDzC6Pr7wkJ9ZG_sYNGCMCU/edit?usp=sharing"",""ลพบุรี!M287"")+IMPORTRANGE(""https://docs.google.com/spreadsheets/d/10oOiF7loTyfsTkbd4MpaIm0HQ9SwB7IYHdIUvt-U1Uc/edit?usp=sharing"""&amp;",""สระแก้ว!M287"")+IMPORTRANGE(""https://docs.google.com/spreadsheets/d/1xmPlrr1QbdSIKvl1dWUl9K4PjAfSL9oeMr_37QVzcxc/edit?usp=sharing"",""สระบุรี!M287"")+IMPORTRANGE(""https://docs.google.com/spreadsheets/d/1j51vR6CYVGhABJpv6tkstgok82RLpXieLzW1yOY5rHw/edi"&amp;"t?usp=sharing"",""สิงห์บุรี!M287"")+IMPORTRANGE(""https://docs.google.com/spreadsheets/d/1H1EalTWKUSzO4Z1-1CwzoDUaVffgrThEBe2sl74kKG0/edit?usp=sharing"",""สุพรรณบุรี!M287"")+IMPORTRANGE(""https://docs.google.com/spreadsheets/d/1BmIruG_sIrJLYao_Pdr7zVArWsf"&amp;"oBt2692TMi6x_854/edit?usp=sharing"",""อ่างทอง!M287"")"),137720)</f>
        <v>137720</v>
      </c>
      <c r="N288" s="88">
        <f ca="1">IFERROR(__xludf.DUMMYFUNCTION("IMPORTRANGE(""https://docs.google.com/spreadsheets/d/13wPX838HrBrQMCywv1BsuMkt4PEKTChp52zj44s2izQ/edit?usp=sharing"",""กาญจนบุรี!N287"")+IMPORTRANGE(""https://docs.google.com/spreadsheets/d/1ddFKvqj1W1NEiWytbGlB1zMx_ykJDVtmfEQ-6-lIUBA/edit?usp=sharing"","&amp;"""จันทบุรี!N287"")+IMPORTRANGE(""https://docs.google.com/spreadsheets/d/1T1PQvRODqOBZk8BRht_U031fIS1beLA0Ub2CEytj2q0/edit?usp=sharing"",""ฉะเชิงเทรา!N287"")+IMPORTRANGE(""https://docs.google.com/spreadsheets/d/11tr1B-Bhyr79v2bkwVh5h_fR-PStkgjlZtkrZpYurG0/"&amp;"edit?usp=sharing"",""ชลบุรี!N287"")+IMPORTRANGE(""https://docs.google.com/spreadsheets/d/1hh-FVnSX0vozXhGluamEcS54Dw9_zqW0N7qJUWgJ0Sw/edit?usp=sharing"",""ชัยนาท!N287"")+IMPORTRANGE(""https://docs.google.com/spreadsheets/d/1jkqa6GXxSacMcY1eN8AHjMNJ_7dDXMJ"&amp;"VRLDlaFSOdPM/edit?usp=sharing"",""ตราด!N287"")+IMPORTRANGE(""https://docs.google.com/spreadsheets/d/18hSgUJ3VwClqi_qtULmmW3cLr0oe3OKaSYoKzdpTsYQ/edit?usp=sharing"",""นครนายก!N287"")+IMPORTRANGE(""https://docs.google.com/spreadsheets/d/1YTZo6WM2dQ6Ix6FSdnL"&amp;"5P7uVnVKu40sxZu975tgG10E/edit?usp=sharing"",""นครปฐม!N287"")+IMPORTRANGE(""https://docs.google.com/spreadsheets/d/1OYoGg4WDg5RIzwGeB10padOxJF9E_Vljuvvct_M7RDo/edit?usp=sharing"",""ปทุมธานี!N287"")+IMPORTRANGE(""https://docs.google.com/spreadsheets/d/1GbCI"&amp;"E4D4wk9FUozzqk7SxfDMxDVBwVmI5zcaVUSzKAc/edit?usp=sharing"",""ประจวบคีรีขันธ์!N287"")+IMPORTRANGE(""https://docs.google.com/spreadsheets/d/1vVf6wykvW_lAyu7Yo9L4hUTqHqIeP_qcVuxCtosJEbg/edit?usp=sharing"",""ปราจีนบุรี!N287"")+IMPORTRANGE(""https://docs.googl"&amp;"e.com/spreadsheets/d/1BIDqLLg5jk3v59G8NlR8rk5xfQDKne0sAvZHSj7TI6I/edit?usp=sharing"",""พระนครศรีอยุธยา!N287"")+IMPORTRANGE(""https://docs.google.com/spreadsheets/d/1YXvxf8Yu6_rV4hTBrwMqAcAnv6DfhUxh5emyM3CJp_w/edit?usp=sharing"",""เพชรบุรี!N287"")+IMPORTRA"&amp;"NGE(""https://docs.google.com/spreadsheets/d/19KBlQQs7uwvsao6t2n-KvW3Ax8J8uRRfZPq1zPbXgKc/edit?usp=sharing"",""ระยอง!N287"")+IMPORTRANGE(""https://docs.google.com/spreadsheets/d/1jQ6P4QcrGM89YfqcC_PxOHGCMq5ezhucwJd8ci-NHng/edit?usp=sharing"",""ราชบุรี!N28"&amp;"7"")+IMPORTRANGE(""https://docs.google.com/spreadsheets/d/1lufeA2cfFqM-elVq2hznhDzC6Pr7wkJ9ZG_sYNGCMCU/edit?usp=sharing"",""ลพบุรี!N287"")+IMPORTRANGE(""https://docs.google.com/spreadsheets/d/10oOiF7loTyfsTkbd4MpaIm0HQ9SwB7IYHdIUvt-U1Uc/edit?usp=sharing"""&amp;",""สระแก้ว!N287"")+IMPORTRANGE(""https://docs.google.com/spreadsheets/d/1xmPlrr1QbdSIKvl1dWUl9K4PjAfSL9oeMr_37QVzcxc/edit?usp=sharing"",""สระบุรี!N287"")+IMPORTRANGE(""https://docs.google.com/spreadsheets/d/1j51vR6CYVGhABJpv6tkstgok82RLpXieLzW1yOY5rHw/edi"&amp;"t?usp=sharing"",""สิงห์บุรี!N287"")+IMPORTRANGE(""https://docs.google.com/spreadsheets/d/1H1EalTWKUSzO4Z1-1CwzoDUaVffgrThEBe2sl74kKG0/edit?usp=sharing"",""สุพรรณบุรี!N287"")+IMPORTRANGE(""https://docs.google.com/spreadsheets/d/1BmIruG_sIrJLYao_Pdr7zVArWsf"&amp;"oBt2692TMi6x_854/edit?usp=sharing"",""อ่างทอง!N287"")"),68450)</f>
        <v>68450</v>
      </c>
      <c r="O288" s="88">
        <f t="shared" ca="1" si="198"/>
        <v>49.70229451060122</v>
      </c>
      <c r="P288" s="88">
        <f t="shared" ca="1" si="199"/>
        <v>49.70229451060122</v>
      </c>
      <c r="Q288" s="73">
        <f ca="1">IFERROR(__xludf.DUMMYFUNCTION("IMPORTRANGE(""https://docs.google.com/spreadsheets/d/13wPX838HrBrQMCywv1BsuMkt4PEKTChp52zj44s2izQ/edit?usp=sharing"",""กาญจนบุรี!Q287"")+IMPORTRANGE(""https://docs.google.com/spreadsheets/d/1ddFKvqj1W1NEiWytbGlB1zMx_ykJDVtmfEQ-6-lIUBA/edit?usp=sharing"","&amp;"""จันทบุรี!Q287"")+IMPORTRANGE(""https://docs.google.com/spreadsheets/d/1T1PQvRODqOBZk8BRht_U031fIS1beLA0Ub2CEytj2q0/edit?usp=sharing"",""ฉะเชิงเทรา!Q287"")+IMPORTRANGE(""https://docs.google.com/spreadsheets/d/11tr1B-Bhyr79v2bkwVh5h_fR-PStkgjlZtkrZpYurG0/"&amp;"edit?usp=sharing"",""ชลบุรี!Q287"")+IMPORTRANGE(""https://docs.google.com/spreadsheets/d/1hh-FVnSX0vozXhGluamEcS54Dw9_zqW0N7qJUWgJ0Sw/edit?usp=sharing"",""ชัยนาท!Q287"")+IMPORTRANGE(""https://docs.google.com/spreadsheets/d/1jkqa6GXxSacMcY1eN8AHjMNJ_7dDXMJ"&amp;"VRLDlaFSOdPM/edit?usp=sharing"",""ตราด!Q287"")+IMPORTRANGE(""https://docs.google.com/spreadsheets/d/18hSgUJ3VwClqi_qtULmmW3cLr0oe3OKaSYoKzdpTsYQ/edit?usp=sharing"",""นครนายก!Q287"")+IMPORTRANGE(""https://docs.google.com/spreadsheets/d/1YTZo6WM2dQ6Ix6FSdnL"&amp;"5P7uVnVKu40sxZu975tgG10E/edit?usp=sharing"",""นครปฐม!Q287"")+IMPORTRANGE(""https://docs.google.com/spreadsheets/d/1OYoGg4WDg5RIzwGeB10padOxJF9E_Vljuvvct_M7RDo/edit?usp=sharing"",""ปทุมธานี!Q287"")+IMPORTRANGE(""https://docs.google.com/spreadsheets/d/1GbCI"&amp;"E4D4wk9FUozzqk7SxfDMxDVBwVmI5zcaVUSzKAc/edit?usp=sharing"",""ประจวบคีรีขันธ์!Q287"")+IMPORTRANGE(""https://docs.google.com/spreadsheets/d/1vVf6wykvW_lAyu7Yo9L4hUTqHqIeP_qcVuxCtosJEbg/edit?usp=sharing"",""ปราจีนบุรี!Q287"")+IMPORTRANGE(""https://docs.googl"&amp;"e.com/spreadsheets/d/1BIDqLLg5jk3v59G8NlR8rk5xfQDKne0sAvZHSj7TI6I/edit?usp=sharing"",""พระนครศรีอยุธยา!Q287"")+IMPORTRANGE(""https://docs.google.com/spreadsheets/d/1YXvxf8Yu6_rV4hTBrwMqAcAnv6DfhUxh5emyM3CJp_w/edit?usp=sharing"",""เพชรบุรี!Q287"")+IMPORTRA"&amp;"NGE(""https://docs.google.com/spreadsheets/d/19KBlQQs7uwvsao6t2n-KvW3Ax8J8uRRfZPq1zPbXgKc/edit?usp=sharing"",""ระยอง!Q287"")+IMPORTRANGE(""https://docs.google.com/spreadsheets/d/1jQ6P4QcrGM89YfqcC_PxOHGCMq5ezhucwJd8ci-NHng/edit?usp=sharing"",""ราชบุรี!Q28"&amp;"7"")+IMPORTRANGE(""https://docs.google.com/spreadsheets/d/1lufeA2cfFqM-elVq2hznhDzC6Pr7wkJ9ZG_sYNGCMCU/edit?usp=sharing"",""ลพบุรี!Q287"")+IMPORTRANGE(""https://docs.google.com/spreadsheets/d/10oOiF7loTyfsTkbd4MpaIm0HQ9SwB7IYHdIUvt-U1Uc/edit?usp=sharing"""&amp;",""สระแก้ว!Q287"")+IMPORTRANGE(""https://docs.google.com/spreadsheets/d/1xmPlrr1QbdSIKvl1dWUl9K4PjAfSL9oeMr_37QVzcxc/edit?usp=sharing"",""สระบุรี!Q287"")+IMPORTRANGE(""https://docs.google.com/spreadsheets/d/1j51vR6CYVGhABJpv6tkstgok82RLpXieLzW1yOY5rHw/edi"&amp;"t?usp=sharing"",""สิงห์บุรี!Q287"")+IMPORTRANGE(""https://docs.google.com/spreadsheets/d/1H1EalTWKUSzO4Z1-1CwzoDUaVffgrThEBe2sl74kKG0/edit?usp=sharing"",""สุพรรณบุรี!Q287"")+IMPORTRANGE(""https://docs.google.com/spreadsheets/d/1BmIruG_sIrJLYao_Pdr7zVArWsf"&amp;"oBt2692TMi6x_854/edit?usp=sharing"",""อ่างทอง!Q287"")"),0)</f>
        <v>0</v>
      </c>
      <c r="R288" s="74">
        <f ca="1">IFERROR(__xludf.DUMMYFUNCTION("IMPORTRANGE(""https://docs.google.com/spreadsheets/d/13wPX838HrBrQMCywv1BsuMkt4PEKTChp52zj44s2izQ/edit?usp=sharing"",""กาญจนบุรี!R287"")+IMPORTRANGE(""https://docs.google.com/spreadsheets/d/1ddFKvqj1W1NEiWytbGlB1zMx_ykJDVtmfEQ-6-lIUBA/edit?usp=sharing"","&amp;"""จันทบุรี!R287"")+IMPORTRANGE(""https://docs.google.com/spreadsheets/d/1T1PQvRODqOBZk8BRht_U031fIS1beLA0Ub2CEytj2q0/edit?usp=sharing"",""ฉะเชิงเทรา!R287"")+IMPORTRANGE(""https://docs.google.com/spreadsheets/d/11tr1B-Bhyr79v2bkwVh5h_fR-PStkgjlZtkrZpYurG0/"&amp;"edit?usp=sharing"",""ชลบุรี!R287"")+IMPORTRANGE(""https://docs.google.com/spreadsheets/d/1hh-FVnSX0vozXhGluamEcS54Dw9_zqW0N7qJUWgJ0Sw/edit?usp=sharing"",""ชัยนาท!R287"")+IMPORTRANGE(""https://docs.google.com/spreadsheets/d/1jkqa6GXxSacMcY1eN8AHjMNJ_7dDXMJ"&amp;"VRLDlaFSOdPM/edit?usp=sharing"",""ตราด!R287"")+IMPORTRANGE(""https://docs.google.com/spreadsheets/d/18hSgUJ3VwClqi_qtULmmW3cLr0oe3OKaSYoKzdpTsYQ/edit?usp=sharing"",""นครนายก!R287"")+IMPORTRANGE(""https://docs.google.com/spreadsheets/d/1YTZo6WM2dQ6Ix6FSdnL"&amp;"5P7uVnVKu40sxZu975tgG10E/edit?usp=sharing"",""นครปฐม!R287"")+IMPORTRANGE(""https://docs.google.com/spreadsheets/d/1OYoGg4WDg5RIzwGeB10padOxJF9E_Vljuvvct_M7RDo/edit?usp=sharing"",""ปทุมธานี!R287"")+IMPORTRANGE(""https://docs.google.com/spreadsheets/d/1GbCI"&amp;"E4D4wk9FUozzqk7SxfDMxDVBwVmI5zcaVUSzKAc/edit?usp=sharing"",""ประจวบคีรีขันธ์!R287"")+IMPORTRANGE(""https://docs.google.com/spreadsheets/d/1vVf6wykvW_lAyu7Yo9L4hUTqHqIeP_qcVuxCtosJEbg/edit?usp=sharing"",""ปราจีนบุรี!R287"")+IMPORTRANGE(""https://docs.googl"&amp;"e.com/spreadsheets/d/1BIDqLLg5jk3v59G8NlR8rk5xfQDKne0sAvZHSj7TI6I/edit?usp=sharing"",""พระนครศรีอยุธยา!R287"")+IMPORTRANGE(""https://docs.google.com/spreadsheets/d/1YXvxf8Yu6_rV4hTBrwMqAcAnv6DfhUxh5emyM3CJp_w/edit?usp=sharing"",""เพชรบุรี!R287"")+IMPORTRA"&amp;"NGE(""https://docs.google.com/spreadsheets/d/19KBlQQs7uwvsao6t2n-KvW3Ax8J8uRRfZPq1zPbXgKc/edit?usp=sharing"",""ระยอง!R287"")+IMPORTRANGE(""https://docs.google.com/spreadsheets/d/1jQ6P4QcrGM89YfqcC_PxOHGCMq5ezhucwJd8ci-NHng/edit?usp=sharing"",""ราชบุรี!R28"&amp;"7"")+IMPORTRANGE(""https://docs.google.com/spreadsheets/d/1lufeA2cfFqM-elVq2hznhDzC6Pr7wkJ9ZG_sYNGCMCU/edit?usp=sharing"",""ลพบุรี!R287"")+IMPORTRANGE(""https://docs.google.com/spreadsheets/d/10oOiF7loTyfsTkbd4MpaIm0HQ9SwB7IYHdIUvt-U1Uc/edit?usp=sharing"""&amp;",""สระแก้ว!R287"")+IMPORTRANGE(""https://docs.google.com/spreadsheets/d/1xmPlrr1QbdSIKvl1dWUl9K4PjAfSL9oeMr_37QVzcxc/edit?usp=sharing"",""สระบุรี!R287"")+IMPORTRANGE(""https://docs.google.com/spreadsheets/d/1j51vR6CYVGhABJpv6tkstgok82RLpXieLzW1yOY5rHw/edi"&amp;"t?usp=sharing"",""สิงห์บุรี!R287"")+IMPORTRANGE(""https://docs.google.com/spreadsheets/d/1H1EalTWKUSzO4Z1-1CwzoDUaVffgrThEBe2sl74kKG0/edit?usp=sharing"",""สุพรรณบุรี!R287"")+IMPORTRANGE(""https://docs.google.com/spreadsheets/d/1BmIruG_sIrJLYao_Pdr7zVArWsf"&amp;"oBt2692TMi6x_854/edit?usp=sharing"",""อ่างทอง!R287"")"),0)</f>
        <v>0</v>
      </c>
      <c r="S288" s="74">
        <f ca="1">IFERROR(__xludf.DUMMYFUNCTION("IMPORTRANGE(""https://docs.google.com/spreadsheets/d/13wPX838HrBrQMCywv1BsuMkt4PEKTChp52zj44s2izQ/edit?usp=sharing"",""กาญจนบุรี!S287"")+IMPORTRANGE(""https://docs.google.com/spreadsheets/d/1ddFKvqj1W1NEiWytbGlB1zMx_ykJDVtmfEQ-6-lIUBA/edit?usp=sharing"","&amp;"""จันทบุรี!S287"")+IMPORTRANGE(""https://docs.google.com/spreadsheets/d/1T1PQvRODqOBZk8BRht_U031fIS1beLA0Ub2CEytj2q0/edit?usp=sharing"",""ฉะเชิงเทรา!S287"")+IMPORTRANGE(""https://docs.google.com/spreadsheets/d/11tr1B-Bhyr79v2bkwVh5h_fR-PStkgjlZtkrZpYurG0/"&amp;"edit?usp=sharing"",""ชลบุรี!S287"")+IMPORTRANGE(""https://docs.google.com/spreadsheets/d/1hh-FVnSX0vozXhGluamEcS54Dw9_zqW0N7qJUWgJ0Sw/edit?usp=sharing"",""ชัยนาท!S287"")+IMPORTRANGE(""https://docs.google.com/spreadsheets/d/1jkqa6GXxSacMcY1eN8AHjMNJ_7dDXMJ"&amp;"VRLDlaFSOdPM/edit?usp=sharing"",""ตราด!S287"")+IMPORTRANGE(""https://docs.google.com/spreadsheets/d/18hSgUJ3VwClqi_qtULmmW3cLr0oe3OKaSYoKzdpTsYQ/edit?usp=sharing"",""นครนายก!S287"")+IMPORTRANGE(""https://docs.google.com/spreadsheets/d/1YTZo6WM2dQ6Ix6FSdnL"&amp;"5P7uVnVKu40sxZu975tgG10E/edit?usp=sharing"",""นครปฐม!S287"")+IMPORTRANGE(""https://docs.google.com/spreadsheets/d/1OYoGg4WDg5RIzwGeB10padOxJF9E_Vljuvvct_M7RDo/edit?usp=sharing"",""ปทุมธานี!S287"")+IMPORTRANGE(""https://docs.google.com/spreadsheets/d/1GbCI"&amp;"E4D4wk9FUozzqk7SxfDMxDVBwVmI5zcaVUSzKAc/edit?usp=sharing"",""ประจวบคีรีขันธ์!S287"")+IMPORTRANGE(""https://docs.google.com/spreadsheets/d/1vVf6wykvW_lAyu7Yo9L4hUTqHqIeP_qcVuxCtosJEbg/edit?usp=sharing"",""ปราจีนบุรี!S287"")+IMPORTRANGE(""https://docs.googl"&amp;"e.com/spreadsheets/d/1BIDqLLg5jk3v59G8NlR8rk5xfQDKne0sAvZHSj7TI6I/edit?usp=sharing"",""พระนครศรีอยุธยา!S287"")+IMPORTRANGE(""https://docs.google.com/spreadsheets/d/1YXvxf8Yu6_rV4hTBrwMqAcAnv6DfhUxh5emyM3CJp_w/edit?usp=sharing"",""เพชรบุรี!S287"")+IMPORTRA"&amp;"NGE(""https://docs.google.com/spreadsheets/d/19KBlQQs7uwvsao6t2n-KvW3Ax8J8uRRfZPq1zPbXgKc/edit?usp=sharing"",""ระยอง!S287"")+IMPORTRANGE(""https://docs.google.com/spreadsheets/d/1jQ6P4QcrGM89YfqcC_PxOHGCMq5ezhucwJd8ci-NHng/edit?usp=sharing"",""ราชบุรี!S28"&amp;"7"")+IMPORTRANGE(""https://docs.google.com/spreadsheets/d/1lufeA2cfFqM-elVq2hznhDzC6Pr7wkJ9ZG_sYNGCMCU/edit?usp=sharing"",""ลพบุรี!S287"")+IMPORTRANGE(""https://docs.google.com/spreadsheets/d/10oOiF7loTyfsTkbd4MpaIm0HQ9SwB7IYHdIUvt-U1Uc/edit?usp=sharing"""&amp;",""สระแก้ว!S287"")+IMPORTRANGE(""https://docs.google.com/spreadsheets/d/1xmPlrr1QbdSIKvl1dWUl9K4PjAfSL9oeMr_37QVzcxc/edit?usp=sharing"",""สระบุรี!S287"")+IMPORTRANGE(""https://docs.google.com/spreadsheets/d/1j51vR6CYVGhABJpv6tkstgok82RLpXieLzW1yOY5rHw/edi"&amp;"t?usp=sharing"",""สิงห์บุรี!S287"")+IMPORTRANGE(""https://docs.google.com/spreadsheets/d/1H1EalTWKUSzO4Z1-1CwzoDUaVffgrThEBe2sl74kKG0/edit?usp=sharing"",""สุพรรณบุรี!S287"")+IMPORTRANGE(""https://docs.google.com/spreadsheets/d/1BmIruG_sIrJLYao_Pdr7zVArWsf"&amp;"oBt2692TMi6x_854/edit?usp=sharing"",""อ่างทอง!S287"")"),0)</f>
        <v>0</v>
      </c>
      <c r="T288" s="133">
        <f t="shared" ca="1" si="201"/>
        <v>0</v>
      </c>
      <c r="U288" s="133">
        <f t="shared" ca="1" si="202"/>
        <v>0</v>
      </c>
    </row>
    <row r="289" spans="1:21" ht="18.75" x14ac:dyDescent="0.25">
      <c r="A289" s="209"/>
      <c r="B289" s="67"/>
      <c r="C289" s="67"/>
      <c r="D289" s="68" t="s">
        <v>23</v>
      </c>
      <c r="E289" s="67"/>
      <c r="F289" s="67"/>
      <c r="G289" s="69"/>
      <c r="H289" s="221" t="s">
        <v>14</v>
      </c>
      <c r="I289" s="219"/>
      <c r="J289" s="219"/>
      <c r="K289" s="220"/>
      <c r="L289" s="88">
        <f t="shared" ref="L289:N289" ca="1" si="209">L290+L291</f>
        <v>0</v>
      </c>
      <c r="M289" s="88">
        <f t="shared" ca="1" si="209"/>
        <v>0</v>
      </c>
      <c r="N289" s="88">
        <f t="shared" ca="1" si="209"/>
        <v>0</v>
      </c>
      <c r="O289" s="88">
        <f t="shared" ca="1" si="198"/>
        <v>0</v>
      </c>
      <c r="P289" s="88">
        <f t="shared" ca="1" si="199"/>
        <v>0</v>
      </c>
      <c r="Q289" s="131">
        <f t="shared" ref="Q289:S289" ca="1" si="210">Q290+Q291</f>
        <v>0</v>
      </c>
      <c r="R289" s="132">
        <f t="shared" ca="1" si="210"/>
        <v>0</v>
      </c>
      <c r="S289" s="132">
        <f t="shared" ca="1" si="210"/>
        <v>0</v>
      </c>
      <c r="T289" s="132">
        <f t="shared" ca="1" si="201"/>
        <v>0</v>
      </c>
      <c r="U289" s="132">
        <f t="shared" ca="1" si="202"/>
        <v>0</v>
      </c>
    </row>
    <row r="290" spans="1:21" ht="18.75" x14ac:dyDescent="0.25">
      <c r="A290" s="209"/>
      <c r="B290" s="67"/>
      <c r="C290" s="67"/>
      <c r="D290" s="67"/>
      <c r="E290" s="75" t="s">
        <v>20</v>
      </c>
      <c r="F290" s="67"/>
      <c r="G290" s="69"/>
      <c r="H290" s="218" t="s">
        <v>14</v>
      </c>
      <c r="I290" s="219"/>
      <c r="J290" s="219"/>
      <c r="K290" s="220"/>
      <c r="L290" s="88">
        <f ca="1">IFERROR(__xludf.DUMMYFUNCTION("IMPORTRANGE(""https://docs.google.com/spreadsheets/d/13wPX838HrBrQMCywv1BsuMkt4PEKTChp52zj44s2izQ/edit?usp=sharing"",""กาญจนบุรี!L289"")+IMPORTRANGE(""https://docs.google.com/spreadsheets/d/1ddFKvqj1W1NEiWytbGlB1zMx_ykJDVtmfEQ-6-lIUBA/edit?usp=sharing"","&amp;"""จันทบุรี!L289"")+IMPORTRANGE(""https://docs.google.com/spreadsheets/d/1T1PQvRODqOBZk8BRht_U031fIS1beLA0Ub2CEytj2q0/edit?usp=sharing"",""ฉะเชิงเทรา!L289"")+IMPORTRANGE(""https://docs.google.com/spreadsheets/d/11tr1B-Bhyr79v2bkwVh5h_fR-PStkgjlZtkrZpYurG0/"&amp;"edit?usp=sharing"",""ชลบุรี!L289"")+IMPORTRANGE(""https://docs.google.com/spreadsheets/d/1hh-FVnSX0vozXhGluamEcS54Dw9_zqW0N7qJUWgJ0Sw/edit?usp=sharing"",""ชัยนาท!L289"")+IMPORTRANGE(""https://docs.google.com/spreadsheets/d/1jkqa6GXxSacMcY1eN8AHjMNJ_7dDXMJ"&amp;"VRLDlaFSOdPM/edit?usp=sharing"",""ตราด!L289"")+IMPORTRANGE(""https://docs.google.com/spreadsheets/d/18hSgUJ3VwClqi_qtULmmW3cLr0oe3OKaSYoKzdpTsYQ/edit?usp=sharing"",""นครนายก!L289"")+IMPORTRANGE(""https://docs.google.com/spreadsheets/d/1YTZo6WM2dQ6Ix6FSdnL"&amp;"5P7uVnVKu40sxZu975tgG10E/edit?usp=sharing"",""นครปฐม!L289"")+IMPORTRANGE(""https://docs.google.com/spreadsheets/d/1OYoGg4WDg5RIzwGeB10padOxJF9E_Vljuvvct_M7RDo/edit?usp=sharing"",""ปทุมธานี!L289"")+IMPORTRANGE(""https://docs.google.com/spreadsheets/d/1GbCI"&amp;"E4D4wk9FUozzqk7SxfDMxDVBwVmI5zcaVUSzKAc/edit?usp=sharing"",""ประจวบคีรีขันธ์!L289"")+IMPORTRANGE(""https://docs.google.com/spreadsheets/d/1vVf6wykvW_lAyu7Yo9L4hUTqHqIeP_qcVuxCtosJEbg/edit?usp=sharing"",""ปราจีนบุรี!L289"")+IMPORTRANGE(""https://docs.googl"&amp;"e.com/spreadsheets/d/1BIDqLLg5jk3v59G8NlR8rk5xfQDKne0sAvZHSj7TI6I/edit?usp=sharing"",""พระนครศรีอยุธยา!L289"")+IMPORTRANGE(""https://docs.google.com/spreadsheets/d/1YXvxf8Yu6_rV4hTBrwMqAcAnv6DfhUxh5emyM3CJp_w/edit?usp=sharing"",""เพชรบุรี!L289"")+IMPORTRA"&amp;"NGE(""https://docs.google.com/spreadsheets/d/19KBlQQs7uwvsao6t2n-KvW3Ax8J8uRRfZPq1zPbXgKc/edit?usp=sharing"",""ระยอง!L289"")+IMPORTRANGE(""https://docs.google.com/spreadsheets/d/1jQ6P4QcrGM89YfqcC_PxOHGCMq5ezhucwJd8ci-NHng/edit?usp=sharing"",""ราชบุรี!L28"&amp;"9"")+IMPORTRANGE(""https://docs.google.com/spreadsheets/d/1lufeA2cfFqM-elVq2hznhDzC6Pr7wkJ9ZG_sYNGCMCU/edit?usp=sharing"",""ลพบุรี!L289"")+IMPORTRANGE(""https://docs.google.com/spreadsheets/d/10oOiF7loTyfsTkbd4MpaIm0HQ9SwB7IYHdIUvt-U1Uc/edit?usp=sharing"""&amp;",""สระแก้ว!L289"")+IMPORTRANGE(""https://docs.google.com/spreadsheets/d/1xmPlrr1QbdSIKvl1dWUl9K4PjAfSL9oeMr_37QVzcxc/edit?usp=sharing"",""สระบุรี!L289"")+IMPORTRANGE(""https://docs.google.com/spreadsheets/d/1j51vR6CYVGhABJpv6tkstgok82RLpXieLzW1yOY5rHw/edi"&amp;"t?usp=sharing"",""สิงห์บุรี!L289"")+IMPORTRANGE(""https://docs.google.com/spreadsheets/d/1H1EalTWKUSzO4Z1-1CwzoDUaVffgrThEBe2sl74kKG0/edit?usp=sharing"",""สุพรรณบุรี!L289"")+IMPORTRANGE(""https://docs.google.com/spreadsheets/d/1BmIruG_sIrJLYao_Pdr7zVArWsf"&amp;"oBt2692TMi6x_854/edit?usp=sharing"",""อ่างทอง!L289"")"),0)</f>
        <v>0</v>
      </c>
      <c r="M290" s="88">
        <f ca="1">IFERROR(__xludf.DUMMYFUNCTION("IMPORTRANGE(""https://docs.google.com/spreadsheets/d/13wPX838HrBrQMCywv1BsuMkt4PEKTChp52zj44s2izQ/edit?usp=sharing"",""กาญจนบุรี!M289"")+IMPORTRANGE(""https://docs.google.com/spreadsheets/d/1ddFKvqj1W1NEiWytbGlB1zMx_ykJDVtmfEQ-6-lIUBA/edit?usp=sharing"","&amp;"""จันทบุรี!M289"")+IMPORTRANGE(""https://docs.google.com/spreadsheets/d/1T1PQvRODqOBZk8BRht_U031fIS1beLA0Ub2CEytj2q0/edit?usp=sharing"",""ฉะเชิงเทรา!M289"")+IMPORTRANGE(""https://docs.google.com/spreadsheets/d/11tr1B-Bhyr79v2bkwVh5h_fR-PStkgjlZtkrZpYurG0/"&amp;"edit?usp=sharing"",""ชลบุรี!M289"")+IMPORTRANGE(""https://docs.google.com/spreadsheets/d/1hh-FVnSX0vozXhGluamEcS54Dw9_zqW0N7qJUWgJ0Sw/edit?usp=sharing"",""ชัยนาท!M289"")+IMPORTRANGE(""https://docs.google.com/spreadsheets/d/1jkqa6GXxSacMcY1eN8AHjMNJ_7dDXMJ"&amp;"VRLDlaFSOdPM/edit?usp=sharing"",""ตราด!M289"")+IMPORTRANGE(""https://docs.google.com/spreadsheets/d/18hSgUJ3VwClqi_qtULmmW3cLr0oe3OKaSYoKzdpTsYQ/edit?usp=sharing"",""นครนายก!M289"")+IMPORTRANGE(""https://docs.google.com/spreadsheets/d/1YTZo6WM2dQ6Ix6FSdnL"&amp;"5P7uVnVKu40sxZu975tgG10E/edit?usp=sharing"",""นครปฐม!M289"")+IMPORTRANGE(""https://docs.google.com/spreadsheets/d/1OYoGg4WDg5RIzwGeB10padOxJF9E_Vljuvvct_M7RDo/edit?usp=sharing"",""ปทุมธานี!M289"")+IMPORTRANGE(""https://docs.google.com/spreadsheets/d/1GbCI"&amp;"E4D4wk9FUozzqk7SxfDMxDVBwVmI5zcaVUSzKAc/edit?usp=sharing"",""ประจวบคีรีขันธ์!M289"")+IMPORTRANGE(""https://docs.google.com/spreadsheets/d/1vVf6wykvW_lAyu7Yo9L4hUTqHqIeP_qcVuxCtosJEbg/edit?usp=sharing"",""ปราจีนบุรี!M289"")+IMPORTRANGE(""https://docs.googl"&amp;"e.com/spreadsheets/d/1BIDqLLg5jk3v59G8NlR8rk5xfQDKne0sAvZHSj7TI6I/edit?usp=sharing"",""พระนครศรีอยุธยา!M289"")+IMPORTRANGE(""https://docs.google.com/spreadsheets/d/1YXvxf8Yu6_rV4hTBrwMqAcAnv6DfhUxh5emyM3CJp_w/edit?usp=sharing"",""เพชรบุรี!M289"")+IMPORTRA"&amp;"NGE(""https://docs.google.com/spreadsheets/d/19KBlQQs7uwvsao6t2n-KvW3Ax8J8uRRfZPq1zPbXgKc/edit?usp=sharing"",""ระยอง!M289"")+IMPORTRANGE(""https://docs.google.com/spreadsheets/d/1jQ6P4QcrGM89YfqcC_PxOHGCMq5ezhucwJd8ci-NHng/edit?usp=sharing"",""ราชบุรี!M28"&amp;"9"")+IMPORTRANGE(""https://docs.google.com/spreadsheets/d/1lufeA2cfFqM-elVq2hznhDzC6Pr7wkJ9ZG_sYNGCMCU/edit?usp=sharing"",""ลพบุรี!M289"")+IMPORTRANGE(""https://docs.google.com/spreadsheets/d/10oOiF7loTyfsTkbd4MpaIm0HQ9SwB7IYHdIUvt-U1Uc/edit?usp=sharing"""&amp;",""สระแก้ว!M289"")+IMPORTRANGE(""https://docs.google.com/spreadsheets/d/1xmPlrr1QbdSIKvl1dWUl9K4PjAfSL9oeMr_37QVzcxc/edit?usp=sharing"",""สระบุรี!M289"")+IMPORTRANGE(""https://docs.google.com/spreadsheets/d/1j51vR6CYVGhABJpv6tkstgok82RLpXieLzW1yOY5rHw/edi"&amp;"t?usp=sharing"",""สิงห์บุรี!M289"")+IMPORTRANGE(""https://docs.google.com/spreadsheets/d/1H1EalTWKUSzO4Z1-1CwzoDUaVffgrThEBe2sl74kKG0/edit?usp=sharing"",""สุพรรณบุรี!M289"")+IMPORTRANGE(""https://docs.google.com/spreadsheets/d/1BmIruG_sIrJLYao_Pdr7zVArWsf"&amp;"oBt2692TMi6x_854/edit?usp=sharing"",""อ่างทอง!M289"")"),0)</f>
        <v>0</v>
      </c>
      <c r="N290" s="88">
        <f ca="1">IFERROR(__xludf.DUMMYFUNCTION("IMPORTRANGE(""https://docs.google.com/spreadsheets/d/13wPX838HrBrQMCywv1BsuMkt4PEKTChp52zj44s2izQ/edit?usp=sharing"",""กาญจนบุรี!N289"")+IMPORTRANGE(""https://docs.google.com/spreadsheets/d/1ddFKvqj1W1NEiWytbGlB1zMx_ykJDVtmfEQ-6-lIUBA/edit?usp=sharing"","&amp;"""จันทบุรี!N289"")+IMPORTRANGE(""https://docs.google.com/spreadsheets/d/1T1PQvRODqOBZk8BRht_U031fIS1beLA0Ub2CEytj2q0/edit?usp=sharing"",""ฉะเชิงเทรา!N289"")+IMPORTRANGE(""https://docs.google.com/spreadsheets/d/11tr1B-Bhyr79v2bkwVh5h_fR-PStkgjlZtkrZpYurG0/"&amp;"edit?usp=sharing"",""ชลบุรี!N289"")+IMPORTRANGE(""https://docs.google.com/spreadsheets/d/1hh-FVnSX0vozXhGluamEcS54Dw9_zqW0N7qJUWgJ0Sw/edit?usp=sharing"",""ชัยนาท!N289"")+IMPORTRANGE(""https://docs.google.com/spreadsheets/d/1jkqa6GXxSacMcY1eN8AHjMNJ_7dDXMJ"&amp;"VRLDlaFSOdPM/edit?usp=sharing"",""ตราด!N289"")+IMPORTRANGE(""https://docs.google.com/spreadsheets/d/18hSgUJ3VwClqi_qtULmmW3cLr0oe3OKaSYoKzdpTsYQ/edit?usp=sharing"",""นครนายก!N289"")+IMPORTRANGE(""https://docs.google.com/spreadsheets/d/1YTZo6WM2dQ6Ix6FSdnL"&amp;"5P7uVnVKu40sxZu975tgG10E/edit?usp=sharing"",""นครปฐม!N289"")+IMPORTRANGE(""https://docs.google.com/spreadsheets/d/1OYoGg4WDg5RIzwGeB10padOxJF9E_Vljuvvct_M7RDo/edit?usp=sharing"",""ปทุมธานี!N289"")+IMPORTRANGE(""https://docs.google.com/spreadsheets/d/1GbCI"&amp;"E4D4wk9FUozzqk7SxfDMxDVBwVmI5zcaVUSzKAc/edit?usp=sharing"",""ประจวบคีรีขันธ์!N289"")+IMPORTRANGE(""https://docs.google.com/spreadsheets/d/1vVf6wykvW_lAyu7Yo9L4hUTqHqIeP_qcVuxCtosJEbg/edit?usp=sharing"",""ปราจีนบุรี!N289"")+IMPORTRANGE(""https://docs.googl"&amp;"e.com/spreadsheets/d/1BIDqLLg5jk3v59G8NlR8rk5xfQDKne0sAvZHSj7TI6I/edit?usp=sharing"",""พระนครศรีอยุธยา!N289"")+IMPORTRANGE(""https://docs.google.com/spreadsheets/d/1YXvxf8Yu6_rV4hTBrwMqAcAnv6DfhUxh5emyM3CJp_w/edit?usp=sharing"",""เพชรบุรี!N289"")+IMPORTRA"&amp;"NGE(""https://docs.google.com/spreadsheets/d/19KBlQQs7uwvsao6t2n-KvW3Ax8J8uRRfZPq1zPbXgKc/edit?usp=sharing"",""ระยอง!N289"")+IMPORTRANGE(""https://docs.google.com/spreadsheets/d/1jQ6P4QcrGM89YfqcC_PxOHGCMq5ezhucwJd8ci-NHng/edit?usp=sharing"",""ราชบุรี!N28"&amp;"9"")+IMPORTRANGE(""https://docs.google.com/spreadsheets/d/1lufeA2cfFqM-elVq2hznhDzC6Pr7wkJ9ZG_sYNGCMCU/edit?usp=sharing"",""ลพบุรี!N289"")+IMPORTRANGE(""https://docs.google.com/spreadsheets/d/10oOiF7loTyfsTkbd4MpaIm0HQ9SwB7IYHdIUvt-U1Uc/edit?usp=sharing"""&amp;",""สระแก้ว!N289"")+IMPORTRANGE(""https://docs.google.com/spreadsheets/d/1xmPlrr1QbdSIKvl1dWUl9K4PjAfSL9oeMr_37QVzcxc/edit?usp=sharing"",""สระบุรี!N289"")+IMPORTRANGE(""https://docs.google.com/spreadsheets/d/1j51vR6CYVGhABJpv6tkstgok82RLpXieLzW1yOY5rHw/edi"&amp;"t?usp=sharing"",""สิงห์บุรี!N289"")+IMPORTRANGE(""https://docs.google.com/spreadsheets/d/1H1EalTWKUSzO4Z1-1CwzoDUaVffgrThEBe2sl74kKG0/edit?usp=sharing"",""สุพรรณบุรี!N289"")+IMPORTRANGE(""https://docs.google.com/spreadsheets/d/1BmIruG_sIrJLYao_Pdr7zVArWsf"&amp;"oBt2692TMi6x_854/edit?usp=sharing"",""อ่างทอง!N289"")"),0)</f>
        <v>0</v>
      </c>
      <c r="O290" s="88">
        <f t="shared" ca="1" si="198"/>
        <v>0</v>
      </c>
      <c r="P290" s="88">
        <f t="shared" ca="1" si="199"/>
        <v>0</v>
      </c>
      <c r="Q290" s="76">
        <f ca="1">IFERROR(__xludf.DUMMYFUNCTION("IMPORTRANGE(""https://docs.google.com/spreadsheets/d/13wPX838HrBrQMCywv1BsuMkt4PEKTChp52zj44s2izQ/edit?usp=sharing"",""กาญจนบุรี!Q289"")+IMPORTRANGE(""https://docs.google.com/spreadsheets/d/1ddFKvqj1W1NEiWytbGlB1zMx_ykJDVtmfEQ-6-lIUBA/edit?usp=sharing"","&amp;"""จันทบุรี!Q289"")+IMPORTRANGE(""https://docs.google.com/spreadsheets/d/1T1PQvRODqOBZk8BRht_U031fIS1beLA0Ub2CEytj2q0/edit?usp=sharing"",""ฉะเชิงเทรา!Q289"")+IMPORTRANGE(""https://docs.google.com/spreadsheets/d/11tr1B-Bhyr79v2bkwVh5h_fR-PStkgjlZtkrZpYurG0/"&amp;"edit?usp=sharing"",""ชลบุรี!Q289"")+IMPORTRANGE(""https://docs.google.com/spreadsheets/d/1hh-FVnSX0vozXhGluamEcS54Dw9_zqW0N7qJUWgJ0Sw/edit?usp=sharing"",""ชัยนาท!Q289"")+IMPORTRANGE(""https://docs.google.com/spreadsheets/d/1jkqa6GXxSacMcY1eN8AHjMNJ_7dDXMJ"&amp;"VRLDlaFSOdPM/edit?usp=sharing"",""ตราด!Q289"")+IMPORTRANGE(""https://docs.google.com/spreadsheets/d/18hSgUJ3VwClqi_qtULmmW3cLr0oe3OKaSYoKzdpTsYQ/edit?usp=sharing"",""นครนายก!Q289"")+IMPORTRANGE(""https://docs.google.com/spreadsheets/d/1YTZo6WM2dQ6Ix6FSdnL"&amp;"5P7uVnVKu40sxZu975tgG10E/edit?usp=sharing"",""นครปฐม!Q289"")+IMPORTRANGE(""https://docs.google.com/spreadsheets/d/1OYoGg4WDg5RIzwGeB10padOxJF9E_Vljuvvct_M7RDo/edit?usp=sharing"",""ปทุมธานี!Q289"")+IMPORTRANGE(""https://docs.google.com/spreadsheets/d/1GbCI"&amp;"E4D4wk9FUozzqk7SxfDMxDVBwVmI5zcaVUSzKAc/edit?usp=sharing"",""ประจวบคีรีขันธ์!Q289"")+IMPORTRANGE(""https://docs.google.com/spreadsheets/d/1vVf6wykvW_lAyu7Yo9L4hUTqHqIeP_qcVuxCtosJEbg/edit?usp=sharing"",""ปราจีนบุรี!Q289"")+IMPORTRANGE(""https://docs.googl"&amp;"e.com/spreadsheets/d/1BIDqLLg5jk3v59G8NlR8rk5xfQDKne0sAvZHSj7TI6I/edit?usp=sharing"",""พระนครศรีอยุธยา!Q289"")+IMPORTRANGE(""https://docs.google.com/spreadsheets/d/1YXvxf8Yu6_rV4hTBrwMqAcAnv6DfhUxh5emyM3CJp_w/edit?usp=sharing"",""เพชรบุรี!Q289"")+IMPORTRA"&amp;"NGE(""https://docs.google.com/spreadsheets/d/19KBlQQs7uwvsao6t2n-KvW3Ax8J8uRRfZPq1zPbXgKc/edit?usp=sharing"",""ระยอง!Q289"")+IMPORTRANGE(""https://docs.google.com/spreadsheets/d/1jQ6P4QcrGM89YfqcC_PxOHGCMq5ezhucwJd8ci-NHng/edit?usp=sharing"",""ราชบุรี!Q28"&amp;"9"")+IMPORTRANGE(""https://docs.google.com/spreadsheets/d/1lufeA2cfFqM-elVq2hznhDzC6Pr7wkJ9ZG_sYNGCMCU/edit?usp=sharing"",""ลพบุรี!Q289"")+IMPORTRANGE(""https://docs.google.com/spreadsheets/d/10oOiF7loTyfsTkbd4MpaIm0HQ9SwB7IYHdIUvt-U1Uc/edit?usp=sharing"""&amp;",""สระแก้ว!Q289"")+IMPORTRANGE(""https://docs.google.com/spreadsheets/d/1xmPlrr1QbdSIKvl1dWUl9K4PjAfSL9oeMr_37QVzcxc/edit?usp=sharing"",""สระบุรี!Q289"")+IMPORTRANGE(""https://docs.google.com/spreadsheets/d/1j51vR6CYVGhABJpv6tkstgok82RLpXieLzW1yOY5rHw/edi"&amp;"t?usp=sharing"",""สิงห์บุรี!Q289"")+IMPORTRANGE(""https://docs.google.com/spreadsheets/d/1H1EalTWKUSzO4Z1-1CwzoDUaVffgrThEBe2sl74kKG0/edit?usp=sharing"",""สุพรรณบุรี!Q289"")+IMPORTRANGE(""https://docs.google.com/spreadsheets/d/1BmIruG_sIrJLYao_Pdr7zVArWsf"&amp;"oBt2692TMi6x_854/edit?usp=sharing"",""อ่างทอง!Q289"")"),0)</f>
        <v>0</v>
      </c>
      <c r="R290" s="77">
        <f ca="1">IFERROR(__xludf.DUMMYFUNCTION("IMPORTRANGE(""https://docs.google.com/spreadsheets/d/13wPX838HrBrQMCywv1BsuMkt4PEKTChp52zj44s2izQ/edit?usp=sharing"",""กาญจนบุรี!R289"")+IMPORTRANGE(""https://docs.google.com/spreadsheets/d/1ddFKvqj1W1NEiWytbGlB1zMx_ykJDVtmfEQ-6-lIUBA/edit?usp=sharing"","&amp;"""จันทบุรี!R289"")+IMPORTRANGE(""https://docs.google.com/spreadsheets/d/1T1PQvRODqOBZk8BRht_U031fIS1beLA0Ub2CEytj2q0/edit?usp=sharing"",""ฉะเชิงเทรา!R289"")+IMPORTRANGE(""https://docs.google.com/spreadsheets/d/11tr1B-Bhyr79v2bkwVh5h_fR-PStkgjlZtkrZpYurG0/"&amp;"edit?usp=sharing"",""ชลบุรี!R289"")+IMPORTRANGE(""https://docs.google.com/spreadsheets/d/1hh-FVnSX0vozXhGluamEcS54Dw9_zqW0N7qJUWgJ0Sw/edit?usp=sharing"",""ชัยนาท!R289"")+IMPORTRANGE(""https://docs.google.com/spreadsheets/d/1jkqa6GXxSacMcY1eN8AHjMNJ_7dDXMJ"&amp;"VRLDlaFSOdPM/edit?usp=sharing"",""ตราด!R289"")+IMPORTRANGE(""https://docs.google.com/spreadsheets/d/18hSgUJ3VwClqi_qtULmmW3cLr0oe3OKaSYoKzdpTsYQ/edit?usp=sharing"",""นครนายก!R289"")+IMPORTRANGE(""https://docs.google.com/spreadsheets/d/1YTZo6WM2dQ6Ix6FSdnL"&amp;"5P7uVnVKu40sxZu975tgG10E/edit?usp=sharing"",""นครปฐม!R289"")+IMPORTRANGE(""https://docs.google.com/spreadsheets/d/1OYoGg4WDg5RIzwGeB10padOxJF9E_Vljuvvct_M7RDo/edit?usp=sharing"",""ปทุมธานี!R289"")+IMPORTRANGE(""https://docs.google.com/spreadsheets/d/1GbCI"&amp;"E4D4wk9FUozzqk7SxfDMxDVBwVmI5zcaVUSzKAc/edit?usp=sharing"",""ประจวบคีรีขันธ์!R289"")+IMPORTRANGE(""https://docs.google.com/spreadsheets/d/1vVf6wykvW_lAyu7Yo9L4hUTqHqIeP_qcVuxCtosJEbg/edit?usp=sharing"",""ปราจีนบุรี!R289"")+IMPORTRANGE(""https://docs.googl"&amp;"e.com/spreadsheets/d/1BIDqLLg5jk3v59G8NlR8rk5xfQDKne0sAvZHSj7TI6I/edit?usp=sharing"",""พระนครศรีอยุธยา!R289"")+IMPORTRANGE(""https://docs.google.com/spreadsheets/d/1YXvxf8Yu6_rV4hTBrwMqAcAnv6DfhUxh5emyM3CJp_w/edit?usp=sharing"",""เพชรบุรี!R289"")+IMPORTRA"&amp;"NGE(""https://docs.google.com/spreadsheets/d/19KBlQQs7uwvsao6t2n-KvW3Ax8J8uRRfZPq1zPbXgKc/edit?usp=sharing"",""ระยอง!R289"")+IMPORTRANGE(""https://docs.google.com/spreadsheets/d/1jQ6P4QcrGM89YfqcC_PxOHGCMq5ezhucwJd8ci-NHng/edit?usp=sharing"",""ราชบุรี!R28"&amp;"9"")+IMPORTRANGE(""https://docs.google.com/spreadsheets/d/1lufeA2cfFqM-elVq2hznhDzC6Pr7wkJ9ZG_sYNGCMCU/edit?usp=sharing"",""ลพบุรี!R289"")+IMPORTRANGE(""https://docs.google.com/spreadsheets/d/10oOiF7loTyfsTkbd4MpaIm0HQ9SwB7IYHdIUvt-U1Uc/edit?usp=sharing"""&amp;",""สระแก้ว!R289"")+IMPORTRANGE(""https://docs.google.com/spreadsheets/d/1xmPlrr1QbdSIKvl1dWUl9K4PjAfSL9oeMr_37QVzcxc/edit?usp=sharing"",""สระบุรี!R289"")+IMPORTRANGE(""https://docs.google.com/spreadsheets/d/1j51vR6CYVGhABJpv6tkstgok82RLpXieLzW1yOY5rHw/edi"&amp;"t?usp=sharing"",""สิงห์บุรี!R289"")+IMPORTRANGE(""https://docs.google.com/spreadsheets/d/1H1EalTWKUSzO4Z1-1CwzoDUaVffgrThEBe2sl74kKG0/edit?usp=sharing"",""สุพรรณบุรี!R289"")+IMPORTRANGE(""https://docs.google.com/spreadsheets/d/1BmIruG_sIrJLYao_Pdr7zVArWsf"&amp;"oBt2692TMi6x_854/edit?usp=sharing"",""อ่างทอง!R289"")"),0)</f>
        <v>0</v>
      </c>
      <c r="S290" s="77">
        <f ca="1">IFERROR(__xludf.DUMMYFUNCTION("IMPORTRANGE(""https://docs.google.com/spreadsheets/d/13wPX838HrBrQMCywv1BsuMkt4PEKTChp52zj44s2izQ/edit?usp=sharing"",""กาญจนบุรี!S289"")+IMPORTRANGE(""https://docs.google.com/spreadsheets/d/1ddFKvqj1W1NEiWytbGlB1zMx_ykJDVtmfEQ-6-lIUBA/edit?usp=sharing"","&amp;"""จันทบุรี!S289"")+IMPORTRANGE(""https://docs.google.com/spreadsheets/d/1T1PQvRODqOBZk8BRht_U031fIS1beLA0Ub2CEytj2q0/edit?usp=sharing"",""ฉะเชิงเทรา!S289"")+IMPORTRANGE(""https://docs.google.com/spreadsheets/d/11tr1B-Bhyr79v2bkwVh5h_fR-PStkgjlZtkrZpYurG0/"&amp;"edit?usp=sharing"",""ชลบุรี!S289"")+IMPORTRANGE(""https://docs.google.com/spreadsheets/d/1hh-FVnSX0vozXhGluamEcS54Dw9_zqW0N7qJUWgJ0Sw/edit?usp=sharing"",""ชัยนาท!S289"")+IMPORTRANGE(""https://docs.google.com/spreadsheets/d/1jkqa6GXxSacMcY1eN8AHjMNJ_7dDXMJ"&amp;"VRLDlaFSOdPM/edit?usp=sharing"",""ตราด!S289"")+IMPORTRANGE(""https://docs.google.com/spreadsheets/d/18hSgUJ3VwClqi_qtULmmW3cLr0oe3OKaSYoKzdpTsYQ/edit?usp=sharing"",""นครนายก!S289"")+IMPORTRANGE(""https://docs.google.com/spreadsheets/d/1YTZo6WM2dQ6Ix6FSdnL"&amp;"5P7uVnVKu40sxZu975tgG10E/edit?usp=sharing"",""นครปฐม!S289"")+IMPORTRANGE(""https://docs.google.com/spreadsheets/d/1OYoGg4WDg5RIzwGeB10padOxJF9E_Vljuvvct_M7RDo/edit?usp=sharing"",""ปทุมธานี!S289"")+IMPORTRANGE(""https://docs.google.com/spreadsheets/d/1GbCI"&amp;"E4D4wk9FUozzqk7SxfDMxDVBwVmI5zcaVUSzKAc/edit?usp=sharing"",""ประจวบคีรีขันธ์!S289"")+IMPORTRANGE(""https://docs.google.com/spreadsheets/d/1vVf6wykvW_lAyu7Yo9L4hUTqHqIeP_qcVuxCtosJEbg/edit?usp=sharing"",""ปราจีนบุรี!S289"")+IMPORTRANGE(""https://docs.googl"&amp;"e.com/spreadsheets/d/1BIDqLLg5jk3v59G8NlR8rk5xfQDKne0sAvZHSj7TI6I/edit?usp=sharing"",""พระนครศรีอยุธยา!S289"")+IMPORTRANGE(""https://docs.google.com/spreadsheets/d/1YXvxf8Yu6_rV4hTBrwMqAcAnv6DfhUxh5emyM3CJp_w/edit?usp=sharing"",""เพชรบุรี!S289"")+IMPORTRA"&amp;"NGE(""https://docs.google.com/spreadsheets/d/19KBlQQs7uwvsao6t2n-KvW3Ax8J8uRRfZPq1zPbXgKc/edit?usp=sharing"",""ระยอง!S289"")+IMPORTRANGE(""https://docs.google.com/spreadsheets/d/1jQ6P4QcrGM89YfqcC_PxOHGCMq5ezhucwJd8ci-NHng/edit?usp=sharing"",""ราชบุรี!S28"&amp;"9"")+IMPORTRANGE(""https://docs.google.com/spreadsheets/d/1lufeA2cfFqM-elVq2hznhDzC6Pr7wkJ9ZG_sYNGCMCU/edit?usp=sharing"",""ลพบุรี!S289"")+IMPORTRANGE(""https://docs.google.com/spreadsheets/d/10oOiF7loTyfsTkbd4MpaIm0HQ9SwB7IYHdIUvt-U1Uc/edit?usp=sharing"""&amp;",""สระแก้ว!S289"")+IMPORTRANGE(""https://docs.google.com/spreadsheets/d/1xmPlrr1QbdSIKvl1dWUl9K4PjAfSL9oeMr_37QVzcxc/edit?usp=sharing"",""สระบุรี!S289"")+IMPORTRANGE(""https://docs.google.com/spreadsheets/d/1j51vR6CYVGhABJpv6tkstgok82RLpXieLzW1yOY5rHw/edi"&amp;"t?usp=sharing"",""สิงห์บุรี!S289"")+IMPORTRANGE(""https://docs.google.com/spreadsheets/d/1H1EalTWKUSzO4Z1-1CwzoDUaVffgrThEBe2sl74kKG0/edit?usp=sharing"",""สุพรรณบุรี!S289"")+IMPORTRANGE(""https://docs.google.com/spreadsheets/d/1BmIruG_sIrJLYao_Pdr7zVArWsf"&amp;"oBt2692TMi6x_854/edit?usp=sharing"",""อ่างทอง!S289"")"),0)</f>
        <v>0</v>
      </c>
      <c r="T290" s="133">
        <f t="shared" ca="1" si="201"/>
        <v>0</v>
      </c>
      <c r="U290" s="133">
        <f t="shared" ca="1" si="202"/>
        <v>0</v>
      </c>
    </row>
    <row r="291" spans="1:21" ht="18.75" x14ac:dyDescent="0.25">
      <c r="A291" s="209"/>
      <c r="B291" s="67"/>
      <c r="C291" s="67"/>
      <c r="D291" s="67"/>
      <c r="E291" s="75" t="s">
        <v>21</v>
      </c>
      <c r="F291" s="67"/>
      <c r="G291" s="69"/>
      <c r="H291" s="221" t="s">
        <v>14</v>
      </c>
      <c r="I291" s="219"/>
      <c r="J291" s="219"/>
      <c r="K291" s="220"/>
      <c r="L291" s="88">
        <f ca="1">IFERROR(__xludf.DUMMYFUNCTION("IMPORTRANGE(""https://docs.google.com/spreadsheets/d/13wPX838HrBrQMCywv1BsuMkt4PEKTChp52zj44s2izQ/edit?usp=sharing"",""กาญจนบุรี!L290"")+IMPORTRANGE(""https://docs.google.com/spreadsheets/d/1ddFKvqj1W1NEiWytbGlB1zMx_ykJDVtmfEQ-6-lIUBA/edit?usp=sharing"","&amp;"""จันทบุรี!L290"")+IMPORTRANGE(""https://docs.google.com/spreadsheets/d/1T1PQvRODqOBZk8BRht_U031fIS1beLA0Ub2CEytj2q0/edit?usp=sharing"",""ฉะเชิงเทรา!L290"")+IMPORTRANGE(""https://docs.google.com/spreadsheets/d/11tr1B-Bhyr79v2bkwVh5h_fR-PStkgjlZtkrZpYurG0/"&amp;"edit?usp=sharing"",""ชลบุรี!L290"")+IMPORTRANGE(""https://docs.google.com/spreadsheets/d/1hh-FVnSX0vozXhGluamEcS54Dw9_zqW0N7qJUWgJ0Sw/edit?usp=sharing"",""ชัยนาท!L290"")+IMPORTRANGE(""https://docs.google.com/spreadsheets/d/1jkqa6GXxSacMcY1eN8AHjMNJ_7dDXMJ"&amp;"VRLDlaFSOdPM/edit?usp=sharing"",""ตราด!L290"")+IMPORTRANGE(""https://docs.google.com/spreadsheets/d/18hSgUJ3VwClqi_qtULmmW3cLr0oe3OKaSYoKzdpTsYQ/edit?usp=sharing"",""นครนายก!L290"")+IMPORTRANGE(""https://docs.google.com/spreadsheets/d/1YTZo6WM2dQ6Ix6FSdnL"&amp;"5P7uVnVKu40sxZu975tgG10E/edit?usp=sharing"",""นครปฐม!L290"")+IMPORTRANGE(""https://docs.google.com/spreadsheets/d/1OYoGg4WDg5RIzwGeB10padOxJF9E_Vljuvvct_M7RDo/edit?usp=sharing"",""ปทุมธานี!L290"")+IMPORTRANGE(""https://docs.google.com/spreadsheets/d/1GbCI"&amp;"E4D4wk9FUozzqk7SxfDMxDVBwVmI5zcaVUSzKAc/edit?usp=sharing"",""ประจวบคีรีขันธ์!L290"")+IMPORTRANGE(""https://docs.google.com/spreadsheets/d/1vVf6wykvW_lAyu7Yo9L4hUTqHqIeP_qcVuxCtosJEbg/edit?usp=sharing"",""ปราจีนบุรี!L290"")+IMPORTRANGE(""https://docs.googl"&amp;"e.com/spreadsheets/d/1BIDqLLg5jk3v59G8NlR8rk5xfQDKne0sAvZHSj7TI6I/edit?usp=sharing"",""พระนครศรีอยุธยา!L290"")+IMPORTRANGE(""https://docs.google.com/spreadsheets/d/1YXvxf8Yu6_rV4hTBrwMqAcAnv6DfhUxh5emyM3CJp_w/edit?usp=sharing"",""เพชรบุรี!L290"")+IMPORTRA"&amp;"NGE(""https://docs.google.com/spreadsheets/d/19KBlQQs7uwvsao6t2n-KvW3Ax8J8uRRfZPq1zPbXgKc/edit?usp=sharing"",""ระยอง!L290"")+IMPORTRANGE(""https://docs.google.com/spreadsheets/d/1jQ6P4QcrGM89YfqcC_PxOHGCMq5ezhucwJd8ci-NHng/edit?usp=sharing"",""ราชบุรี!L29"&amp;"0"")+IMPORTRANGE(""https://docs.google.com/spreadsheets/d/1lufeA2cfFqM-elVq2hznhDzC6Pr7wkJ9ZG_sYNGCMCU/edit?usp=sharing"",""ลพบุรี!L290"")+IMPORTRANGE(""https://docs.google.com/spreadsheets/d/10oOiF7loTyfsTkbd4MpaIm0HQ9SwB7IYHdIUvt-U1Uc/edit?usp=sharing"""&amp;",""สระแก้ว!L290"")+IMPORTRANGE(""https://docs.google.com/spreadsheets/d/1xmPlrr1QbdSIKvl1dWUl9K4PjAfSL9oeMr_37QVzcxc/edit?usp=sharing"",""สระบุรี!L290"")+IMPORTRANGE(""https://docs.google.com/spreadsheets/d/1j51vR6CYVGhABJpv6tkstgok82RLpXieLzW1yOY5rHw/edi"&amp;"t?usp=sharing"",""สิงห์บุรี!L290"")+IMPORTRANGE(""https://docs.google.com/spreadsheets/d/1H1EalTWKUSzO4Z1-1CwzoDUaVffgrThEBe2sl74kKG0/edit?usp=sharing"",""สุพรรณบุรี!L290"")+IMPORTRANGE(""https://docs.google.com/spreadsheets/d/1BmIruG_sIrJLYao_Pdr7zVArWsf"&amp;"oBt2692TMi6x_854/edit?usp=sharing"",""อ่างทอง!L290"")"),0)</f>
        <v>0</v>
      </c>
      <c r="M291" s="88">
        <f ca="1">IFERROR(__xludf.DUMMYFUNCTION("IMPORTRANGE(""https://docs.google.com/spreadsheets/d/13wPX838HrBrQMCywv1BsuMkt4PEKTChp52zj44s2izQ/edit?usp=sharing"",""กาญจนบุรี!M290"")+IMPORTRANGE(""https://docs.google.com/spreadsheets/d/1ddFKvqj1W1NEiWytbGlB1zMx_ykJDVtmfEQ-6-lIUBA/edit?usp=sharing"","&amp;"""จันทบุรี!M290"")+IMPORTRANGE(""https://docs.google.com/spreadsheets/d/1T1PQvRODqOBZk8BRht_U031fIS1beLA0Ub2CEytj2q0/edit?usp=sharing"",""ฉะเชิงเทรา!M290"")+IMPORTRANGE(""https://docs.google.com/spreadsheets/d/11tr1B-Bhyr79v2bkwVh5h_fR-PStkgjlZtkrZpYurG0/"&amp;"edit?usp=sharing"",""ชลบุรี!M290"")+IMPORTRANGE(""https://docs.google.com/spreadsheets/d/1hh-FVnSX0vozXhGluamEcS54Dw9_zqW0N7qJUWgJ0Sw/edit?usp=sharing"",""ชัยนาท!M290"")+IMPORTRANGE(""https://docs.google.com/spreadsheets/d/1jkqa6GXxSacMcY1eN8AHjMNJ_7dDXMJ"&amp;"VRLDlaFSOdPM/edit?usp=sharing"",""ตราด!M290"")+IMPORTRANGE(""https://docs.google.com/spreadsheets/d/18hSgUJ3VwClqi_qtULmmW3cLr0oe3OKaSYoKzdpTsYQ/edit?usp=sharing"",""นครนายก!M290"")+IMPORTRANGE(""https://docs.google.com/spreadsheets/d/1YTZo6WM2dQ6Ix6FSdnL"&amp;"5P7uVnVKu40sxZu975tgG10E/edit?usp=sharing"",""นครปฐม!M290"")+IMPORTRANGE(""https://docs.google.com/spreadsheets/d/1OYoGg4WDg5RIzwGeB10padOxJF9E_Vljuvvct_M7RDo/edit?usp=sharing"",""ปทุมธานี!M290"")+IMPORTRANGE(""https://docs.google.com/spreadsheets/d/1GbCI"&amp;"E4D4wk9FUozzqk7SxfDMxDVBwVmI5zcaVUSzKAc/edit?usp=sharing"",""ประจวบคีรีขันธ์!M290"")+IMPORTRANGE(""https://docs.google.com/spreadsheets/d/1vVf6wykvW_lAyu7Yo9L4hUTqHqIeP_qcVuxCtosJEbg/edit?usp=sharing"",""ปราจีนบุรี!M290"")+IMPORTRANGE(""https://docs.googl"&amp;"e.com/spreadsheets/d/1BIDqLLg5jk3v59G8NlR8rk5xfQDKne0sAvZHSj7TI6I/edit?usp=sharing"",""พระนครศรีอยุธยา!M290"")+IMPORTRANGE(""https://docs.google.com/spreadsheets/d/1YXvxf8Yu6_rV4hTBrwMqAcAnv6DfhUxh5emyM3CJp_w/edit?usp=sharing"",""เพชรบุรี!M290"")+IMPORTRA"&amp;"NGE(""https://docs.google.com/spreadsheets/d/19KBlQQs7uwvsao6t2n-KvW3Ax8J8uRRfZPq1zPbXgKc/edit?usp=sharing"",""ระยอง!M290"")+IMPORTRANGE(""https://docs.google.com/spreadsheets/d/1jQ6P4QcrGM89YfqcC_PxOHGCMq5ezhucwJd8ci-NHng/edit?usp=sharing"",""ราชบุรี!M29"&amp;"0"")+IMPORTRANGE(""https://docs.google.com/spreadsheets/d/1lufeA2cfFqM-elVq2hznhDzC6Pr7wkJ9ZG_sYNGCMCU/edit?usp=sharing"",""ลพบุรี!M290"")+IMPORTRANGE(""https://docs.google.com/spreadsheets/d/10oOiF7loTyfsTkbd4MpaIm0HQ9SwB7IYHdIUvt-U1Uc/edit?usp=sharing"""&amp;",""สระแก้ว!M290"")+IMPORTRANGE(""https://docs.google.com/spreadsheets/d/1xmPlrr1QbdSIKvl1dWUl9K4PjAfSL9oeMr_37QVzcxc/edit?usp=sharing"",""สระบุรี!M290"")+IMPORTRANGE(""https://docs.google.com/spreadsheets/d/1j51vR6CYVGhABJpv6tkstgok82RLpXieLzW1yOY5rHw/edi"&amp;"t?usp=sharing"",""สิงห์บุรี!M290"")+IMPORTRANGE(""https://docs.google.com/spreadsheets/d/1H1EalTWKUSzO4Z1-1CwzoDUaVffgrThEBe2sl74kKG0/edit?usp=sharing"",""สุพรรณบุรี!M290"")+IMPORTRANGE(""https://docs.google.com/spreadsheets/d/1BmIruG_sIrJLYao_Pdr7zVArWsf"&amp;"oBt2692TMi6x_854/edit?usp=sharing"",""อ่างทอง!M290"")"),0)</f>
        <v>0</v>
      </c>
      <c r="N291" s="88">
        <f ca="1">IFERROR(__xludf.DUMMYFUNCTION("IMPORTRANGE(""https://docs.google.com/spreadsheets/d/13wPX838HrBrQMCywv1BsuMkt4PEKTChp52zj44s2izQ/edit?usp=sharing"",""กาญจนบุรี!N290"")+IMPORTRANGE(""https://docs.google.com/spreadsheets/d/1ddFKvqj1W1NEiWytbGlB1zMx_ykJDVtmfEQ-6-lIUBA/edit?usp=sharing"","&amp;"""จันทบุรี!N290"")+IMPORTRANGE(""https://docs.google.com/spreadsheets/d/1T1PQvRODqOBZk8BRht_U031fIS1beLA0Ub2CEytj2q0/edit?usp=sharing"",""ฉะเชิงเทรา!N290"")+IMPORTRANGE(""https://docs.google.com/spreadsheets/d/11tr1B-Bhyr79v2bkwVh5h_fR-PStkgjlZtkrZpYurG0/"&amp;"edit?usp=sharing"",""ชลบุรี!N290"")+IMPORTRANGE(""https://docs.google.com/spreadsheets/d/1hh-FVnSX0vozXhGluamEcS54Dw9_zqW0N7qJUWgJ0Sw/edit?usp=sharing"",""ชัยนาท!N290"")+IMPORTRANGE(""https://docs.google.com/spreadsheets/d/1jkqa6GXxSacMcY1eN8AHjMNJ_7dDXMJ"&amp;"VRLDlaFSOdPM/edit?usp=sharing"",""ตราด!N290"")+IMPORTRANGE(""https://docs.google.com/spreadsheets/d/18hSgUJ3VwClqi_qtULmmW3cLr0oe3OKaSYoKzdpTsYQ/edit?usp=sharing"",""นครนายก!N290"")+IMPORTRANGE(""https://docs.google.com/spreadsheets/d/1YTZo6WM2dQ6Ix6FSdnL"&amp;"5P7uVnVKu40sxZu975tgG10E/edit?usp=sharing"",""นครปฐม!N290"")+IMPORTRANGE(""https://docs.google.com/spreadsheets/d/1OYoGg4WDg5RIzwGeB10padOxJF9E_Vljuvvct_M7RDo/edit?usp=sharing"",""ปทุมธานี!N290"")+IMPORTRANGE(""https://docs.google.com/spreadsheets/d/1GbCI"&amp;"E4D4wk9FUozzqk7SxfDMxDVBwVmI5zcaVUSzKAc/edit?usp=sharing"",""ประจวบคีรีขันธ์!N290"")+IMPORTRANGE(""https://docs.google.com/spreadsheets/d/1vVf6wykvW_lAyu7Yo9L4hUTqHqIeP_qcVuxCtosJEbg/edit?usp=sharing"",""ปราจีนบุรี!N290"")+IMPORTRANGE(""https://docs.googl"&amp;"e.com/spreadsheets/d/1BIDqLLg5jk3v59G8NlR8rk5xfQDKne0sAvZHSj7TI6I/edit?usp=sharing"",""พระนครศรีอยุธยา!N290"")+IMPORTRANGE(""https://docs.google.com/spreadsheets/d/1YXvxf8Yu6_rV4hTBrwMqAcAnv6DfhUxh5emyM3CJp_w/edit?usp=sharing"",""เพชรบุรี!N290"")+IMPORTRA"&amp;"NGE(""https://docs.google.com/spreadsheets/d/19KBlQQs7uwvsao6t2n-KvW3Ax8J8uRRfZPq1zPbXgKc/edit?usp=sharing"",""ระยอง!N290"")+IMPORTRANGE(""https://docs.google.com/spreadsheets/d/1jQ6P4QcrGM89YfqcC_PxOHGCMq5ezhucwJd8ci-NHng/edit?usp=sharing"",""ราชบุรี!N29"&amp;"0"")+IMPORTRANGE(""https://docs.google.com/spreadsheets/d/1lufeA2cfFqM-elVq2hznhDzC6Pr7wkJ9ZG_sYNGCMCU/edit?usp=sharing"",""ลพบุรี!N290"")+IMPORTRANGE(""https://docs.google.com/spreadsheets/d/10oOiF7loTyfsTkbd4MpaIm0HQ9SwB7IYHdIUvt-U1Uc/edit?usp=sharing"""&amp;",""สระแก้ว!N290"")+IMPORTRANGE(""https://docs.google.com/spreadsheets/d/1xmPlrr1QbdSIKvl1dWUl9K4PjAfSL9oeMr_37QVzcxc/edit?usp=sharing"",""สระบุรี!N290"")+IMPORTRANGE(""https://docs.google.com/spreadsheets/d/1j51vR6CYVGhABJpv6tkstgok82RLpXieLzW1yOY5rHw/edi"&amp;"t?usp=sharing"",""สิงห์บุรี!N290"")+IMPORTRANGE(""https://docs.google.com/spreadsheets/d/1H1EalTWKUSzO4Z1-1CwzoDUaVffgrThEBe2sl74kKG0/edit?usp=sharing"",""สุพรรณบุรี!N290"")+IMPORTRANGE(""https://docs.google.com/spreadsheets/d/1BmIruG_sIrJLYao_Pdr7zVArWsf"&amp;"oBt2692TMi6x_854/edit?usp=sharing"",""อ่างทอง!N290"")"),0)</f>
        <v>0</v>
      </c>
      <c r="O291" s="88">
        <f t="shared" ca="1" si="198"/>
        <v>0</v>
      </c>
      <c r="P291" s="88">
        <f t="shared" ca="1" si="199"/>
        <v>0</v>
      </c>
      <c r="Q291" s="73">
        <f ca="1">IFERROR(__xludf.DUMMYFUNCTION("IMPORTRANGE(""https://docs.google.com/spreadsheets/d/13wPX838HrBrQMCywv1BsuMkt4PEKTChp52zj44s2izQ/edit?usp=sharing"",""กาญจนบุรี!Q290"")+IMPORTRANGE(""https://docs.google.com/spreadsheets/d/1ddFKvqj1W1NEiWytbGlB1zMx_ykJDVtmfEQ-6-lIUBA/edit?usp=sharing"","&amp;"""จันทบุรี!Q290"")+IMPORTRANGE(""https://docs.google.com/spreadsheets/d/1T1PQvRODqOBZk8BRht_U031fIS1beLA0Ub2CEytj2q0/edit?usp=sharing"",""ฉะเชิงเทรา!Q290"")+IMPORTRANGE(""https://docs.google.com/spreadsheets/d/11tr1B-Bhyr79v2bkwVh5h_fR-PStkgjlZtkrZpYurG0/"&amp;"edit?usp=sharing"",""ชลบุรี!Q290"")+IMPORTRANGE(""https://docs.google.com/spreadsheets/d/1hh-FVnSX0vozXhGluamEcS54Dw9_zqW0N7qJUWgJ0Sw/edit?usp=sharing"",""ชัยนาท!Q290"")+IMPORTRANGE(""https://docs.google.com/spreadsheets/d/1jkqa6GXxSacMcY1eN8AHjMNJ_7dDXMJ"&amp;"VRLDlaFSOdPM/edit?usp=sharing"",""ตราด!Q290"")+IMPORTRANGE(""https://docs.google.com/spreadsheets/d/18hSgUJ3VwClqi_qtULmmW3cLr0oe3OKaSYoKzdpTsYQ/edit?usp=sharing"",""นครนายก!Q290"")+IMPORTRANGE(""https://docs.google.com/spreadsheets/d/1YTZo6WM2dQ6Ix6FSdnL"&amp;"5P7uVnVKu40sxZu975tgG10E/edit?usp=sharing"",""นครปฐม!Q290"")+IMPORTRANGE(""https://docs.google.com/spreadsheets/d/1OYoGg4WDg5RIzwGeB10padOxJF9E_Vljuvvct_M7RDo/edit?usp=sharing"",""ปทุมธานี!Q290"")+IMPORTRANGE(""https://docs.google.com/spreadsheets/d/1GbCI"&amp;"E4D4wk9FUozzqk7SxfDMxDVBwVmI5zcaVUSzKAc/edit?usp=sharing"",""ประจวบคีรีขันธ์!Q290"")+IMPORTRANGE(""https://docs.google.com/spreadsheets/d/1vVf6wykvW_lAyu7Yo9L4hUTqHqIeP_qcVuxCtosJEbg/edit?usp=sharing"",""ปราจีนบุรี!Q290"")+IMPORTRANGE(""https://docs.googl"&amp;"e.com/spreadsheets/d/1BIDqLLg5jk3v59G8NlR8rk5xfQDKne0sAvZHSj7TI6I/edit?usp=sharing"",""พระนครศรีอยุธยา!Q290"")+IMPORTRANGE(""https://docs.google.com/spreadsheets/d/1YXvxf8Yu6_rV4hTBrwMqAcAnv6DfhUxh5emyM3CJp_w/edit?usp=sharing"",""เพชรบุรี!Q290"")+IMPORTRA"&amp;"NGE(""https://docs.google.com/spreadsheets/d/19KBlQQs7uwvsao6t2n-KvW3Ax8J8uRRfZPq1zPbXgKc/edit?usp=sharing"",""ระยอง!Q290"")+IMPORTRANGE(""https://docs.google.com/spreadsheets/d/1jQ6P4QcrGM89YfqcC_PxOHGCMq5ezhucwJd8ci-NHng/edit?usp=sharing"",""ราชบุรี!Q29"&amp;"0"")+IMPORTRANGE(""https://docs.google.com/spreadsheets/d/1lufeA2cfFqM-elVq2hznhDzC6Pr7wkJ9ZG_sYNGCMCU/edit?usp=sharing"",""ลพบุรี!Q290"")+IMPORTRANGE(""https://docs.google.com/spreadsheets/d/10oOiF7loTyfsTkbd4MpaIm0HQ9SwB7IYHdIUvt-U1Uc/edit?usp=sharing"""&amp;",""สระแก้ว!Q290"")+IMPORTRANGE(""https://docs.google.com/spreadsheets/d/1xmPlrr1QbdSIKvl1dWUl9K4PjAfSL9oeMr_37QVzcxc/edit?usp=sharing"",""สระบุรี!Q290"")+IMPORTRANGE(""https://docs.google.com/spreadsheets/d/1j51vR6CYVGhABJpv6tkstgok82RLpXieLzW1yOY5rHw/edi"&amp;"t?usp=sharing"",""สิงห์บุรี!Q290"")+IMPORTRANGE(""https://docs.google.com/spreadsheets/d/1H1EalTWKUSzO4Z1-1CwzoDUaVffgrThEBe2sl74kKG0/edit?usp=sharing"",""สุพรรณบุรี!Q290"")+IMPORTRANGE(""https://docs.google.com/spreadsheets/d/1BmIruG_sIrJLYao_Pdr7zVArWsf"&amp;"oBt2692TMi6x_854/edit?usp=sharing"",""อ่างทอง!Q290"")"),0)</f>
        <v>0</v>
      </c>
      <c r="R291" s="74">
        <f ca="1">IFERROR(__xludf.DUMMYFUNCTION("IMPORTRANGE(""https://docs.google.com/spreadsheets/d/13wPX838HrBrQMCywv1BsuMkt4PEKTChp52zj44s2izQ/edit?usp=sharing"",""กาญจนบุรี!R290"")+IMPORTRANGE(""https://docs.google.com/spreadsheets/d/1ddFKvqj1W1NEiWytbGlB1zMx_ykJDVtmfEQ-6-lIUBA/edit?usp=sharing"","&amp;"""จันทบุรี!R290"")+IMPORTRANGE(""https://docs.google.com/spreadsheets/d/1T1PQvRODqOBZk8BRht_U031fIS1beLA0Ub2CEytj2q0/edit?usp=sharing"",""ฉะเชิงเทรา!R290"")+IMPORTRANGE(""https://docs.google.com/spreadsheets/d/11tr1B-Bhyr79v2bkwVh5h_fR-PStkgjlZtkrZpYurG0/"&amp;"edit?usp=sharing"",""ชลบุรี!R290"")+IMPORTRANGE(""https://docs.google.com/spreadsheets/d/1hh-FVnSX0vozXhGluamEcS54Dw9_zqW0N7qJUWgJ0Sw/edit?usp=sharing"",""ชัยนาท!R290"")+IMPORTRANGE(""https://docs.google.com/spreadsheets/d/1jkqa6GXxSacMcY1eN8AHjMNJ_7dDXMJ"&amp;"VRLDlaFSOdPM/edit?usp=sharing"",""ตราด!R290"")+IMPORTRANGE(""https://docs.google.com/spreadsheets/d/18hSgUJ3VwClqi_qtULmmW3cLr0oe3OKaSYoKzdpTsYQ/edit?usp=sharing"",""นครนายก!R290"")+IMPORTRANGE(""https://docs.google.com/spreadsheets/d/1YTZo6WM2dQ6Ix6FSdnL"&amp;"5P7uVnVKu40sxZu975tgG10E/edit?usp=sharing"",""นครปฐม!R290"")+IMPORTRANGE(""https://docs.google.com/spreadsheets/d/1OYoGg4WDg5RIzwGeB10padOxJF9E_Vljuvvct_M7RDo/edit?usp=sharing"",""ปทุมธานี!R290"")+IMPORTRANGE(""https://docs.google.com/spreadsheets/d/1GbCI"&amp;"E4D4wk9FUozzqk7SxfDMxDVBwVmI5zcaVUSzKAc/edit?usp=sharing"",""ประจวบคีรีขันธ์!R290"")+IMPORTRANGE(""https://docs.google.com/spreadsheets/d/1vVf6wykvW_lAyu7Yo9L4hUTqHqIeP_qcVuxCtosJEbg/edit?usp=sharing"",""ปราจีนบุรี!R290"")+IMPORTRANGE(""https://docs.googl"&amp;"e.com/spreadsheets/d/1BIDqLLg5jk3v59G8NlR8rk5xfQDKne0sAvZHSj7TI6I/edit?usp=sharing"",""พระนครศรีอยุธยา!R290"")+IMPORTRANGE(""https://docs.google.com/spreadsheets/d/1YXvxf8Yu6_rV4hTBrwMqAcAnv6DfhUxh5emyM3CJp_w/edit?usp=sharing"",""เพชรบุรี!R290"")+IMPORTRA"&amp;"NGE(""https://docs.google.com/spreadsheets/d/19KBlQQs7uwvsao6t2n-KvW3Ax8J8uRRfZPq1zPbXgKc/edit?usp=sharing"",""ระยอง!R290"")+IMPORTRANGE(""https://docs.google.com/spreadsheets/d/1jQ6P4QcrGM89YfqcC_PxOHGCMq5ezhucwJd8ci-NHng/edit?usp=sharing"",""ราชบุรี!R29"&amp;"0"")+IMPORTRANGE(""https://docs.google.com/spreadsheets/d/1lufeA2cfFqM-elVq2hznhDzC6Pr7wkJ9ZG_sYNGCMCU/edit?usp=sharing"",""ลพบุรี!R290"")+IMPORTRANGE(""https://docs.google.com/spreadsheets/d/10oOiF7loTyfsTkbd4MpaIm0HQ9SwB7IYHdIUvt-U1Uc/edit?usp=sharing"""&amp;",""สระแก้ว!R290"")+IMPORTRANGE(""https://docs.google.com/spreadsheets/d/1xmPlrr1QbdSIKvl1dWUl9K4PjAfSL9oeMr_37QVzcxc/edit?usp=sharing"",""สระบุรี!R290"")+IMPORTRANGE(""https://docs.google.com/spreadsheets/d/1j51vR6CYVGhABJpv6tkstgok82RLpXieLzW1yOY5rHw/edi"&amp;"t?usp=sharing"",""สิงห์บุรี!R290"")+IMPORTRANGE(""https://docs.google.com/spreadsheets/d/1H1EalTWKUSzO4Z1-1CwzoDUaVffgrThEBe2sl74kKG0/edit?usp=sharing"",""สุพรรณบุรี!R290"")+IMPORTRANGE(""https://docs.google.com/spreadsheets/d/1BmIruG_sIrJLYao_Pdr7zVArWsf"&amp;"oBt2692TMi6x_854/edit?usp=sharing"",""อ่างทอง!R290"")"),0)</f>
        <v>0</v>
      </c>
      <c r="S291" s="74">
        <f ca="1">IFERROR(__xludf.DUMMYFUNCTION("IMPORTRANGE(""https://docs.google.com/spreadsheets/d/13wPX838HrBrQMCywv1BsuMkt4PEKTChp52zj44s2izQ/edit?usp=sharing"",""กาญจนบุรี!S290"")+IMPORTRANGE(""https://docs.google.com/spreadsheets/d/1ddFKvqj1W1NEiWytbGlB1zMx_ykJDVtmfEQ-6-lIUBA/edit?usp=sharing"","&amp;"""จันทบุรี!S290"")+IMPORTRANGE(""https://docs.google.com/spreadsheets/d/1T1PQvRODqOBZk8BRht_U031fIS1beLA0Ub2CEytj2q0/edit?usp=sharing"",""ฉะเชิงเทรา!S290"")+IMPORTRANGE(""https://docs.google.com/spreadsheets/d/11tr1B-Bhyr79v2bkwVh5h_fR-PStkgjlZtkrZpYurG0/"&amp;"edit?usp=sharing"",""ชลบุรี!S290"")+IMPORTRANGE(""https://docs.google.com/spreadsheets/d/1hh-FVnSX0vozXhGluamEcS54Dw9_zqW0N7qJUWgJ0Sw/edit?usp=sharing"",""ชัยนาท!S290"")+IMPORTRANGE(""https://docs.google.com/spreadsheets/d/1jkqa6GXxSacMcY1eN8AHjMNJ_7dDXMJ"&amp;"VRLDlaFSOdPM/edit?usp=sharing"",""ตราด!S290"")+IMPORTRANGE(""https://docs.google.com/spreadsheets/d/18hSgUJ3VwClqi_qtULmmW3cLr0oe3OKaSYoKzdpTsYQ/edit?usp=sharing"",""นครนายก!S290"")+IMPORTRANGE(""https://docs.google.com/spreadsheets/d/1YTZo6WM2dQ6Ix6FSdnL"&amp;"5P7uVnVKu40sxZu975tgG10E/edit?usp=sharing"",""นครปฐม!S290"")+IMPORTRANGE(""https://docs.google.com/spreadsheets/d/1OYoGg4WDg5RIzwGeB10padOxJF9E_Vljuvvct_M7RDo/edit?usp=sharing"",""ปทุมธานี!S290"")+IMPORTRANGE(""https://docs.google.com/spreadsheets/d/1GbCI"&amp;"E4D4wk9FUozzqk7SxfDMxDVBwVmI5zcaVUSzKAc/edit?usp=sharing"",""ประจวบคีรีขันธ์!S290"")+IMPORTRANGE(""https://docs.google.com/spreadsheets/d/1vVf6wykvW_lAyu7Yo9L4hUTqHqIeP_qcVuxCtosJEbg/edit?usp=sharing"",""ปราจีนบุรี!S290"")+IMPORTRANGE(""https://docs.googl"&amp;"e.com/spreadsheets/d/1BIDqLLg5jk3v59G8NlR8rk5xfQDKne0sAvZHSj7TI6I/edit?usp=sharing"",""พระนครศรีอยุธยา!S290"")+IMPORTRANGE(""https://docs.google.com/spreadsheets/d/1YXvxf8Yu6_rV4hTBrwMqAcAnv6DfhUxh5emyM3CJp_w/edit?usp=sharing"",""เพชรบุรี!S290"")+IMPORTRA"&amp;"NGE(""https://docs.google.com/spreadsheets/d/19KBlQQs7uwvsao6t2n-KvW3Ax8J8uRRfZPq1zPbXgKc/edit?usp=sharing"",""ระยอง!S290"")+IMPORTRANGE(""https://docs.google.com/spreadsheets/d/1jQ6P4QcrGM89YfqcC_PxOHGCMq5ezhucwJd8ci-NHng/edit?usp=sharing"",""ราชบุรี!S29"&amp;"0"")+IMPORTRANGE(""https://docs.google.com/spreadsheets/d/1lufeA2cfFqM-elVq2hznhDzC6Pr7wkJ9ZG_sYNGCMCU/edit?usp=sharing"",""ลพบุรี!S290"")+IMPORTRANGE(""https://docs.google.com/spreadsheets/d/10oOiF7loTyfsTkbd4MpaIm0HQ9SwB7IYHdIUvt-U1Uc/edit?usp=sharing"""&amp;",""สระแก้ว!S290"")+IMPORTRANGE(""https://docs.google.com/spreadsheets/d/1xmPlrr1QbdSIKvl1dWUl9K4PjAfSL9oeMr_37QVzcxc/edit?usp=sharing"",""สระบุรี!S290"")+IMPORTRANGE(""https://docs.google.com/spreadsheets/d/1j51vR6CYVGhABJpv6tkstgok82RLpXieLzW1yOY5rHw/edi"&amp;"t?usp=sharing"",""สิงห์บุรี!S290"")+IMPORTRANGE(""https://docs.google.com/spreadsheets/d/1H1EalTWKUSzO4Z1-1CwzoDUaVffgrThEBe2sl74kKG0/edit?usp=sharing"",""สุพรรณบุรี!S290"")+IMPORTRANGE(""https://docs.google.com/spreadsheets/d/1BmIruG_sIrJLYao_Pdr7zVArWsf"&amp;"oBt2692TMi6x_854/edit?usp=sharing"",""อ่างทอง!S290"")"),0)</f>
        <v>0</v>
      </c>
      <c r="T291" s="132">
        <f t="shared" ca="1" si="201"/>
        <v>0</v>
      </c>
      <c r="U291" s="132">
        <f t="shared" ca="1" si="202"/>
        <v>0</v>
      </c>
    </row>
    <row r="292" spans="1:21" ht="19.5" x14ac:dyDescent="0.3">
      <c r="A292" s="222"/>
      <c r="B292" s="223"/>
      <c r="C292" s="210" t="s">
        <v>18</v>
      </c>
      <c r="D292" s="224" t="s">
        <v>38</v>
      </c>
      <c r="E292" s="225"/>
      <c r="F292" s="225"/>
      <c r="G292" s="226"/>
      <c r="H292" s="227"/>
      <c r="I292" s="219"/>
      <c r="J292" s="219"/>
      <c r="K292" s="220"/>
      <c r="L292" s="220"/>
      <c r="M292" s="220"/>
      <c r="N292" s="220"/>
      <c r="O292" s="220"/>
      <c r="P292" s="220"/>
      <c r="Q292" s="228"/>
      <c r="R292" s="229"/>
      <c r="S292" s="229"/>
      <c r="T292" s="229"/>
      <c r="U292" s="229"/>
    </row>
    <row r="293" spans="1:21" ht="18.75" x14ac:dyDescent="0.25">
      <c r="A293" s="222"/>
      <c r="B293" s="223"/>
      <c r="C293" s="223"/>
      <c r="D293" s="395" t="s">
        <v>120</v>
      </c>
      <c r="E293" s="223"/>
      <c r="F293" s="231"/>
      <c r="G293" s="227"/>
      <c r="H293" s="242" t="s">
        <v>46</v>
      </c>
      <c r="I293" s="321">
        <f ca="1">IFERROR(__xludf.DUMMYFUNCTION("IMPORTRANGE(""https://docs.google.com/spreadsheets/d/13wPX838HrBrQMCywv1BsuMkt4PEKTChp52zj44s2izQ/edit?usp=sharing"",""กาญจนบุรี!I292"")+IMPORTRANGE(""https://docs.google.com/spreadsheets/d/1ddFKvqj1W1NEiWytbGlB1zMx_ykJDVtmfEQ-6-lIUBA/edit?usp=sharing"","&amp;"""จันทบุรี!I292"")+IMPORTRANGE(""https://docs.google.com/spreadsheets/d/1T1PQvRODqOBZk8BRht_U031fIS1beLA0Ub2CEytj2q0/edit?usp=sharing"",""ฉะเชิงเทรา!I292"")+IMPORTRANGE(""https://docs.google.com/spreadsheets/d/11tr1B-Bhyr79v2bkwVh5h_fR-PStkgjlZtkrZpYurG0/"&amp;"edit?usp=sharing"",""ชลบุรี!I292"")+IMPORTRANGE(""https://docs.google.com/spreadsheets/d/1hh-FVnSX0vozXhGluamEcS54Dw9_zqW0N7qJUWgJ0Sw/edit?usp=sharing"",""ชัยนาท!I292"")+IMPORTRANGE(""https://docs.google.com/spreadsheets/d/1jkqa6GXxSacMcY1eN8AHjMNJ_7dDXMJ"&amp;"VRLDlaFSOdPM/edit?usp=sharing"",""ตราด!I292"")+IMPORTRANGE(""https://docs.google.com/spreadsheets/d/18hSgUJ3VwClqi_qtULmmW3cLr0oe3OKaSYoKzdpTsYQ/edit?usp=sharing"",""นครนายก!I292"")+IMPORTRANGE(""https://docs.google.com/spreadsheets/d/1YTZo6WM2dQ6Ix6FSdnL"&amp;"5P7uVnVKu40sxZu975tgG10E/edit?usp=sharing"",""นครปฐม!I292"")+IMPORTRANGE(""https://docs.google.com/spreadsheets/d/1OYoGg4WDg5RIzwGeB10padOxJF9E_Vljuvvct_M7RDo/edit?usp=sharing"",""ปทุมธานี!I292"")+IMPORTRANGE(""https://docs.google.com/spreadsheets/d/1GbCI"&amp;"E4D4wk9FUozzqk7SxfDMxDVBwVmI5zcaVUSzKAc/edit?usp=sharing"",""ประจวบคีรีขันธ์!I292"")+IMPORTRANGE(""https://docs.google.com/spreadsheets/d/1vVf6wykvW_lAyu7Yo9L4hUTqHqIeP_qcVuxCtosJEbg/edit?usp=sharing"",""ปราจีนบุรี!I292"")+IMPORTRANGE(""https://docs.googl"&amp;"e.com/spreadsheets/d/1BIDqLLg5jk3v59G8NlR8rk5xfQDKne0sAvZHSj7TI6I/edit?usp=sharing"",""พระนครศรีอยุธยา!I292"")+IMPORTRANGE(""https://docs.google.com/spreadsheets/d/1YXvxf8Yu6_rV4hTBrwMqAcAnv6DfhUxh5emyM3CJp_w/edit?usp=sharing"",""เพชรบุรี!I292"")+IMPORTRA"&amp;"NGE(""https://docs.google.com/spreadsheets/d/19KBlQQs7uwvsao6t2n-KvW3Ax8J8uRRfZPq1zPbXgKc/edit?usp=sharing"",""ระยอง!I292"")+IMPORTRANGE(""https://docs.google.com/spreadsheets/d/1jQ6P4QcrGM89YfqcC_PxOHGCMq5ezhucwJd8ci-NHng/edit?usp=sharing"",""ราชบุรี!I29"&amp;"2"")+IMPORTRANGE(""https://docs.google.com/spreadsheets/d/1lufeA2cfFqM-elVq2hznhDzC6Pr7wkJ9ZG_sYNGCMCU/edit?usp=sharing"",""ลพบุรี!I292"")+IMPORTRANGE(""https://docs.google.com/spreadsheets/d/10oOiF7loTyfsTkbd4MpaIm0HQ9SwB7IYHdIUvt-U1Uc/edit?usp=sharing"""&amp;",""สระแก้ว!I292"")+IMPORTRANGE(""https://docs.google.com/spreadsheets/d/1xmPlrr1QbdSIKvl1dWUl9K4PjAfSL9oeMr_37QVzcxc/edit?usp=sharing"",""สระบุรี!I292"")+IMPORTRANGE(""https://docs.google.com/spreadsheets/d/1j51vR6CYVGhABJpv6tkstgok82RLpXieLzW1yOY5rHw/edi"&amp;"t?usp=sharing"",""สิงห์บุรี!I292"")+IMPORTRANGE(""https://docs.google.com/spreadsheets/d/1H1EalTWKUSzO4Z1-1CwzoDUaVffgrThEBe2sl74kKG0/edit?usp=sharing"",""สุพรรณบุรี!I292"")+IMPORTRANGE(""https://docs.google.com/spreadsheets/d/1BmIruG_sIrJLYao_Pdr7zVArWsf"&amp;"oBt2692TMi6x_854/edit?usp=sharing"",""อ่างทอง!I292"")"),100)</f>
        <v>100</v>
      </c>
      <c r="J293" s="239">
        <f ca="1">IFERROR(__xludf.DUMMYFUNCTION("IMPORTRANGE(""https://docs.google.com/spreadsheets/d/13wPX838HrBrQMCywv1BsuMkt4PEKTChp52zj44s2izQ/edit?usp=sharing"",""กาญจนบุรี!J292"")+IMPORTRANGE(""https://docs.google.com/spreadsheets/d/1ddFKvqj1W1NEiWytbGlB1zMx_ykJDVtmfEQ-6-lIUBA/edit?usp=sharing"","&amp;"""จันทบุรี!J292"")+IMPORTRANGE(""https://docs.google.com/spreadsheets/d/1T1PQvRODqOBZk8BRht_U031fIS1beLA0Ub2CEytj2q0/edit?usp=sharing"",""ฉะเชิงเทรา!J292"")+IMPORTRANGE(""https://docs.google.com/spreadsheets/d/11tr1B-Bhyr79v2bkwVh5h_fR-PStkgjlZtkrZpYurG0/"&amp;"edit?usp=sharing"",""ชลบุรี!J292"")+IMPORTRANGE(""https://docs.google.com/spreadsheets/d/1hh-FVnSX0vozXhGluamEcS54Dw9_zqW0N7qJUWgJ0Sw/edit?usp=sharing"",""ชัยนาท!J292"")+IMPORTRANGE(""https://docs.google.com/spreadsheets/d/1jkqa6GXxSacMcY1eN8AHjMNJ_7dDXMJ"&amp;"VRLDlaFSOdPM/edit?usp=sharing"",""ตราด!J292"")+IMPORTRANGE(""https://docs.google.com/spreadsheets/d/18hSgUJ3VwClqi_qtULmmW3cLr0oe3OKaSYoKzdpTsYQ/edit?usp=sharing"",""นครนายก!J292"")+IMPORTRANGE(""https://docs.google.com/spreadsheets/d/1YTZo6WM2dQ6Ix6FSdnL"&amp;"5P7uVnVKu40sxZu975tgG10E/edit?usp=sharing"",""นครปฐม!J292"")+IMPORTRANGE(""https://docs.google.com/spreadsheets/d/1OYoGg4WDg5RIzwGeB10padOxJF9E_Vljuvvct_M7RDo/edit?usp=sharing"",""ปทุมธานี!J292"")+IMPORTRANGE(""https://docs.google.com/spreadsheets/d/1GbCI"&amp;"E4D4wk9FUozzqk7SxfDMxDVBwVmI5zcaVUSzKAc/edit?usp=sharing"",""ประจวบคีรีขันธ์!J292"")+IMPORTRANGE(""https://docs.google.com/spreadsheets/d/1vVf6wykvW_lAyu7Yo9L4hUTqHqIeP_qcVuxCtosJEbg/edit?usp=sharing"",""ปราจีนบุรี!J292"")+IMPORTRANGE(""https://docs.googl"&amp;"e.com/spreadsheets/d/1BIDqLLg5jk3v59G8NlR8rk5xfQDKne0sAvZHSj7TI6I/edit?usp=sharing"",""พระนครศรีอยุธยา!J292"")+IMPORTRANGE(""https://docs.google.com/spreadsheets/d/1YXvxf8Yu6_rV4hTBrwMqAcAnv6DfhUxh5emyM3CJp_w/edit?usp=sharing"",""เพชรบุรี!J292"")+IMPORTRA"&amp;"NGE(""https://docs.google.com/spreadsheets/d/19KBlQQs7uwvsao6t2n-KvW3Ax8J8uRRfZPq1zPbXgKc/edit?usp=sharing"",""ระยอง!J292"")+IMPORTRANGE(""https://docs.google.com/spreadsheets/d/1jQ6P4QcrGM89YfqcC_PxOHGCMq5ezhucwJd8ci-NHng/edit?usp=sharing"",""ราชบุรี!J29"&amp;"2"")+IMPORTRANGE(""https://docs.google.com/spreadsheets/d/1lufeA2cfFqM-elVq2hznhDzC6Pr7wkJ9ZG_sYNGCMCU/edit?usp=sharing"",""ลพบุรี!J292"")+IMPORTRANGE(""https://docs.google.com/spreadsheets/d/10oOiF7loTyfsTkbd4MpaIm0HQ9SwB7IYHdIUvt-U1Uc/edit?usp=sharing"""&amp;",""สระแก้ว!J292"")+IMPORTRANGE(""https://docs.google.com/spreadsheets/d/1xmPlrr1QbdSIKvl1dWUl9K4PjAfSL9oeMr_37QVzcxc/edit?usp=sharing"",""สระบุรี!J292"")+IMPORTRANGE(""https://docs.google.com/spreadsheets/d/1j51vR6CYVGhABJpv6tkstgok82RLpXieLzW1yOY5rHw/edi"&amp;"t?usp=sharing"",""สิงห์บุรี!J292"")+IMPORTRANGE(""https://docs.google.com/spreadsheets/d/1H1EalTWKUSzO4Z1-1CwzoDUaVffgrThEBe2sl74kKG0/edit?usp=sharing"",""สุพรรณบุรี!J292"")+IMPORTRANGE(""https://docs.google.com/spreadsheets/d/1BmIruG_sIrJLYao_Pdr7zVArWsf"&amp;"oBt2692TMi6x_854/edit?usp=sharing"",""อ่างทอง!J292"")"),0)</f>
        <v>0</v>
      </c>
      <c r="K293" s="240">
        <f t="shared" ref="K293:K294" ca="1" si="211">IF(I293&gt;0,J293*100/I293,0)</f>
        <v>0</v>
      </c>
      <c r="L293" s="220"/>
      <c r="M293" s="220"/>
      <c r="N293" s="220"/>
      <c r="O293" s="220"/>
      <c r="P293" s="220"/>
      <c r="Q293" s="228"/>
      <c r="R293" s="229"/>
      <c r="S293" s="229"/>
      <c r="T293" s="229"/>
      <c r="U293" s="229"/>
    </row>
    <row r="294" spans="1:21" ht="19.5" x14ac:dyDescent="0.3">
      <c r="A294" s="222"/>
      <c r="B294" s="223"/>
      <c r="C294" s="223"/>
      <c r="D294" s="236" t="s">
        <v>121</v>
      </c>
      <c r="E294" s="223"/>
      <c r="F294" s="231"/>
      <c r="G294" s="227"/>
      <c r="H294" s="232" t="s">
        <v>35</v>
      </c>
      <c r="I294" s="233">
        <f ca="1">IFERROR(__xludf.DUMMYFUNCTION("IMPORTRANGE(""https://docs.google.com/spreadsheets/d/13wPX838HrBrQMCywv1BsuMkt4PEKTChp52zj44s2izQ/edit?usp=sharing"",""กาญจนบุรี!I293"")+IMPORTRANGE(""https://docs.google.com/spreadsheets/d/1ddFKvqj1W1NEiWytbGlB1zMx_ykJDVtmfEQ-6-lIUBA/edit?usp=sharing"","&amp;"""จันทบุรี!I293"")+IMPORTRANGE(""https://docs.google.com/spreadsheets/d/1T1PQvRODqOBZk8BRht_U031fIS1beLA0Ub2CEytj2q0/edit?usp=sharing"",""ฉะเชิงเทรา!I293"")+IMPORTRANGE(""https://docs.google.com/spreadsheets/d/11tr1B-Bhyr79v2bkwVh5h_fR-PStkgjlZtkrZpYurG0/"&amp;"edit?usp=sharing"",""ชลบุรี!I293"")+IMPORTRANGE(""https://docs.google.com/spreadsheets/d/1hh-FVnSX0vozXhGluamEcS54Dw9_zqW0N7qJUWgJ0Sw/edit?usp=sharing"",""ชัยนาท!I293"")+IMPORTRANGE(""https://docs.google.com/spreadsheets/d/1jkqa6GXxSacMcY1eN8AHjMNJ_7dDXMJ"&amp;"VRLDlaFSOdPM/edit?usp=sharing"",""ตราด!I293"")+IMPORTRANGE(""https://docs.google.com/spreadsheets/d/18hSgUJ3VwClqi_qtULmmW3cLr0oe3OKaSYoKzdpTsYQ/edit?usp=sharing"",""นครนายก!I293"")+IMPORTRANGE(""https://docs.google.com/spreadsheets/d/1YTZo6WM2dQ6Ix6FSdnL"&amp;"5P7uVnVKu40sxZu975tgG10E/edit?usp=sharing"",""นครปฐม!I293"")+IMPORTRANGE(""https://docs.google.com/spreadsheets/d/1OYoGg4WDg5RIzwGeB10padOxJF9E_Vljuvvct_M7RDo/edit?usp=sharing"",""ปทุมธานี!I293"")+IMPORTRANGE(""https://docs.google.com/spreadsheets/d/1GbCI"&amp;"E4D4wk9FUozzqk7SxfDMxDVBwVmI5zcaVUSzKAc/edit?usp=sharing"",""ประจวบคีรีขันธ์!I293"")+IMPORTRANGE(""https://docs.google.com/spreadsheets/d/1vVf6wykvW_lAyu7Yo9L4hUTqHqIeP_qcVuxCtosJEbg/edit?usp=sharing"",""ปราจีนบุรี!I293"")+IMPORTRANGE(""https://docs.googl"&amp;"e.com/spreadsheets/d/1BIDqLLg5jk3v59G8NlR8rk5xfQDKne0sAvZHSj7TI6I/edit?usp=sharing"",""พระนครศรีอยุธยา!I293"")+IMPORTRANGE(""https://docs.google.com/spreadsheets/d/1YXvxf8Yu6_rV4hTBrwMqAcAnv6DfhUxh5emyM3CJp_w/edit?usp=sharing"",""เพชรบุรี!I293"")+IMPORTRA"&amp;"NGE(""https://docs.google.com/spreadsheets/d/19KBlQQs7uwvsao6t2n-KvW3Ax8J8uRRfZPq1zPbXgKc/edit?usp=sharing"",""ระยอง!I293"")+IMPORTRANGE(""https://docs.google.com/spreadsheets/d/1jQ6P4QcrGM89YfqcC_PxOHGCMq5ezhucwJd8ci-NHng/edit?usp=sharing"",""ราชบุรี!I29"&amp;"3"")+IMPORTRANGE(""https://docs.google.com/spreadsheets/d/1lufeA2cfFqM-elVq2hznhDzC6Pr7wkJ9ZG_sYNGCMCU/edit?usp=sharing"",""ลพบุรี!I293"")+IMPORTRANGE(""https://docs.google.com/spreadsheets/d/10oOiF7loTyfsTkbd4MpaIm0HQ9SwB7IYHdIUvt-U1Uc/edit?usp=sharing"""&amp;",""สระแก้ว!I293"")+IMPORTRANGE(""https://docs.google.com/spreadsheets/d/1xmPlrr1QbdSIKvl1dWUl9K4PjAfSL9oeMr_37QVzcxc/edit?usp=sharing"",""สระบุรี!I293"")+IMPORTRANGE(""https://docs.google.com/spreadsheets/d/1j51vR6CYVGhABJpv6tkstgok82RLpXieLzW1yOY5rHw/edi"&amp;"t?usp=sharing"",""สิงห์บุรี!I293"")+IMPORTRANGE(""https://docs.google.com/spreadsheets/d/1H1EalTWKUSzO4Z1-1CwzoDUaVffgrThEBe2sl74kKG0/edit?usp=sharing"",""สุพรรณบุรี!I293"")+IMPORTRANGE(""https://docs.google.com/spreadsheets/d/1BmIruG_sIrJLYao_Pdr7zVArWsf"&amp;"oBt2692TMi6x_854/edit?usp=sharing"",""อ่างทอง!I293"")"),10)</f>
        <v>10</v>
      </c>
      <c r="J294" s="233">
        <f ca="1">IFERROR(__xludf.DUMMYFUNCTION("IMPORTRANGE(""https://docs.google.com/spreadsheets/d/13wPX838HrBrQMCywv1BsuMkt4PEKTChp52zj44s2izQ/edit?usp=sharing"",""กาญจนบุรี!J293"")+IMPORTRANGE(""https://docs.google.com/spreadsheets/d/1ddFKvqj1W1NEiWytbGlB1zMx_ykJDVtmfEQ-6-lIUBA/edit?usp=sharing"","&amp;"""จันทบุรี!J293"")+IMPORTRANGE(""https://docs.google.com/spreadsheets/d/1T1PQvRODqOBZk8BRht_U031fIS1beLA0Ub2CEytj2q0/edit?usp=sharing"",""ฉะเชิงเทรา!J293"")+IMPORTRANGE(""https://docs.google.com/spreadsheets/d/11tr1B-Bhyr79v2bkwVh5h_fR-PStkgjlZtkrZpYurG0/"&amp;"edit?usp=sharing"",""ชลบุรี!J293"")+IMPORTRANGE(""https://docs.google.com/spreadsheets/d/1hh-FVnSX0vozXhGluamEcS54Dw9_zqW0N7qJUWgJ0Sw/edit?usp=sharing"",""ชัยนาท!J293"")+IMPORTRANGE(""https://docs.google.com/spreadsheets/d/1jkqa6GXxSacMcY1eN8AHjMNJ_7dDXMJ"&amp;"VRLDlaFSOdPM/edit?usp=sharing"",""ตราด!J293"")+IMPORTRANGE(""https://docs.google.com/spreadsheets/d/18hSgUJ3VwClqi_qtULmmW3cLr0oe3OKaSYoKzdpTsYQ/edit?usp=sharing"",""นครนายก!J293"")+IMPORTRANGE(""https://docs.google.com/spreadsheets/d/1YTZo6WM2dQ6Ix6FSdnL"&amp;"5P7uVnVKu40sxZu975tgG10E/edit?usp=sharing"",""นครปฐม!J293"")+IMPORTRANGE(""https://docs.google.com/spreadsheets/d/1OYoGg4WDg5RIzwGeB10padOxJF9E_Vljuvvct_M7RDo/edit?usp=sharing"",""ปทุมธานี!J293"")+IMPORTRANGE(""https://docs.google.com/spreadsheets/d/1GbCI"&amp;"E4D4wk9FUozzqk7SxfDMxDVBwVmI5zcaVUSzKAc/edit?usp=sharing"",""ประจวบคีรีขันธ์!J293"")+IMPORTRANGE(""https://docs.google.com/spreadsheets/d/1vVf6wykvW_lAyu7Yo9L4hUTqHqIeP_qcVuxCtosJEbg/edit?usp=sharing"",""ปราจีนบุรี!J293"")+IMPORTRANGE(""https://docs.googl"&amp;"e.com/spreadsheets/d/1BIDqLLg5jk3v59G8NlR8rk5xfQDKne0sAvZHSj7TI6I/edit?usp=sharing"",""พระนครศรีอยุธยา!J293"")+IMPORTRANGE(""https://docs.google.com/spreadsheets/d/1YXvxf8Yu6_rV4hTBrwMqAcAnv6DfhUxh5emyM3CJp_w/edit?usp=sharing"",""เพชรบุรี!J293"")+IMPORTRA"&amp;"NGE(""https://docs.google.com/spreadsheets/d/19KBlQQs7uwvsao6t2n-KvW3Ax8J8uRRfZPq1zPbXgKc/edit?usp=sharing"",""ระยอง!J293"")+IMPORTRANGE(""https://docs.google.com/spreadsheets/d/1jQ6P4QcrGM89YfqcC_PxOHGCMq5ezhucwJd8ci-NHng/edit?usp=sharing"",""ราชบุรี!J29"&amp;"3"")+IMPORTRANGE(""https://docs.google.com/spreadsheets/d/1lufeA2cfFqM-elVq2hznhDzC6Pr7wkJ9ZG_sYNGCMCU/edit?usp=sharing"",""ลพบุรี!J293"")+IMPORTRANGE(""https://docs.google.com/spreadsheets/d/10oOiF7loTyfsTkbd4MpaIm0HQ9SwB7IYHdIUvt-U1Uc/edit?usp=sharing"""&amp;",""สระแก้ว!J293"")+IMPORTRANGE(""https://docs.google.com/spreadsheets/d/1xmPlrr1QbdSIKvl1dWUl9K4PjAfSL9oeMr_37QVzcxc/edit?usp=sharing"",""สระบุรี!J293"")+IMPORTRANGE(""https://docs.google.com/spreadsheets/d/1j51vR6CYVGhABJpv6tkstgok82RLpXieLzW1yOY5rHw/edi"&amp;"t?usp=sharing"",""สิงห์บุรี!J293"")+IMPORTRANGE(""https://docs.google.com/spreadsheets/d/1H1EalTWKUSzO4Z1-1CwzoDUaVffgrThEBe2sl74kKG0/edit?usp=sharing"",""สุพรรณบุรี!J293"")+IMPORTRANGE(""https://docs.google.com/spreadsheets/d/1BmIruG_sIrJLYao_Pdr7zVArWsf"&amp;"oBt2692TMi6x_854/edit?usp=sharing"",""อ่างทอง!J293"")"),0)</f>
        <v>0</v>
      </c>
      <c r="K294" s="234">
        <f t="shared" ca="1" si="211"/>
        <v>0</v>
      </c>
      <c r="L294" s="220"/>
      <c r="M294" s="220"/>
      <c r="N294" s="220"/>
      <c r="O294" s="220"/>
      <c r="P294" s="220"/>
      <c r="Q294" s="228"/>
      <c r="R294" s="229"/>
      <c r="S294" s="229"/>
      <c r="T294" s="229"/>
      <c r="U294" s="229"/>
    </row>
    <row r="295" spans="1:21" ht="19.5" x14ac:dyDescent="0.3">
      <c r="A295" s="222"/>
      <c r="B295" s="223"/>
      <c r="C295" s="223"/>
      <c r="D295" s="231"/>
      <c r="E295" s="490" t="s">
        <v>122</v>
      </c>
      <c r="F295" s="231"/>
      <c r="G295" s="227"/>
      <c r="H295" s="227"/>
      <c r="I295" s="219"/>
      <c r="J295" s="71"/>
      <c r="K295" s="220"/>
      <c r="L295" s="220"/>
      <c r="M295" s="220"/>
      <c r="N295" s="220"/>
      <c r="O295" s="220"/>
      <c r="P295" s="220"/>
      <c r="Q295" s="228"/>
      <c r="R295" s="229"/>
      <c r="S295" s="229"/>
      <c r="T295" s="229"/>
      <c r="U295" s="229"/>
    </row>
    <row r="296" spans="1:21" ht="19.5" x14ac:dyDescent="0.3">
      <c r="A296" s="222"/>
      <c r="B296" s="223"/>
      <c r="C296" s="223"/>
      <c r="D296" s="231"/>
      <c r="E296" s="395" t="s">
        <v>123</v>
      </c>
      <c r="F296" s="231"/>
      <c r="G296" s="227"/>
      <c r="H296" s="237" t="s">
        <v>35</v>
      </c>
      <c r="I296" s="241">
        <f ca="1">IFERROR(__xludf.DUMMYFUNCTION("IMPORTRANGE(""https://docs.google.com/spreadsheets/d/13wPX838HrBrQMCywv1BsuMkt4PEKTChp52zj44s2izQ/edit?usp=sharing"",""กาญจนบุรี!I295"")+IMPORTRANGE(""https://docs.google.com/spreadsheets/d/1ddFKvqj1W1NEiWytbGlB1zMx_ykJDVtmfEQ-6-lIUBA/edit?usp=sharing"","&amp;"""จันทบุรี!I295"")+IMPORTRANGE(""https://docs.google.com/spreadsheets/d/1T1PQvRODqOBZk8BRht_U031fIS1beLA0Ub2CEytj2q0/edit?usp=sharing"",""ฉะเชิงเทรา!I295"")+IMPORTRANGE(""https://docs.google.com/spreadsheets/d/11tr1B-Bhyr79v2bkwVh5h_fR-PStkgjlZtkrZpYurG0/"&amp;"edit?usp=sharing"",""ชลบุรี!I295"")+IMPORTRANGE(""https://docs.google.com/spreadsheets/d/1hh-FVnSX0vozXhGluamEcS54Dw9_zqW0N7qJUWgJ0Sw/edit?usp=sharing"",""ชัยนาท!I295"")+IMPORTRANGE(""https://docs.google.com/spreadsheets/d/1jkqa6GXxSacMcY1eN8AHjMNJ_7dDXMJ"&amp;"VRLDlaFSOdPM/edit?usp=sharing"",""ตราด!I295"")+IMPORTRANGE(""https://docs.google.com/spreadsheets/d/18hSgUJ3VwClqi_qtULmmW3cLr0oe3OKaSYoKzdpTsYQ/edit?usp=sharing"",""นครนายก!I295"")+IMPORTRANGE(""https://docs.google.com/spreadsheets/d/1YTZo6WM2dQ6Ix6FSdnL"&amp;"5P7uVnVKu40sxZu975tgG10E/edit?usp=sharing"",""นครปฐม!I295"")+IMPORTRANGE(""https://docs.google.com/spreadsheets/d/1OYoGg4WDg5RIzwGeB10padOxJF9E_Vljuvvct_M7RDo/edit?usp=sharing"",""ปทุมธานี!I295"")+IMPORTRANGE(""https://docs.google.com/spreadsheets/d/1GbCI"&amp;"E4D4wk9FUozzqk7SxfDMxDVBwVmI5zcaVUSzKAc/edit?usp=sharing"",""ประจวบคีรีขันธ์!I295"")+IMPORTRANGE(""https://docs.google.com/spreadsheets/d/1vVf6wykvW_lAyu7Yo9L4hUTqHqIeP_qcVuxCtosJEbg/edit?usp=sharing"",""ปราจีนบุรี!I295"")+IMPORTRANGE(""https://docs.googl"&amp;"e.com/spreadsheets/d/1BIDqLLg5jk3v59G8NlR8rk5xfQDKne0sAvZHSj7TI6I/edit?usp=sharing"",""พระนครศรีอยุธยา!I295"")+IMPORTRANGE(""https://docs.google.com/spreadsheets/d/1YXvxf8Yu6_rV4hTBrwMqAcAnv6DfhUxh5emyM3CJp_w/edit?usp=sharing"",""เพชรบุรี!I295"")+IMPORTRA"&amp;"NGE(""https://docs.google.com/spreadsheets/d/19KBlQQs7uwvsao6t2n-KvW3Ax8J8uRRfZPq1zPbXgKc/edit?usp=sharing"",""ระยอง!I295"")+IMPORTRANGE(""https://docs.google.com/spreadsheets/d/1jQ6P4QcrGM89YfqcC_PxOHGCMq5ezhucwJd8ci-NHng/edit?usp=sharing"",""ราชบุรี!I29"&amp;"5"")+IMPORTRANGE(""https://docs.google.com/spreadsheets/d/1lufeA2cfFqM-elVq2hznhDzC6Pr7wkJ9ZG_sYNGCMCU/edit?usp=sharing"",""ลพบุรี!I295"")+IMPORTRANGE(""https://docs.google.com/spreadsheets/d/10oOiF7loTyfsTkbd4MpaIm0HQ9SwB7IYHdIUvt-U1Uc/edit?usp=sharing"""&amp;",""สระแก้ว!I295"")+IMPORTRANGE(""https://docs.google.com/spreadsheets/d/1xmPlrr1QbdSIKvl1dWUl9K4PjAfSL9oeMr_37QVzcxc/edit?usp=sharing"",""สระบุรี!I295"")+IMPORTRANGE(""https://docs.google.com/spreadsheets/d/1j51vR6CYVGhABJpv6tkstgok82RLpXieLzW1yOY5rHw/edi"&amp;"t?usp=sharing"",""สิงห์บุรี!I295"")+IMPORTRANGE(""https://docs.google.com/spreadsheets/d/1H1EalTWKUSzO4Z1-1CwzoDUaVffgrThEBe2sl74kKG0/edit?usp=sharing"",""สุพรรณบุรี!I295"")+IMPORTRANGE(""https://docs.google.com/spreadsheets/d/1BmIruG_sIrJLYao_Pdr7zVArWsf"&amp;"oBt2692TMi6x_854/edit?usp=sharing"",""อ่างทอง!I295"")"),10)</f>
        <v>10</v>
      </c>
      <c r="J296" s="239">
        <f ca="1">IFERROR(__xludf.DUMMYFUNCTION("IMPORTRANGE(""https://docs.google.com/spreadsheets/d/13wPX838HrBrQMCywv1BsuMkt4PEKTChp52zj44s2izQ/edit?usp=sharing"",""กาญจนบุรี!J295"")+IMPORTRANGE(""https://docs.google.com/spreadsheets/d/1ddFKvqj1W1NEiWytbGlB1zMx_ykJDVtmfEQ-6-lIUBA/edit?usp=sharing"","&amp;"""จันทบุรี!J295"")+IMPORTRANGE(""https://docs.google.com/spreadsheets/d/1T1PQvRODqOBZk8BRht_U031fIS1beLA0Ub2CEytj2q0/edit?usp=sharing"",""ฉะเชิงเทรา!J295"")+IMPORTRANGE(""https://docs.google.com/spreadsheets/d/11tr1B-Bhyr79v2bkwVh5h_fR-PStkgjlZtkrZpYurG0/"&amp;"edit?usp=sharing"",""ชลบุรี!J295"")+IMPORTRANGE(""https://docs.google.com/spreadsheets/d/1hh-FVnSX0vozXhGluamEcS54Dw9_zqW0N7qJUWgJ0Sw/edit?usp=sharing"",""ชัยนาท!J295"")+IMPORTRANGE(""https://docs.google.com/spreadsheets/d/1jkqa6GXxSacMcY1eN8AHjMNJ_7dDXMJ"&amp;"VRLDlaFSOdPM/edit?usp=sharing"",""ตราด!J295"")+IMPORTRANGE(""https://docs.google.com/spreadsheets/d/18hSgUJ3VwClqi_qtULmmW3cLr0oe3OKaSYoKzdpTsYQ/edit?usp=sharing"",""นครนายก!J295"")+IMPORTRANGE(""https://docs.google.com/spreadsheets/d/1YTZo6WM2dQ6Ix6FSdnL"&amp;"5P7uVnVKu40sxZu975tgG10E/edit?usp=sharing"",""นครปฐม!J295"")+IMPORTRANGE(""https://docs.google.com/spreadsheets/d/1OYoGg4WDg5RIzwGeB10padOxJF9E_Vljuvvct_M7RDo/edit?usp=sharing"",""ปทุมธานี!J295"")+IMPORTRANGE(""https://docs.google.com/spreadsheets/d/1GbCI"&amp;"E4D4wk9FUozzqk7SxfDMxDVBwVmI5zcaVUSzKAc/edit?usp=sharing"",""ประจวบคีรีขันธ์!J295"")+IMPORTRANGE(""https://docs.google.com/spreadsheets/d/1vVf6wykvW_lAyu7Yo9L4hUTqHqIeP_qcVuxCtosJEbg/edit?usp=sharing"",""ปราจีนบุรี!J295"")+IMPORTRANGE(""https://docs.googl"&amp;"e.com/spreadsheets/d/1BIDqLLg5jk3v59G8NlR8rk5xfQDKne0sAvZHSj7TI6I/edit?usp=sharing"",""พระนครศรีอยุธยา!J295"")+IMPORTRANGE(""https://docs.google.com/spreadsheets/d/1YXvxf8Yu6_rV4hTBrwMqAcAnv6DfhUxh5emyM3CJp_w/edit?usp=sharing"",""เพชรบุรี!J295"")+IMPORTRA"&amp;"NGE(""https://docs.google.com/spreadsheets/d/19KBlQQs7uwvsao6t2n-KvW3Ax8J8uRRfZPq1zPbXgKc/edit?usp=sharing"",""ระยอง!J295"")+IMPORTRANGE(""https://docs.google.com/spreadsheets/d/1jQ6P4QcrGM89YfqcC_PxOHGCMq5ezhucwJd8ci-NHng/edit?usp=sharing"",""ราชบุรี!J29"&amp;"5"")+IMPORTRANGE(""https://docs.google.com/spreadsheets/d/1lufeA2cfFqM-elVq2hznhDzC6Pr7wkJ9ZG_sYNGCMCU/edit?usp=sharing"",""ลพบุรี!J295"")+IMPORTRANGE(""https://docs.google.com/spreadsheets/d/10oOiF7loTyfsTkbd4MpaIm0HQ9SwB7IYHdIUvt-U1Uc/edit?usp=sharing"""&amp;",""สระแก้ว!J295"")+IMPORTRANGE(""https://docs.google.com/spreadsheets/d/1xmPlrr1QbdSIKvl1dWUl9K4PjAfSL9oeMr_37QVzcxc/edit?usp=sharing"",""สระบุรี!J295"")+IMPORTRANGE(""https://docs.google.com/spreadsheets/d/1j51vR6CYVGhABJpv6tkstgok82RLpXieLzW1yOY5rHw/edi"&amp;"t?usp=sharing"",""สิงห์บุรี!J295"")+IMPORTRANGE(""https://docs.google.com/spreadsheets/d/1H1EalTWKUSzO4Z1-1CwzoDUaVffgrThEBe2sl74kKG0/edit?usp=sharing"",""สุพรรณบุรี!J295"")+IMPORTRANGE(""https://docs.google.com/spreadsheets/d/1BmIruG_sIrJLYao_Pdr7zVArWsf"&amp;"oBt2692TMi6x_854/edit?usp=sharing"",""อ่างทอง!J295"")"),0)</f>
        <v>0</v>
      </c>
      <c r="K296" s="240">
        <f t="shared" ref="K296:K297" ca="1" si="212">IF(I296&gt;0,J296*100/I296,0)</f>
        <v>0</v>
      </c>
      <c r="L296" s="220"/>
      <c r="M296" s="220"/>
      <c r="N296" s="220"/>
      <c r="O296" s="220"/>
      <c r="P296" s="220"/>
      <c r="Q296" s="228"/>
      <c r="R296" s="229"/>
      <c r="S296" s="229"/>
      <c r="T296" s="229"/>
      <c r="U296" s="229"/>
    </row>
    <row r="297" spans="1:21" ht="19.5" x14ac:dyDescent="0.3">
      <c r="A297" s="222"/>
      <c r="B297" s="223"/>
      <c r="C297" s="223"/>
      <c r="D297" s="231"/>
      <c r="E297" s="236" t="s">
        <v>124</v>
      </c>
      <c r="F297" s="231"/>
      <c r="G297" s="227"/>
      <c r="H297" s="237" t="s">
        <v>35</v>
      </c>
      <c r="I297" s="241">
        <f ca="1">IFERROR(__xludf.DUMMYFUNCTION("IMPORTRANGE(""https://docs.google.com/spreadsheets/d/13wPX838HrBrQMCywv1BsuMkt4PEKTChp52zj44s2izQ/edit?usp=sharing"",""กาญจนบุรี!I296"")+IMPORTRANGE(""https://docs.google.com/spreadsheets/d/1ddFKvqj1W1NEiWytbGlB1zMx_ykJDVtmfEQ-6-lIUBA/edit?usp=sharing"","&amp;"""จันทบุรี!I296"")+IMPORTRANGE(""https://docs.google.com/spreadsheets/d/1T1PQvRODqOBZk8BRht_U031fIS1beLA0Ub2CEytj2q0/edit?usp=sharing"",""ฉะเชิงเทรา!I296"")+IMPORTRANGE(""https://docs.google.com/spreadsheets/d/11tr1B-Bhyr79v2bkwVh5h_fR-PStkgjlZtkrZpYurG0/"&amp;"edit?usp=sharing"",""ชลบุรี!I296"")+IMPORTRANGE(""https://docs.google.com/spreadsheets/d/1hh-FVnSX0vozXhGluamEcS54Dw9_zqW0N7qJUWgJ0Sw/edit?usp=sharing"",""ชัยนาท!I296"")+IMPORTRANGE(""https://docs.google.com/spreadsheets/d/1jkqa6GXxSacMcY1eN8AHjMNJ_7dDXMJ"&amp;"VRLDlaFSOdPM/edit?usp=sharing"",""ตราด!I296"")+IMPORTRANGE(""https://docs.google.com/spreadsheets/d/18hSgUJ3VwClqi_qtULmmW3cLr0oe3OKaSYoKzdpTsYQ/edit?usp=sharing"",""นครนายก!I296"")+IMPORTRANGE(""https://docs.google.com/spreadsheets/d/1YTZo6WM2dQ6Ix6FSdnL"&amp;"5P7uVnVKu40sxZu975tgG10E/edit?usp=sharing"",""นครปฐม!I296"")+IMPORTRANGE(""https://docs.google.com/spreadsheets/d/1OYoGg4WDg5RIzwGeB10padOxJF9E_Vljuvvct_M7RDo/edit?usp=sharing"",""ปทุมธานี!I296"")+IMPORTRANGE(""https://docs.google.com/spreadsheets/d/1GbCI"&amp;"E4D4wk9FUozzqk7SxfDMxDVBwVmI5zcaVUSzKAc/edit?usp=sharing"",""ประจวบคีรีขันธ์!I296"")+IMPORTRANGE(""https://docs.google.com/spreadsheets/d/1vVf6wykvW_lAyu7Yo9L4hUTqHqIeP_qcVuxCtosJEbg/edit?usp=sharing"",""ปราจีนบุรี!I296"")+IMPORTRANGE(""https://docs.googl"&amp;"e.com/spreadsheets/d/1BIDqLLg5jk3v59G8NlR8rk5xfQDKne0sAvZHSj7TI6I/edit?usp=sharing"",""พระนครศรีอยุธยา!I296"")+IMPORTRANGE(""https://docs.google.com/spreadsheets/d/1YXvxf8Yu6_rV4hTBrwMqAcAnv6DfhUxh5emyM3CJp_w/edit?usp=sharing"",""เพชรบุรี!I296"")+IMPORTRA"&amp;"NGE(""https://docs.google.com/spreadsheets/d/19KBlQQs7uwvsao6t2n-KvW3Ax8J8uRRfZPq1zPbXgKc/edit?usp=sharing"",""ระยอง!I296"")+IMPORTRANGE(""https://docs.google.com/spreadsheets/d/1jQ6P4QcrGM89YfqcC_PxOHGCMq5ezhucwJd8ci-NHng/edit?usp=sharing"",""ราชบุรี!I29"&amp;"6"")+IMPORTRANGE(""https://docs.google.com/spreadsheets/d/1lufeA2cfFqM-elVq2hznhDzC6Pr7wkJ9ZG_sYNGCMCU/edit?usp=sharing"",""ลพบุรี!I296"")+IMPORTRANGE(""https://docs.google.com/spreadsheets/d/10oOiF7loTyfsTkbd4MpaIm0HQ9SwB7IYHdIUvt-U1Uc/edit?usp=sharing"""&amp;",""สระแก้ว!I296"")+IMPORTRANGE(""https://docs.google.com/spreadsheets/d/1xmPlrr1QbdSIKvl1dWUl9K4PjAfSL9oeMr_37QVzcxc/edit?usp=sharing"",""สระบุรี!I296"")+IMPORTRANGE(""https://docs.google.com/spreadsheets/d/1j51vR6CYVGhABJpv6tkstgok82RLpXieLzW1yOY5rHw/edi"&amp;"t?usp=sharing"",""สิงห์บุรี!I296"")+IMPORTRANGE(""https://docs.google.com/spreadsheets/d/1H1EalTWKUSzO4Z1-1CwzoDUaVffgrThEBe2sl74kKG0/edit?usp=sharing"",""สุพรรณบุรี!I296"")+IMPORTRANGE(""https://docs.google.com/spreadsheets/d/1BmIruG_sIrJLYao_Pdr7zVArWsf"&amp;"oBt2692TMi6x_854/edit?usp=sharing"",""อ่างทอง!I296"")"),10)</f>
        <v>10</v>
      </c>
      <c r="J297" s="239">
        <f ca="1">IFERROR(__xludf.DUMMYFUNCTION("IMPORTRANGE(""https://docs.google.com/spreadsheets/d/13wPX838HrBrQMCywv1BsuMkt4PEKTChp52zj44s2izQ/edit?usp=sharing"",""กาญจนบุรี!J296"")+IMPORTRANGE(""https://docs.google.com/spreadsheets/d/1ddFKvqj1W1NEiWytbGlB1zMx_ykJDVtmfEQ-6-lIUBA/edit?usp=sharing"","&amp;"""จันทบุรี!J296"")+IMPORTRANGE(""https://docs.google.com/spreadsheets/d/1T1PQvRODqOBZk8BRht_U031fIS1beLA0Ub2CEytj2q0/edit?usp=sharing"",""ฉะเชิงเทรา!J296"")+IMPORTRANGE(""https://docs.google.com/spreadsheets/d/11tr1B-Bhyr79v2bkwVh5h_fR-PStkgjlZtkrZpYurG0/"&amp;"edit?usp=sharing"",""ชลบุรี!J296"")+IMPORTRANGE(""https://docs.google.com/spreadsheets/d/1hh-FVnSX0vozXhGluamEcS54Dw9_zqW0N7qJUWgJ0Sw/edit?usp=sharing"",""ชัยนาท!J296"")+IMPORTRANGE(""https://docs.google.com/spreadsheets/d/1jkqa6GXxSacMcY1eN8AHjMNJ_7dDXMJ"&amp;"VRLDlaFSOdPM/edit?usp=sharing"",""ตราด!J296"")+IMPORTRANGE(""https://docs.google.com/spreadsheets/d/18hSgUJ3VwClqi_qtULmmW3cLr0oe3OKaSYoKzdpTsYQ/edit?usp=sharing"",""นครนายก!J296"")+IMPORTRANGE(""https://docs.google.com/spreadsheets/d/1YTZo6WM2dQ6Ix6FSdnL"&amp;"5P7uVnVKu40sxZu975tgG10E/edit?usp=sharing"",""นครปฐม!J296"")+IMPORTRANGE(""https://docs.google.com/spreadsheets/d/1OYoGg4WDg5RIzwGeB10padOxJF9E_Vljuvvct_M7RDo/edit?usp=sharing"",""ปทุมธานี!J296"")+IMPORTRANGE(""https://docs.google.com/spreadsheets/d/1GbCI"&amp;"E4D4wk9FUozzqk7SxfDMxDVBwVmI5zcaVUSzKAc/edit?usp=sharing"",""ประจวบคีรีขันธ์!J296"")+IMPORTRANGE(""https://docs.google.com/spreadsheets/d/1vVf6wykvW_lAyu7Yo9L4hUTqHqIeP_qcVuxCtosJEbg/edit?usp=sharing"",""ปราจีนบุรี!J296"")+IMPORTRANGE(""https://docs.googl"&amp;"e.com/spreadsheets/d/1BIDqLLg5jk3v59G8NlR8rk5xfQDKne0sAvZHSj7TI6I/edit?usp=sharing"",""พระนครศรีอยุธยา!J296"")+IMPORTRANGE(""https://docs.google.com/spreadsheets/d/1YXvxf8Yu6_rV4hTBrwMqAcAnv6DfhUxh5emyM3CJp_w/edit?usp=sharing"",""เพชรบุรี!J296"")+IMPORTRA"&amp;"NGE(""https://docs.google.com/spreadsheets/d/19KBlQQs7uwvsao6t2n-KvW3Ax8J8uRRfZPq1zPbXgKc/edit?usp=sharing"",""ระยอง!J296"")+IMPORTRANGE(""https://docs.google.com/spreadsheets/d/1jQ6P4QcrGM89YfqcC_PxOHGCMq5ezhucwJd8ci-NHng/edit?usp=sharing"",""ราชบุรี!J29"&amp;"6"")+IMPORTRANGE(""https://docs.google.com/spreadsheets/d/1lufeA2cfFqM-elVq2hznhDzC6Pr7wkJ9ZG_sYNGCMCU/edit?usp=sharing"",""ลพบุรี!J296"")+IMPORTRANGE(""https://docs.google.com/spreadsheets/d/10oOiF7loTyfsTkbd4MpaIm0HQ9SwB7IYHdIUvt-U1Uc/edit?usp=sharing"""&amp;",""สระแก้ว!J296"")+IMPORTRANGE(""https://docs.google.com/spreadsheets/d/1xmPlrr1QbdSIKvl1dWUl9K4PjAfSL9oeMr_37QVzcxc/edit?usp=sharing"",""สระบุรี!J296"")+IMPORTRANGE(""https://docs.google.com/spreadsheets/d/1j51vR6CYVGhABJpv6tkstgok82RLpXieLzW1yOY5rHw/edi"&amp;"t?usp=sharing"",""สิงห์บุรี!J296"")+IMPORTRANGE(""https://docs.google.com/spreadsheets/d/1H1EalTWKUSzO4Z1-1CwzoDUaVffgrThEBe2sl74kKG0/edit?usp=sharing"",""สุพรรณบุรี!J296"")+IMPORTRANGE(""https://docs.google.com/spreadsheets/d/1BmIruG_sIrJLYao_Pdr7zVArWsf"&amp;"oBt2692TMi6x_854/edit?usp=sharing"",""อ่างทอง!J296"")"),0)</f>
        <v>0</v>
      </c>
      <c r="K297" s="240">
        <f t="shared" ca="1" si="212"/>
        <v>0</v>
      </c>
      <c r="L297" s="220"/>
      <c r="M297" s="220"/>
      <c r="N297" s="220"/>
      <c r="O297" s="220"/>
      <c r="P297" s="220"/>
      <c r="Q297" s="228"/>
      <c r="R297" s="229"/>
      <c r="S297" s="229"/>
      <c r="T297" s="229"/>
      <c r="U297" s="229"/>
    </row>
    <row r="298" spans="1:21" ht="19.5" hidden="1" x14ac:dyDescent="0.3">
      <c r="A298" s="491"/>
      <c r="B298" s="492"/>
      <c r="C298" s="492"/>
      <c r="D298" s="21"/>
      <c r="E298" s="493"/>
      <c r="F298" s="21"/>
      <c r="G298" s="24"/>
      <c r="H298" s="24"/>
      <c r="I298" s="26"/>
      <c r="J298" s="26"/>
      <c r="K298" s="27"/>
      <c r="L298" s="27"/>
      <c r="M298" s="27"/>
      <c r="N298" s="27"/>
      <c r="O298" s="27"/>
      <c r="P298" s="27"/>
      <c r="Q298" s="29"/>
      <c r="R298" s="30"/>
      <c r="S298" s="30"/>
      <c r="T298" s="30"/>
      <c r="U298" s="30"/>
    </row>
    <row r="299" spans="1:21" ht="18.75" hidden="1" x14ac:dyDescent="0.25">
      <c r="A299" s="491"/>
      <c r="B299" s="492"/>
      <c r="C299" s="492"/>
      <c r="D299" s="21"/>
      <c r="E299" s="31"/>
      <c r="F299" s="21"/>
      <c r="G299" s="24"/>
      <c r="H299" s="32"/>
      <c r="I299" s="494"/>
      <c r="J299" s="494"/>
      <c r="K299" s="33"/>
      <c r="L299" s="27"/>
      <c r="M299" s="27"/>
      <c r="N299" s="27"/>
      <c r="O299" s="27"/>
      <c r="P299" s="27"/>
      <c r="Q299" s="29"/>
      <c r="R299" s="30"/>
      <c r="S299" s="30"/>
      <c r="T299" s="30"/>
      <c r="U299" s="30"/>
    </row>
    <row r="300" spans="1:21" ht="18.75" hidden="1" x14ac:dyDescent="0.25">
      <c r="A300" s="495"/>
      <c r="B300" s="496"/>
      <c r="C300" s="496"/>
      <c r="D300" s="497"/>
      <c r="E300" s="498"/>
      <c r="F300" s="497"/>
      <c r="G300" s="499"/>
      <c r="H300" s="500"/>
      <c r="I300" s="501"/>
      <c r="J300" s="501"/>
      <c r="K300" s="502"/>
      <c r="L300" s="503"/>
      <c r="M300" s="503"/>
      <c r="N300" s="503"/>
      <c r="O300" s="503"/>
      <c r="P300" s="503"/>
      <c r="Q300" s="18"/>
      <c r="R300" s="19"/>
      <c r="S300" s="19"/>
      <c r="T300" s="19"/>
      <c r="U300" s="19"/>
    </row>
    <row r="301" spans="1:21" ht="19.5" x14ac:dyDescent="0.3">
      <c r="A301" s="504" t="s">
        <v>125</v>
      </c>
      <c r="B301" s="505"/>
      <c r="C301" s="505"/>
      <c r="D301" s="505"/>
      <c r="E301" s="506"/>
      <c r="F301" s="506"/>
      <c r="G301" s="506"/>
      <c r="H301" s="506"/>
      <c r="I301" s="507"/>
      <c r="J301" s="507"/>
      <c r="K301" s="508"/>
      <c r="L301" s="508"/>
      <c r="M301" s="508"/>
      <c r="N301" s="508"/>
      <c r="O301" s="508"/>
      <c r="P301" s="509"/>
      <c r="Q301" s="510"/>
      <c r="R301" s="511"/>
      <c r="S301" s="511"/>
      <c r="T301" s="511"/>
      <c r="U301" s="512"/>
    </row>
    <row r="302" spans="1:21" ht="19.5" x14ac:dyDescent="0.3">
      <c r="A302" s="513" t="s">
        <v>126</v>
      </c>
      <c r="B302" s="514"/>
      <c r="C302" s="514"/>
      <c r="D302" s="515"/>
      <c r="E302" s="515"/>
      <c r="F302" s="515"/>
      <c r="G302" s="516"/>
      <c r="H302" s="516"/>
      <c r="I302" s="517"/>
      <c r="J302" s="517"/>
      <c r="K302" s="518"/>
      <c r="L302" s="518"/>
      <c r="M302" s="518"/>
      <c r="N302" s="518"/>
      <c r="O302" s="518"/>
      <c r="P302" s="518"/>
      <c r="Q302" s="519"/>
      <c r="R302" s="520"/>
      <c r="S302" s="520"/>
      <c r="T302" s="520"/>
      <c r="U302" s="520"/>
    </row>
    <row r="303" spans="1:21" ht="19.5" x14ac:dyDescent="0.3">
      <c r="A303" s="521"/>
      <c r="B303" s="522" t="s">
        <v>127</v>
      </c>
      <c r="C303" s="523"/>
      <c r="D303" s="523"/>
      <c r="E303" s="523"/>
      <c r="F303" s="523"/>
      <c r="G303" s="524"/>
      <c r="H303" s="525" t="s">
        <v>35</v>
      </c>
      <c r="I303" s="526">
        <f t="shared" ref="I303:J303" ca="1" si="213">I315</f>
        <v>355</v>
      </c>
      <c r="J303" s="526">
        <f t="shared" ca="1" si="213"/>
        <v>45</v>
      </c>
      <c r="K303" s="527">
        <f ca="1">IF(I303&gt;0,J303*100/I303,0)</f>
        <v>12.67605633802817</v>
      </c>
      <c r="L303" s="528"/>
      <c r="M303" s="528"/>
      <c r="N303" s="528"/>
      <c r="O303" s="528"/>
      <c r="P303" s="528"/>
      <c r="Q303" s="529"/>
      <c r="R303" s="530"/>
      <c r="S303" s="530"/>
      <c r="T303" s="530"/>
      <c r="U303" s="530"/>
    </row>
    <row r="304" spans="1:21" ht="19.5" x14ac:dyDescent="0.3">
      <c r="A304" s="209"/>
      <c r="B304" s="67"/>
      <c r="C304" s="210" t="s">
        <v>18</v>
      </c>
      <c r="D304" s="211" t="s">
        <v>19</v>
      </c>
      <c r="E304" s="67"/>
      <c r="F304" s="67"/>
      <c r="G304" s="69"/>
      <c r="H304" s="212" t="s">
        <v>14</v>
      </c>
      <c r="I304" s="71"/>
      <c r="J304" s="71"/>
      <c r="K304" s="72"/>
      <c r="L304" s="213">
        <f t="shared" ref="L304:N304" ca="1" si="214">L305+L306</f>
        <v>1119100</v>
      </c>
      <c r="M304" s="213">
        <f t="shared" ca="1" si="214"/>
        <v>1119100</v>
      </c>
      <c r="N304" s="213">
        <f t="shared" ca="1" si="214"/>
        <v>355807.33999999898</v>
      </c>
      <c r="O304" s="213">
        <f t="shared" ref="O304:O312" ca="1" si="215">IF(L304&gt;0,N304*100/L304,0)</f>
        <v>31.794061299258239</v>
      </c>
      <c r="P304" s="213">
        <f t="shared" ref="P304:P312" ca="1" si="216">IF(M304&gt;0,N304*100/M304,0)</f>
        <v>31.794061299258239</v>
      </c>
      <c r="Q304" s="214">
        <f t="shared" ref="Q304:S304" ca="1" si="217">Q305+Q306</f>
        <v>2884993.65</v>
      </c>
      <c r="R304" s="215">
        <f t="shared" ca="1" si="217"/>
        <v>2884989</v>
      </c>
      <c r="S304" s="215">
        <f t="shared" ca="1" si="217"/>
        <v>0</v>
      </c>
      <c r="T304" s="215">
        <f t="shared" ref="T304:T312" ca="1" si="218">IF(Q304&gt;0,S304*100/Q304,0)</f>
        <v>0</v>
      </c>
      <c r="U304" s="215">
        <f t="shared" ref="U304:U312" ca="1" si="219">IF(R304&gt;0,S304*100/R304,0)</f>
        <v>0</v>
      </c>
    </row>
    <row r="305" spans="1:21" ht="18.75" x14ac:dyDescent="0.25">
      <c r="A305" s="209"/>
      <c r="B305" s="67"/>
      <c r="C305" s="67"/>
      <c r="D305" s="67"/>
      <c r="E305" s="75" t="s">
        <v>20</v>
      </c>
      <c r="F305" s="67"/>
      <c r="G305" s="69"/>
      <c r="H305" s="216" t="s">
        <v>14</v>
      </c>
      <c r="I305" s="71"/>
      <c r="J305" s="71"/>
      <c r="K305" s="72"/>
      <c r="L305" s="88">
        <f t="shared" ref="L305:N305" ca="1" si="220">L308+L311</f>
        <v>0</v>
      </c>
      <c r="M305" s="88">
        <f t="shared" ca="1" si="220"/>
        <v>0</v>
      </c>
      <c r="N305" s="88">
        <f t="shared" ca="1" si="220"/>
        <v>0</v>
      </c>
      <c r="O305" s="88">
        <f t="shared" ca="1" si="215"/>
        <v>0</v>
      </c>
      <c r="P305" s="88">
        <f t="shared" ca="1" si="216"/>
        <v>0</v>
      </c>
      <c r="Q305" s="217">
        <f t="shared" ref="Q305:S305" ca="1" si="221">Q308+Q311</f>
        <v>0</v>
      </c>
      <c r="R305" s="133">
        <f t="shared" ca="1" si="221"/>
        <v>0</v>
      </c>
      <c r="S305" s="133">
        <f t="shared" ca="1" si="221"/>
        <v>0</v>
      </c>
      <c r="T305" s="133">
        <f t="shared" ca="1" si="218"/>
        <v>0</v>
      </c>
      <c r="U305" s="133">
        <f t="shared" ca="1" si="219"/>
        <v>0</v>
      </c>
    </row>
    <row r="306" spans="1:21" ht="18.75" x14ac:dyDescent="0.25">
      <c r="A306" s="209"/>
      <c r="B306" s="67"/>
      <c r="C306" s="67"/>
      <c r="D306" s="67"/>
      <c r="E306" s="75" t="s">
        <v>21</v>
      </c>
      <c r="F306" s="67"/>
      <c r="G306" s="69"/>
      <c r="H306" s="216" t="s">
        <v>14</v>
      </c>
      <c r="I306" s="71"/>
      <c r="J306" s="71"/>
      <c r="K306" s="72"/>
      <c r="L306" s="88">
        <f t="shared" ref="L306:N306" ca="1" si="222">L309+L312</f>
        <v>1119100</v>
      </c>
      <c r="M306" s="88">
        <f t="shared" ca="1" si="222"/>
        <v>1119100</v>
      </c>
      <c r="N306" s="88">
        <f t="shared" ca="1" si="222"/>
        <v>355807.33999999898</v>
      </c>
      <c r="O306" s="88">
        <f t="shared" ca="1" si="215"/>
        <v>31.794061299258239</v>
      </c>
      <c r="P306" s="88">
        <f t="shared" ca="1" si="216"/>
        <v>31.794061299258239</v>
      </c>
      <c r="Q306" s="131">
        <f t="shared" ref="Q306:S306" ca="1" si="223">Q309+Q312</f>
        <v>2884993.65</v>
      </c>
      <c r="R306" s="132">
        <f t="shared" ca="1" si="223"/>
        <v>2884989</v>
      </c>
      <c r="S306" s="132">
        <f t="shared" ca="1" si="223"/>
        <v>0</v>
      </c>
      <c r="T306" s="132">
        <f t="shared" ca="1" si="218"/>
        <v>0</v>
      </c>
      <c r="U306" s="132">
        <f t="shared" ca="1" si="219"/>
        <v>0</v>
      </c>
    </row>
    <row r="307" spans="1:21" ht="18.75" x14ac:dyDescent="0.25">
      <c r="A307" s="209"/>
      <c r="B307" s="67"/>
      <c r="C307" s="67"/>
      <c r="D307" s="68" t="s">
        <v>22</v>
      </c>
      <c r="E307" s="67"/>
      <c r="F307" s="67"/>
      <c r="G307" s="69"/>
      <c r="H307" s="218" t="s">
        <v>14</v>
      </c>
      <c r="I307" s="219"/>
      <c r="J307" s="219"/>
      <c r="K307" s="220"/>
      <c r="L307" s="88">
        <f t="shared" ref="L307:N307" ca="1" si="224">L308+L309</f>
        <v>1119100</v>
      </c>
      <c r="M307" s="88">
        <f t="shared" ca="1" si="224"/>
        <v>1119100</v>
      </c>
      <c r="N307" s="88">
        <f t="shared" ca="1" si="224"/>
        <v>355807.33999999898</v>
      </c>
      <c r="O307" s="88">
        <f t="shared" ca="1" si="215"/>
        <v>31.794061299258239</v>
      </c>
      <c r="P307" s="88">
        <f t="shared" ca="1" si="216"/>
        <v>31.794061299258239</v>
      </c>
      <c r="Q307" s="131">
        <f t="shared" ref="Q307:S307" ca="1" si="225">Q308+Q309</f>
        <v>2884993.65</v>
      </c>
      <c r="R307" s="132">
        <f t="shared" ca="1" si="225"/>
        <v>2884989</v>
      </c>
      <c r="S307" s="132">
        <f t="shared" ca="1" si="225"/>
        <v>0</v>
      </c>
      <c r="T307" s="132">
        <f t="shared" ca="1" si="218"/>
        <v>0</v>
      </c>
      <c r="U307" s="132">
        <f t="shared" ca="1" si="219"/>
        <v>0</v>
      </c>
    </row>
    <row r="308" spans="1:21" ht="18.75" x14ac:dyDescent="0.25">
      <c r="A308" s="209"/>
      <c r="B308" s="67"/>
      <c r="C308" s="67"/>
      <c r="D308" s="67"/>
      <c r="E308" s="75" t="s">
        <v>36</v>
      </c>
      <c r="F308" s="67"/>
      <c r="G308" s="69"/>
      <c r="H308" s="218" t="s">
        <v>14</v>
      </c>
      <c r="I308" s="219"/>
      <c r="J308" s="219"/>
      <c r="K308" s="220"/>
      <c r="L308" s="88">
        <f ca="1">IFERROR(__xludf.DUMMYFUNCTION("IMPORTRANGE(""https://docs.google.com/spreadsheets/d/13wPX838HrBrQMCywv1BsuMkt4PEKTChp52zj44s2izQ/edit?usp=sharing"",""กาญจนบุรี!L307"")+IMPORTRANGE(""https://docs.google.com/spreadsheets/d/1ddFKvqj1W1NEiWytbGlB1zMx_ykJDVtmfEQ-6-lIUBA/edit?usp=sharing"","&amp;"""จันทบุรี!L307"")+IMPORTRANGE(""https://docs.google.com/spreadsheets/d/1T1PQvRODqOBZk8BRht_U031fIS1beLA0Ub2CEytj2q0/edit?usp=sharing"",""ฉะเชิงเทรา!L307"")+IMPORTRANGE(""https://docs.google.com/spreadsheets/d/11tr1B-Bhyr79v2bkwVh5h_fR-PStkgjlZtkrZpYurG0/"&amp;"edit?usp=sharing"",""ชลบุรี!L307"")+IMPORTRANGE(""https://docs.google.com/spreadsheets/d/1hh-FVnSX0vozXhGluamEcS54Dw9_zqW0N7qJUWgJ0Sw/edit?usp=sharing"",""ชัยนาท!L307"")+IMPORTRANGE(""https://docs.google.com/spreadsheets/d/1jkqa6GXxSacMcY1eN8AHjMNJ_7dDXMJ"&amp;"VRLDlaFSOdPM/edit?usp=sharing"",""ตราด!L307"")+IMPORTRANGE(""https://docs.google.com/spreadsheets/d/18hSgUJ3VwClqi_qtULmmW3cLr0oe3OKaSYoKzdpTsYQ/edit?usp=sharing"",""นครนายก!L307"")+IMPORTRANGE(""https://docs.google.com/spreadsheets/d/1YTZo6WM2dQ6Ix6FSdnL"&amp;"5P7uVnVKu40sxZu975tgG10E/edit?usp=sharing"",""นครปฐม!L307"")+IMPORTRANGE(""https://docs.google.com/spreadsheets/d/1OYoGg4WDg5RIzwGeB10padOxJF9E_Vljuvvct_M7RDo/edit?usp=sharing"",""ปทุมธานี!L307"")+IMPORTRANGE(""https://docs.google.com/spreadsheets/d/1GbCI"&amp;"E4D4wk9FUozzqk7SxfDMxDVBwVmI5zcaVUSzKAc/edit?usp=sharing"",""ประจวบคีรีขันธ์!L307"")+IMPORTRANGE(""https://docs.google.com/spreadsheets/d/1vVf6wykvW_lAyu7Yo9L4hUTqHqIeP_qcVuxCtosJEbg/edit?usp=sharing"",""ปราจีนบุรี!L307"")+IMPORTRANGE(""https://docs.googl"&amp;"e.com/spreadsheets/d/1BIDqLLg5jk3v59G8NlR8rk5xfQDKne0sAvZHSj7TI6I/edit?usp=sharing"",""พระนครศรีอยุธยา!L307"")+IMPORTRANGE(""https://docs.google.com/spreadsheets/d/1YXvxf8Yu6_rV4hTBrwMqAcAnv6DfhUxh5emyM3CJp_w/edit?usp=sharing"",""เพชรบุรี!L307"")+IMPORTRA"&amp;"NGE(""https://docs.google.com/spreadsheets/d/19KBlQQs7uwvsao6t2n-KvW3Ax8J8uRRfZPq1zPbXgKc/edit?usp=sharing"",""ระยอง!L307"")+IMPORTRANGE(""https://docs.google.com/spreadsheets/d/1jQ6P4QcrGM89YfqcC_PxOHGCMq5ezhucwJd8ci-NHng/edit?usp=sharing"",""ราชบุรี!L30"&amp;"7"")+IMPORTRANGE(""https://docs.google.com/spreadsheets/d/1lufeA2cfFqM-elVq2hznhDzC6Pr7wkJ9ZG_sYNGCMCU/edit?usp=sharing"",""ลพบุรี!L307"")+IMPORTRANGE(""https://docs.google.com/spreadsheets/d/10oOiF7loTyfsTkbd4MpaIm0HQ9SwB7IYHdIUvt-U1Uc/edit?usp=sharing"""&amp;",""สระแก้ว!L307"")+IMPORTRANGE(""https://docs.google.com/spreadsheets/d/1xmPlrr1QbdSIKvl1dWUl9K4PjAfSL9oeMr_37QVzcxc/edit?usp=sharing"",""สระบุรี!L307"")+IMPORTRANGE(""https://docs.google.com/spreadsheets/d/1j51vR6CYVGhABJpv6tkstgok82RLpXieLzW1yOY5rHw/edi"&amp;"t?usp=sharing"",""สิงห์บุรี!L307"")+IMPORTRANGE(""https://docs.google.com/spreadsheets/d/1H1EalTWKUSzO4Z1-1CwzoDUaVffgrThEBe2sl74kKG0/edit?usp=sharing"",""สุพรรณบุรี!L307"")+IMPORTRANGE(""https://docs.google.com/spreadsheets/d/1BmIruG_sIrJLYao_Pdr7zVArWsf"&amp;"oBt2692TMi6x_854/edit?usp=sharing"",""อ่างทอง!L307"")"),0)</f>
        <v>0</v>
      </c>
      <c r="M308" s="88">
        <f ca="1">IFERROR(__xludf.DUMMYFUNCTION("IMPORTRANGE(""https://docs.google.com/spreadsheets/d/13wPX838HrBrQMCywv1BsuMkt4PEKTChp52zj44s2izQ/edit?usp=sharing"",""กาญจนบุรี!M307"")+IMPORTRANGE(""https://docs.google.com/spreadsheets/d/1ddFKvqj1W1NEiWytbGlB1zMx_ykJDVtmfEQ-6-lIUBA/edit?usp=sharing"","&amp;"""จันทบุรี!M307"")+IMPORTRANGE(""https://docs.google.com/spreadsheets/d/1T1PQvRODqOBZk8BRht_U031fIS1beLA0Ub2CEytj2q0/edit?usp=sharing"",""ฉะเชิงเทรา!M307"")+IMPORTRANGE(""https://docs.google.com/spreadsheets/d/11tr1B-Bhyr79v2bkwVh5h_fR-PStkgjlZtkrZpYurG0/"&amp;"edit?usp=sharing"",""ชลบุรี!M307"")+IMPORTRANGE(""https://docs.google.com/spreadsheets/d/1hh-FVnSX0vozXhGluamEcS54Dw9_zqW0N7qJUWgJ0Sw/edit?usp=sharing"",""ชัยนาท!M307"")+IMPORTRANGE(""https://docs.google.com/spreadsheets/d/1jkqa6GXxSacMcY1eN8AHjMNJ_7dDXMJ"&amp;"VRLDlaFSOdPM/edit?usp=sharing"",""ตราด!M307"")+IMPORTRANGE(""https://docs.google.com/spreadsheets/d/18hSgUJ3VwClqi_qtULmmW3cLr0oe3OKaSYoKzdpTsYQ/edit?usp=sharing"",""นครนายก!M307"")+IMPORTRANGE(""https://docs.google.com/spreadsheets/d/1YTZo6WM2dQ6Ix6FSdnL"&amp;"5P7uVnVKu40sxZu975tgG10E/edit?usp=sharing"",""นครปฐม!M307"")+IMPORTRANGE(""https://docs.google.com/spreadsheets/d/1OYoGg4WDg5RIzwGeB10padOxJF9E_Vljuvvct_M7RDo/edit?usp=sharing"",""ปทุมธานี!M307"")+IMPORTRANGE(""https://docs.google.com/spreadsheets/d/1GbCI"&amp;"E4D4wk9FUozzqk7SxfDMxDVBwVmI5zcaVUSzKAc/edit?usp=sharing"",""ประจวบคีรีขันธ์!M307"")+IMPORTRANGE(""https://docs.google.com/spreadsheets/d/1vVf6wykvW_lAyu7Yo9L4hUTqHqIeP_qcVuxCtosJEbg/edit?usp=sharing"",""ปราจีนบุรี!M307"")+IMPORTRANGE(""https://docs.googl"&amp;"e.com/spreadsheets/d/1BIDqLLg5jk3v59G8NlR8rk5xfQDKne0sAvZHSj7TI6I/edit?usp=sharing"",""พระนครศรีอยุธยา!M307"")+IMPORTRANGE(""https://docs.google.com/spreadsheets/d/1YXvxf8Yu6_rV4hTBrwMqAcAnv6DfhUxh5emyM3CJp_w/edit?usp=sharing"",""เพชรบุรี!M307"")+IMPORTRA"&amp;"NGE(""https://docs.google.com/spreadsheets/d/19KBlQQs7uwvsao6t2n-KvW3Ax8J8uRRfZPq1zPbXgKc/edit?usp=sharing"",""ระยอง!M307"")+IMPORTRANGE(""https://docs.google.com/spreadsheets/d/1jQ6P4QcrGM89YfqcC_PxOHGCMq5ezhucwJd8ci-NHng/edit?usp=sharing"",""ราชบุรี!M30"&amp;"7"")+IMPORTRANGE(""https://docs.google.com/spreadsheets/d/1lufeA2cfFqM-elVq2hznhDzC6Pr7wkJ9ZG_sYNGCMCU/edit?usp=sharing"",""ลพบุรี!M307"")+IMPORTRANGE(""https://docs.google.com/spreadsheets/d/10oOiF7loTyfsTkbd4MpaIm0HQ9SwB7IYHdIUvt-U1Uc/edit?usp=sharing"""&amp;",""สระแก้ว!M307"")+IMPORTRANGE(""https://docs.google.com/spreadsheets/d/1xmPlrr1QbdSIKvl1dWUl9K4PjAfSL9oeMr_37QVzcxc/edit?usp=sharing"",""สระบุรี!M307"")+IMPORTRANGE(""https://docs.google.com/spreadsheets/d/1j51vR6CYVGhABJpv6tkstgok82RLpXieLzW1yOY5rHw/edi"&amp;"t?usp=sharing"",""สิงห์บุรี!M307"")+IMPORTRANGE(""https://docs.google.com/spreadsheets/d/1H1EalTWKUSzO4Z1-1CwzoDUaVffgrThEBe2sl74kKG0/edit?usp=sharing"",""สุพรรณบุรี!M307"")+IMPORTRANGE(""https://docs.google.com/spreadsheets/d/1BmIruG_sIrJLYao_Pdr7zVArWsf"&amp;"oBt2692TMi6x_854/edit?usp=sharing"",""อ่างทอง!M307"")"),0)</f>
        <v>0</v>
      </c>
      <c r="N308" s="88">
        <f ca="1">IFERROR(__xludf.DUMMYFUNCTION("IMPORTRANGE(""https://docs.google.com/spreadsheets/d/13wPX838HrBrQMCywv1BsuMkt4PEKTChp52zj44s2izQ/edit?usp=sharing"",""กาญจนบุรี!N307"")+IMPORTRANGE(""https://docs.google.com/spreadsheets/d/1ddFKvqj1W1NEiWytbGlB1zMx_ykJDVtmfEQ-6-lIUBA/edit?usp=sharing"","&amp;"""จันทบุรี!N307"")+IMPORTRANGE(""https://docs.google.com/spreadsheets/d/1T1PQvRODqOBZk8BRht_U031fIS1beLA0Ub2CEytj2q0/edit?usp=sharing"",""ฉะเชิงเทรา!N307"")+IMPORTRANGE(""https://docs.google.com/spreadsheets/d/11tr1B-Bhyr79v2bkwVh5h_fR-PStkgjlZtkrZpYurG0/"&amp;"edit?usp=sharing"",""ชลบุรี!N307"")+IMPORTRANGE(""https://docs.google.com/spreadsheets/d/1hh-FVnSX0vozXhGluamEcS54Dw9_zqW0N7qJUWgJ0Sw/edit?usp=sharing"",""ชัยนาท!N307"")+IMPORTRANGE(""https://docs.google.com/spreadsheets/d/1jkqa6GXxSacMcY1eN8AHjMNJ_7dDXMJ"&amp;"VRLDlaFSOdPM/edit?usp=sharing"",""ตราด!N307"")+IMPORTRANGE(""https://docs.google.com/spreadsheets/d/18hSgUJ3VwClqi_qtULmmW3cLr0oe3OKaSYoKzdpTsYQ/edit?usp=sharing"",""นครนายก!N307"")+IMPORTRANGE(""https://docs.google.com/spreadsheets/d/1YTZo6WM2dQ6Ix6FSdnL"&amp;"5P7uVnVKu40sxZu975tgG10E/edit?usp=sharing"",""นครปฐม!N307"")+IMPORTRANGE(""https://docs.google.com/spreadsheets/d/1OYoGg4WDg5RIzwGeB10padOxJF9E_Vljuvvct_M7RDo/edit?usp=sharing"",""ปทุมธานี!N307"")+IMPORTRANGE(""https://docs.google.com/spreadsheets/d/1GbCI"&amp;"E4D4wk9FUozzqk7SxfDMxDVBwVmI5zcaVUSzKAc/edit?usp=sharing"",""ประจวบคีรีขันธ์!N307"")+IMPORTRANGE(""https://docs.google.com/spreadsheets/d/1vVf6wykvW_lAyu7Yo9L4hUTqHqIeP_qcVuxCtosJEbg/edit?usp=sharing"",""ปราจีนบุรี!N307"")+IMPORTRANGE(""https://docs.googl"&amp;"e.com/spreadsheets/d/1BIDqLLg5jk3v59G8NlR8rk5xfQDKne0sAvZHSj7TI6I/edit?usp=sharing"",""พระนครศรีอยุธยา!N307"")+IMPORTRANGE(""https://docs.google.com/spreadsheets/d/1YXvxf8Yu6_rV4hTBrwMqAcAnv6DfhUxh5emyM3CJp_w/edit?usp=sharing"",""เพชรบุรี!N307"")+IMPORTRA"&amp;"NGE(""https://docs.google.com/spreadsheets/d/19KBlQQs7uwvsao6t2n-KvW3Ax8J8uRRfZPq1zPbXgKc/edit?usp=sharing"",""ระยอง!N307"")+IMPORTRANGE(""https://docs.google.com/spreadsheets/d/1jQ6P4QcrGM89YfqcC_PxOHGCMq5ezhucwJd8ci-NHng/edit?usp=sharing"",""ราชบุรี!N30"&amp;"7"")+IMPORTRANGE(""https://docs.google.com/spreadsheets/d/1lufeA2cfFqM-elVq2hznhDzC6Pr7wkJ9ZG_sYNGCMCU/edit?usp=sharing"",""ลพบุรี!N307"")+IMPORTRANGE(""https://docs.google.com/spreadsheets/d/10oOiF7loTyfsTkbd4MpaIm0HQ9SwB7IYHdIUvt-U1Uc/edit?usp=sharing"""&amp;",""สระแก้ว!N307"")+IMPORTRANGE(""https://docs.google.com/spreadsheets/d/1xmPlrr1QbdSIKvl1dWUl9K4PjAfSL9oeMr_37QVzcxc/edit?usp=sharing"",""สระบุรี!N307"")+IMPORTRANGE(""https://docs.google.com/spreadsheets/d/1j51vR6CYVGhABJpv6tkstgok82RLpXieLzW1yOY5rHw/edi"&amp;"t?usp=sharing"",""สิงห์บุรี!N307"")+IMPORTRANGE(""https://docs.google.com/spreadsheets/d/1H1EalTWKUSzO4Z1-1CwzoDUaVffgrThEBe2sl74kKG0/edit?usp=sharing"",""สุพรรณบุรี!N307"")+IMPORTRANGE(""https://docs.google.com/spreadsheets/d/1BmIruG_sIrJLYao_Pdr7zVArWsf"&amp;"oBt2692TMi6x_854/edit?usp=sharing"",""อ่างทอง!N307"")"),0)</f>
        <v>0</v>
      </c>
      <c r="O308" s="88">
        <f t="shared" ca="1" si="215"/>
        <v>0</v>
      </c>
      <c r="P308" s="88">
        <f t="shared" ca="1" si="216"/>
        <v>0</v>
      </c>
      <c r="Q308" s="76">
        <f ca="1">IFERROR(__xludf.DUMMYFUNCTION("IMPORTRANGE(""https://docs.google.com/spreadsheets/d/13wPX838HrBrQMCywv1BsuMkt4PEKTChp52zj44s2izQ/edit?usp=sharing"",""กาญจนบุรี!Q307"")+IMPORTRANGE(""https://docs.google.com/spreadsheets/d/1ddFKvqj1W1NEiWytbGlB1zMx_ykJDVtmfEQ-6-lIUBA/edit?usp=sharing"","&amp;"""จันทบุรี!Q307"")+IMPORTRANGE(""https://docs.google.com/spreadsheets/d/1T1PQvRODqOBZk8BRht_U031fIS1beLA0Ub2CEytj2q0/edit?usp=sharing"",""ฉะเชิงเทรา!Q307"")+IMPORTRANGE(""https://docs.google.com/spreadsheets/d/11tr1B-Bhyr79v2bkwVh5h_fR-PStkgjlZtkrZpYurG0/"&amp;"edit?usp=sharing"",""ชลบุรี!Q307"")+IMPORTRANGE(""https://docs.google.com/spreadsheets/d/1hh-FVnSX0vozXhGluamEcS54Dw9_zqW0N7qJUWgJ0Sw/edit?usp=sharing"",""ชัยนาท!Q307"")+IMPORTRANGE(""https://docs.google.com/spreadsheets/d/1jkqa6GXxSacMcY1eN8AHjMNJ_7dDXMJ"&amp;"VRLDlaFSOdPM/edit?usp=sharing"",""ตราด!Q307"")+IMPORTRANGE(""https://docs.google.com/spreadsheets/d/18hSgUJ3VwClqi_qtULmmW3cLr0oe3OKaSYoKzdpTsYQ/edit?usp=sharing"",""นครนายก!Q307"")+IMPORTRANGE(""https://docs.google.com/spreadsheets/d/1YTZo6WM2dQ6Ix6FSdnL"&amp;"5P7uVnVKu40sxZu975tgG10E/edit?usp=sharing"",""นครปฐม!Q307"")+IMPORTRANGE(""https://docs.google.com/spreadsheets/d/1OYoGg4WDg5RIzwGeB10padOxJF9E_Vljuvvct_M7RDo/edit?usp=sharing"",""ปทุมธานี!Q307"")+IMPORTRANGE(""https://docs.google.com/spreadsheets/d/1GbCI"&amp;"E4D4wk9FUozzqk7SxfDMxDVBwVmI5zcaVUSzKAc/edit?usp=sharing"",""ประจวบคีรีขันธ์!Q307"")+IMPORTRANGE(""https://docs.google.com/spreadsheets/d/1vVf6wykvW_lAyu7Yo9L4hUTqHqIeP_qcVuxCtosJEbg/edit?usp=sharing"",""ปราจีนบุรี!Q307"")+IMPORTRANGE(""https://docs.googl"&amp;"e.com/spreadsheets/d/1BIDqLLg5jk3v59G8NlR8rk5xfQDKne0sAvZHSj7TI6I/edit?usp=sharing"",""พระนครศรีอยุธยา!Q307"")+IMPORTRANGE(""https://docs.google.com/spreadsheets/d/1YXvxf8Yu6_rV4hTBrwMqAcAnv6DfhUxh5emyM3CJp_w/edit?usp=sharing"",""เพชรบุรี!Q307"")+IMPORTRA"&amp;"NGE(""https://docs.google.com/spreadsheets/d/19KBlQQs7uwvsao6t2n-KvW3Ax8J8uRRfZPq1zPbXgKc/edit?usp=sharing"",""ระยอง!Q307"")+IMPORTRANGE(""https://docs.google.com/spreadsheets/d/1jQ6P4QcrGM89YfqcC_PxOHGCMq5ezhucwJd8ci-NHng/edit?usp=sharing"",""ราชบุรี!Q30"&amp;"7"")+IMPORTRANGE(""https://docs.google.com/spreadsheets/d/1lufeA2cfFqM-elVq2hznhDzC6Pr7wkJ9ZG_sYNGCMCU/edit?usp=sharing"",""ลพบุรี!Q307"")+IMPORTRANGE(""https://docs.google.com/spreadsheets/d/10oOiF7loTyfsTkbd4MpaIm0HQ9SwB7IYHdIUvt-U1Uc/edit?usp=sharing"""&amp;",""สระแก้ว!Q307"")+IMPORTRANGE(""https://docs.google.com/spreadsheets/d/1xmPlrr1QbdSIKvl1dWUl9K4PjAfSL9oeMr_37QVzcxc/edit?usp=sharing"",""สระบุรี!Q307"")+IMPORTRANGE(""https://docs.google.com/spreadsheets/d/1j51vR6CYVGhABJpv6tkstgok82RLpXieLzW1yOY5rHw/edi"&amp;"t?usp=sharing"",""สิงห์บุรี!Q307"")+IMPORTRANGE(""https://docs.google.com/spreadsheets/d/1H1EalTWKUSzO4Z1-1CwzoDUaVffgrThEBe2sl74kKG0/edit?usp=sharing"",""สุพรรณบุรี!Q307"")+IMPORTRANGE(""https://docs.google.com/spreadsheets/d/1BmIruG_sIrJLYao_Pdr7zVArWsf"&amp;"oBt2692TMi6x_854/edit?usp=sharing"",""อ่างทอง!Q307"")"),0)</f>
        <v>0</v>
      </c>
      <c r="R308" s="77">
        <f ca="1">IFERROR(__xludf.DUMMYFUNCTION("IMPORTRANGE(""https://docs.google.com/spreadsheets/d/13wPX838HrBrQMCywv1BsuMkt4PEKTChp52zj44s2izQ/edit?usp=sharing"",""กาญจนบุรี!R307"")+IMPORTRANGE(""https://docs.google.com/spreadsheets/d/1ddFKvqj1W1NEiWytbGlB1zMx_ykJDVtmfEQ-6-lIUBA/edit?usp=sharing"","&amp;"""จันทบุรี!R307"")+IMPORTRANGE(""https://docs.google.com/spreadsheets/d/1T1PQvRODqOBZk8BRht_U031fIS1beLA0Ub2CEytj2q0/edit?usp=sharing"",""ฉะเชิงเทรา!R307"")+IMPORTRANGE(""https://docs.google.com/spreadsheets/d/11tr1B-Bhyr79v2bkwVh5h_fR-PStkgjlZtkrZpYurG0/"&amp;"edit?usp=sharing"",""ชลบุรี!R307"")+IMPORTRANGE(""https://docs.google.com/spreadsheets/d/1hh-FVnSX0vozXhGluamEcS54Dw9_zqW0N7qJUWgJ0Sw/edit?usp=sharing"",""ชัยนาท!R307"")+IMPORTRANGE(""https://docs.google.com/spreadsheets/d/1jkqa6GXxSacMcY1eN8AHjMNJ_7dDXMJ"&amp;"VRLDlaFSOdPM/edit?usp=sharing"",""ตราด!R307"")+IMPORTRANGE(""https://docs.google.com/spreadsheets/d/18hSgUJ3VwClqi_qtULmmW3cLr0oe3OKaSYoKzdpTsYQ/edit?usp=sharing"",""นครนายก!R307"")+IMPORTRANGE(""https://docs.google.com/spreadsheets/d/1YTZo6WM2dQ6Ix6FSdnL"&amp;"5P7uVnVKu40sxZu975tgG10E/edit?usp=sharing"",""นครปฐม!R307"")+IMPORTRANGE(""https://docs.google.com/spreadsheets/d/1OYoGg4WDg5RIzwGeB10padOxJF9E_Vljuvvct_M7RDo/edit?usp=sharing"",""ปทุมธานี!R307"")+IMPORTRANGE(""https://docs.google.com/spreadsheets/d/1GbCI"&amp;"E4D4wk9FUozzqk7SxfDMxDVBwVmI5zcaVUSzKAc/edit?usp=sharing"",""ประจวบคีรีขันธ์!R307"")+IMPORTRANGE(""https://docs.google.com/spreadsheets/d/1vVf6wykvW_lAyu7Yo9L4hUTqHqIeP_qcVuxCtosJEbg/edit?usp=sharing"",""ปราจีนบุรี!R307"")+IMPORTRANGE(""https://docs.googl"&amp;"e.com/spreadsheets/d/1BIDqLLg5jk3v59G8NlR8rk5xfQDKne0sAvZHSj7TI6I/edit?usp=sharing"",""พระนครศรีอยุธยา!R307"")+IMPORTRANGE(""https://docs.google.com/spreadsheets/d/1YXvxf8Yu6_rV4hTBrwMqAcAnv6DfhUxh5emyM3CJp_w/edit?usp=sharing"",""เพชรบุรี!R307"")+IMPORTRA"&amp;"NGE(""https://docs.google.com/spreadsheets/d/19KBlQQs7uwvsao6t2n-KvW3Ax8J8uRRfZPq1zPbXgKc/edit?usp=sharing"",""ระยอง!R307"")+IMPORTRANGE(""https://docs.google.com/spreadsheets/d/1jQ6P4QcrGM89YfqcC_PxOHGCMq5ezhucwJd8ci-NHng/edit?usp=sharing"",""ราชบุรี!R30"&amp;"7"")+IMPORTRANGE(""https://docs.google.com/spreadsheets/d/1lufeA2cfFqM-elVq2hznhDzC6Pr7wkJ9ZG_sYNGCMCU/edit?usp=sharing"",""ลพบุรี!R307"")+IMPORTRANGE(""https://docs.google.com/spreadsheets/d/10oOiF7loTyfsTkbd4MpaIm0HQ9SwB7IYHdIUvt-U1Uc/edit?usp=sharing"""&amp;",""สระแก้ว!R307"")+IMPORTRANGE(""https://docs.google.com/spreadsheets/d/1xmPlrr1QbdSIKvl1dWUl9K4PjAfSL9oeMr_37QVzcxc/edit?usp=sharing"",""สระบุรี!R307"")+IMPORTRANGE(""https://docs.google.com/spreadsheets/d/1j51vR6CYVGhABJpv6tkstgok82RLpXieLzW1yOY5rHw/edi"&amp;"t?usp=sharing"",""สิงห์บุรี!R307"")+IMPORTRANGE(""https://docs.google.com/spreadsheets/d/1H1EalTWKUSzO4Z1-1CwzoDUaVffgrThEBe2sl74kKG0/edit?usp=sharing"",""สุพรรณบุรี!R307"")+IMPORTRANGE(""https://docs.google.com/spreadsheets/d/1BmIruG_sIrJLYao_Pdr7zVArWsf"&amp;"oBt2692TMi6x_854/edit?usp=sharing"",""อ่างทอง!R307"")"),0)</f>
        <v>0</v>
      </c>
      <c r="S308" s="77">
        <f ca="1">IFERROR(__xludf.DUMMYFUNCTION("IMPORTRANGE(""https://docs.google.com/spreadsheets/d/13wPX838HrBrQMCywv1BsuMkt4PEKTChp52zj44s2izQ/edit?usp=sharing"",""กาญจนบุรี!S307"")+IMPORTRANGE(""https://docs.google.com/spreadsheets/d/1ddFKvqj1W1NEiWytbGlB1zMx_ykJDVtmfEQ-6-lIUBA/edit?usp=sharing"","&amp;"""จันทบุรี!S307"")+IMPORTRANGE(""https://docs.google.com/spreadsheets/d/1T1PQvRODqOBZk8BRht_U031fIS1beLA0Ub2CEytj2q0/edit?usp=sharing"",""ฉะเชิงเทรา!S307"")+IMPORTRANGE(""https://docs.google.com/spreadsheets/d/11tr1B-Bhyr79v2bkwVh5h_fR-PStkgjlZtkrZpYurG0/"&amp;"edit?usp=sharing"",""ชลบุรี!S307"")+IMPORTRANGE(""https://docs.google.com/spreadsheets/d/1hh-FVnSX0vozXhGluamEcS54Dw9_zqW0N7qJUWgJ0Sw/edit?usp=sharing"",""ชัยนาท!S307"")+IMPORTRANGE(""https://docs.google.com/spreadsheets/d/1jkqa6GXxSacMcY1eN8AHjMNJ_7dDXMJ"&amp;"VRLDlaFSOdPM/edit?usp=sharing"",""ตราด!S307"")+IMPORTRANGE(""https://docs.google.com/spreadsheets/d/18hSgUJ3VwClqi_qtULmmW3cLr0oe3OKaSYoKzdpTsYQ/edit?usp=sharing"",""นครนายก!S307"")+IMPORTRANGE(""https://docs.google.com/spreadsheets/d/1YTZo6WM2dQ6Ix6FSdnL"&amp;"5P7uVnVKu40sxZu975tgG10E/edit?usp=sharing"",""นครปฐม!S307"")+IMPORTRANGE(""https://docs.google.com/spreadsheets/d/1OYoGg4WDg5RIzwGeB10padOxJF9E_Vljuvvct_M7RDo/edit?usp=sharing"",""ปทุมธานี!S307"")+IMPORTRANGE(""https://docs.google.com/spreadsheets/d/1GbCI"&amp;"E4D4wk9FUozzqk7SxfDMxDVBwVmI5zcaVUSzKAc/edit?usp=sharing"",""ประจวบคีรีขันธ์!S307"")+IMPORTRANGE(""https://docs.google.com/spreadsheets/d/1vVf6wykvW_lAyu7Yo9L4hUTqHqIeP_qcVuxCtosJEbg/edit?usp=sharing"",""ปราจีนบุรี!S307"")+IMPORTRANGE(""https://docs.googl"&amp;"e.com/spreadsheets/d/1BIDqLLg5jk3v59G8NlR8rk5xfQDKne0sAvZHSj7TI6I/edit?usp=sharing"",""พระนครศรีอยุธยา!S307"")+IMPORTRANGE(""https://docs.google.com/spreadsheets/d/1YXvxf8Yu6_rV4hTBrwMqAcAnv6DfhUxh5emyM3CJp_w/edit?usp=sharing"",""เพชรบุรี!S307"")+IMPORTRA"&amp;"NGE(""https://docs.google.com/spreadsheets/d/19KBlQQs7uwvsao6t2n-KvW3Ax8J8uRRfZPq1zPbXgKc/edit?usp=sharing"",""ระยอง!S307"")+IMPORTRANGE(""https://docs.google.com/spreadsheets/d/1jQ6P4QcrGM89YfqcC_PxOHGCMq5ezhucwJd8ci-NHng/edit?usp=sharing"",""ราชบุรี!S30"&amp;"7"")+IMPORTRANGE(""https://docs.google.com/spreadsheets/d/1lufeA2cfFqM-elVq2hznhDzC6Pr7wkJ9ZG_sYNGCMCU/edit?usp=sharing"",""ลพบุรี!S307"")+IMPORTRANGE(""https://docs.google.com/spreadsheets/d/10oOiF7loTyfsTkbd4MpaIm0HQ9SwB7IYHdIUvt-U1Uc/edit?usp=sharing"""&amp;",""สระแก้ว!S307"")+IMPORTRANGE(""https://docs.google.com/spreadsheets/d/1xmPlrr1QbdSIKvl1dWUl9K4PjAfSL9oeMr_37QVzcxc/edit?usp=sharing"",""สระบุรี!S307"")+IMPORTRANGE(""https://docs.google.com/spreadsheets/d/1j51vR6CYVGhABJpv6tkstgok82RLpXieLzW1yOY5rHw/edi"&amp;"t?usp=sharing"",""สิงห์บุรี!S307"")+IMPORTRANGE(""https://docs.google.com/spreadsheets/d/1H1EalTWKUSzO4Z1-1CwzoDUaVffgrThEBe2sl74kKG0/edit?usp=sharing"",""สุพรรณบุรี!S307"")+IMPORTRANGE(""https://docs.google.com/spreadsheets/d/1BmIruG_sIrJLYao_Pdr7zVArWsf"&amp;"oBt2692TMi6x_854/edit?usp=sharing"",""อ่างทอง!S307"")"),0)</f>
        <v>0</v>
      </c>
      <c r="T308" s="133">
        <f t="shared" ca="1" si="218"/>
        <v>0</v>
      </c>
      <c r="U308" s="133">
        <f t="shared" ca="1" si="219"/>
        <v>0</v>
      </c>
    </row>
    <row r="309" spans="1:21" ht="18.75" x14ac:dyDescent="0.25">
      <c r="A309" s="209"/>
      <c r="B309" s="67"/>
      <c r="C309" s="67"/>
      <c r="D309" s="67"/>
      <c r="E309" s="75" t="s">
        <v>37</v>
      </c>
      <c r="F309" s="67"/>
      <c r="G309" s="69"/>
      <c r="H309" s="218" t="s">
        <v>14</v>
      </c>
      <c r="I309" s="219"/>
      <c r="J309" s="219"/>
      <c r="K309" s="220"/>
      <c r="L309" s="88">
        <f ca="1">IFERROR(__xludf.DUMMYFUNCTION("IMPORTRANGE(""https://docs.google.com/spreadsheets/d/13wPX838HrBrQMCywv1BsuMkt4PEKTChp52zj44s2izQ/edit?usp=sharing"",""กาญจนบุรี!L308"")+IMPORTRANGE(""https://docs.google.com/spreadsheets/d/1ddFKvqj1W1NEiWytbGlB1zMx_ykJDVtmfEQ-6-lIUBA/edit?usp=sharing"","&amp;"""จันทบุรี!L308"")+IMPORTRANGE(""https://docs.google.com/spreadsheets/d/1T1PQvRODqOBZk8BRht_U031fIS1beLA0Ub2CEytj2q0/edit?usp=sharing"",""ฉะเชิงเทรา!L308"")+IMPORTRANGE(""https://docs.google.com/spreadsheets/d/11tr1B-Bhyr79v2bkwVh5h_fR-PStkgjlZtkrZpYurG0/"&amp;"edit?usp=sharing"",""ชลบุรี!L308"")+IMPORTRANGE(""https://docs.google.com/spreadsheets/d/1hh-FVnSX0vozXhGluamEcS54Dw9_zqW0N7qJUWgJ0Sw/edit?usp=sharing"",""ชัยนาท!L308"")+IMPORTRANGE(""https://docs.google.com/spreadsheets/d/1jkqa6GXxSacMcY1eN8AHjMNJ_7dDXMJ"&amp;"VRLDlaFSOdPM/edit?usp=sharing"",""ตราด!L308"")+IMPORTRANGE(""https://docs.google.com/spreadsheets/d/18hSgUJ3VwClqi_qtULmmW3cLr0oe3OKaSYoKzdpTsYQ/edit?usp=sharing"",""นครนายก!L308"")+IMPORTRANGE(""https://docs.google.com/spreadsheets/d/1YTZo6WM2dQ6Ix6FSdnL"&amp;"5P7uVnVKu40sxZu975tgG10E/edit?usp=sharing"",""นครปฐม!L308"")+IMPORTRANGE(""https://docs.google.com/spreadsheets/d/1OYoGg4WDg5RIzwGeB10padOxJF9E_Vljuvvct_M7RDo/edit?usp=sharing"",""ปทุมธานี!L308"")+IMPORTRANGE(""https://docs.google.com/spreadsheets/d/1GbCI"&amp;"E4D4wk9FUozzqk7SxfDMxDVBwVmI5zcaVUSzKAc/edit?usp=sharing"",""ประจวบคีรีขันธ์!L308"")+IMPORTRANGE(""https://docs.google.com/spreadsheets/d/1vVf6wykvW_lAyu7Yo9L4hUTqHqIeP_qcVuxCtosJEbg/edit?usp=sharing"",""ปราจีนบุรี!L308"")+IMPORTRANGE(""https://docs.googl"&amp;"e.com/spreadsheets/d/1BIDqLLg5jk3v59G8NlR8rk5xfQDKne0sAvZHSj7TI6I/edit?usp=sharing"",""พระนครศรีอยุธยา!L308"")+IMPORTRANGE(""https://docs.google.com/spreadsheets/d/1YXvxf8Yu6_rV4hTBrwMqAcAnv6DfhUxh5emyM3CJp_w/edit?usp=sharing"",""เพชรบุรี!L308"")+IMPORTRA"&amp;"NGE(""https://docs.google.com/spreadsheets/d/19KBlQQs7uwvsao6t2n-KvW3Ax8J8uRRfZPq1zPbXgKc/edit?usp=sharing"",""ระยอง!L308"")+IMPORTRANGE(""https://docs.google.com/spreadsheets/d/1jQ6P4QcrGM89YfqcC_PxOHGCMq5ezhucwJd8ci-NHng/edit?usp=sharing"",""ราชบุรี!L30"&amp;"8"")+IMPORTRANGE(""https://docs.google.com/spreadsheets/d/1lufeA2cfFqM-elVq2hznhDzC6Pr7wkJ9ZG_sYNGCMCU/edit?usp=sharing"",""ลพบุรี!L308"")+IMPORTRANGE(""https://docs.google.com/spreadsheets/d/10oOiF7loTyfsTkbd4MpaIm0HQ9SwB7IYHdIUvt-U1Uc/edit?usp=sharing"""&amp;",""สระแก้ว!L308"")+IMPORTRANGE(""https://docs.google.com/spreadsheets/d/1xmPlrr1QbdSIKvl1dWUl9K4PjAfSL9oeMr_37QVzcxc/edit?usp=sharing"",""สระบุรี!L308"")+IMPORTRANGE(""https://docs.google.com/spreadsheets/d/1j51vR6CYVGhABJpv6tkstgok82RLpXieLzW1yOY5rHw/edi"&amp;"t?usp=sharing"",""สิงห์บุรี!L308"")+IMPORTRANGE(""https://docs.google.com/spreadsheets/d/1H1EalTWKUSzO4Z1-1CwzoDUaVffgrThEBe2sl74kKG0/edit?usp=sharing"",""สุพรรณบุรี!L308"")+IMPORTRANGE(""https://docs.google.com/spreadsheets/d/1BmIruG_sIrJLYao_Pdr7zVArWsf"&amp;"oBt2692TMi6x_854/edit?usp=sharing"",""อ่างทอง!L308"")"),1119100)</f>
        <v>1119100</v>
      </c>
      <c r="M309" s="88">
        <f ca="1">IFERROR(__xludf.DUMMYFUNCTION("IMPORTRANGE(""https://docs.google.com/spreadsheets/d/13wPX838HrBrQMCywv1BsuMkt4PEKTChp52zj44s2izQ/edit?usp=sharing"",""กาญจนบุรี!M308"")+IMPORTRANGE(""https://docs.google.com/spreadsheets/d/1ddFKvqj1W1NEiWytbGlB1zMx_ykJDVtmfEQ-6-lIUBA/edit?usp=sharing"","&amp;"""จันทบุรี!M308"")+IMPORTRANGE(""https://docs.google.com/spreadsheets/d/1T1PQvRODqOBZk8BRht_U031fIS1beLA0Ub2CEytj2q0/edit?usp=sharing"",""ฉะเชิงเทรา!M308"")+IMPORTRANGE(""https://docs.google.com/spreadsheets/d/11tr1B-Bhyr79v2bkwVh5h_fR-PStkgjlZtkrZpYurG0/"&amp;"edit?usp=sharing"",""ชลบุรี!M308"")+IMPORTRANGE(""https://docs.google.com/spreadsheets/d/1hh-FVnSX0vozXhGluamEcS54Dw9_zqW0N7qJUWgJ0Sw/edit?usp=sharing"",""ชัยนาท!M308"")+IMPORTRANGE(""https://docs.google.com/spreadsheets/d/1jkqa6GXxSacMcY1eN8AHjMNJ_7dDXMJ"&amp;"VRLDlaFSOdPM/edit?usp=sharing"",""ตราด!M308"")+IMPORTRANGE(""https://docs.google.com/spreadsheets/d/18hSgUJ3VwClqi_qtULmmW3cLr0oe3OKaSYoKzdpTsYQ/edit?usp=sharing"",""นครนายก!M308"")+IMPORTRANGE(""https://docs.google.com/spreadsheets/d/1YTZo6WM2dQ6Ix6FSdnL"&amp;"5P7uVnVKu40sxZu975tgG10E/edit?usp=sharing"",""นครปฐม!M308"")+IMPORTRANGE(""https://docs.google.com/spreadsheets/d/1OYoGg4WDg5RIzwGeB10padOxJF9E_Vljuvvct_M7RDo/edit?usp=sharing"",""ปทุมธานี!M308"")+IMPORTRANGE(""https://docs.google.com/spreadsheets/d/1GbCI"&amp;"E4D4wk9FUozzqk7SxfDMxDVBwVmI5zcaVUSzKAc/edit?usp=sharing"",""ประจวบคีรีขันธ์!M308"")+IMPORTRANGE(""https://docs.google.com/spreadsheets/d/1vVf6wykvW_lAyu7Yo9L4hUTqHqIeP_qcVuxCtosJEbg/edit?usp=sharing"",""ปราจีนบุรี!M308"")+IMPORTRANGE(""https://docs.googl"&amp;"e.com/spreadsheets/d/1BIDqLLg5jk3v59G8NlR8rk5xfQDKne0sAvZHSj7TI6I/edit?usp=sharing"",""พระนครศรีอยุธยา!M308"")+IMPORTRANGE(""https://docs.google.com/spreadsheets/d/1YXvxf8Yu6_rV4hTBrwMqAcAnv6DfhUxh5emyM3CJp_w/edit?usp=sharing"",""เพชรบุรี!M308"")+IMPORTRA"&amp;"NGE(""https://docs.google.com/spreadsheets/d/19KBlQQs7uwvsao6t2n-KvW3Ax8J8uRRfZPq1zPbXgKc/edit?usp=sharing"",""ระยอง!M308"")+IMPORTRANGE(""https://docs.google.com/spreadsheets/d/1jQ6P4QcrGM89YfqcC_PxOHGCMq5ezhucwJd8ci-NHng/edit?usp=sharing"",""ราชบุรี!M30"&amp;"8"")+IMPORTRANGE(""https://docs.google.com/spreadsheets/d/1lufeA2cfFqM-elVq2hznhDzC6Pr7wkJ9ZG_sYNGCMCU/edit?usp=sharing"",""ลพบุรี!M308"")+IMPORTRANGE(""https://docs.google.com/spreadsheets/d/10oOiF7loTyfsTkbd4MpaIm0HQ9SwB7IYHdIUvt-U1Uc/edit?usp=sharing"""&amp;",""สระแก้ว!M308"")+IMPORTRANGE(""https://docs.google.com/spreadsheets/d/1xmPlrr1QbdSIKvl1dWUl9K4PjAfSL9oeMr_37QVzcxc/edit?usp=sharing"",""สระบุรี!M308"")+IMPORTRANGE(""https://docs.google.com/spreadsheets/d/1j51vR6CYVGhABJpv6tkstgok82RLpXieLzW1yOY5rHw/edi"&amp;"t?usp=sharing"",""สิงห์บุรี!M308"")+IMPORTRANGE(""https://docs.google.com/spreadsheets/d/1H1EalTWKUSzO4Z1-1CwzoDUaVffgrThEBe2sl74kKG0/edit?usp=sharing"",""สุพรรณบุรี!M308"")+IMPORTRANGE(""https://docs.google.com/spreadsheets/d/1BmIruG_sIrJLYao_Pdr7zVArWsf"&amp;"oBt2692TMi6x_854/edit?usp=sharing"",""อ่างทอง!M308"")"),1119100)</f>
        <v>1119100</v>
      </c>
      <c r="N309" s="88">
        <f ca="1">IFERROR(__xludf.DUMMYFUNCTION("IMPORTRANGE(""https://docs.google.com/spreadsheets/d/13wPX838HrBrQMCywv1BsuMkt4PEKTChp52zj44s2izQ/edit?usp=sharing"",""กาญจนบุรี!N308"")+IMPORTRANGE(""https://docs.google.com/spreadsheets/d/1ddFKvqj1W1NEiWytbGlB1zMx_ykJDVtmfEQ-6-lIUBA/edit?usp=sharing"","&amp;"""จันทบุรี!N308"")+IMPORTRANGE(""https://docs.google.com/spreadsheets/d/1T1PQvRODqOBZk8BRht_U031fIS1beLA0Ub2CEytj2q0/edit?usp=sharing"",""ฉะเชิงเทรา!N308"")+IMPORTRANGE(""https://docs.google.com/spreadsheets/d/11tr1B-Bhyr79v2bkwVh5h_fR-PStkgjlZtkrZpYurG0/"&amp;"edit?usp=sharing"",""ชลบุรี!N308"")+IMPORTRANGE(""https://docs.google.com/spreadsheets/d/1hh-FVnSX0vozXhGluamEcS54Dw9_zqW0N7qJUWgJ0Sw/edit?usp=sharing"",""ชัยนาท!N308"")+IMPORTRANGE(""https://docs.google.com/spreadsheets/d/1jkqa6GXxSacMcY1eN8AHjMNJ_7dDXMJ"&amp;"VRLDlaFSOdPM/edit?usp=sharing"",""ตราด!N308"")+IMPORTRANGE(""https://docs.google.com/spreadsheets/d/18hSgUJ3VwClqi_qtULmmW3cLr0oe3OKaSYoKzdpTsYQ/edit?usp=sharing"",""นครนายก!N308"")+IMPORTRANGE(""https://docs.google.com/spreadsheets/d/1YTZo6WM2dQ6Ix6FSdnL"&amp;"5P7uVnVKu40sxZu975tgG10E/edit?usp=sharing"",""นครปฐม!N308"")+IMPORTRANGE(""https://docs.google.com/spreadsheets/d/1OYoGg4WDg5RIzwGeB10padOxJF9E_Vljuvvct_M7RDo/edit?usp=sharing"",""ปทุมธานี!N308"")+IMPORTRANGE(""https://docs.google.com/spreadsheets/d/1GbCI"&amp;"E4D4wk9FUozzqk7SxfDMxDVBwVmI5zcaVUSzKAc/edit?usp=sharing"",""ประจวบคีรีขันธ์!N308"")+IMPORTRANGE(""https://docs.google.com/spreadsheets/d/1vVf6wykvW_lAyu7Yo9L4hUTqHqIeP_qcVuxCtosJEbg/edit?usp=sharing"",""ปราจีนบุรี!N308"")+IMPORTRANGE(""https://docs.googl"&amp;"e.com/spreadsheets/d/1BIDqLLg5jk3v59G8NlR8rk5xfQDKne0sAvZHSj7TI6I/edit?usp=sharing"",""พระนครศรีอยุธยา!N308"")+IMPORTRANGE(""https://docs.google.com/spreadsheets/d/1YXvxf8Yu6_rV4hTBrwMqAcAnv6DfhUxh5emyM3CJp_w/edit?usp=sharing"",""เพชรบุรี!N308"")+IMPORTRA"&amp;"NGE(""https://docs.google.com/spreadsheets/d/19KBlQQs7uwvsao6t2n-KvW3Ax8J8uRRfZPq1zPbXgKc/edit?usp=sharing"",""ระยอง!N308"")+IMPORTRANGE(""https://docs.google.com/spreadsheets/d/1jQ6P4QcrGM89YfqcC_PxOHGCMq5ezhucwJd8ci-NHng/edit?usp=sharing"",""ราชบุรี!N30"&amp;"8"")+IMPORTRANGE(""https://docs.google.com/spreadsheets/d/1lufeA2cfFqM-elVq2hznhDzC6Pr7wkJ9ZG_sYNGCMCU/edit?usp=sharing"",""ลพบุรี!N308"")+IMPORTRANGE(""https://docs.google.com/spreadsheets/d/10oOiF7loTyfsTkbd4MpaIm0HQ9SwB7IYHdIUvt-U1Uc/edit?usp=sharing"""&amp;",""สระแก้ว!N308"")+IMPORTRANGE(""https://docs.google.com/spreadsheets/d/1xmPlrr1QbdSIKvl1dWUl9K4PjAfSL9oeMr_37QVzcxc/edit?usp=sharing"",""สระบุรี!N308"")+IMPORTRANGE(""https://docs.google.com/spreadsheets/d/1j51vR6CYVGhABJpv6tkstgok82RLpXieLzW1yOY5rHw/edi"&amp;"t?usp=sharing"",""สิงห์บุรี!N308"")+IMPORTRANGE(""https://docs.google.com/spreadsheets/d/1H1EalTWKUSzO4Z1-1CwzoDUaVffgrThEBe2sl74kKG0/edit?usp=sharing"",""สุพรรณบุรี!N308"")+IMPORTRANGE(""https://docs.google.com/spreadsheets/d/1BmIruG_sIrJLYao_Pdr7zVArWsf"&amp;"oBt2692TMi6x_854/edit?usp=sharing"",""อ่างทอง!N308"")"),355807.339999999)</f>
        <v>355807.33999999898</v>
      </c>
      <c r="O309" s="88">
        <f t="shared" ca="1" si="215"/>
        <v>31.794061299258239</v>
      </c>
      <c r="P309" s="88">
        <f t="shared" ca="1" si="216"/>
        <v>31.794061299258239</v>
      </c>
      <c r="Q309" s="131">
        <f ca="1">IFERROR(__xludf.DUMMYFUNCTION("IMPORTRANGE(""https://docs.google.com/spreadsheets/d/13wPX838HrBrQMCywv1BsuMkt4PEKTChp52zj44s2izQ/edit?usp=sharing"",""กาญจนบุรี!Q308"")+IMPORTRANGE(""https://docs.google.com/spreadsheets/d/1ddFKvqj1W1NEiWytbGlB1zMx_ykJDVtmfEQ-6-lIUBA/edit?usp=sharing"","&amp;"""จันทบุรี!Q308"")+IMPORTRANGE(""https://docs.google.com/spreadsheets/d/1T1PQvRODqOBZk8BRht_U031fIS1beLA0Ub2CEytj2q0/edit?usp=sharing"",""ฉะเชิงเทรา!Q308"")+IMPORTRANGE(""https://docs.google.com/spreadsheets/d/11tr1B-Bhyr79v2bkwVh5h_fR-PStkgjlZtkrZpYurG0/"&amp;"edit?usp=sharing"",""ชลบุรี!Q308"")+IMPORTRANGE(""https://docs.google.com/spreadsheets/d/1hh-FVnSX0vozXhGluamEcS54Dw9_zqW0N7qJUWgJ0Sw/edit?usp=sharing"",""ชัยนาท!Q308"")+IMPORTRANGE(""https://docs.google.com/spreadsheets/d/1jkqa6GXxSacMcY1eN8AHjMNJ_7dDXMJ"&amp;"VRLDlaFSOdPM/edit?usp=sharing"",""ตราด!Q308"")+IMPORTRANGE(""https://docs.google.com/spreadsheets/d/18hSgUJ3VwClqi_qtULmmW3cLr0oe3OKaSYoKzdpTsYQ/edit?usp=sharing"",""นครนายก!Q308"")+IMPORTRANGE(""https://docs.google.com/spreadsheets/d/1YTZo6WM2dQ6Ix6FSdnL"&amp;"5P7uVnVKu40sxZu975tgG10E/edit?usp=sharing"",""นครปฐม!Q308"")+IMPORTRANGE(""https://docs.google.com/spreadsheets/d/1OYoGg4WDg5RIzwGeB10padOxJF9E_Vljuvvct_M7RDo/edit?usp=sharing"",""ปทุมธานี!Q308"")+IMPORTRANGE(""https://docs.google.com/spreadsheets/d/1GbCI"&amp;"E4D4wk9FUozzqk7SxfDMxDVBwVmI5zcaVUSzKAc/edit?usp=sharing"",""ประจวบคีรีขันธ์!Q308"")+IMPORTRANGE(""https://docs.google.com/spreadsheets/d/1vVf6wykvW_lAyu7Yo9L4hUTqHqIeP_qcVuxCtosJEbg/edit?usp=sharing"",""ปราจีนบุรี!Q308"")+IMPORTRANGE(""https://docs.googl"&amp;"e.com/spreadsheets/d/1BIDqLLg5jk3v59G8NlR8rk5xfQDKne0sAvZHSj7TI6I/edit?usp=sharing"",""พระนครศรีอยุธยา!Q308"")+IMPORTRANGE(""https://docs.google.com/spreadsheets/d/1YXvxf8Yu6_rV4hTBrwMqAcAnv6DfhUxh5emyM3CJp_w/edit?usp=sharing"",""เพชรบุรี!Q308"")+IMPORTRA"&amp;"NGE(""https://docs.google.com/spreadsheets/d/19KBlQQs7uwvsao6t2n-KvW3Ax8J8uRRfZPq1zPbXgKc/edit?usp=sharing"",""ระยอง!Q308"")+IMPORTRANGE(""https://docs.google.com/spreadsheets/d/1jQ6P4QcrGM89YfqcC_PxOHGCMq5ezhucwJd8ci-NHng/edit?usp=sharing"",""ราชบุรี!Q30"&amp;"8"")+IMPORTRANGE(""https://docs.google.com/spreadsheets/d/1lufeA2cfFqM-elVq2hznhDzC6Pr7wkJ9ZG_sYNGCMCU/edit?usp=sharing"",""ลพบุรี!Q308"")+IMPORTRANGE(""https://docs.google.com/spreadsheets/d/10oOiF7loTyfsTkbd4MpaIm0HQ9SwB7IYHdIUvt-U1Uc/edit?usp=sharing"""&amp;",""สระแก้ว!Q308"")+IMPORTRANGE(""https://docs.google.com/spreadsheets/d/1xmPlrr1QbdSIKvl1dWUl9K4PjAfSL9oeMr_37QVzcxc/edit?usp=sharing"",""สระบุรี!Q308"")+IMPORTRANGE(""https://docs.google.com/spreadsheets/d/1j51vR6CYVGhABJpv6tkstgok82RLpXieLzW1yOY5rHw/edi"&amp;"t?usp=sharing"",""สิงห์บุรี!Q308"")+IMPORTRANGE(""https://docs.google.com/spreadsheets/d/1H1EalTWKUSzO4Z1-1CwzoDUaVffgrThEBe2sl74kKG0/edit?usp=sharing"",""สุพรรณบุรี!Q308"")+IMPORTRANGE(""https://docs.google.com/spreadsheets/d/1BmIruG_sIrJLYao_Pdr7zVArWsf"&amp;"oBt2692TMi6x_854/edit?usp=sharing"",""อ่างทอง!Q308"")"),2884993.65)</f>
        <v>2884993.65</v>
      </c>
      <c r="R309" s="132">
        <f ca="1">IFERROR(__xludf.DUMMYFUNCTION("IMPORTRANGE(""https://docs.google.com/spreadsheets/d/13wPX838HrBrQMCywv1BsuMkt4PEKTChp52zj44s2izQ/edit?usp=sharing"",""กาญจนบุรี!R308"")+IMPORTRANGE(""https://docs.google.com/spreadsheets/d/1ddFKvqj1W1NEiWytbGlB1zMx_ykJDVtmfEQ-6-lIUBA/edit?usp=sharing"","&amp;"""จันทบุรี!R308"")+IMPORTRANGE(""https://docs.google.com/spreadsheets/d/1T1PQvRODqOBZk8BRht_U031fIS1beLA0Ub2CEytj2q0/edit?usp=sharing"",""ฉะเชิงเทรา!R308"")+IMPORTRANGE(""https://docs.google.com/spreadsheets/d/11tr1B-Bhyr79v2bkwVh5h_fR-PStkgjlZtkrZpYurG0/"&amp;"edit?usp=sharing"",""ชลบุรี!R308"")+IMPORTRANGE(""https://docs.google.com/spreadsheets/d/1hh-FVnSX0vozXhGluamEcS54Dw9_zqW0N7qJUWgJ0Sw/edit?usp=sharing"",""ชัยนาท!R308"")+IMPORTRANGE(""https://docs.google.com/spreadsheets/d/1jkqa6GXxSacMcY1eN8AHjMNJ_7dDXMJ"&amp;"VRLDlaFSOdPM/edit?usp=sharing"",""ตราด!R308"")+IMPORTRANGE(""https://docs.google.com/spreadsheets/d/18hSgUJ3VwClqi_qtULmmW3cLr0oe3OKaSYoKzdpTsYQ/edit?usp=sharing"",""นครนายก!R308"")+IMPORTRANGE(""https://docs.google.com/spreadsheets/d/1YTZo6WM2dQ6Ix6FSdnL"&amp;"5P7uVnVKu40sxZu975tgG10E/edit?usp=sharing"",""นครปฐม!R308"")+IMPORTRANGE(""https://docs.google.com/spreadsheets/d/1OYoGg4WDg5RIzwGeB10padOxJF9E_Vljuvvct_M7RDo/edit?usp=sharing"",""ปทุมธานี!R308"")+IMPORTRANGE(""https://docs.google.com/spreadsheets/d/1GbCI"&amp;"E4D4wk9FUozzqk7SxfDMxDVBwVmI5zcaVUSzKAc/edit?usp=sharing"",""ประจวบคีรีขันธ์!R308"")+IMPORTRANGE(""https://docs.google.com/spreadsheets/d/1vVf6wykvW_lAyu7Yo9L4hUTqHqIeP_qcVuxCtosJEbg/edit?usp=sharing"",""ปราจีนบุรี!R308"")+IMPORTRANGE(""https://docs.googl"&amp;"e.com/spreadsheets/d/1BIDqLLg5jk3v59G8NlR8rk5xfQDKne0sAvZHSj7TI6I/edit?usp=sharing"",""พระนครศรีอยุธยา!R308"")+IMPORTRANGE(""https://docs.google.com/spreadsheets/d/1YXvxf8Yu6_rV4hTBrwMqAcAnv6DfhUxh5emyM3CJp_w/edit?usp=sharing"",""เพชรบุรี!R308"")+IMPORTRA"&amp;"NGE(""https://docs.google.com/spreadsheets/d/19KBlQQs7uwvsao6t2n-KvW3Ax8J8uRRfZPq1zPbXgKc/edit?usp=sharing"",""ระยอง!R308"")+IMPORTRANGE(""https://docs.google.com/spreadsheets/d/1jQ6P4QcrGM89YfqcC_PxOHGCMq5ezhucwJd8ci-NHng/edit?usp=sharing"",""ราชบุรี!R30"&amp;"8"")+IMPORTRANGE(""https://docs.google.com/spreadsheets/d/1lufeA2cfFqM-elVq2hznhDzC6Pr7wkJ9ZG_sYNGCMCU/edit?usp=sharing"",""ลพบุรี!R308"")+IMPORTRANGE(""https://docs.google.com/spreadsheets/d/10oOiF7loTyfsTkbd4MpaIm0HQ9SwB7IYHdIUvt-U1Uc/edit?usp=sharing"""&amp;",""สระแก้ว!R308"")+IMPORTRANGE(""https://docs.google.com/spreadsheets/d/1xmPlrr1QbdSIKvl1dWUl9K4PjAfSL9oeMr_37QVzcxc/edit?usp=sharing"",""สระบุรี!R308"")+IMPORTRANGE(""https://docs.google.com/spreadsheets/d/1j51vR6CYVGhABJpv6tkstgok82RLpXieLzW1yOY5rHw/edi"&amp;"t?usp=sharing"",""สิงห์บุรี!R308"")+IMPORTRANGE(""https://docs.google.com/spreadsheets/d/1H1EalTWKUSzO4Z1-1CwzoDUaVffgrThEBe2sl74kKG0/edit?usp=sharing"",""สุพรรณบุรี!R308"")+IMPORTRANGE(""https://docs.google.com/spreadsheets/d/1BmIruG_sIrJLYao_Pdr7zVArWsf"&amp;"oBt2692TMi6x_854/edit?usp=sharing"",""อ่างทอง!R308"")"),2884989)</f>
        <v>2884989</v>
      </c>
      <c r="S309" s="132">
        <f ca="1">IFERROR(__xludf.DUMMYFUNCTION("IMPORTRANGE(""https://docs.google.com/spreadsheets/d/13wPX838HrBrQMCywv1BsuMkt4PEKTChp52zj44s2izQ/edit?usp=sharing"",""กาญจนบุรี!S308"")+IMPORTRANGE(""https://docs.google.com/spreadsheets/d/1ddFKvqj1W1NEiWytbGlB1zMx_ykJDVtmfEQ-6-lIUBA/edit?usp=sharing"","&amp;"""จันทบุรี!S308"")+IMPORTRANGE(""https://docs.google.com/spreadsheets/d/1T1PQvRODqOBZk8BRht_U031fIS1beLA0Ub2CEytj2q0/edit?usp=sharing"",""ฉะเชิงเทรา!S308"")+IMPORTRANGE(""https://docs.google.com/spreadsheets/d/11tr1B-Bhyr79v2bkwVh5h_fR-PStkgjlZtkrZpYurG0/"&amp;"edit?usp=sharing"",""ชลบุรี!S308"")+IMPORTRANGE(""https://docs.google.com/spreadsheets/d/1hh-FVnSX0vozXhGluamEcS54Dw9_zqW0N7qJUWgJ0Sw/edit?usp=sharing"",""ชัยนาท!S308"")+IMPORTRANGE(""https://docs.google.com/spreadsheets/d/1jkqa6GXxSacMcY1eN8AHjMNJ_7dDXMJ"&amp;"VRLDlaFSOdPM/edit?usp=sharing"",""ตราด!S308"")+IMPORTRANGE(""https://docs.google.com/spreadsheets/d/18hSgUJ3VwClqi_qtULmmW3cLr0oe3OKaSYoKzdpTsYQ/edit?usp=sharing"",""นครนายก!S308"")+IMPORTRANGE(""https://docs.google.com/spreadsheets/d/1YTZo6WM2dQ6Ix6FSdnL"&amp;"5P7uVnVKu40sxZu975tgG10E/edit?usp=sharing"",""นครปฐม!S308"")+IMPORTRANGE(""https://docs.google.com/spreadsheets/d/1OYoGg4WDg5RIzwGeB10padOxJF9E_Vljuvvct_M7RDo/edit?usp=sharing"",""ปทุมธานี!S308"")+IMPORTRANGE(""https://docs.google.com/spreadsheets/d/1GbCI"&amp;"E4D4wk9FUozzqk7SxfDMxDVBwVmI5zcaVUSzKAc/edit?usp=sharing"",""ประจวบคีรีขันธ์!S308"")+IMPORTRANGE(""https://docs.google.com/spreadsheets/d/1vVf6wykvW_lAyu7Yo9L4hUTqHqIeP_qcVuxCtosJEbg/edit?usp=sharing"",""ปราจีนบุรี!S308"")+IMPORTRANGE(""https://docs.googl"&amp;"e.com/spreadsheets/d/1BIDqLLg5jk3v59G8NlR8rk5xfQDKne0sAvZHSj7TI6I/edit?usp=sharing"",""พระนครศรีอยุธยา!S308"")+IMPORTRANGE(""https://docs.google.com/spreadsheets/d/1YXvxf8Yu6_rV4hTBrwMqAcAnv6DfhUxh5emyM3CJp_w/edit?usp=sharing"",""เพชรบุรี!S308"")+IMPORTRA"&amp;"NGE(""https://docs.google.com/spreadsheets/d/19KBlQQs7uwvsao6t2n-KvW3Ax8J8uRRfZPq1zPbXgKc/edit?usp=sharing"",""ระยอง!S308"")+IMPORTRANGE(""https://docs.google.com/spreadsheets/d/1jQ6P4QcrGM89YfqcC_PxOHGCMq5ezhucwJd8ci-NHng/edit?usp=sharing"",""ราชบุรี!S30"&amp;"8"")+IMPORTRANGE(""https://docs.google.com/spreadsheets/d/1lufeA2cfFqM-elVq2hznhDzC6Pr7wkJ9ZG_sYNGCMCU/edit?usp=sharing"",""ลพบุรี!S308"")+IMPORTRANGE(""https://docs.google.com/spreadsheets/d/10oOiF7loTyfsTkbd4MpaIm0HQ9SwB7IYHdIUvt-U1Uc/edit?usp=sharing"""&amp;",""สระแก้ว!S308"")+IMPORTRANGE(""https://docs.google.com/spreadsheets/d/1xmPlrr1QbdSIKvl1dWUl9K4PjAfSL9oeMr_37QVzcxc/edit?usp=sharing"",""สระบุรี!S308"")+IMPORTRANGE(""https://docs.google.com/spreadsheets/d/1j51vR6CYVGhABJpv6tkstgok82RLpXieLzW1yOY5rHw/edi"&amp;"t?usp=sharing"",""สิงห์บุรี!S308"")+IMPORTRANGE(""https://docs.google.com/spreadsheets/d/1H1EalTWKUSzO4Z1-1CwzoDUaVffgrThEBe2sl74kKG0/edit?usp=sharing"",""สุพรรณบุรี!S308"")+IMPORTRANGE(""https://docs.google.com/spreadsheets/d/1BmIruG_sIrJLYao_Pdr7zVArWsf"&amp;"oBt2692TMi6x_854/edit?usp=sharing"",""อ่างทอง!S308"")"),0)</f>
        <v>0</v>
      </c>
      <c r="T309" s="132">
        <f t="shared" ca="1" si="218"/>
        <v>0</v>
      </c>
      <c r="U309" s="132">
        <f t="shared" ca="1" si="219"/>
        <v>0</v>
      </c>
    </row>
    <row r="310" spans="1:21" ht="18.75" x14ac:dyDescent="0.25">
      <c r="A310" s="209"/>
      <c r="B310" s="67"/>
      <c r="C310" s="67"/>
      <c r="D310" s="68" t="s">
        <v>23</v>
      </c>
      <c r="E310" s="67"/>
      <c r="F310" s="67"/>
      <c r="G310" s="69"/>
      <c r="H310" s="221" t="s">
        <v>14</v>
      </c>
      <c r="I310" s="219"/>
      <c r="J310" s="219"/>
      <c r="K310" s="220"/>
      <c r="L310" s="88">
        <f t="shared" ref="L310:N310" ca="1" si="226">L311+L312</f>
        <v>0</v>
      </c>
      <c r="M310" s="88">
        <f t="shared" ca="1" si="226"/>
        <v>0</v>
      </c>
      <c r="N310" s="88">
        <f t="shared" ca="1" si="226"/>
        <v>0</v>
      </c>
      <c r="O310" s="88">
        <f t="shared" ca="1" si="215"/>
        <v>0</v>
      </c>
      <c r="P310" s="88">
        <f t="shared" ca="1" si="216"/>
        <v>0</v>
      </c>
      <c r="Q310" s="131">
        <f t="shared" ref="Q310:S310" ca="1" si="227">Q311+Q312</f>
        <v>0</v>
      </c>
      <c r="R310" s="132">
        <f t="shared" ca="1" si="227"/>
        <v>0</v>
      </c>
      <c r="S310" s="132">
        <f t="shared" ca="1" si="227"/>
        <v>0</v>
      </c>
      <c r="T310" s="132">
        <f t="shared" ca="1" si="218"/>
        <v>0</v>
      </c>
      <c r="U310" s="132">
        <f t="shared" ca="1" si="219"/>
        <v>0</v>
      </c>
    </row>
    <row r="311" spans="1:21" ht="18.75" x14ac:dyDescent="0.25">
      <c r="A311" s="209"/>
      <c r="B311" s="67"/>
      <c r="C311" s="67"/>
      <c r="D311" s="67"/>
      <c r="E311" s="75" t="s">
        <v>20</v>
      </c>
      <c r="F311" s="67"/>
      <c r="G311" s="69"/>
      <c r="H311" s="218" t="s">
        <v>14</v>
      </c>
      <c r="I311" s="219"/>
      <c r="J311" s="219"/>
      <c r="K311" s="220"/>
      <c r="L311" s="88">
        <f ca="1">IFERROR(__xludf.DUMMYFUNCTION("IMPORTRANGE(""https://docs.google.com/spreadsheets/d/13wPX838HrBrQMCywv1BsuMkt4PEKTChp52zj44s2izQ/edit?usp=sharing"",""กาญจนบุรี!L310"")+IMPORTRANGE(""https://docs.google.com/spreadsheets/d/1ddFKvqj1W1NEiWytbGlB1zMx_ykJDVtmfEQ-6-lIUBA/edit?usp=sharing"","&amp;"""จันทบุรี!L310"")+IMPORTRANGE(""https://docs.google.com/spreadsheets/d/1T1PQvRODqOBZk8BRht_U031fIS1beLA0Ub2CEytj2q0/edit?usp=sharing"",""ฉะเชิงเทรา!L310"")+IMPORTRANGE(""https://docs.google.com/spreadsheets/d/11tr1B-Bhyr79v2bkwVh5h_fR-PStkgjlZtkrZpYurG0/"&amp;"edit?usp=sharing"",""ชลบุรี!L310"")+IMPORTRANGE(""https://docs.google.com/spreadsheets/d/1hh-FVnSX0vozXhGluamEcS54Dw9_zqW0N7qJUWgJ0Sw/edit?usp=sharing"",""ชัยนาท!L310"")+IMPORTRANGE(""https://docs.google.com/spreadsheets/d/1jkqa6GXxSacMcY1eN8AHjMNJ_7dDXMJ"&amp;"VRLDlaFSOdPM/edit?usp=sharing"",""ตราด!L310"")+IMPORTRANGE(""https://docs.google.com/spreadsheets/d/18hSgUJ3VwClqi_qtULmmW3cLr0oe3OKaSYoKzdpTsYQ/edit?usp=sharing"",""นครนายก!L310"")+IMPORTRANGE(""https://docs.google.com/spreadsheets/d/1YTZo6WM2dQ6Ix6FSdnL"&amp;"5P7uVnVKu40sxZu975tgG10E/edit?usp=sharing"",""นครปฐม!L310"")+IMPORTRANGE(""https://docs.google.com/spreadsheets/d/1OYoGg4WDg5RIzwGeB10padOxJF9E_Vljuvvct_M7RDo/edit?usp=sharing"",""ปทุมธานี!L310"")+IMPORTRANGE(""https://docs.google.com/spreadsheets/d/1GbCI"&amp;"E4D4wk9FUozzqk7SxfDMxDVBwVmI5zcaVUSzKAc/edit?usp=sharing"",""ประจวบคีรีขันธ์!L310"")+IMPORTRANGE(""https://docs.google.com/spreadsheets/d/1vVf6wykvW_lAyu7Yo9L4hUTqHqIeP_qcVuxCtosJEbg/edit?usp=sharing"",""ปราจีนบุรี!L310"")+IMPORTRANGE(""https://docs.googl"&amp;"e.com/spreadsheets/d/1BIDqLLg5jk3v59G8NlR8rk5xfQDKne0sAvZHSj7TI6I/edit?usp=sharing"",""พระนครศรีอยุธยา!L310"")+IMPORTRANGE(""https://docs.google.com/spreadsheets/d/1YXvxf8Yu6_rV4hTBrwMqAcAnv6DfhUxh5emyM3CJp_w/edit?usp=sharing"",""เพชรบุรี!L310"")+IMPORTRA"&amp;"NGE(""https://docs.google.com/spreadsheets/d/19KBlQQs7uwvsao6t2n-KvW3Ax8J8uRRfZPq1zPbXgKc/edit?usp=sharing"",""ระยอง!L310"")+IMPORTRANGE(""https://docs.google.com/spreadsheets/d/1jQ6P4QcrGM89YfqcC_PxOHGCMq5ezhucwJd8ci-NHng/edit?usp=sharing"",""ราชบุรี!L31"&amp;"0"")+IMPORTRANGE(""https://docs.google.com/spreadsheets/d/1lufeA2cfFqM-elVq2hznhDzC6Pr7wkJ9ZG_sYNGCMCU/edit?usp=sharing"",""ลพบุรี!L310"")+IMPORTRANGE(""https://docs.google.com/spreadsheets/d/10oOiF7loTyfsTkbd4MpaIm0HQ9SwB7IYHdIUvt-U1Uc/edit?usp=sharing"""&amp;",""สระแก้ว!L310"")+IMPORTRANGE(""https://docs.google.com/spreadsheets/d/1xmPlrr1QbdSIKvl1dWUl9K4PjAfSL9oeMr_37QVzcxc/edit?usp=sharing"",""สระบุรี!L310"")+IMPORTRANGE(""https://docs.google.com/spreadsheets/d/1j51vR6CYVGhABJpv6tkstgok82RLpXieLzW1yOY5rHw/edi"&amp;"t?usp=sharing"",""สิงห์บุรี!L310"")+IMPORTRANGE(""https://docs.google.com/spreadsheets/d/1H1EalTWKUSzO4Z1-1CwzoDUaVffgrThEBe2sl74kKG0/edit?usp=sharing"",""สุพรรณบุรี!L310"")+IMPORTRANGE(""https://docs.google.com/spreadsheets/d/1BmIruG_sIrJLYao_Pdr7zVArWsf"&amp;"oBt2692TMi6x_854/edit?usp=sharing"",""อ่างทอง!L310"")"),0)</f>
        <v>0</v>
      </c>
      <c r="M311" s="88">
        <f ca="1">IFERROR(__xludf.DUMMYFUNCTION("IMPORTRANGE(""https://docs.google.com/spreadsheets/d/13wPX838HrBrQMCywv1BsuMkt4PEKTChp52zj44s2izQ/edit?usp=sharing"",""กาญจนบุรี!M310"")+IMPORTRANGE(""https://docs.google.com/spreadsheets/d/1ddFKvqj1W1NEiWytbGlB1zMx_ykJDVtmfEQ-6-lIUBA/edit?usp=sharing"","&amp;"""จันทบุรี!M310"")+IMPORTRANGE(""https://docs.google.com/spreadsheets/d/1T1PQvRODqOBZk8BRht_U031fIS1beLA0Ub2CEytj2q0/edit?usp=sharing"",""ฉะเชิงเทรา!M310"")+IMPORTRANGE(""https://docs.google.com/spreadsheets/d/11tr1B-Bhyr79v2bkwVh5h_fR-PStkgjlZtkrZpYurG0/"&amp;"edit?usp=sharing"",""ชลบุรี!M310"")+IMPORTRANGE(""https://docs.google.com/spreadsheets/d/1hh-FVnSX0vozXhGluamEcS54Dw9_zqW0N7qJUWgJ0Sw/edit?usp=sharing"",""ชัยนาท!M310"")+IMPORTRANGE(""https://docs.google.com/spreadsheets/d/1jkqa6GXxSacMcY1eN8AHjMNJ_7dDXMJ"&amp;"VRLDlaFSOdPM/edit?usp=sharing"",""ตราด!M310"")+IMPORTRANGE(""https://docs.google.com/spreadsheets/d/18hSgUJ3VwClqi_qtULmmW3cLr0oe3OKaSYoKzdpTsYQ/edit?usp=sharing"",""นครนายก!M310"")+IMPORTRANGE(""https://docs.google.com/spreadsheets/d/1YTZo6WM2dQ6Ix6FSdnL"&amp;"5P7uVnVKu40sxZu975tgG10E/edit?usp=sharing"",""นครปฐม!M310"")+IMPORTRANGE(""https://docs.google.com/spreadsheets/d/1OYoGg4WDg5RIzwGeB10padOxJF9E_Vljuvvct_M7RDo/edit?usp=sharing"",""ปทุมธานี!M310"")+IMPORTRANGE(""https://docs.google.com/spreadsheets/d/1GbCI"&amp;"E4D4wk9FUozzqk7SxfDMxDVBwVmI5zcaVUSzKAc/edit?usp=sharing"",""ประจวบคีรีขันธ์!M310"")+IMPORTRANGE(""https://docs.google.com/spreadsheets/d/1vVf6wykvW_lAyu7Yo9L4hUTqHqIeP_qcVuxCtosJEbg/edit?usp=sharing"",""ปราจีนบุรี!M310"")+IMPORTRANGE(""https://docs.googl"&amp;"e.com/spreadsheets/d/1BIDqLLg5jk3v59G8NlR8rk5xfQDKne0sAvZHSj7TI6I/edit?usp=sharing"",""พระนครศรีอยุธยา!M310"")+IMPORTRANGE(""https://docs.google.com/spreadsheets/d/1YXvxf8Yu6_rV4hTBrwMqAcAnv6DfhUxh5emyM3CJp_w/edit?usp=sharing"",""เพชรบุรี!M310"")+IMPORTRA"&amp;"NGE(""https://docs.google.com/spreadsheets/d/19KBlQQs7uwvsao6t2n-KvW3Ax8J8uRRfZPq1zPbXgKc/edit?usp=sharing"",""ระยอง!M310"")+IMPORTRANGE(""https://docs.google.com/spreadsheets/d/1jQ6P4QcrGM89YfqcC_PxOHGCMq5ezhucwJd8ci-NHng/edit?usp=sharing"",""ราชบุรี!M31"&amp;"0"")+IMPORTRANGE(""https://docs.google.com/spreadsheets/d/1lufeA2cfFqM-elVq2hznhDzC6Pr7wkJ9ZG_sYNGCMCU/edit?usp=sharing"",""ลพบุรี!M310"")+IMPORTRANGE(""https://docs.google.com/spreadsheets/d/10oOiF7loTyfsTkbd4MpaIm0HQ9SwB7IYHdIUvt-U1Uc/edit?usp=sharing"""&amp;",""สระแก้ว!M310"")+IMPORTRANGE(""https://docs.google.com/spreadsheets/d/1xmPlrr1QbdSIKvl1dWUl9K4PjAfSL9oeMr_37QVzcxc/edit?usp=sharing"",""สระบุรี!M310"")+IMPORTRANGE(""https://docs.google.com/spreadsheets/d/1j51vR6CYVGhABJpv6tkstgok82RLpXieLzW1yOY5rHw/edi"&amp;"t?usp=sharing"",""สิงห์บุรี!M310"")+IMPORTRANGE(""https://docs.google.com/spreadsheets/d/1H1EalTWKUSzO4Z1-1CwzoDUaVffgrThEBe2sl74kKG0/edit?usp=sharing"",""สุพรรณบุรี!M310"")+IMPORTRANGE(""https://docs.google.com/spreadsheets/d/1BmIruG_sIrJLYao_Pdr7zVArWsf"&amp;"oBt2692TMi6x_854/edit?usp=sharing"",""อ่างทอง!M310"")"),0)</f>
        <v>0</v>
      </c>
      <c r="N311" s="88">
        <f ca="1">IFERROR(__xludf.DUMMYFUNCTION("IMPORTRANGE(""https://docs.google.com/spreadsheets/d/13wPX838HrBrQMCywv1BsuMkt4PEKTChp52zj44s2izQ/edit?usp=sharing"",""กาญจนบุรี!N310"")+IMPORTRANGE(""https://docs.google.com/spreadsheets/d/1ddFKvqj1W1NEiWytbGlB1zMx_ykJDVtmfEQ-6-lIUBA/edit?usp=sharing"","&amp;"""จันทบุรี!N310"")+IMPORTRANGE(""https://docs.google.com/spreadsheets/d/1T1PQvRODqOBZk8BRht_U031fIS1beLA0Ub2CEytj2q0/edit?usp=sharing"",""ฉะเชิงเทรา!N310"")+IMPORTRANGE(""https://docs.google.com/spreadsheets/d/11tr1B-Bhyr79v2bkwVh5h_fR-PStkgjlZtkrZpYurG0/"&amp;"edit?usp=sharing"",""ชลบุรี!N310"")+IMPORTRANGE(""https://docs.google.com/spreadsheets/d/1hh-FVnSX0vozXhGluamEcS54Dw9_zqW0N7qJUWgJ0Sw/edit?usp=sharing"",""ชัยนาท!N310"")+IMPORTRANGE(""https://docs.google.com/spreadsheets/d/1jkqa6GXxSacMcY1eN8AHjMNJ_7dDXMJ"&amp;"VRLDlaFSOdPM/edit?usp=sharing"",""ตราด!N310"")+IMPORTRANGE(""https://docs.google.com/spreadsheets/d/18hSgUJ3VwClqi_qtULmmW3cLr0oe3OKaSYoKzdpTsYQ/edit?usp=sharing"",""นครนายก!N310"")+IMPORTRANGE(""https://docs.google.com/spreadsheets/d/1YTZo6WM2dQ6Ix6FSdnL"&amp;"5P7uVnVKu40sxZu975tgG10E/edit?usp=sharing"",""นครปฐม!N310"")+IMPORTRANGE(""https://docs.google.com/spreadsheets/d/1OYoGg4WDg5RIzwGeB10padOxJF9E_Vljuvvct_M7RDo/edit?usp=sharing"",""ปทุมธานี!N310"")+IMPORTRANGE(""https://docs.google.com/spreadsheets/d/1GbCI"&amp;"E4D4wk9FUozzqk7SxfDMxDVBwVmI5zcaVUSzKAc/edit?usp=sharing"",""ประจวบคีรีขันธ์!N310"")+IMPORTRANGE(""https://docs.google.com/spreadsheets/d/1vVf6wykvW_lAyu7Yo9L4hUTqHqIeP_qcVuxCtosJEbg/edit?usp=sharing"",""ปราจีนบุรี!N310"")+IMPORTRANGE(""https://docs.googl"&amp;"e.com/spreadsheets/d/1BIDqLLg5jk3v59G8NlR8rk5xfQDKne0sAvZHSj7TI6I/edit?usp=sharing"",""พระนครศรีอยุธยา!N310"")+IMPORTRANGE(""https://docs.google.com/spreadsheets/d/1YXvxf8Yu6_rV4hTBrwMqAcAnv6DfhUxh5emyM3CJp_w/edit?usp=sharing"",""เพชรบุรี!N310"")+IMPORTRA"&amp;"NGE(""https://docs.google.com/spreadsheets/d/19KBlQQs7uwvsao6t2n-KvW3Ax8J8uRRfZPq1zPbXgKc/edit?usp=sharing"",""ระยอง!N310"")+IMPORTRANGE(""https://docs.google.com/spreadsheets/d/1jQ6P4QcrGM89YfqcC_PxOHGCMq5ezhucwJd8ci-NHng/edit?usp=sharing"",""ราชบุรี!N31"&amp;"0"")+IMPORTRANGE(""https://docs.google.com/spreadsheets/d/1lufeA2cfFqM-elVq2hznhDzC6Pr7wkJ9ZG_sYNGCMCU/edit?usp=sharing"",""ลพบุรี!N310"")+IMPORTRANGE(""https://docs.google.com/spreadsheets/d/10oOiF7loTyfsTkbd4MpaIm0HQ9SwB7IYHdIUvt-U1Uc/edit?usp=sharing"""&amp;",""สระแก้ว!N310"")+IMPORTRANGE(""https://docs.google.com/spreadsheets/d/1xmPlrr1QbdSIKvl1dWUl9K4PjAfSL9oeMr_37QVzcxc/edit?usp=sharing"",""สระบุรี!N310"")+IMPORTRANGE(""https://docs.google.com/spreadsheets/d/1j51vR6CYVGhABJpv6tkstgok82RLpXieLzW1yOY5rHw/edi"&amp;"t?usp=sharing"",""สิงห์บุรี!N310"")+IMPORTRANGE(""https://docs.google.com/spreadsheets/d/1H1EalTWKUSzO4Z1-1CwzoDUaVffgrThEBe2sl74kKG0/edit?usp=sharing"",""สุพรรณบุรี!N310"")+IMPORTRANGE(""https://docs.google.com/spreadsheets/d/1BmIruG_sIrJLYao_Pdr7zVArWsf"&amp;"oBt2692TMi6x_854/edit?usp=sharing"",""อ่างทอง!N310"")"),0)</f>
        <v>0</v>
      </c>
      <c r="O311" s="88">
        <f t="shared" ca="1" si="215"/>
        <v>0</v>
      </c>
      <c r="P311" s="88">
        <f t="shared" ca="1" si="216"/>
        <v>0</v>
      </c>
      <c r="Q311" s="76">
        <f ca="1">IFERROR(__xludf.DUMMYFUNCTION("IMPORTRANGE(""https://docs.google.com/spreadsheets/d/13wPX838HrBrQMCywv1BsuMkt4PEKTChp52zj44s2izQ/edit?usp=sharing"",""กาญจนบุรี!Q310"")+IMPORTRANGE(""https://docs.google.com/spreadsheets/d/1ddFKvqj1W1NEiWytbGlB1zMx_ykJDVtmfEQ-6-lIUBA/edit?usp=sharing"","&amp;"""จันทบุรี!Q310"")+IMPORTRANGE(""https://docs.google.com/spreadsheets/d/1T1PQvRODqOBZk8BRht_U031fIS1beLA0Ub2CEytj2q0/edit?usp=sharing"",""ฉะเชิงเทรา!Q310"")+IMPORTRANGE(""https://docs.google.com/spreadsheets/d/11tr1B-Bhyr79v2bkwVh5h_fR-PStkgjlZtkrZpYurG0/"&amp;"edit?usp=sharing"",""ชลบุรี!Q310"")+IMPORTRANGE(""https://docs.google.com/spreadsheets/d/1hh-FVnSX0vozXhGluamEcS54Dw9_zqW0N7qJUWgJ0Sw/edit?usp=sharing"",""ชัยนาท!Q310"")+IMPORTRANGE(""https://docs.google.com/spreadsheets/d/1jkqa6GXxSacMcY1eN8AHjMNJ_7dDXMJ"&amp;"VRLDlaFSOdPM/edit?usp=sharing"",""ตราด!Q310"")+IMPORTRANGE(""https://docs.google.com/spreadsheets/d/18hSgUJ3VwClqi_qtULmmW3cLr0oe3OKaSYoKzdpTsYQ/edit?usp=sharing"",""นครนายก!Q310"")+IMPORTRANGE(""https://docs.google.com/spreadsheets/d/1YTZo6WM2dQ6Ix6FSdnL"&amp;"5P7uVnVKu40sxZu975tgG10E/edit?usp=sharing"",""นครปฐม!Q310"")+IMPORTRANGE(""https://docs.google.com/spreadsheets/d/1OYoGg4WDg5RIzwGeB10padOxJF9E_Vljuvvct_M7RDo/edit?usp=sharing"",""ปทุมธานี!Q310"")+IMPORTRANGE(""https://docs.google.com/spreadsheets/d/1GbCI"&amp;"E4D4wk9FUozzqk7SxfDMxDVBwVmI5zcaVUSzKAc/edit?usp=sharing"",""ประจวบคีรีขันธ์!Q310"")+IMPORTRANGE(""https://docs.google.com/spreadsheets/d/1vVf6wykvW_lAyu7Yo9L4hUTqHqIeP_qcVuxCtosJEbg/edit?usp=sharing"",""ปราจีนบุรี!Q310"")+IMPORTRANGE(""https://docs.googl"&amp;"e.com/spreadsheets/d/1BIDqLLg5jk3v59G8NlR8rk5xfQDKne0sAvZHSj7TI6I/edit?usp=sharing"",""พระนครศรีอยุธยา!Q310"")+IMPORTRANGE(""https://docs.google.com/spreadsheets/d/1YXvxf8Yu6_rV4hTBrwMqAcAnv6DfhUxh5emyM3CJp_w/edit?usp=sharing"",""เพชรบุรี!Q310"")+IMPORTRA"&amp;"NGE(""https://docs.google.com/spreadsheets/d/19KBlQQs7uwvsao6t2n-KvW3Ax8J8uRRfZPq1zPbXgKc/edit?usp=sharing"",""ระยอง!Q310"")+IMPORTRANGE(""https://docs.google.com/spreadsheets/d/1jQ6P4QcrGM89YfqcC_PxOHGCMq5ezhucwJd8ci-NHng/edit?usp=sharing"",""ราชบุรี!Q31"&amp;"0"")+IMPORTRANGE(""https://docs.google.com/spreadsheets/d/1lufeA2cfFqM-elVq2hznhDzC6Pr7wkJ9ZG_sYNGCMCU/edit?usp=sharing"",""ลพบุรี!Q310"")+IMPORTRANGE(""https://docs.google.com/spreadsheets/d/10oOiF7loTyfsTkbd4MpaIm0HQ9SwB7IYHdIUvt-U1Uc/edit?usp=sharing"""&amp;",""สระแก้ว!Q310"")+IMPORTRANGE(""https://docs.google.com/spreadsheets/d/1xmPlrr1QbdSIKvl1dWUl9K4PjAfSL9oeMr_37QVzcxc/edit?usp=sharing"",""สระบุรี!Q310"")+IMPORTRANGE(""https://docs.google.com/spreadsheets/d/1j51vR6CYVGhABJpv6tkstgok82RLpXieLzW1yOY5rHw/edi"&amp;"t?usp=sharing"",""สิงห์บุรี!Q310"")+IMPORTRANGE(""https://docs.google.com/spreadsheets/d/1H1EalTWKUSzO4Z1-1CwzoDUaVffgrThEBe2sl74kKG0/edit?usp=sharing"",""สุพรรณบุรี!Q310"")+IMPORTRANGE(""https://docs.google.com/spreadsheets/d/1BmIruG_sIrJLYao_Pdr7zVArWsf"&amp;"oBt2692TMi6x_854/edit?usp=sharing"",""อ่างทอง!Q310"")"),0)</f>
        <v>0</v>
      </c>
      <c r="R311" s="77">
        <f ca="1">IFERROR(__xludf.DUMMYFUNCTION("IMPORTRANGE(""https://docs.google.com/spreadsheets/d/13wPX838HrBrQMCywv1BsuMkt4PEKTChp52zj44s2izQ/edit?usp=sharing"",""กาญจนบุรี!R310"")+IMPORTRANGE(""https://docs.google.com/spreadsheets/d/1ddFKvqj1W1NEiWytbGlB1zMx_ykJDVtmfEQ-6-lIUBA/edit?usp=sharing"","&amp;"""จันทบุรี!R310"")+IMPORTRANGE(""https://docs.google.com/spreadsheets/d/1T1PQvRODqOBZk8BRht_U031fIS1beLA0Ub2CEytj2q0/edit?usp=sharing"",""ฉะเชิงเทรา!R310"")+IMPORTRANGE(""https://docs.google.com/spreadsheets/d/11tr1B-Bhyr79v2bkwVh5h_fR-PStkgjlZtkrZpYurG0/"&amp;"edit?usp=sharing"",""ชลบุรี!R310"")+IMPORTRANGE(""https://docs.google.com/spreadsheets/d/1hh-FVnSX0vozXhGluamEcS54Dw9_zqW0N7qJUWgJ0Sw/edit?usp=sharing"",""ชัยนาท!R310"")+IMPORTRANGE(""https://docs.google.com/spreadsheets/d/1jkqa6GXxSacMcY1eN8AHjMNJ_7dDXMJ"&amp;"VRLDlaFSOdPM/edit?usp=sharing"",""ตราด!R310"")+IMPORTRANGE(""https://docs.google.com/spreadsheets/d/18hSgUJ3VwClqi_qtULmmW3cLr0oe3OKaSYoKzdpTsYQ/edit?usp=sharing"",""นครนายก!R310"")+IMPORTRANGE(""https://docs.google.com/spreadsheets/d/1YTZo6WM2dQ6Ix6FSdnL"&amp;"5P7uVnVKu40sxZu975tgG10E/edit?usp=sharing"",""นครปฐม!R310"")+IMPORTRANGE(""https://docs.google.com/spreadsheets/d/1OYoGg4WDg5RIzwGeB10padOxJF9E_Vljuvvct_M7RDo/edit?usp=sharing"",""ปทุมธานี!R310"")+IMPORTRANGE(""https://docs.google.com/spreadsheets/d/1GbCI"&amp;"E4D4wk9FUozzqk7SxfDMxDVBwVmI5zcaVUSzKAc/edit?usp=sharing"",""ประจวบคีรีขันธ์!R310"")+IMPORTRANGE(""https://docs.google.com/spreadsheets/d/1vVf6wykvW_lAyu7Yo9L4hUTqHqIeP_qcVuxCtosJEbg/edit?usp=sharing"",""ปราจีนบุรี!R310"")+IMPORTRANGE(""https://docs.googl"&amp;"e.com/spreadsheets/d/1BIDqLLg5jk3v59G8NlR8rk5xfQDKne0sAvZHSj7TI6I/edit?usp=sharing"",""พระนครศรีอยุธยา!R310"")+IMPORTRANGE(""https://docs.google.com/spreadsheets/d/1YXvxf8Yu6_rV4hTBrwMqAcAnv6DfhUxh5emyM3CJp_w/edit?usp=sharing"",""เพชรบุรี!R310"")+IMPORTRA"&amp;"NGE(""https://docs.google.com/spreadsheets/d/19KBlQQs7uwvsao6t2n-KvW3Ax8J8uRRfZPq1zPbXgKc/edit?usp=sharing"",""ระยอง!R310"")+IMPORTRANGE(""https://docs.google.com/spreadsheets/d/1jQ6P4QcrGM89YfqcC_PxOHGCMq5ezhucwJd8ci-NHng/edit?usp=sharing"",""ราชบุรี!R31"&amp;"0"")+IMPORTRANGE(""https://docs.google.com/spreadsheets/d/1lufeA2cfFqM-elVq2hznhDzC6Pr7wkJ9ZG_sYNGCMCU/edit?usp=sharing"",""ลพบุรี!R310"")+IMPORTRANGE(""https://docs.google.com/spreadsheets/d/10oOiF7loTyfsTkbd4MpaIm0HQ9SwB7IYHdIUvt-U1Uc/edit?usp=sharing"""&amp;",""สระแก้ว!R310"")+IMPORTRANGE(""https://docs.google.com/spreadsheets/d/1xmPlrr1QbdSIKvl1dWUl9K4PjAfSL9oeMr_37QVzcxc/edit?usp=sharing"",""สระบุรี!R310"")+IMPORTRANGE(""https://docs.google.com/spreadsheets/d/1j51vR6CYVGhABJpv6tkstgok82RLpXieLzW1yOY5rHw/edi"&amp;"t?usp=sharing"",""สิงห์บุรี!R310"")+IMPORTRANGE(""https://docs.google.com/spreadsheets/d/1H1EalTWKUSzO4Z1-1CwzoDUaVffgrThEBe2sl74kKG0/edit?usp=sharing"",""สุพรรณบุรี!R310"")+IMPORTRANGE(""https://docs.google.com/spreadsheets/d/1BmIruG_sIrJLYao_Pdr7zVArWsf"&amp;"oBt2692TMi6x_854/edit?usp=sharing"",""อ่างทอง!R310"")"),0)</f>
        <v>0</v>
      </c>
      <c r="S311" s="77">
        <f ca="1">IFERROR(__xludf.DUMMYFUNCTION("IMPORTRANGE(""https://docs.google.com/spreadsheets/d/13wPX838HrBrQMCywv1BsuMkt4PEKTChp52zj44s2izQ/edit?usp=sharing"",""กาญจนบุรี!S310"")+IMPORTRANGE(""https://docs.google.com/spreadsheets/d/1ddFKvqj1W1NEiWytbGlB1zMx_ykJDVtmfEQ-6-lIUBA/edit?usp=sharing"","&amp;"""จันทบุรี!S310"")+IMPORTRANGE(""https://docs.google.com/spreadsheets/d/1T1PQvRODqOBZk8BRht_U031fIS1beLA0Ub2CEytj2q0/edit?usp=sharing"",""ฉะเชิงเทรา!S310"")+IMPORTRANGE(""https://docs.google.com/spreadsheets/d/11tr1B-Bhyr79v2bkwVh5h_fR-PStkgjlZtkrZpYurG0/"&amp;"edit?usp=sharing"",""ชลบุรี!S310"")+IMPORTRANGE(""https://docs.google.com/spreadsheets/d/1hh-FVnSX0vozXhGluamEcS54Dw9_zqW0N7qJUWgJ0Sw/edit?usp=sharing"",""ชัยนาท!S310"")+IMPORTRANGE(""https://docs.google.com/spreadsheets/d/1jkqa6GXxSacMcY1eN8AHjMNJ_7dDXMJ"&amp;"VRLDlaFSOdPM/edit?usp=sharing"",""ตราด!S310"")+IMPORTRANGE(""https://docs.google.com/spreadsheets/d/18hSgUJ3VwClqi_qtULmmW3cLr0oe3OKaSYoKzdpTsYQ/edit?usp=sharing"",""นครนายก!S310"")+IMPORTRANGE(""https://docs.google.com/spreadsheets/d/1YTZo6WM2dQ6Ix6FSdnL"&amp;"5P7uVnVKu40sxZu975tgG10E/edit?usp=sharing"",""นครปฐม!S310"")+IMPORTRANGE(""https://docs.google.com/spreadsheets/d/1OYoGg4WDg5RIzwGeB10padOxJF9E_Vljuvvct_M7RDo/edit?usp=sharing"",""ปทุมธานี!S310"")+IMPORTRANGE(""https://docs.google.com/spreadsheets/d/1GbCI"&amp;"E4D4wk9FUozzqk7SxfDMxDVBwVmI5zcaVUSzKAc/edit?usp=sharing"",""ประจวบคีรีขันธ์!S310"")+IMPORTRANGE(""https://docs.google.com/spreadsheets/d/1vVf6wykvW_lAyu7Yo9L4hUTqHqIeP_qcVuxCtosJEbg/edit?usp=sharing"",""ปราจีนบุรี!S310"")+IMPORTRANGE(""https://docs.googl"&amp;"e.com/spreadsheets/d/1BIDqLLg5jk3v59G8NlR8rk5xfQDKne0sAvZHSj7TI6I/edit?usp=sharing"",""พระนครศรีอยุธยา!S310"")+IMPORTRANGE(""https://docs.google.com/spreadsheets/d/1YXvxf8Yu6_rV4hTBrwMqAcAnv6DfhUxh5emyM3CJp_w/edit?usp=sharing"",""เพชรบุรี!S310"")+IMPORTRA"&amp;"NGE(""https://docs.google.com/spreadsheets/d/19KBlQQs7uwvsao6t2n-KvW3Ax8J8uRRfZPq1zPbXgKc/edit?usp=sharing"",""ระยอง!S310"")+IMPORTRANGE(""https://docs.google.com/spreadsheets/d/1jQ6P4QcrGM89YfqcC_PxOHGCMq5ezhucwJd8ci-NHng/edit?usp=sharing"",""ราชบุรี!S31"&amp;"0"")+IMPORTRANGE(""https://docs.google.com/spreadsheets/d/1lufeA2cfFqM-elVq2hznhDzC6Pr7wkJ9ZG_sYNGCMCU/edit?usp=sharing"",""ลพบุรี!S310"")+IMPORTRANGE(""https://docs.google.com/spreadsheets/d/10oOiF7loTyfsTkbd4MpaIm0HQ9SwB7IYHdIUvt-U1Uc/edit?usp=sharing"""&amp;",""สระแก้ว!S310"")+IMPORTRANGE(""https://docs.google.com/spreadsheets/d/1xmPlrr1QbdSIKvl1dWUl9K4PjAfSL9oeMr_37QVzcxc/edit?usp=sharing"",""สระบุรี!S310"")+IMPORTRANGE(""https://docs.google.com/spreadsheets/d/1j51vR6CYVGhABJpv6tkstgok82RLpXieLzW1yOY5rHw/edi"&amp;"t?usp=sharing"",""สิงห์บุรี!S310"")+IMPORTRANGE(""https://docs.google.com/spreadsheets/d/1H1EalTWKUSzO4Z1-1CwzoDUaVffgrThEBe2sl74kKG0/edit?usp=sharing"",""สุพรรณบุรี!S310"")+IMPORTRANGE(""https://docs.google.com/spreadsheets/d/1BmIruG_sIrJLYao_Pdr7zVArWsf"&amp;"oBt2692TMi6x_854/edit?usp=sharing"",""อ่างทอง!S310"")"),0)</f>
        <v>0</v>
      </c>
      <c r="T311" s="133">
        <f t="shared" ca="1" si="218"/>
        <v>0</v>
      </c>
      <c r="U311" s="133">
        <f t="shared" ca="1" si="219"/>
        <v>0</v>
      </c>
    </row>
    <row r="312" spans="1:21" ht="18.75" x14ac:dyDescent="0.25">
      <c r="A312" s="209"/>
      <c r="B312" s="67"/>
      <c r="C312" s="67"/>
      <c r="D312" s="67"/>
      <c r="E312" s="75" t="s">
        <v>21</v>
      </c>
      <c r="F312" s="67"/>
      <c r="G312" s="69"/>
      <c r="H312" s="221" t="s">
        <v>14</v>
      </c>
      <c r="I312" s="219"/>
      <c r="J312" s="219"/>
      <c r="K312" s="220"/>
      <c r="L312" s="88">
        <f ca="1">IFERROR(__xludf.DUMMYFUNCTION("IMPORTRANGE(""https://docs.google.com/spreadsheets/d/13wPX838HrBrQMCywv1BsuMkt4PEKTChp52zj44s2izQ/edit?usp=sharing"",""กาญจนบุรี!L311"")+IMPORTRANGE(""https://docs.google.com/spreadsheets/d/1ddFKvqj1W1NEiWytbGlB1zMx_ykJDVtmfEQ-6-lIUBA/edit?usp=sharing"","&amp;"""จันทบุรี!L311"")+IMPORTRANGE(""https://docs.google.com/spreadsheets/d/1T1PQvRODqOBZk8BRht_U031fIS1beLA0Ub2CEytj2q0/edit?usp=sharing"",""ฉะเชิงเทรา!L311"")+IMPORTRANGE(""https://docs.google.com/spreadsheets/d/11tr1B-Bhyr79v2bkwVh5h_fR-PStkgjlZtkrZpYurG0/"&amp;"edit?usp=sharing"",""ชลบุรี!L311"")+IMPORTRANGE(""https://docs.google.com/spreadsheets/d/1hh-FVnSX0vozXhGluamEcS54Dw9_zqW0N7qJUWgJ0Sw/edit?usp=sharing"",""ชัยนาท!L311"")+IMPORTRANGE(""https://docs.google.com/spreadsheets/d/1jkqa6GXxSacMcY1eN8AHjMNJ_7dDXMJ"&amp;"VRLDlaFSOdPM/edit?usp=sharing"",""ตราด!L311"")+IMPORTRANGE(""https://docs.google.com/spreadsheets/d/18hSgUJ3VwClqi_qtULmmW3cLr0oe3OKaSYoKzdpTsYQ/edit?usp=sharing"",""นครนายก!L311"")+IMPORTRANGE(""https://docs.google.com/spreadsheets/d/1YTZo6WM2dQ6Ix6FSdnL"&amp;"5P7uVnVKu40sxZu975tgG10E/edit?usp=sharing"",""นครปฐม!L311"")+IMPORTRANGE(""https://docs.google.com/spreadsheets/d/1OYoGg4WDg5RIzwGeB10padOxJF9E_Vljuvvct_M7RDo/edit?usp=sharing"",""ปทุมธานี!L311"")+IMPORTRANGE(""https://docs.google.com/spreadsheets/d/1GbCI"&amp;"E4D4wk9FUozzqk7SxfDMxDVBwVmI5zcaVUSzKAc/edit?usp=sharing"",""ประจวบคีรีขันธ์!L311"")+IMPORTRANGE(""https://docs.google.com/spreadsheets/d/1vVf6wykvW_lAyu7Yo9L4hUTqHqIeP_qcVuxCtosJEbg/edit?usp=sharing"",""ปราจีนบุรี!L311"")+IMPORTRANGE(""https://docs.googl"&amp;"e.com/spreadsheets/d/1BIDqLLg5jk3v59G8NlR8rk5xfQDKne0sAvZHSj7TI6I/edit?usp=sharing"",""พระนครศรีอยุธยา!L311"")+IMPORTRANGE(""https://docs.google.com/spreadsheets/d/1YXvxf8Yu6_rV4hTBrwMqAcAnv6DfhUxh5emyM3CJp_w/edit?usp=sharing"",""เพชรบุรี!L311"")+IMPORTRA"&amp;"NGE(""https://docs.google.com/spreadsheets/d/19KBlQQs7uwvsao6t2n-KvW3Ax8J8uRRfZPq1zPbXgKc/edit?usp=sharing"",""ระยอง!L311"")+IMPORTRANGE(""https://docs.google.com/spreadsheets/d/1jQ6P4QcrGM89YfqcC_PxOHGCMq5ezhucwJd8ci-NHng/edit?usp=sharing"",""ราชบุรี!L31"&amp;"1"")+IMPORTRANGE(""https://docs.google.com/spreadsheets/d/1lufeA2cfFqM-elVq2hznhDzC6Pr7wkJ9ZG_sYNGCMCU/edit?usp=sharing"",""ลพบุรี!L311"")+IMPORTRANGE(""https://docs.google.com/spreadsheets/d/10oOiF7loTyfsTkbd4MpaIm0HQ9SwB7IYHdIUvt-U1Uc/edit?usp=sharing"""&amp;",""สระแก้ว!L311"")+IMPORTRANGE(""https://docs.google.com/spreadsheets/d/1xmPlrr1QbdSIKvl1dWUl9K4PjAfSL9oeMr_37QVzcxc/edit?usp=sharing"",""สระบุรี!L311"")+IMPORTRANGE(""https://docs.google.com/spreadsheets/d/1j51vR6CYVGhABJpv6tkstgok82RLpXieLzW1yOY5rHw/edi"&amp;"t?usp=sharing"",""สิงห์บุรี!L311"")+IMPORTRANGE(""https://docs.google.com/spreadsheets/d/1H1EalTWKUSzO4Z1-1CwzoDUaVffgrThEBe2sl74kKG0/edit?usp=sharing"",""สุพรรณบุรี!L311"")+IMPORTRANGE(""https://docs.google.com/spreadsheets/d/1BmIruG_sIrJLYao_Pdr7zVArWsf"&amp;"oBt2692TMi6x_854/edit?usp=sharing"",""อ่างทอง!L311"")"),0)</f>
        <v>0</v>
      </c>
      <c r="M312" s="88">
        <f ca="1">IFERROR(__xludf.DUMMYFUNCTION("IMPORTRANGE(""https://docs.google.com/spreadsheets/d/13wPX838HrBrQMCywv1BsuMkt4PEKTChp52zj44s2izQ/edit?usp=sharing"",""กาญจนบุรี!M311"")+IMPORTRANGE(""https://docs.google.com/spreadsheets/d/1ddFKvqj1W1NEiWytbGlB1zMx_ykJDVtmfEQ-6-lIUBA/edit?usp=sharing"","&amp;"""จันทบุรี!M311"")+IMPORTRANGE(""https://docs.google.com/spreadsheets/d/1T1PQvRODqOBZk8BRht_U031fIS1beLA0Ub2CEytj2q0/edit?usp=sharing"",""ฉะเชิงเทรา!M311"")+IMPORTRANGE(""https://docs.google.com/spreadsheets/d/11tr1B-Bhyr79v2bkwVh5h_fR-PStkgjlZtkrZpYurG0/"&amp;"edit?usp=sharing"",""ชลบุรี!M311"")+IMPORTRANGE(""https://docs.google.com/spreadsheets/d/1hh-FVnSX0vozXhGluamEcS54Dw9_zqW0N7qJUWgJ0Sw/edit?usp=sharing"",""ชัยนาท!M311"")+IMPORTRANGE(""https://docs.google.com/spreadsheets/d/1jkqa6GXxSacMcY1eN8AHjMNJ_7dDXMJ"&amp;"VRLDlaFSOdPM/edit?usp=sharing"",""ตราด!M311"")+IMPORTRANGE(""https://docs.google.com/spreadsheets/d/18hSgUJ3VwClqi_qtULmmW3cLr0oe3OKaSYoKzdpTsYQ/edit?usp=sharing"",""นครนายก!M311"")+IMPORTRANGE(""https://docs.google.com/spreadsheets/d/1YTZo6WM2dQ6Ix6FSdnL"&amp;"5P7uVnVKu40sxZu975tgG10E/edit?usp=sharing"",""นครปฐม!M311"")+IMPORTRANGE(""https://docs.google.com/spreadsheets/d/1OYoGg4WDg5RIzwGeB10padOxJF9E_Vljuvvct_M7RDo/edit?usp=sharing"",""ปทุมธานี!M311"")+IMPORTRANGE(""https://docs.google.com/spreadsheets/d/1GbCI"&amp;"E4D4wk9FUozzqk7SxfDMxDVBwVmI5zcaVUSzKAc/edit?usp=sharing"",""ประจวบคีรีขันธ์!M311"")+IMPORTRANGE(""https://docs.google.com/spreadsheets/d/1vVf6wykvW_lAyu7Yo9L4hUTqHqIeP_qcVuxCtosJEbg/edit?usp=sharing"",""ปราจีนบุรี!M311"")+IMPORTRANGE(""https://docs.googl"&amp;"e.com/spreadsheets/d/1BIDqLLg5jk3v59G8NlR8rk5xfQDKne0sAvZHSj7TI6I/edit?usp=sharing"",""พระนครศรีอยุธยา!M311"")+IMPORTRANGE(""https://docs.google.com/spreadsheets/d/1YXvxf8Yu6_rV4hTBrwMqAcAnv6DfhUxh5emyM3CJp_w/edit?usp=sharing"",""เพชรบุรี!M311"")+IMPORTRA"&amp;"NGE(""https://docs.google.com/spreadsheets/d/19KBlQQs7uwvsao6t2n-KvW3Ax8J8uRRfZPq1zPbXgKc/edit?usp=sharing"",""ระยอง!M311"")+IMPORTRANGE(""https://docs.google.com/spreadsheets/d/1jQ6P4QcrGM89YfqcC_PxOHGCMq5ezhucwJd8ci-NHng/edit?usp=sharing"",""ราชบุรี!M31"&amp;"1"")+IMPORTRANGE(""https://docs.google.com/spreadsheets/d/1lufeA2cfFqM-elVq2hznhDzC6Pr7wkJ9ZG_sYNGCMCU/edit?usp=sharing"",""ลพบุรี!M311"")+IMPORTRANGE(""https://docs.google.com/spreadsheets/d/10oOiF7loTyfsTkbd4MpaIm0HQ9SwB7IYHdIUvt-U1Uc/edit?usp=sharing"""&amp;",""สระแก้ว!M311"")+IMPORTRANGE(""https://docs.google.com/spreadsheets/d/1xmPlrr1QbdSIKvl1dWUl9K4PjAfSL9oeMr_37QVzcxc/edit?usp=sharing"",""สระบุรี!M311"")+IMPORTRANGE(""https://docs.google.com/spreadsheets/d/1j51vR6CYVGhABJpv6tkstgok82RLpXieLzW1yOY5rHw/edi"&amp;"t?usp=sharing"",""สิงห์บุรี!M311"")+IMPORTRANGE(""https://docs.google.com/spreadsheets/d/1H1EalTWKUSzO4Z1-1CwzoDUaVffgrThEBe2sl74kKG0/edit?usp=sharing"",""สุพรรณบุรี!M311"")+IMPORTRANGE(""https://docs.google.com/spreadsheets/d/1BmIruG_sIrJLYao_Pdr7zVArWsf"&amp;"oBt2692TMi6x_854/edit?usp=sharing"",""อ่างทอง!M311"")"),0)</f>
        <v>0</v>
      </c>
      <c r="N312" s="88">
        <f ca="1">IFERROR(__xludf.DUMMYFUNCTION("IMPORTRANGE(""https://docs.google.com/spreadsheets/d/13wPX838HrBrQMCywv1BsuMkt4PEKTChp52zj44s2izQ/edit?usp=sharing"",""กาญจนบุรี!N311"")+IMPORTRANGE(""https://docs.google.com/spreadsheets/d/1ddFKvqj1W1NEiWytbGlB1zMx_ykJDVtmfEQ-6-lIUBA/edit?usp=sharing"","&amp;"""จันทบุรี!N311"")+IMPORTRANGE(""https://docs.google.com/spreadsheets/d/1T1PQvRODqOBZk8BRht_U031fIS1beLA0Ub2CEytj2q0/edit?usp=sharing"",""ฉะเชิงเทรา!N311"")+IMPORTRANGE(""https://docs.google.com/spreadsheets/d/11tr1B-Bhyr79v2bkwVh5h_fR-PStkgjlZtkrZpYurG0/"&amp;"edit?usp=sharing"",""ชลบุรี!N311"")+IMPORTRANGE(""https://docs.google.com/spreadsheets/d/1hh-FVnSX0vozXhGluamEcS54Dw9_zqW0N7qJUWgJ0Sw/edit?usp=sharing"",""ชัยนาท!N311"")+IMPORTRANGE(""https://docs.google.com/spreadsheets/d/1jkqa6GXxSacMcY1eN8AHjMNJ_7dDXMJ"&amp;"VRLDlaFSOdPM/edit?usp=sharing"",""ตราด!N311"")+IMPORTRANGE(""https://docs.google.com/spreadsheets/d/18hSgUJ3VwClqi_qtULmmW3cLr0oe3OKaSYoKzdpTsYQ/edit?usp=sharing"",""นครนายก!N311"")+IMPORTRANGE(""https://docs.google.com/spreadsheets/d/1YTZo6WM2dQ6Ix6FSdnL"&amp;"5P7uVnVKu40sxZu975tgG10E/edit?usp=sharing"",""นครปฐม!N311"")+IMPORTRANGE(""https://docs.google.com/spreadsheets/d/1OYoGg4WDg5RIzwGeB10padOxJF9E_Vljuvvct_M7RDo/edit?usp=sharing"",""ปทุมธานี!N311"")+IMPORTRANGE(""https://docs.google.com/spreadsheets/d/1GbCI"&amp;"E4D4wk9FUozzqk7SxfDMxDVBwVmI5zcaVUSzKAc/edit?usp=sharing"",""ประจวบคีรีขันธ์!N311"")+IMPORTRANGE(""https://docs.google.com/spreadsheets/d/1vVf6wykvW_lAyu7Yo9L4hUTqHqIeP_qcVuxCtosJEbg/edit?usp=sharing"",""ปราจีนบุรี!N311"")+IMPORTRANGE(""https://docs.googl"&amp;"e.com/spreadsheets/d/1BIDqLLg5jk3v59G8NlR8rk5xfQDKne0sAvZHSj7TI6I/edit?usp=sharing"",""พระนครศรีอยุธยา!N311"")+IMPORTRANGE(""https://docs.google.com/spreadsheets/d/1YXvxf8Yu6_rV4hTBrwMqAcAnv6DfhUxh5emyM3CJp_w/edit?usp=sharing"",""เพชรบุรี!N311"")+IMPORTRA"&amp;"NGE(""https://docs.google.com/spreadsheets/d/19KBlQQs7uwvsao6t2n-KvW3Ax8J8uRRfZPq1zPbXgKc/edit?usp=sharing"",""ระยอง!N311"")+IMPORTRANGE(""https://docs.google.com/spreadsheets/d/1jQ6P4QcrGM89YfqcC_PxOHGCMq5ezhucwJd8ci-NHng/edit?usp=sharing"",""ราชบุรี!N31"&amp;"1"")+IMPORTRANGE(""https://docs.google.com/spreadsheets/d/1lufeA2cfFqM-elVq2hznhDzC6Pr7wkJ9ZG_sYNGCMCU/edit?usp=sharing"",""ลพบุรี!N311"")+IMPORTRANGE(""https://docs.google.com/spreadsheets/d/10oOiF7loTyfsTkbd4MpaIm0HQ9SwB7IYHdIUvt-U1Uc/edit?usp=sharing"""&amp;",""สระแก้ว!N311"")+IMPORTRANGE(""https://docs.google.com/spreadsheets/d/1xmPlrr1QbdSIKvl1dWUl9K4PjAfSL9oeMr_37QVzcxc/edit?usp=sharing"",""สระบุรี!N311"")+IMPORTRANGE(""https://docs.google.com/spreadsheets/d/1j51vR6CYVGhABJpv6tkstgok82RLpXieLzW1yOY5rHw/edi"&amp;"t?usp=sharing"",""สิงห์บุรี!N311"")+IMPORTRANGE(""https://docs.google.com/spreadsheets/d/1H1EalTWKUSzO4Z1-1CwzoDUaVffgrThEBe2sl74kKG0/edit?usp=sharing"",""สุพรรณบุรี!N311"")+IMPORTRANGE(""https://docs.google.com/spreadsheets/d/1BmIruG_sIrJLYao_Pdr7zVArWsf"&amp;"oBt2692TMi6x_854/edit?usp=sharing"",""อ่างทอง!N311"")"),0)</f>
        <v>0</v>
      </c>
      <c r="O312" s="88">
        <f t="shared" ca="1" si="215"/>
        <v>0</v>
      </c>
      <c r="P312" s="88">
        <f t="shared" ca="1" si="216"/>
        <v>0</v>
      </c>
      <c r="Q312" s="73">
        <f ca="1">IFERROR(__xludf.DUMMYFUNCTION("IMPORTRANGE(""https://docs.google.com/spreadsheets/d/13wPX838HrBrQMCywv1BsuMkt4PEKTChp52zj44s2izQ/edit?usp=sharing"",""กาญจนบุรี!Q311"")+IMPORTRANGE(""https://docs.google.com/spreadsheets/d/1ddFKvqj1W1NEiWytbGlB1zMx_ykJDVtmfEQ-6-lIUBA/edit?usp=sharing"","&amp;"""จันทบุรี!Q311"")+IMPORTRANGE(""https://docs.google.com/spreadsheets/d/1T1PQvRODqOBZk8BRht_U031fIS1beLA0Ub2CEytj2q0/edit?usp=sharing"",""ฉะเชิงเทรา!Q311"")+IMPORTRANGE(""https://docs.google.com/spreadsheets/d/11tr1B-Bhyr79v2bkwVh5h_fR-PStkgjlZtkrZpYurG0/"&amp;"edit?usp=sharing"",""ชลบุรี!Q311"")+IMPORTRANGE(""https://docs.google.com/spreadsheets/d/1hh-FVnSX0vozXhGluamEcS54Dw9_zqW0N7qJUWgJ0Sw/edit?usp=sharing"",""ชัยนาท!Q311"")+IMPORTRANGE(""https://docs.google.com/spreadsheets/d/1jkqa6GXxSacMcY1eN8AHjMNJ_7dDXMJ"&amp;"VRLDlaFSOdPM/edit?usp=sharing"",""ตราด!Q311"")+IMPORTRANGE(""https://docs.google.com/spreadsheets/d/18hSgUJ3VwClqi_qtULmmW3cLr0oe3OKaSYoKzdpTsYQ/edit?usp=sharing"",""นครนายก!Q311"")+IMPORTRANGE(""https://docs.google.com/spreadsheets/d/1YTZo6WM2dQ6Ix6FSdnL"&amp;"5P7uVnVKu40sxZu975tgG10E/edit?usp=sharing"",""นครปฐม!Q311"")+IMPORTRANGE(""https://docs.google.com/spreadsheets/d/1OYoGg4WDg5RIzwGeB10padOxJF9E_Vljuvvct_M7RDo/edit?usp=sharing"",""ปทุมธานี!Q311"")+IMPORTRANGE(""https://docs.google.com/spreadsheets/d/1GbCI"&amp;"E4D4wk9FUozzqk7SxfDMxDVBwVmI5zcaVUSzKAc/edit?usp=sharing"",""ประจวบคีรีขันธ์!Q311"")+IMPORTRANGE(""https://docs.google.com/spreadsheets/d/1vVf6wykvW_lAyu7Yo9L4hUTqHqIeP_qcVuxCtosJEbg/edit?usp=sharing"",""ปราจีนบุรี!Q311"")+IMPORTRANGE(""https://docs.googl"&amp;"e.com/spreadsheets/d/1BIDqLLg5jk3v59G8NlR8rk5xfQDKne0sAvZHSj7TI6I/edit?usp=sharing"",""พระนครศรีอยุธยา!Q311"")+IMPORTRANGE(""https://docs.google.com/spreadsheets/d/1YXvxf8Yu6_rV4hTBrwMqAcAnv6DfhUxh5emyM3CJp_w/edit?usp=sharing"",""เพชรบุรี!Q311"")+IMPORTRA"&amp;"NGE(""https://docs.google.com/spreadsheets/d/19KBlQQs7uwvsao6t2n-KvW3Ax8J8uRRfZPq1zPbXgKc/edit?usp=sharing"",""ระยอง!Q311"")+IMPORTRANGE(""https://docs.google.com/spreadsheets/d/1jQ6P4QcrGM89YfqcC_PxOHGCMq5ezhucwJd8ci-NHng/edit?usp=sharing"",""ราชบุรี!Q31"&amp;"1"")+IMPORTRANGE(""https://docs.google.com/spreadsheets/d/1lufeA2cfFqM-elVq2hznhDzC6Pr7wkJ9ZG_sYNGCMCU/edit?usp=sharing"",""ลพบุรี!Q311"")+IMPORTRANGE(""https://docs.google.com/spreadsheets/d/10oOiF7loTyfsTkbd4MpaIm0HQ9SwB7IYHdIUvt-U1Uc/edit?usp=sharing"""&amp;",""สระแก้ว!Q311"")+IMPORTRANGE(""https://docs.google.com/spreadsheets/d/1xmPlrr1QbdSIKvl1dWUl9K4PjAfSL9oeMr_37QVzcxc/edit?usp=sharing"",""สระบุรี!Q311"")+IMPORTRANGE(""https://docs.google.com/spreadsheets/d/1j51vR6CYVGhABJpv6tkstgok82RLpXieLzW1yOY5rHw/edi"&amp;"t?usp=sharing"",""สิงห์บุรี!Q311"")+IMPORTRANGE(""https://docs.google.com/spreadsheets/d/1H1EalTWKUSzO4Z1-1CwzoDUaVffgrThEBe2sl74kKG0/edit?usp=sharing"",""สุพรรณบุรี!Q311"")+IMPORTRANGE(""https://docs.google.com/spreadsheets/d/1BmIruG_sIrJLYao_Pdr7zVArWsf"&amp;"oBt2692TMi6x_854/edit?usp=sharing"",""อ่างทอง!Q311"")"),0)</f>
        <v>0</v>
      </c>
      <c r="R312" s="74">
        <f ca="1">IFERROR(__xludf.DUMMYFUNCTION("IMPORTRANGE(""https://docs.google.com/spreadsheets/d/13wPX838HrBrQMCywv1BsuMkt4PEKTChp52zj44s2izQ/edit?usp=sharing"",""กาญจนบุรี!R311"")+IMPORTRANGE(""https://docs.google.com/spreadsheets/d/1ddFKvqj1W1NEiWytbGlB1zMx_ykJDVtmfEQ-6-lIUBA/edit?usp=sharing"","&amp;"""จันทบุรี!R311"")+IMPORTRANGE(""https://docs.google.com/spreadsheets/d/1T1PQvRODqOBZk8BRht_U031fIS1beLA0Ub2CEytj2q0/edit?usp=sharing"",""ฉะเชิงเทรา!R311"")+IMPORTRANGE(""https://docs.google.com/spreadsheets/d/11tr1B-Bhyr79v2bkwVh5h_fR-PStkgjlZtkrZpYurG0/"&amp;"edit?usp=sharing"",""ชลบุรี!R311"")+IMPORTRANGE(""https://docs.google.com/spreadsheets/d/1hh-FVnSX0vozXhGluamEcS54Dw9_zqW0N7qJUWgJ0Sw/edit?usp=sharing"",""ชัยนาท!R311"")+IMPORTRANGE(""https://docs.google.com/spreadsheets/d/1jkqa6GXxSacMcY1eN8AHjMNJ_7dDXMJ"&amp;"VRLDlaFSOdPM/edit?usp=sharing"",""ตราด!R311"")+IMPORTRANGE(""https://docs.google.com/spreadsheets/d/18hSgUJ3VwClqi_qtULmmW3cLr0oe3OKaSYoKzdpTsYQ/edit?usp=sharing"",""นครนายก!R311"")+IMPORTRANGE(""https://docs.google.com/spreadsheets/d/1YTZo6WM2dQ6Ix6FSdnL"&amp;"5P7uVnVKu40sxZu975tgG10E/edit?usp=sharing"",""นครปฐม!R311"")+IMPORTRANGE(""https://docs.google.com/spreadsheets/d/1OYoGg4WDg5RIzwGeB10padOxJF9E_Vljuvvct_M7RDo/edit?usp=sharing"",""ปทุมธานี!R311"")+IMPORTRANGE(""https://docs.google.com/spreadsheets/d/1GbCI"&amp;"E4D4wk9FUozzqk7SxfDMxDVBwVmI5zcaVUSzKAc/edit?usp=sharing"",""ประจวบคีรีขันธ์!R311"")+IMPORTRANGE(""https://docs.google.com/spreadsheets/d/1vVf6wykvW_lAyu7Yo9L4hUTqHqIeP_qcVuxCtosJEbg/edit?usp=sharing"",""ปราจีนบุรี!R311"")+IMPORTRANGE(""https://docs.googl"&amp;"e.com/spreadsheets/d/1BIDqLLg5jk3v59G8NlR8rk5xfQDKne0sAvZHSj7TI6I/edit?usp=sharing"",""พระนครศรีอยุธยา!R311"")+IMPORTRANGE(""https://docs.google.com/spreadsheets/d/1YXvxf8Yu6_rV4hTBrwMqAcAnv6DfhUxh5emyM3CJp_w/edit?usp=sharing"",""เพชรบุรี!R311"")+IMPORTRA"&amp;"NGE(""https://docs.google.com/spreadsheets/d/19KBlQQs7uwvsao6t2n-KvW3Ax8J8uRRfZPq1zPbXgKc/edit?usp=sharing"",""ระยอง!R311"")+IMPORTRANGE(""https://docs.google.com/spreadsheets/d/1jQ6P4QcrGM89YfqcC_PxOHGCMq5ezhucwJd8ci-NHng/edit?usp=sharing"",""ราชบุรี!R31"&amp;"1"")+IMPORTRANGE(""https://docs.google.com/spreadsheets/d/1lufeA2cfFqM-elVq2hznhDzC6Pr7wkJ9ZG_sYNGCMCU/edit?usp=sharing"",""ลพบุรี!R311"")+IMPORTRANGE(""https://docs.google.com/spreadsheets/d/10oOiF7loTyfsTkbd4MpaIm0HQ9SwB7IYHdIUvt-U1Uc/edit?usp=sharing"""&amp;",""สระแก้ว!R311"")+IMPORTRANGE(""https://docs.google.com/spreadsheets/d/1xmPlrr1QbdSIKvl1dWUl9K4PjAfSL9oeMr_37QVzcxc/edit?usp=sharing"",""สระบุรี!R311"")+IMPORTRANGE(""https://docs.google.com/spreadsheets/d/1j51vR6CYVGhABJpv6tkstgok82RLpXieLzW1yOY5rHw/edi"&amp;"t?usp=sharing"",""สิงห์บุรี!R311"")+IMPORTRANGE(""https://docs.google.com/spreadsheets/d/1H1EalTWKUSzO4Z1-1CwzoDUaVffgrThEBe2sl74kKG0/edit?usp=sharing"",""สุพรรณบุรี!R311"")+IMPORTRANGE(""https://docs.google.com/spreadsheets/d/1BmIruG_sIrJLYao_Pdr7zVArWsf"&amp;"oBt2692TMi6x_854/edit?usp=sharing"",""อ่างทอง!R311"")"),0)</f>
        <v>0</v>
      </c>
      <c r="S312" s="74">
        <f ca="1">IFERROR(__xludf.DUMMYFUNCTION("IMPORTRANGE(""https://docs.google.com/spreadsheets/d/13wPX838HrBrQMCywv1BsuMkt4PEKTChp52zj44s2izQ/edit?usp=sharing"",""กาญจนบุรี!S311"")+IMPORTRANGE(""https://docs.google.com/spreadsheets/d/1ddFKvqj1W1NEiWytbGlB1zMx_ykJDVtmfEQ-6-lIUBA/edit?usp=sharing"","&amp;"""จันทบุรี!S311"")+IMPORTRANGE(""https://docs.google.com/spreadsheets/d/1T1PQvRODqOBZk8BRht_U031fIS1beLA0Ub2CEytj2q0/edit?usp=sharing"",""ฉะเชิงเทรา!S311"")+IMPORTRANGE(""https://docs.google.com/spreadsheets/d/11tr1B-Bhyr79v2bkwVh5h_fR-PStkgjlZtkrZpYurG0/"&amp;"edit?usp=sharing"",""ชลบุรี!S311"")+IMPORTRANGE(""https://docs.google.com/spreadsheets/d/1hh-FVnSX0vozXhGluamEcS54Dw9_zqW0N7qJUWgJ0Sw/edit?usp=sharing"",""ชัยนาท!S311"")+IMPORTRANGE(""https://docs.google.com/spreadsheets/d/1jkqa6GXxSacMcY1eN8AHjMNJ_7dDXMJ"&amp;"VRLDlaFSOdPM/edit?usp=sharing"",""ตราด!S311"")+IMPORTRANGE(""https://docs.google.com/spreadsheets/d/18hSgUJ3VwClqi_qtULmmW3cLr0oe3OKaSYoKzdpTsYQ/edit?usp=sharing"",""นครนายก!S311"")+IMPORTRANGE(""https://docs.google.com/spreadsheets/d/1YTZo6WM2dQ6Ix6FSdnL"&amp;"5P7uVnVKu40sxZu975tgG10E/edit?usp=sharing"",""นครปฐม!S311"")+IMPORTRANGE(""https://docs.google.com/spreadsheets/d/1OYoGg4WDg5RIzwGeB10padOxJF9E_Vljuvvct_M7RDo/edit?usp=sharing"",""ปทุมธานี!S311"")+IMPORTRANGE(""https://docs.google.com/spreadsheets/d/1GbCI"&amp;"E4D4wk9FUozzqk7SxfDMxDVBwVmI5zcaVUSzKAc/edit?usp=sharing"",""ประจวบคีรีขันธ์!S311"")+IMPORTRANGE(""https://docs.google.com/spreadsheets/d/1vVf6wykvW_lAyu7Yo9L4hUTqHqIeP_qcVuxCtosJEbg/edit?usp=sharing"",""ปราจีนบุรี!S311"")+IMPORTRANGE(""https://docs.googl"&amp;"e.com/spreadsheets/d/1BIDqLLg5jk3v59G8NlR8rk5xfQDKne0sAvZHSj7TI6I/edit?usp=sharing"",""พระนครศรีอยุธยา!S311"")+IMPORTRANGE(""https://docs.google.com/spreadsheets/d/1YXvxf8Yu6_rV4hTBrwMqAcAnv6DfhUxh5emyM3CJp_w/edit?usp=sharing"",""เพชรบุรี!S311"")+IMPORTRA"&amp;"NGE(""https://docs.google.com/spreadsheets/d/19KBlQQs7uwvsao6t2n-KvW3Ax8J8uRRfZPq1zPbXgKc/edit?usp=sharing"",""ระยอง!S311"")+IMPORTRANGE(""https://docs.google.com/spreadsheets/d/1jQ6P4QcrGM89YfqcC_PxOHGCMq5ezhucwJd8ci-NHng/edit?usp=sharing"",""ราชบุรี!S31"&amp;"1"")+IMPORTRANGE(""https://docs.google.com/spreadsheets/d/1lufeA2cfFqM-elVq2hznhDzC6Pr7wkJ9ZG_sYNGCMCU/edit?usp=sharing"",""ลพบุรี!S311"")+IMPORTRANGE(""https://docs.google.com/spreadsheets/d/10oOiF7loTyfsTkbd4MpaIm0HQ9SwB7IYHdIUvt-U1Uc/edit?usp=sharing"""&amp;",""สระแก้ว!S311"")+IMPORTRANGE(""https://docs.google.com/spreadsheets/d/1xmPlrr1QbdSIKvl1dWUl9K4PjAfSL9oeMr_37QVzcxc/edit?usp=sharing"",""สระบุรี!S311"")+IMPORTRANGE(""https://docs.google.com/spreadsheets/d/1j51vR6CYVGhABJpv6tkstgok82RLpXieLzW1yOY5rHw/edi"&amp;"t?usp=sharing"",""สิงห์บุรี!S311"")+IMPORTRANGE(""https://docs.google.com/spreadsheets/d/1H1EalTWKUSzO4Z1-1CwzoDUaVffgrThEBe2sl74kKG0/edit?usp=sharing"",""สุพรรณบุรี!S311"")+IMPORTRANGE(""https://docs.google.com/spreadsheets/d/1BmIruG_sIrJLYao_Pdr7zVArWsf"&amp;"oBt2692TMi6x_854/edit?usp=sharing"",""อ่างทอง!S311"")"),0)</f>
        <v>0</v>
      </c>
      <c r="T312" s="132">
        <f t="shared" ca="1" si="218"/>
        <v>0</v>
      </c>
      <c r="U312" s="132">
        <f t="shared" ca="1" si="219"/>
        <v>0</v>
      </c>
    </row>
    <row r="313" spans="1:21" ht="19.5" x14ac:dyDescent="0.3">
      <c r="A313" s="222"/>
      <c r="B313" s="223"/>
      <c r="C313" s="210" t="s">
        <v>18</v>
      </c>
      <c r="D313" s="224" t="s">
        <v>38</v>
      </c>
      <c r="E313" s="225"/>
      <c r="F313" s="225"/>
      <c r="G313" s="226"/>
      <c r="H313" s="227"/>
      <c r="I313" s="71"/>
      <c r="J313" s="71"/>
      <c r="K313" s="72"/>
      <c r="L313" s="72"/>
      <c r="M313" s="72"/>
      <c r="N313" s="72"/>
      <c r="O313" s="72"/>
      <c r="P313" s="72"/>
      <c r="Q313" s="86"/>
      <c r="R313" s="87"/>
      <c r="S313" s="87"/>
      <c r="T313" s="87"/>
      <c r="U313" s="87"/>
    </row>
    <row r="314" spans="1:21" ht="18.75" x14ac:dyDescent="0.25">
      <c r="A314" s="222"/>
      <c r="B314" s="223"/>
      <c r="C314" s="223"/>
      <c r="D314" s="395" t="s">
        <v>128</v>
      </c>
      <c r="E314" s="231"/>
      <c r="F314" s="231"/>
      <c r="G314" s="227"/>
      <c r="H314" s="227"/>
      <c r="I314" s="71"/>
      <c r="J314" s="239">
        <f ca="1">IFERROR(__xludf.DUMMYFUNCTION("IMPORTRANGE(""https://docs.google.com/spreadsheets/d/13wPX838HrBrQMCywv1BsuMkt4PEKTChp52zj44s2izQ/edit?usp=sharing"",""กาญจนบุรี!J313"")+IMPORTRANGE(""https://docs.google.com/spreadsheets/d/1ddFKvqj1W1NEiWytbGlB1zMx_ykJDVtmfEQ-6-lIUBA/edit?usp=sharing"","&amp;"""จันทบุรี!J313"")+IMPORTRANGE(""https://docs.google.com/spreadsheets/d/1T1PQvRODqOBZk8BRht_U031fIS1beLA0Ub2CEytj2q0/edit?usp=sharing"",""ฉะเชิงเทรา!J313"")+IMPORTRANGE(""https://docs.google.com/spreadsheets/d/11tr1B-Bhyr79v2bkwVh5h_fR-PStkgjlZtkrZpYurG0/"&amp;"edit?usp=sharing"",""ชลบุรี!J313"")+IMPORTRANGE(""https://docs.google.com/spreadsheets/d/1hh-FVnSX0vozXhGluamEcS54Dw9_zqW0N7qJUWgJ0Sw/edit?usp=sharing"",""ชัยนาท!J313"")+IMPORTRANGE(""https://docs.google.com/spreadsheets/d/1jkqa6GXxSacMcY1eN8AHjMNJ_7dDXMJ"&amp;"VRLDlaFSOdPM/edit?usp=sharing"",""ตราด!J313"")+IMPORTRANGE(""https://docs.google.com/spreadsheets/d/18hSgUJ3VwClqi_qtULmmW3cLr0oe3OKaSYoKzdpTsYQ/edit?usp=sharing"",""นครนายก!J313"")+IMPORTRANGE(""https://docs.google.com/spreadsheets/d/1YTZo6WM2dQ6Ix6FSdnL"&amp;"5P7uVnVKu40sxZu975tgG10E/edit?usp=sharing"",""นครปฐม!J313"")+IMPORTRANGE(""https://docs.google.com/spreadsheets/d/1OYoGg4WDg5RIzwGeB10padOxJF9E_Vljuvvct_M7RDo/edit?usp=sharing"",""ปทุมธานี!J313"")+IMPORTRANGE(""https://docs.google.com/spreadsheets/d/1GbCI"&amp;"E4D4wk9FUozzqk7SxfDMxDVBwVmI5zcaVUSzKAc/edit?usp=sharing"",""ประจวบคีรีขันธ์!J313"")+IMPORTRANGE(""https://docs.google.com/spreadsheets/d/1vVf6wykvW_lAyu7Yo9L4hUTqHqIeP_qcVuxCtosJEbg/edit?usp=sharing"",""ปราจีนบุรี!J313"")+IMPORTRANGE(""https://docs.googl"&amp;"e.com/spreadsheets/d/1BIDqLLg5jk3v59G8NlR8rk5xfQDKne0sAvZHSj7TI6I/edit?usp=sharing"",""พระนครศรีอยุธยา!J313"")+IMPORTRANGE(""https://docs.google.com/spreadsheets/d/1YXvxf8Yu6_rV4hTBrwMqAcAnv6DfhUxh5emyM3CJp_w/edit?usp=sharing"",""เพชรบุรี!J313"")+IMPORTRA"&amp;"NGE(""https://docs.google.com/spreadsheets/d/19KBlQQs7uwvsao6t2n-KvW3Ax8J8uRRfZPq1zPbXgKc/edit?usp=sharing"",""ระยอง!J313"")+IMPORTRANGE(""https://docs.google.com/spreadsheets/d/1jQ6P4QcrGM89YfqcC_PxOHGCMq5ezhucwJd8ci-NHng/edit?usp=sharing"",""ราชบุรี!J31"&amp;"3"")+IMPORTRANGE(""https://docs.google.com/spreadsheets/d/1lufeA2cfFqM-elVq2hznhDzC6Pr7wkJ9ZG_sYNGCMCU/edit?usp=sharing"",""ลพบุรี!J313"")+IMPORTRANGE(""https://docs.google.com/spreadsheets/d/10oOiF7loTyfsTkbd4MpaIm0HQ9SwB7IYHdIUvt-U1Uc/edit?usp=sharing"""&amp;",""สระแก้ว!J313"")+IMPORTRANGE(""https://docs.google.com/spreadsheets/d/1xmPlrr1QbdSIKvl1dWUl9K4PjAfSL9oeMr_37QVzcxc/edit?usp=sharing"",""สระบุรี!J313"")+IMPORTRANGE(""https://docs.google.com/spreadsheets/d/1j51vR6CYVGhABJpv6tkstgok82RLpXieLzW1yOY5rHw/edi"&amp;"t?usp=sharing"",""สิงห์บุรี!J313"")+IMPORTRANGE(""https://docs.google.com/spreadsheets/d/1H1EalTWKUSzO4Z1-1CwzoDUaVffgrThEBe2sl74kKG0/edit?usp=sharing"",""สุพรรณบุรี!J313"")+IMPORTRANGE(""https://docs.google.com/spreadsheets/d/1BmIruG_sIrJLYao_Pdr7zVArWsf"&amp;"oBt2692TMi6x_854/edit?usp=sharing"",""อ่างทอง!J313"")"),0)</f>
        <v>0</v>
      </c>
      <c r="K314" s="72"/>
      <c r="L314" s="72"/>
      <c r="M314" s="72"/>
      <c r="N314" s="72"/>
      <c r="O314" s="72"/>
      <c r="P314" s="72"/>
      <c r="Q314" s="29"/>
      <c r="R314" s="30"/>
      <c r="S314" s="30"/>
      <c r="T314" s="30"/>
      <c r="U314" s="30"/>
    </row>
    <row r="315" spans="1:21" ht="18.75" x14ac:dyDescent="0.25">
      <c r="A315" s="222"/>
      <c r="B315" s="223"/>
      <c r="C315" s="223"/>
      <c r="D315" s="236" t="s">
        <v>121</v>
      </c>
      <c r="E315" s="231"/>
      <c r="F315" s="231"/>
      <c r="G315" s="227"/>
      <c r="H315" s="237" t="s">
        <v>35</v>
      </c>
      <c r="I315" s="321">
        <f ca="1">IFERROR(__xludf.DUMMYFUNCTION("IMPORTRANGE(""https://docs.google.com/spreadsheets/d/13wPX838HrBrQMCywv1BsuMkt4PEKTChp52zj44s2izQ/edit?usp=sharing"",""กาญจนบุรี!I314"")+IMPORTRANGE(""https://docs.google.com/spreadsheets/d/1ddFKvqj1W1NEiWytbGlB1zMx_ykJDVtmfEQ-6-lIUBA/edit?usp=sharing"","&amp;"""จันทบุรี!I314"")+IMPORTRANGE(""https://docs.google.com/spreadsheets/d/1T1PQvRODqOBZk8BRht_U031fIS1beLA0Ub2CEytj2q0/edit?usp=sharing"",""ฉะเชิงเทรา!I314"")+IMPORTRANGE(""https://docs.google.com/spreadsheets/d/11tr1B-Bhyr79v2bkwVh5h_fR-PStkgjlZtkrZpYurG0/"&amp;"edit?usp=sharing"",""ชลบุรี!I314"")+IMPORTRANGE(""https://docs.google.com/spreadsheets/d/1hh-FVnSX0vozXhGluamEcS54Dw9_zqW0N7qJUWgJ0Sw/edit?usp=sharing"",""ชัยนาท!I314"")+IMPORTRANGE(""https://docs.google.com/spreadsheets/d/1jkqa6GXxSacMcY1eN8AHjMNJ_7dDXMJ"&amp;"VRLDlaFSOdPM/edit?usp=sharing"",""ตราด!I314"")+IMPORTRANGE(""https://docs.google.com/spreadsheets/d/18hSgUJ3VwClqi_qtULmmW3cLr0oe3OKaSYoKzdpTsYQ/edit?usp=sharing"",""นครนายก!I314"")+IMPORTRANGE(""https://docs.google.com/spreadsheets/d/1YTZo6WM2dQ6Ix6FSdnL"&amp;"5P7uVnVKu40sxZu975tgG10E/edit?usp=sharing"",""นครปฐม!I314"")+IMPORTRANGE(""https://docs.google.com/spreadsheets/d/1OYoGg4WDg5RIzwGeB10padOxJF9E_Vljuvvct_M7RDo/edit?usp=sharing"",""ปทุมธานี!I314"")+IMPORTRANGE(""https://docs.google.com/spreadsheets/d/1GbCI"&amp;"E4D4wk9FUozzqk7SxfDMxDVBwVmI5zcaVUSzKAc/edit?usp=sharing"",""ประจวบคีรีขันธ์!I314"")+IMPORTRANGE(""https://docs.google.com/spreadsheets/d/1vVf6wykvW_lAyu7Yo9L4hUTqHqIeP_qcVuxCtosJEbg/edit?usp=sharing"",""ปราจีนบุรี!I314"")+IMPORTRANGE(""https://docs.googl"&amp;"e.com/spreadsheets/d/1BIDqLLg5jk3v59G8NlR8rk5xfQDKne0sAvZHSj7TI6I/edit?usp=sharing"",""พระนครศรีอยุธยา!I314"")+IMPORTRANGE(""https://docs.google.com/spreadsheets/d/1YXvxf8Yu6_rV4hTBrwMqAcAnv6DfhUxh5emyM3CJp_w/edit?usp=sharing"",""เพชรบุรี!I314"")+IMPORTRA"&amp;"NGE(""https://docs.google.com/spreadsheets/d/19KBlQQs7uwvsao6t2n-KvW3Ax8J8uRRfZPq1zPbXgKc/edit?usp=sharing"",""ระยอง!I314"")+IMPORTRANGE(""https://docs.google.com/spreadsheets/d/1jQ6P4QcrGM89YfqcC_PxOHGCMq5ezhucwJd8ci-NHng/edit?usp=sharing"",""ราชบุรี!I31"&amp;"4"")+IMPORTRANGE(""https://docs.google.com/spreadsheets/d/1lufeA2cfFqM-elVq2hznhDzC6Pr7wkJ9ZG_sYNGCMCU/edit?usp=sharing"",""ลพบุรี!I314"")+IMPORTRANGE(""https://docs.google.com/spreadsheets/d/10oOiF7loTyfsTkbd4MpaIm0HQ9SwB7IYHdIUvt-U1Uc/edit?usp=sharing"""&amp;",""สระแก้ว!I314"")+IMPORTRANGE(""https://docs.google.com/spreadsheets/d/1xmPlrr1QbdSIKvl1dWUl9K4PjAfSL9oeMr_37QVzcxc/edit?usp=sharing"",""สระบุรี!I314"")+IMPORTRANGE(""https://docs.google.com/spreadsheets/d/1j51vR6CYVGhABJpv6tkstgok82RLpXieLzW1yOY5rHw/edi"&amp;"t?usp=sharing"",""สิงห์บุรี!I314"")+IMPORTRANGE(""https://docs.google.com/spreadsheets/d/1H1EalTWKUSzO4Z1-1CwzoDUaVffgrThEBe2sl74kKG0/edit?usp=sharing"",""สุพรรณบุรี!I314"")+IMPORTRANGE(""https://docs.google.com/spreadsheets/d/1BmIruG_sIrJLYao_Pdr7zVArWsf"&amp;"oBt2692TMi6x_854/edit?usp=sharing"",""อ่างทอง!I314"")"),355)</f>
        <v>355</v>
      </c>
      <c r="J315" s="239">
        <f ca="1">IFERROR(__xludf.DUMMYFUNCTION("IMPORTRANGE(""https://docs.google.com/spreadsheets/d/13wPX838HrBrQMCywv1BsuMkt4PEKTChp52zj44s2izQ/edit?usp=sharing"",""กาญจนบุรี!J314"")+IMPORTRANGE(""https://docs.google.com/spreadsheets/d/1ddFKvqj1W1NEiWytbGlB1zMx_ykJDVtmfEQ-6-lIUBA/edit?usp=sharing"","&amp;"""จันทบุรี!J314"")+IMPORTRANGE(""https://docs.google.com/spreadsheets/d/1T1PQvRODqOBZk8BRht_U031fIS1beLA0Ub2CEytj2q0/edit?usp=sharing"",""ฉะเชิงเทรา!J314"")+IMPORTRANGE(""https://docs.google.com/spreadsheets/d/11tr1B-Bhyr79v2bkwVh5h_fR-PStkgjlZtkrZpYurG0/"&amp;"edit?usp=sharing"",""ชลบุรี!J314"")+IMPORTRANGE(""https://docs.google.com/spreadsheets/d/1hh-FVnSX0vozXhGluamEcS54Dw9_zqW0N7qJUWgJ0Sw/edit?usp=sharing"",""ชัยนาท!J314"")+IMPORTRANGE(""https://docs.google.com/spreadsheets/d/1jkqa6GXxSacMcY1eN8AHjMNJ_7dDXMJ"&amp;"VRLDlaFSOdPM/edit?usp=sharing"",""ตราด!J314"")+IMPORTRANGE(""https://docs.google.com/spreadsheets/d/18hSgUJ3VwClqi_qtULmmW3cLr0oe3OKaSYoKzdpTsYQ/edit?usp=sharing"",""นครนายก!J314"")+IMPORTRANGE(""https://docs.google.com/spreadsheets/d/1YTZo6WM2dQ6Ix6FSdnL"&amp;"5P7uVnVKu40sxZu975tgG10E/edit?usp=sharing"",""นครปฐม!J314"")+IMPORTRANGE(""https://docs.google.com/spreadsheets/d/1OYoGg4WDg5RIzwGeB10padOxJF9E_Vljuvvct_M7RDo/edit?usp=sharing"",""ปทุมธานี!J314"")+IMPORTRANGE(""https://docs.google.com/spreadsheets/d/1GbCI"&amp;"E4D4wk9FUozzqk7SxfDMxDVBwVmI5zcaVUSzKAc/edit?usp=sharing"",""ประจวบคีรีขันธ์!J314"")+IMPORTRANGE(""https://docs.google.com/spreadsheets/d/1vVf6wykvW_lAyu7Yo9L4hUTqHqIeP_qcVuxCtosJEbg/edit?usp=sharing"",""ปราจีนบุรี!J314"")+IMPORTRANGE(""https://docs.googl"&amp;"e.com/spreadsheets/d/1BIDqLLg5jk3v59G8NlR8rk5xfQDKne0sAvZHSj7TI6I/edit?usp=sharing"",""พระนครศรีอยุธยา!J314"")+IMPORTRANGE(""https://docs.google.com/spreadsheets/d/1YXvxf8Yu6_rV4hTBrwMqAcAnv6DfhUxh5emyM3CJp_w/edit?usp=sharing"",""เพชรบุรี!J314"")+IMPORTRA"&amp;"NGE(""https://docs.google.com/spreadsheets/d/19KBlQQs7uwvsao6t2n-KvW3Ax8J8uRRfZPq1zPbXgKc/edit?usp=sharing"",""ระยอง!J314"")+IMPORTRANGE(""https://docs.google.com/spreadsheets/d/1jQ6P4QcrGM89YfqcC_PxOHGCMq5ezhucwJd8ci-NHng/edit?usp=sharing"",""ราชบุรี!J31"&amp;"4"")+IMPORTRANGE(""https://docs.google.com/spreadsheets/d/1lufeA2cfFqM-elVq2hznhDzC6Pr7wkJ9ZG_sYNGCMCU/edit?usp=sharing"",""ลพบุรี!J314"")+IMPORTRANGE(""https://docs.google.com/spreadsheets/d/10oOiF7loTyfsTkbd4MpaIm0HQ9SwB7IYHdIUvt-U1Uc/edit?usp=sharing"""&amp;",""สระแก้ว!J314"")+IMPORTRANGE(""https://docs.google.com/spreadsheets/d/1xmPlrr1QbdSIKvl1dWUl9K4PjAfSL9oeMr_37QVzcxc/edit?usp=sharing"",""สระบุรี!J314"")+IMPORTRANGE(""https://docs.google.com/spreadsheets/d/1j51vR6CYVGhABJpv6tkstgok82RLpXieLzW1yOY5rHw/edi"&amp;"t?usp=sharing"",""สิงห์บุรี!J314"")+IMPORTRANGE(""https://docs.google.com/spreadsheets/d/1H1EalTWKUSzO4Z1-1CwzoDUaVffgrThEBe2sl74kKG0/edit?usp=sharing"",""สุพรรณบุรี!J314"")+IMPORTRANGE(""https://docs.google.com/spreadsheets/d/1BmIruG_sIrJLYao_Pdr7zVArWsf"&amp;"oBt2692TMi6x_854/edit?usp=sharing"",""อ่างทอง!J314"")"),45)</f>
        <v>45</v>
      </c>
      <c r="K315" s="88">
        <f t="shared" ref="K315:K318" ca="1" si="228">IF(I315&gt;0,J315*100/I315,0)</f>
        <v>12.67605633802817</v>
      </c>
      <c r="L315" s="72"/>
      <c r="M315" s="72"/>
      <c r="N315" s="72"/>
      <c r="O315" s="72"/>
      <c r="P315" s="72"/>
      <c r="Q315" s="86"/>
      <c r="R315" s="87"/>
      <c r="S315" s="87"/>
      <c r="T315" s="87"/>
      <c r="U315" s="87"/>
    </row>
    <row r="316" spans="1:21" ht="18.75" x14ac:dyDescent="0.25">
      <c r="A316" s="222"/>
      <c r="B316" s="223"/>
      <c r="C316" s="223"/>
      <c r="D316" s="236" t="s">
        <v>129</v>
      </c>
      <c r="E316" s="231"/>
      <c r="F316" s="231"/>
      <c r="G316" s="227"/>
      <c r="H316" s="237" t="s">
        <v>35</v>
      </c>
      <c r="I316" s="321">
        <f ca="1">IFERROR(__xludf.DUMMYFUNCTION("IMPORTRANGE(""https://docs.google.com/spreadsheets/d/13wPX838HrBrQMCywv1BsuMkt4PEKTChp52zj44s2izQ/edit?usp=sharing"",""กาญจนบุรี!I315"")+IMPORTRANGE(""https://docs.google.com/spreadsheets/d/1ddFKvqj1W1NEiWytbGlB1zMx_ykJDVtmfEQ-6-lIUBA/edit?usp=sharing"","&amp;"""จันทบุรี!I315"")+IMPORTRANGE(""https://docs.google.com/spreadsheets/d/1T1PQvRODqOBZk8BRht_U031fIS1beLA0Ub2CEytj2q0/edit?usp=sharing"",""ฉะเชิงเทรา!I315"")+IMPORTRANGE(""https://docs.google.com/spreadsheets/d/11tr1B-Bhyr79v2bkwVh5h_fR-PStkgjlZtkrZpYurG0/"&amp;"edit?usp=sharing"",""ชลบุรี!I315"")+IMPORTRANGE(""https://docs.google.com/spreadsheets/d/1hh-FVnSX0vozXhGluamEcS54Dw9_zqW0N7qJUWgJ0Sw/edit?usp=sharing"",""ชัยนาท!I315"")+IMPORTRANGE(""https://docs.google.com/spreadsheets/d/1jkqa6GXxSacMcY1eN8AHjMNJ_7dDXMJ"&amp;"VRLDlaFSOdPM/edit?usp=sharing"",""ตราด!I315"")+IMPORTRANGE(""https://docs.google.com/spreadsheets/d/18hSgUJ3VwClqi_qtULmmW3cLr0oe3OKaSYoKzdpTsYQ/edit?usp=sharing"",""นครนายก!I315"")+IMPORTRANGE(""https://docs.google.com/spreadsheets/d/1YTZo6WM2dQ6Ix6FSdnL"&amp;"5P7uVnVKu40sxZu975tgG10E/edit?usp=sharing"",""นครปฐม!I315"")+IMPORTRANGE(""https://docs.google.com/spreadsheets/d/1OYoGg4WDg5RIzwGeB10padOxJF9E_Vljuvvct_M7RDo/edit?usp=sharing"",""ปทุมธานี!I315"")+IMPORTRANGE(""https://docs.google.com/spreadsheets/d/1GbCI"&amp;"E4D4wk9FUozzqk7SxfDMxDVBwVmI5zcaVUSzKAc/edit?usp=sharing"",""ประจวบคีรีขันธ์!I315"")+IMPORTRANGE(""https://docs.google.com/spreadsheets/d/1vVf6wykvW_lAyu7Yo9L4hUTqHqIeP_qcVuxCtosJEbg/edit?usp=sharing"",""ปราจีนบุรี!I315"")+IMPORTRANGE(""https://docs.googl"&amp;"e.com/spreadsheets/d/1BIDqLLg5jk3v59G8NlR8rk5xfQDKne0sAvZHSj7TI6I/edit?usp=sharing"",""พระนครศรีอยุธยา!I315"")+IMPORTRANGE(""https://docs.google.com/spreadsheets/d/1YXvxf8Yu6_rV4hTBrwMqAcAnv6DfhUxh5emyM3CJp_w/edit?usp=sharing"",""เพชรบุรี!I315"")+IMPORTRA"&amp;"NGE(""https://docs.google.com/spreadsheets/d/19KBlQQs7uwvsao6t2n-KvW3Ax8J8uRRfZPq1zPbXgKc/edit?usp=sharing"",""ระยอง!I315"")+IMPORTRANGE(""https://docs.google.com/spreadsheets/d/1jQ6P4QcrGM89YfqcC_PxOHGCMq5ezhucwJd8ci-NHng/edit?usp=sharing"",""ราชบุรี!I31"&amp;"5"")+IMPORTRANGE(""https://docs.google.com/spreadsheets/d/1lufeA2cfFqM-elVq2hznhDzC6Pr7wkJ9ZG_sYNGCMCU/edit?usp=sharing"",""ลพบุรี!I315"")+IMPORTRANGE(""https://docs.google.com/spreadsheets/d/10oOiF7loTyfsTkbd4MpaIm0HQ9SwB7IYHdIUvt-U1Uc/edit?usp=sharing"""&amp;",""สระแก้ว!I315"")+IMPORTRANGE(""https://docs.google.com/spreadsheets/d/1xmPlrr1QbdSIKvl1dWUl9K4PjAfSL9oeMr_37QVzcxc/edit?usp=sharing"",""สระบุรี!I315"")+IMPORTRANGE(""https://docs.google.com/spreadsheets/d/1j51vR6CYVGhABJpv6tkstgok82RLpXieLzW1yOY5rHw/edi"&amp;"t?usp=sharing"",""สิงห์บุรี!I315"")+IMPORTRANGE(""https://docs.google.com/spreadsheets/d/1H1EalTWKUSzO4Z1-1CwzoDUaVffgrThEBe2sl74kKG0/edit?usp=sharing"",""สุพรรณบุรี!I315"")+IMPORTRANGE(""https://docs.google.com/spreadsheets/d/1BmIruG_sIrJLYao_Pdr7zVArWsf"&amp;"oBt2692TMi6x_854/edit?usp=sharing"",""อ่างทอง!I315"")"),0)</f>
        <v>0</v>
      </c>
      <c r="J316" s="239">
        <f ca="1">IFERROR(__xludf.DUMMYFUNCTION("IMPORTRANGE(""https://docs.google.com/spreadsheets/d/13wPX838HrBrQMCywv1BsuMkt4PEKTChp52zj44s2izQ/edit?usp=sharing"",""กาญจนบุรี!J315"")+IMPORTRANGE(""https://docs.google.com/spreadsheets/d/1ddFKvqj1W1NEiWytbGlB1zMx_ykJDVtmfEQ-6-lIUBA/edit?usp=sharing"","&amp;"""จันทบุรี!J315"")+IMPORTRANGE(""https://docs.google.com/spreadsheets/d/1T1PQvRODqOBZk8BRht_U031fIS1beLA0Ub2CEytj2q0/edit?usp=sharing"",""ฉะเชิงเทรา!J315"")+IMPORTRANGE(""https://docs.google.com/spreadsheets/d/11tr1B-Bhyr79v2bkwVh5h_fR-PStkgjlZtkrZpYurG0/"&amp;"edit?usp=sharing"",""ชลบุรี!J315"")+IMPORTRANGE(""https://docs.google.com/spreadsheets/d/1hh-FVnSX0vozXhGluamEcS54Dw9_zqW0N7qJUWgJ0Sw/edit?usp=sharing"",""ชัยนาท!J315"")+IMPORTRANGE(""https://docs.google.com/spreadsheets/d/1jkqa6GXxSacMcY1eN8AHjMNJ_7dDXMJ"&amp;"VRLDlaFSOdPM/edit?usp=sharing"",""ตราด!J315"")+IMPORTRANGE(""https://docs.google.com/spreadsheets/d/18hSgUJ3VwClqi_qtULmmW3cLr0oe3OKaSYoKzdpTsYQ/edit?usp=sharing"",""นครนายก!J315"")+IMPORTRANGE(""https://docs.google.com/spreadsheets/d/1YTZo6WM2dQ6Ix6FSdnL"&amp;"5P7uVnVKu40sxZu975tgG10E/edit?usp=sharing"",""นครปฐม!J315"")+IMPORTRANGE(""https://docs.google.com/spreadsheets/d/1OYoGg4WDg5RIzwGeB10padOxJF9E_Vljuvvct_M7RDo/edit?usp=sharing"",""ปทุมธานี!J315"")+IMPORTRANGE(""https://docs.google.com/spreadsheets/d/1GbCI"&amp;"E4D4wk9FUozzqk7SxfDMxDVBwVmI5zcaVUSzKAc/edit?usp=sharing"",""ประจวบคีรีขันธ์!J315"")+IMPORTRANGE(""https://docs.google.com/spreadsheets/d/1vVf6wykvW_lAyu7Yo9L4hUTqHqIeP_qcVuxCtosJEbg/edit?usp=sharing"",""ปราจีนบุรี!J315"")+IMPORTRANGE(""https://docs.googl"&amp;"e.com/spreadsheets/d/1BIDqLLg5jk3v59G8NlR8rk5xfQDKne0sAvZHSj7TI6I/edit?usp=sharing"",""พระนครศรีอยุธยา!J315"")+IMPORTRANGE(""https://docs.google.com/spreadsheets/d/1YXvxf8Yu6_rV4hTBrwMqAcAnv6DfhUxh5emyM3CJp_w/edit?usp=sharing"",""เพชรบุรี!J315"")+IMPORTRA"&amp;"NGE(""https://docs.google.com/spreadsheets/d/19KBlQQs7uwvsao6t2n-KvW3Ax8J8uRRfZPq1zPbXgKc/edit?usp=sharing"",""ระยอง!J315"")+IMPORTRANGE(""https://docs.google.com/spreadsheets/d/1jQ6P4QcrGM89YfqcC_PxOHGCMq5ezhucwJd8ci-NHng/edit?usp=sharing"",""ราชบุรี!J31"&amp;"5"")+IMPORTRANGE(""https://docs.google.com/spreadsheets/d/1lufeA2cfFqM-elVq2hznhDzC6Pr7wkJ9ZG_sYNGCMCU/edit?usp=sharing"",""ลพบุรี!J315"")+IMPORTRANGE(""https://docs.google.com/spreadsheets/d/10oOiF7loTyfsTkbd4MpaIm0HQ9SwB7IYHdIUvt-U1Uc/edit?usp=sharing"""&amp;",""สระแก้ว!J315"")+IMPORTRANGE(""https://docs.google.com/spreadsheets/d/1xmPlrr1QbdSIKvl1dWUl9K4PjAfSL9oeMr_37QVzcxc/edit?usp=sharing"",""สระบุรี!J315"")+IMPORTRANGE(""https://docs.google.com/spreadsheets/d/1j51vR6CYVGhABJpv6tkstgok82RLpXieLzW1yOY5rHw/edi"&amp;"t?usp=sharing"",""สิงห์บุรี!J315"")+IMPORTRANGE(""https://docs.google.com/spreadsheets/d/1H1EalTWKUSzO4Z1-1CwzoDUaVffgrThEBe2sl74kKG0/edit?usp=sharing"",""สุพรรณบุรี!J315"")+IMPORTRANGE(""https://docs.google.com/spreadsheets/d/1BmIruG_sIrJLYao_Pdr7zVArWsf"&amp;"oBt2692TMi6x_854/edit?usp=sharing"",""อ่างทอง!J315"")"),0)</f>
        <v>0</v>
      </c>
      <c r="K316" s="88">
        <f t="shared" ca="1" si="228"/>
        <v>0</v>
      </c>
      <c r="L316" s="72"/>
      <c r="M316" s="72"/>
      <c r="N316" s="72"/>
      <c r="O316" s="72"/>
      <c r="P316" s="72"/>
      <c r="Q316" s="29"/>
      <c r="R316" s="30"/>
      <c r="S316" s="30"/>
      <c r="T316" s="30"/>
      <c r="U316" s="30"/>
    </row>
    <row r="317" spans="1:21" ht="18.75" x14ac:dyDescent="0.25">
      <c r="A317" s="222"/>
      <c r="B317" s="223"/>
      <c r="C317" s="223"/>
      <c r="D317" s="395" t="s">
        <v>50</v>
      </c>
      <c r="E317" s="231"/>
      <c r="F317" s="231"/>
      <c r="G317" s="227"/>
      <c r="H317" s="237" t="s">
        <v>35</v>
      </c>
      <c r="I317" s="321">
        <f ca="1">IFERROR(__xludf.DUMMYFUNCTION("IMPORTRANGE(""https://docs.google.com/spreadsheets/d/13wPX838HrBrQMCywv1BsuMkt4PEKTChp52zj44s2izQ/edit?usp=sharing"",""กาญจนบุรี!I316"")+IMPORTRANGE(""https://docs.google.com/spreadsheets/d/1ddFKvqj1W1NEiWytbGlB1zMx_ykJDVtmfEQ-6-lIUBA/edit?usp=sharing"","&amp;"""จันทบุรี!I316"")+IMPORTRANGE(""https://docs.google.com/spreadsheets/d/1T1PQvRODqOBZk8BRht_U031fIS1beLA0Ub2CEytj2q0/edit?usp=sharing"",""ฉะเชิงเทรา!I316"")+IMPORTRANGE(""https://docs.google.com/spreadsheets/d/11tr1B-Bhyr79v2bkwVh5h_fR-PStkgjlZtkrZpYurG0/"&amp;"edit?usp=sharing"",""ชลบุรี!I316"")+IMPORTRANGE(""https://docs.google.com/spreadsheets/d/1hh-FVnSX0vozXhGluamEcS54Dw9_zqW0N7qJUWgJ0Sw/edit?usp=sharing"",""ชัยนาท!I316"")+IMPORTRANGE(""https://docs.google.com/spreadsheets/d/1jkqa6GXxSacMcY1eN8AHjMNJ_7dDXMJ"&amp;"VRLDlaFSOdPM/edit?usp=sharing"",""ตราด!I316"")+IMPORTRANGE(""https://docs.google.com/spreadsheets/d/18hSgUJ3VwClqi_qtULmmW3cLr0oe3OKaSYoKzdpTsYQ/edit?usp=sharing"",""นครนายก!I316"")+IMPORTRANGE(""https://docs.google.com/spreadsheets/d/1YTZo6WM2dQ6Ix6FSdnL"&amp;"5P7uVnVKu40sxZu975tgG10E/edit?usp=sharing"",""นครปฐม!I316"")+IMPORTRANGE(""https://docs.google.com/spreadsheets/d/1OYoGg4WDg5RIzwGeB10padOxJF9E_Vljuvvct_M7RDo/edit?usp=sharing"",""ปทุมธานี!I316"")+IMPORTRANGE(""https://docs.google.com/spreadsheets/d/1GbCI"&amp;"E4D4wk9FUozzqk7SxfDMxDVBwVmI5zcaVUSzKAc/edit?usp=sharing"",""ประจวบคีรีขันธ์!I316"")+IMPORTRANGE(""https://docs.google.com/spreadsheets/d/1vVf6wykvW_lAyu7Yo9L4hUTqHqIeP_qcVuxCtosJEbg/edit?usp=sharing"",""ปราจีนบุรี!I316"")+IMPORTRANGE(""https://docs.googl"&amp;"e.com/spreadsheets/d/1BIDqLLg5jk3v59G8NlR8rk5xfQDKne0sAvZHSj7TI6I/edit?usp=sharing"",""พระนครศรีอยุธยา!I316"")+IMPORTRANGE(""https://docs.google.com/spreadsheets/d/1YXvxf8Yu6_rV4hTBrwMqAcAnv6DfhUxh5emyM3CJp_w/edit?usp=sharing"",""เพชรบุรี!I316"")+IMPORTRA"&amp;"NGE(""https://docs.google.com/spreadsheets/d/19KBlQQs7uwvsao6t2n-KvW3Ax8J8uRRfZPq1zPbXgKc/edit?usp=sharing"",""ระยอง!I316"")+IMPORTRANGE(""https://docs.google.com/spreadsheets/d/1jQ6P4QcrGM89YfqcC_PxOHGCMq5ezhucwJd8ci-NHng/edit?usp=sharing"",""ราชบุรี!I31"&amp;"6"")+IMPORTRANGE(""https://docs.google.com/spreadsheets/d/1lufeA2cfFqM-elVq2hznhDzC6Pr7wkJ9ZG_sYNGCMCU/edit?usp=sharing"",""ลพบุรี!I316"")+IMPORTRANGE(""https://docs.google.com/spreadsheets/d/10oOiF7loTyfsTkbd4MpaIm0HQ9SwB7IYHdIUvt-U1Uc/edit?usp=sharing"""&amp;",""สระแก้ว!I316"")+IMPORTRANGE(""https://docs.google.com/spreadsheets/d/1xmPlrr1QbdSIKvl1dWUl9K4PjAfSL9oeMr_37QVzcxc/edit?usp=sharing"",""สระบุรี!I316"")+IMPORTRANGE(""https://docs.google.com/spreadsheets/d/1j51vR6CYVGhABJpv6tkstgok82RLpXieLzW1yOY5rHw/edi"&amp;"t?usp=sharing"",""สิงห์บุรี!I316"")+IMPORTRANGE(""https://docs.google.com/spreadsheets/d/1H1EalTWKUSzO4Z1-1CwzoDUaVffgrThEBe2sl74kKG0/edit?usp=sharing"",""สุพรรณบุรี!I316"")+IMPORTRANGE(""https://docs.google.com/spreadsheets/d/1BmIruG_sIrJLYao_Pdr7zVArWsf"&amp;"oBt2692TMi6x_854/edit?usp=sharing"",""อ่างทอง!I316"")"),0)</f>
        <v>0</v>
      </c>
      <c r="J317" s="239">
        <f ca="1">IFERROR(__xludf.DUMMYFUNCTION("IMPORTRANGE(""https://docs.google.com/spreadsheets/d/13wPX838HrBrQMCywv1BsuMkt4PEKTChp52zj44s2izQ/edit?usp=sharing"",""กาญจนบุรี!J316"")+IMPORTRANGE(""https://docs.google.com/spreadsheets/d/1ddFKvqj1W1NEiWytbGlB1zMx_ykJDVtmfEQ-6-lIUBA/edit?usp=sharing"","&amp;"""จันทบุรี!J316"")+IMPORTRANGE(""https://docs.google.com/spreadsheets/d/1T1PQvRODqOBZk8BRht_U031fIS1beLA0Ub2CEytj2q0/edit?usp=sharing"",""ฉะเชิงเทรา!J316"")+IMPORTRANGE(""https://docs.google.com/spreadsheets/d/11tr1B-Bhyr79v2bkwVh5h_fR-PStkgjlZtkrZpYurG0/"&amp;"edit?usp=sharing"",""ชลบุรี!J316"")+IMPORTRANGE(""https://docs.google.com/spreadsheets/d/1hh-FVnSX0vozXhGluamEcS54Dw9_zqW0N7qJUWgJ0Sw/edit?usp=sharing"",""ชัยนาท!J316"")+IMPORTRANGE(""https://docs.google.com/spreadsheets/d/1jkqa6GXxSacMcY1eN8AHjMNJ_7dDXMJ"&amp;"VRLDlaFSOdPM/edit?usp=sharing"",""ตราด!J316"")+IMPORTRANGE(""https://docs.google.com/spreadsheets/d/18hSgUJ3VwClqi_qtULmmW3cLr0oe3OKaSYoKzdpTsYQ/edit?usp=sharing"",""นครนายก!J316"")+IMPORTRANGE(""https://docs.google.com/spreadsheets/d/1YTZo6WM2dQ6Ix6FSdnL"&amp;"5P7uVnVKu40sxZu975tgG10E/edit?usp=sharing"",""นครปฐม!J316"")+IMPORTRANGE(""https://docs.google.com/spreadsheets/d/1OYoGg4WDg5RIzwGeB10padOxJF9E_Vljuvvct_M7RDo/edit?usp=sharing"",""ปทุมธานี!J316"")+IMPORTRANGE(""https://docs.google.com/spreadsheets/d/1GbCI"&amp;"E4D4wk9FUozzqk7SxfDMxDVBwVmI5zcaVUSzKAc/edit?usp=sharing"",""ประจวบคีรีขันธ์!J316"")+IMPORTRANGE(""https://docs.google.com/spreadsheets/d/1vVf6wykvW_lAyu7Yo9L4hUTqHqIeP_qcVuxCtosJEbg/edit?usp=sharing"",""ปราจีนบุรี!J316"")+IMPORTRANGE(""https://docs.googl"&amp;"e.com/spreadsheets/d/1BIDqLLg5jk3v59G8NlR8rk5xfQDKne0sAvZHSj7TI6I/edit?usp=sharing"",""พระนครศรีอยุธยา!J316"")+IMPORTRANGE(""https://docs.google.com/spreadsheets/d/1YXvxf8Yu6_rV4hTBrwMqAcAnv6DfhUxh5emyM3CJp_w/edit?usp=sharing"",""เพชรบุรี!J316"")+IMPORTRA"&amp;"NGE(""https://docs.google.com/spreadsheets/d/19KBlQQs7uwvsao6t2n-KvW3Ax8J8uRRfZPq1zPbXgKc/edit?usp=sharing"",""ระยอง!J316"")+IMPORTRANGE(""https://docs.google.com/spreadsheets/d/1jQ6P4QcrGM89YfqcC_PxOHGCMq5ezhucwJd8ci-NHng/edit?usp=sharing"",""ราชบุรี!J31"&amp;"6"")+IMPORTRANGE(""https://docs.google.com/spreadsheets/d/1lufeA2cfFqM-elVq2hznhDzC6Pr7wkJ9ZG_sYNGCMCU/edit?usp=sharing"",""ลพบุรี!J316"")+IMPORTRANGE(""https://docs.google.com/spreadsheets/d/10oOiF7loTyfsTkbd4MpaIm0HQ9SwB7IYHdIUvt-U1Uc/edit?usp=sharing"""&amp;",""สระแก้ว!J316"")+IMPORTRANGE(""https://docs.google.com/spreadsheets/d/1xmPlrr1QbdSIKvl1dWUl9K4PjAfSL9oeMr_37QVzcxc/edit?usp=sharing"",""สระบุรี!J316"")+IMPORTRANGE(""https://docs.google.com/spreadsheets/d/1j51vR6CYVGhABJpv6tkstgok82RLpXieLzW1yOY5rHw/edi"&amp;"t?usp=sharing"",""สิงห์บุรี!J316"")+IMPORTRANGE(""https://docs.google.com/spreadsheets/d/1H1EalTWKUSzO4Z1-1CwzoDUaVffgrThEBe2sl74kKG0/edit?usp=sharing"",""สุพรรณบุรี!J316"")+IMPORTRANGE(""https://docs.google.com/spreadsheets/d/1BmIruG_sIrJLYao_Pdr7zVArWsf"&amp;"oBt2692TMi6x_854/edit?usp=sharing"",""อ่างทอง!J316"")"),0)</f>
        <v>0</v>
      </c>
      <c r="K317" s="88">
        <f t="shared" ca="1" si="228"/>
        <v>0</v>
      </c>
      <c r="L317" s="72"/>
      <c r="M317" s="72"/>
      <c r="N317" s="72"/>
      <c r="O317" s="72"/>
      <c r="P317" s="72"/>
      <c r="Q317" s="29"/>
      <c r="R317" s="30"/>
      <c r="S317" s="30"/>
      <c r="T317" s="30"/>
      <c r="U317" s="30"/>
    </row>
    <row r="318" spans="1:21" ht="18.75" x14ac:dyDescent="0.25">
      <c r="A318" s="377"/>
      <c r="B318" s="381"/>
      <c r="C318" s="381"/>
      <c r="D318" s="75" t="s">
        <v>130</v>
      </c>
      <c r="E318" s="67"/>
      <c r="F318" s="67"/>
      <c r="G318" s="69"/>
      <c r="H318" s="70" t="s">
        <v>35</v>
      </c>
      <c r="I318" s="321">
        <f ca="1">IFERROR(__xludf.DUMMYFUNCTION("IMPORTRANGE(""https://docs.google.com/spreadsheets/d/13wPX838HrBrQMCywv1BsuMkt4PEKTChp52zj44s2izQ/edit?usp=sharing"",""กาญจนบุรี!I317"")+IMPORTRANGE(""https://docs.google.com/spreadsheets/d/1ddFKvqj1W1NEiWytbGlB1zMx_ykJDVtmfEQ-6-lIUBA/edit?usp=sharing"","&amp;"""จันทบุรี!I317"")+IMPORTRANGE(""https://docs.google.com/spreadsheets/d/1T1PQvRODqOBZk8BRht_U031fIS1beLA0Ub2CEytj2q0/edit?usp=sharing"",""ฉะเชิงเทรา!I317"")+IMPORTRANGE(""https://docs.google.com/spreadsheets/d/11tr1B-Bhyr79v2bkwVh5h_fR-PStkgjlZtkrZpYurG0/"&amp;"edit?usp=sharing"",""ชลบุรี!I317"")+IMPORTRANGE(""https://docs.google.com/spreadsheets/d/1hh-FVnSX0vozXhGluamEcS54Dw9_zqW0N7qJUWgJ0Sw/edit?usp=sharing"",""ชัยนาท!I317"")+IMPORTRANGE(""https://docs.google.com/spreadsheets/d/1jkqa6GXxSacMcY1eN8AHjMNJ_7dDXMJ"&amp;"VRLDlaFSOdPM/edit?usp=sharing"",""ตราด!I317"")+IMPORTRANGE(""https://docs.google.com/spreadsheets/d/18hSgUJ3VwClqi_qtULmmW3cLr0oe3OKaSYoKzdpTsYQ/edit?usp=sharing"",""นครนายก!I317"")+IMPORTRANGE(""https://docs.google.com/spreadsheets/d/1YTZo6WM2dQ6Ix6FSdnL"&amp;"5P7uVnVKu40sxZu975tgG10E/edit?usp=sharing"",""นครปฐม!I317"")+IMPORTRANGE(""https://docs.google.com/spreadsheets/d/1OYoGg4WDg5RIzwGeB10padOxJF9E_Vljuvvct_M7RDo/edit?usp=sharing"",""ปทุมธานี!I317"")+IMPORTRANGE(""https://docs.google.com/spreadsheets/d/1GbCI"&amp;"E4D4wk9FUozzqk7SxfDMxDVBwVmI5zcaVUSzKAc/edit?usp=sharing"",""ประจวบคีรีขันธ์!I317"")+IMPORTRANGE(""https://docs.google.com/spreadsheets/d/1vVf6wykvW_lAyu7Yo9L4hUTqHqIeP_qcVuxCtosJEbg/edit?usp=sharing"",""ปราจีนบุรี!I317"")+IMPORTRANGE(""https://docs.googl"&amp;"e.com/spreadsheets/d/1BIDqLLg5jk3v59G8NlR8rk5xfQDKne0sAvZHSj7TI6I/edit?usp=sharing"",""พระนครศรีอยุธยา!I317"")+IMPORTRANGE(""https://docs.google.com/spreadsheets/d/1YXvxf8Yu6_rV4hTBrwMqAcAnv6DfhUxh5emyM3CJp_w/edit?usp=sharing"",""เพชรบุรี!I317"")+IMPORTRA"&amp;"NGE(""https://docs.google.com/spreadsheets/d/19KBlQQs7uwvsao6t2n-KvW3Ax8J8uRRfZPq1zPbXgKc/edit?usp=sharing"",""ระยอง!I317"")+IMPORTRANGE(""https://docs.google.com/spreadsheets/d/1jQ6P4QcrGM89YfqcC_PxOHGCMq5ezhucwJd8ci-NHng/edit?usp=sharing"",""ราชบุรี!I31"&amp;"7"")+IMPORTRANGE(""https://docs.google.com/spreadsheets/d/1lufeA2cfFqM-elVq2hznhDzC6Pr7wkJ9ZG_sYNGCMCU/edit?usp=sharing"",""ลพบุรี!I317"")+IMPORTRANGE(""https://docs.google.com/spreadsheets/d/10oOiF7loTyfsTkbd4MpaIm0HQ9SwB7IYHdIUvt-U1Uc/edit?usp=sharing"""&amp;",""สระแก้ว!I317"")+IMPORTRANGE(""https://docs.google.com/spreadsheets/d/1xmPlrr1QbdSIKvl1dWUl9K4PjAfSL9oeMr_37QVzcxc/edit?usp=sharing"",""สระบุรี!I317"")+IMPORTRANGE(""https://docs.google.com/spreadsheets/d/1j51vR6CYVGhABJpv6tkstgok82RLpXieLzW1yOY5rHw/edi"&amp;"t?usp=sharing"",""สิงห์บุรี!I317"")+IMPORTRANGE(""https://docs.google.com/spreadsheets/d/1H1EalTWKUSzO4Z1-1CwzoDUaVffgrThEBe2sl74kKG0/edit?usp=sharing"",""สุพรรณบุรี!I317"")+IMPORTRANGE(""https://docs.google.com/spreadsheets/d/1BmIruG_sIrJLYao_Pdr7zVArWsf"&amp;"oBt2692TMi6x_854/edit?usp=sharing"",""อ่างทอง!I317"")"),0)</f>
        <v>0</v>
      </c>
      <c r="J318" s="239">
        <f ca="1">IFERROR(__xludf.DUMMYFUNCTION("IMPORTRANGE(""https://docs.google.com/spreadsheets/d/13wPX838HrBrQMCywv1BsuMkt4PEKTChp52zj44s2izQ/edit?usp=sharing"",""กาญจนบุรี!J317"")+IMPORTRANGE(""https://docs.google.com/spreadsheets/d/1ddFKvqj1W1NEiWytbGlB1zMx_ykJDVtmfEQ-6-lIUBA/edit?usp=sharing"","&amp;"""จันทบุรี!J317"")+IMPORTRANGE(""https://docs.google.com/spreadsheets/d/1T1PQvRODqOBZk8BRht_U031fIS1beLA0Ub2CEytj2q0/edit?usp=sharing"",""ฉะเชิงเทรา!J317"")+IMPORTRANGE(""https://docs.google.com/spreadsheets/d/11tr1B-Bhyr79v2bkwVh5h_fR-PStkgjlZtkrZpYurG0/"&amp;"edit?usp=sharing"",""ชลบุรี!J317"")+IMPORTRANGE(""https://docs.google.com/spreadsheets/d/1hh-FVnSX0vozXhGluamEcS54Dw9_zqW0N7qJUWgJ0Sw/edit?usp=sharing"",""ชัยนาท!J317"")+IMPORTRANGE(""https://docs.google.com/spreadsheets/d/1jkqa6GXxSacMcY1eN8AHjMNJ_7dDXMJ"&amp;"VRLDlaFSOdPM/edit?usp=sharing"",""ตราด!J317"")+IMPORTRANGE(""https://docs.google.com/spreadsheets/d/18hSgUJ3VwClqi_qtULmmW3cLr0oe3OKaSYoKzdpTsYQ/edit?usp=sharing"",""นครนายก!J317"")+IMPORTRANGE(""https://docs.google.com/spreadsheets/d/1YTZo6WM2dQ6Ix6FSdnL"&amp;"5P7uVnVKu40sxZu975tgG10E/edit?usp=sharing"",""นครปฐม!J317"")+IMPORTRANGE(""https://docs.google.com/spreadsheets/d/1OYoGg4WDg5RIzwGeB10padOxJF9E_Vljuvvct_M7RDo/edit?usp=sharing"",""ปทุมธานี!J317"")+IMPORTRANGE(""https://docs.google.com/spreadsheets/d/1GbCI"&amp;"E4D4wk9FUozzqk7SxfDMxDVBwVmI5zcaVUSzKAc/edit?usp=sharing"",""ประจวบคีรีขันธ์!J317"")+IMPORTRANGE(""https://docs.google.com/spreadsheets/d/1vVf6wykvW_lAyu7Yo9L4hUTqHqIeP_qcVuxCtosJEbg/edit?usp=sharing"",""ปราจีนบุรี!J317"")+IMPORTRANGE(""https://docs.googl"&amp;"e.com/spreadsheets/d/1BIDqLLg5jk3v59G8NlR8rk5xfQDKne0sAvZHSj7TI6I/edit?usp=sharing"",""พระนครศรีอยุธยา!J317"")+IMPORTRANGE(""https://docs.google.com/spreadsheets/d/1YXvxf8Yu6_rV4hTBrwMqAcAnv6DfhUxh5emyM3CJp_w/edit?usp=sharing"",""เพชรบุรี!J317"")+IMPORTRA"&amp;"NGE(""https://docs.google.com/spreadsheets/d/19KBlQQs7uwvsao6t2n-KvW3Ax8J8uRRfZPq1zPbXgKc/edit?usp=sharing"",""ระยอง!J317"")+IMPORTRANGE(""https://docs.google.com/spreadsheets/d/1jQ6P4QcrGM89YfqcC_PxOHGCMq5ezhucwJd8ci-NHng/edit?usp=sharing"",""ราชบุรี!J31"&amp;"7"")+IMPORTRANGE(""https://docs.google.com/spreadsheets/d/1lufeA2cfFqM-elVq2hznhDzC6Pr7wkJ9ZG_sYNGCMCU/edit?usp=sharing"",""ลพบุรี!J317"")+IMPORTRANGE(""https://docs.google.com/spreadsheets/d/10oOiF7loTyfsTkbd4MpaIm0HQ9SwB7IYHdIUvt-U1Uc/edit?usp=sharing"""&amp;",""สระแก้ว!J317"")+IMPORTRANGE(""https://docs.google.com/spreadsheets/d/1xmPlrr1QbdSIKvl1dWUl9K4PjAfSL9oeMr_37QVzcxc/edit?usp=sharing"",""สระบุรี!J317"")+IMPORTRANGE(""https://docs.google.com/spreadsheets/d/1j51vR6CYVGhABJpv6tkstgok82RLpXieLzW1yOY5rHw/edi"&amp;"t?usp=sharing"",""สิงห์บุรี!J317"")+IMPORTRANGE(""https://docs.google.com/spreadsheets/d/1H1EalTWKUSzO4Z1-1CwzoDUaVffgrThEBe2sl74kKG0/edit?usp=sharing"",""สุพรรณบุรี!J317"")+IMPORTRANGE(""https://docs.google.com/spreadsheets/d/1BmIruG_sIrJLYao_Pdr7zVArWsf"&amp;"oBt2692TMi6x_854/edit?usp=sharing"",""อ่างทอง!J317"")"),0)</f>
        <v>0</v>
      </c>
      <c r="K318" s="88">
        <f t="shared" ca="1" si="228"/>
        <v>0</v>
      </c>
      <c r="L318" s="72"/>
      <c r="M318" s="72"/>
      <c r="N318" s="72"/>
      <c r="O318" s="72"/>
      <c r="P318" s="72"/>
      <c r="Q318" s="29"/>
      <c r="R318" s="30"/>
      <c r="S318" s="30"/>
      <c r="T318" s="30"/>
      <c r="U318" s="30"/>
    </row>
    <row r="319" spans="1:21" ht="19.5" x14ac:dyDescent="0.3">
      <c r="A319" s="513" t="s">
        <v>131</v>
      </c>
      <c r="B319" s="514"/>
      <c r="C319" s="514"/>
      <c r="D319" s="515"/>
      <c r="E319" s="514"/>
      <c r="F319" s="514"/>
      <c r="G319" s="514"/>
      <c r="H319" s="515"/>
      <c r="I319" s="517"/>
      <c r="J319" s="517"/>
      <c r="K319" s="518"/>
      <c r="L319" s="518"/>
      <c r="M319" s="518"/>
      <c r="N319" s="518"/>
      <c r="O319" s="518"/>
      <c r="P319" s="518"/>
      <c r="Q319" s="519"/>
      <c r="R319" s="520"/>
      <c r="S319" s="520"/>
      <c r="T319" s="520"/>
      <c r="U319" s="520"/>
    </row>
    <row r="320" spans="1:21" ht="19.5" x14ac:dyDescent="0.3">
      <c r="A320" s="531"/>
      <c r="B320" s="522" t="s">
        <v>132</v>
      </c>
      <c r="C320" s="532"/>
      <c r="D320" s="533"/>
      <c r="E320" s="523"/>
      <c r="F320" s="523"/>
      <c r="G320" s="524"/>
      <c r="H320" s="525" t="s">
        <v>133</v>
      </c>
      <c r="I320" s="526">
        <f t="shared" ref="I320:J320" ca="1" si="229">I331</f>
        <v>3</v>
      </c>
      <c r="J320" s="526">
        <f t="shared" ca="1" si="229"/>
        <v>2</v>
      </c>
      <c r="K320" s="527">
        <f ca="1">IF(I320&gt;0,J320*100/I320,0)</f>
        <v>66.666666666666671</v>
      </c>
      <c r="L320" s="528"/>
      <c r="M320" s="528"/>
      <c r="N320" s="528"/>
      <c r="O320" s="528"/>
      <c r="P320" s="528"/>
      <c r="Q320" s="529"/>
      <c r="R320" s="530"/>
      <c r="S320" s="530"/>
      <c r="T320" s="530"/>
      <c r="U320" s="530"/>
    </row>
    <row r="321" spans="1:21" ht="19.5" x14ac:dyDescent="0.3">
      <c r="A321" s="209"/>
      <c r="B321" s="67"/>
      <c r="C321" s="210" t="s">
        <v>18</v>
      </c>
      <c r="D321" s="211" t="s">
        <v>19</v>
      </c>
      <c r="E321" s="67"/>
      <c r="F321" s="67"/>
      <c r="G321" s="69"/>
      <c r="H321" s="212" t="s">
        <v>14</v>
      </c>
      <c r="I321" s="71"/>
      <c r="J321" s="71"/>
      <c r="K321" s="72"/>
      <c r="L321" s="213">
        <f t="shared" ref="L321:N321" ca="1" si="230">L322+L323</f>
        <v>90000</v>
      </c>
      <c r="M321" s="213">
        <f t="shared" ca="1" si="230"/>
        <v>90000</v>
      </c>
      <c r="N321" s="213">
        <f t="shared" ca="1" si="230"/>
        <v>28467</v>
      </c>
      <c r="O321" s="213">
        <f t="shared" ref="O321:O329" ca="1" si="231">IF(L321&gt;0,N321*100/L321,0)</f>
        <v>31.63</v>
      </c>
      <c r="P321" s="213">
        <f t="shared" ref="P321:P329" ca="1" si="232">IF(M321&gt;0,N321*100/M321,0)</f>
        <v>31.63</v>
      </c>
      <c r="Q321" s="214">
        <f t="shared" ref="Q321:S321" ca="1" si="233">Q322+Q323</f>
        <v>0</v>
      </c>
      <c r="R321" s="215">
        <f t="shared" ca="1" si="233"/>
        <v>0</v>
      </c>
      <c r="S321" s="215">
        <f t="shared" ca="1" si="233"/>
        <v>0</v>
      </c>
      <c r="T321" s="215">
        <f t="shared" ref="T321:T329" ca="1" si="234">IF(Q321&gt;0,S321*100/Q321,0)</f>
        <v>0</v>
      </c>
      <c r="U321" s="215">
        <f t="shared" ref="U321:U329" ca="1" si="235">IF(R321&gt;0,S321*100/R321,0)</f>
        <v>0</v>
      </c>
    </row>
    <row r="322" spans="1:21" ht="18.75" x14ac:dyDescent="0.25">
      <c r="A322" s="209"/>
      <c r="B322" s="67"/>
      <c r="C322" s="67"/>
      <c r="D322" s="67"/>
      <c r="E322" s="75" t="s">
        <v>20</v>
      </c>
      <c r="F322" s="67"/>
      <c r="G322" s="69"/>
      <c r="H322" s="216" t="s">
        <v>14</v>
      </c>
      <c r="I322" s="71"/>
      <c r="J322" s="71"/>
      <c r="K322" s="72"/>
      <c r="L322" s="88">
        <f t="shared" ref="L322:N322" ca="1" si="236">L325+L328</f>
        <v>0</v>
      </c>
      <c r="M322" s="88">
        <f t="shared" ca="1" si="236"/>
        <v>0</v>
      </c>
      <c r="N322" s="88">
        <f t="shared" ca="1" si="236"/>
        <v>0</v>
      </c>
      <c r="O322" s="88">
        <f t="shared" ca="1" si="231"/>
        <v>0</v>
      </c>
      <c r="P322" s="88">
        <f t="shared" ca="1" si="232"/>
        <v>0</v>
      </c>
      <c r="Q322" s="217">
        <f t="shared" ref="Q322:S322" ca="1" si="237">Q325+Q328</f>
        <v>0</v>
      </c>
      <c r="R322" s="133">
        <f t="shared" ca="1" si="237"/>
        <v>0</v>
      </c>
      <c r="S322" s="133">
        <f t="shared" ca="1" si="237"/>
        <v>0</v>
      </c>
      <c r="T322" s="133">
        <f t="shared" ca="1" si="234"/>
        <v>0</v>
      </c>
      <c r="U322" s="133">
        <f t="shared" ca="1" si="235"/>
        <v>0</v>
      </c>
    </row>
    <row r="323" spans="1:21" ht="18.75" x14ac:dyDescent="0.25">
      <c r="A323" s="209"/>
      <c r="B323" s="67"/>
      <c r="C323" s="67"/>
      <c r="D323" s="67"/>
      <c r="E323" s="75" t="s">
        <v>21</v>
      </c>
      <c r="F323" s="67"/>
      <c r="G323" s="69"/>
      <c r="H323" s="216" t="s">
        <v>14</v>
      </c>
      <c r="I323" s="71"/>
      <c r="J323" s="71"/>
      <c r="K323" s="72"/>
      <c r="L323" s="88">
        <f t="shared" ref="L323:N323" ca="1" si="238">L326+L329</f>
        <v>90000</v>
      </c>
      <c r="M323" s="88">
        <f t="shared" ca="1" si="238"/>
        <v>90000</v>
      </c>
      <c r="N323" s="88">
        <f t="shared" ca="1" si="238"/>
        <v>28467</v>
      </c>
      <c r="O323" s="88">
        <f t="shared" ca="1" si="231"/>
        <v>31.63</v>
      </c>
      <c r="P323" s="88">
        <f t="shared" ca="1" si="232"/>
        <v>31.63</v>
      </c>
      <c r="Q323" s="131">
        <f t="shared" ref="Q323:S323" ca="1" si="239">Q326+Q329</f>
        <v>0</v>
      </c>
      <c r="R323" s="132">
        <f t="shared" ca="1" si="239"/>
        <v>0</v>
      </c>
      <c r="S323" s="132">
        <f t="shared" ca="1" si="239"/>
        <v>0</v>
      </c>
      <c r="T323" s="132">
        <f t="shared" ca="1" si="234"/>
        <v>0</v>
      </c>
      <c r="U323" s="132">
        <f t="shared" ca="1" si="235"/>
        <v>0</v>
      </c>
    </row>
    <row r="324" spans="1:21" ht="18.75" x14ac:dyDescent="0.25">
      <c r="A324" s="209"/>
      <c r="B324" s="67"/>
      <c r="C324" s="67"/>
      <c r="D324" s="68" t="s">
        <v>22</v>
      </c>
      <c r="E324" s="67"/>
      <c r="F324" s="67"/>
      <c r="G324" s="69"/>
      <c r="H324" s="218" t="s">
        <v>14</v>
      </c>
      <c r="I324" s="219"/>
      <c r="J324" s="219"/>
      <c r="K324" s="220"/>
      <c r="L324" s="88">
        <f t="shared" ref="L324:N324" ca="1" si="240">L325+L326</f>
        <v>90000</v>
      </c>
      <c r="M324" s="88">
        <f t="shared" ca="1" si="240"/>
        <v>90000</v>
      </c>
      <c r="N324" s="88">
        <f t="shared" ca="1" si="240"/>
        <v>28467</v>
      </c>
      <c r="O324" s="88">
        <f t="shared" ca="1" si="231"/>
        <v>31.63</v>
      </c>
      <c r="P324" s="88">
        <f t="shared" ca="1" si="232"/>
        <v>31.63</v>
      </c>
      <c r="Q324" s="131">
        <f t="shared" ref="Q324:S324" ca="1" si="241">Q325+Q326</f>
        <v>0</v>
      </c>
      <c r="R324" s="132">
        <f t="shared" ca="1" si="241"/>
        <v>0</v>
      </c>
      <c r="S324" s="132">
        <f t="shared" ca="1" si="241"/>
        <v>0</v>
      </c>
      <c r="T324" s="132">
        <f t="shared" ca="1" si="234"/>
        <v>0</v>
      </c>
      <c r="U324" s="132">
        <f t="shared" ca="1" si="235"/>
        <v>0</v>
      </c>
    </row>
    <row r="325" spans="1:21" ht="18.75" x14ac:dyDescent="0.25">
      <c r="A325" s="209"/>
      <c r="B325" s="67"/>
      <c r="C325" s="67"/>
      <c r="D325" s="67"/>
      <c r="E325" s="75" t="s">
        <v>36</v>
      </c>
      <c r="F325" s="67"/>
      <c r="G325" s="69"/>
      <c r="H325" s="218" t="s">
        <v>14</v>
      </c>
      <c r="I325" s="219"/>
      <c r="J325" s="219"/>
      <c r="K325" s="220"/>
      <c r="L325" s="88">
        <f ca="1">IFERROR(__xludf.DUMMYFUNCTION("IMPORTRANGE(""https://docs.google.com/spreadsheets/d/13wPX838HrBrQMCywv1BsuMkt4PEKTChp52zj44s2izQ/edit?usp=sharing"",""กาญจนบุรี!L324"")+IMPORTRANGE(""https://docs.google.com/spreadsheets/d/1ddFKvqj1W1NEiWytbGlB1zMx_ykJDVtmfEQ-6-lIUBA/edit?usp=sharing"","&amp;"""จันทบุรี!L324"")+IMPORTRANGE(""https://docs.google.com/spreadsheets/d/1T1PQvRODqOBZk8BRht_U031fIS1beLA0Ub2CEytj2q0/edit?usp=sharing"",""ฉะเชิงเทรา!L324"")+IMPORTRANGE(""https://docs.google.com/spreadsheets/d/11tr1B-Bhyr79v2bkwVh5h_fR-PStkgjlZtkrZpYurG0/"&amp;"edit?usp=sharing"",""ชลบุรี!L324"")+IMPORTRANGE(""https://docs.google.com/spreadsheets/d/1hh-FVnSX0vozXhGluamEcS54Dw9_zqW0N7qJUWgJ0Sw/edit?usp=sharing"",""ชัยนาท!L324"")+IMPORTRANGE(""https://docs.google.com/spreadsheets/d/1jkqa6GXxSacMcY1eN8AHjMNJ_7dDXMJ"&amp;"VRLDlaFSOdPM/edit?usp=sharing"",""ตราด!L324"")+IMPORTRANGE(""https://docs.google.com/spreadsheets/d/18hSgUJ3VwClqi_qtULmmW3cLr0oe3OKaSYoKzdpTsYQ/edit?usp=sharing"",""นครนายก!L324"")+IMPORTRANGE(""https://docs.google.com/spreadsheets/d/1YTZo6WM2dQ6Ix6FSdnL"&amp;"5P7uVnVKu40sxZu975tgG10E/edit?usp=sharing"",""นครปฐม!L324"")+IMPORTRANGE(""https://docs.google.com/spreadsheets/d/1OYoGg4WDg5RIzwGeB10padOxJF9E_Vljuvvct_M7RDo/edit?usp=sharing"",""ปทุมธานี!L324"")+IMPORTRANGE(""https://docs.google.com/spreadsheets/d/1GbCI"&amp;"E4D4wk9FUozzqk7SxfDMxDVBwVmI5zcaVUSzKAc/edit?usp=sharing"",""ประจวบคีรีขันธ์!L324"")+IMPORTRANGE(""https://docs.google.com/spreadsheets/d/1vVf6wykvW_lAyu7Yo9L4hUTqHqIeP_qcVuxCtosJEbg/edit?usp=sharing"",""ปราจีนบุรี!L324"")+IMPORTRANGE(""https://docs.googl"&amp;"e.com/spreadsheets/d/1BIDqLLg5jk3v59G8NlR8rk5xfQDKne0sAvZHSj7TI6I/edit?usp=sharing"",""พระนครศรีอยุธยา!L324"")+IMPORTRANGE(""https://docs.google.com/spreadsheets/d/1YXvxf8Yu6_rV4hTBrwMqAcAnv6DfhUxh5emyM3CJp_w/edit?usp=sharing"",""เพชรบุรี!L324"")+IMPORTRA"&amp;"NGE(""https://docs.google.com/spreadsheets/d/19KBlQQs7uwvsao6t2n-KvW3Ax8J8uRRfZPq1zPbXgKc/edit?usp=sharing"",""ระยอง!L324"")+IMPORTRANGE(""https://docs.google.com/spreadsheets/d/1jQ6P4QcrGM89YfqcC_PxOHGCMq5ezhucwJd8ci-NHng/edit?usp=sharing"",""ราชบุรี!L32"&amp;"4"")+IMPORTRANGE(""https://docs.google.com/spreadsheets/d/1lufeA2cfFqM-elVq2hznhDzC6Pr7wkJ9ZG_sYNGCMCU/edit?usp=sharing"",""ลพบุรี!L324"")+IMPORTRANGE(""https://docs.google.com/spreadsheets/d/10oOiF7loTyfsTkbd4MpaIm0HQ9SwB7IYHdIUvt-U1Uc/edit?usp=sharing"""&amp;",""สระแก้ว!L324"")+IMPORTRANGE(""https://docs.google.com/spreadsheets/d/1xmPlrr1QbdSIKvl1dWUl9K4PjAfSL9oeMr_37QVzcxc/edit?usp=sharing"",""สระบุรี!L324"")+IMPORTRANGE(""https://docs.google.com/spreadsheets/d/1j51vR6CYVGhABJpv6tkstgok82RLpXieLzW1yOY5rHw/edi"&amp;"t?usp=sharing"",""สิงห์บุรี!L324"")+IMPORTRANGE(""https://docs.google.com/spreadsheets/d/1H1EalTWKUSzO4Z1-1CwzoDUaVffgrThEBe2sl74kKG0/edit?usp=sharing"",""สุพรรณบุรี!L324"")+IMPORTRANGE(""https://docs.google.com/spreadsheets/d/1BmIruG_sIrJLYao_Pdr7zVArWsf"&amp;"oBt2692TMi6x_854/edit?usp=sharing"",""อ่างทอง!L324"")"),0)</f>
        <v>0</v>
      </c>
      <c r="M325" s="88">
        <f ca="1">IFERROR(__xludf.DUMMYFUNCTION("IMPORTRANGE(""https://docs.google.com/spreadsheets/d/13wPX838HrBrQMCywv1BsuMkt4PEKTChp52zj44s2izQ/edit?usp=sharing"",""กาญจนบุรี!M324"")+IMPORTRANGE(""https://docs.google.com/spreadsheets/d/1ddFKvqj1W1NEiWytbGlB1zMx_ykJDVtmfEQ-6-lIUBA/edit?usp=sharing"","&amp;"""จันทบุรี!M324"")+IMPORTRANGE(""https://docs.google.com/spreadsheets/d/1T1PQvRODqOBZk8BRht_U031fIS1beLA0Ub2CEytj2q0/edit?usp=sharing"",""ฉะเชิงเทรา!M324"")+IMPORTRANGE(""https://docs.google.com/spreadsheets/d/11tr1B-Bhyr79v2bkwVh5h_fR-PStkgjlZtkrZpYurG0/"&amp;"edit?usp=sharing"",""ชลบุรี!M324"")+IMPORTRANGE(""https://docs.google.com/spreadsheets/d/1hh-FVnSX0vozXhGluamEcS54Dw9_zqW0N7qJUWgJ0Sw/edit?usp=sharing"",""ชัยนาท!M324"")+IMPORTRANGE(""https://docs.google.com/spreadsheets/d/1jkqa6GXxSacMcY1eN8AHjMNJ_7dDXMJ"&amp;"VRLDlaFSOdPM/edit?usp=sharing"",""ตราด!M324"")+IMPORTRANGE(""https://docs.google.com/spreadsheets/d/18hSgUJ3VwClqi_qtULmmW3cLr0oe3OKaSYoKzdpTsYQ/edit?usp=sharing"",""นครนายก!M324"")+IMPORTRANGE(""https://docs.google.com/spreadsheets/d/1YTZo6WM2dQ6Ix6FSdnL"&amp;"5P7uVnVKu40sxZu975tgG10E/edit?usp=sharing"",""นครปฐม!M324"")+IMPORTRANGE(""https://docs.google.com/spreadsheets/d/1OYoGg4WDg5RIzwGeB10padOxJF9E_Vljuvvct_M7RDo/edit?usp=sharing"",""ปทุมธานี!M324"")+IMPORTRANGE(""https://docs.google.com/spreadsheets/d/1GbCI"&amp;"E4D4wk9FUozzqk7SxfDMxDVBwVmI5zcaVUSzKAc/edit?usp=sharing"",""ประจวบคีรีขันธ์!M324"")+IMPORTRANGE(""https://docs.google.com/spreadsheets/d/1vVf6wykvW_lAyu7Yo9L4hUTqHqIeP_qcVuxCtosJEbg/edit?usp=sharing"",""ปราจีนบุรี!M324"")+IMPORTRANGE(""https://docs.googl"&amp;"e.com/spreadsheets/d/1BIDqLLg5jk3v59G8NlR8rk5xfQDKne0sAvZHSj7TI6I/edit?usp=sharing"",""พระนครศรีอยุธยา!M324"")+IMPORTRANGE(""https://docs.google.com/spreadsheets/d/1YXvxf8Yu6_rV4hTBrwMqAcAnv6DfhUxh5emyM3CJp_w/edit?usp=sharing"",""เพชรบุรี!M324"")+IMPORTRA"&amp;"NGE(""https://docs.google.com/spreadsheets/d/19KBlQQs7uwvsao6t2n-KvW3Ax8J8uRRfZPq1zPbXgKc/edit?usp=sharing"",""ระยอง!M324"")+IMPORTRANGE(""https://docs.google.com/spreadsheets/d/1jQ6P4QcrGM89YfqcC_PxOHGCMq5ezhucwJd8ci-NHng/edit?usp=sharing"",""ราชบุรี!M32"&amp;"4"")+IMPORTRANGE(""https://docs.google.com/spreadsheets/d/1lufeA2cfFqM-elVq2hznhDzC6Pr7wkJ9ZG_sYNGCMCU/edit?usp=sharing"",""ลพบุรี!M324"")+IMPORTRANGE(""https://docs.google.com/spreadsheets/d/10oOiF7loTyfsTkbd4MpaIm0HQ9SwB7IYHdIUvt-U1Uc/edit?usp=sharing"""&amp;",""สระแก้ว!M324"")+IMPORTRANGE(""https://docs.google.com/spreadsheets/d/1xmPlrr1QbdSIKvl1dWUl9K4PjAfSL9oeMr_37QVzcxc/edit?usp=sharing"",""สระบุรี!M324"")+IMPORTRANGE(""https://docs.google.com/spreadsheets/d/1j51vR6CYVGhABJpv6tkstgok82RLpXieLzW1yOY5rHw/edi"&amp;"t?usp=sharing"",""สิงห์บุรี!M324"")+IMPORTRANGE(""https://docs.google.com/spreadsheets/d/1H1EalTWKUSzO4Z1-1CwzoDUaVffgrThEBe2sl74kKG0/edit?usp=sharing"",""สุพรรณบุรี!M324"")+IMPORTRANGE(""https://docs.google.com/spreadsheets/d/1BmIruG_sIrJLYao_Pdr7zVArWsf"&amp;"oBt2692TMi6x_854/edit?usp=sharing"",""อ่างทอง!M324"")"),0)</f>
        <v>0</v>
      </c>
      <c r="N325" s="88">
        <f ca="1">IFERROR(__xludf.DUMMYFUNCTION("IMPORTRANGE(""https://docs.google.com/spreadsheets/d/13wPX838HrBrQMCywv1BsuMkt4PEKTChp52zj44s2izQ/edit?usp=sharing"",""กาญจนบุรี!N324"")+IMPORTRANGE(""https://docs.google.com/spreadsheets/d/1ddFKvqj1W1NEiWytbGlB1zMx_ykJDVtmfEQ-6-lIUBA/edit?usp=sharing"","&amp;"""จันทบุรี!N324"")+IMPORTRANGE(""https://docs.google.com/spreadsheets/d/1T1PQvRODqOBZk8BRht_U031fIS1beLA0Ub2CEytj2q0/edit?usp=sharing"",""ฉะเชิงเทรา!N324"")+IMPORTRANGE(""https://docs.google.com/spreadsheets/d/11tr1B-Bhyr79v2bkwVh5h_fR-PStkgjlZtkrZpYurG0/"&amp;"edit?usp=sharing"",""ชลบุรี!N324"")+IMPORTRANGE(""https://docs.google.com/spreadsheets/d/1hh-FVnSX0vozXhGluamEcS54Dw9_zqW0N7qJUWgJ0Sw/edit?usp=sharing"",""ชัยนาท!N324"")+IMPORTRANGE(""https://docs.google.com/spreadsheets/d/1jkqa6GXxSacMcY1eN8AHjMNJ_7dDXMJ"&amp;"VRLDlaFSOdPM/edit?usp=sharing"",""ตราด!N324"")+IMPORTRANGE(""https://docs.google.com/spreadsheets/d/18hSgUJ3VwClqi_qtULmmW3cLr0oe3OKaSYoKzdpTsYQ/edit?usp=sharing"",""นครนายก!N324"")+IMPORTRANGE(""https://docs.google.com/spreadsheets/d/1YTZo6WM2dQ6Ix6FSdnL"&amp;"5P7uVnVKu40sxZu975tgG10E/edit?usp=sharing"",""นครปฐม!N324"")+IMPORTRANGE(""https://docs.google.com/spreadsheets/d/1OYoGg4WDg5RIzwGeB10padOxJF9E_Vljuvvct_M7RDo/edit?usp=sharing"",""ปทุมธานี!N324"")+IMPORTRANGE(""https://docs.google.com/spreadsheets/d/1GbCI"&amp;"E4D4wk9FUozzqk7SxfDMxDVBwVmI5zcaVUSzKAc/edit?usp=sharing"",""ประจวบคีรีขันธ์!N324"")+IMPORTRANGE(""https://docs.google.com/spreadsheets/d/1vVf6wykvW_lAyu7Yo9L4hUTqHqIeP_qcVuxCtosJEbg/edit?usp=sharing"",""ปราจีนบุรี!N324"")+IMPORTRANGE(""https://docs.googl"&amp;"e.com/spreadsheets/d/1BIDqLLg5jk3v59G8NlR8rk5xfQDKne0sAvZHSj7TI6I/edit?usp=sharing"",""พระนครศรีอยุธยา!N324"")+IMPORTRANGE(""https://docs.google.com/spreadsheets/d/1YXvxf8Yu6_rV4hTBrwMqAcAnv6DfhUxh5emyM3CJp_w/edit?usp=sharing"",""เพชรบุรี!N324"")+IMPORTRA"&amp;"NGE(""https://docs.google.com/spreadsheets/d/19KBlQQs7uwvsao6t2n-KvW3Ax8J8uRRfZPq1zPbXgKc/edit?usp=sharing"",""ระยอง!N324"")+IMPORTRANGE(""https://docs.google.com/spreadsheets/d/1jQ6P4QcrGM89YfqcC_PxOHGCMq5ezhucwJd8ci-NHng/edit?usp=sharing"",""ราชบุรี!N32"&amp;"4"")+IMPORTRANGE(""https://docs.google.com/spreadsheets/d/1lufeA2cfFqM-elVq2hznhDzC6Pr7wkJ9ZG_sYNGCMCU/edit?usp=sharing"",""ลพบุรี!N324"")+IMPORTRANGE(""https://docs.google.com/spreadsheets/d/10oOiF7loTyfsTkbd4MpaIm0HQ9SwB7IYHdIUvt-U1Uc/edit?usp=sharing"""&amp;",""สระแก้ว!N324"")+IMPORTRANGE(""https://docs.google.com/spreadsheets/d/1xmPlrr1QbdSIKvl1dWUl9K4PjAfSL9oeMr_37QVzcxc/edit?usp=sharing"",""สระบุรี!N324"")+IMPORTRANGE(""https://docs.google.com/spreadsheets/d/1j51vR6CYVGhABJpv6tkstgok82RLpXieLzW1yOY5rHw/edi"&amp;"t?usp=sharing"",""สิงห์บุรี!N324"")+IMPORTRANGE(""https://docs.google.com/spreadsheets/d/1H1EalTWKUSzO4Z1-1CwzoDUaVffgrThEBe2sl74kKG0/edit?usp=sharing"",""สุพรรณบุรี!N324"")+IMPORTRANGE(""https://docs.google.com/spreadsheets/d/1BmIruG_sIrJLYao_Pdr7zVArWsf"&amp;"oBt2692TMi6x_854/edit?usp=sharing"",""อ่างทอง!N324"")"),0)</f>
        <v>0</v>
      </c>
      <c r="O325" s="88">
        <f t="shared" ca="1" si="231"/>
        <v>0</v>
      </c>
      <c r="P325" s="88">
        <f t="shared" ca="1" si="232"/>
        <v>0</v>
      </c>
      <c r="Q325" s="76">
        <f ca="1">IFERROR(__xludf.DUMMYFUNCTION("IMPORTRANGE(""https://docs.google.com/spreadsheets/d/13wPX838HrBrQMCywv1BsuMkt4PEKTChp52zj44s2izQ/edit?usp=sharing"",""กาญจนบุรี!Q324"")+IMPORTRANGE(""https://docs.google.com/spreadsheets/d/1ddFKvqj1W1NEiWytbGlB1zMx_ykJDVtmfEQ-6-lIUBA/edit?usp=sharing"","&amp;"""จันทบุรี!Q324"")+IMPORTRANGE(""https://docs.google.com/spreadsheets/d/1T1PQvRODqOBZk8BRht_U031fIS1beLA0Ub2CEytj2q0/edit?usp=sharing"",""ฉะเชิงเทรา!Q324"")+IMPORTRANGE(""https://docs.google.com/spreadsheets/d/11tr1B-Bhyr79v2bkwVh5h_fR-PStkgjlZtkrZpYurG0/"&amp;"edit?usp=sharing"",""ชลบุรี!Q324"")+IMPORTRANGE(""https://docs.google.com/spreadsheets/d/1hh-FVnSX0vozXhGluamEcS54Dw9_zqW0N7qJUWgJ0Sw/edit?usp=sharing"",""ชัยนาท!Q324"")+IMPORTRANGE(""https://docs.google.com/spreadsheets/d/1jkqa6GXxSacMcY1eN8AHjMNJ_7dDXMJ"&amp;"VRLDlaFSOdPM/edit?usp=sharing"",""ตราด!Q324"")+IMPORTRANGE(""https://docs.google.com/spreadsheets/d/18hSgUJ3VwClqi_qtULmmW3cLr0oe3OKaSYoKzdpTsYQ/edit?usp=sharing"",""นครนายก!Q324"")+IMPORTRANGE(""https://docs.google.com/spreadsheets/d/1YTZo6WM2dQ6Ix6FSdnL"&amp;"5P7uVnVKu40sxZu975tgG10E/edit?usp=sharing"",""นครปฐม!Q324"")+IMPORTRANGE(""https://docs.google.com/spreadsheets/d/1OYoGg4WDg5RIzwGeB10padOxJF9E_Vljuvvct_M7RDo/edit?usp=sharing"",""ปทุมธานี!Q324"")+IMPORTRANGE(""https://docs.google.com/spreadsheets/d/1GbCI"&amp;"E4D4wk9FUozzqk7SxfDMxDVBwVmI5zcaVUSzKAc/edit?usp=sharing"",""ประจวบคีรีขันธ์!Q324"")+IMPORTRANGE(""https://docs.google.com/spreadsheets/d/1vVf6wykvW_lAyu7Yo9L4hUTqHqIeP_qcVuxCtosJEbg/edit?usp=sharing"",""ปราจีนบุรี!Q324"")+IMPORTRANGE(""https://docs.googl"&amp;"e.com/spreadsheets/d/1BIDqLLg5jk3v59G8NlR8rk5xfQDKne0sAvZHSj7TI6I/edit?usp=sharing"",""พระนครศรีอยุธยา!Q324"")+IMPORTRANGE(""https://docs.google.com/spreadsheets/d/1YXvxf8Yu6_rV4hTBrwMqAcAnv6DfhUxh5emyM3CJp_w/edit?usp=sharing"",""เพชรบุรี!Q324"")+IMPORTRA"&amp;"NGE(""https://docs.google.com/spreadsheets/d/19KBlQQs7uwvsao6t2n-KvW3Ax8J8uRRfZPq1zPbXgKc/edit?usp=sharing"",""ระยอง!Q324"")+IMPORTRANGE(""https://docs.google.com/spreadsheets/d/1jQ6P4QcrGM89YfqcC_PxOHGCMq5ezhucwJd8ci-NHng/edit?usp=sharing"",""ราชบุรี!Q32"&amp;"4"")+IMPORTRANGE(""https://docs.google.com/spreadsheets/d/1lufeA2cfFqM-elVq2hznhDzC6Pr7wkJ9ZG_sYNGCMCU/edit?usp=sharing"",""ลพบุรี!Q324"")+IMPORTRANGE(""https://docs.google.com/spreadsheets/d/10oOiF7loTyfsTkbd4MpaIm0HQ9SwB7IYHdIUvt-U1Uc/edit?usp=sharing"""&amp;",""สระแก้ว!Q324"")+IMPORTRANGE(""https://docs.google.com/spreadsheets/d/1xmPlrr1QbdSIKvl1dWUl9K4PjAfSL9oeMr_37QVzcxc/edit?usp=sharing"",""สระบุรี!Q324"")+IMPORTRANGE(""https://docs.google.com/spreadsheets/d/1j51vR6CYVGhABJpv6tkstgok82RLpXieLzW1yOY5rHw/edi"&amp;"t?usp=sharing"",""สิงห์บุรี!Q324"")+IMPORTRANGE(""https://docs.google.com/spreadsheets/d/1H1EalTWKUSzO4Z1-1CwzoDUaVffgrThEBe2sl74kKG0/edit?usp=sharing"",""สุพรรณบุรี!Q324"")+IMPORTRANGE(""https://docs.google.com/spreadsheets/d/1BmIruG_sIrJLYao_Pdr7zVArWsf"&amp;"oBt2692TMi6x_854/edit?usp=sharing"",""อ่างทอง!Q324"")"),0)</f>
        <v>0</v>
      </c>
      <c r="R325" s="77">
        <f ca="1">IFERROR(__xludf.DUMMYFUNCTION("IMPORTRANGE(""https://docs.google.com/spreadsheets/d/13wPX838HrBrQMCywv1BsuMkt4PEKTChp52zj44s2izQ/edit?usp=sharing"",""กาญจนบุรี!R324"")+IMPORTRANGE(""https://docs.google.com/spreadsheets/d/1ddFKvqj1W1NEiWytbGlB1zMx_ykJDVtmfEQ-6-lIUBA/edit?usp=sharing"","&amp;"""จันทบุรี!R324"")+IMPORTRANGE(""https://docs.google.com/spreadsheets/d/1T1PQvRODqOBZk8BRht_U031fIS1beLA0Ub2CEytj2q0/edit?usp=sharing"",""ฉะเชิงเทรา!R324"")+IMPORTRANGE(""https://docs.google.com/spreadsheets/d/11tr1B-Bhyr79v2bkwVh5h_fR-PStkgjlZtkrZpYurG0/"&amp;"edit?usp=sharing"",""ชลบุรี!R324"")+IMPORTRANGE(""https://docs.google.com/spreadsheets/d/1hh-FVnSX0vozXhGluamEcS54Dw9_zqW0N7qJUWgJ0Sw/edit?usp=sharing"",""ชัยนาท!R324"")+IMPORTRANGE(""https://docs.google.com/spreadsheets/d/1jkqa6GXxSacMcY1eN8AHjMNJ_7dDXMJ"&amp;"VRLDlaFSOdPM/edit?usp=sharing"",""ตราด!R324"")+IMPORTRANGE(""https://docs.google.com/spreadsheets/d/18hSgUJ3VwClqi_qtULmmW3cLr0oe3OKaSYoKzdpTsYQ/edit?usp=sharing"",""นครนายก!R324"")+IMPORTRANGE(""https://docs.google.com/spreadsheets/d/1YTZo6WM2dQ6Ix6FSdnL"&amp;"5P7uVnVKu40sxZu975tgG10E/edit?usp=sharing"",""นครปฐม!R324"")+IMPORTRANGE(""https://docs.google.com/spreadsheets/d/1OYoGg4WDg5RIzwGeB10padOxJF9E_Vljuvvct_M7RDo/edit?usp=sharing"",""ปทุมธานี!R324"")+IMPORTRANGE(""https://docs.google.com/spreadsheets/d/1GbCI"&amp;"E4D4wk9FUozzqk7SxfDMxDVBwVmI5zcaVUSzKAc/edit?usp=sharing"",""ประจวบคีรีขันธ์!R324"")+IMPORTRANGE(""https://docs.google.com/spreadsheets/d/1vVf6wykvW_lAyu7Yo9L4hUTqHqIeP_qcVuxCtosJEbg/edit?usp=sharing"",""ปราจีนบุรี!R324"")+IMPORTRANGE(""https://docs.googl"&amp;"e.com/spreadsheets/d/1BIDqLLg5jk3v59G8NlR8rk5xfQDKne0sAvZHSj7TI6I/edit?usp=sharing"",""พระนครศรีอยุธยา!R324"")+IMPORTRANGE(""https://docs.google.com/spreadsheets/d/1YXvxf8Yu6_rV4hTBrwMqAcAnv6DfhUxh5emyM3CJp_w/edit?usp=sharing"",""เพชรบุรี!R324"")+IMPORTRA"&amp;"NGE(""https://docs.google.com/spreadsheets/d/19KBlQQs7uwvsao6t2n-KvW3Ax8J8uRRfZPq1zPbXgKc/edit?usp=sharing"",""ระยอง!R324"")+IMPORTRANGE(""https://docs.google.com/spreadsheets/d/1jQ6P4QcrGM89YfqcC_PxOHGCMq5ezhucwJd8ci-NHng/edit?usp=sharing"",""ราชบุรี!R32"&amp;"4"")+IMPORTRANGE(""https://docs.google.com/spreadsheets/d/1lufeA2cfFqM-elVq2hznhDzC6Pr7wkJ9ZG_sYNGCMCU/edit?usp=sharing"",""ลพบุรี!R324"")+IMPORTRANGE(""https://docs.google.com/spreadsheets/d/10oOiF7loTyfsTkbd4MpaIm0HQ9SwB7IYHdIUvt-U1Uc/edit?usp=sharing"""&amp;",""สระแก้ว!R324"")+IMPORTRANGE(""https://docs.google.com/spreadsheets/d/1xmPlrr1QbdSIKvl1dWUl9K4PjAfSL9oeMr_37QVzcxc/edit?usp=sharing"",""สระบุรี!R324"")+IMPORTRANGE(""https://docs.google.com/spreadsheets/d/1j51vR6CYVGhABJpv6tkstgok82RLpXieLzW1yOY5rHw/edi"&amp;"t?usp=sharing"",""สิงห์บุรี!R324"")+IMPORTRANGE(""https://docs.google.com/spreadsheets/d/1H1EalTWKUSzO4Z1-1CwzoDUaVffgrThEBe2sl74kKG0/edit?usp=sharing"",""สุพรรณบุรี!R324"")+IMPORTRANGE(""https://docs.google.com/spreadsheets/d/1BmIruG_sIrJLYao_Pdr7zVArWsf"&amp;"oBt2692TMi6x_854/edit?usp=sharing"",""อ่างทอง!R324"")"),0)</f>
        <v>0</v>
      </c>
      <c r="S325" s="77">
        <f ca="1">IFERROR(__xludf.DUMMYFUNCTION("IMPORTRANGE(""https://docs.google.com/spreadsheets/d/13wPX838HrBrQMCywv1BsuMkt4PEKTChp52zj44s2izQ/edit?usp=sharing"",""กาญจนบุรี!S324"")+IMPORTRANGE(""https://docs.google.com/spreadsheets/d/1ddFKvqj1W1NEiWytbGlB1zMx_ykJDVtmfEQ-6-lIUBA/edit?usp=sharing"","&amp;"""จันทบุรี!S324"")+IMPORTRANGE(""https://docs.google.com/spreadsheets/d/1T1PQvRODqOBZk8BRht_U031fIS1beLA0Ub2CEytj2q0/edit?usp=sharing"",""ฉะเชิงเทรา!S324"")+IMPORTRANGE(""https://docs.google.com/spreadsheets/d/11tr1B-Bhyr79v2bkwVh5h_fR-PStkgjlZtkrZpYurG0/"&amp;"edit?usp=sharing"",""ชลบุรี!S324"")+IMPORTRANGE(""https://docs.google.com/spreadsheets/d/1hh-FVnSX0vozXhGluamEcS54Dw9_zqW0N7qJUWgJ0Sw/edit?usp=sharing"",""ชัยนาท!S324"")+IMPORTRANGE(""https://docs.google.com/spreadsheets/d/1jkqa6GXxSacMcY1eN8AHjMNJ_7dDXMJ"&amp;"VRLDlaFSOdPM/edit?usp=sharing"",""ตราด!S324"")+IMPORTRANGE(""https://docs.google.com/spreadsheets/d/18hSgUJ3VwClqi_qtULmmW3cLr0oe3OKaSYoKzdpTsYQ/edit?usp=sharing"",""นครนายก!S324"")+IMPORTRANGE(""https://docs.google.com/spreadsheets/d/1YTZo6WM2dQ6Ix6FSdnL"&amp;"5P7uVnVKu40sxZu975tgG10E/edit?usp=sharing"",""นครปฐม!S324"")+IMPORTRANGE(""https://docs.google.com/spreadsheets/d/1OYoGg4WDg5RIzwGeB10padOxJF9E_Vljuvvct_M7RDo/edit?usp=sharing"",""ปทุมธานี!S324"")+IMPORTRANGE(""https://docs.google.com/spreadsheets/d/1GbCI"&amp;"E4D4wk9FUozzqk7SxfDMxDVBwVmI5zcaVUSzKAc/edit?usp=sharing"",""ประจวบคีรีขันธ์!S324"")+IMPORTRANGE(""https://docs.google.com/spreadsheets/d/1vVf6wykvW_lAyu7Yo9L4hUTqHqIeP_qcVuxCtosJEbg/edit?usp=sharing"",""ปราจีนบุรี!S324"")+IMPORTRANGE(""https://docs.googl"&amp;"e.com/spreadsheets/d/1BIDqLLg5jk3v59G8NlR8rk5xfQDKne0sAvZHSj7TI6I/edit?usp=sharing"",""พระนครศรีอยุธยา!S324"")+IMPORTRANGE(""https://docs.google.com/spreadsheets/d/1YXvxf8Yu6_rV4hTBrwMqAcAnv6DfhUxh5emyM3CJp_w/edit?usp=sharing"",""เพชรบุรี!S324"")+IMPORTRA"&amp;"NGE(""https://docs.google.com/spreadsheets/d/19KBlQQs7uwvsao6t2n-KvW3Ax8J8uRRfZPq1zPbXgKc/edit?usp=sharing"",""ระยอง!S324"")+IMPORTRANGE(""https://docs.google.com/spreadsheets/d/1jQ6P4QcrGM89YfqcC_PxOHGCMq5ezhucwJd8ci-NHng/edit?usp=sharing"",""ราชบุรี!S32"&amp;"4"")+IMPORTRANGE(""https://docs.google.com/spreadsheets/d/1lufeA2cfFqM-elVq2hznhDzC6Pr7wkJ9ZG_sYNGCMCU/edit?usp=sharing"",""ลพบุรี!S324"")+IMPORTRANGE(""https://docs.google.com/spreadsheets/d/10oOiF7loTyfsTkbd4MpaIm0HQ9SwB7IYHdIUvt-U1Uc/edit?usp=sharing"""&amp;",""สระแก้ว!S324"")+IMPORTRANGE(""https://docs.google.com/spreadsheets/d/1xmPlrr1QbdSIKvl1dWUl9K4PjAfSL9oeMr_37QVzcxc/edit?usp=sharing"",""สระบุรี!S324"")+IMPORTRANGE(""https://docs.google.com/spreadsheets/d/1j51vR6CYVGhABJpv6tkstgok82RLpXieLzW1yOY5rHw/edi"&amp;"t?usp=sharing"",""สิงห์บุรี!S324"")+IMPORTRANGE(""https://docs.google.com/spreadsheets/d/1H1EalTWKUSzO4Z1-1CwzoDUaVffgrThEBe2sl74kKG0/edit?usp=sharing"",""สุพรรณบุรี!S324"")+IMPORTRANGE(""https://docs.google.com/spreadsheets/d/1BmIruG_sIrJLYao_Pdr7zVArWsf"&amp;"oBt2692TMi6x_854/edit?usp=sharing"",""อ่างทอง!S324"")"),0)</f>
        <v>0</v>
      </c>
      <c r="T325" s="133">
        <f t="shared" ca="1" si="234"/>
        <v>0</v>
      </c>
      <c r="U325" s="133">
        <f t="shared" ca="1" si="235"/>
        <v>0</v>
      </c>
    </row>
    <row r="326" spans="1:21" ht="18.75" x14ac:dyDescent="0.25">
      <c r="A326" s="209"/>
      <c r="B326" s="67"/>
      <c r="C326" s="67"/>
      <c r="D326" s="67"/>
      <c r="E326" s="75" t="s">
        <v>37</v>
      </c>
      <c r="F326" s="67"/>
      <c r="G326" s="69"/>
      <c r="H326" s="218" t="s">
        <v>14</v>
      </c>
      <c r="I326" s="219"/>
      <c r="J326" s="219"/>
      <c r="K326" s="220"/>
      <c r="L326" s="88">
        <f ca="1">IFERROR(__xludf.DUMMYFUNCTION("IMPORTRANGE(""https://docs.google.com/spreadsheets/d/13wPX838HrBrQMCywv1BsuMkt4PEKTChp52zj44s2izQ/edit?usp=sharing"",""กาญจนบุรี!L325"")+IMPORTRANGE(""https://docs.google.com/spreadsheets/d/1ddFKvqj1W1NEiWytbGlB1zMx_ykJDVtmfEQ-6-lIUBA/edit?usp=sharing"","&amp;"""จันทบุรี!L325"")+IMPORTRANGE(""https://docs.google.com/spreadsheets/d/1T1PQvRODqOBZk8BRht_U031fIS1beLA0Ub2CEytj2q0/edit?usp=sharing"",""ฉะเชิงเทรา!L325"")+IMPORTRANGE(""https://docs.google.com/spreadsheets/d/11tr1B-Bhyr79v2bkwVh5h_fR-PStkgjlZtkrZpYurG0/"&amp;"edit?usp=sharing"",""ชลบุรี!L325"")+IMPORTRANGE(""https://docs.google.com/spreadsheets/d/1hh-FVnSX0vozXhGluamEcS54Dw9_zqW0N7qJUWgJ0Sw/edit?usp=sharing"",""ชัยนาท!L325"")+IMPORTRANGE(""https://docs.google.com/spreadsheets/d/1jkqa6GXxSacMcY1eN8AHjMNJ_7dDXMJ"&amp;"VRLDlaFSOdPM/edit?usp=sharing"",""ตราด!L325"")+IMPORTRANGE(""https://docs.google.com/spreadsheets/d/18hSgUJ3VwClqi_qtULmmW3cLr0oe3OKaSYoKzdpTsYQ/edit?usp=sharing"",""นครนายก!L325"")+IMPORTRANGE(""https://docs.google.com/spreadsheets/d/1YTZo6WM2dQ6Ix6FSdnL"&amp;"5P7uVnVKu40sxZu975tgG10E/edit?usp=sharing"",""นครปฐม!L325"")+IMPORTRANGE(""https://docs.google.com/spreadsheets/d/1OYoGg4WDg5RIzwGeB10padOxJF9E_Vljuvvct_M7RDo/edit?usp=sharing"",""ปทุมธานี!L325"")+IMPORTRANGE(""https://docs.google.com/spreadsheets/d/1GbCI"&amp;"E4D4wk9FUozzqk7SxfDMxDVBwVmI5zcaVUSzKAc/edit?usp=sharing"",""ประจวบคีรีขันธ์!L325"")+IMPORTRANGE(""https://docs.google.com/spreadsheets/d/1vVf6wykvW_lAyu7Yo9L4hUTqHqIeP_qcVuxCtosJEbg/edit?usp=sharing"",""ปราจีนบุรี!L325"")+IMPORTRANGE(""https://docs.googl"&amp;"e.com/spreadsheets/d/1BIDqLLg5jk3v59G8NlR8rk5xfQDKne0sAvZHSj7TI6I/edit?usp=sharing"",""พระนครศรีอยุธยา!L325"")+IMPORTRANGE(""https://docs.google.com/spreadsheets/d/1YXvxf8Yu6_rV4hTBrwMqAcAnv6DfhUxh5emyM3CJp_w/edit?usp=sharing"",""เพชรบุรี!L325"")+IMPORTRA"&amp;"NGE(""https://docs.google.com/spreadsheets/d/19KBlQQs7uwvsao6t2n-KvW3Ax8J8uRRfZPq1zPbXgKc/edit?usp=sharing"",""ระยอง!L325"")+IMPORTRANGE(""https://docs.google.com/spreadsheets/d/1jQ6P4QcrGM89YfqcC_PxOHGCMq5ezhucwJd8ci-NHng/edit?usp=sharing"",""ราชบุรี!L32"&amp;"5"")+IMPORTRANGE(""https://docs.google.com/spreadsheets/d/1lufeA2cfFqM-elVq2hznhDzC6Pr7wkJ9ZG_sYNGCMCU/edit?usp=sharing"",""ลพบุรี!L325"")+IMPORTRANGE(""https://docs.google.com/spreadsheets/d/10oOiF7loTyfsTkbd4MpaIm0HQ9SwB7IYHdIUvt-U1Uc/edit?usp=sharing"""&amp;",""สระแก้ว!L325"")+IMPORTRANGE(""https://docs.google.com/spreadsheets/d/1xmPlrr1QbdSIKvl1dWUl9K4PjAfSL9oeMr_37QVzcxc/edit?usp=sharing"",""สระบุรี!L325"")+IMPORTRANGE(""https://docs.google.com/spreadsheets/d/1j51vR6CYVGhABJpv6tkstgok82RLpXieLzW1yOY5rHw/edi"&amp;"t?usp=sharing"",""สิงห์บุรี!L325"")+IMPORTRANGE(""https://docs.google.com/spreadsheets/d/1H1EalTWKUSzO4Z1-1CwzoDUaVffgrThEBe2sl74kKG0/edit?usp=sharing"",""สุพรรณบุรี!L325"")+IMPORTRANGE(""https://docs.google.com/spreadsheets/d/1BmIruG_sIrJLYao_Pdr7zVArWsf"&amp;"oBt2692TMi6x_854/edit?usp=sharing"",""อ่างทอง!L325"")"),90000)</f>
        <v>90000</v>
      </c>
      <c r="M326" s="88">
        <f ca="1">IFERROR(__xludf.DUMMYFUNCTION("IMPORTRANGE(""https://docs.google.com/spreadsheets/d/13wPX838HrBrQMCywv1BsuMkt4PEKTChp52zj44s2izQ/edit?usp=sharing"",""กาญจนบุรี!M325"")+IMPORTRANGE(""https://docs.google.com/spreadsheets/d/1ddFKvqj1W1NEiWytbGlB1zMx_ykJDVtmfEQ-6-lIUBA/edit?usp=sharing"","&amp;"""จันทบุรี!M325"")+IMPORTRANGE(""https://docs.google.com/spreadsheets/d/1T1PQvRODqOBZk8BRht_U031fIS1beLA0Ub2CEytj2q0/edit?usp=sharing"",""ฉะเชิงเทรา!M325"")+IMPORTRANGE(""https://docs.google.com/spreadsheets/d/11tr1B-Bhyr79v2bkwVh5h_fR-PStkgjlZtkrZpYurG0/"&amp;"edit?usp=sharing"",""ชลบุรี!M325"")+IMPORTRANGE(""https://docs.google.com/spreadsheets/d/1hh-FVnSX0vozXhGluamEcS54Dw9_zqW0N7qJUWgJ0Sw/edit?usp=sharing"",""ชัยนาท!M325"")+IMPORTRANGE(""https://docs.google.com/spreadsheets/d/1jkqa6GXxSacMcY1eN8AHjMNJ_7dDXMJ"&amp;"VRLDlaFSOdPM/edit?usp=sharing"",""ตราด!M325"")+IMPORTRANGE(""https://docs.google.com/spreadsheets/d/18hSgUJ3VwClqi_qtULmmW3cLr0oe3OKaSYoKzdpTsYQ/edit?usp=sharing"",""นครนายก!M325"")+IMPORTRANGE(""https://docs.google.com/spreadsheets/d/1YTZo6WM2dQ6Ix6FSdnL"&amp;"5P7uVnVKu40sxZu975tgG10E/edit?usp=sharing"",""นครปฐม!M325"")+IMPORTRANGE(""https://docs.google.com/spreadsheets/d/1OYoGg4WDg5RIzwGeB10padOxJF9E_Vljuvvct_M7RDo/edit?usp=sharing"",""ปทุมธานี!M325"")+IMPORTRANGE(""https://docs.google.com/spreadsheets/d/1GbCI"&amp;"E4D4wk9FUozzqk7SxfDMxDVBwVmI5zcaVUSzKAc/edit?usp=sharing"",""ประจวบคีรีขันธ์!M325"")+IMPORTRANGE(""https://docs.google.com/spreadsheets/d/1vVf6wykvW_lAyu7Yo9L4hUTqHqIeP_qcVuxCtosJEbg/edit?usp=sharing"",""ปราจีนบุรี!M325"")+IMPORTRANGE(""https://docs.googl"&amp;"e.com/spreadsheets/d/1BIDqLLg5jk3v59G8NlR8rk5xfQDKne0sAvZHSj7TI6I/edit?usp=sharing"",""พระนครศรีอยุธยา!M325"")+IMPORTRANGE(""https://docs.google.com/spreadsheets/d/1YXvxf8Yu6_rV4hTBrwMqAcAnv6DfhUxh5emyM3CJp_w/edit?usp=sharing"",""เพชรบุรี!M325"")+IMPORTRA"&amp;"NGE(""https://docs.google.com/spreadsheets/d/19KBlQQs7uwvsao6t2n-KvW3Ax8J8uRRfZPq1zPbXgKc/edit?usp=sharing"",""ระยอง!M325"")+IMPORTRANGE(""https://docs.google.com/spreadsheets/d/1jQ6P4QcrGM89YfqcC_PxOHGCMq5ezhucwJd8ci-NHng/edit?usp=sharing"",""ราชบุรี!M32"&amp;"5"")+IMPORTRANGE(""https://docs.google.com/spreadsheets/d/1lufeA2cfFqM-elVq2hznhDzC6Pr7wkJ9ZG_sYNGCMCU/edit?usp=sharing"",""ลพบุรี!M325"")+IMPORTRANGE(""https://docs.google.com/spreadsheets/d/10oOiF7loTyfsTkbd4MpaIm0HQ9SwB7IYHdIUvt-U1Uc/edit?usp=sharing"""&amp;",""สระแก้ว!M325"")+IMPORTRANGE(""https://docs.google.com/spreadsheets/d/1xmPlrr1QbdSIKvl1dWUl9K4PjAfSL9oeMr_37QVzcxc/edit?usp=sharing"",""สระบุรี!M325"")+IMPORTRANGE(""https://docs.google.com/spreadsheets/d/1j51vR6CYVGhABJpv6tkstgok82RLpXieLzW1yOY5rHw/edi"&amp;"t?usp=sharing"",""สิงห์บุรี!M325"")+IMPORTRANGE(""https://docs.google.com/spreadsheets/d/1H1EalTWKUSzO4Z1-1CwzoDUaVffgrThEBe2sl74kKG0/edit?usp=sharing"",""สุพรรณบุรี!M325"")+IMPORTRANGE(""https://docs.google.com/spreadsheets/d/1BmIruG_sIrJLYao_Pdr7zVArWsf"&amp;"oBt2692TMi6x_854/edit?usp=sharing"",""อ่างทอง!M325"")"),90000)</f>
        <v>90000</v>
      </c>
      <c r="N326" s="88">
        <f ca="1">IFERROR(__xludf.DUMMYFUNCTION("IMPORTRANGE(""https://docs.google.com/spreadsheets/d/13wPX838HrBrQMCywv1BsuMkt4PEKTChp52zj44s2izQ/edit?usp=sharing"",""กาญจนบุรี!N325"")+IMPORTRANGE(""https://docs.google.com/spreadsheets/d/1ddFKvqj1W1NEiWytbGlB1zMx_ykJDVtmfEQ-6-lIUBA/edit?usp=sharing"","&amp;"""จันทบุรี!N325"")+IMPORTRANGE(""https://docs.google.com/spreadsheets/d/1T1PQvRODqOBZk8BRht_U031fIS1beLA0Ub2CEytj2q0/edit?usp=sharing"",""ฉะเชิงเทรา!N325"")+IMPORTRANGE(""https://docs.google.com/spreadsheets/d/11tr1B-Bhyr79v2bkwVh5h_fR-PStkgjlZtkrZpYurG0/"&amp;"edit?usp=sharing"",""ชลบุรี!N325"")+IMPORTRANGE(""https://docs.google.com/spreadsheets/d/1hh-FVnSX0vozXhGluamEcS54Dw9_zqW0N7qJUWgJ0Sw/edit?usp=sharing"",""ชัยนาท!N325"")+IMPORTRANGE(""https://docs.google.com/spreadsheets/d/1jkqa6GXxSacMcY1eN8AHjMNJ_7dDXMJ"&amp;"VRLDlaFSOdPM/edit?usp=sharing"",""ตราด!N325"")+IMPORTRANGE(""https://docs.google.com/spreadsheets/d/18hSgUJ3VwClqi_qtULmmW3cLr0oe3OKaSYoKzdpTsYQ/edit?usp=sharing"",""นครนายก!N325"")+IMPORTRANGE(""https://docs.google.com/spreadsheets/d/1YTZo6WM2dQ6Ix6FSdnL"&amp;"5P7uVnVKu40sxZu975tgG10E/edit?usp=sharing"",""นครปฐม!N325"")+IMPORTRANGE(""https://docs.google.com/spreadsheets/d/1OYoGg4WDg5RIzwGeB10padOxJF9E_Vljuvvct_M7RDo/edit?usp=sharing"",""ปทุมธานี!N325"")+IMPORTRANGE(""https://docs.google.com/spreadsheets/d/1GbCI"&amp;"E4D4wk9FUozzqk7SxfDMxDVBwVmI5zcaVUSzKAc/edit?usp=sharing"",""ประจวบคีรีขันธ์!N325"")+IMPORTRANGE(""https://docs.google.com/spreadsheets/d/1vVf6wykvW_lAyu7Yo9L4hUTqHqIeP_qcVuxCtosJEbg/edit?usp=sharing"",""ปราจีนบุรี!N325"")+IMPORTRANGE(""https://docs.googl"&amp;"e.com/spreadsheets/d/1BIDqLLg5jk3v59G8NlR8rk5xfQDKne0sAvZHSj7TI6I/edit?usp=sharing"",""พระนครศรีอยุธยา!N325"")+IMPORTRANGE(""https://docs.google.com/spreadsheets/d/1YXvxf8Yu6_rV4hTBrwMqAcAnv6DfhUxh5emyM3CJp_w/edit?usp=sharing"",""เพชรบุรี!N325"")+IMPORTRA"&amp;"NGE(""https://docs.google.com/spreadsheets/d/19KBlQQs7uwvsao6t2n-KvW3Ax8J8uRRfZPq1zPbXgKc/edit?usp=sharing"",""ระยอง!N325"")+IMPORTRANGE(""https://docs.google.com/spreadsheets/d/1jQ6P4QcrGM89YfqcC_PxOHGCMq5ezhucwJd8ci-NHng/edit?usp=sharing"",""ราชบุรี!N32"&amp;"5"")+IMPORTRANGE(""https://docs.google.com/spreadsheets/d/1lufeA2cfFqM-elVq2hznhDzC6Pr7wkJ9ZG_sYNGCMCU/edit?usp=sharing"",""ลพบุรี!N325"")+IMPORTRANGE(""https://docs.google.com/spreadsheets/d/10oOiF7loTyfsTkbd4MpaIm0HQ9SwB7IYHdIUvt-U1Uc/edit?usp=sharing"""&amp;",""สระแก้ว!N325"")+IMPORTRANGE(""https://docs.google.com/spreadsheets/d/1xmPlrr1QbdSIKvl1dWUl9K4PjAfSL9oeMr_37QVzcxc/edit?usp=sharing"",""สระบุรี!N325"")+IMPORTRANGE(""https://docs.google.com/spreadsheets/d/1j51vR6CYVGhABJpv6tkstgok82RLpXieLzW1yOY5rHw/edi"&amp;"t?usp=sharing"",""สิงห์บุรี!N325"")+IMPORTRANGE(""https://docs.google.com/spreadsheets/d/1H1EalTWKUSzO4Z1-1CwzoDUaVffgrThEBe2sl74kKG0/edit?usp=sharing"",""สุพรรณบุรี!N325"")+IMPORTRANGE(""https://docs.google.com/spreadsheets/d/1BmIruG_sIrJLYao_Pdr7zVArWsf"&amp;"oBt2692TMi6x_854/edit?usp=sharing"",""อ่างทอง!N325"")"),28467)</f>
        <v>28467</v>
      </c>
      <c r="O326" s="88">
        <f t="shared" ca="1" si="231"/>
        <v>31.63</v>
      </c>
      <c r="P326" s="88">
        <f t="shared" ca="1" si="232"/>
        <v>31.63</v>
      </c>
      <c r="Q326" s="73">
        <f ca="1">IFERROR(__xludf.DUMMYFUNCTION("IMPORTRANGE(""https://docs.google.com/spreadsheets/d/13wPX838HrBrQMCywv1BsuMkt4PEKTChp52zj44s2izQ/edit?usp=sharing"",""กาญจนบุรี!Q325"")+IMPORTRANGE(""https://docs.google.com/spreadsheets/d/1ddFKvqj1W1NEiWytbGlB1zMx_ykJDVtmfEQ-6-lIUBA/edit?usp=sharing"","&amp;"""จันทบุรี!Q325"")+IMPORTRANGE(""https://docs.google.com/spreadsheets/d/1T1PQvRODqOBZk8BRht_U031fIS1beLA0Ub2CEytj2q0/edit?usp=sharing"",""ฉะเชิงเทรา!Q325"")+IMPORTRANGE(""https://docs.google.com/spreadsheets/d/11tr1B-Bhyr79v2bkwVh5h_fR-PStkgjlZtkrZpYurG0/"&amp;"edit?usp=sharing"",""ชลบุรี!Q325"")+IMPORTRANGE(""https://docs.google.com/spreadsheets/d/1hh-FVnSX0vozXhGluamEcS54Dw9_zqW0N7qJUWgJ0Sw/edit?usp=sharing"",""ชัยนาท!Q325"")+IMPORTRANGE(""https://docs.google.com/spreadsheets/d/1jkqa6GXxSacMcY1eN8AHjMNJ_7dDXMJ"&amp;"VRLDlaFSOdPM/edit?usp=sharing"",""ตราด!Q325"")+IMPORTRANGE(""https://docs.google.com/spreadsheets/d/18hSgUJ3VwClqi_qtULmmW3cLr0oe3OKaSYoKzdpTsYQ/edit?usp=sharing"",""นครนายก!Q325"")+IMPORTRANGE(""https://docs.google.com/spreadsheets/d/1YTZo6WM2dQ6Ix6FSdnL"&amp;"5P7uVnVKu40sxZu975tgG10E/edit?usp=sharing"",""นครปฐม!Q325"")+IMPORTRANGE(""https://docs.google.com/spreadsheets/d/1OYoGg4WDg5RIzwGeB10padOxJF9E_Vljuvvct_M7RDo/edit?usp=sharing"",""ปทุมธานี!Q325"")+IMPORTRANGE(""https://docs.google.com/spreadsheets/d/1GbCI"&amp;"E4D4wk9FUozzqk7SxfDMxDVBwVmI5zcaVUSzKAc/edit?usp=sharing"",""ประจวบคีรีขันธ์!Q325"")+IMPORTRANGE(""https://docs.google.com/spreadsheets/d/1vVf6wykvW_lAyu7Yo9L4hUTqHqIeP_qcVuxCtosJEbg/edit?usp=sharing"",""ปราจีนบุรี!Q325"")+IMPORTRANGE(""https://docs.googl"&amp;"e.com/spreadsheets/d/1BIDqLLg5jk3v59G8NlR8rk5xfQDKne0sAvZHSj7TI6I/edit?usp=sharing"",""พระนครศรีอยุธยา!Q325"")+IMPORTRANGE(""https://docs.google.com/spreadsheets/d/1YXvxf8Yu6_rV4hTBrwMqAcAnv6DfhUxh5emyM3CJp_w/edit?usp=sharing"",""เพชรบุรี!Q325"")+IMPORTRA"&amp;"NGE(""https://docs.google.com/spreadsheets/d/19KBlQQs7uwvsao6t2n-KvW3Ax8J8uRRfZPq1zPbXgKc/edit?usp=sharing"",""ระยอง!Q325"")+IMPORTRANGE(""https://docs.google.com/spreadsheets/d/1jQ6P4QcrGM89YfqcC_PxOHGCMq5ezhucwJd8ci-NHng/edit?usp=sharing"",""ราชบุรี!Q32"&amp;"5"")+IMPORTRANGE(""https://docs.google.com/spreadsheets/d/1lufeA2cfFqM-elVq2hznhDzC6Pr7wkJ9ZG_sYNGCMCU/edit?usp=sharing"",""ลพบุรี!Q325"")+IMPORTRANGE(""https://docs.google.com/spreadsheets/d/10oOiF7loTyfsTkbd4MpaIm0HQ9SwB7IYHdIUvt-U1Uc/edit?usp=sharing"""&amp;",""สระแก้ว!Q325"")+IMPORTRANGE(""https://docs.google.com/spreadsheets/d/1xmPlrr1QbdSIKvl1dWUl9K4PjAfSL9oeMr_37QVzcxc/edit?usp=sharing"",""สระบุรี!Q325"")+IMPORTRANGE(""https://docs.google.com/spreadsheets/d/1j51vR6CYVGhABJpv6tkstgok82RLpXieLzW1yOY5rHw/edi"&amp;"t?usp=sharing"",""สิงห์บุรี!Q325"")+IMPORTRANGE(""https://docs.google.com/spreadsheets/d/1H1EalTWKUSzO4Z1-1CwzoDUaVffgrThEBe2sl74kKG0/edit?usp=sharing"",""สุพรรณบุรี!Q325"")+IMPORTRANGE(""https://docs.google.com/spreadsheets/d/1BmIruG_sIrJLYao_Pdr7zVArWsf"&amp;"oBt2692TMi6x_854/edit?usp=sharing"",""อ่างทอง!Q325"")"),0)</f>
        <v>0</v>
      </c>
      <c r="R326" s="74">
        <f ca="1">IFERROR(__xludf.DUMMYFUNCTION("IMPORTRANGE(""https://docs.google.com/spreadsheets/d/13wPX838HrBrQMCywv1BsuMkt4PEKTChp52zj44s2izQ/edit?usp=sharing"",""กาญจนบุรี!R325"")+IMPORTRANGE(""https://docs.google.com/spreadsheets/d/1ddFKvqj1W1NEiWytbGlB1zMx_ykJDVtmfEQ-6-lIUBA/edit?usp=sharing"","&amp;"""จันทบุรี!R325"")+IMPORTRANGE(""https://docs.google.com/spreadsheets/d/1T1PQvRODqOBZk8BRht_U031fIS1beLA0Ub2CEytj2q0/edit?usp=sharing"",""ฉะเชิงเทรา!R325"")+IMPORTRANGE(""https://docs.google.com/spreadsheets/d/11tr1B-Bhyr79v2bkwVh5h_fR-PStkgjlZtkrZpYurG0/"&amp;"edit?usp=sharing"",""ชลบุรี!R325"")+IMPORTRANGE(""https://docs.google.com/spreadsheets/d/1hh-FVnSX0vozXhGluamEcS54Dw9_zqW0N7qJUWgJ0Sw/edit?usp=sharing"",""ชัยนาท!R325"")+IMPORTRANGE(""https://docs.google.com/spreadsheets/d/1jkqa6GXxSacMcY1eN8AHjMNJ_7dDXMJ"&amp;"VRLDlaFSOdPM/edit?usp=sharing"",""ตราด!R325"")+IMPORTRANGE(""https://docs.google.com/spreadsheets/d/18hSgUJ3VwClqi_qtULmmW3cLr0oe3OKaSYoKzdpTsYQ/edit?usp=sharing"",""นครนายก!R325"")+IMPORTRANGE(""https://docs.google.com/spreadsheets/d/1YTZo6WM2dQ6Ix6FSdnL"&amp;"5P7uVnVKu40sxZu975tgG10E/edit?usp=sharing"",""นครปฐม!R325"")+IMPORTRANGE(""https://docs.google.com/spreadsheets/d/1OYoGg4WDg5RIzwGeB10padOxJF9E_Vljuvvct_M7RDo/edit?usp=sharing"",""ปทุมธานี!R325"")+IMPORTRANGE(""https://docs.google.com/spreadsheets/d/1GbCI"&amp;"E4D4wk9FUozzqk7SxfDMxDVBwVmI5zcaVUSzKAc/edit?usp=sharing"",""ประจวบคีรีขันธ์!R325"")+IMPORTRANGE(""https://docs.google.com/spreadsheets/d/1vVf6wykvW_lAyu7Yo9L4hUTqHqIeP_qcVuxCtosJEbg/edit?usp=sharing"",""ปราจีนบุรี!R325"")+IMPORTRANGE(""https://docs.googl"&amp;"e.com/spreadsheets/d/1BIDqLLg5jk3v59G8NlR8rk5xfQDKne0sAvZHSj7TI6I/edit?usp=sharing"",""พระนครศรีอยุธยา!R325"")+IMPORTRANGE(""https://docs.google.com/spreadsheets/d/1YXvxf8Yu6_rV4hTBrwMqAcAnv6DfhUxh5emyM3CJp_w/edit?usp=sharing"",""เพชรบุรี!R325"")+IMPORTRA"&amp;"NGE(""https://docs.google.com/spreadsheets/d/19KBlQQs7uwvsao6t2n-KvW3Ax8J8uRRfZPq1zPbXgKc/edit?usp=sharing"",""ระยอง!R325"")+IMPORTRANGE(""https://docs.google.com/spreadsheets/d/1jQ6P4QcrGM89YfqcC_PxOHGCMq5ezhucwJd8ci-NHng/edit?usp=sharing"",""ราชบุรี!R32"&amp;"5"")+IMPORTRANGE(""https://docs.google.com/spreadsheets/d/1lufeA2cfFqM-elVq2hznhDzC6Pr7wkJ9ZG_sYNGCMCU/edit?usp=sharing"",""ลพบุรี!R325"")+IMPORTRANGE(""https://docs.google.com/spreadsheets/d/10oOiF7loTyfsTkbd4MpaIm0HQ9SwB7IYHdIUvt-U1Uc/edit?usp=sharing"""&amp;",""สระแก้ว!R325"")+IMPORTRANGE(""https://docs.google.com/spreadsheets/d/1xmPlrr1QbdSIKvl1dWUl9K4PjAfSL9oeMr_37QVzcxc/edit?usp=sharing"",""สระบุรี!R325"")+IMPORTRANGE(""https://docs.google.com/spreadsheets/d/1j51vR6CYVGhABJpv6tkstgok82RLpXieLzW1yOY5rHw/edi"&amp;"t?usp=sharing"",""สิงห์บุรี!R325"")+IMPORTRANGE(""https://docs.google.com/spreadsheets/d/1H1EalTWKUSzO4Z1-1CwzoDUaVffgrThEBe2sl74kKG0/edit?usp=sharing"",""สุพรรณบุรี!R325"")+IMPORTRANGE(""https://docs.google.com/spreadsheets/d/1BmIruG_sIrJLYao_Pdr7zVArWsf"&amp;"oBt2692TMi6x_854/edit?usp=sharing"",""อ่างทอง!R325"")"),0)</f>
        <v>0</v>
      </c>
      <c r="S326" s="74">
        <f ca="1">IFERROR(__xludf.DUMMYFUNCTION("IMPORTRANGE(""https://docs.google.com/spreadsheets/d/13wPX838HrBrQMCywv1BsuMkt4PEKTChp52zj44s2izQ/edit?usp=sharing"",""กาญจนบุรี!S325"")+IMPORTRANGE(""https://docs.google.com/spreadsheets/d/1ddFKvqj1W1NEiWytbGlB1zMx_ykJDVtmfEQ-6-lIUBA/edit?usp=sharing"","&amp;"""จันทบุรี!S325"")+IMPORTRANGE(""https://docs.google.com/spreadsheets/d/1T1PQvRODqOBZk8BRht_U031fIS1beLA0Ub2CEytj2q0/edit?usp=sharing"",""ฉะเชิงเทรา!S325"")+IMPORTRANGE(""https://docs.google.com/spreadsheets/d/11tr1B-Bhyr79v2bkwVh5h_fR-PStkgjlZtkrZpYurG0/"&amp;"edit?usp=sharing"",""ชลบุรี!S325"")+IMPORTRANGE(""https://docs.google.com/spreadsheets/d/1hh-FVnSX0vozXhGluamEcS54Dw9_zqW0N7qJUWgJ0Sw/edit?usp=sharing"",""ชัยนาท!S325"")+IMPORTRANGE(""https://docs.google.com/spreadsheets/d/1jkqa6GXxSacMcY1eN8AHjMNJ_7dDXMJ"&amp;"VRLDlaFSOdPM/edit?usp=sharing"",""ตราด!S325"")+IMPORTRANGE(""https://docs.google.com/spreadsheets/d/18hSgUJ3VwClqi_qtULmmW3cLr0oe3OKaSYoKzdpTsYQ/edit?usp=sharing"",""นครนายก!S325"")+IMPORTRANGE(""https://docs.google.com/spreadsheets/d/1YTZo6WM2dQ6Ix6FSdnL"&amp;"5P7uVnVKu40sxZu975tgG10E/edit?usp=sharing"",""นครปฐม!S325"")+IMPORTRANGE(""https://docs.google.com/spreadsheets/d/1OYoGg4WDg5RIzwGeB10padOxJF9E_Vljuvvct_M7RDo/edit?usp=sharing"",""ปทุมธานี!S325"")+IMPORTRANGE(""https://docs.google.com/spreadsheets/d/1GbCI"&amp;"E4D4wk9FUozzqk7SxfDMxDVBwVmI5zcaVUSzKAc/edit?usp=sharing"",""ประจวบคีรีขันธ์!S325"")+IMPORTRANGE(""https://docs.google.com/spreadsheets/d/1vVf6wykvW_lAyu7Yo9L4hUTqHqIeP_qcVuxCtosJEbg/edit?usp=sharing"",""ปราจีนบุรี!S325"")+IMPORTRANGE(""https://docs.googl"&amp;"e.com/spreadsheets/d/1BIDqLLg5jk3v59G8NlR8rk5xfQDKne0sAvZHSj7TI6I/edit?usp=sharing"",""พระนครศรีอยุธยา!S325"")+IMPORTRANGE(""https://docs.google.com/spreadsheets/d/1YXvxf8Yu6_rV4hTBrwMqAcAnv6DfhUxh5emyM3CJp_w/edit?usp=sharing"",""เพชรบุรี!S325"")+IMPORTRA"&amp;"NGE(""https://docs.google.com/spreadsheets/d/19KBlQQs7uwvsao6t2n-KvW3Ax8J8uRRfZPq1zPbXgKc/edit?usp=sharing"",""ระยอง!S325"")+IMPORTRANGE(""https://docs.google.com/spreadsheets/d/1jQ6P4QcrGM89YfqcC_PxOHGCMq5ezhucwJd8ci-NHng/edit?usp=sharing"",""ราชบุรี!S32"&amp;"5"")+IMPORTRANGE(""https://docs.google.com/spreadsheets/d/1lufeA2cfFqM-elVq2hznhDzC6Pr7wkJ9ZG_sYNGCMCU/edit?usp=sharing"",""ลพบุรี!S325"")+IMPORTRANGE(""https://docs.google.com/spreadsheets/d/10oOiF7loTyfsTkbd4MpaIm0HQ9SwB7IYHdIUvt-U1Uc/edit?usp=sharing"""&amp;",""สระแก้ว!S325"")+IMPORTRANGE(""https://docs.google.com/spreadsheets/d/1xmPlrr1QbdSIKvl1dWUl9K4PjAfSL9oeMr_37QVzcxc/edit?usp=sharing"",""สระบุรี!S325"")+IMPORTRANGE(""https://docs.google.com/spreadsheets/d/1j51vR6CYVGhABJpv6tkstgok82RLpXieLzW1yOY5rHw/edi"&amp;"t?usp=sharing"",""สิงห์บุรี!S325"")+IMPORTRANGE(""https://docs.google.com/spreadsheets/d/1H1EalTWKUSzO4Z1-1CwzoDUaVffgrThEBe2sl74kKG0/edit?usp=sharing"",""สุพรรณบุรี!S325"")+IMPORTRANGE(""https://docs.google.com/spreadsheets/d/1BmIruG_sIrJLYao_Pdr7zVArWsf"&amp;"oBt2692TMi6x_854/edit?usp=sharing"",""อ่างทอง!S325"")"),0)</f>
        <v>0</v>
      </c>
      <c r="T326" s="132">
        <f t="shared" ca="1" si="234"/>
        <v>0</v>
      </c>
      <c r="U326" s="132">
        <f t="shared" ca="1" si="235"/>
        <v>0</v>
      </c>
    </row>
    <row r="327" spans="1:21" ht="18.75" x14ac:dyDescent="0.25">
      <c r="A327" s="209"/>
      <c r="B327" s="67"/>
      <c r="C327" s="67"/>
      <c r="D327" s="68" t="s">
        <v>23</v>
      </c>
      <c r="E327" s="67"/>
      <c r="F327" s="67"/>
      <c r="G327" s="69"/>
      <c r="H327" s="221" t="s">
        <v>14</v>
      </c>
      <c r="I327" s="219"/>
      <c r="J327" s="219"/>
      <c r="K327" s="220"/>
      <c r="L327" s="88">
        <f t="shared" ref="L327:N327" ca="1" si="242">L328+L329</f>
        <v>0</v>
      </c>
      <c r="M327" s="88">
        <f t="shared" ca="1" si="242"/>
        <v>0</v>
      </c>
      <c r="N327" s="88">
        <f t="shared" ca="1" si="242"/>
        <v>0</v>
      </c>
      <c r="O327" s="88">
        <f t="shared" ca="1" si="231"/>
        <v>0</v>
      </c>
      <c r="P327" s="88">
        <f t="shared" ca="1" si="232"/>
        <v>0</v>
      </c>
      <c r="Q327" s="131">
        <f t="shared" ref="Q327:S327" ca="1" si="243">Q328+Q329</f>
        <v>0</v>
      </c>
      <c r="R327" s="132">
        <f t="shared" ca="1" si="243"/>
        <v>0</v>
      </c>
      <c r="S327" s="132">
        <f t="shared" ca="1" si="243"/>
        <v>0</v>
      </c>
      <c r="T327" s="132">
        <f t="shared" ca="1" si="234"/>
        <v>0</v>
      </c>
      <c r="U327" s="132">
        <f t="shared" ca="1" si="235"/>
        <v>0</v>
      </c>
    </row>
    <row r="328" spans="1:21" ht="18.75" x14ac:dyDescent="0.25">
      <c r="A328" s="209"/>
      <c r="B328" s="67"/>
      <c r="C328" s="67"/>
      <c r="D328" s="67"/>
      <c r="E328" s="75" t="s">
        <v>20</v>
      </c>
      <c r="F328" s="67"/>
      <c r="G328" s="69"/>
      <c r="H328" s="218" t="s">
        <v>14</v>
      </c>
      <c r="I328" s="219"/>
      <c r="J328" s="219"/>
      <c r="K328" s="220"/>
      <c r="L328" s="88">
        <f ca="1">IFERROR(__xludf.DUMMYFUNCTION("IMPORTRANGE(""https://docs.google.com/spreadsheets/d/13wPX838HrBrQMCywv1BsuMkt4PEKTChp52zj44s2izQ/edit?usp=sharing"",""กาญจนบุรี!L327"")+IMPORTRANGE(""https://docs.google.com/spreadsheets/d/1ddFKvqj1W1NEiWytbGlB1zMx_ykJDVtmfEQ-6-lIUBA/edit?usp=sharing"","&amp;"""จันทบุรี!L327"")+IMPORTRANGE(""https://docs.google.com/spreadsheets/d/1T1PQvRODqOBZk8BRht_U031fIS1beLA0Ub2CEytj2q0/edit?usp=sharing"",""ฉะเชิงเทรา!L327"")+IMPORTRANGE(""https://docs.google.com/spreadsheets/d/11tr1B-Bhyr79v2bkwVh5h_fR-PStkgjlZtkrZpYurG0/"&amp;"edit?usp=sharing"",""ชลบุรี!L327"")+IMPORTRANGE(""https://docs.google.com/spreadsheets/d/1hh-FVnSX0vozXhGluamEcS54Dw9_zqW0N7qJUWgJ0Sw/edit?usp=sharing"",""ชัยนาท!L327"")+IMPORTRANGE(""https://docs.google.com/spreadsheets/d/1jkqa6GXxSacMcY1eN8AHjMNJ_7dDXMJ"&amp;"VRLDlaFSOdPM/edit?usp=sharing"",""ตราด!L327"")+IMPORTRANGE(""https://docs.google.com/spreadsheets/d/18hSgUJ3VwClqi_qtULmmW3cLr0oe3OKaSYoKzdpTsYQ/edit?usp=sharing"",""นครนายก!L327"")+IMPORTRANGE(""https://docs.google.com/spreadsheets/d/1YTZo6WM2dQ6Ix6FSdnL"&amp;"5P7uVnVKu40sxZu975tgG10E/edit?usp=sharing"",""นครปฐม!L327"")+IMPORTRANGE(""https://docs.google.com/spreadsheets/d/1OYoGg4WDg5RIzwGeB10padOxJF9E_Vljuvvct_M7RDo/edit?usp=sharing"",""ปทุมธานี!L327"")+IMPORTRANGE(""https://docs.google.com/spreadsheets/d/1GbCI"&amp;"E4D4wk9FUozzqk7SxfDMxDVBwVmI5zcaVUSzKAc/edit?usp=sharing"",""ประจวบคีรีขันธ์!L327"")+IMPORTRANGE(""https://docs.google.com/spreadsheets/d/1vVf6wykvW_lAyu7Yo9L4hUTqHqIeP_qcVuxCtosJEbg/edit?usp=sharing"",""ปราจีนบุรี!L327"")+IMPORTRANGE(""https://docs.googl"&amp;"e.com/spreadsheets/d/1BIDqLLg5jk3v59G8NlR8rk5xfQDKne0sAvZHSj7TI6I/edit?usp=sharing"",""พระนครศรีอยุธยา!L327"")+IMPORTRANGE(""https://docs.google.com/spreadsheets/d/1YXvxf8Yu6_rV4hTBrwMqAcAnv6DfhUxh5emyM3CJp_w/edit?usp=sharing"",""เพชรบุรี!L327"")+IMPORTRA"&amp;"NGE(""https://docs.google.com/spreadsheets/d/19KBlQQs7uwvsao6t2n-KvW3Ax8J8uRRfZPq1zPbXgKc/edit?usp=sharing"",""ระยอง!L327"")+IMPORTRANGE(""https://docs.google.com/spreadsheets/d/1jQ6P4QcrGM89YfqcC_PxOHGCMq5ezhucwJd8ci-NHng/edit?usp=sharing"",""ราชบุรี!L32"&amp;"7"")+IMPORTRANGE(""https://docs.google.com/spreadsheets/d/1lufeA2cfFqM-elVq2hznhDzC6Pr7wkJ9ZG_sYNGCMCU/edit?usp=sharing"",""ลพบุรี!L327"")+IMPORTRANGE(""https://docs.google.com/spreadsheets/d/10oOiF7loTyfsTkbd4MpaIm0HQ9SwB7IYHdIUvt-U1Uc/edit?usp=sharing"""&amp;",""สระแก้ว!L327"")+IMPORTRANGE(""https://docs.google.com/spreadsheets/d/1xmPlrr1QbdSIKvl1dWUl9K4PjAfSL9oeMr_37QVzcxc/edit?usp=sharing"",""สระบุรี!L327"")+IMPORTRANGE(""https://docs.google.com/spreadsheets/d/1j51vR6CYVGhABJpv6tkstgok82RLpXieLzW1yOY5rHw/edi"&amp;"t?usp=sharing"",""สิงห์บุรี!L327"")+IMPORTRANGE(""https://docs.google.com/spreadsheets/d/1H1EalTWKUSzO4Z1-1CwzoDUaVffgrThEBe2sl74kKG0/edit?usp=sharing"",""สุพรรณบุรี!L327"")+IMPORTRANGE(""https://docs.google.com/spreadsheets/d/1BmIruG_sIrJLYao_Pdr7zVArWsf"&amp;"oBt2692TMi6x_854/edit?usp=sharing"",""อ่างทอง!L327"")"),0)</f>
        <v>0</v>
      </c>
      <c r="M328" s="88">
        <f ca="1">IFERROR(__xludf.DUMMYFUNCTION("IMPORTRANGE(""https://docs.google.com/spreadsheets/d/13wPX838HrBrQMCywv1BsuMkt4PEKTChp52zj44s2izQ/edit?usp=sharing"",""กาญจนบุรี!M327"")+IMPORTRANGE(""https://docs.google.com/spreadsheets/d/1ddFKvqj1W1NEiWytbGlB1zMx_ykJDVtmfEQ-6-lIUBA/edit?usp=sharing"","&amp;"""จันทบุรี!M327"")+IMPORTRANGE(""https://docs.google.com/spreadsheets/d/1T1PQvRODqOBZk8BRht_U031fIS1beLA0Ub2CEytj2q0/edit?usp=sharing"",""ฉะเชิงเทรา!M327"")+IMPORTRANGE(""https://docs.google.com/spreadsheets/d/11tr1B-Bhyr79v2bkwVh5h_fR-PStkgjlZtkrZpYurG0/"&amp;"edit?usp=sharing"",""ชลบุรี!M327"")+IMPORTRANGE(""https://docs.google.com/spreadsheets/d/1hh-FVnSX0vozXhGluamEcS54Dw9_zqW0N7qJUWgJ0Sw/edit?usp=sharing"",""ชัยนาท!M327"")+IMPORTRANGE(""https://docs.google.com/spreadsheets/d/1jkqa6GXxSacMcY1eN8AHjMNJ_7dDXMJ"&amp;"VRLDlaFSOdPM/edit?usp=sharing"",""ตราด!M327"")+IMPORTRANGE(""https://docs.google.com/spreadsheets/d/18hSgUJ3VwClqi_qtULmmW3cLr0oe3OKaSYoKzdpTsYQ/edit?usp=sharing"",""นครนายก!M327"")+IMPORTRANGE(""https://docs.google.com/spreadsheets/d/1YTZo6WM2dQ6Ix6FSdnL"&amp;"5P7uVnVKu40sxZu975tgG10E/edit?usp=sharing"",""นครปฐม!M327"")+IMPORTRANGE(""https://docs.google.com/spreadsheets/d/1OYoGg4WDg5RIzwGeB10padOxJF9E_Vljuvvct_M7RDo/edit?usp=sharing"",""ปทุมธานี!M327"")+IMPORTRANGE(""https://docs.google.com/spreadsheets/d/1GbCI"&amp;"E4D4wk9FUozzqk7SxfDMxDVBwVmI5zcaVUSzKAc/edit?usp=sharing"",""ประจวบคีรีขันธ์!M327"")+IMPORTRANGE(""https://docs.google.com/spreadsheets/d/1vVf6wykvW_lAyu7Yo9L4hUTqHqIeP_qcVuxCtosJEbg/edit?usp=sharing"",""ปราจีนบุรี!M327"")+IMPORTRANGE(""https://docs.googl"&amp;"e.com/spreadsheets/d/1BIDqLLg5jk3v59G8NlR8rk5xfQDKne0sAvZHSj7TI6I/edit?usp=sharing"",""พระนครศรีอยุธยา!M327"")+IMPORTRANGE(""https://docs.google.com/spreadsheets/d/1YXvxf8Yu6_rV4hTBrwMqAcAnv6DfhUxh5emyM3CJp_w/edit?usp=sharing"",""เพชรบุรี!M327"")+IMPORTRA"&amp;"NGE(""https://docs.google.com/spreadsheets/d/19KBlQQs7uwvsao6t2n-KvW3Ax8J8uRRfZPq1zPbXgKc/edit?usp=sharing"",""ระยอง!M327"")+IMPORTRANGE(""https://docs.google.com/spreadsheets/d/1jQ6P4QcrGM89YfqcC_PxOHGCMq5ezhucwJd8ci-NHng/edit?usp=sharing"",""ราชบุรี!M32"&amp;"7"")+IMPORTRANGE(""https://docs.google.com/spreadsheets/d/1lufeA2cfFqM-elVq2hznhDzC6Pr7wkJ9ZG_sYNGCMCU/edit?usp=sharing"",""ลพบุรี!M327"")+IMPORTRANGE(""https://docs.google.com/spreadsheets/d/10oOiF7loTyfsTkbd4MpaIm0HQ9SwB7IYHdIUvt-U1Uc/edit?usp=sharing"""&amp;",""สระแก้ว!M327"")+IMPORTRANGE(""https://docs.google.com/spreadsheets/d/1xmPlrr1QbdSIKvl1dWUl9K4PjAfSL9oeMr_37QVzcxc/edit?usp=sharing"",""สระบุรี!M327"")+IMPORTRANGE(""https://docs.google.com/spreadsheets/d/1j51vR6CYVGhABJpv6tkstgok82RLpXieLzW1yOY5rHw/edi"&amp;"t?usp=sharing"",""สิงห์บุรี!M327"")+IMPORTRANGE(""https://docs.google.com/spreadsheets/d/1H1EalTWKUSzO4Z1-1CwzoDUaVffgrThEBe2sl74kKG0/edit?usp=sharing"",""สุพรรณบุรี!M327"")+IMPORTRANGE(""https://docs.google.com/spreadsheets/d/1BmIruG_sIrJLYao_Pdr7zVArWsf"&amp;"oBt2692TMi6x_854/edit?usp=sharing"",""อ่างทอง!M327"")"),0)</f>
        <v>0</v>
      </c>
      <c r="N328" s="88">
        <f ca="1">IFERROR(__xludf.DUMMYFUNCTION("IMPORTRANGE(""https://docs.google.com/spreadsheets/d/13wPX838HrBrQMCywv1BsuMkt4PEKTChp52zj44s2izQ/edit?usp=sharing"",""กาญจนบุรี!N327"")+IMPORTRANGE(""https://docs.google.com/spreadsheets/d/1ddFKvqj1W1NEiWytbGlB1zMx_ykJDVtmfEQ-6-lIUBA/edit?usp=sharing"","&amp;"""จันทบุรี!N327"")+IMPORTRANGE(""https://docs.google.com/spreadsheets/d/1T1PQvRODqOBZk8BRht_U031fIS1beLA0Ub2CEytj2q0/edit?usp=sharing"",""ฉะเชิงเทรา!N327"")+IMPORTRANGE(""https://docs.google.com/spreadsheets/d/11tr1B-Bhyr79v2bkwVh5h_fR-PStkgjlZtkrZpYurG0/"&amp;"edit?usp=sharing"",""ชลบุรี!N327"")+IMPORTRANGE(""https://docs.google.com/spreadsheets/d/1hh-FVnSX0vozXhGluamEcS54Dw9_zqW0N7qJUWgJ0Sw/edit?usp=sharing"",""ชัยนาท!N327"")+IMPORTRANGE(""https://docs.google.com/spreadsheets/d/1jkqa6GXxSacMcY1eN8AHjMNJ_7dDXMJ"&amp;"VRLDlaFSOdPM/edit?usp=sharing"",""ตราด!N327"")+IMPORTRANGE(""https://docs.google.com/spreadsheets/d/18hSgUJ3VwClqi_qtULmmW3cLr0oe3OKaSYoKzdpTsYQ/edit?usp=sharing"",""นครนายก!N327"")+IMPORTRANGE(""https://docs.google.com/spreadsheets/d/1YTZo6WM2dQ6Ix6FSdnL"&amp;"5P7uVnVKu40sxZu975tgG10E/edit?usp=sharing"",""นครปฐม!N327"")+IMPORTRANGE(""https://docs.google.com/spreadsheets/d/1OYoGg4WDg5RIzwGeB10padOxJF9E_Vljuvvct_M7RDo/edit?usp=sharing"",""ปทุมธานี!N327"")+IMPORTRANGE(""https://docs.google.com/spreadsheets/d/1GbCI"&amp;"E4D4wk9FUozzqk7SxfDMxDVBwVmI5zcaVUSzKAc/edit?usp=sharing"",""ประจวบคีรีขันธ์!N327"")+IMPORTRANGE(""https://docs.google.com/spreadsheets/d/1vVf6wykvW_lAyu7Yo9L4hUTqHqIeP_qcVuxCtosJEbg/edit?usp=sharing"",""ปราจีนบุรี!N327"")+IMPORTRANGE(""https://docs.googl"&amp;"e.com/spreadsheets/d/1BIDqLLg5jk3v59G8NlR8rk5xfQDKne0sAvZHSj7TI6I/edit?usp=sharing"",""พระนครศรีอยุธยา!N327"")+IMPORTRANGE(""https://docs.google.com/spreadsheets/d/1YXvxf8Yu6_rV4hTBrwMqAcAnv6DfhUxh5emyM3CJp_w/edit?usp=sharing"",""เพชรบุรี!N327"")+IMPORTRA"&amp;"NGE(""https://docs.google.com/spreadsheets/d/19KBlQQs7uwvsao6t2n-KvW3Ax8J8uRRfZPq1zPbXgKc/edit?usp=sharing"",""ระยอง!N327"")+IMPORTRANGE(""https://docs.google.com/spreadsheets/d/1jQ6P4QcrGM89YfqcC_PxOHGCMq5ezhucwJd8ci-NHng/edit?usp=sharing"",""ราชบุรี!N32"&amp;"7"")+IMPORTRANGE(""https://docs.google.com/spreadsheets/d/1lufeA2cfFqM-elVq2hznhDzC6Pr7wkJ9ZG_sYNGCMCU/edit?usp=sharing"",""ลพบุรี!N327"")+IMPORTRANGE(""https://docs.google.com/spreadsheets/d/10oOiF7loTyfsTkbd4MpaIm0HQ9SwB7IYHdIUvt-U1Uc/edit?usp=sharing"""&amp;",""สระแก้ว!N327"")+IMPORTRANGE(""https://docs.google.com/spreadsheets/d/1xmPlrr1QbdSIKvl1dWUl9K4PjAfSL9oeMr_37QVzcxc/edit?usp=sharing"",""สระบุรี!N327"")+IMPORTRANGE(""https://docs.google.com/spreadsheets/d/1j51vR6CYVGhABJpv6tkstgok82RLpXieLzW1yOY5rHw/edi"&amp;"t?usp=sharing"",""สิงห์บุรี!N327"")+IMPORTRANGE(""https://docs.google.com/spreadsheets/d/1H1EalTWKUSzO4Z1-1CwzoDUaVffgrThEBe2sl74kKG0/edit?usp=sharing"",""สุพรรณบุรี!N327"")+IMPORTRANGE(""https://docs.google.com/spreadsheets/d/1BmIruG_sIrJLYao_Pdr7zVArWsf"&amp;"oBt2692TMi6x_854/edit?usp=sharing"",""อ่างทอง!N327"")"),0)</f>
        <v>0</v>
      </c>
      <c r="O328" s="88">
        <f t="shared" ca="1" si="231"/>
        <v>0</v>
      </c>
      <c r="P328" s="88">
        <f t="shared" ca="1" si="232"/>
        <v>0</v>
      </c>
      <c r="Q328" s="76">
        <f ca="1">IFERROR(__xludf.DUMMYFUNCTION("IMPORTRANGE(""https://docs.google.com/spreadsheets/d/13wPX838HrBrQMCywv1BsuMkt4PEKTChp52zj44s2izQ/edit?usp=sharing"",""กาญจนบุรี!Q327"")+IMPORTRANGE(""https://docs.google.com/spreadsheets/d/1ddFKvqj1W1NEiWytbGlB1zMx_ykJDVtmfEQ-6-lIUBA/edit?usp=sharing"","&amp;"""จันทบุรี!Q327"")+IMPORTRANGE(""https://docs.google.com/spreadsheets/d/1T1PQvRODqOBZk8BRht_U031fIS1beLA0Ub2CEytj2q0/edit?usp=sharing"",""ฉะเชิงเทรา!Q327"")+IMPORTRANGE(""https://docs.google.com/spreadsheets/d/11tr1B-Bhyr79v2bkwVh5h_fR-PStkgjlZtkrZpYurG0/"&amp;"edit?usp=sharing"",""ชลบุรี!Q327"")+IMPORTRANGE(""https://docs.google.com/spreadsheets/d/1hh-FVnSX0vozXhGluamEcS54Dw9_zqW0N7qJUWgJ0Sw/edit?usp=sharing"",""ชัยนาท!Q327"")+IMPORTRANGE(""https://docs.google.com/spreadsheets/d/1jkqa6GXxSacMcY1eN8AHjMNJ_7dDXMJ"&amp;"VRLDlaFSOdPM/edit?usp=sharing"",""ตราด!Q327"")+IMPORTRANGE(""https://docs.google.com/spreadsheets/d/18hSgUJ3VwClqi_qtULmmW3cLr0oe3OKaSYoKzdpTsYQ/edit?usp=sharing"",""นครนายก!Q327"")+IMPORTRANGE(""https://docs.google.com/spreadsheets/d/1YTZo6WM2dQ6Ix6FSdnL"&amp;"5P7uVnVKu40sxZu975tgG10E/edit?usp=sharing"",""นครปฐม!Q327"")+IMPORTRANGE(""https://docs.google.com/spreadsheets/d/1OYoGg4WDg5RIzwGeB10padOxJF9E_Vljuvvct_M7RDo/edit?usp=sharing"",""ปทุมธานี!Q327"")+IMPORTRANGE(""https://docs.google.com/spreadsheets/d/1GbCI"&amp;"E4D4wk9FUozzqk7SxfDMxDVBwVmI5zcaVUSzKAc/edit?usp=sharing"",""ประจวบคีรีขันธ์!Q327"")+IMPORTRANGE(""https://docs.google.com/spreadsheets/d/1vVf6wykvW_lAyu7Yo9L4hUTqHqIeP_qcVuxCtosJEbg/edit?usp=sharing"",""ปราจีนบุรี!Q327"")+IMPORTRANGE(""https://docs.googl"&amp;"e.com/spreadsheets/d/1BIDqLLg5jk3v59G8NlR8rk5xfQDKne0sAvZHSj7TI6I/edit?usp=sharing"",""พระนครศรีอยุธยา!Q327"")+IMPORTRANGE(""https://docs.google.com/spreadsheets/d/1YXvxf8Yu6_rV4hTBrwMqAcAnv6DfhUxh5emyM3CJp_w/edit?usp=sharing"",""เพชรบุรี!Q327"")+IMPORTRA"&amp;"NGE(""https://docs.google.com/spreadsheets/d/19KBlQQs7uwvsao6t2n-KvW3Ax8J8uRRfZPq1zPbXgKc/edit?usp=sharing"",""ระยอง!Q327"")+IMPORTRANGE(""https://docs.google.com/spreadsheets/d/1jQ6P4QcrGM89YfqcC_PxOHGCMq5ezhucwJd8ci-NHng/edit?usp=sharing"",""ราชบุรี!Q32"&amp;"7"")+IMPORTRANGE(""https://docs.google.com/spreadsheets/d/1lufeA2cfFqM-elVq2hznhDzC6Pr7wkJ9ZG_sYNGCMCU/edit?usp=sharing"",""ลพบุรี!Q327"")+IMPORTRANGE(""https://docs.google.com/spreadsheets/d/10oOiF7loTyfsTkbd4MpaIm0HQ9SwB7IYHdIUvt-U1Uc/edit?usp=sharing"""&amp;",""สระแก้ว!Q327"")+IMPORTRANGE(""https://docs.google.com/spreadsheets/d/1xmPlrr1QbdSIKvl1dWUl9K4PjAfSL9oeMr_37QVzcxc/edit?usp=sharing"",""สระบุรี!Q327"")+IMPORTRANGE(""https://docs.google.com/spreadsheets/d/1j51vR6CYVGhABJpv6tkstgok82RLpXieLzW1yOY5rHw/edi"&amp;"t?usp=sharing"",""สิงห์บุรี!Q327"")+IMPORTRANGE(""https://docs.google.com/spreadsheets/d/1H1EalTWKUSzO4Z1-1CwzoDUaVffgrThEBe2sl74kKG0/edit?usp=sharing"",""สุพรรณบุรี!Q327"")+IMPORTRANGE(""https://docs.google.com/spreadsheets/d/1BmIruG_sIrJLYao_Pdr7zVArWsf"&amp;"oBt2692TMi6x_854/edit?usp=sharing"",""อ่างทอง!Q327"")"),0)</f>
        <v>0</v>
      </c>
      <c r="R328" s="77">
        <f ca="1">IFERROR(__xludf.DUMMYFUNCTION("IMPORTRANGE(""https://docs.google.com/spreadsheets/d/13wPX838HrBrQMCywv1BsuMkt4PEKTChp52zj44s2izQ/edit?usp=sharing"",""กาญจนบุรี!R327"")+IMPORTRANGE(""https://docs.google.com/spreadsheets/d/1ddFKvqj1W1NEiWytbGlB1zMx_ykJDVtmfEQ-6-lIUBA/edit?usp=sharing"","&amp;"""จันทบุรี!R327"")+IMPORTRANGE(""https://docs.google.com/spreadsheets/d/1T1PQvRODqOBZk8BRht_U031fIS1beLA0Ub2CEytj2q0/edit?usp=sharing"",""ฉะเชิงเทรา!R327"")+IMPORTRANGE(""https://docs.google.com/spreadsheets/d/11tr1B-Bhyr79v2bkwVh5h_fR-PStkgjlZtkrZpYurG0/"&amp;"edit?usp=sharing"",""ชลบุรี!R327"")+IMPORTRANGE(""https://docs.google.com/spreadsheets/d/1hh-FVnSX0vozXhGluamEcS54Dw9_zqW0N7qJUWgJ0Sw/edit?usp=sharing"",""ชัยนาท!R327"")+IMPORTRANGE(""https://docs.google.com/spreadsheets/d/1jkqa6GXxSacMcY1eN8AHjMNJ_7dDXMJ"&amp;"VRLDlaFSOdPM/edit?usp=sharing"",""ตราด!R327"")+IMPORTRANGE(""https://docs.google.com/spreadsheets/d/18hSgUJ3VwClqi_qtULmmW3cLr0oe3OKaSYoKzdpTsYQ/edit?usp=sharing"",""นครนายก!R327"")+IMPORTRANGE(""https://docs.google.com/spreadsheets/d/1YTZo6WM2dQ6Ix6FSdnL"&amp;"5P7uVnVKu40sxZu975tgG10E/edit?usp=sharing"",""นครปฐม!R327"")+IMPORTRANGE(""https://docs.google.com/spreadsheets/d/1OYoGg4WDg5RIzwGeB10padOxJF9E_Vljuvvct_M7RDo/edit?usp=sharing"",""ปทุมธานี!R327"")+IMPORTRANGE(""https://docs.google.com/spreadsheets/d/1GbCI"&amp;"E4D4wk9FUozzqk7SxfDMxDVBwVmI5zcaVUSzKAc/edit?usp=sharing"",""ประจวบคีรีขันธ์!R327"")+IMPORTRANGE(""https://docs.google.com/spreadsheets/d/1vVf6wykvW_lAyu7Yo9L4hUTqHqIeP_qcVuxCtosJEbg/edit?usp=sharing"",""ปราจีนบุรี!R327"")+IMPORTRANGE(""https://docs.googl"&amp;"e.com/spreadsheets/d/1BIDqLLg5jk3v59G8NlR8rk5xfQDKne0sAvZHSj7TI6I/edit?usp=sharing"",""พระนครศรีอยุธยา!R327"")+IMPORTRANGE(""https://docs.google.com/spreadsheets/d/1YXvxf8Yu6_rV4hTBrwMqAcAnv6DfhUxh5emyM3CJp_w/edit?usp=sharing"",""เพชรบุรี!R327"")+IMPORTRA"&amp;"NGE(""https://docs.google.com/spreadsheets/d/19KBlQQs7uwvsao6t2n-KvW3Ax8J8uRRfZPq1zPbXgKc/edit?usp=sharing"",""ระยอง!R327"")+IMPORTRANGE(""https://docs.google.com/spreadsheets/d/1jQ6P4QcrGM89YfqcC_PxOHGCMq5ezhucwJd8ci-NHng/edit?usp=sharing"",""ราชบุรี!R32"&amp;"7"")+IMPORTRANGE(""https://docs.google.com/spreadsheets/d/1lufeA2cfFqM-elVq2hznhDzC6Pr7wkJ9ZG_sYNGCMCU/edit?usp=sharing"",""ลพบุรี!R327"")+IMPORTRANGE(""https://docs.google.com/spreadsheets/d/10oOiF7loTyfsTkbd4MpaIm0HQ9SwB7IYHdIUvt-U1Uc/edit?usp=sharing"""&amp;",""สระแก้ว!R327"")+IMPORTRANGE(""https://docs.google.com/spreadsheets/d/1xmPlrr1QbdSIKvl1dWUl9K4PjAfSL9oeMr_37QVzcxc/edit?usp=sharing"",""สระบุรี!R327"")+IMPORTRANGE(""https://docs.google.com/spreadsheets/d/1j51vR6CYVGhABJpv6tkstgok82RLpXieLzW1yOY5rHw/edi"&amp;"t?usp=sharing"",""สิงห์บุรี!R327"")+IMPORTRANGE(""https://docs.google.com/spreadsheets/d/1H1EalTWKUSzO4Z1-1CwzoDUaVffgrThEBe2sl74kKG0/edit?usp=sharing"",""สุพรรณบุรี!R327"")+IMPORTRANGE(""https://docs.google.com/spreadsheets/d/1BmIruG_sIrJLYao_Pdr7zVArWsf"&amp;"oBt2692TMi6x_854/edit?usp=sharing"",""อ่างทอง!R327"")"),0)</f>
        <v>0</v>
      </c>
      <c r="S328" s="77">
        <f ca="1">IFERROR(__xludf.DUMMYFUNCTION("IMPORTRANGE(""https://docs.google.com/spreadsheets/d/13wPX838HrBrQMCywv1BsuMkt4PEKTChp52zj44s2izQ/edit?usp=sharing"",""กาญจนบุรี!S327"")+IMPORTRANGE(""https://docs.google.com/spreadsheets/d/1ddFKvqj1W1NEiWytbGlB1zMx_ykJDVtmfEQ-6-lIUBA/edit?usp=sharing"","&amp;"""จันทบุรี!S327"")+IMPORTRANGE(""https://docs.google.com/spreadsheets/d/1T1PQvRODqOBZk8BRht_U031fIS1beLA0Ub2CEytj2q0/edit?usp=sharing"",""ฉะเชิงเทรา!S327"")+IMPORTRANGE(""https://docs.google.com/spreadsheets/d/11tr1B-Bhyr79v2bkwVh5h_fR-PStkgjlZtkrZpYurG0/"&amp;"edit?usp=sharing"",""ชลบุรี!S327"")+IMPORTRANGE(""https://docs.google.com/spreadsheets/d/1hh-FVnSX0vozXhGluamEcS54Dw9_zqW0N7qJUWgJ0Sw/edit?usp=sharing"",""ชัยนาท!S327"")+IMPORTRANGE(""https://docs.google.com/spreadsheets/d/1jkqa6GXxSacMcY1eN8AHjMNJ_7dDXMJ"&amp;"VRLDlaFSOdPM/edit?usp=sharing"",""ตราด!S327"")+IMPORTRANGE(""https://docs.google.com/spreadsheets/d/18hSgUJ3VwClqi_qtULmmW3cLr0oe3OKaSYoKzdpTsYQ/edit?usp=sharing"",""นครนายก!S327"")+IMPORTRANGE(""https://docs.google.com/spreadsheets/d/1YTZo6WM2dQ6Ix6FSdnL"&amp;"5P7uVnVKu40sxZu975tgG10E/edit?usp=sharing"",""นครปฐม!S327"")+IMPORTRANGE(""https://docs.google.com/spreadsheets/d/1OYoGg4WDg5RIzwGeB10padOxJF9E_Vljuvvct_M7RDo/edit?usp=sharing"",""ปทุมธานี!S327"")+IMPORTRANGE(""https://docs.google.com/spreadsheets/d/1GbCI"&amp;"E4D4wk9FUozzqk7SxfDMxDVBwVmI5zcaVUSzKAc/edit?usp=sharing"",""ประจวบคีรีขันธ์!S327"")+IMPORTRANGE(""https://docs.google.com/spreadsheets/d/1vVf6wykvW_lAyu7Yo9L4hUTqHqIeP_qcVuxCtosJEbg/edit?usp=sharing"",""ปราจีนบุรี!S327"")+IMPORTRANGE(""https://docs.googl"&amp;"e.com/spreadsheets/d/1BIDqLLg5jk3v59G8NlR8rk5xfQDKne0sAvZHSj7TI6I/edit?usp=sharing"",""พระนครศรีอยุธยา!S327"")+IMPORTRANGE(""https://docs.google.com/spreadsheets/d/1YXvxf8Yu6_rV4hTBrwMqAcAnv6DfhUxh5emyM3CJp_w/edit?usp=sharing"",""เพชรบุรี!S327"")+IMPORTRA"&amp;"NGE(""https://docs.google.com/spreadsheets/d/19KBlQQs7uwvsao6t2n-KvW3Ax8J8uRRfZPq1zPbXgKc/edit?usp=sharing"",""ระยอง!S327"")+IMPORTRANGE(""https://docs.google.com/spreadsheets/d/1jQ6P4QcrGM89YfqcC_PxOHGCMq5ezhucwJd8ci-NHng/edit?usp=sharing"",""ราชบุรี!S32"&amp;"7"")+IMPORTRANGE(""https://docs.google.com/spreadsheets/d/1lufeA2cfFqM-elVq2hznhDzC6Pr7wkJ9ZG_sYNGCMCU/edit?usp=sharing"",""ลพบุรี!S327"")+IMPORTRANGE(""https://docs.google.com/spreadsheets/d/10oOiF7loTyfsTkbd4MpaIm0HQ9SwB7IYHdIUvt-U1Uc/edit?usp=sharing"""&amp;",""สระแก้ว!S327"")+IMPORTRANGE(""https://docs.google.com/spreadsheets/d/1xmPlrr1QbdSIKvl1dWUl9K4PjAfSL9oeMr_37QVzcxc/edit?usp=sharing"",""สระบุรี!S327"")+IMPORTRANGE(""https://docs.google.com/spreadsheets/d/1j51vR6CYVGhABJpv6tkstgok82RLpXieLzW1yOY5rHw/edi"&amp;"t?usp=sharing"",""สิงห์บุรี!S327"")+IMPORTRANGE(""https://docs.google.com/spreadsheets/d/1H1EalTWKUSzO4Z1-1CwzoDUaVffgrThEBe2sl74kKG0/edit?usp=sharing"",""สุพรรณบุรี!S327"")+IMPORTRANGE(""https://docs.google.com/spreadsheets/d/1BmIruG_sIrJLYao_Pdr7zVArWsf"&amp;"oBt2692TMi6x_854/edit?usp=sharing"",""อ่างทอง!S327"")"),0)</f>
        <v>0</v>
      </c>
      <c r="T328" s="133">
        <f t="shared" ca="1" si="234"/>
        <v>0</v>
      </c>
      <c r="U328" s="133">
        <f t="shared" ca="1" si="235"/>
        <v>0</v>
      </c>
    </row>
    <row r="329" spans="1:21" ht="18.75" x14ac:dyDescent="0.25">
      <c r="A329" s="209"/>
      <c r="B329" s="67"/>
      <c r="C329" s="67"/>
      <c r="D329" s="67"/>
      <c r="E329" s="75" t="s">
        <v>21</v>
      </c>
      <c r="F329" s="67"/>
      <c r="G329" s="69"/>
      <c r="H329" s="221" t="s">
        <v>14</v>
      </c>
      <c r="I329" s="219"/>
      <c r="J329" s="219"/>
      <c r="K329" s="220"/>
      <c r="L329" s="88">
        <f ca="1">IFERROR(__xludf.DUMMYFUNCTION("IMPORTRANGE(""https://docs.google.com/spreadsheets/d/13wPX838HrBrQMCywv1BsuMkt4PEKTChp52zj44s2izQ/edit?usp=sharing"",""กาญจนบุรี!L328"")+IMPORTRANGE(""https://docs.google.com/spreadsheets/d/1ddFKvqj1W1NEiWytbGlB1zMx_ykJDVtmfEQ-6-lIUBA/edit?usp=sharing"","&amp;"""จันทบุรี!L328"")+IMPORTRANGE(""https://docs.google.com/spreadsheets/d/1T1PQvRODqOBZk8BRht_U031fIS1beLA0Ub2CEytj2q0/edit?usp=sharing"",""ฉะเชิงเทรา!L328"")+IMPORTRANGE(""https://docs.google.com/spreadsheets/d/11tr1B-Bhyr79v2bkwVh5h_fR-PStkgjlZtkrZpYurG0/"&amp;"edit?usp=sharing"",""ชลบุรี!L328"")+IMPORTRANGE(""https://docs.google.com/spreadsheets/d/1hh-FVnSX0vozXhGluamEcS54Dw9_zqW0N7qJUWgJ0Sw/edit?usp=sharing"",""ชัยนาท!L328"")+IMPORTRANGE(""https://docs.google.com/spreadsheets/d/1jkqa6GXxSacMcY1eN8AHjMNJ_7dDXMJ"&amp;"VRLDlaFSOdPM/edit?usp=sharing"",""ตราด!L328"")+IMPORTRANGE(""https://docs.google.com/spreadsheets/d/18hSgUJ3VwClqi_qtULmmW3cLr0oe3OKaSYoKzdpTsYQ/edit?usp=sharing"",""นครนายก!L328"")+IMPORTRANGE(""https://docs.google.com/spreadsheets/d/1YTZo6WM2dQ6Ix6FSdnL"&amp;"5P7uVnVKu40sxZu975tgG10E/edit?usp=sharing"",""นครปฐม!L328"")+IMPORTRANGE(""https://docs.google.com/spreadsheets/d/1OYoGg4WDg5RIzwGeB10padOxJF9E_Vljuvvct_M7RDo/edit?usp=sharing"",""ปทุมธานี!L328"")+IMPORTRANGE(""https://docs.google.com/spreadsheets/d/1GbCI"&amp;"E4D4wk9FUozzqk7SxfDMxDVBwVmI5zcaVUSzKAc/edit?usp=sharing"",""ประจวบคีรีขันธ์!L328"")+IMPORTRANGE(""https://docs.google.com/spreadsheets/d/1vVf6wykvW_lAyu7Yo9L4hUTqHqIeP_qcVuxCtosJEbg/edit?usp=sharing"",""ปราจีนบุรี!L328"")+IMPORTRANGE(""https://docs.googl"&amp;"e.com/spreadsheets/d/1BIDqLLg5jk3v59G8NlR8rk5xfQDKne0sAvZHSj7TI6I/edit?usp=sharing"",""พระนครศรีอยุธยา!L328"")+IMPORTRANGE(""https://docs.google.com/spreadsheets/d/1YXvxf8Yu6_rV4hTBrwMqAcAnv6DfhUxh5emyM3CJp_w/edit?usp=sharing"",""เพชรบุรี!L328"")+IMPORTRA"&amp;"NGE(""https://docs.google.com/spreadsheets/d/19KBlQQs7uwvsao6t2n-KvW3Ax8J8uRRfZPq1zPbXgKc/edit?usp=sharing"",""ระยอง!L328"")+IMPORTRANGE(""https://docs.google.com/spreadsheets/d/1jQ6P4QcrGM89YfqcC_PxOHGCMq5ezhucwJd8ci-NHng/edit?usp=sharing"",""ราชบุรี!L32"&amp;"8"")+IMPORTRANGE(""https://docs.google.com/spreadsheets/d/1lufeA2cfFqM-elVq2hznhDzC6Pr7wkJ9ZG_sYNGCMCU/edit?usp=sharing"",""ลพบุรี!L328"")+IMPORTRANGE(""https://docs.google.com/spreadsheets/d/10oOiF7loTyfsTkbd4MpaIm0HQ9SwB7IYHdIUvt-U1Uc/edit?usp=sharing"""&amp;",""สระแก้ว!L328"")+IMPORTRANGE(""https://docs.google.com/spreadsheets/d/1xmPlrr1QbdSIKvl1dWUl9K4PjAfSL9oeMr_37QVzcxc/edit?usp=sharing"",""สระบุรี!L328"")+IMPORTRANGE(""https://docs.google.com/spreadsheets/d/1j51vR6CYVGhABJpv6tkstgok82RLpXieLzW1yOY5rHw/edi"&amp;"t?usp=sharing"",""สิงห์บุรี!L328"")+IMPORTRANGE(""https://docs.google.com/spreadsheets/d/1H1EalTWKUSzO4Z1-1CwzoDUaVffgrThEBe2sl74kKG0/edit?usp=sharing"",""สุพรรณบุรี!L328"")+IMPORTRANGE(""https://docs.google.com/spreadsheets/d/1BmIruG_sIrJLYao_Pdr7zVArWsf"&amp;"oBt2692TMi6x_854/edit?usp=sharing"",""อ่างทอง!L328"")"),0)</f>
        <v>0</v>
      </c>
      <c r="M329" s="88">
        <f ca="1">IFERROR(__xludf.DUMMYFUNCTION("IMPORTRANGE(""https://docs.google.com/spreadsheets/d/13wPX838HrBrQMCywv1BsuMkt4PEKTChp52zj44s2izQ/edit?usp=sharing"",""กาญจนบุรี!M328"")+IMPORTRANGE(""https://docs.google.com/spreadsheets/d/1ddFKvqj1W1NEiWytbGlB1zMx_ykJDVtmfEQ-6-lIUBA/edit?usp=sharing"","&amp;"""จันทบุรี!M328"")+IMPORTRANGE(""https://docs.google.com/spreadsheets/d/1T1PQvRODqOBZk8BRht_U031fIS1beLA0Ub2CEytj2q0/edit?usp=sharing"",""ฉะเชิงเทรา!M328"")+IMPORTRANGE(""https://docs.google.com/spreadsheets/d/11tr1B-Bhyr79v2bkwVh5h_fR-PStkgjlZtkrZpYurG0/"&amp;"edit?usp=sharing"",""ชลบุรี!M328"")+IMPORTRANGE(""https://docs.google.com/spreadsheets/d/1hh-FVnSX0vozXhGluamEcS54Dw9_zqW0N7qJUWgJ0Sw/edit?usp=sharing"",""ชัยนาท!M328"")+IMPORTRANGE(""https://docs.google.com/spreadsheets/d/1jkqa6GXxSacMcY1eN8AHjMNJ_7dDXMJ"&amp;"VRLDlaFSOdPM/edit?usp=sharing"",""ตราด!M328"")+IMPORTRANGE(""https://docs.google.com/spreadsheets/d/18hSgUJ3VwClqi_qtULmmW3cLr0oe3OKaSYoKzdpTsYQ/edit?usp=sharing"",""นครนายก!M328"")+IMPORTRANGE(""https://docs.google.com/spreadsheets/d/1YTZo6WM2dQ6Ix6FSdnL"&amp;"5P7uVnVKu40sxZu975tgG10E/edit?usp=sharing"",""นครปฐม!M328"")+IMPORTRANGE(""https://docs.google.com/spreadsheets/d/1OYoGg4WDg5RIzwGeB10padOxJF9E_Vljuvvct_M7RDo/edit?usp=sharing"",""ปทุมธานี!M328"")+IMPORTRANGE(""https://docs.google.com/spreadsheets/d/1GbCI"&amp;"E4D4wk9FUozzqk7SxfDMxDVBwVmI5zcaVUSzKAc/edit?usp=sharing"",""ประจวบคีรีขันธ์!M328"")+IMPORTRANGE(""https://docs.google.com/spreadsheets/d/1vVf6wykvW_lAyu7Yo9L4hUTqHqIeP_qcVuxCtosJEbg/edit?usp=sharing"",""ปราจีนบุรี!M328"")+IMPORTRANGE(""https://docs.googl"&amp;"e.com/spreadsheets/d/1BIDqLLg5jk3v59G8NlR8rk5xfQDKne0sAvZHSj7TI6I/edit?usp=sharing"",""พระนครศรีอยุธยา!M328"")+IMPORTRANGE(""https://docs.google.com/spreadsheets/d/1YXvxf8Yu6_rV4hTBrwMqAcAnv6DfhUxh5emyM3CJp_w/edit?usp=sharing"",""เพชรบุรี!M328"")+IMPORTRA"&amp;"NGE(""https://docs.google.com/spreadsheets/d/19KBlQQs7uwvsao6t2n-KvW3Ax8J8uRRfZPq1zPbXgKc/edit?usp=sharing"",""ระยอง!M328"")+IMPORTRANGE(""https://docs.google.com/spreadsheets/d/1jQ6P4QcrGM89YfqcC_PxOHGCMq5ezhucwJd8ci-NHng/edit?usp=sharing"",""ราชบุรี!M32"&amp;"8"")+IMPORTRANGE(""https://docs.google.com/spreadsheets/d/1lufeA2cfFqM-elVq2hznhDzC6Pr7wkJ9ZG_sYNGCMCU/edit?usp=sharing"",""ลพบุรี!M328"")+IMPORTRANGE(""https://docs.google.com/spreadsheets/d/10oOiF7loTyfsTkbd4MpaIm0HQ9SwB7IYHdIUvt-U1Uc/edit?usp=sharing"""&amp;",""สระแก้ว!M328"")+IMPORTRANGE(""https://docs.google.com/spreadsheets/d/1xmPlrr1QbdSIKvl1dWUl9K4PjAfSL9oeMr_37QVzcxc/edit?usp=sharing"",""สระบุรี!M328"")+IMPORTRANGE(""https://docs.google.com/spreadsheets/d/1j51vR6CYVGhABJpv6tkstgok82RLpXieLzW1yOY5rHw/edi"&amp;"t?usp=sharing"",""สิงห์บุรี!M328"")+IMPORTRANGE(""https://docs.google.com/spreadsheets/d/1H1EalTWKUSzO4Z1-1CwzoDUaVffgrThEBe2sl74kKG0/edit?usp=sharing"",""สุพรรณบุรี!M328"")+IMPORTRANGE(""https://docs.google.com/spreadsheets/d/1BmIruG_sIrJLYao_Pdr7zVArWsf"&amp;"oBt2692TMi6x_854/edit?usp=sharing"",""อ่างทอง!M328"")"),0)</f>
        <v>0</v>
      </c>
      <c r="N329" s="88">
        <f ca="1">IFERROR(__xludf.DUMMYFUNCTION("IMPORTRANGE(""https://docs.google.com/spreadsheets/d/13wPX838HrBrQMCywv1BsuMkt4PEKTChp52zj44s2izQ/edit?usp=sharing"",""กาญจนบุรี!N328"")+IMPORTRANGE(""https://docs.google.com/spreadsheets/d/1ddFKvqj1W1NEiWytbGlB1zMx_ykJDVtmfEQ-6-lIUBA/edit?usp=sharing"","&amp;"""จันทบุรี!N328"")+IMPORTRANGE(""https://docs.google.com/spreadsheets/d/1T1PQvRODqOBZk8BRht_U031fIS1beLA0Ub2CEytj2q0/edit?usp=sharing"",""ฉะเชิงเทรา!N328"")+IMPORTRANGE(""https://docs.google.com/spreadsheets/d/11tr1B-Bhyr79v2bkwVh5h_fR-PStkgjlZtkrZpYurG0/"&amp;"edit?usp=sharing"",""ชลบุรี!N328"")+IMPORTRANGE(""https://docs.google.com/spreadsheets/d/1hh-FVnSX0vozXhGluamEcS54Dw9_zqW0N7qJUWgJ0Sw/edit?usp=sharing"",""ชัยนาท!N328"")+IMPORTRANGE(""https://docs.google.com/spreadsheets/d/1jkqa6GXxSacMcY1eN8AHjMNJ_7dDXMJ"&amp;"VRLDlaFSOdPM/edit?usp=sharing"",""ตราด!N328"")+IMPORTRANGE(""https://docs.google.com/spreadsheets/d/18hSgUJ3VwClqi_qtULmmW3cLr0oe3OKaSYoKzdpTsYQ/edit?usp=sharing"",""นครนายก!N328"")+IMPORTRANGE(""https://docs.google.com/spreadsheets/d/1YTZo6WM2dQ6Ix6FSdnL"&amp;"5P7uVnVKu40sxZu975tgG10E/edit?usp=sharing"",""นครปฐม!N328"")+IMPORTRANGE(""https://docs.google.com/spreadsheets/d/1OYoGg4WDg5RIzwGeB10padOxJF9E_Vljuvvct_M7RDo/edit?usp=sharing"",""ปทุมธานี!N328"")+IMPORTRANGE(""https://docs.google.com/spreadsheets/d/1GbCI"&amp;"E4D4wk9FUozzqk7SxfDMxDVBwVmI5zcaVUSzKAc/edit?usp=sharing"",""ประจวบคีรีขันธ์!N328"")+IMPORTRANGE(""https://docs.google.com/spreadsheets/d/1vVf6wykvW_lAyu7Yo9L4hUTqHqIeP_qcVuxCtosJEbg/edit?usp=sharing"",""ปราจีนบุรี!N328"")+IMPORTRANGE(""https://docs.googl"&amp;"e.com/spreadsheets/d/1BIDqLLg5jk3v59G8NlR8rk5xfQDKne0sAvZHSj7TI6I/edit?usp=sharing"",""พระนครศรีอยุธยา!N328"")+IMPORTRANGE(""https://docs.google.com/spreadsheets/d/1YXvxf8Yu6_rV4hTBrwMqAcAnv6DfhUxh5emyM3CJp_w/edit?usp=sharing"",""เพชรบุรี!N328"")+IMPORTRA"&amp;"NGE(""https://docs.google.com/spreadsheets/d/19KBlQQs7uwvsao6t2n-KvW3Ax8J8uRRfZPq1zPbXgKc/edit?usp=sharing"",""ระยอง!N328"")+IMPORTRANGE(""https://docs.google.com/spreadsheets/d/1jQ6P4QcrGM89YfqcC_PxOHGCMq5ezhucwJd8ci-NHng/edit?usp=sharing"",""ราชบุรี!N32"&amp;"8"")+IMPORTRANGE(""https://docs.google.com/spreadsheets/d/1lufeA2cfFqM-elVq2hznhDzC6Pr7wkJ9ZG_sYNGCMCU/edit?usp=sharing"",""ลพบุรี!N328"")+IMPORTRANGE(""https://docs.google.com/spreadsheets/d/10oOiF7loTyfsTkbd4MpaIm0HQ9SwB7IYHdIUvt-U1Uc/edit?usp=sharing"""&amp;",""สระแก้ว!N328"")+IMPORTRANGE(""https://docs.google.com/spreadsheets/d/1xmPlrr1QbdSIKvl1dWUl9K4PjAfSL9oeMr_37QVzcxc/edit?usp=sharing"",""สระบุรี!N328"")+IMPORTRANGE(""https://docs.google.com/spreadsheets/d/1j51vR6CYVGhABJpv6tkstgok82RLpXieLzW1yOY5rHw/edi"&amp;"t?usp=sharing"",""สิงห์บุรี!N328"")+IMPORTRANGE(""https://docs.google.com/spreadsheets/d/1H1EalTWKUSzO4Z1-1CwzoDUaVffgrThEBe2sl74kKG0/edit?usp=sharing"",""สุพรรณบุรี!N328"")+IMPORTRANGE(""https://docs.google.com/spreadsheets/d/1BmIruG_sIrJLYao_Pdr7zVArWsf"&amp;"oBt2692TMi6x_854/edit?usp=sharing"",""อ่างทอง!N328"")"),0)</f>
        <v>0</v>
      </c>
      <c r="O329" s="88">
        <f t="shared" ca="1" si="231"/>
        <v>0</v>
      </c>
      <c r="P329" s="88">
        <f t="shared" ca="1" si="232"/>
        <v>0</v>
      </c>
      <c r="Q329" s="73">
        <f ca="1">IFERROR(__xludf.DUMMYFUNCTION("IMPORTRANGE(""https://docs.google.com/spreadsheets/d/13wPX838HrBrQMCywv1BsuMkt4PEKTChp52zj44s2izQ/edit?usp=sharing"",""กาญจนบุรี!Q328"")+IMPORTRANGE(""https://docs.google.com/spreadsheets/d/1ddFKvqj1W1NEiWytbGlB1zMx_ykJDVtmfEQ-6-lIUBA/edit?usp=sharing"","&amp;"""จันทบุรี!Q328"")+IMPORTRANGE(""https://docs.google.com/spreadsheets/d/1T1PQvRODqOBZk8BRht_U031fIS1beLA0Ub2CEytj2q0/edit?usp=sharing"",""ฉะเชิงเทรา!Q328"")+IMPORTRANGE(""https://docs.google.com/spreadsheets/d/11tr1B-Bhyr79v2bkwVh5h_fR-PStkgjlZtkrZpYurG0/"&amp;"edit?usp=sharing"",""ชลบุรี!Q328"")+IMPORTRANGE(""https://docs.google.com/spreadsheets/d/1hh-FVnSX0vozXhGluamEcS54Dw9_zqW0N7qJUWgJ0Sw/edit?usp=sharing"",""ชัยนาท!Q328"")+IMPORTRANGE(""https://docs.google.com/spreadsheets/d/1jkqa6GXxSacMcY1eN8AHjMNJ_7dDXMJ"&amp;"VRLDlaFSOdPM/edit?usp=sharing"",""ตราด!Q328"")+IMPORTRANGE(""https://docs.google.com/spreadsheets/d/18hSgUJ3VwClqi_qtULmmW3cLr0oe3OKaSYoKzdpTsYQ/edit?usp=sharing"",""นครนายก!Q328"")+IMPORTRANGE(""https://docs.google.com/spreadsheets/d/1YTZo6WM2dQ6Ix6FSdnL"&amp;"5P7uVnVKu40sxZu975tgG10E/edit?usp=sharing"",""นครปฐม!Q328"")+IMPORTRANGE(""https://docs.google.com/spreadsheets/d/1OYoGg4WDg5RIzwGeB10padOxJF9E_Vljuvvct_M7RDo/edit?usp=sharing"",""ปทุมธานี!Q328"")+IMPORTRANGE(""https://docs.google.com/spreadsheets/d/1GbCI"&amp;"E4D4wk9FUozzqk7SxfDMxDVBwVmI5zcaVUSzKAc/edit?usp=sharing"",""ประจวบคีรีขันธ์!Q328"")+IMPORTRANGE(""https://docs.google.com/spreadsheets/d/1vVf6wykvW_lAyu7Yo9L4hUTqHqIeP_qcVuxCtosJEbg/edit?usp=sharing"",""ปราจีนบุรี!Q328"")+IMPORTRANGE(""https://docs.googl"&amp;"e.com/spreadsheets/d/1BIDqLLg5jk3v59G8NlR8rk5xfQDKne0sAvZHSj7TI6I/edit?usp=sharing"",""พระนครศรีอยุธยา!Q328"")+IMPORTRANGE(""https://docs.google.com/spreadsheets/d/1YXvxf8Yu6_rV4hTBrwMqAcAnv6DfhUxh5emyM3CJp_w/edit?usp=sharing"",""เพชรบุรี!Q328"")+IMPORTRA"&amp;"NGE(""https://docs.google.com/spreadsheets/d/19KBlQQs7uwvsao6t2n-KvW3Ax8J8uRRfZPq1zPbXgKc/edit?usp=sharing"",""ระยอง!Q328"")+IMPORTRANGE(""https://docs.google.com/spreadsheets/d/1jQ6P4QcrGM89YfqcC_PxOHGCMq5ezhucwJd8ci-NHng/edit?usp=sharing"",""ราชบุรี!Q32"&amp;"8"")+IMPORTRANGE(""https://docs.google.com/spreadsheets/d/1lufeA2cfFqM-elVq2hznhDzC6Pr7wkJ9ZG_sYNGCMCU/edit?usp=sharing"",""ลพบุรี!Q328"")+IMPORTRANGE(""https://docs.google.com/spreadsheets/d/10oOiF7loTyfsTkbd4MpaIm0HQ9SwB7IYHdIUvt-U1Uc/edit?usp=sharing"""&amp;",""สระแก้ว!Q328"")+IMPORTRANGE(""https://docs.google.com/spreadsheets/d/1xmPlrr1QbdSIKvl1dWUl9K4PjAfSL9oeMr_37QVzcxc/edit?usp=sharing"",""สระบุรี!Q328"")+IMPORTRANGE(""https://docs.google.com/spreadsheets/d/1j51vR6CYVGhABJpv6tkstgok82RLpXieLzW1yOY5rHw/edi"&amp;"t?usp=sharing"",""สิงห์บุรี!Q328"")+IMPORTRANGE(""https://docs.google.com/spreadsheets/d/1H1EalTWKUSzO4Z1-1CwzoDUaVffgrThEBe2sl74kKG0/edit?usp=sharing"",""สุพรรณบุรี!Q328"")+IMPORTRANGE(""https://docs.google.com/spreadsheets/d/1BmIruG_sIrJLYao_Pdr7zVArWsf"&amp;"oBt2692TMi6x_854/edit?usp=sharing"",""อ่างทอง!Q328"")"),0)</f>
        <v>0</v>
      </c>
      <c r="R329" s="74">
        <f ca="1">IFERROR(__xludf.DUMMYFUNCTION("IMPORTRANGE(""https://docs.google.com/spreadsheets/d/13wPX838HrBrQMCywv1BsuMkt4PEKTChp52zj44s2izQ/edit?usp=sharing"",""กาญจนบุรี!R328"")+IMPORTRANGE(""https://docs.google.com/spreadsheets/d/1ddFKvqj1W1NEiWytbGlB1zMx_ykJDVtmfEQ-6-lIUBA/edit?usp=sharing"","&amp;"""จันทบุรี!R328"")+IMPORTRANGE(""https://docs.google.com/spreadsheets/d/1T1PQvRODqOBZk8BRht_U031fIS1beLA0Ub2CEytj2q0/edit?usp=sharing"",""ฉะเชิงเทรา!R328"")+IMPORTRANGE(""https://docs.google.com/spreadsheets/d/11tr1B-Bhyr79v2bkwVh5h_fR-PStkgjlZtkrZpYurG0/"&amp;"edit?usp=sharing"",""ชลบุรี!R328"")+IMPORTRANGE(""https://docs.google.com/spreadsheets/d/1hh-FVnSX0vozXhGluamEcS54Dw9_zqW0N7qJUWgJ0Sw/edit?usp=sharing"",""ชัยนาท!R328"")+IMPORTRANGE(""https://docs.google.com/spreadsheets/d/1jkqa6GXxSacMcY1eN8AHjMNJ_7dDXMJ"&amp;"VRLDlaFSOdPM/edit?usp=sharing"",""ตราด!R328"")+IMPORTRANGE(""https://docs.google.com/spreadsheets/d/18hSgUJ3VwClqi_qtULmmW3cLr0oe3OKaSYoKzdpTsYQ/edit?usp=sharing"",""นครนายก!R328"")+IMPORTRANGE(""https://docs.google.com/spreadsheets/d/1YTZo6WM2dQ6Ix6FSdnL"&amp;"5P7uVnVKu40sxZu975tgG10E/edit?usp=sharing"",""นครปฐม!R328"")+IMPORTRANGE(""https://docs.google.com/spreadsheets/d/1OYoGg4WDg5RIzwGeB10padOxJF9E_Vljuvvct_M7RDo/edit?usp=sharing"",""ปทุมธานี!R328"")+IMPORTRANGE(""https://docs.google.com/spreadsheets/d/1GbCI"&amp;"E4D4wk9FUozzqk7SxfDMxDVBwVmI5zcaVUSzKAc/edit?usp=sharing"",""ประจวบคีรีขันธ์!R328"")+IMPORTRANGE(""https://docs.google.com/spreadsheets/d/1vVf6wykvW_lAyu7Yo9L4hUTqHqIeP_qcVuxCtosJEbg/edit?usp=sharing"",""ปราจีนบุรี!R328"")+IMPORTRANGE(""https://docs.googl"&amp;"e.com/spreadsheets/d/1BIDqLLg5jk3v59G8NlR8rk5xfQDKne0sAvZHSj7TI6I/edit?usp=sharing"",""พระนครศรีอยุธยา!R328"")+IMPORTRANGE(""https://docs.google.com/spreadsheets/d/1YXvxf8Yu6_rV4hTBrwMqAcAnv6DfhUxh5emyM3CJp_w/edit?usp=sharing"",""เพชรบุรี!R328"")+IMPORTRA"&amp;"NGE(""https://docs.google.com/spreadsheets/d/19KBlQQs7uwvsao6t2n-KvW3Ax8J8uRRfZPq1zPbXgKc/edit?usp=sharing"",""ระยอง!R328"")+IMPORTRANGE(""https://docs.google.com/spreadsheets/d/1jQ6P4QcrGM89YfqcC_PxOHGCMq5ezhucwJd8ci-NHng/edit?usp=sharing"",""ราชบุรี!R32"&amp;"8"")+IMPORTRANGE(""https://docs.google.com/spreadsheets/d/1lufeA2cfFqM-elVq2hznhDzC6Pr7wkJ9ZG_sYNGCMCU/edit?usp=sharing"",""ลพบุรี!R328"")+IMPORTRANGE(""https://docs.google.com/spreadsheets/d/10oOiF7loTyfsTkbd4MpaIm0HQ9SwB7IYHdIUvt-U1Uc/edit?usp=sharing"""&amp;",""สระแก้ว!R328"")+IMPORTRANGE(""https://docs.google.com/spreadsheets/d/1xmPlrr1QbdSIKvl1dWUl9K4PjAfSL9oeMr_37QVzcxc/edit?usp=sharing"",""สระบุรี!R328"")+IMPORTRANGE(""https://docs.google.com/spreadsheets/d/1j51vR6CYVGhABJpv6tkstgok82RLpXieLzW1yOY5rHw/edi"&amp;"t?usp=sharing"",""สิงห์บุรี!R328"")+IMPORTRANGE(""https://docs.google.com/spreadsheets/d/1H1EalTWKUSzO4Z1-1CwzoDUaVffgrThEBe2sl74kKG0/edit?usp=sharing"",""สุพรรณบุรี!R328"")+IMPORTRANGE(""https://docs.google.com/spreadsheets/d/1BmIruG_sIrJLYao_Pdr7zVArWsf"&amp;"oBt2692TMi6x_854/edit?usp=sharing"",""อ่างทอง!R328"")"),0)</f>
        <v>0</v>
      </c>
      <c r="S329" s="74">
        <f ca="1">IFERROR(__xludf.DUMMYFUNCTION("IMPORTRANGE(""https://docs.google.com/spreadsheets/d/13wPX838HrBrQMCywv1BsuMkt4PEKTChp52zj44s2izQ/edit?usp=sharing"",""กาญจนบุรี!S328"")+IMPORTRANGE(""https://docs.google.com/spreadsheets/d/1ddFKvqj1W1NEiWytbGlB1zMx_ykJDVtmfEQ-6-lIUBA/edit?usp=sharing"","&amp;"""จันทบุรี!S328"")+IMPORTRANGE(""https://docs.google.com/spreadsheets/d/1T1PQvRODqOBZk8BRht_U031fIS1beLA0Ub2CEytj2q0/edit?usp=sharing"",""ฉะเชิงเทรา!S328"")+IMPORTRANGE(""https://docs.google.com/spreadsheets/d/11tr1B-Bhyr79v2bkwVh5h_fR-PStkgjlZtkrZpYurG0/"&amp;"edit?usp=sharing"",""ชลบุรี!S328"")+IMPORTRANGE(""https://docs.google.com/spreadsheets/d/1hh-FVnSX0vozXhGluamEcS54Dw9_zqW0N7qJUWgJ0Sw/edit?usp=sharing"",""ชัยนาท!S328"")+IMPORTRANGE(""https://docs.google.com/spreadsheets/d/1jkqa6GXxSacMcY1eN8AHjMNJ_7dDXMJ"&amp;"VRLDlaFSOdPM/edit?usp=sharing"",""ตราด!S328"")+IMPORTRANGE(""https://docs.google.com/spreadsheets/d/18hSgUJ3VwClqi_qtULmmW3cLr0oe3OKaSYoKzdpTsYQ/edit?usp=sharing"",""นครนายก!S328"")+IMPORTRANGE(""https://docs.google.com/spreadsheets/d/1YTZo6WM2dQ6Ix6FSdnL"&amp;"5P7uVnVKu40sxZu975tgG10E/edit?usp=sharing"",""นครปฐม!S328"")+IMPORTRANGE(""https://docs.google.com/spreadsheets/d/1OYoGg4WDg5RIzwGeB10padOxJF9E_Vljuvvct_M7RDo/edit?usp=sharing"",""ปทุมธานี!S328"")+IMPORTRANGE(""https://docs.google.com/spreadsheets/d/1GbCI"&amp;"E4D4wk9FUozzqk7SxfDMxDVBwVmI5zcaVUSzKAc/edit?usp=sharing"",""ประจวบคีรีขันธ์!S328"")+IMPORTRANGE(""https://docs.google.com/spreadsheets/d/1vVf6wykvW_lAyu7Yo9L4hUTqHqIeP_qcVuxCtosJEbg/edit?usp=sharing"",""ปราจีนบุรี!S328"")+IMPORTRANGE(""https://docs.googl"&amp;"e.com/spreadsheets/d/1BIDqLLg5jk3v59G8NlR8rk5xfQDKne0sAvZHSj7TI6I/edit?usp=sharing"",""พระนครศรีอยุธยา!S328"")+IMPORTRANGE(""https://docs.google.com/spreadsheets/d/1YXvxf8Yu6_rV4hTBrwMqAcAnv6DfhUxh5emyM3CJp_w/edit?usp=sharing"",""เพชรบุรี!S328"")+IMPORTRA"&amp;"NGE(""https://docs.google.com/spreadsheets/d/19KBlQQs7uwvsao6t2n-KvW3Ax8J8uRRfZPq1zPbXgKc/edit?usp=sharing"",""ระยอง!S328"")+IMPORTRANGE(""https://docs.google.com/spreadsheets/d/1jQ6P4QcrGM89YfqcC_PxOHGCMq5ezhucwJd8ci-NHng/edit?usp=sharing"",""ราชบุรี!S32"&amp;"8"")+IMPORTRANGE(""https://docs.google.com/spreadsheets/d/1lufeA2cfFqM-elVq2hznhDzC6Pr7wkJ9ZG_sYNGCMCU/edit?usp=sharing"",""ลพบุรี!S328"")+IMPORTRANGE(""https://docs.google.com/spreadsheets/d/10oOiF7loTyfsTkbd4MpaIm0HQ9SwB7IYHdIUvt-U1Uc/edit?usp=sharing"""&amp;",""สระแก้ว!S328"")+IMPORTRANGE(""https://docs.google.com/spreadsheets/d/1xmPlrr1QbdSIKvl1dWUl9K4PjAfSL9oeMr_37QVzcxc/edit?usp=sharing"",""สระบุรี!S328"")+IMPORTRANGE(""https://docs.google.com/spreadsheets/d/1j51vR6CYVGhABJpv6tkstgok82RLpXieLzW1yOY5rHw/edi"&amp;"t?usp=sharing"",""สิงห์บุรี!S328"")+IMPORTRANGE(""https://docs.google.com/spreadsheets/d/1H1EalTWKUSzO4Z1-1CwzoDUaVffgrThEBe2sl74kKG0/edit?usp=sharing"",""สุพรรณบุรี!S328"")+IMPORTRANGE(""https://docs.google.com/spreadsheets/d/1BmIruG_sIrJLYao_Pdr7zVArWsf"&amp;"oBt2692TMi6x_854/edit?usp=sharing"",""อ่างทอง!S328"")"),0)</f>
        <v>0</v>
      </c>
      <c r="T329" s="132">
        <f t="shared" ca="1" si="234"/>
        <v>0</v>
      </c>
      <c r="U329" s="132">
        <f t="shared" ca="1" si="235"/>
        <v>0</v>
      </c>
    </row>
    <row r="330" spans="1:21" ht="19.5" x14ac:dyDescent="0.3">
      <c r="A330" s="222"/>
      <c r="B330" s="223"/>
      <c r="C330" s="210" t="s">
        <v>18</v>
      </c>
      <c r="D330" s="224" t="s">
        <v>38</v>
      </c>
      <c r="E330" s="225"/>
      <c r="F330" s="225"/>
      <c r="G330" s="226"/>
      <c r="H330" s="227"/>
      <c r="I330" s="219"/>
      <c r="J330" s="71"/>
      <c r="K330" s="72"/>
      <c r="L330" s="72"/>
      <c r="M330" s="72"/>
      <c r="N330" s="72"/>
      <c r="O330" s="220"/>
      <c r="P330" s="220"/>
      <c r="Q330" s="86"/>
      <c r="R330" s="87"/>
      <c r="S330" s="87"/>
      <c r="T330" s="229"/>
      <c r="U330" s="229"/>
    </row>
    <row r="331" spans="1:21" ht="18.75" x14ac:dyDescent="0.25">
      <c r="A331" s="222"/>
      <c r="B331" s="223"/>
      <c r="C331" s="223"/>
      <c r="D331" s="230" t="s">
        <v>134</v>
      </c>
      <c r="E331" s="231"/>
      <c r="F331" s="231"/>
      <c r="G331" s="227"/>
      <c r="H331" s="70" t="s">
        <v>133</v>
      </c>
      <c r="I331" s="321">
        <f ca="1">IFERROR(__xludf.DUMMYFUNCTION("IMPORTRANGE(""https://docs.google.com/spreadsheets/d/13wPX838HrBrQMCywv1BsuMkt4PEKTChp52zj44s2izQ/edit?usp=sharing"",""กาญจนบุรี!I330"")+IMPORTRANGE(""https://docs.google.com/spreadsheets/d/1ddFKvqj1W1NEiWytbGlB1zMx_ykJDVtmfEQ-6-lIUBA/edit?usp=sharing"","&amp;"""จันทบุรี!I330"")+IMPORTRANGE(""https://docs.google.com/spreadsheets/d/1T1PQvRODqOBZk8BRht_U031fIS1beLA0Ub2CEytj2q0/edit?usp=sharing"",""ฉะเชิงเทรา!I330"")+IMPORTRANGE(""https://docs.google.com/spreadsheets/d/11tr1B-Bhyr79v2bkwVh5h_fR-PStkgjlZtkrZpYurG0/"&amp;"edit?usp=sharing"",""ชลบุรี!I330"")+IMPORTRANGE(""https://docs.google.com/spreadsheets/d/1hh-FVnSX0vozXhGluamEcS54Dw9_zqW0N7qJUWgJ0Sw/edit?usp=sharing"",""ชัยนาท!I330"")+IMPORTRANGE(""https://docs.google.com/spreadsheets/d/1jkqa6GXxSacMcY1eN8AHjMNJ_7dDXMJ"&amp;"VRLDlaFSOdPM/edit?usp=sharing"",""ตราด!I330"")+IMPORTRANGE(""https://docs.google.com/spreadsheets/d/18hSgUJ3VwClqi_qtULmmW3cLr0oe3OKaSYoKzdpTsYQ/edit?usp=sharing"",""นครนายก!I330"")+IMPORTRANGE(""https://docs.google.com/spreadsheets/d/1YTZo6WM2dQ6Ix6FSdnL"&amp;"5P7uVnVKu40sxZu975tgG10E/edit?usp=sharing"",""นครปฐม!I330"")+IMPORTRANGE(""https://docs.google.com/spreadsheets/d/1OYoGg4WDg5RIzwGeB10padOxJF9E_Vljuvvct_M7RDo/edit?usp=sharing"",""ปทุมธานี!I330"")+IMPORTRANGE(""https://docs.google.com/spreadsheets/d/1GbCI"&amp;"E4D4wk9FUozzqk7SxfDMxDVBwVmI5zcaVUSzKAc/edit?usp=sharing"",""ประจวบคีรีขันธ์!I330"")+IMPORTRANGE(""https://docs.google.com/spreadsheets/d/1vVf6wykvW_lAyu7Yo9L4hUTqHqIeP_qcVuxCtosJEbg/edit?usp=sharing"",""ปราจีนบุรี!I330"")+IMPORTRANGE(""https://docs.googl"&amp;"e.com/spreadsheets/d/1BIDqLLg5jk3v59G8NlR8rk5xfQDKne0sAvZHSj7TI6I/edit?usp=sharing"",""พระนครศรีอยุธยา!I330"")+IMPORTRANGE(""https://docs.google.com/spreadsheets/d/1YXvxf8Yu6_rV4hTBrwMqAcAnv6DfhUxh5emyM3CJp_w/edit?usp=sharing"",""เพชรบุรี!I330"")+IMPORTRA"&amp;"NGE(""https://docs.google.com/spreadsheets/d/19KBlQQs7uwvsao6t2n-KvW3Ax8J8uRRfZPq1zPbXgKc/edit?usp=sharing"",""ระยอง!I330"")+IMPORTRANGE(""https://docs.google.com/spreadsheets/d/1jQ6P4QcrGM89YfqcC_PxOHGCMq5ezhucwJd8ci-NHng/edit?usp=sharing"",""ราชบุรี!I33"&amp;"0"")+IMPORTRANGE(""https://docs.google.com/spreadsheets/d/1lufeA2cfFqM-elVq2hznhDzC6Pr7wkJ9ZG_sYNGCMCU/edit?usp=sharing"",""ลพบุรี!I330"")+IMPORTRANGE(""https://docs.google.com/spreadsheets/d/10oOiF7loTyfsTkbd4MpaIm0HQ9SwB7IYHdIUvt-U1Uc/edit?usp=sharing"""&amp;",""สระแก้ว!I330"")+IMPORTRANGE(""https://docs.google.com/spreadsheets/d/1xmPlrr1QbdSIKvl1dWUl9K4PjAfSL9oeMr_37QVzcxc/edit?usp=sharing"",""สระบุรี!I330"")+IMPORTRANGE(""https://docs.google.com/spreadsheets/d/1j51vR6CYVGhABJpv6tkstgok82RLpXieLzW1yOY5rHw/edi"&amp;"t?usp=sharing"",""สิงห์บุรี!I330"")+IMPORTRANGE(""https://docs.google.com/spreadsheets/d/1H1EalTWKUSzO4Z1-1CwzoDUaVffgrThEBe2sl74kKG0/edit?usp=sharing"",""สุพรรณบุรี!I330"")+IMPORTRANGE(""https://docs.google.com/spreadsheets/d/1BmIruG_sIrJLYao_Pdr7zVArWsf"&amp;"oBt2692TMi6x_854/edit?usp=sharing"",""อ่างทอง!I330"")"),3)</f>
        <v>3</v>
      </c>
      <c r="J331" s="321">
        <f ca="1">IFERROR(__xludf.DUMMYFUNCTION("IMPORTRANGE(""https://docs.google.com/spreadsheets/d/13wPX838HrBrQMCywv1BsuMkt4PEKTChp52zj44s2izQ/edit?usp=sharing"",""กาญจนบุรี!J330"")+IMPORTRANGE(""https://docs.google.com/spreadsheets/d/1ddFKvqj1W1NEiWytbGlB1zMx_ykJDVtmfEQ-6-lIUBA/edit?usp=sharing"","&amp;"""จันทบุรี!J330"")+IMPORTRANGE(""https://docs.google.com/spreadsheets/d/1T1PQvRODqOBZk8BRht_U031fIS1beLA0Ub2CEytj2q0/edit?usp=sharing"",""ฉะเชิงเทรา!J330"")+IMPORTRANGE(""https://docs.google.com/spreadsheets/d/11tr1B-Bhyr79v2bkwVh5h_fR-PStkgjlZtkrZpYurG0/"&amp;"edit?usp=sharing"",""ชลบุรี!J330"")+IMPORTRANGE(""https://docs.google.com/spreadsheets/d/1hh-FVnSX0vozXhGluamEcS54Dw9_zqW0N7qJUWgJ0Sw/edit?usp=sharing"",""ชัยนาท!J330"")+IMPORTRANGE(""https://docs.google.com/spreadsheets/d/1jkqa6GXxSacMcY1eN8AHjMNJ_7dDXMJ"&amp;"VRLDlaFSOdPM/edit?usp=sharing"",""ตราด!J330"")+IMPORTRANGE(""https://docs.google.com/spreadsheets/d/18hSgUJ3VwClqi_qtULmmW3cLr0oe3OKaSYoKzdpTsYQ/edit?usp=sharing"",""นครนายก!J330"")+IMPORTRANGE(""https://docs.google.com/spreadsheets/d/1YTZo6WM2dQ6Ix6FSdnL"&amp;"5P7uVnVKu40sxZu975tgG10E/edit?usp=sharing"",""นครปฐม!J330"")+IMPORTRANGE(""https://docs.google.com/spreadsheets/d/1OYoGg4WDg5RIzwGeB10padOxJF9E_Vljuvvct_M7RDo/edit?usp=sharing"",""ปทุมธานี!J330"")+IMPORTRANGE(""https://docs.google.com/spreadsheets/d/1GbCI"&amp;"E4D4wk9FUozzqk7SxfDMxDVBwVmI5zcaVUSzKAc/edit?usp=sharing"",""ประจวบคีรีขันธ์!J330"")+IMPORTRANGE(""https://docs.google.com/spreadsheets/d/1vVf6wykvW_lAyu7Yo9L4hUTqHqIeP_qcVuxCtosJEbg/edit?usp=sharing"",""ปราจีนบุรี!J330"")+IMPORTRANGE(""https://docs.googl"&amp;"e.com/spreadsheets/d/1BIDqLLg5jk3v59G8NlR8rk5xfQDKne0sAvZHSj7TI6I/edit?usp=sharing"",""พระนครศรีอยุธยา!J330"")+IMPORTRANGE(""https://docs.google.com/spreadsheets/d/1YXvxf8Yu6_rV4hTBrwMqAcAnv6DfhUxh5emyM3CJp_w/edit?usp=sharing"",""เพชรบุรี!J330"")+IMPORTRA"&amp;"NGE(""https://docs.google.com/spreadsheets/d/19KBlQQs7uwvsao6t2n-KvW3Ax8J8uRRfZPq1zPbXgKc/edit?usp=sharing"",""ระยอง!J330"")+IMPORTRANGE(""https://docs.google.com/spreadsheets/d/1jQ6P4QcrGM89YfqcC_PxOHGCMq5ezhucwJd8ci-NHng/edit?usp=sharing"",""ราชบุรี!J33"&amp;"0"")+IMPORTRANGE(""https://docs.google.com/spreadsheets/d/1lufeA2cfFqM-elVq2hznhDzC6Pr7wkJ9ZG_sYNGCMCU/edit?usp=sharing"",""ลพบุรี!J330"")+IMPORTRANGE(""https://docs.google.com/spreadsheets/d/10oOiF7loTyfsTkbd4MpaIm0HQ9SwB7IYHdIUvt-U1Uc/edit?usp=sharing"""&amp;",""สระแก้ว!J330"")+IMPORTRANGE(""https://docs.google.com/spreadsheets/d/1xmPlrr1QbdSIKvl1dWUl9K4PjAfSL9oeMr_37QVzcxc/edit?usp=sharing"",""สระบุรี!J330"")+IMPORTRANGE(""https://docs.google.com/spreadsheets/d/1j51vR6CYVGhABJpv6tkstgok82RLpXieLzW1yOY5rHw/edi"&amp;"t?usp=sharing"",""สิงห์บุรี!J330"")+IMPORTRANGE(""https://docs.google.com/spreadsheets/d/1H1EalTWKUSzO4Z1-1CwzoDUaVffgrThEBe2sl74kKG0/edit?usp=sharing"",""สุพรรณบุรี!J330"")+IMPORTRANGE(""https://docs.google.com/spreadsheets/d/1BmIruG_sIrJLYao_Pdr7zVArWsf"&amp;"oBt2692TMi6x_854/edit?usp=sharing"",""อ่างทอง!J330"")"),2)</f>
        <v>2</v>
      </c>
      <c r="K331" s="88">
        <f ca="1">IF(I331&gt;0,J331*100/I331,0)</f>
        <v>66.666666666666671</v>
      </c>
      <c r="L331" s="72"/>
      <c r="M331" s="72"/>
      <c r="N331" s="72"/>
      <c r="O331" s="220"/>
      <c r="P331" s="220"/>
      <c r="Q331" s="86"/>
      <c r="R331" s="87"/>
      <c r="S331" s="87"/>
      <c r="T331" s="229"/>
      <c r="U331" s="229"/>
    </row>
    <row r="332" spans="1:21" ht="19.5" x14ac:dyDescent="0.3">
      <c r="A332" s="513" t="s">
        <v>135</v>
      </c>
      <c r="B332" s="514"/>
      <c r="C332" s="514"/>
      <c r="D332" s="515"/>
      <c r="E332" s="514"/>
      <c r="F332" s="514"/>
      <c r="G332" s="514"/>
      <c r="H332" s="515"/>
      <c r="I332" s="517"/>
      <c r="J332" s="517"/>
      <c r="K332" s="518"/>
      <c r="L332" s="518"/>
      <c r="M332" s="518"/>
      <c r="N332" s="518"/>
      <c r="O332" s="518"/>
      <c r="P332" s="518"/>
      <c r="Q332" s="519"/>
      <c r="R332" s="520"/>
      <c r="S332" s="520"/>
      <c r="T332" s="520"/>
      <c r="U332" s="520"/>
    </row>
    <row r="333" spans="1:21" ht="19.5" x14ac:dyDescent="0.3">
      <c r="A333" s="521"/>
      <c r="B333" s="522" t="s">
        <v>136</v>
      </c>
      <c r="C333" s="533"/>
      <c r="D333" s="523"/>
      <c r="E333" s="523"/>
      <c r="F333" s="523"/>
      <c r="G333" s="524"/>
      <c r="H333" s="525" t="s">
        <v>35</v>
      </c>
      <c r="I333" s="534">
        <f ca="1">I345</f>
        <v>19420</v>
      </c>
      <c r="J333" s="535">
        <f ca="1">J345+J348+J349+J350+J354</f>
        <v>63799</v>
      </c>
      <c r="K333" s="536">
        <f ca="1">IF(I333&gt;0,J333*100/I333,0)</f>
        <v>328.52214212152421</v>
      </c>
      <c r="L333" s="528"/>
      <c r="M333" s="528"/>
      <c r="N333" s="528"/>
      <c r="O333" s="528"/>
      <c r="P333" s="528"/>
      <c r="Q333" s="529"/>
      <c r="R333" s="530"/>
      <c r="S333" s="530"/>
      <c r="T333" s="530"/>
      <c r="U333" s="530"/>
    </row>
    <row r="334" spans="1:21" ht="19.5" x14ac:dyDescent="0.3">
      <c r="A334" s="209"/>
      <c r="B334" s="67"/>
      <c r="C334" s="210" t="s">
        <v>18</v>
      </c>
      <c r="D334" s="211" t="s">
        <v>19</v>
      </c>
      <c r="E334" s="67"/>
      <c r="F334" s="67"/>
      <c r="G334" s="69"/>
      <c r="H334" s="212" t="s">
        <v>14</v>
      </c>
      <c r="I334" s="71"/>
      <c r="J334" s="71"/>
      <c r="K334" s="72"/>
      <c r="L334" s="213">
        <f t="shared" ref="L334:N334" ca="1" si="244">L335+L336</f>
        <v>4015000</v>
      </c>
      <c r="M334" s="213">
        <f t="shared" ca="1" si="244"/>
        <v>4095000</v>
      </c>
      <c r="N334" s="213">
        <f t="shared" ca="1" si="244"/>
        <v>2081927.53</v>
      </c>
      <c r="O334" s="213">
        <f t="shared" ref="O334:O342" ca="1" si="245">IF(L334&gt;0,N334*100/L334,0)</f>
        <v>51.853736737235366</v>
      </c>
      <c r="P334" s="213">
        <f t="shared" ref="P334:P342" ca="1" si="246">IF(M334&gt;0,N334*100/M334,0)</f>
        <v>50.840721123321124</v>
      </c>
      <c r="Q334" s="214">
        <f t="shared" ref="Q334:S334" ca="1" si="247">Q335+Q336</f>
        <v>0</v>
      </c>
      <c r="R334" s="215">
        <f t="shared" ca="1" si="247"/>
        <v>0</v>
      </c>
      <c r="S334" s="215">
        <f t="shared" ca="1" si="247"/>
        <v>0</v>
      </c>
      <c r="T334" s="215">
        <f t="shared" ref="T334:T342" ca="1" si="248">IF(Q334&gt;0,S334*100/Q334,0)</f>
        <v>0</v>
      </c>
      <c r="U334" s="215">
        <f t="shared" ref="U334:U342" ca="1" si="249">IF(R334&gt;0,S334*100/R334,0)</f>
        <v>0</v>
      </c>
    </row>
    <row r="335" spans="1:21" ht="18.75" x14ac:dyDescent="0.25">
      <c r="A335" s="209"/>
      <c r="B335" s="67"/>
      <c r="C335" s="67"/>
      <c r="D335" s="67"/>
      <c r="E335" s="75" t="s">
        <v>20</v>
      </c>
      <c r="F335" s="67"/>
      <c r="G335" s="69"/>
      <c r="H335" s="216" t="s">
        <v>14</v>
      </c>
      <c r="I335" s="71"/>
      <c r="J335" s="71"/>
      <c r="K335" s="72"/>
      <c r="L335" s="88">
        <f t="shared" ref="L335:N335" ca="1" si="250">L338+L341</f>
        <v>0</v>
      </c>
      <c r="M335" s="88">
        <f t="shared" ca="1" si="250"/>
        <v>0</v>
      </c>
      <c r="N335" s="88">
        <f t="shared" ca="1" si="250"/>
        <v>0</v>
      </c>
      <c r="O335" s="88">
        <f t="shared" ca="1" si="245"/>
        <v>0</v>
      </c>
      <c r="P335" s="88">
        <f t="shared" ca="1" si="246"/>
        <v>0</v>
      </c>
      <c r="Q335" s="217">
        <f t="shared" ref="Q335:S335" ca="1" si="251">Q338+Q341</f>
        <v>0</v>
      </c>
      <c r="R335" s="133">
        <f t="shared" ca="1" si="251"/>
        <v>0</v>
      </c>
      <c r="S335" s="133">
        <f t="shared" ca="1" si="251"/>
        <v>0</v>
      </c>
      <c r="T335" s="133">
        <f t="shared" ca="1" si="248"/>
        <v>0</v>
      </c>
      <c r="U335" s="133">
        <f t="shared" ca="1" si="249"/>
        <v>0</v>
      </c>
    </row>
    <row r="336" spans="1:21" ht="18.75" x14ac:dyDescent="0.25">
      <c r="A336" s="209"/>
      <c r="B336" s="67"/>
      <c r="C336" s="67"/>
      <c r="D336" s="67"/>
      <c r="E336" s="75" t="s">
        <v>21</v>
      </c>
      <c r="F336" s="67"/>
      <c r="G336" s="69"/>
      <c r="H336" s="216" t="s">
        <v>14</v>
      </c>
      <c r="I336" s="71"/>
      <c r="J336" s="71"/>
      <c r="K336" s="72"/>
      <c r="L336" s="88">
        <f t="shared" ref="L336:N336" ca="1" si="252">L339+L342</f>
        <v>4015000</v>
      </c>
      <c r="M336" s="88">
        <f t="shared" ca="1" si="252"/>
        <v>4095000</v>
      </c>
      <c r="N336" s="88">
        <f t="shared" ca="1" si="252"/>
        <v>2081927.53</v>
      </c>
      <c r="O336" s="88">
        <f t="shared" ca="1" si="245"/>
        <v>51.853736737235366</v>
      </c>
      <c r="P336" s="88">
        <f t="shared" ca="1" si="246"/>
        <v>50.840721123321124</v>
      </c>
      <c r="Q336" s="131">
        <f t="shared" ref="Q336:S336" ca="1" si="253">Q339+Q342</f>
        <v>0</v>
      </c>
      <c r="R336" s="132">
        <f t="shared" ca="1" si="253"/>
        <v>0</v>
      </c>
      <c r="S336" s="132">
        <f t="shared" ca="1" si="253"/>
        <v>0</v>
      </c>
      <c r="T336" s="132">
        <f t="shared" ca="1" si="248"/>
        <v>0</v>
      </c>
      <c r="U336" s="132">
        <f t="shared" ca="1" si="249"/>
        <v>0</v>
      </c>
    </row>
    <row r="337" spans="1:21" ht="18.75" x14ac:dyDescent="0.25">
      <c r="A337" s="209"/>
      <c r="B337" s="67"/>
      <c r="C337" s="67"/>
      <c r="D337" s="68" t="s">
        <v>22</v>
      </c>
      <c r="E337" s="67"/>
      <c r="F337" s="67"/>
      <c r="G337" s="69"/>
      <c r="H337" s="218" t="s">
        <v>14</v>
      </c>
      <c r="I337" s="219"/>
      <c r="J337" s="219"/>
      <c r="K337" s="220"/>
      <c r="L337" s="88">
        <f t="shared" ref="L337:N337" ca="1" si="254">L338+L339</f>
        <v>4015000</v>
      </c>
      <c r="M337" s="88">
        <f t="shared" ca="1" si="254"/>
        <v>4095000</v>
      </c>
      <c r="N337" s="88">
        <f t="shared" ca="1" si="254"/>
        <v>2081927.53</v>
      </c>
      <c r="O337" s="88">
        <f t="shared" ca="1" si="245"/>
        <v>51.853736737235366</v>
      </c>
      <c r="P337" s="88">
        <f t="shared" ca="1" si="246"/>
        <v>50.840721123321124</v>
      </c>
      <c r="Q337" s="131">
        <f t="shared" ref="Q337:S337" ca="1" si="255">Q338+Q339</f>
        <v>0</v>
      </c>
      <c r="R337" s="132">
        <f t="shared" ca="1" si="255"/>
        <v>0</v>
      </c>
      <c r="S337" s="132">
        <f t="shared" ca="1" si="255"/>
        <v>0</v>
      </c>
      <c r="T337" s="132">
        <f t="shared" ca="1" si="248"/>
        <v>0</v>
      </c>
      <c r="U337" s="132">
        <f t="shared" ca="1" si="249"/>
        <v>0</v>
      </c>
    </row>
    <row r="338" spans="1:21" ht="18.75" x14ac:dyDescent="0.25">
      <c r="A338" s="209"/>
      <c r="B338" s="67"/>
      <c r="C338" s="67"/>
      <c r="D338" s="67"/>
      <c r="E338" s="75" t="s">
        <v>36</v>
      </c>
      <c r="F338" s="67"/>
      <c r="G338" s="69"/>
      <c r="H338" s="218" t="s">
        <v>14</v>
      </c>
      <c r="I338" s="219"/>
      <c r="J338" s="219"/>
      <c r="K338" s="220"/>
      <c r="L338" s="88">
        <f ca="1">IFERROR(__xludf.DUMMYFUNCTION("IMPORTRANGE(""https://docs.google.com/spreadsheets/d/13wPX838HrBrQMCywv1BsuMkt4PEKTChp52zj44s2izQ/edit?usp=sharing"",""กาญจนบุรี!L337"")+IMPORTRANGE(""https://docs.google.com/spreadsheets/d/1ddFKvqj1W1NEiWytbGlB1zMx_ykJDVtmfEQ-6-lIUBA/edit?usp=sharing"","&amp;"""จันทบุรี!L337"")+IMPORTRANGE(""https://docs.google.com/spreadsheets/d/1T1PQvRODqOBZk8BRht_U031fIS1beLA0Ub2CEytj2q0/edit?usp=sharing"",""ฉะเชิงเทรา!L337"")+IMPORTRANGE(""https://docs.google.com/spreadsheets/d/11tr1B-Bhyr79v2bkwVh5h_fR-PStkgjlZtkrZpYurG0/"&amp;"edit?usp=sharing"",""ชลบุรี!L337"")+IMPORTRANGE(""https://docs.google.com/spreadsheets/d/1hh-FVnSX0vozXhGluamEcS54Dw9_zqW0N7qJUWgJ0Sw/edit?usp=sharing"",""ชัยนาท!L337"")+IMPORTRANGE(""https://docs.google.com/spreadsheets/d/1jkqa6GXxSacMcY1eN8AHjMNJ_7dDXMJ"&amp;"VRLDlaFSOdPM/edit?usp=sharing"",""ตราด!L337"")+IMPORTRANGE(""https://docs.google.com/spreadsheets/d/18hSgUJ3VwClqi_qtULmmW3cLr0oe3OKaSYoKzdpTsYQ/edit?usp=sharing"",""นครนายก!L337"")+IMPORTRANGE(""https://docs.google.com/spreadsheets/d/1YTZo6WM2dQ6Ix6FSdnL"&amp;"5P7uVnVKu40sxZu975tgG10E/edit?usp=sharing"",""นครปฐม!L337"")+IMPORTRANGE(""https://docs.google.com/spreadsheets/d/1OYoGg4WDg5RIzwGeB10padOxJF9E_Vljuvvct_M7RDo/edit?usp=sharing"",""ปทุมธานี!L337"")+IMPORTRANGE(""https://docs.google.com/spreadsheets/d/1GbCI"&amp;"E4D4wk9FUozzqk7SxfDMxDVBwVmI5zcaVUSzKAc/edit?usp=sharing"",""ประจวบคีรีขันธ์!L337"")+IMPORTRANGE(""https://docs.google.com/spreadsheets/d/1vVf6wykvW_lAyu7Yo9L4hUTqHqIeP_qcVuxCtosJEbg/edit?usp=sharing"",""ปราจีนบุรี!L337"")+IMPORTRANGE(""https://docs.googl"&amp;"e.com/spreadsheets/d/1BIDqLLg5jk3v59G8NlR8rk5xfQDKne0sAvZHSj7TI6I/edit?usp=sharing"",""พระนครศรีอยุธยา!L337"")+IMPORTRANGE(""https://docs.google.com/spreadsheets/d/1YXvxf8Yu6_rV4hTBrwMqAcAnv6DfhUxh5emyM3CJp_w/edit?usp=sharing"",""เพชรบุรี!L337"")+IMPORTRA"&amp;"NGE(""https://docs.google.com/spreadsheets/d/19KBlQQs7uwvsao6t2n-KvW3Ax8J8uRRfZPq1zPbXgKc/edit?usp=sharing"",""ระยอง!L337"")+IMPORTRANGE(""https://docs.google.com/spreadsheets/d/1jQ6P4QcrGM89YfqcC_PxOHGCMq5ezhucwJd8ci-NHng/edit?usp=sharing"",""ราชบุรี!L33"&amp;"7"")+IMPORTRANGE(""https://docs.google.com/spreadsheets/d/1lufeA2cfFqM-elVq2hznhDzC6Pr7wkJ9ZG_sYNGCMCU/edit?usp=sharing"",""ลพบุรี!L337"")+IMPORTRANGE(""https://docs.google.com/spreadsheets/d/10oOiF7loTyfsTkbd4MpaIm0HQ9SwB7IYHdIUvt-U1Uc/edit?usp=sharing"""&amp;",""สระแก้ว!L337"")+IMPORTRANGE(""https://docs.google.com/spreadsheets/d/1xmPlrr1QbdSIKvl1dWUl9K4PjAfSL9oeMr_37QVzcxc/edit?usp=sharing"",""สระบุรี!L337"")+IMPORTRANGE(""https://docs.google.com/spreadsheets/d/1j51vR6CYVGhABJpv6tkstgok82RLpXieLzW1yOY5rHw/edi"&amp;"t?usp=sharing"",""สิงห์บุรี!L337"")+IMPORTRANGE(""https://docs.google.com/spreadsheets/d/1H1EalTWKUSzO4Z1-1CwzoDUaVffgrThEBe2sl74kKG0/edit?usp=sharing"",""สุพรรณบุรี!L337"")+IMPORTRANGE(""https://docs.google.com/spreadsheets/d/1BmIruG_sIrJLYao_Pdr7zVArWsf"&amp;"oBt2692TMi6x_854/edit?usp=sharing"",""อ่างทอง!L337"")"),0)</f>
        <v>0</v>
      </c>
      <c r="M338" s="88">
        <f ca="1">IFERROR(__xludf.DUMMYFUNCTION("IMPORTRANGE(""https://docs.google.com/spreadsheets/d/13wPX838HrBrQMCywv1BsuMkt4PEKTChp52zj44s2izQ/edit?usp=sharing"",""กาญจนบุรี!M337"")+IMPORTRANGE(""https://docs.google.com/spreadsheets/d/1ddFKvqj1W1NEiWytbGlB1zMx_ykJDVtmfEQ-6-lIUBA/edit?usp=sharing"","&amp;"""จันทบุรี!M337"")+IMPORTRANGE(""https://docs.google.com/spreadsheets/d/1T1PQvRODqOBZk8BRht_U031fIS1beLA0Ub2CEytj2q0/edit?usp=sharing"",""ฉะเชิงเทรา!M337"")+IMPORTRANGE(""https://docs.google.com/spreadsheets/d/11tr1B-Bhyr79v2bkwVh5h_fR-PStkgjlZtkrZpYurG0/"&amp;"edit?usp=sharing"",""ชลบุรี!M337"")+IMPORTRANGE(""https://docs.google.com/spreadsheets/d/1hh-FVnSX0vozXhGluamEcS54Dw9_zqW0N7qJUWgJ0Sw/edit?usp=sharing"",""ชัยนาท!M337"")+IMPORTRANGE(""https://docs.google.com/spreadsheets/d/1jkqa6GXxSacMcY1eN8AHjMNJ_7dDXMJ"&amp;"VRLDlaFSOdPM/edit?usp=sharing"",""ตราด!M337"")+IMPORTRANGE(""https://docs.google.com/spreadsheets/d/18hSgUJ3VwClqi_qtULmmW3cLr0oe3OKaSYoKzdpTsYQ/edit?usp=sharing"",""นครนายก!M337"")+IMPORTRANGE(""https://docs.google.com/spreadsheets/d/1YTZo6WM2dQ6Ix6FSdnL"&amp;"5P7uVnVKu40sxZu975tgG10E/edit?usp=sharing"",""นครปฐม!M337"")+IMPORTRANGE(""https://docs.google.com/spreadsheets/d/1OYoGg4WDg5RIzwGeB10padOxJF9E_Vljuvvct_M7RDo/edit?usp=sharing"",""ปทุมธานี!M337"")+IMPORTRANGE(""https://docs.google.com/spreadsheets/d/1GbCI"&amp;"E4D4wk9FUozzqk7SxfDMxDVBwVmI5zcaVUSzKAc/edit?usp=sharing"",""ประจวบคีรีขันธ์!M337"")+IMPORTRANGE(""https://docs.google.com/spreadsheets/d/1vVf6wykvW_lAyu7Yo9L4hUTqHqIeP_qcVuxCtosJEbg/edit?usp=sharing"",""ปราจีนบุรี!M337"")+IMPORTRANGE(""https://docs.googl"&amp;"e.com/spreadsheets/d/1BIDqLLg5jk3v59G8NlR8rk5xfQDKne0sAvZHSj7TI6I/edit?usp=sharing"",""พระนครศรีอยุธยา!M337"")+IMPORTRANGE(""https://docs.google.com/spreadsheets/d/1YXvxf8Yu6_rV4hTBrwMqAcAnv6DfhUxh5emyM3CJp_w/edit?usp=sharing"",""เพชรบุรี!M337"")+IMPORTRA"&amp;"NGE(""https://docs.google.com/spreadsheets/d/19KBlQQs7uwvsao6t2n-KvW3Ax8J8uRRfZPq1zPbXgKc/edit?usp=sharing"",""ระยอง!M337"")+IMPORTRANGE(""https://docs.google.com/spreadsheets/d/1jQ6P4QcrGM89YfqcC_PxOHGCMq5ezhucwJd8ci-NHng/edit?usp=sharing"",""ราชบุรี!M33"&amp;"7"")+IMPORTRANGE(""https://docs.google.com/spreadsheets/d/1lufeA2cfFqM-elVq2hznhDzC6Pr7wkJ9ZG_sYNGCMCU/edit?usp=sharing"",""ลพบุรี!M337"")+IMPORTRANGE(""https://docs.google.com/spreadsheets/d/10oOiF7loTyfsTkbd4MpaIm0HQ9SwB7IYHdIUvt-U1Uc/edit?usp=sharing"""&amp;",""สระแก้ว!M337"")+IMPORTRANGE(""https://docs.google.com/spreadsheets/d/1xmPlrr1QbdSIKvl1dWUl9K4PjAfSL9oeMr_37QVzcxc/edit?usp=sharing"",""สระบุรี!M337"")+IMPORTRANGE(""https://docs.google.com/spreadsheets/d/1j51vR6CYVGhABJpv6tkstgok82RLpXieLzW1yOY5rHw/edi"&amp;"t?usp=sharing"",""สิงห์บุรี!M337"")+IMPORTRANGE(""https://docs.google.com/spreadsheets/d/1H1EalTWKUSzO4Z1-1CwzoDUaVffgrThEBe2sl74kKG0/edit?usp=sharing"",""สุพรรณบุรี!M337"")+IMPORTRANGE(""https://docs.google.com/spreadsheets/d/1BmIruG_sIrJLYao_Pdr7zVArWsf"&amp;"oBt2692TMi6x_854/edit?usp=sharing"",""อ่างทอง!M337"")"),0)</f>
        <v>0</v>
      </c>
      <c r="N338" s="88">
        <f ca="1">IFERROR(__xludf.DUMMYFUNCTION("IMPORTRANGE(""https://docs.google.com/spreadsheets/d/13wPX838HrBrQMCywv1BsuMkt4PEKTChp52zj44s2izQ/edit?usp=sharing"",""กาญจนบุรี!N337"")+IMPORTRANGE(""https://docs.google.com/spreadsheets/d/1ddFKvqj1W1NEiWytbGlB1zMx_ykJDVtmfEQ-6-lIUBA/edit?usp=sharing"","&amp;"""จันทบุรี!N337"")+IMPORTRANGE(""https://docs.google.com/spreadsheets/d/1T1PQvRODqOBZk8BRht_U031fIS1beLA0Ub2CEytj2q0/edit?usp=sharing"",""ฉะเชิงเทรา!N337"")+IMPORTRANGE(""https://docs.google.com/spreadsheets/d/11tr1B-Bhyr79v2bkwVh5h_fR-PStkgjlZtkrZpYurG0/"&amp;"edit?usp=sharing"",""ชลบุรี!N337"")+IMPORTRANGE(""https://docs.google.com/spreadsheets/d/1hh-FVnSX0vozXhGluamEcS54Dw9_zqW0N7qJUWgJ0Sw/edit?usp=sharing"",""ชัยนาท!N337"")+IMPORTRANGE(""https://docs.google.com/spreadsheets/d/1jkqa6GXxSacMcY1eN8AHjMNJ_7dDXMJ"&amp;"VRLDlaFSOdPM/edit?usp=sharing"",""ตราด!N337"")+IMPORTRANGE(""https://docs.google.com/spreadsheets/d/18hSgUJ3VwClqi_qtULmmW3cLr0oe3OKaSYoKzdpTsYQ/edit?usp=sharing"",""นครนายก!N337"")+IMPORTRANGE(""https://docs.google.com/spreadsheets/d/1YTZo6WM2dQ6Ix6FSdnL"&amp;"5P7uVnVKu40sxZu975tgG10E/edit?usp=sharing"",""นครปฐม!N337"")+IMPORTRANGE(""https://docs.google.com/spreadsheets/d/1OYoGg4WDg5RIzwGeB10padOxJF9E_Vljuvvct_M7RDo/edit?usp=sharing"",""ปทุมธานี!N337"")+IMPORTRANGE(""https://docs.google.com/spreadsheets/d/1GbCI"&amp;"E4D4wk9FUozzqk7SxfDMxDVBwVmI5zcaVUSzKAc/edit?usp=sharing"",""ประจวบคีรีขันธ์!N337"")+IMPORTRANGE(""https://docs.google.com/spreadsheets/d/1vVf6wykvW_lAyu7Yo9L4hUTqHqIeP_qcVuxCtosJEbg/edit?usp=sharing"",""ปราจีนบุรี!N337"")+IMPORTRANGE(""https://docs.googl"&amp;"e.com/spreadsheets/d/1BIDqLLg5jk3v59G8NlR8rk5xfQDKne0sAvZHSj7TI6I/edit?usp=sharing"",""พระนครศรีอยุธยา!N337"")+IMPORTRANGE(""https://docs.google.com/spreadsheets/d/1YXvxf8Yu6_rV4hTBrwMqAcAnv6DfhUxh5emyM3CJp_w/edit?usp=sharing"",""เพชรบุรี!N337"")+IMPORTRA"&amp;"NGE(""https://docs.google.com/spreadsheets/d/19KBlQQs7uwvsao6t2n-KvW3Ax8J8uRRfZPq1zPbXgKc/edit?usp=sharing"",""ระยอง!N337"")+IMPORTRANGE(""https://docs.google.com/spreadsheets/d/1jQ6P4QcrGM89YfqcC_PxOHGCMq5ezhucwJd8ci-NHng/edit?usp=sharing"",""ราชบุรี!N33"&amp;"7"")+IMPORTRANGE(""https://docs.google.com/spreadsheets/d/1lufeA2cfFqM-elVq2hznhDzC6Pr7wkJ9ZG_sYNGCMCU/edit?usp=sharing"",""ลพบุรี!N337"")+IMPORTRANGE(""https://docs.google.com/spreadsheets/d/10oOiF7loTyfsTkbd4MpaIm0HQ9SwB7IYHdIUvt-U1Uc/edit?usp=sharing"""&amp;",""สระแก้ว!N337"")+IMPORTRANGE(""https://docs.google.com/spreadsheets/d/1xmPlrr1QbdSIKvl1dWUl9K4PjAfSL9oeMr_37QVzcxc/edit?usp=sharing"",""สระบุรี!N337"")+IMPORTRANGE(""https://docs.google.com/spreadsheets/d/1j51vR6CYVGhABJpv6tkstgok82RLpXieLzW1yOY5rHw/edi"&amp;"t?usp=sharing"",""สิงห์บุรี!N337"")+IMPORTRANGE(""https://docs.google.com/spreadsheets/d/1H1EalTWKUSzO4Z1-1CwzoDUaVffgrThEBe2sl74kKG0/edit?usp=sharing"",""สุพรรณบุรี!N337"")+IMPORTRANGE(""https://docs.google.com/spreadsheets/d/1BmIruG_sIrJLYao_Pdr7zVArWsf"&amp;"oBt2692TMi6x_854/edit?usp=sharing"",""อ่างทอง!N337"")"),0)</f>
        <v>0</v>
      </c>
      <c r="O338" s="88">
        <f t="shared" ca="1" si="245"/>
        <v>0</v>
      </c>
      <c r="P338" s="88">
        <f t="shared" ca="1" si="246"/>
        <v>0</v>
      </c>
      <c r="Q338" s="76">
        <f ca="1">IFERROR(__xludf.DUMMYFUNCTION("IMPORTRANGE(""https://docs.google.com/spreadsheets/d/13wPX838HrBrQMCywv1BsuMkt4PEKTChp52zj44s2izQ/edit?usp=sharing"",""กาญจนบุรี!Q337"")+IMPORTRANGE(""https://docs.google.com/spreadsheets/d/1ddFKvqj1W1NEiWytbGlB1zMx_ykJDVtmfEQ-6-lIUBA/edit?usp=sharing"","&amp;"""จันทบุรี!Q337"")+IMPORTRANGE(""https://docs.google.com/spreadsheets/d/1T1PQvRODqOBZk8BRht_U031fIS1beLA0Ub2CEytj2q0/edit?usp=sharing"",""ฉะเชิงเทรา!Q337"")+IMPORTRANGE(""https://docs.google.com/spreadsheets/d/11tr1B-Bhyr79v2bkwVh5h_fR-PStkgjlZtkrZpYurG0/"&amp;"edit?usp=sharing"",""ชลบุรี!Q337"")+IMPORTRANGE(""https://docs.google.com/spreadsheets/d/1hh-FVnSX0vozXhGluamEcS54Dw9_zqW0N7qJUWgJ0Sw/edit?usp=sharing"",""ชัยนาท!Q337"")+IMPORTRANGE(""https://docs.google.com/spreadsheets/d/1jkqa6GXxSacMcY1eN8AHjMNJ_7dDXMJ"&amp;"VRLDlaFSOdPM/edit?usp=sharing"",""ตราด!Q337"")+IMPORTRANGE(""https://docs.google.com/spreadsheets/d/18hSgUJ3VwClqi_qtULmmW3cLr0oe3OKaSYoKzdpTsYQ/edit?usp=sharing"",""นครนายก!Q337"")+IMPORTRANGE(""https://docs.google.com/spreadsheets/d/1YTZo6WM2dQ6Ix6FSdnL"&amp;"5P7uVnVKu40sxZu975tgG10E/edit?usp=sharing"",""นครปฐม!Q337"")+IMPORTRANGE(""https://docs.google.com/spreadsheets/d/1OYoGg4WDg5RIzwGeB10padOxJF9E_Vljuvvct_M7RDo/edit?usp=sharing"",""ปทุมธานี!Q337"")+IMPORTRANGE(""https://docs.google.com/spreadsheets/d/1GbCI"&amp;"E4D4wk9FUozzqk7SxfDMxDVBwVmI5zcaVUSzKAc/edit?usp=sharing"",""ประจวบคีรีขันธ์!Q337"")+IMPORTRANGE(""https://docs.google.com/spreadsheets/d/1vVf6wykvW_lAyu7Yo9L4hUTqHqIeP_qcVuxCtosJEbg/edit?usp=sharing"",""ปราจีนบุรี!Q337"")+IMPORTRANGE(""https://docs.googl"&amp;"e.com/spreadsheets/d/1BIDqLLg5jk3v59G8NlR8rk5xfQDKne0sAvZHSj7TI6I/edit?usp=sharing"",""พระนครศรีอยุธยา!Q337"")+IMPORTRANGE(""https://docs.google.com/spreadsheets/d/1YXvxf8Yu6_rV4hTBrwMqAcAnv6DfhUxh5emyM3CJp_w/edit?usp=sharing"",""เพชรบุรี!Q337"")+IMPORTRA"&amp;"NGE(""https://docs.google.com/spreadsheets/d/19KBlQQs7uwvsao6t2n-KvW3Ax8J8uRRfZPq1zPbXgKc/edit?usp=sharing"",""ระยอง!Q337"")+IMPORTRANGE(""https://docs.google.com/spreadsheets/d/1jQ6P4QcrGM89YfqcC_PxOHGCMq5ezhucwJd8ci-NHng/edit?usp=sharing"",""ราชบุรี!Q33"&amp;"7"")+IMPORTRANGE(""https://docs.google.com/spreadsheets/d/1lufeA2cfFqM-elVq2hznhDzC6Pr7wkJ9ZG_sYNGCMCU/edit?usp=sharing"",""ลพบุรี!Q337"")+IMPORTRANGE(""https://docs.google.com/spreadsheets/d/10oOiF7loTyfsTkbd4MpaIm0HQ9SwB7IYHdIUvt-U1Uc/edit?usp=sharing"""&amp;",""สระแก้ว!Q337"")+IMPORTRANGE(""https://docs.google.com/spreadsheets/d/1xmPlrr1QbdSIKvl1dWUl9K4PjAfSL9oeMr_37QVzcxc/edit?usp=sharing"",""สระบุรี!Q337"")+IMPORTRANGE(""https://docs.google.com/spreadsheets/d/1j51vR6CYVGhABJpv6tkstgok82RLpXieLzW1yOY5rHw/edi"&amp;"t?usp=sharing"",""สิงห์บุรี!Q337"")+IMPORTRANGE(""https://docs.google.com/spreadsheets/d/1H1EalTWKUSzO4Z1-1CwzoDUaVffgrThEBe2sl74kKG0/edit?usp=sharing"",""สุพรรณบุรี!Q337"")+IMPORTRANGE(""https://docs.google.com/spreadsheets/d/1BmIruG_sIrJLYao_Pdr7zVArWsf"&amp;"oBt2692TMi6x_854/edit?usp=sharing"",""อ่างทอง!Q337"")"),0)</f>
        <v>0</v>
      </c>
      <c r="R338" s="77">
        <f ca="1">IFERROR(__xludf.DUMMYFUNCTION("IMPORTRANGE(""https://docs.google.com/spreadsheets/d/13wPX838HrBrQMCywv1BsuMkt4PEKTChp52zj44s2izQ/edit?usp=sharing"",""กาญจนบุรี!R337"")+IMPORTRANGE(""https://docs.google.com/spreadsheets/d/1ddFKvqj1W1NEiWytbGlB1zMx_ykJDVtmfEQ-6-lIUBA/edit?usp=sharing"","&amp;"""จันทบุรี!R337"")+IMPORTRANGE(""https://docs.google.com/spreadsheets/d/1T1PQvRODqOBZk8BRht_U031fIS1beLA0Ub2CEytj2q0/edit?usp=sharing"",""ฉะเชิงเทรา!R337"")+IMPORTRANGE(""https://docs.google.com/spreadsheets/d/11tr1B-Bhyr79v2bkwVh5h_fR-PStkgjlZtkrZpYurG0/"&amp;"edit?usp=sharing"",""ชลบุรี!R337"")+IMPORTRANGE(""https://docs.google.com/spreadsheets/d/1hh-FVnSX0vozXhGluamEcS54Dw9_zqW0N7qJUWgJ0Sw/edit?usp=sharing"",""ชัยนาท!R337"")+IMPORTRANGE(""https://docs.google.com/spreadsheets/d/1jkqa6GXxSacMcY1eN8AHjMNJ_7dDXMJ"&amp;"VRLDlaFSOdPM/edit?usp=sharing"",""ตราด!R337"")+IMPORTRANGE(""https://docs.google.com/spreadsheets/d/18hSgUJ3VwClqi_qtULmmW3cLr0oe3OKaSYoKzdpTsYQ/edit?usp=sharing"",""นครนายก!R337"")+IMPORTRANGE(""https://docs.google.com/spreadsheets/d/1YTZo6WM2dQ6Ix6FSdnL"&amp;"5P7uVnVKu40sxZu975tgG10E/edit?usp=sharing"",""นครปฐม!R337"")+IMPORTRANGE(""https://docs.google.com/spreadsheets/d/1OYoGg4WDg5RIzwGeB10padOxJF9E_Vljuvvct_M7RDo/edit?usp=sharing"",""ปทุมธานี!R337"")+IMPORTRANGE(""https://docs.google.com/spreadsheets/d/1GbCI"&amp;"E4D4wk9FUozzqk7SxfDMxDVBwVmI5zcaVUSzKAc/edit?usp=sharing"",""ประจวบคีรีขันธ์!R337"")+IMPORTRANGE(""https://docs.google.com/spreadsheets/d/1vVf6wykvW_lAyu7Yo9L4hUTqHqIeP_qcVuxCtosJEbg/edit?usp=sharing"",""ปราจีนบุรี!R337"")+IMPORTRANGE(""https://docs.googl"&amp;"e.com/spreadsheets/d/1BIDqLLg5jk3v59G8NlR8rk5xfQDKne0sAvZHSj7TI6I/edit?usp=sharing"",""พระนครศรีอยุธยา!R337"")+IMPORTRANGE(""https://docs.google.com/spreadsheets/d/1YXvxf8Yu6_rV4hTBrwMqAcAnv6DfhUxh5emyM3CJp_w/edit?usp=sharing"",""เพชรบุรี!R337"")+IMPORTRA"&amp;"NGE(""https://docs.google.com/spreadsheets/d/19KBlQQs7uwvsao6t2n-KvW3Ax8J8uRRfZPq1zPbXgKc/edit?usp=sharing"",""ระยอง!R337"")+IMPORTRANGE(""https://docs.google.com/spreadsheets/d/1jQ6P4QcrGM89YfqcC_PxOHGCMq5ezhucwJd8ci-NHng/edit?usp=sharing"",""ราชบุรี!R33"&amp;"7"")+IMPORTRANGE(""https://docs.google.com/spreadsheets/d/1lufeA2cfFqM-elVq2hznhDzC6Pr7wkJ9ZG_sYNGCMCU/edit?usp=sharing"",""ลพบุรี!R337"")+IMPORTRANGE(""https://docs.google.com/spreadsheets/d/10oOiF7loTyfsTkbd4MpaIm0HQ9SwB7IYHdIUvt-U1Uc/edit?usp=sharing"""&amp;",""สระแก้ว!R337"")+IMPORTRANGE(""https://docs.google.com/spreadsheets/d/1xmPlrr1QbdSIKvl1dWUl9K4PjAfSL9oeMr_37QVzcxc/edit?usp=sharing"",""สระบุรี!R337"")+IMPORTRANGE(""https://docs.google.com/spreadsheets/d/1j51vR6CYVGhABJpv6tkstgok82RLpXieLzW1yOY5rHw/edi"&amp;"t?usp=sharing"",""สิงห์บุรี!R337"")+IMPORTRANGE(""https://docs.google.com/spreadsheets/d/1H1EalTWKUSzO4Z1-1CwzoDUaVffgrThEBe2sl74kKG0/edit?usp=sharing"",""สุพรรณบุรี!R337"")+IMPORTRANGE(""https://docs.google.com/spreadsheets/d/1BmIruG_sIrJLYao_Pdr7zVArWsf"&amp;"oBt2692TMi6x_854/edit?usp=sharing"",""อ่างทอง!R337"")"),0)</f>
        <v>0</v>
      </c>
      <c r="S338" s="77">
        <f ca="1">IFERROR(__xludf.DUMMYFUNCTION("IMPORTRANGE(""https://docs.google.com/spreadsheets/d/13wPX838HrBrQMCywv1BsuMkt4PEKTChp52zj44s2izQ/edit?usp=sharing"",""กาญจนบุรี!S337"")+IMPORTRANGE(""https://docs.google.com/spreadsheets/d/1ddFKvqj1W1NEiWytbGlB1zMx_ykJDVtmfEQ-6-lIUBA/edit?usp=sharing"","&amp;"""จันทบุรี!S337"")+IMPORTRANGE(""https://docs.google.com/spreadsheets/d/1T1PQvRODqOBZk8BRht_U031fIS1beLA0Ub2CEytj2q0/edit?usp=sharing"",""ฉะเชิงเทรา!S337"")+IMPORTRANGE(""https://docs.google.com/spreadsheets/d/11tr1B-Bhyr79v2bkwVh5h_fR-PStkgjlZtkrZpYurG0/"&amp;"edit?usp=sharing"",""ชลบุรี!S337"")+IMPORTRANGE(""https://docs.google.com/spreadsheets/d/1hh-FVnSX0vozXhGluamEcS54Dw9_zqW0N7qJUWgJ0Sw/edit?usp=sharing"",""ชัยนาท!S337"")+IMPORTRANGE(""https://docs.google.com/spreadsheets/d/1jkqa6GXxSacMcY1eN8AHjMNJ_7dDXMJ"&amp;"VRLDlaFSOdPM/edit?usp=sharing"",""ตราด!S337"")+IMPORTRANGE(""https://docs.google.com/spreadsheets/d/18hSgUJ3VwClqi_qtULmmW3cLr0oe3OKaSYoKzdpTsYQ/edit?usp=sharing"",""นครนายก!S337"")+IMPORTRANGE(""https://docs.google.com/spreadsheets/d/1YTZo6WM2dQ6Ix6FSdnL"&amp;"5P7uVnVKu40sxZu975tgG10E/edit?usp=sharing"",""นครปฐม!S337"")+IMPORTRANGE(""https://docs.google.com/spreadsheets/d/1OYoGg4WDg5RIzwGeB10padOxJF9E_Vljuvvct_M7RDo/edit?usp=sharing"",""ปทุมธานี!S337"")+IMPORTRANGE(""https://docs.google.com/spreadsheets/d/1GbCI"&amp;"E4D4wk9FUozzqk7SxfDMxDVBwVmI5zcaVUSzKAc/edit?usp=sharing"",""ประจวบคีรีขันธ์!S337"")+IMPORTRANGE(""https://docs.google.com/spreadsheets/d/1vVf6wykvW_lAyu7Yo9L4hUTqHqIeP_qcVuxCtosJEbg/edit?usp=sharing"",""ปราจีนบุรี!S337"")+IMPORTRANGE(""https://docs.googl"&amp;"e.com/spreadsheets/d/1BIDqLLg5jk3v59G8NlR8rk5xfQDKne0sAvZHSj7TI6I/edit?usp=sharing"",""พระนครศรีอยุธยา!S337"")+IMPORTRANGE(""https://docs.google.com/spreadsheets/d/1YXvxf8Yu6_rV4hTBrwMqAcAnv6DfhUxh5emyM3CJp_w/edit?usp=sharing"",""เพชรบุรี!S337"")+IMPORTRA"&amp;"NGE(""https://docs.google.com/spreadsheets/d/19KBlQQs7uwvsao6t2n-KvW3Ax8J8uRRfZPq1zPbXgKc/edit?usp=sharing"",""ระยอง!S337"")+IMPORTRANGE(""https://docs.google.com/spreadsheets/d/1jQ6P4QcrGM89YfqcC_PxOHGCMq5ezhucwJd8ci-NHng/edit?usp=sharing"",""ราชบุรี!S33"&amp;"7"")+IMPORTRANGE(""https://docs.google.com/spreadsheets/d/1lufeA2cfFqM-elVq2hznhDzC6Pr7wkJ9ZG_sYNGCMCU/edit?usp=sharing"",""ลพบุรี!S337"")+IMPORTRANGE(""https://docs.google.com/spreadsheets/d/10oOiF7loTyfsTkbd4MpaIm0HQ9SwB7IYHdIUvt-U1Uc/edit?usp=sharing"""&amp;",""สระแก้ว!S337"")+IMPORTRANGE(""https://docs.google.com/spreadsheets/d/1xmPlrr1QbdSIKvl1dWUl9K4PjAfSL9oeMr_37QVzcxc/edit?usp=sharing"",""สระบุรี!S337"")+IMPORTRANGE(""https://docs.google.com/spreadsheets/d/1j51vR6CYVGhABJpv6tkstgok82RLpXieLzW1yOY5rHw/edi"&amp;"t?usp=sharing"",""สิงห์บุรี!S337"")+IMPORTRANGE(""https://docs.google.com/spreadsheets/d/1H1EalTWKUSzO4Z1-1CwzoDUaVffgrThEBe2sl74kKG0/edit?usp=sharing"",""สุพรรณบุรี!S337"")+IMPORTRANGE(""https://docs.google.com/spreadsheets/d/1BmIruG_sIrJLYao_Pdr7zVArWsf"&amp;"oBt2692TMi6x_854/edit?usp=sharing"",""อ่างทอง!S337"")"),0)</f>
        <v>0</v>
      </c>
      <c r="T338" s="133">
        <f t="shared" ca="1" si="248"/>
        <v>0</v>
      </c>
      <c r="U338" s="133">
        <f t="shared" ca="1" si="249"/>
        <v>0</v>
      </c>
    </row>
    <row r="339" spans="1:21" ht="18.75" x14ac:dyDescent="0.25">
      <c r="A339" s="209"/>
      <c r="B339" s="67"/>
      <c r="C339" s="67"/>
      <c r="D339" s="67"/>
      <c r="E339" s="75" t="s">
        <v>37</v>
      </c>
      <c r="F339" s="67"/>
      <c r="G339" s="69"/>
      <c r="H339" s="218" t="s">
        <v>14</v>
      </c>
      <c r="I339" s="219"/>
      <c r="J339" s="219"/>
      <c r="K339" s="220"/>
      <c r="L339" s="88">
        <f ca="1">IFERROR(__xludf.DUMMYFUNCTION("IMPORTRANGE(""https://docs.google.com/spreadsheets/d/13wPX838HrBrQMCywv1BsuMkt4PEKTChp52zj44s2izQ/edit?usp=sharing"",""กาญจนบุรี!L338"")+IMPORTRANGE(""https://docs.google.com/spreadsheets/d/1ddFKvqj1W1NEiWytbGlB1zMx_ykJDVtmfEQ-6-lIUBA/edit?usp=sharing"","&amp;"""จันทบุรี!L338"")+IMPORTRANGE(""https://docs.google.com/spreadsheets/d/1T1PQvRODqOBZk8BRht_U031fIS1beLA0Ub2CEytj2q0/edit?usp=sharing"",""ฉะเชิงเทรา!L338"")+IMPORTRANGE(""https://docs.google.com/spreadsheets/d/11tr1B-Bhyr79v2bkwVh5h_fR-PStkgjlZtkrZpYurG0/"&amp;"edit?usp=sharing"",""ชลบุรี!L338"")+IMPORTRANGE(""https://docs.google.com/spreadsheets/d/1hh-FVnSX0vozXhGluamEcS54Dw9_zqW0N7qJUWgJ0Sw/edit?usp=sharing"",""ชัยนาท!L338"")+IMPORTRANGE(""https://docs.google.com/spreadsheets/d/1jkqa6GXxSacMcY1eN8AHjMNJ_7dDXMJ"&amp;"VRLDlaFSOdPM/edit?usp=sharing"",""ตราด!L338"")+IMPORTRANGE(""https://docs.google.com/spreadsheets/d/18hSgUJ3VwClqi_qtULmmW3cLr0oe3OKaSYoKzdpTsYQ/edit?usp=sharing"",""นครนายก!L338"")+IMPORTRANGE(""https://docs.google.com/spreadsheets/d/1YTZo6WM2dQ6Ix6FSdnL"&amp;"5P7uVnVKu40sxZu975tgG10E/edit?usp=sharing"",""นครปฐม!L338"")+IMPORTRANGE(""https://docs.google.com/spreadsheets/d/1OYoGg4WDg5RIzwGeB10padOxJF9E_Vljuvvct_M7RDo/edit?usp=sharing"",""ปทุมธานี!L338"")+IMPORTRANGE(""https://docs.google.com/spreadsheets/d/1GbCI"&amp;"E4D4wk9FUozzqk7SxfDMxDVBwVmI5zcaVUSzKAc/edit?usp=sharing"",""ประจวบคีรีขันธ์!L338"")+IMPORTRANGE(""https://docs.google.com/spreadsheets/d/1vVf6wykvW_lAyu7Yo9L4hUTqHqIeP_qcVuxCtosJEbg/edit?usp=sharing"",""ปราจีนบุรี!L338"")+IMPORTRANGE(""https://docs.googl"&amp;"e.com/spreadsheets/d/1BIDqLLg5jk3v59G8NlR8rk5xfQDKne0sAvZHSj7TI6I/edit?usp=sharing"",""พระนครศรีอยุธยา!L338"")+IMPORTRANGE(""https://docs.google.com/spreadsheets/d/1YXvxf8Yu6_rV4hTBrwMqAcAnv6DfhUxh5emyM3CJp_w/edit?usp=sharing"",""เพชรบุรี!L338"")+IMPORTRA"&amp;"NGE(""https://docs.google.com/spreadsheets/d/19KBlQQs7uwvsao6t2n-KvW3Ax8J8uRRfZPq1zPbXgKc/edit?usp=sharing"",""ระยอง!L338"")+IMPORTRANGE(""https://docs.google.com/spreadsheets/d/1jQ6P4QcrGM89YfqcC_PxOHGCMq5ezhucwJd8ci-NHng/edit?usp=sharing"",""ราชบุรี!L33"&amp;"8"")+IMPORTRANGE(""https://docs.google.com/spreadsheets/d/1lufeA2cfFqM-elVq2hznhDzC6Pr7wkJ9ZG_sYNGCMCU/edit?usp=sharing"",""ลพบุรี!L338"")+IMPORTRANGE(""https://docs.google.com/spreadsheets/d/10oOiF7loTyfsTkbd4MpaIm0HQ9SwB7IYHdIUvt-U1Uc/edit?usp=sharing"""&amp;",""สระแก้ว!L338"")+IMPORTRANGE(""https://docs.google.com/spreadsheets/d/1xmPlrr1QbdSIKvl1dWUl9K4PjAfSL9oeMr_37QVzcxc/edit?usp=sharing"",""สระบุรี!L338"")+IMPORTRANGE(""https://docs.google.com/spreadsheets/d/1j51vR6CYVGhABJpv6tkstgok82RLpXieLzW1yOY5rHw/edi"&amp;"t?usp=sharing"",""สิงห์บุรี!L338"")+IMPORTRANGE(""https://docs.google.com/spreadsheets/d/1H1EalTWKUSzO4Z1-1CwzoDUaVffgrThEBe2sl74kKG0/edit?usp=sharing"",""สุพรรณบุรี!L338"")+IMPORTRANGE(""https://docs.google.com/spreadsheets/d/1BmIruG_sIrJLYao_Pdr7zVArWsf"&amp;"oBt2692TMi6x_854/edit?usp=sharing"",""อ่างทอง!L338"")"),4015000)</f>
        <v>4015000</v>
      </c>
      <c r="M339" s="88">
        <f ca="1">IFERROR(__xludf.DUMMYFUNCTION("IMPORTRANGE(""https://docs.google.com/spreadsheets/d/13wPX838HrBrQMCywv1BsuMkt4PEKTChp52zj44s2izQ/edit?usp=sharing"",""กาญจนบุรี!M338"")+IMPORTRANGE(""https://docs.google.com/spreadsheets/d/1ddFKvqj1W1NEiWytbGlB1zMx_ykJDVtmfEQ-6-lIUBA/edit?usp=sharing"","&amp;"""จันทบุรี!M338"")+IMPORTRANGE(""https://docs.google.com/spreadsheets/d/1T1PQvRODqOBZk8BRht_U031fIS1beLA0Ub2CEytj2q0/edit?usp=sharing"",""ฉะเชิงเทรา!M338"")+IMPORTRANGE(""https://docs.google.com/spreadsheets/d/11tr1B-Bhyr79v2bkwVh5h_fR-PStkgjlZtkrZpYurG0/"&amp;"edit?usp=sharing"",""ชลบุรี!M338"")+IMPORTRANGE(""https://docs.google.com/spreadsheets/d/1hh-FVnSX0vozXhGluamEcS54Dw9_zqW0N7qJUWgJ0Sw/edit?usp=sharing"",""ชัยนาท!M338"")+IMPORTRANGE(""https://docs.google.com/spreadsheets/d/1jkqa6GXxSacMcY1eN8AHjMNJ_7dDXMJ"&amp;"VRLDlaFSOdPM/edit?usp=sharing"",""ตราด!M338"")+IMPORTRANGE(""https://docs.google.com/spreadsheets/d/18hSgUJ3VwClqi_qtULmmW3cLr0oe3OKaSYoKzdpTsYQ/edit?usp=sharing"",""นครนายก!M338"")+IMPORTRANGE(""https://docs.google.com/spreadsheets/d/1YTZo6WM2dQ6Ix6FSdnL"&amp;"5P7uVnVKu40sxZu975tgG10E/edit?usp=sharing"",""นครปฐม!M338"")+IMPORTRANGE(""https://docs.google.com/spreadsheets/d/1OYoGg4WDg5RIzwGeB10padOxJF9E_Vljuvvct_M7RDo/edit?usp=sharing"",""ปทุมธานี!M338"")+IMPORTRANGE(""https://docs.google.com/spreadsheets/d/1GbCI"&amp;"E4D4wk9FUozzqk7SxfDMxDVBwVmI5zcaVUSzKAc/edit?usp=sharing"",""ประจวบคีรีขันธ์!M338"")+IMPORTRANGE(""https://docs.google.com/spreadsheets/d/1vVf6wykvW_lAyu7Yo9L4hUTqHqIeP_qcVuxCtosJEbg/edit?usp=sharing"",""ปราจีนบุรี!M338"")+IMPORTRANGE(""https://docs.googl"&amp;"e.com/spreadsheets/d/1BIDqLLg5jk3v59G8NlR8rk5xfQDKne0sAvZHSj7TI6I/edit?usp=sharing"",""พระนครศรีอยุธยา!M338"")+IMPORTRANGE(""https://docs.google.com/spreadsheets/d/1YXvxf8Yu6_rV4hTBrwMqAcAnv6DfhUxh5emyM3CJp_w/edit?usp=sharing"",""เพชรบุรี!M338"")+IMPORTRA"&amp;"NGE(""https://docs.google.com/spreadsheets/d/19KBlQQs7uwvsao6t2n-KvW3Ax8J8uRRfZPq1zPbXgKc/edit?usp=sharing"",""ระยอง!M338"")+IMPORTRANGE(""https://docs.google.com/spreadsheets/d/1jQ6P4QcrGM89YfqcC_PxOHGCMq5ezhucwJd8ci-NHng/edit?usp=sharing"",""ราชบุรี!M33"&amp;"8"")+IMPORTRANGE(""https://docs.google.com/spreadsheets/d/1lufeA2cfFqM-elVq2hznhDzC6Pr7wkJ9ZG_sYNGCMCU/edit?usp=sharing"",""ลพบุรี!M338"")+IMPORTRANGE(""https://docs.google.com/spreadsheets/d/10oOiF7loTyfsTkbd4MpaIm0HQ9SwB7IYHdIUvt-U1Uc/edit?usp=sharing"""&amp;",""สระแก้ว!M338"")+IMPORTRANGE(""https://docs.google.com/spreadsheets/d/1xmPlrr1QbdSIKvl1dWUl9K4PjAfSL9oeMr_37QVzcxc/edit?usp=sharing"",""สระบุรี!M338"")+IMPORTRANGE(""https://docs.google.com/spreadsheets/d/1j51vR6CYVGhABJpv6tkstgok82RLpXieLzW1yOY5rHw/edi"&amp;"t?usp=sharing"",""สิงห์บุรี!M338"")+IMPORTRANGE(""https://docs.google.com/spreadsheets/d/1H1EalTWKUSzO4Z1-1CwzoDUaVffgrThEBe2sl74kKG0/edit?usp=sharing"",""สุพรรณบุรี!M338"")+IMPORTRANGE(""https://docs.google.com/spreadsheets/d/1BmIruG_sIrJLYao_Pdr7zVArWsf"&amp;"oBt2692TMi6x_854/edit?usp=sharing"",""อ่างทอง!M338"")"),4095000)</f>
        <v>4095000</v>
      </c>
      <c r="N339" s="88">
        <f ca="1">IFERROR(__xludf.DUMMYFUNCTION("IMPORTRANGE(""https://docs.google.com/spreadsheets/d/13wPX838HrBrQMCywv1BsuMkt4PEKTChp52zj44s2izQ/edit?usp=sharing"",""กาญจนบุรี!N338"")+IMPORTRANGE(""https://docs.google.com/spreadsheets/d/1ddFKvqj1W1NEiWytbGlB1zMx_ykJDVtmfEQ-6-lIUBA/edit?usp=sharing"","&amp;"""จันทบุรี!N338"")+IMPORTRANGE(""https://docs.google.com/spreadsheets/d/1T1PQvRODqOBZk8BRht_U031fIS1beLA0Ub2CEytj2q0/edit?usp=sharing"",""ฉะเชิงเทรา!N338"")+IMPORTRANGE(""https://docs.google.com/spreadsheets/d/11tr1B-Bhyr79v2bkwVh5h_fR-PStkgjlZtkrZpYurG0/"&amp;"edit?usp=sharing"",""ชลบุรี!N338"")+IMPORTRANGE(""https://docs.google.com/spreadsheets/d/1hh-FVnSX0vozXhGluamEcS54Dw9_zqW0N7qJUWgJ0Sw/edit?usp=sharing"",""ชัยนาท!N338"")+IMPORTRANGE(""https://docs.google.com/spreadsheets/d/1jkqa6GXxSacMcY1eN8AHjMNJ_7dDXMJ"&amp;"VRLDlaFSOdPM/edit?usp=sharing"",""ตราด!N338"")+IMPORTRANGE(""https://docs.google.com/spreadsheets/d/18hSgUJ3VwClqi_qtULmmW3cLr0oe3OKaSYoKzdpTsYQ/edit?usp=sharing"",""นครนายก!N338"")+IMPORTRANGE(""https://docs.google.com/spreadsheets/d/1YTZo6WM2dQ6Ix6FSdnL"&amp;"5P7uVnVKu40sxZu975tgG10E/edit?usp=sharing"",""นครปฐม!N338"")+IMPORTRANGE(""https://docs.google.com/spreadsheets/d/1OYoGg4WDg5RIzwGeB10padOxJF9E_Vljuvvct_M7RDo/edit?usp=sharing"",""ปทุมธานี!N338"")+IMPORTRANGE(""https://docs.google.com/spreadsheets/d/1GbCI"&amp;"E4D4wk9FUozzqk7SxfDMxDVBwVmI5zcaVUSzKAc/edit?usp=sharing"",""ประจวบคีรีขันธ์!N338"")+IMPORTRANGE(""https://docs.google.com/spreadsheets/d/1vVf6wykvW_lAyu7Yo9L4hUTqHqIeP_qcVuxCtosJEbg/edit?usp=sharing"",""ปราจีนบุรี!N338"")+IMPORTRANGE(""https://docs.googl"&amp;"e.com/spreadsheets/d/1BIDqLLg5jk3v59G8NlR8rk5xfQDKne0sAvZHSj7TI6I/edit?usp=sharing"",""พระนครศรีอยุธยา!N338"")+IMPORTRANGE(""https://docs.google.com/spreadsheets/d/1YXvxf8Yu6_rV4hTBrwMqAcAnv6DfhUxh5emyM3CJp_w/edit?usp=sharing"",""เพชรบุรี!N338"")+IMPORTRA"&amp;"NGE(""https://docs.google.com/spreadsheets/d/19KBlQQs7uwvsao6t2n-KvW3Ax8J8uRRfZPq1zPbXgKc/edit?usp=sharing"",""ระยอง!N338"")+IMPORTRANGE(""https://docs.google.com/spreadsheets/d/1jQ6P4QcrGM89YfqcC_PxOHGCMq5ezhucwJd8ci-NHng/edit?usp=sharing"",""ราชบุรี!N33"&amp;"8"")+IMPORTRANGE(""https://docs.google.com/spreadsheets/d/1lufeA2cfFqM-elVq2hznhDzC6Pr7wkJ9ZG_sYNGCMCU/edit?usp=sharing"",""ลพบุรี!N338"")+IMPORTRANGE(""https://docs.google.com/spreadsheets/d/10oOiF7loTyfsTkbd4MpaIm0HQ9SwB7IYHdIUvt-U1Uc/edit?usp=sharing"""&amp;",""สระแก้ว!N338"")+IMPORTRANGE(""https://docs.google.com/spreadsheets/d/1xmPlrr1QbdSIKvl1dWUl9K4PjAfSL9oeMr_37QVzcxc/edit?usp=sharing"",""สระบุรี!N338"")+IMPORTRANGE(""https://docs.google.com/spreadsheets/d/1j51vR6CYVGhABJpv6tkstgok82RLpXieLzW1yOY5rHw/edi"&amp;"t?usp=sharing"",""สิงห์บุรี!N338"")+IMPORTRANGE(""https://docs.google.com/spreadsheets/d/1H1EalTWKUSzO4Z1-1CwzoDUaVffgrThEBe2sl74kKG0/edit?usp=sharing"",""สุพรรณบุรี!N338"")+IMPORTRANGE(""https://docs.google.com/spreadsheets/d/1BmIruG_sIrJLYao_Pdr7zVArWsf"&amp;"oBt2692TMi6x_854/edit?usp=sharing"",""อ่างทอง!N338"")"),2081927.53)</f>
        <v>2081927.53</v>
      </c>
      <c r="O339" s="88">
        <f t="shared" ca="1" si="245"/>
        <v>51.853736737235366</v>
      </c>
      <c r="P339" s="88">
        <f t="shared" ca="1" si="246"/>
        <v>50.840721123321124</v>
      </c>
      <c r="Q339" s="73">
        <f ca="1">IFERROR(__xludf.DUMMYFUNCTION("IMPORTRANGE(""https://docs.google.com/spreadsheets/d/13wPX838HrBrQMCywv1BsuMkt4PEKTChp52zj44s2izQ/edit?usp=sharing"",""กาญจนบุรี!Q338"")+IMPORTRANGE(""https://docs.google.com/spreadsheets/d/1ddFKvqj1W1NEiWytbGlB1zMx_ykJDVtmfEQ-6-lIUBA/edit?usp=sharing"","&amp;"""จันทบุรี!Q338"")+IMPORTRANGE(""https://docs.google.com/spreadsheets/d/1T1PQvRODqOBZk8BRht_U031fIS1beLA0Ub2CEytj2q0/edit?usp=sharing"",""ฉะเชิงเทรา!Q338"")+IMPORTRANGE(""https://docs.google.com/spreadsheets/d/11tr1B-Bhyr79v2bkwVh5h_fR-PStkgjlZtkrZpYurG0/"&amp;"edit?usp=sharing"",""ชลบุรี!Q338"")+IMPORTRANGE(""https://docs.google.com/spreadsheets/d/1hh-FVnSX0vozXhGluamEcS54Dw9_zqW0N7qJUWgJ0Sw/edit?usp=sharing"",""ชัยนาท!Q338"")+IMPORTRANGE(""https://docs.google.com/spreadsheets/d/1jkqa6GXxSacMcY1eN8AHjMNJ_7dDXMJ"&amp;"VRLDlaFSOdPM/edit?usp=sharing"",""ตราด!Q338"")+IMPORTRANGE(""https://docs.google.com/spreadsheets/d/18hSgUJ3VwClqi_qtULmmW3cLr0oe3OKaSYoKzdpTsYQ/edit?usp=sharing"",""นครนายก!Q338"")+IMPORTRANGE(""https://docs.google.com/spreadsheets/d/1YTZo6WM2dQ6Ix6FSdnL"&amp;"5P7uVnVKu40sxZu975tgG10E/edit?usp=sharing"",""นครปฐม!Q338"")+IMPORTRANGE(""https://docs.google.com/spreadsheets/d/1OYoGg4WDg5RIzwGeB10padOxJF9E_Vljuvvct_M7RDo/edit?usp=sharing"",""ปทุมธานี!Q338"")+IMPORTRANGE(""https://docs.google.com/spreadsheets/d/1GbCI"&amp;"E4D4wk9FUozzqk7SxfDMxDVBwVmI5zcaVUSzKAc/edit?usp=sharing"",""ประจวบคีรีขันธ์!Q338"")+IMPORTRANGE(""https://docs.google.com/spreadsheets/d/1vVf6wykvW_lAyu7Yo9L4hUTqHqIeP_qcVuxCtosJEbg/edit?usp=sharing"",""ปราจีนบุรี!Q338"")+IMPORTRANGE(""https://docs.googl"&amp;"e.com/spreadsheets/d/1BIDqLLg5jk3v59G8NlR8rk5xfQDKne0sAvZHSj7TI6I/edit?usp=sharing"",""พระนครศรีอยุธยา!Q338"")+IMPORTRANGE(""https://docs.google.com/spreadsheets/d/1YXvxf8Yu6_rV4hTBrwMqAcAnv6DfhUxh5emyM3CJp_w/edit?usp=sharing"",""เพชรบุรี!Q338"")+IMPORTRA"&amp;"NGE(""https://docs.google.com/spreadsheets/d/19KBlQQs7uwvsao6t2n-KvW3Ax8J8uRRfZPq1zPbXgKc/edit?usp=sharing"",""ระยอง!Q338"")+IMPORTRANGE(""https://docs.google.com/spreadsheets/d/1jQ6P4QcrGM89YfqcC_PxOHGCMq5ezhucwJd8ci-NHng/edit?usp=sharing"",""ราชบุรี!Q33"&amp;"8"")+IMPORTRANGE(""https://docs.google.com/spreadsheets/d/1lufeA2cfFqM-elVq2hznhDzC6Pr7wkJ9ZG_sYNGCMCU/edit?usp=sharing"",""ลพบุรี!Q338"")+IMPORTRANGE(""https://docs.google.com/spreadsheets/d/10oOiF7loTyfsTkbd4MpaIm0HQ9SwB7IYHdIUvt-U1Uc/edit?usp=sharing"""&amp;",""สระแก้ว!Q338"")+IMPORTRANGE(""https://docs.google.com/spreadsheets/d/1xmPlrr1QbdSIKvl1dWUl9K4PjAfSL9oeMr_37QVzcxc/edit?usp=sharing"",""สระบุรี!Q338"")+IMPORTRANGE(""https://docs.google.com/spreadsheets/d/1j51vR6CYVGhABJpv6tkstgok82RLpXieLzW1yOY5rHw/edi"&amp;"t?usp=sharing"",""สิงห์บุรี!Q338"")+IMPORTRANGE(""https://docs.google.com/spreadsheets/d/1H1EalTWKUSzO4Z1-1CwzoDUaVffgrThEBe2sl74kKG0/edit?usp=sharing"",""สุพรรณบุรี!Q338"")+IMPORTRANGE(""https://docs.google.com/spreadsheets/d/1BmIruG_sIrJLYao_Pdr7zVArWsf"&amp;"oBt2692TMi6x_854/edit?usp=sharing"",""อ่างทอง!Q338"")"),0)</f>
        <v>0</v>
      </c>
      <c r="R339" s="74">
        <f ca="1">IFERROR(__xludf.DUMMYFUNCTION("IMPORTRANGE(""https://docs.google.com/spreadsheets/d/13wPX838HrBrQMCywv1BsuMkt4PEKTChp52zj44s2izQ/edit?usp=sharing"",""กาญจนบุรี!R338"")+IMPORTRANGE(""https://docs.google.com/spreadsheets/d/1ddFKvqj1W1NEiWytbGlB1zMx_ykJDVtmfEQ-6-lIUBA/edit?usp=sharing"","&amp;"""จันทบุรี!R338"")+IMPORTRANGE(""https://docs.google.com/spreadsheets/d/1T1PQvRODqOBZk8BRht_U031fIS1beLA0Ub2CEytj2q0/edit?usp=sharing"",""ฉะเชิงเทรา!R338"")+IMPORTRANGE(""https://docs.google.com/spreadsheets/d/11tr1B-Bhyr79v2bkwVh5h_fR-PStkgjlZtkrZpYurG0/"&amp;"edit?usp=sharing"",""ชลบุรี!R338"")+IMPORTRANGE(""https://docs.google.com/spreadsheets/d/1hh-FVnSX0vozXhGluamEcS54Dw9_zqW0N7qJUWgJ0Sw/edit?usp=sharing"",""ชัยนาท!R338"")+IMPORTRANGE(""https://docs.google.com/spreadsheets/d/1jkqa6GXxSacMcY1eN8AHjMNJ_7dDXMJ"&amp;"VRLDlaFSOdPM/edit?usp=sharing"",""ตราด!R338"")+IMPORTRANGE(""https://docs.google.com/spreadsheets/d/18hSgUJ3VwClqi_qtULmmW3cLr0oe3OKaSYoKzdpTsYQ/edit?usp=sharing"",""นครนายก!R338"")+IMPORTRANGE(""https://docs.google.com/spreadsheets/d/1YTZo6WM2dQ6Ix6FSdnL"&amp;"5P7uVnVKu40sxZu975tgG10E/edit?usp=sharing"",""นครปฐม!R338"")+IMPORTRANGE(""https://docs.google.com/spreadsheets/d/1OYoGg4WDg5RIzwGeB10padOxJF9E_Vljuvvct_M7RDo/edit?usp=sharing"",""ปทุมธานี!R338"")+IMPORTRANGE(""https://docs.google.com/spreadsheets/d/1GbCI"&amp;"E4D4wk9FUozzqk7SxfDMxDVBwVmI5zcaVUSzKAc/edit?usp=sharing"",""ประจวบคีรีขันธ์!R338"")+IMPORTRANGE(""https://docs.google.com/spreadsheets/d/1vVf6wykvW_lAyu7Yo9L4hUTqHqIeP_qcVuxCtosJEbg/edit?usp=sharing"",""ปราจีนบุรี!R338"")+IMPORTRANGE(""https://docs.googl"&amp;"e.com/spreadsheets/d/1BIDqLLg5jk3v59G8NlR8rk5xfQDKne0sAvZHSj7TI6I/edit?usp=sharing"",""พระนครศรีอยุธยา!R338"")+IMPORTRANGE(""https://docs.google.com/spreadsheets/d/1YXvxf8Yu6_rV4hTBrwMqAcAnv6DfhUxh5emyM3CJp_w/edit?usp=sharing"",""เพชรบุรี!R338"")+IMPORTRA"&amp;"NGE(""https://docs.google.com/spreadsheets/d/19KBlQQs7uwvsao6t2n-KvW3Ax8J8uRRfZPq1zPbXgKc/edit?usp=sharing"",""ระยอง!R338"")+IMPORTRANGE(""https://docs.google.com/spreadsheets/d/1jQ6P4QcrGM89YfqcC_PxOHGCMq5ezhucwJd8ci-NHng/edit?usp=sharing"",""ราชบุรี!R33"&amp;"8"")+IMPORTRANGE(""https://docs.google.com/spreadsheets/d/1lufeA2cfFqM-elVq2hznhDzC6Pr7wkJ9ZG_sYNGCMCU/edit?usp=sharing"",""ลพบุรี!R338"")+IMPORTRANGE(""https://docs.google.com/spreadsheets/d/10oOiF7loTyfsTkbd4MpaIm0HQ9SwB7IYHdIUvt-U1Uc/edit?usp=sharing"""&amp;",""สระแก้ว!R338"")+IMPORTRANGE(""https://docs.google.com/spreadsheets/d/1xmPlrr1QbdSIKvl1dWUl9K4PjAfSL9oeMr_37QVzcxc/edit?usp=sharing"",""สระบุรี!R338"")+IMPORTRANGE(""https://docs.google.com/spreadsheets/d/1j51vR6CYVGhABJpv6tkstgok82RLpXieLzW1yOY5rHw/edi"&amp;"t?usp=sharing"",""สิงห์บุรี!R338"")+IMPORTRANGE(""https://docs.google.com/spreadsheets/d/1H1EalTWKUSzO4Z1-1CwzoDUaVffgrThEBe2sl74kKG0/edit?usp=sharing"",""สุพรรณบุรี!R338"")+IMPORTRANGE(""https://docs.google.com/spreadsheets/d/1BmIruG_sIrJLYao_Pdr7zVArWsf"&amp;"oBt2692TMi6x_854/edit?usp=sharing"",""อ่างทอง!R338"")"),0)</f>
        <v>0</v>
      </c>
      <c r="S339" s="74">
        <f ca="1">IFERROR(__xludf.DUMMYFUNCTION("IMPORTRANGE(""https://docs.google.com/spreadsheets/d/13wPX838HrBrQMCywv1BsuMkt4PEKTChp52zj44s2izQ/edit?usp=sharing"",""กาญจนบุรี!S338"")+IMPORTRANGE(""https://docs.google.com/spreadsheets/d/1ddFKvqj1W1NEiWytbGlB1zMx_ykJDVtmfEQ-6-lIUBA/edit?usp=sharing"","&amp;"""จันทบุรี!S338"")+IMPORTRANGE(""https://docs.google.com/spreadsheets/d/1T1PQvRODqOBZk8BRht_U031fIS1beLA0Ub2CEytj2q0/edit?usp=sharing"",""ฉะเชิงเทรา!S338"")+IMPORTRANGE(""https://docs.google.com/spreadsheets/d/11tr1B-Bhyr79v2bkwVh5h_fR-PStkgjlZtkrZpYurG0/"&amp;"edit?usp=sharing"",""ชลบุรี!S338"")+IMPORTRANGE(""https://docs.google.com/spreadsheets/d/1hh-FVnSX0vozXhGluamEcS54Dw9_zqW0N7qJUWgJ0Sw/edit?usp=sharing"",""ชัยนาท!S338"")+IMPORTRANGE(""https://docs.google.com/spreadsheets/d/1jkqa6GXxSacMcY1eN8AHjMNJ_7dDXMJ"&amp;"VRLDlaFSOdPM/edit?usp=sharing"",""ตราด!S338"")+IMPORTRANGE(""https://docs.google.com/spreadsheets/d/18hSgUJ3VwClqi_qtULmmW3cLr0oe3OKaSYoKzdpTsYQ/edit?usp=sharing"",""นครนายก!S338"")+IMPORTRANGE(""https://docs.google.com/spreadsheets/d/1YTZo6WM2dQ6Ix6FSdnL"&amp;"5P7uVnVKu40sxZu975tgG10E/edit?usp=sharing"",""นครปฐม!S338"")+IMPORTRANGE(""https://docs.google.com/spreadsheets/d/1OYoGg4WDg5RIzwGeB10padOxJF9E_Vljuvvct_M7RDo/edit?usp=sharing"",""ปทุมธานี!S338"")+IMPORTRANGE(""https://docs.google.com/spreadsheets/d/1GbCI"&amp;"E4D4wk9FUozzqk7SxfDMxDVBwVmI5zcaVUSzKAc/edit?usp=sharing"",""ประจวบคีรีขันธ์!S338"")+IMPORTRANGE(""https://docs.google.com/spreadsheets/d/1vVf6wykvW_lAyu7Yo9L4hUTqHqIeP_qcVuxCtosJEbg/edit?usp=sharing"",""ปราจีนบุรี!S338"")+IMPORTRANGE(""https://docs.googl"&amp;"e.com/spreadsheets/d/1BIDqLLg5jk3v59G8NlR8rk5xfQDKne0sAvZHSj7TI6I/edit?usp=sharing"",""พระนครศรีอยุธยา!S338"")+IMPORTRANGE(""https://docs.google.com/spreadsheets/d/1YXvxf8Yu6_rV4hTBrwMqAcAnv6DfhUxh5emyM3CJp_w/edit?usp=sharing"",""เพชรบุรี!S338"")+IMPORTRA"&amp;"NGE(""https://docs.google.com/spreadsheets/d/19KBlQQs7uwvsao6t2n-KvW3Ax8J8uRRfZPq1zPbXgKc/edit?usp=sharing"",""ระยอง!S338"")+IMPORTRANGE(""https://docs.google.com/spreadsheets/d/1jQ6P4QcrGM89YfqcC_PxOHGCMq5ezhucwJd8ci-NHng/edit?usp=sharing"",""ราชบุรี!S33"&amp;"8"")+IMPORTRANGE(""https://docs.google.com/spreadsheets/d/1lufeA2cfFqM-elVq2hznhDzC6Pr7wkJ9ZG_sYNGCMCU/edit?usp=sharing"",""ลพบุรี!S338"")+IMPORTRANGE(""https://docs.google.com/spreadsheets/d/10oOiF7loTyfsTkbd4MpaIm0HQ9SwB7IYHdIUvt-U1Uc/edit?usp=sharing"""&amp;",""สระแก้ว!S338"")+IMPORTRANGE(""https://docs.google.com/spreadsheets/d/1xmPlrr1QbdSIKvl1dWUl9K4PjAfSL9oeMr_37QVzcxc/edit?usp=sharing"",""สระบุรี!S338"")+IMPORTRANGE(""https://docs.google.com/spreadsheets/d/1j51vR6CYVGhABJpv6tkstgok82RLpXieLzW1yOY5rHw/edi"&amp;"t?usp=sharing"",""สิงห์บุรี!S338"")+IMPORTRANGE(""https://docs.google.com/spreadsheets/d/1H1EalTWKUSzO4Z1-1CwzoDUaVffgrThEBe2sl74kKG0/edit?usp=sharing"",""สุพรรณบุรี!S338"")+IMPORTRANGE(""https://docs.google.com/spreadsheets/d/1BmIruG_sIrJLYao_Pdr7zVArWsf"&amp;"oBt2692TMi6x_854/edit?usp=sharing"",""อ่างทอง!S338"")"),0)</f>
        <v>0</v>
      </c>
      <c r="T339" s="132">
        <f t="shared" ca="1" si="248"/>
        <v>0</v>
      </c>
      <c r="U339" s="132">
        <f t="shared" ca="1" si="249"/>
        <v>0</v>
      </c>
    </row>
    <row r="340" spans="1:21" ht="18.75" x14ac:dyDescent="0.25">
      <c r="A340" s="209"/>
      <c r="B340" s="67"/>
      <c r="C340" s="67"/>
      <c r="D340" s="68" t="s">
        <v>23</v>
      </c>
      <c r="E340" s="67"/>
      <c r="F340" s="67"/>
      <c r="G340" s="69"/>
      <c r="H340" s="221" t="s">
        <v>14</v>
      </c>
      <c r="I340" s="219"/>
      <c r="J340" s="219"/>
      <c r="K340" s="220"/>
      <c r="L340" s="88">
        <f t="shared" ref="L340:N340" ca="1" si="256">L341+L342</f>
        <v>0</v>
      </c>
      <c r="M340" s="88">
        <f t="shared" ca="1" si="256"/>
        <v>0</v>
      </c>
      <c r="N340" s="88">
        <f t="shared" ca="1" si="256"/>
        <v>0</v>
      </c>
      <c r="O340" s="88">
        <f t="shared" ca="1" si="245"/>
        <v>0</v>
      </c>
      <c r="P340" s="88">
        <f t="shared" ca="1" si="246"/>
        <v>0</v>
      </c>
      <c r="Q340" s="131">
        <f t="shared" ref="Q340:S340" ca="1" si="257">Q341+Q342</f>
        <v>0</v>
      </c>
      <c r="R340" s="132">
        <f t="shared" ca="1" si="257"/>
        <v>0</v>
      </c>
      <c r="S340" s="132">
        <f t="shared" ca="1" si="257"/>
        <v>0</v>
      </c>
      <c r="T340" s="132">
        <f t="shared" ca="1" si="248"/>
        <v>0</v>
      </c>
      <c r="U340" s="132">
        <f t="shared" ca="1" si="249"/>
        <v>0</v>
      </c>
    </row>
    <row r="341" spans="1:21" ht="18.75" x14ac:dyDescent="0.25">
      <c r="A341" s="209"/>
      <c r="B341" s="67"/>
      <c r="C341" s="67"/>
      <c r="D341" s="67"/>
      <c r="E341" s="75" t="s">
        <v>20</v>
      </c>
      <c r="F341" s="67"/>
      <c r="G341" s="69"/>
      <c r="H341" s="218" t="s">
        <v>14</v>
      </c>
      <c r="I341" s="219"/>
      <c r="J341" s="219"/>
      <c r="K341" s="220"/>
      <c r="L341" s="88">
        <f ca="1">IFERROR(__xludf.DUMMYFUNCTION("IMPORTRANGE(""https://docs.google.com/spreadsheets/d/13wPX838HrBrQMCywv1BsuMkt4PEKTChp52zj44s2izQ/edit?usp=sharing"",""กาญจนบุรี!L340"")+IMPORTRANGE(""https://docs.google.com/spreadsheets/d/1ddFKvqj1W1NEiWytbGlB1zMx_ykJDVtmfEQ-6-lIUBA/edit?usp=sharing"","&amp;"""จันทบุรี!L340"")+IMPORTRANGE(""https://docs.google.com/spreadsheets/d/1T1PQvRODqOBZk8BRht_U031fIS1beLA0Ub2CEytj2q0/edit?usp=sharing"",""ฉะเชิงเทรา!L340"")+IMPORTRANGE(""https://docs.google.com/spreadsheets/d/11tr1B-Bhyr79v2bkwVh5h_fR-PStkgjlZtkrZpYurG0/"&amp;"edit?usp=sharing"",""ชลบุรี!L340"")+IMPORTRANGE(""https://docs.google.com/spreadsheets/d/1hh-FVnSX0vozXhGluamEcS54Dw9_zqW0N7qJUWgJ0Sw/edit?usp=sharing"",""ชัยนาท!L340"")+IMPORTRANGE(""https://docs.google.com/spreadsheets/d/1jkqa6GXxSacMcY1eN8AHjMNJ_7dDXMJ"&amp;"VRLDlaFSOdPM/edit?usp=sharing"",""ตราด!L340"")+IMPORTRANGE(""https://docs.google.com/spreadsheets/d/18hSgUJ3VwClqi_qtULmmW3cLr0oe3OKaSYoKzdpTsYQ/edit?usp=sharing"",""นครนายก!L340"")+IMPORTRANGE(""https://docs.google.com/spreadsheets/d/1YTZo6WM2dQ6Ix6FSdnL"&amp;"5P7uVnVKu40sxZu975tgG10E/edit?usp=sharing"",""นครปฐม!L340"")+IMPORTRANGE(""https://docs.google.com/spreadsheets/d/1OYoGg4WDg5RIzwGeB10padOxJF9E_Vljuvvct_M7RDo/edit?usp=sharing"",""ปทุมธานี!L340"")+IMPORTRANGE(""https://docs.google.com/spreadsheets/d/1GbCI"&amp;"E4D4wk9FUozzqk7SxfDMxDVBwVmI5zcaVUSzKAc/edit?usp=sharing"",""ประจวบคีรีขันธ์!L340"")+IMPORTRANGE(""https://docs.google.com/spreadsheets/d/1vVf6wykvW_lAyu7Yo9L4hUTqHqIeP_qcVuxCtosJEbg/edit?usp=sharing"",""ปราจีนบุรี!L340"")+IMPORTRANGE(""https://docs.googl"&amp;"e.com/spreadsheets/d/1BIDqLLg5jk3v59G8NlR8rk5xfQDKne0sAvZHSj7TI6I/edit?usp=sharing"",""พระนครศรีอยุธยา!L340"")+IMPORTRANGE(""https://docs.google.com/spreadsheets/d/1YXvxf8Yu6_rV4hTBrwMqAcAnv6DfhUxh5emyM3CJp_w/edit?usp=sharing"",""เพชรบุรี!L340"")+IMPORTRA"&amp;"NGE(""https://docs.google.com/spreadsheets/d/19KBlQQs7uwvsao6t2n-KvW3Ax8J8uRRfZPq1zPbXgKc/edit?usp=sharing"",""ระยอง!L340"")+IMPORTRANGE(""https://docs.google.com/spreadsheets/d/1jQ6P4QcrGM89YfqcC_PxOHGCMq5ezhucwJd8ci-NHng/edit?usp=sharing"",""ราชบุรี!L34"&amp;"0"")+IMPORTRANGE(""https://docs.google.com/spreadsheets/d/1lufeA2cfFqM-elVq2hznhDzC6Pr7wkJ9ZG_sYNGCMCU/edit?usp=sharing"",""ลพบุรี!L340"")+IMPORTRANGE(""https://docs.google.com/spreadsheets/d/10oOiF7loTyfsTkbd4MpaIm0HQ9SwB7IYHdIUvt-U1Uc/edit?usp=sharing"""&amp;",""สระแก้ว!L340"")+IMPORTRANGE(""https://docs.google.com/spreadsheets/d/1xmPlrr1QbdSIKvl1dWUl9K4PjAfSL9oeMr_37QVzcxc/edit?usp=sharing"",""สระบุรี!L340"")+IMPORTRANGE(""https://docs.google.com/spreadsheets/d/1j51vR6CYVGhABJpv6tkstgok82RLpXieLzW1yOY5rHw/edi"&amp;"t?usp=sharing"",""สิงห์บุรี!L340"")+IMPORTRANGE(""https://docs.google.com/spreadsheets/d/1H1EalTWKUSzO4Z1-1CwzoDUaVffgrThEBe2sl74kKG0/edit?usp=sharing"",""สุพรรณบุรี!L340"")+IMPORTRANGE(""https://docs.google.com/spreadsheets/d/1BmIruG_sIrJLYao_Pdr7zVArWsf"&amp;"oBt2692TMi6x_854/edit?usp=sharing"",""อ่างทอง!L340"")"),0)</f>
        <v>0</v>
      </c>
      <c r="M341" s="88">
        <f ca="1">IFERROR(__xludf.DUMMYFUNCTION("IMPORTRANGE(""https://docs.google.com/spreadsheets/d/13wPX838HrBrQMCywv1BsuMkt4PEKTChp52zj44s2izQ/edit?usp=sharing"",""กาญจนบุรี!M340"")+IMPORTRANGE(""https://docs.google.com/spreadsheets/d/1ddFKvqj1W1NEiWytbGlB1zMx_ykJDVtmfEQ-6-lIUBA/edit?usp=sharing"","&amp;"""จันทบุรี!M340"")+IMPORTRANGE(""https://docs.google.com/spreadsheets/d/1T1PQvRODqOBZk8BRht_U031fIS1beLA0Ub2CEytj2q0/edit?usp=sharing"",""ฉะเชิงเทรา!M340"")+IMPORTRANGE(""https://docs.google.com/spreadsheets/d/11tr1B-Bhyr79v2bkwVh5h_fR-PStkgjlZtkrZpYurG0/"&amp;"edit?usp=sharing"",""ชลบุรี!M340"")+IMPORTRANGE(""https://docs.google.com/spreadsheets/d/1hh-FVnSX0vozXhGluamEcS54Dw9_zqW0N7qJUWgJ0Sw/edit?usp=sharing"",""ชัยนาท!M340"")+IMPORTRANGE(""https://docs.google.com/spreadsheets/d/1jkqa6GXxSacMcY1eN8AHjMNJ_7dDXMJ"&amp;"VRLDlaFSOdPM/edit?usp=sharing"",""ตราด!M340"")+IMPORTRANGE(""https://docs.google.com/spreadsheets/d/18hSgUJ3VwClqi_qtULmmW3cLr0oe3OKaSYoKzdpTsYQ/edit?usp=sharing"",""นครนายก!M340"")+IMPORTRANGE(""https://docs.google.com/spreadsheets/d/1YTZo6WM2dQ6Ix6FSdnL"&amp;"5P7uVnVKu40sxZu975tgG10E/edit?usp=sharing"",""นครปฐม!M340"")+IMPORTRANGE(""https://docs.google.com/spreadsheets/d/1OYoGg4WDg5RIzwGeB10padOxJF9E_Vljuvvct_M7RDo/edit?usp=sharing"",""ปทุมธานี!M340"")+IMPORTRANGE(""https://docs.google.com/spreadsheets/d/1GbCI"&amp;"E4D4wk9FUozzqk7SxfDMxDVBwVmI5zcaVUSzKAc/edit?usp=sharing"",""ประจวบคีรีขันธ์!M340"")+IMPORTRANGE(""https://docs.google.com/spreadsheets/d/1vVf6wykvW_lAyu7Yo9L4hUTqHqIeP_qcVuxCtosJEbg/edit?usp=sharing"",""ปราจีนบุรี!M340"")+IMPORTRANGE(""https://docs.googl"&amp;"e.com/spreadsheets/d/1BIDqLLg5jk3v59G8NlR8rk5xfQDKne0sAvZHSj7TI6I/edit?usp=sharing"",""พระนครศรีอยุธยา!M340"")+IMPORTRANGE(""https://docs.google.com/spreadsheets/d/1YXvxf8Yu6_rV4hTBrwMqAcAnv6DfhUxh5emyM3CJp_w/edit?usp=sharing"",""เพชรบุรี!M340"")+IMPORTRA"&amp;"NGE(""https://docs.google.com/spreadsheets/d/19KBlQQs7uwvsao6t2n-KvW3Ax8J8uRRfZPq1zPbXgKc/edit?usp=sharing"",""ระยอง!M340"")+IMPORTRANGE(""https://docs.google.com/spreadsheets/d/1jQ6P4QcrGM89YfqcC_PxOHGCMq5ezhucwJd8ci-NHng/edit?usp=sharing"",""ราชบุรี!M34"&amp;"0"")+IMPORTRANGE(""https://docs.google.com/spreadsheets/d/1lufeA2cfFqM-elVq2hznhDzC6Pr7wkJ9ZG_sYNGCMCU/edit?usp=sharing"",""ลพบุรี!M340"")+IMPORTRANGE(""https://docs.google.com/spreadsheets/d/10oOiF7loTyfsTkbd4MpaIm0HQ9SwB7IYHdIUvt-U1Uc/edit?usp=sharing"""&amp;",""สระแก้ว!M340"")+IMPORTRANGE(""https://docs.google.com/spreadsheets/d/1xmPlrr1QbdSIKvl1dWUl9K4PjAfSL9oeMr_37QVzcxc/edit?usp=sharing"",""สระบุรี!M340"")+IMPORTRANGE(""https://docs.google.com/spreadsheets/d/1j51vR6CYVGhABJpv6tkstgok82RLpXieLzW1yOY5rHw/edi"&amp;"t?usp=sharing"",""สิงห์บุรี!M340"")+IMPORTRANGE(""https://docs.google.com/spreadsheets/d/1H1EalTWKUSzO4Z1-1CwzoDUaVffgrThEBe2sl74kKG0/edit?usp=sharing"",""สุพรรณบุรี!M340"")+IMPORTRANGE(""https://docs.google.com/spreadsheets/d/1BmIruG_sIrJLYao_Pdr7zVArWsf"&amp;"oBt2692TMi6x_854/edit?usp=sharing"",""อ่างทอง!M340"")"),0)</f>
        <v>0</v>
      </c>
      <c r="N341" s="88">
        <f ca="1">IFERROR(__xludf.DUMMYFUNCTION("IMPORTRANGE(""https://docs.google.com/spreadsheets/d/13wPX838HrBrQMCywv1BsuMkt4PEKTChp52zj44s2izQ/edit?usp=sharing"",""กาญจนบุรี!N340"")+IMPORTRANGE(""https://docs.google.com/spreadsheets/d/1ddFKvqj1W1NEiWytbGlB1zMx_ykJDVtmfEQ-6-lIUBA/edit?usp=sharing"","&amp;"""จันทบุรี!N340"")+IMPORTRANGE(""https://docs.google.com/spreadsheets/d/1T1PQvRODqOBZk8BRht_U031fIS1beLA0Ub2CEytj2q0/edit?usp=sharing"",""ฉะเชิงเทรา!N340"")+IMPORTRANGE(""https://docs.google.com/spreadsheets/d/11tr1B-Bhyr79v2bkwVh5h_fR-PStkgjlZtkrZpYurG0/"&amp;"edit?usp=sharing"",""ชลบุรี!N340"")+IMPORTRANGE(""https://docs.google.com/spreadsheets/d/1hh-FVnSX0vozXhGluamEcS54Dw9_zqW0N7qJUWgJ0Sw/edit?usp=sharing"",""ชัยนาท!N340"")+IMPORTRANGE(""https://docs.google.com/spreadsheets/d/1jkqa6GXxSacMcY1eN8AHjMNJ_7dDXMJ"&amp;"VRLDlaFSOdPM/edit?usp=sharing"",""ตราด!N340"")+IMPORTRANGE(""https://docs.google.com/spreadsheets/d/18hSgUJ3VwClqi_qtULmmW3cLr0oe3OKaSYoKzdpTsYQ/edit?usp=sharing"",""นครนายก!N340"")+IMPORTRANGE(""https://docs.google.com/spreadsheets/d/1YTZo6WM2dQ6Ix6FSdnL"&amp;"5P7uVnVKu40sxZu975tgG10E/edit?usp=sharing"",""นครปฐม!N340"")+IMPORTRANGE(""https://docs.google.com/spreadsheets/d/1OYoGg4WDg5RIzwGeB10padOxJF9E_Vljuvvct_M7RDo/edit?usp=sharing"",""ปทุมธานี!N340"")+IMPORTRANGE(""https://docs.google.com/spreadsheets/d/1GbCI"&amp;"E4D4wk9FUozzqk7SxfDMxDVBwVmI5zcaVUSzKAc/edit?usp=sharing"",""ประจวบคีรีขันธ์!N340"")+IMPORTRANGE(""https://docs.google.com/spreadsheets/d/1vVf6wykvW_lAyu7Yo9L4hUTqHqIeP_qcVuxCtosJEbg/edit?usp=sharing"",""ปราจีนบุรี!N340"")+IMPORTRANGE(""https://docs.googl"&amp;"e.com/spreadsheets/d/1BIDqLLg5jk3v59G8NlR8rk5xfQDKne0sAvZHSj7TI6I/edit?usp=sharing"",""พระนครศรีอยุธยา!N340"")+IMPORTRANGE(""https://docs.google.com/spreadsheets/d/1YXvxf8Yu6_rV4hTBrwMqAcAnv6DfhUxh5emyM3CJp_w/edit?usp=sharing"",""เพชรบุรี!N340"")+IMPORTRA"&amp;"NGE(""https://docs.google.com/spreadsheets/d/19KBlQQs7uwvsao6t2n-KvW3Ax8J8uRRfZPq1zPbXgKc/edit?usp=sharing"",""ระยอง!N340"")+IMPORTRANGE(""https://docs.google.com/spreadsheets/d/1jQ6P4QcrGM89YfqcC_PxOHGCMq5ezhucwJd8ci-NHng/edit?usp=sharing"",""ราชบุรี!N34"&amp;"0"")+IMPORTRANGE(""https://docs.google.com/spreadsheets/d/1lufeA2cfFqM-elVq2hznhDzC6Pr7wkJ9ZG_sYNGCMCU/edit?usp=sharing"",""ลพบุรี!N340"")+IMPORTRANGE(""https://docs.google.com/spreadsheets/d/10oOiF7loTyfsTkbd4MpaIm0HQ9SwB7IYHdIUvt-U1Uc/edit?usp=sharing"""&amp;",""สระแก้ว!N340"")+IMPORTRANGE(""https://docs.google.com/spreadsheets/d/1xmPlrr1QbdSIKvl1dWUl9K4PjAfSL9oeMr_37QVzcxc/edit?usp=sharing"",""สระบุรี!N340"")+IMPORTRANGE(""https://docs.google.com/spreadsheets/d/1j51vR6CYVGhABJpv6tkstgok82RLpXieLzW1yOY5rHw/edi"&amp;"t?usp=sharing"",""สิงห์บุรี!N340"")+IMPORTRANGE(""https://docs.google.com/spreadsheets/d/1H1EalTWKUSzO4Z1-1CwzoDUaVffgrThEBe2sl74kKG0/edit?usp=sharing"",""สุพรรณบุรี!N340"")+IMPORTRANGE(""https://docs.google.com/spreadsheets/d/1BmIruG_sIrJLYao_Pdr7zVArWsf"&amp;"oBt2692TMi6x_854/edit?usp=sharing"",""อ่างทอง!N340"")"),0)</f>
        <v>0</v>
      </c>
      <c r="O341" s="88">
        <f t="shared" ca="1" si="245"/>
        <v>0</v>
      </c>
      <c r="P341" s="88">
        <f t="shared" ca="1" si="246"/>
        <v>0</v>
      </c>
      <c r="Q341" s="76">
        <f ca="1">IFERROR(__xludf.DUMMYFUNCTION("IMPORTRANGE(""https://docs.google.com/spreadsheets/d/13wPX838HrBrQMCywv1BsuMkt4PEKTChp52zj44s2izQ/edit?usp=sharing"",""กาญจนบุรี!Q340"")+IMPORTRANGE(""https://docs.google.com/spreadsheets/d/1ddFKvqj1W1NEiWytbGlB1zMx_ykJDVtmfEQ-6-lIUBA/edit?usp=sharing"","&amp;"""จันทบุรี!Q340"")+IMPORTRANGE(""https://docs.google.com/spreadsheets/d/1T1PQvRODqOBZk8BRht_U031fIS1beLA0Ub2CEytj2q0/edit?usp=sharing"",""ฉะเชิงเทรา!Q340"")+IMPORTRANGE(""https://docs.google.com/spreadsheets/d/11tr1B-Bhyr79v2bkwVh5h_fR-PStkgjlZtkrZpYurG0/"&amp;"edit?usp=sharing"",""ชลบุรี!Q340"")+IMPORTRANGE(""https://docs.google.com/spreadsheets/d/1hh-FVnSX0vozXhGluamEcS54Dw9_zqW0N7qJUWgJ0Sw/edit?usp=sharing"",""ชัยนาท!Q340"")+IMPORTRANGE(""https://docs.google.com/spreadsheets/d/1jkqa6GXxSacMcY1eN8AHjMNJ_7dDXMJ"&amp;"VRLDlaFSOdPM/edit?usp=sharing"",""ตราด!Q340"")+IMPORTRANGE(""https://docs.google.com/spreadsheets/d/18hSgUJ3VwClqi_qtULmmW3cLr0oe3OKaSYoKzdpTsYQ/edit?usp=sharing"",""นครนายก!Q340"")+IMPORTRANGE(""https://docs.google.com/spreadsheets/d/1YTZo6WM2dQ6Ix6FSdnL"&amp;"5P7uVnVKu40sxZu975tgG10E/edit?usp=sharing"",""นครปฐม!Q340"")+IMPORTRANGE(""https://docs.google.com/spreadsheets/d/1OYoGg4WDg5RIzwGeB10padOxJF9E_Vljuvvct_M7RDo/edit?usp=sharing"",""ปทุมธานี!Q340"")+IMPORTRANGE(""https://docs.google.com/spreadsheets/d/1GbCI"&amp;"E4D4wk9FUozzqk7SxfDMxDVBwVmI5zcaVUSzKAc/edit?usp=sharing"",""ประจวบคีรีขันธ์!Q340"")+IMPORTRANGE(""https://docs.google.com/spreadsheets/d/1vVf6wykvW_lAyu7Yo9L4hUTqHqIeP_qcVuxCtosJEbg/edit?usp=sharing"",""ปราจีนบุรี!Q340"")+IMPORTRANGE(""https://docs.googl"&amp;"e.com/spreadsheets/d/1BIDqLLg5jk3v59G8NlR8rk5xfQDKne0sAvZHSj7TI6I/edit?usp=sharing"",""พระนครศรีอยุธยา!Q340"")+IMPORTRANGE(""https://docs.google.com/spreadsheets/d/1YXvxf8Yu6_rV4hTBrwMqAcAnv6DfhUxh5emyM3CJp_w/edit?usp=sharing"",""เพชรบุรี!Q340"")+IMPORTRA"&amp;"NGE(""https://docs.google.com/spreadsheets/d/19KBlQQs7uwvsao6t2n-KvW3Ax8J8uRRfZPq1zPbXgKc/edit?usp=sharing"",""ระยอง!Q340"")+IMPORTRANGE(""https://docs.google.com/spreadsheets/d/1jQ6P4QcrGM89YfqcC_PxOHGCMq5ezhucwJd8ci-NHng/edit?usp=sharing"",""ราชบุรี!Q34"&amp;"0"")+IMPORTRANGE(""https://docs.google.com/spreadsheets/d/1lufeA2cfFqM-elVq2hznhDzC6Pr7wkJ9ZG_sYNGCMCU/edit?usp=sharing"",""ลพบุรี!Q340"")+IMPORTRANGE(""https://docs.google.com/spreadsheets/d/10oOiF7loTyfsTkbd4MpaIm0HQ9SwB7IYHdIUvt-U1Uc/edit?usp=sharing"""&amp;",""สระแก้ว!Q340"")+IMPORTRANGE(""https://docs.google.com/spreadsheets/d/1xmPlrr1QbdSIKvl1dWUl9K4PjAfSL9oeMr_37QVzcxc/edit?usp=sharing"",""สระบุรี!Q340"")+IMPORTRANGE(""https://docs.google.com/spreadsheets/d/1j51vR6CYVGhABJpv6tkstgok82RLpXieLzW1yOY5rHw/edi"&amp;"t?usp=sharing"",""สิงห์บุรี!Q340"")+IMPORTRANGE(""https://docs.google.com/spreadsheets/d/1H1EalTWKUSzO4Z1-1CwzoDUaVffgrThEBe2sl74kKG0/edit?usp=sharing"",""สุพรรณบุรี!Q340"")+IMPORTRANGE(""https://docs.google.com/spreadsheets/d/1BmIruG_sIrJLYao_Pdr7zVArWsf"&amp;"oBt2692TMi6x_854/edit?usp=sharing"",""อ่างทอง!Q340"")"),0)</f>
        <v>0</v>
      </c>
      <c r="R341" s="77">
        <f ca="1">IFERROR(__xludf.DUMMYFUNCTION("IMPORTRANGE(""https://docs.google.com/spreadsheets/d/13wPX838HrBrQMCywv1BsuMkt4PEKTChp52zj44s2izQ/edit?usp=sharing"",""กาญจนบุรี!R340"")+IMPORTRANGE(""https://docs.google.com/spreadsheets/d/1ddFKvqj1W1NEiWytbGlB1zMx_ykJDVtmfEQ-6-lIUBA/edit?usp=sharing"","&amp;"""จันทบุรี!R340"")+IMPORTRANGE(""https://docs.google.com/spreadsheets/d/1T1PQvRODqOBZk8BRht_U031fIS1beLA0Ub2CEytj2q0/edit?usp=sharing"",""ฉะเชิงเทรา!R340"")+IMPORTRANGE(""https://docs.google.com/spreadsheets/d/11tr1B-Bhyr79v2bkwVh5h_fR-PStkgjlZtkrZpYurG0/"&amp;"edit?usp=sharing"",""ชลบุรี!R340"")+IMPORTRANGE(""https://docs.google.com/spreadsheets/d/1hh-FVnSX0vozXhGluamEcS54Dw9_zqW0N7qJUWgJ0Sw/edit?usp=sharing"",""ชัยนาท!R340"")+IMPORTRANGE(""https://docs.google.com/spreadsheets/d/1jkqa6GXxSacMcY1eN8AHjMNJ_7dDXMJ"&amp;"VRLDlaFSOdPM/edit?usp=sharing"",""ตราด!R340"")+IMPORTRANGE(""https://docs.google.com/spreadsheets/d/18hSgUJ3VwClqi_qtULmmW3cLr0oe3OKaSYoKzdpTsYQ/edit?usp=sharing"",""นครนายก!R340"")+IMPORTRANGE(""https://docs.google.com/spreadsheets/d/1YTZo6WM2dQ6Ix6FSdnL"&amp;"5P7uVnVKu40sxZu975tgG10E/edit?usp=sharing"",""นครปฐม!R340"")+IMPORTRANGE(""https://docs.google.com/spreadsheets/d/1OYoGg4WDg5RIzwGeB10padOxJF9E_Vljuvvct_M7RDo/edit?usp=sharing"",""ปทุมธานี!R340"")+IMPORTRANGE(""https://docs.google.com/spreadsheets/d/1GbCI"&amp;"E4D4wk9FUozzqk7SxfDMxDVBwVmI5zcaVUSzKAc/edit?usp=sharing"",""ประจวบคีรีขันธ์!R340"")+IMPORTRANGE(""https://docs.google.com/spreadsheets/d/1vVf6wykvW_lAyu7Yo9L4hUTqHqIeP_qcVuxCtosJEbg/edit?usp=sharing"",""ปราจีนบุรี!R340"")+IMPORTRANGE(""https://docs.googl"&amp;"e.com/spreadsheets/d/1BIDqLLg5jk3v59G8NlR8rk5xfQDKne0sAvZHSj7TI6I/edit?usp=sharing"",""พระนครศรีอยุธยา!R340"")+IMPORTRANGE(""https://docs.google.com/spreadsheets/d/1YXvxf8Yu6_rV4hTBrwMqAcAnv6DfhUxh5emyM3CJp_w/edit?usp=sharing"",""เพชรบุรี!R340"")+IMPORTRA"&amp;"NGE(""https://docs.google.com/spreadsheets/d/19KBlQQs7uwvsao6t2n-KvW3Ax8J8uRRfZPq1zPbXgKc/edit?usp=sharing"",""ระยอง!R340"")+IMPORTRANGE(""https://docs.google.com/spreadsheets/d/1jQ6P4QcrGM89YfqcC_PxOHGCMq5ezhucwJd8ci-NHng/edit?usp=sharing"",""ราชบุรี!R34"&amp;"0"")+IMPORTRANGE(""https://docs.google.com/spreadsheets/d/1lufeA2cfFqM-elVq2hznhDzC6Pr7wkJ9ZG_sYNGCMCU/edit?usp=sharing"",""ลพบุรี!R340"")+IMPORTRANGE(""https://docs.google.com/spreadsheets/d/10oOiF7loTyfsTkbd4MpaIm0HQ9SwB7IYHdIUvt-U1Uc/edit?usp=sharing"""&amp;",""สระแก้ว!R340"")+IMPORTRANGE(""https://docs.google.com/spreadsheets/d/1xmPlrr1QbdSIKvl1dWUl9K4PjAfSL9oeMr_37QVzcxc/edit?usp=sharing"",""สระบุรี!R340"")+IMPORTRANGE(""https://docs.google.com/spreadsheets/d/1j51vR6CYVGhABJpv6tkstgok82RLpXieLzW1yOY5rHw/edi"&amp;"t?usp=sharing"",""สิงห์บุรี!R340"")+IMPORTRANGE(""https://docs.google.com/spreadsheets/d/1H1EalTWKUSzO4Z1-1CwzoDUaVffgrThEBe2sl74kKG0/edit?usp=sharing"",""สุพรรณบุรี!R340"")+IMPORTRANGE(""https://docs.google.com/spreadsheets/d/1BmIruG_sIrJLYao_Pdr7zVArWsf"&amp;"oBt2692TMi6x_854/edit?usp=sharing"",""อ่างทอง!R340"")"),0)</f>
        <v>0</v>
      </c>
      <c r="S341" s="77">
        <f ca="1">IFERROR(__xludf.DUMMYFUNCTION("IMPORTRANGE(""https://docs.google.com/spreadsheets/d/13wPX838HrBrQMCywv1BsuMkt4PEKTChp52zj44s2izQ/edit?usp=sharing"",""กาญจนบุรี!S340"")+IMPORTRANGE(""https://docs.google.com/spreadsheets/d/1ddFKvqj1W1NEiWytbGlB1zMx_ykJDVtmfEQ-6-lIUBA/edit?usp=sharing"","&amp;"""จันทบุรี!S340"")+IMPORTRANGE(""https://docs.google.com/spreadsheets/d/1T1PQvRODqOBZk8BRht_U031fIS1beLA0Ub2CEytj2q0/edit?usp=sharing"",""ฉะเชิงเทรา!S340"")+IMPORTRANGE(""https://docs.google.com/spreadsheets/d/11tr1B-Bhyr79v2bkwVh5h_fR-PStkgjlZtkrZpYurG0/"&amp;"edit?usp=sharing"",""ชลบุรี!S340"")+IMPORTRANGE(""https://docs.google.com/spreadsheets/d/1hh-FVnSX0vozXhGluamEcS54Dw9_zqW0N7qJUWgJ0Sw/edit?usp=sharing"",""ชัยนาท!S340"")+IMPORTRANGE(""https://docs.google.com/spreadsheets/d/1jkqa6GXxSacMcY1eN8AHjMNJ_7dDXMJ"&amp;"VRLDlaFSOdPM/edit?usp=sharing"",""ตราด!S340"")+IMPORTRANGE(""https://docs.google.com/spreadsheets/d/18hSgUJ3VwClqi_qtULmmW3cLr0oe3OKaSYoKzdpTsYQ/edit?usp=sharing"",""นครนายก!S340"")+IMPORTRANGE(""https://docs.google.com/spreadsheets/d/1YTZo6WM2dQ6Ix6FSdnL"&amp;"5P7uVnVKu40sxZu975tgG10E/edit?usp=sharing"",""นครปฐม!S340"")+IMPORTRANGE(""https://docs.google.com/spreadsheets/d/1OYoGg4WDg5RIzwGeB10padOxJF9E_Vljuvvct_M7RDo/edit?usp=sharing"",""ปทุมธานี!S340"")+IMPORTRANGE(""https://docs.google.com/spreadsheets/d/1GbCI"&amp;"E4D4wk9FUozzqk7SxfDMxDVBwVmI5zcaVUSzKAc/edit?usp=sharing"",""ประจวบคีรีขันธ์!S340"")+IMPORTRANGE(""https://docs.google.com/spreadsheets/d/1vVf6wykvW_lAyu7Yo9L4hUTqHqIeP_qcVuxCtosJEbg/edit?usp=sharing"",""ปราจีนบุรี!S340"")+IMPORTRANGE(""https://docs.googl"&amp;"e.com/spreadsheets/d/1BIDqLLg5jk3v59G8NlR8rk5xfQDKne0sAvZHSj7TI6I/edit?usp=sharing"",""พระนครศรีอยุธยา!S340"")+IMPORTRANGE(""https://docs.google.com/spreadsheets/d/1YXvxf8Yu6_rV4hTBrwMqAcAnv6DfhUxh5emyM3CJp_w/edit?usp=sharing"",""เพชรบุรี!S340"")+IMPORTRA"&amp;"NGE(""https://docs.google.com/spreadsheets/d/19KBlQQs7uwvsao6t2n-KvW3Ax8J8uRRfZPq1zPbXgKc/edit?usp=sharing"",""ระยอง!S340"")+IMPORTRANGE(""https://docs.google.com/spreadsheets/d/1jQ6P4QcrGM89YfqcC_PxOHGCMq5ezhucwJd8ci-NHng/edit?usp=sharing"",""ราชบุรี!S34"&amp;"0"")+IMPORTRANGE(""https://docs.google.com/spreadsheets/d/1lufeA2cfFqM-elVq2hznhDzC6Pr7wkJ9ZG_sYNGCMCU/edit?usp=sharing"",""ลพบุรี!S340"")+IMPORTRANGE(""https://docs.google.com/spreadsheets/d/10oOiF7loTyfsTkbd4MpaIm0HQ9SwB7IYHdIUvt-U1Uc/edit?usp=sharing"""&amp;",""สระแก้ว!S340"")+IMPORTRANGE(""https://docs.google.com/spreadsheets/d/1xmPlrr1QbdSIKvl1dWUl9K4PjAfSL9oeMr_37QVzcxc/edit?usp=sharing"",""สระบุรี!S340"")+IMPORTRANGE(""https://docs.google.com/spreadsheets/d/1j51vR6CYVGhABJpv6tkstgok82RLpXieLzW1yOY5rHw/edi"&amp;"t?usp=sharing"",""สิงห์บุรี!S340"")+IMPORTRANGE(""https://docs.google.com/spreadsheets/d/1H1EalTWKUSzO4Z1-1CwzoDUaVffgrThEBe2sl74kKG0/edit?usp=sharing"",""สุพรรณบุรี!S340"")+IMPORTRANGE(""https://docs.google.com/spreadsheets/d/1BmIruG_sIrJLYao_Pdr7zVArWsf"&amp;"oBt2692TMi6x_854/edit?usp=sharing"",""อ่างทอง!S340"")"),0)</f>
        <v>0</v>
      </c>
      <c r="T341" s="133">
        <f t="shared" ca="1" si="248"/>
        <v>0</v>
      </c>
      <c r="U341" s="133">
        <f t="shared" ca="1" si="249"/>
        <v>0</v>
      </c>
    </row>
    <row r="342" spans="1:21" ht="18.75" x14ac:dyDescent="0.25">
      <c r="A342" s="209"/>
      <c r="B342" s="67"/>
      <c r="C342" s="67"/>
      <c r="D342" s="67"/>
      <c r="E342" s="75" t="s">
        <v>21</v>
      </c>
      <c r="F342" s="67"/>
      <c r="G342" s="69"/>
      <c r="H342" s="221" t="s">
        <v>14</v>
      </c>
      <c r="I342" s="219"/>
      <c r="J342" s="219"/>
      <c r="K342" s="220"/>
      <c r="L342" s="88">
        <f ca="1">IFERROR(__xludf.DUMMYFUNCTION("IMPORTRANGE(""https://docs.google.com/spreadsheets/d/13wPX838HrBrQMCywv1BsuMkt4PEKTChp52zj44s2izQ/edit?usp=sharing"",""กาญจนบุรี!L341"")+IMPORTRANGE(""https://docs.google.com/spreadsheets/d/1ddFKvqj1W1NEiWytbGlB1zMx_ykJDVtmfEQ-6-lIUBA/edit?usp=sharing"","&amp;"""จันทบุรี!L341"")+IMPORTRANGE(""https://docs.google.com/spreadsheets/d/1T1PQvRODqOBZk8BRht_U031fIS1beLA0Ub2CEytj2q0/edit?usp=sharing"",""ฉะเชิงเทรา!L341"")+IMPORTRANGE(""https://docs.google.com/spreadsheets/d/11tr1B-Bhyr79v2bkwVh5h_fR-PStkgjlZtkrZpYurG0/"&amp;"edit?usp=sharing"",""ชลบุรี!L341"")+IMPORTRANGE(""https://docs.google.com/spreadsheets/d/1hh-FVnSX0vozXhGluamEcS54Dw9_zqW0N7qJUWgJ0Sw/edit?usp=sharing"",""ชัยนาท!L341"")+IMPORTRANGE(""https://docs.google.com/spreadsheets/d/1jkqa6GXxSacMcY1eN8AHjMNJ_7dDXMJ"&amp;"VRLDlaFSOdPM/edit?usp=sharing"",""ตราด!L341"")+IMPORTRANGE(""https://docs.google.com/spreadsheets/d/18hSgUJ3VwClqi_qtULmmW3cLr0oe3OKaSYoKzdpTsYQ/edit?usp=sharing"",""นครนายก!L341"")+IMPORTRANGE(""https://docs.google.com/spreadsheets/d/1YTZo6WM2dQ6Ix6FSdnL"&amp;"5P7uVnVKu40sxZu975tgG10E/edit?usp=sharing"",""นครปฐม!L341"")+IMPORTRANGE(""https://docs.google.com/spreadsheets/d/1OYoGg4WDg5RIzwGeB10padOxJF9E_Vljuvvct_M7RDo/edit?usp=sharing"",""ปทุมธานี!L341"")+IMPORTRANGE(""https://docs.google.com/spreadsheets/d/1GbCI"&amp;"E4D4wk9FUozzqk7SxfDMxDVBwVmI5zcaVUSzKAc/edit?usp=sharing"",""ประจวบคีรีขันธ์!L341"")+IMPORTRANGE(""https://docs.google.com/spreadsheets/d/1vVf6wykvW_lAyu7Yo9L4hUTqHqIeP_qcVuxCtosJEbg/edit?usp=sharing"",""ปราจีนบุรี!L341"")+IMPORTRANGE(""https://docs.googl"&amp;"e.com/spreadsheets/d/1BIDqLLg5jk3v59G8NlR8rk5xfQDKne0sAvZHSj7TI6I/edit?usp=sharing"",""พระนครศรีอยุธยา!L341"")+IMPORTRANGE(""https://docs.google.com/spreadsheets/d/1YXvxf8Yu6_rV4hTBrwMqAcAnv6DfhUxh5emyM3CJp_w/edit?usp=sharing"",""เพชรบุรี!L341"")+IMPORTRA"&amp;"NGE(""https://docs.google.com/spreadsheets/d/19KBlQQs7uwvsao6t2n-KvW3Ax8J8uRRfZPq1zPbXgKc/edit?usp=sharing"",""ระยอง!L341"")+IMPORTRANGE(""https://docs.google.com/spreadsheets/d/1jQ6P4QcrGM89YfqcC_PxOHGCMq5ezhucwJd8ci-NHng/edit?usp=sharing"",""ราชบุรี!L34"&amp;"1"")+IMPORTRANGE(""https://docs.google.com/spreadsheets/d/1lufeA2cfFqM-elVq2hznhDzC6Pr7wkJ9ZG_sYNGCMCU/edit?usp=sharing"",""ลพบุรี!L341"")+IMPORTRANGE(""https://docs.google.com/spreadsheets/d/10oOiF7loTyfsTkbd4MpaIm0HQ9SwB7IYHdIUvt-U1Uc/edit?usp=sharing"""&amp;",""สระแก้ว!L341"")+IMPORTRANGE(""https://docs.google.com/spreadsheets/d/1xmPlrr1QbdSIKvl1dWUl9K4PjAfSL9oeMr_37QVzcxc/edit?usp=sharing"",""สระบุรี!L341"")+IMPORTRANGE(""https://docs.google.com/spreadsheets/d/1j51vR6CYVGhABJpv6tkstgok82RLpXieLzW1yOY5rHw/edi"&amp;"t?usp=sharing"",""สิงห์บุรี!L341"")+IMPORTRANGE(""https://docs.google.com/spreadsheets/d/1H1EalTWKUSzO4Z1-1CwzoDUaVffgrThEBe2sl74kKG0/edit?usp=sharing"",""สุพรรณบุรี!L341"")+IMPORTRANGE(""https://docs.google.com/spreadsheets/d/1BmIruG_sIrJLYao_Pdr7zVArWsf"&amp;"oBt2692TMi6x_854/edit?usp=sharing"",""อ่างทอง!L341"")"),0)</f>
        <v>0</v>
      </c>
      <c r="M342" s="88">
        <f ca="1">IFERROR(__xludf.DUMMYFUNCTION("IMPORTRANGE(""https://docs.google.com/spreadsheets/d/13wPX838HrBrQMCywv1BsuMkt4PEKTChp52zj44s2izQ/edit?usp=sharing"",""กาญจนบุรี!M341"")+IMPORTRANGE(""https://docs.google.com/spreadsheets/d/1ddFKvqj1W1NEiWytbGlB1zMx_ykJDVtmfEQ-6-lIUBA/edit?usp=sharing"","&amp;"""จันทบุรี!M341"")+IMPORTRANGE(""https://docs.google.com/spreadsheets/d/1T1PQvRODqOBZk8BRht_U031fIS1beLA0Ub2CEytj2q0/edit?usp=sharing"",""ฉะเชิงเทรา!M341"")+IMPORTRANGE(""https://docs.google.com/spreadsheets/d/11tr1B-Bhyr79v2bkwVh5h_fR-PStkgjlZtkrZpYurG0/"&amp;"edit?usp=sharing"",""ชลบุรี!M341"")+IMPORTRANGE(""https://docs.google.com/spreadsheets/d/1hh-FVnSX0vozXhGluamEcS54Dw9_zqW0N7qJUWgJ0Sw/edit?usp=sharing"",""ชัยนาท!M341"")+IMPORTRANGE(""https://docs.google.com/spreadsheets/d/1jkqa6GXxSacMcY1eN8AHjMNJ_7dDXMJ"&amp;"VRLDlaFSOdPM/edit?usp=sharing"",""ตราด!M341"")+IMPORTRANGE(""https://docs.google.com/spreadsheets/d/18hSgUJ3VwClqi_qtULmmW3cLr0oe3OKaSYoKzdpTsYQ/edit?usp=sharing"",""นครนายก!M341"")+IMPORTRANGE(""https://docs.google.com/spreadsheets/d/1YTZo6WM2dQ6Ix6FSdnL"&amp;"5P7uVnVKu40sxZu975tgG10E/edit?usp=sharing"",""นครปฐม!M341"")+IMPORTRANGE(""https://docs.google.com/spreadsheets/d/1OYoGg4WDg5RIzwGeB10padOxJF9E_Vljuvvct_M7RDo/edit?usp=sharing"",""ปทุมธานี!M341"")+IMPORTRANGE(""https://docs.google.com/spreadsheets/d/1GbCI"&amp;"E4D4wk9FUozzqk7SxfDMxDVBwVmI5zcaVUSzKAc/edit?usp=sharing"",""ประจวบคีรีขันธ์!M341"")+IMPORTRANGE(""https://docs.google.com/spreadsheets/d/1vVf6wykvW_lAyu7Yo9L4hUTqHqIeP_qcVuxCtosJEbg/edit?usp=sharing"",""ปราจีนบุรี!M341"")+IMPORTRANGE(""https://docs.googl"&amp;"e.com/spreadsheets/d/1BIDqLLg5jk3v59G8NlR8rk5xfQDKne0sAvZHSj7TI6I/edit?usp=sharing"",""พระนครศรีอยุธยา!M341"")+IMPORTRANGE(""https://docs.google.com/spreadsheets/d/1YXvxf8Yu6_rV4hTBrwMqAcAnv6DfhUxh5emyM3CJp_w/edit?usp=sharing"",""เพชรบุรี!M341"")+IMPORTRA"&amp;"NGE(""https://docs.google.com/spreadsheets/d/19KBlQQs7uwvsao6t2n-KvW3Ax8J8uRRfZPq1zPbXgKc/edit?usp=sharing"",""ระยอง!M341"")+IMPORTRANGE(""https://docs.google.com/spreadsheets/d/1jQ6P4QcrGM89YfqcC_PxOHGCMq5ezhucwJd8ci-NHng/edit?usp=sharing"",""ราชบุรี!M34"&amp;"1"")+IMPORTRANGE(""https://docs.google.com/spreadsheets/d/1lufeA2cfFqM-elVq2hznhDzC6Pr7wkJ9ZG_sYNGCMCU/edit?usp=sharing"",""ลพบุรี!M341"")+IMPORTRANGE(""https://docs.google.com/spreadsheets/d/10oOiF7loTyfsTkbd4MpaIm0HQ9SwB7IYHdIUvt-U1Uc/edit?usp=sharing"""&amp;",""สระแก้ว!M341"")+IMPORTRANGE(""https://docs.google.com/spreadsheets/d/1xmPlrr1QbdSIKvl1dWUl9K4PjAfSL9oeMr_37QVzcxc/edit?usp=sharing"",""สระบุรี!M341"")+IMPORTRANGE(""https://docs.google.com/spreadsheets/d/1j51vR6CYVGhABJpv6tkstgok82RLpXieLzW1yOY5rHw/edi"&amp;"t?usp=sharing"",""สิงห์บุรี!M341"")+IMPORTRANGE(""https://docs.google.com/spreadsheets/d/1H1EalTWKUSzO4Z1-1CwzoDUaVffgrThEBe2sl74kKG0/edit?usp=sharing"",""สุพรรณบุรี!M341"")+IMPORTRANGE(""https://docs.google.com/spreadsheets/d/1BmIruG_sIrJLYao_Pdr7zVArWsf"&amp;"oBt2692TMi6x_854/edit?usp=sharing"",""อ่างทอง!M341"")"),0)</f>
        <v>0</v>
      </c>
      <c r="N342" s="88">
        <f ca="1">IFERROR(__xludf.DUMMYFUNCTION("IMPORTRANGE(""https://docs.google.com/spreadsheets/d/13wPX838HrBrQMCywv1BsuMkt4PEKTChp52zj44s2izQ/edit?usp=sharing"",""กาญจนบุรี!N341"")+IMPORTRANGE(""https://docs.google.com/spreadsheets/d/1ddFKvqj1W1NEiWytbGlB1zMx_ykJDVtmfEQ-6-lIUBA/edit?usp=sharing"","&amp;"""จันทบุรี!N341"")+IMPORTRANGE(""https://docs.google.com/spreadsheets/d/1T1PQvRODqOBZk8BRht_U031fIS1beLA0Ub2CEytj2q0/edit?usp=sharing"",""ฉะเชิงเทรา!N341"")+IMPORTRANGE(""https://docs.google.com/spreadsheets/d/11tr1B-Bhyr79v2bkwVh5h_fR-PStkgjlZtkrZpYurG0/"&amp;"edit?usp=sharing"",""ชลบุรี!N341"")+IMPORTRANGE(""https://docs.google.com/spreadsheets/d/1hh-FVnSX0vozXhGluamEcS54Dw9_zqW0N7qJUWgJ0Sw/edit?usp=sharing"",""ชัยนาท!N341"")+IMPORTRANGE(""https://docs.google.com/spreadsheets/d/1jkqa6GXxSacMcY1eN8AHjMNJ_7dDXMJ"&amp;"VRLDlaFSOdPM/edit?usp=sharing"",""ตราด!N341"")+IMPORTRANGE(""https://docs.google.com/spreadsheets/d/18hSgUJ3VwClqi_qtULmmW3cLr0oe3OKaSYoKzdpTsYQ/edit?usp=sharing"",""นครนายก!N341"")+IMPORTRANGE(""https://docs.google.com/spreadsheets/d/1YTZo6WM2dQ6Ix6FSdnL"&amp;"5P7uVnVKu40sxZu975tgG10E/edit?usp=sharing"",""นครปฐม!N341"")+IMPORTRANGE(""https://docs.google.com/spreadsheets/d/1OYoGg4WDg5RIzwGeB10padOxJF9E_Vljuvvct_M7RDo/edit?usp=sharing"",""ปทุมธานี!N341"")+IMPORTRANGE(""https://docs.google.com/spreadsheets/d/1GbCI"&amp;"E4D4wk9FUozzqk7SxfDMxDVBwVmI5zcaVUSzKAc/edit?usp=sharing"",""ประจวบคีรีขันธ์!N341"")+IMPORTRANGE(""https://docs.google.com/spreadsheets/d/1vVf6wykvW_lAyu7Yo9L4hUTqHqIeP_qcVuxCtosJEbg/edit?usp=sharing"",""ปราจีนบุรี!N341"")+IMPORTRANGE(""https://docs.googl"&amp;"e.com/spreadsheets/d/1BIDqLLg5jk3v59G8NlR8rk5xfQDKne0sAvZHSj7TI6I/edit?usp=sharing"",""พระนครศรีอยุธยา!N341"")+IMPORTRANGE(""https://docs.google.com/spreadsheets/d/1YXvxf8Yu6_rV4hTBrwMqAcAnv6DfhUxh5emyM3CJp_w/edit?usp=sharing"",""เพชรบุรี!N341"")+IMPORTRA"&amp;"NGE(""https://docs.google.com/spreadsheets/d/19KBlQQs7uwvsao6t2n-KvW3Ax8J8uRRfZPq1zPbXgKc/edit?usp=sharing"",""ระยอง!N341"")+IMPORTRANGE(""https://docs.google.com/spreadsheets/d/1jQ6P4QcrGM89YfqcC_PxOHGCMq5ezhucwJd8ci-NHng/edit?usp=sharing"",""ราชบุรี!N34"&amp;"1"")+IMPORTRANGE(""https://docs.google.com/spreadsheets/d/1lufeA2cfFqM-elVq2hznhDzC6Pr7wkJ9ZG_sYNGCMCU/edit?usp=sharing"",""ลพบุรี!N341"")+IMPORTRANGE(""https://docs.google.com/spreadsheets/d/10oOiF7loTyfsTkbd4MpaIm0HQ9SwB7IYHdIUvt-U1Uc/edit?usp=sharing"""&amp;",""สระแก้ว!N341"")+IMPORTRANGE(""https://docs.google.com/spreadsheets/d/1xmPlrr1QbdSIKvl1dWUl9K4PjAfSL9oeMr_37QVzcxc/edit?usp=sharing"",""สระบุรี!N341"")+IMPORTRANGE(""https://docs.google.com/spreadsheets/d/1j51vR6CYVGhABJpv6tkstgok82RLpXieLzW1yOY5rHw/edi"&amp;"t?usp=sharing"",""สิงห์บุรี!N341"")+IMPORTRANGE(""https://docs.google.com/spreadsheets/d/1H1EalTWKUSzO4Z1-1CwzoDUaVffgrThEBe2sl74kKG0/edit?usp=sharing"",""สุพรรณบุรี!N341"")+IMPORTRANGE(""https://docs.google.com/spreadsheets/d/1BmIruG_sIrJLYao_Pdr7zVArWsf"&amp;"oBt2692TMi6x_854/edit?usp=sharing"",""อ่างทอง!N341"")"),0)</f>
        <v>0</v>
      </c>
      <c r="O342" s="88">
        <f t="shared" ca="1" si="245"/>
        <v>0</v>
      </c>
      <c r="P342" s="88">
        <f t="shared" ca="1" si="246"/>
        <v>0</v>
      </c>
      <c r="Q342" s="73">
        <f ca="1">IFERROR(__xludf.DUMMYFUNCTION("IMPORTRANGE(""https://docs.google.com/spreadsheets/d/13wPX838HrBrQMCywv1BsuMkt4PEKTChp52zj44s2izQ/edit?usp=sharing"",""กาญจนบุรี!Q341"")+IMPORTRANGE(""https://docs.google.com/spreadsheets/d/1ddFKvqj1W1NEiWytbGlB1zMx_ykJDVtmfEQ-6-lIUBA/edit?usp=sharing"","&amp;"""จันทบุรี!Q341"")+IMPORTRANGE(""https://docs.google.com/spreadsheets/d/1T1PQvRODqOBZk8BRht_U031fIS1beLA0Ub2CEytj2q0/edit?usp=sharing"",""ฉะเชิงเทรา!Q341"")+IMPORTRANGE(""https://docs.google.com/spreadsheets/d/11tr1B-Bhyr79v2bkwVh5h_fR-PStkgjlZtkrZpYurG0/"&amp;"edit?usp=sharing"",""ชลบุรี!Q341"")+IMPORTRANGE(""https://docs.google.com/spreadsheets/d/1hh-FVnSX0vozXhGluamEcS54Dw9_zqW0N7qJUWgJ0Sw/edit?usp=sharing"",""ชัยนาท!Q341"")+IMPORTRANGE(""https://docs.google.com/spreadsheets/d/1jkqa6GXxSacMcY1eN8AHjMNJ_7dDXMJ"&amp;"VRLDlaFSOdPM/edit?usp=sharing"",""ตราด!Q341"")+IMPORTRANGE(""https://docs.google.com/spreadsheets/d/18hSgUJ3VwClqi_qtULmmW3cLr0oe3OKaSYoKzdpTsYQ/edit?usp=sharing"",""นครนายก!Q341"")+IMPORTRANGE(""https://docs.google.com/spreadsheets/d/1YTZo6WM2dQ6Ix6FSdnL"&amp;"5P7uVnVKu40sxZu975tgG10E/edit?usp=sharing"",""นครปฐม!Q341"")+IMPORTRANGE(""https://docs.google.com/spreadsheets/d/1OYoGg4WDg5RIzwGeB10padOxJF9E_Vljuvvct_M7RDo/edit?usp=sharing"",""ปทุมธานี!Q341"")+IMPORTRANGE(""https://docs.google.com/spreadsheets/d/1GbCI"&amp;"E4D4wk9FUozzqk7SxfDMxDVBwVmI5zcaVUSzKAc/edit?usp=sharing"",""ประจวบคีรีขันธ์!Q341"")+IMPORTRANGE(""https://docs.google.com/spreadsheets/d/1vVf6wykvW_lAyu7Yo9L4hUTqHqIeP_qcVuxCtosJEbg/edit?usp=sharing"",""ปราจีนบุรี!Q341"")+IMPORTRANGE(""https://docs.googl"&amp;"e.com/spreadsheets/d/1BIDqLLg5jk3v59G8NlR8rk5xfQDKne0sAvZHSj7TI6I/edit?usp=sharing"",""พระนครศรีอยุธยา!Q341"")+IMPORTRANGE(""https://docs.google.com/spreadsheets/d/1YXvxf8Yu6_rV4hTBrwMqAcAnv6DfhUxh5emyM3CJp_w/edit?usp=sharing"",""เพชรบุรี!Q341"")+IMPORTRA"&amp;"NGE(""https://docs.google.com/spreadsheets/d/19KBlQQs7uwvsao6t2n-KvW3Ax8J8uRRfZPq1zPbXgKc/edit?usp=sharing"",""ระยอง!Q341"")+IMPORTRANGE(""https://docs.google.com/spreadsheets/d/1jQ6P4QcrGM89YfqcC_PxOHGCMq5ezhucwJd8ci-NHng/edit?usp=sharing"",""ราชบุรี!Q34"&amp;"1"")+IMPORTRANGE(""https://docs.google.com/spreadsheets/d/1lufeA2cfFqM-elVq2hznhDzC6Pr7wkJ9ZG_sYNGCMCU/edit?usp=sharing"",""ลพบุรี!Q341"")+IMPORTRANGE(""https://docs.google.com/spreadsheets/d/10oOiF7loTyfsTkbd4MpaIm0HQ9SwB7IYHdIUvt-U1Uc/edit?usp=sharing"""&amp;",""สระแก้ว!Q341"")+IMPORTRANGE(""https://docs.google.com/spreadsheets/d/1xmPlrr1QbdSIKvl1dWUl9K4PjAfSL9oeMr_37QVzcxc/edit?usp=sharing"",""สระบุรี!Q341"")+IMPORTRANGE(""https://docs.google.com/spreadsheets/d/1j51vR6CYVGhABJpv6tkstgok82RLpXieLzW1yOY5rHw/edi"&amp;"t?usp=sharing"",""สิงห์บุรี!Q341"")+IMPORTRANGE(""https://docs.google.com/spreadsheets/d/1H1EalTWKUSzO4Z1-1CwzoDUaVffgrThEBe2sl74kKG0/edit?usp=sharing"",""สุพรรณบุรี!Q341"")+IMPORTRANGE(""https://docs.google.com/spreadsheets/d/1BmIruG_sIrJLYao_Pdr7zVArWsf"&amp;"oBt2692TMi6x_854/edit?usp=sharing"",""อ่างทอง!Q341"")"),0)</f>
        <v>0</v>
      </c>
      <c r="R342" s="74">
        <f ca="1">IFERROR(__xludf.DUMMYFUNCTION("IMPORTRANGE(""https://docs.google.com/spreadsheets/d/13wPX838HrBrQMCywv1BsuMkt4PEKTChp52zj44s2izQ/edit?usp=sharing"",""กาญจนบุรี!R341"")+IMPORTRANGE(""https://docs.google.com/spreadsheets/d/1ddFKvqj1W1NEiWytbGlB1zMx_ykJDVtmfEQ-6-lIUBA/edit?usp=sharing"","&amp;"""จันทบุรี!R341"")+IMPORTRANGE(""https://docs.google.com/spreadsheets/d/1T1PQvRODqOBZk8BRht_U031fIS1beLA0Ub2CEytj2q0/edit?usp=sharing"",""ฉะเชิงเทรา!R341"")+IMPORTRANGE(""https://docs.google.com/spreadsheets/d/11tr1B-Bhyr79v2bkwVh5h_fR-PStkgjlZtkrZpYurG0/"&amp;"edit?usp=sharing"",""ชลบุรี!R341"")+IMPORTRANGE(""https://docs.google.com/spreadsheets/d/1hh-FVnSX0vozXhGluamEcS54Dw9_zqW0N7qJUWgJ0Sw/edit?usp=sharing"",""ชัยนาท!R341"")+IMPORTRANGE(""https://docs.google.com/spreadsheets/d/1jkqa6GXxSacMcY1eN8AHjMNJ_7dDXMJ"&amp;"VRLDlaFSOdPM/edit?usp=sharing"",""ตราด!R341"")+IMPORTRANGE(""https://docs.google.com/spreadsheets/d/18hSgUJ3VwClqi_qtULmmW3cLr0oe3OKaSYoKzdpTsYQ/edit?usp=sharing"",""นครนายก!R341"")+IMPORTRANGE(""https://docs.google.com/spreadsheets/d/1YTZo6WM2dQ6Ix6FSdnL"&amp;"5P7uVnVKu40sxZu975tgG10E/edit?usp=sharing"",""นครปฐม!R341"")+IMPORTRANGE(""https://docs.google.com/spreadsheets/d/1OYoGg4WDg5RIzwGeB10padOxJF9E_Vljuvvct_M7RDo/edit?usp=sharing"",""ปทุมธานี!R341"")+IMPORTRANGE(""https://docs.google.com/spreadsheets/d/1GbCI"&amp;"E4D4wk9FUozzqk7SxfDMxDVBwVmI5zcaVUSzKAc/edit?usp=sharing"",""ประจวบคีรีขันธ์!R341"")+IMPORTRANGE(""https://docs.google.com/spreadsheets/d/1vVf6wykvW_lAyu7Yo9L4hUTqHqIeP_qcVuxCtosJEbg/edit?usp=sharing"",""ปราจีนบุรี!R341"")+IMPORTRANGE(""https://docs.googl"&amp;"e.com/spreadsheets/d/1BIDqLLg5jk3v59G8NlR8rk5xfQDKne0sAvZHSj7TI6I/edit?usp=sharing"",""พระนครศรีอยุธยา!R341"")+IMPORTRANGE(""https://docs.google.com/spreadsheets/d/1YXvxf8Yu6_rV4hTBrwMqAcAnv6DfhUxh5emyM3CJp_w/edit?usp=sharing"",""เพชรบุรี!R341"")+IMPORTRA"&amp;"NGE(""https://docs.google.com/spreadsheets/d/19KBlQQs7uwvsao6t2n-KvW3Ax8J8uRRfZPq1zPbXgKc/edit?usp=sharing"",""ระยอง!R341"")+IMPORTRANGE(""https://docs.google.com/spreadsheets/d/1jQ6P4QcrGM89YfqcC_PxOHGCMq5ezhucwJd8ci-NHng/edit?usp=sharing"",""ราชบุรี!R34"&amp;"1"")+IMPORTRANGE(""https://docs.google.com/spreadsheets/d/1lufeA2cfFqM-elVq2hznhDzC6Pr7wkJ9ZG_sYNGCMCU/edit?usp=sharing"",""ลพบุรี!R341"")+IMPORTRANGE(""https://docs.google.com/spreadsheets/d/10oOiF7loTyfsTkbd4MpaIm0HQ9SwB7IYHdIUvt-U1Uc/edit?usp=sharing"""&amp;",""สระแก้ว!R341"")+IMPORTRANGE(""https://docs.google.com/spreadsheets/d/1xmPlrr1QbdSIKvl1dWUl9K4PjAfSL9oeMr_37QVzcxc/edit?usp=sharing"",""สระบุรี!R341"")+IMPORTRANGE(""https://docs.google.com/spreadsheets/d/1j51vR6CYVGhABJpv6tkstgok82RLpXieLzW1yOY5rHw/edi"&amp;"t?usp=sharing"",""สิงห์บุรี!R341"")+IMPORTRANGE(""https://docs.google.com/spreadsheets/d/1H1EalTWKUSzO4Z1-1CwzoDUaVffgrThEBe2sl74kKG0/edit?usp=sharing"",""สุพรรณบุรี!R341"")+IMPORTRANGE(""https://docs.google.com/spreadsheets/d/1BmIruG_sIrJLYao_Pdr7zVArWsf"&amp;"oBt2692TMi6x_854/edit?usp=sharing"",""อ่างทอง!R341"")"),0)</f>
        <v>0</v>
      </c>
      <c r="S342" s="74">
        <f ca="1">IFERROR(__xludf.DUMMYFUNCTION("IMPORTRANGE(""https://docs.google.com/spreadsheets/d/13wPX838HrBrQMCywv1BsuMkt4PEKTChp52zj44s2izQ/edit?usp=sharing"",""กาญจนบุรี!S341"")+IMPORTRANGE(""https://docs.google.com/spreadsheets/d/1ddFKvqj1W1NEiWytbGlB1zMx_ykJDVtmfEQ-6-lIUBA/edit?usp=sharing"","&amp;"""จันทบุรี!S341"")+IMPORTRANGE(""https://docs.google.com/spreadsheets/d/1T1PQvRODqOBZk8BRht_U031fIS1beLA0Ub2CEytj2q0/edit?usp=sharing"",""ฉะเชิงเทรา!S341"")+IMPORTRANGE(""https://docs.google.com/spreadsheets/d/11tr1B-Bhyr79v2bkwVh5h_fR-PStkgjlZtkrZpYurG0/"&amp;"edit?usp=sharing"",""ชลบุรี!S341"")+IMPORTRANGE(""https://docs.google.com/spreadsheets/d/1hh-FVnSX0vozXhGluamEcS54Dw9_zqW0N7qJUWgJ0Sw/edit?usp=sharing"",""ชัยนาท!S341"")+IMPORTRANGE(""https://docs.google.com/spreadsheets/d/1jkqa6GXxSacMcY1eN8AHjMNJ_7dDXMJ"&amp;"VRLDlaFSOdPM/edit?usp=sharing"",""ตราด!S341"")+IMPORTRANGE(""https://docs.google.com/spreadsheets/d/18hSgUJ3VwClqi_qtULmmW3cLr0oe3OKaSYoKzdpTsYQ/edit?usp=sharing"",""นครนายก!S341"")+IMPORTRANGE(""https://docs.google.com/spreadsheets/d/1YTZo6WM2dQ6Ix6FSdnL"&amp;"5P7uVnVKu40sxZu975tgG10E/edit?usp=sharing"",""นครปฐม!S341"")+IMPORTRANGE(""https://docs.google.com/spreadsheets/d/1OYoGg4WDg5RIzwGeB10padOxJF9E_Vljuvvct_M7RDo/edit?usp=sharing"",""ปทุมธานี!S341"")+IMPORTRANGE(""https://docs.google.com/spreadsheets/d/1GbCI"&amp;"E4D4wk9FUozzqk7SxfDMxDVBwVmI5zcaVUSzKAc/edit?usp=sharing"",""ประจวบคีรีขันธ์!S341"")+IMPORTRANGE(""https://docs.google.com/spreadsheets/d/1vVf6wykvW_lAyu7Yo9L4hUTqHqIeP_qcVuxCtosJEbg/edit?usp=sharing"",""ปราจีนบุรี!S341"")+IMPORTRANGE(""https://docs.googl"&amp;"e.com/spreadsheets/d/1BIDqLLg5jk3v59G8NlR8rk5xfQDKne0sAvZHSj7TI6I/edit?usp=sharing"",""พระนครศรีอยุธยา!S341"")+IMPORTRANGE(""https://docs.google.com/spreadsheets/d/1YXvxf8Yu6_rV4hTBrwMqAcAnv6DfhUxh5emyM3CJp_w/edit?usp=sharing"",""เพชรบุรี!S341"")+IMPORTRA"&amp;"NGE(""https://docs.google.com/spreadsheets/d/19KBlQQs7uwvsao6t2n-KvW3Ax8J8uRRfZPq1zPbXgKc/edit?usp=sharing"",""ระยอง!S341"")+IMPORTRANGE(""https://docs.google.com/spreadsheets/d/1jQ6P4QcrGM89YfqcC_PxOHGCMq5ezhucwJd8ci-NHng/edit?usp=sharing"",""ราชบุรี!S34"&amp;"1"")+IMPORTRANGE(""https://docs.google.com/spreadsheets/d/1lufeA2cfFqM-elVq2hznhDzC6Pr7wkJ9ZG_sYNGCMCU/edit?usp=sharing"",""ลพบุรี!S341"")+IMPORTRANGE(""https://docs.google.com/spreadsheets/d/10oOiF7loTyfsTkbd4MpaIm0HQ9SwB7IYHdIUvt-U1Uc/edit?usp=sharing"""&amp;",""สระแก้ว!S341"")+IMPORTRANGE(""https://docs.google.com/spreadsheets/d/1xmPlrr1QbdSIKvl1dWUl9K4PjAfSL9oeMr_37QVzcxc/edit?usp=sharing"",""สระบุรี!S341"")+IMPORTRANGE(""https://docs.google.com/spreadsheets/d/1j51vR6CYVGhABJpv6tkstgok82RLpXieLzW1yOY5rHw/edi"&amp;"t?usp=sharing"",""สิงห์บุรี!S341"")+IMPORTRANGE(""https://docs.google.com/spreadsheets/d/1H1EalTWKUSzO4Z1-1CwzoDUaVffgrThEBe2sl74kKG0/edit?usp=sharing"",""สุพรรณบุรี!S341"")+IMPORTRANGE(""https://docs.google.com/spreadsheets/d/1BmIruG_sIrJLYao_Pdr7zVArWsf"&amp;"oBt2692TMi6x_854/edit?usp=sharing"",""อ่างทอง!S341"")"),0)</f>
        <v>0</v>
      </c>
      <c r="T342" s="132">
        <f t="shared" ca="1" si="248"/>
        <v>0</v>
      </c>
      <c r="U342" s="132">
        <f t="shared" ca="1" si="249"/>
        <v>0</v>
      </c>
    </row>
    <row r="343" spans="1:21" ht="19.5" x14ac:dyDescent="0.3">
      <c r="A343" s="222"/>
      <c r="B343" s="223"/>
      <c r="C343" s="210" t="s">
        <v>18</v>
      </c>
      <c r="D343" s="537" t="s">
        <v>38</v>
      </c>
      <c r="E343" s="225"/>
      <c r="F343" s="225"/>
      <c r="G343" s="225"/>
      <c r="H343" s="538"/>
      <c r="I343" s="539"/>
      <c r="J343" s="539"/>
      <c r="K343" s="540"/>
      <c r="L343" s="72"/>
      <c r="M343" s="72"/>
      <c r="N343" s="72"/>
      <c r="O343" s="220"/>
      <c r="P343" s="220"/>
      <c r="Q343" s="86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544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24065</v>
      </c>
      <c r="K344" s="548">
        <v>0</v>
      </c>
      <c r="L344" s="549"/>
      <c r="M344" s="549"/>
      <c r="N344" s="549"/>
      <c r="O344" s="549"/>
      <c r="P344" s="549"/>
      <c r="Q344" s="391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0"/>
      <c r="E345" s="291" t="s">
        <v>138</v>
      </c>
      <c r="F345" s="258"/>
      <c r="G345" s="261"/>
      <c r="H345" s="551" t="s">
        <v>35</v>
      </c>
      <c r="I345" s="293">
        <f ca="1">IFERROR(__xludf.DUMMYFUNCTION("IMPORTRANGE(""https://docs.google.com/spreadsheets/d/13wPX838HrBrQMCywv1BsuMkt4PEKTChp52zj44s2izQ/edit?usp=sharing"",""กาญจนบุรี!I344"")+IMPORTRANGE(""https://docs.google.com/spreadsheets/d/1ddFKvqj1W1NEiWytbGlB1zMx_ykJDVtmfEQ-6-lIUBA/edit?usp=sharing"","&amp;"""จันทบุรี!I344"")+IMPORTRANGE(""https://docs.google.com/spreadsheets/d/1T1PQvRODqOBZk8BRht_U031fIS1beLA0Ub2CEytj2q0/edit?usp=sharing"",""ฉะเชิงเทรา!I344"")+IMPORTRANGE(""https://docs.google.com/spreadsheets/d/11tr1B-Bhyr79v2bkwVh5h_fR-PStkgjlZtkrZpYurG0/"&amp;"edit?usp=sharing"",""ชลบุรี!I344"")+IMPORTRANGE(""https://docs.google.com/spreadsheets/d/1hh-FVnSX0vozXhGluamEcS54Dw9_zqW0N7qJUWgJ0Sw/edit?usp=sharing"",""ชัยนาท!I344"")+IMPORTRANGE(""https://docs.google.com/spreadsheets/d/1jkqa6GXxSacMcY1eN8AHjMNJ_7dDXMJ"&amp;"VRLDlaFSOdPM/edit?usp=sharing"",""ตราด!I344"")+IMPORTRANGE(""https://docs.google.com/spreadsheets/d/18hSgUJ3VwClqi_qtULmmW3cLr0oe3OKaSYoKzdpTsYQ/edit?usp=sharing"",""นครนายก!I344"")+IMPORTRANGE(""https://docs.google.com/spreadsheets/d/1YTZo6WM2dQ6Ix6FSdnL"&amp;"5P7uVnVKu40sxZu975tgG10E/edit?usp=sharing"",""นครปฐม!I344"")+IMPORTRANGE(""https://docs.google.com/spreadsheets/d/1OYoGg4WDg5RIzwGeB10padOxJF9E_Vljuvvct_M7RDo/edit?usp=sharing"",""ปทุมธานี!I344"")+IMPORTRANGE(""https://docs.google.com/spreadsheets/d/1GbCI"&amp;"E4D4wk9FUozzqk7SxfDMxDVBwVmI5zcaVUSzKAc/edit?usp=sharing"",""ประจวบคีรีขันธ์!I344"")+IMPORTRANGE(""https://docs.google.com/spreadsheets/d/1vVf6wykvW_lAyu7Yo9L4hUTqHqIeP_qcVuxCtosJEbg/edit?usp=sharing"",""ปราจีนบุรี!I344"")+IMPORTRANGE(""https://docs.googl"&amp;"e.com/spreadsheets/d/1BIDqLLg5jk3v59G8NlR8rk5xfQDKne0sAvZHSj7TI6I/edit?usp=sharing"",""พระนครศรีอยุธยา!I344"")+IMPORTRANGE(""https://docs.google.com/spreadsheets/d/1YXvxf8Yu6_rV4hTBrwMqAcAnv6DfhUxh5emyM3CJp_w/edit?usp=sharing"",""เพชรบุรี!I344"")+IMPORTRA"&amp;"NGE(""https://docs.google.com/spreadsheets/d/19KBlQQs7uwvsao6t2n-KvW3Ax8J8uRRfZPq1zPbXgKc/edit?usp=sharing"",""ระยอง!I344"")+IMPORTRANGE(""https://docs.google.com/spreadsheets/d/1jQ6P4QcrGM89YfqcC_PxOHGCMq5ezhucwJd8ci-NHng/edit?usp=sharing"",""ราชบุรี!I34"&amp;"4"")+IMPORTRANGE(""https://docs.google.com/spreadsheets/d/1lufeA2cfFqM-elVq2hznhDzC6Pr7wkJ9ZG_sYNGCMCU/edit?usp=sharing"",""ลพบุรี!I344"")+IMPORTRANGE(""https://docs.google.com/spreadsheets/d/10oOiF7loTyfsTkbd4MpaIm0HQ9SwB7IYHdIUvt-U1Uc/edit?usp=sharing"""&amp;",""สระแก้ว!I344"")+IMPORTRANGE(""https://docs.google.com/spreadsheets/d/1xmPlrr1QbdSIKvl1dWUl9K4PjAfSL9oeMr_37QVzcxc/edit?usp=sharing"",""สระบุรี!I344"")+IMPORTRANGE(""https://docs.google.com/spreadsheets/d/1j51vR6CYVGhABJpv6tkstgok82RLpXieLzW1yOY5rHw/edi"&amp;"t?usp=sharing"",""สิงห์บุรี!I344"")+IMPORTRANGE(""https://docs.google.com/spreadsheets/d/1H1EalTWKUSzO4Z1-1CwzoDUaVffgrThEBe2sl74kKG0/edit?usp=sharing"",""สุพรรณบุรี!I344"")+IMPORTRANGE(""https://docs.google.com/spreadsheets/d/1BmIruG_sIrJLYao_Pdr7zVArWsf"&amp;"oBt2692TMi6x_854/edit?usp=sharing"",""อ่างทอง!I344"")"),19420)</f>
        <v>19420</v>
      </c>
      <c r="J345" s="293">
        <f ca="1">IFERROR(__xludf.DUMMYFUNCTION("IMPORTRANGE(""https://docs.google.com/spreadsheets/d/13wPX838HrBrQMCywv1BsuMkt4PEKTChp52zj44s2izQ/edit?usp=sharing"",""กาญจนบุรี!J344"")+IMPORTRANGE(""https://docs.google.com/spreadsheets/d/1ddFKvqj1W1NEiWytbGlB1zMx_ykJDVtmfEQ-6-lIUBA/edit?usp=sharing"","&amp;"""จันทบุรี!J344"")+IMPORTRANGE(""https://docs.google.com/spreadsheets/d/1T1PQvRODqOBZk8BRht_U031fIS1beLA0Ub2CEytj2q0/edit?usp=sharing"",""ฉะเชิงเทรา!J344"")+IMPORTRANGE(""https://docs.google.com/spreadsheets/d/11tr1B-Bhyr79v2bkwVh5h_fR-PStkgjlZtkrZpYurG0/"&amp;"edit?usp=sharing"",""ชลบุรี!J344"")+IMPORTRANGE(""https://docs.google.com/spreadsheets/d/1hh-FVnSX0vozXhGluamEcS54Dw9_zqW0N7qJUWgJ0Sw/edit?usp=sharing"",""ชัยนาท!J344"")+IMPORTRANGE(""https://docs.google.com/spreadsheets/d/1jkqa6GXxSacMcY1eN8AHjMNJ_7dDXMJ"&amp;"VRLDlaFSOdPM/edit?usp=sharing"",""ตราด!J344"")+IMPORTRANGE(""https://docs.google.com/spreadsheets/d/18hSgUJ3VwClqi_qtULmmW3cLr0oe3OKaSYoKzdpTsYQ/edit?usp=sharing"",""นครนายก!J344"")+IMPORTRANGE(""https://docs.google.com/spreadsheets/d/1YTZo6WM2dQ6Ix6FSdnL"&amp;"5P7uVnVKu40sxZu975tgG10E/edit?usp=sharing"",""นครปฐม!J344"")+IMPORTRANGE(""https://docs.google.com/spreadsheets/d/1OYoGg4WDg5RIzwGeB10padOxJF9E_Vljuvvct_M7RDo/edit?usp=sharing"",""ปทุมธานี!J344"")+IMPORTRANGE(""https://docs.google.com/spreadsheets/d/1GbCI"&amp;"E4D4wk9FUozzqk7SxfDMxDVBwVmI5zcaVUSzKAc/edit?usp=sharing"",""ประจวบคีรีขันธ์!J344"")+IMPORTRANGE(""https://docs.google.com/spreadsheets/d/1vVf6wykvW_lAyu7Yo9L4hUTqHqIeP_qcVuxCtosJEbg/edit?usp=sharing"",""ปราจีนบุรี!J344"")+IMPORTRANGE(""https://docs.googl"&amp;"e.com/spreadsheets/d/1BIDqLLg5jk3v59G8NlR8rk5xfQDKne0sAvZHSj7TI6I/edit?usp=sharing"",""พระนครศรีอยุธยา!J344"")+IMPORTRANGE(""https://docs.google.com/spreadsheets/d/1YXvxf8Yu6_rV4hTBrwMqAcAnv6DfhUxh5emyM3CJp_w/edit?usp=sharing"",""เพชรบุรี!J344"")+IMPORTRA"&amp;"NGE(""https://docs.google.com/spreadsheets/d/19KBlQQs7uwvsao6t2n-KvW3Ax8J8uRRfZPq1zPbXgKc/edit?usp=sharing"",""ระยอง!J344"")+IMPORTRANGE(""https://docs.google.com/spreadsheets/d/1jQ6P4QcrGM89YfqcC_PxOHGCMq5ezhucwJd8ci-NHng/edit?usp=sharing"",""ราชบุรี!J34"&amp;"4"")+IMPORTRANGE(""https://docs.google.com/spreadsheets/d/1lufeA2cfFqM-elVq2hznhDzC6Pr7wkJ9ZG_sYNGCMCU/edit?usp=sharing"",""ลพบุรี!J344"")+IMPORTRANGE(""https://docs.google.com/spreadsheets/d/10oOiF7loTyfsTkbd4MpaIm0HQ9SwB7IYHdIUvt-U1Uc/edit?usp=sharing"""&amp;",""สระแก้ว!J344"")+IMPORTRANGE(""https://docs.google.com/spreadsheets/d/1xmPlrr1QbdSIKvl1dWUl9K4PjAfSL9oeMr_37QVzcxc/edit?usp=sharing"",""สระบุรี!J344"")+IMPORTRANGE(""https://docs.google.com/spreadsheets/d/1j51vR6CYVGhABJpv6tkstgok82RLpXieLzW1yOY5rHw/edi"&amp;"t?usp=sharing"",""สิงห์บุรี!J344"")+IMPORTRANGE(""https://docs.google.com/spreadsheets/d/1H1EalTWKUSzO4Z1-1CwzoDUaVffgrThEBe2sl74kKG0/edit?usp=sharing"",""สุพรรณบุรี!J344"")+IMPORTRANGE(""https://docs.google.com/spreadsheets/d/1BmIruG_sIrJLYao_Pdr7zVArWsf"&amp;"oBt2692TMi6x_854/edit?usp=sharing"",""อ่างทอง!J344"")"),20806)</f>
        <v>20806</v>
      </c>
      <c r="K345" s="74">
        <f ca="1">IF(I345&gt;0,J345*100/I345,0)</f>
        <v>107.13697219361482</v>
      </c>
      <c r="L345" s="72"/>
      <c r="M345" s="72"/>
      <c r="N345" s="72"/>
      <c r="O345" s="72"/>
      <c r="P345" s="72"/>
      <c r="Q345" s="86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0"/>
      <c r="E346" s="291" t="s">
        <v>139</v>
      </c>
      <c r="F346" s="258"/>
      <c r="G346" s="261"/>
      <c r="H346" s="312"/>
      <c r="I346" s="263"/>
      <c r="J346" s="263"/>
      <c r="K346" s="87"/>
      <c r="L346" s="72"/>
      <c r="M346" s="72"/>
      <c r="N346" s="72"/>
      <c r="O346" s="72"/>
      <c r="P346" s="72"/>
      <c r="Q346" s="86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0"/>
      <c r="E347" s="290"/>
      <c r="F347" s="291" t="s">
        <v>140</v>
      </c>
      <c r="G347" s="261"/>
      <c r="H347" s="307" t="s">
        <v>141</v>
      </c>
      <c r="I347" s="293">
        <f ca="1">IFERROR(__xludf.DUMMYFUNCTION("IMPORTRANGE(""https://docs.google.com/spreadsheets/d/13wPX838HrBrQMCywv1BsuMkt4PEKTChp52zj44s2izQ/edit?usp=sharing"",""กาญจนบุรี!I346"")+IMPORTRANGE(""https://docs.google.com/spreadsheets/d/1ddFKvqj1W1NEiWytbGlB1zMx_ykJDVtmfEQ-6-lIUBA/edit?usp=sharing"","&amp;"""จันทบุรี!I346"")+IMPORTRANGE(""https://docs.google.com/spreadsheets/d/1T1PQvRODqOBZk8BRht_U031fIS1beLA0Ub2CEytj2q0/edit?usp=sharing"",""ฉะเชิงเทรา!I346"")+IMPORTRANGE(""https://docs.google.com/spreadsheets/d/11tr1B-Bhyr79v2bkwVh5h_fR-PStkgjlZtkrZpYurG0/"&amp;"edit?usp=sharing"",""ชลบุรี!I346"")+IMPORTRANGE(""https://docs.google.com/spreadsheets/d/1hh-FVnSX0vozXhGluamEcS54Dw9_zqW0N7qJUWgJ0Sw/edit?usp=sharing"",""ชัยนาท!I346"")+IMPORTRANGE(""https://docs.google.com/spreadsheets/d/1jkqa6GXxSacMcY1eN8AHjMNJ_7dDXMJ"&amp;"VRLDlaFSOdPM/edit?usp=sharing"",""ตราด!I346"")+IMPORTRANGE(""https://docs.google.com/spreadsheets/d/18hSgUJ3VwClqi_qtULmmW3cLr0oe3OKaSYoKzdpTsYQ/edit?usp=sharing"",""นครนายก!I346"")+IMPORTRANGE(""https://docs.google.com/spreadsheets/d/1YTZo6WM2dQ6Ix6FSdnL"&amp;"5P7uVnVKu40sxZu975tgG10E/edit?usp=sharing"",""นครปฐม!I346"")+IMPORTRANGE(""https://docs.google.com/spreadsheets/d/1OYoGg4WDg5RIzwGeB10padOxJF9E_Vljuvvct_M7RDo/edit?usp=sharing"",""ปทุมธานี!I346"")+IMPORTRANGE(""https://docs.google.com/spreadsheets/d/1GbCI"&amp;"E4D4wk9FUozzqk7SxfDMxDVBwVmI5zcaVUSzKAc/edit?usp=sharing"",""ประจวบคีรีขันธ์!I346"")+IMPORTRANGE(""https://docs.google.com/spreadsheets/d/1vVf6wykvW_lAyu7Yo9L4hUTqHqIeP_qcVuxCtosJEbg/edit?usp=sharing"",""ปราจีนบุรี!I346"")+IMPORTRANGE(""https://docs.googl"&amp;"e.com/spreadsheets/d/1BIDqLLg5jk3v59G8NlR8rk5xfQDKne0sAvZHSj7TI6I/edit?usp=sharing"",""พระนครศรีอยุธยา!I346"")+IMPORTRANGE(""https://docs.google.com/spreadsheets/d/1YXvxf8Yu6_rV4hTBrwMqAcAnv6DfhUxh5emyM3CJp_w/edit?usp=sharing"",""เพชรบุรี!I346"")+IMPORTRA"&amp;"NGE(""https://docs.google.com/spreadsheets/d/19KBlQQs7uwvsao6t2n-KvW3Ax8J8uRRfZPq1zPbXgKc/edit?usp=sharing"",""ระยอง!I346"")+IMPORTRANGE(""https://docs.google.com/spreadsheets/d/1jQ6P4QcrGM89YfqcC_PxOHGCMq5ezhucwJd8ci-NHng/edit?usp=sharing"",""ราชบุรี!I34"&amp;"6"")+IMPORTRANGE(""https://docs.google.com/spreadsheets/d/1lufeA2cfFqM-elVq2hznhDzC6Pr7wkJ9ZG_sYNGCMCU/edit?usp=sharing"",""ลพบุรี!I346"")+IMPORTRANGE(""https://docs.google.com/spreadsheets/d/10oOiF7loTyfsTkbd4MpaIm0HQ9SwB7IYHdIUvt-U1Uc/edit?usp=sharing"""&amp;",""สระแก้ว!I346"")+IMPORTRANGE(""https://docs.google.com/spreadsheets/d/1xmPlrr1QbdSIKvl1dWUl9K4PjAfSL9oeMr_37QVzcxc/edit?usp=sharing"",""สระบุรี!I346"")+IMPORTRANGE(""https://docs.google.com/spreadsheets/d/1j51vR6CYVGhABJpv6tkstgok82RLpXieLzW1yOY5rHw/edi"&amp;"t?usp=sharing"",""สิงห์บุรี!I346"")+IMPORTRANGE(""https://docs.google.com/spreadsheets/d/1H1EalTWKUSzO4Z1-1CwzoDUaVffgrThEBe2sl74kKG0/edit?usp=sharing"",""สุพรรณบุรี!I346"")+IMPORTRANGE(""https://docs.google.com/spreadsheets/d/1BmIruG_sIrJLYao_Pdr7zVArWsf"&amp;"oBt2692TMi6x_854/edit?usp=sharing"",""อ่างทอง!I346"")"),52)</f>
        <v>52</v>
      </c>
      <c r="J347" s="293">
        <f ca="1">IFERROR(__xludf.DUMMYFUNCTION("IMPORTRANGE(""https://docs.google.com/spreadsheets/d/13wPX838HrBrQMCywv1BsuMkt4PEKTChp52zj44s2izQ/edit?usp=sharing"",""กาญจนบุรี!J346"")+IMPORTRANGE(""https://docs.google.com/spreadsheets/d/1ddFKvqj1W1NEiWytbGlB1zMx_ykJDVtmfEQ-6-lIUBA/edit?usp=sharing"","&amp;"""จันทบุรี!J346"")+IMPORTRANGE(""https://docs.google.com/spreadsheets/d/1T1PQvRODqOBZk8BRht_U031fIS1beLA0Ub2CEytj2q0/edit?usp=sharing"",""ฉะเชิงเทรา!J346"")+IMPORTRANGE(""https://docs.google.com/spreadsheets/d/11tr1B-Bhyr79v2bkwVh5h_fR-PStkgjlZtkrZpYurG0/"&amp;"edit?usp=sharing"",""ชลบุรี!J346"")+IMPORTRANGE(""https://docs.google.com/spreadsheets/d/1hh-FVnSX0vozXhGluamEcS54Dw9_zqW0N7qJUWgJ0Sw/edit?usp=sharing"",""ชัยนาท!J346"")+IMPORTRANGE(""https://docs.google.com/spreadsheets/d/1jkqa6GXxSacMcY1eN8AHjMNJ_7dDXMJ"&amp;"VRLDlaFSOdPM/edit?usp=sharing"",""ตราด!J346"")+IMPORTRANGE(""https://docs.google.com/spreadsheets/d/18hSgUJ3VwClqi_qtULmmW3cLr0oe3OKaSYoKzdpTsYQ/edit?usp=sharing"",""นครนายก!J346"")+IMPORTRANGE(""https://docs.google.com/spreadsheets/d/1YTZo6WM2dQ6Ix6FSdnL"&amp;"5P7uVnVKu40sxZu975tgG10E/edit?usp=sharing"",""นครปฐม!J346"")+IMPORTRANGE(""https://docs.google.com/spreadsheets/d/1OYoGg4WDg5RIzwGeB10padOxJF9E_Vljuvvct_M7RDo/edit?usp=sharing"",""ปทุมธานี!J346"")+IMPORTRANGE(""https://docs.google.com/spreadsheets/d/1GbCI"&amp;"E4D4wk9FUozzqk7SxfDMxDVBwVmI5zcaVUSzKAc/edit?usp=sharing"",""ประจวบคีรีขันธ์!J346"")+IMPORTRANGE(""https://docs.google.com/spreadsheets/d/1vVf6wykvW_lAyu7Yo9L4hUTqHqIeP_qcVuxCtosJEbg/edit?usp=sharing"",""ปราจีนบุรี!J346"")+IMPORTRANGE(""https://docs.googl"&amp;"e.com/spreadsheets/d/1BIDqLLg5jk3v59G8NlR8rk5xfQDKne0sAvZHSj7TI6I/edit?usp=sharing"",""พระนครศรีอยุธยา!J346"")+IMPORTRANGE(""https://docs.google.com/spreadsheets/d/1YXvxf8Yu6_rV4hTBrwMqAcAnv6DfhUxh5emyM3CJp_w/edit?usp=sharing"",""เพชรบุรี!J346"")+IMPORTRA"&amp;"NGE(""https://docs.google.com/spreadsheets/d/19KBlQQs7uwvsao6t2n-KvW3Ax8J8uRRfZPq1zPbXgKc/edit?usp=sharing"",""ระยอง!J346"")+IMPORTRANGE(""https://docs.google.com/spreadsheets/d/1jQ6P4QcrGM89YfqcC_PxOHGCMq5ezhucwJd8ci-NHng/edit?usp=sharing"",""ราชบุรี!J34"&amp;"6"")+IMPORTRANGE(""https://docs.google.com/spreadsheets/d/1lufeA2cfFqM-elVq2hznhDzC6Pr7wkJ9ZG_sYNGCMCU/edit?usp=sharing"",""ลพบุรี!J346"")+IMPORTRANGE(""https://docs.google.com/spreadsheets/d/10oOiF7loTyfsTkbd4MpaIm0HQ9SwB7IYHdIUvt-U1Uc/edit?usp=sharing"""&amp;",""สระแก้ว!J346"")+IMPORTRANGE(""https://docs.google.com/spreadsheets/d/1xmPlrr1QbdSIKvl1dWUl9K4PjAfSL9oeMr_37QVzcxc/edit?usp=sharing"",""สระบุรี!J346"")+IMPORTRANGE(""https://docs.google.com/spreadsheets/d/1j51vR6CYVGhABJpv6tkstgok82RLpXieLzW1yOY5rHw/edi"&amp;"t?usp=sharing"",""สิงห์บุรี!J346"")+IMPORTRANGE(""https://docs.google.com/spreadsheets/d/1H1EalTWKUSzO4Z1-1CwzoDUaVffgrThEBe2sl74kKG0/edit?usp=sharing"",""สุพรรณบุรี!J346"")+IMPORTRANGE(""https://docs.google.com/spreadsheets/d/1BmIruG_sIrJLYao_Pdr7zVArWsf"&amp;"oBt2692TMi6x_854/edit?usp=sharing"",""อ่างทอง!J346"")"),52)</f>
        <v>52</v>
      </c>
      <c r="K347" s="74">
        <f ca="1">IF(I347&gt;0,J347*100/I347,0)</f>
        <v>100</v>
      </c>
      <c r="L347" s="72"/>
      <c r="M347" s="72"/>
      <c r="N347" s="72"/>
      <c r="O347" s="72"/>
      <c r="P347" s="72"/>
      <c r="Q347" s="86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0"/>
      <c r="E348" s="290"/>
      <c r="F348" s="291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13wPX838HrBrQMCywv1BsuMkt4PEKTChp52zj44s2izQ/edit?usp=sharing"",""กาญจนบุรี!J347"")+IMPORTRANGE(""https://docs.google.com/spreadsheets/d/1ddFKvqj1W1NEiWytbGlB1zMx_ykJDVtmfEQ-6-lIUBA/edit?usp=sharing"","&amp;"""จันทบุรี!J347"")+IMPORTRANGE(""https://docs.google.com/spreadsheets/d/1T1PQvRODqOBZk8BRht_U031fIS1beLA0Ub2CEytj2q0/edit?usp=sharing"",""ฉะเชิงเทรา!J347"")+IMPORTRANGE(""https://docs.google.com/spreadsheets/d/11tr1B-Bhyr79v2bkwVh5h_fR-PStkgjlZtkrZpYurG0/"&amp;"edit?usp=sharing"",""ชลบุรี!J347"")+IMPORTRANGE(""https://docs.google.com/spreadsheets/d/1hh-FVnSX0vozXhGluamEcS54Dw9_zqW0N7qJUWgJ0Sw/edit?usp=sharing"",""ชัยนาท!J347"")+IMPORTRANGE(""https://docs.google.com/spreadsheets/d/1jkqa6GXxSacMcY1eN8AHjMNJ_7dDXMJ"&amp;"VRLDlaFSOdPM/edit?usp=sharing"",""ตราด!J347"")+IMPORTRANGE(""https://docs.google.com/spreadsheets/d/18hSgUJ3VwClqi_qtULmmW3cLr0oe3OKaSYoKzdpTsYQ/edit?usp=sharing"",""นครนายก!J347"")+IMPORTRANGE(""https://docs.google.com/spreadsheets/d/1YTZo6WM2dQ6Ix6FSdnL"&amp;"5P7uVnVKu40sxZu975tgG10E/edit?usp=sharing"",""นครปฐม!J347"")+IMPORTRANGE(""https://docs.google.com/spreadsheets/d/1OYoGg4WDg5RIzwGeB10padOxJF9E_Vljuvvct_M7RDo/edit?usp=sharing"",""ปทุมธานี!J347"")+IMPORTRANGE(""https://docs.google.com/spreadsheets/d/1GbCI"&amp;"E4D4wk9FUozzqk7SxfDMxDVBwVmI5zcaVUSzKAc/edit?usp=sharing"",""ประจวบคีรีขันธ์!J347"")+IMPORTRANGE(""https://docs.google.com/spreadsheets/d/1vVf6wykvW_lAyu7Yo9L4hUTqHqIeP_qcVuxCtosJEbg/edit?usp=sharing"",""ปราจีนบุรี!J347"")+IMPORTRANGE(""https://docs.googl"&amp;"e.com/spreadsheets/d/1BIDqLLg5jk3v59G8NlR8rk5xfQDKne0sAvZHSj7TI6I/edit?usp=sharing"",""พระนครศรีอยุธยา!J347"")+IMPORTRANGE(""https://docs.google.com/spreadsheets/d/1YXvxf8Yu6_rV4hTBrwMqAcAnv6DfhUxh5emyM3CJp_w/edit?usp=sharing"",""เพชรบุรี!J347"")+IMPORTRA"&amp;"NGE(""https://docs.google.com/spreadsheets/d/19KBlQQs7uwvsao6t2n-KvW3Ax8J8uRRfZPq1zPbXgKc/edit?usp=sharing"",""ระยอง!J347"")+IMPORTRANGE(""https://docs.google.com/spreadsheets/d/1jQ6P4QcrGM89YfqcC_PxOHGCMq5ezhucwJd8ci-NHng/edit?usp=sharing"",""ราชบุรี!J34"&amp;"7"")+IMPORTRANGE(""https://docs.google.com/spreadsheets/d/1lufeA2cfFqM-elVq2hznhDzC6Pr7wkJ9ZG_sYNGCMCU/edit?usp=sharing"",""ลพบุรี!J347"")+IMPORTRANGE(""https://docs.google.com/spreadsheets/d/10oOiF7loTyfsTkbd4MpaIm0HQ9SwB7IYHdIUvt-U1Uc/edit?usp=sharing"""&amp;",""สระแก้ว!J347"")+IMPORTRANGE(""https://docs.google.com/spreadsheets/d/1xmPlrr1QbdSIKvl1dWUl9K4PjAfSL9oeMr_37QVzcxc/edit?usp=sharing"",""สระบุรี!J347"")+IMPORTRANGE(""https://docs.google.com/spreadsheets/d/1j51vR6CYVGhABJpv6tkstgok82RLpXieLzW1yOY5rHw/edi"&amp;"t?usp=sharing"",""สิงห์บุรี!J347"")+IMPORTRANGE(""https://docs.google.com/spreadsheets/d/1H1EalTWKUSzO4Z1-1CwzoDUaVffgrThEBe2sl74kKG0/edit?usp=sharing"",""สุพรรณบุรี!J347"")+IMPORTRANGE(""https://docs.google.com/spreadsheets/d/1BmIruG_sIrJLYao_Pdr7zVArWsf"&amp;"oBt2692TMi6x_854/edit?usp=sharing"",""อ่างทอง!J347"")"),1546)</f>
        <v>1546</v>
      </c>
      <c r="K348" s="87"/>
      <c r="L348" s="72"/>
      <c r="M348" s="72"/>
      <c r="N348" s="72"/>
      <c r="O348" s="72"/>
      <c r="P348" s="72"/>
      <c r="Q348" s="86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0"/>
      <c r="E349" s="291" t="s">
        <v>143</v>
      </c>
      <c r="F349" s="290"/>
      <c r="G349" s="261"/>
      <c r="H349" s="307" t="s">
        <v>35</v>
      </c>
      <c r="I349" s="263"/>
      <c r="J349" s="293">
        <f ca="1">IFERROR(__xludf.DUMMYFUNCTION("IMPORTRANGE(""https://docs.google.com/spreadsheets/d/13wPX838HrBrQMCywv1BsuMkt4PEKTChp52zj44s2izQ/edit?usp=sharing"",""กาญจนบุรี!J348"")+IMPORTRANGE(""https://docs.google.com/spreadsheets/d/1ddFKvqj1W1NEiWytbGlB1zMx_ykJDVtmfEQ-6-lIUBA/edit?usp=sharing"","&amp;"""จันทบุรี!J348"")+IMPORTRANGE(""https://docs.google.com/spreadsheets/d/1T1PQvRODqOBZk8BRht_U031fIS1beLA0Ub2CEytj2q0/edit?usp=sharing"",""ฉะเชิงเทรา!J348"")+IMPORTRANGE(""https://docs.google.com/spreadsheets/d/11tr1B-Bhyr79v2bkwVh5h_fR-PStkgjlZtkrZpYurG0/"&amp;"edit?usp=sharing"",""ชลบุรี!J348"")+IMPORTRANGE(""https://docs.google.com/spreadsheets/d/1hh-FVnSX0vozXhGluamEcS54Dw9_zqW0N7qJUWgJ0Sw/edit?usp=sharing"",""ชัยนาท!J348"")+IMPORTRANGE(""https://docs.google.com/spreadsheets/d/1jkqa6GXxSacMcY1eN8AHjMNJ_7dDXMJ"&amp;"VRLDlaFSOdPM/edit?usp=sharing"",""ตราด!J348"")+IMPORTRANGE(""https://docs.google.com/spreadsheets/d/18hSgUJ3VwClqi_qtULmmW3cLr0oe3OKaSYoKzdpTsYQ/edit?usp=sharing"",""นครนายก!J348"")+IMPORTRANGE(""https://docs.google.com/spreadsheets/d/1YTZo6WM2dQ6Ix6FSdnL"&amp;"5P7uVnVKu40sxZu975tgG10E/edit?usp=sharing"",""นครปฐม!J348"")+IMPORTRANGE(""https://docs.google.com/spreadsheets/d/1OYoGg4WDg5RIzwGeB10padOxJF9E_Vljuvvct_M7RDo/edit?usp=sharing"",""ปทุมธานี!J348"")+IMPORTRANGE(""https://docs.google.com/spreadsheets/d/1GbCI"&amp;"E4D4wk9FUozzqk7SxfDMxDVBwVmI5zcaVUSzKAc/edit?usp=sharing"",""ประจวบคีรีขันธ์!J348"")+IMPORTRANGE(""https://docs.google.com/spreadsheets/d/1vVf6wykvW_lAyu7Yo9L4hUTqHqIeP_qcVuxCtosJEbg/edit?usp=sharing"",""ปราจีนบุรี!J348"")+IMPORTRANGE(""https://docs.googl"&amp;"e.com/spreadsheets/d/1BIDqLLg5jk3v59G8NlR8rk5xfQDKne0sAvZHSj7TI6I/edit?usp=sharing"",""พระนครศรีอยุธยา!J348"")+IMPORTRANGE(""https://docs.google.com/spreadsheets/d/1YXvxf8Yu6_rV4hTBrwMqAcAnv6DfhUxh5emyM3CJp_w/edit?usp=sharing"",""เพชรบุรี!J348"")+IMPORTRA"&amp;"NGE(""https://docs.google.com/spreadsheets/d/19KBlQQs7uwvsao6t2n-KvW3Ax8J8uRRfZPq1zPbXgKc/edit?usp=sharing"",""ระยอง!J348"")+IMPORTRANGE(""https://docs.google.com/spreadsheets/d/1jQ6P4QcrGM89YfqcC_PxOHGCMq5ezhucwJd8ci-NHng/edit?usp=sharing"",""ราชบุรี!J34"&amp;"8"")+IMPORTRANGE(""https://docs.google.com/spreadsheets/d/1lufeA2cfFqM-elVq2hznhDzC6Pr7wkJ9ZG_sYNGCMCU/edit?usp=sharing"",""ลพบุรี!J348"")+IMPORTRANGE(""https://docs.google.com/spreadsheets/d/10oOiF7loTyfsTkbd4MpaIm0HQ9SwB7IYHdIUvt-U1Uc/edit?usp=sharing"""&amp;",""สระแก้ว!J348"")+IMPORTRANGE(""https://docs.google.com/spreadsheets/d/1xmPlrr1QbdSIKvl1dWUl9K4PjAfSL9oeMr_37QVzcxc/edit?usp=sharing"",""สระบุรี!J348"")+IMPORTRANGE(""https://docs.google.com/spreadsheets/d/1j51vR6CYVGhABJpv6tkstgok82RLpXieLzW1yOY5rHw/edi"&amp;"t?usp=sharing"",""สิงห์บุรี!J348"")+IMPORTRANGE(""https://docs.google.com/spreadsheets/d/1H1EalTWKUSzO4Z1-1CwzoDUaVffgrThEBe2sl74kKG0/edit?usp=sharing"",""สุพรรณบุรี!J348"")+IMPORTRANGE(""https://docs.google.com/spreadsheets/d/1BmIruG_sIrJLYao_Pdr7zVArWsf"&amp;"oBt2692TMi6x_854/edit?usp=sharing"",""อ่างทอง!J348"")"),1622)</f>
        <v>1622</v>
      </c>
      <c r="K349" s="87"/>
      <c r="L349" s="72"/>
      <c r="M349" s="72"/>
      <c r="N349" s="72"/>
      <c r="O349" s="72"/>
      <c r="P349" s="72"/>
      <c r="Q349" s="86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1" t="s">
        <v>144</v>
      </c>
      <c r="F350" s="290"/>
      <c r="G350" s="261"/>
      <c r="H350" s="307" t="s">
        <v>35</v>
      </c>
      <c r="I350" s="263"/>
      <c r="J350" s="293">
        <f ca="1">IFERROR(__xludf.DUMMYFUNCTION("IMPORTRANGE(""https://docs.google.com/spreadsheets/d/13wPX838HrBrQMCywv1BsuMkt4PEKTChp52zj44s2izQ/edit?usp=sharing"",""กาญจนบุรี!J349"")+IMPORTRANGE(""https://docs.google.com/spreadsheets/d/1ddFKvqj1W1NEiWytbGlB1zMx_ykJDVtmfEQ-6-lIUBA/edit?usp=sharing"","&amp;"""จันทบุรี!J349"")+IMPORTRANGE(""https://docs.google.com/spreadsheets/d/1T1PQvRODqOBZk8BRht_U031fIS1beLA0Ub2CEytj2q0/edit?usp=sharing"",""ฉะเชิงเทรา!J349"")+IMPORTRANGE(""https://docs.google.com/spreadsheets/d/11tr1B-Bhyr79v2bkwVh5h_fR-PStkgjlZtkrZpYurG0/"&amp;"edit?usp=sharing"",""ชลบุรี!J349"")+IMPORTRANGE(""https://docs.google.com/spreadsheets/d/1hh-FVnSX0vozXhGluamEcS54Dw9_zqW0N7qJUWgJ0Sw/edit?usp=sharing"",""ชัยนาท!J349"")+IMPORTRANGE(""https://docs.google.com/spreadsheets/d/1jkqa6GXxSacMcY1eN8AHjMNJ_7dDXMJ"&amp;"VRLDlaFSOdPM/edit?usp=sharing"",""ตราด!J349"")+IMPORTRANGE(""https://docs.google.com/spreadsheets/d/18hSgUJ3VwClqi_qtULmmW3cLr0oe3OKaSYoKzdpTsYQ/edit?usp=sharing"",""นครนายก!J349"")+IMPORTRANGE(""https://docs.google.com/spreadsheets/d/1YTZo6WM2dQ6Ix6FSdnL"&amp;"5P7uVnVKu40sxZu975tgG10E/edit?usp=sharing"",""นครปฐม!J349"")+IMPORTRANGE(""https://docs.google.com/spreadsheets/d/1OYoGg4WDg5RIzwGeB10padOxJF9E_Vljuvvct_M7RDo/edit?usp=sharing"",""ปทุมธานี!J349"")+IMPORTRANGE(""https://docs.google.com/spreadsheets/d/1GbCI"&amp;"E4D4wk9FUozzqk7SxfDMxDVBwVmI5zcaVUSzKAc/edit?usp=sharing"",""ประจวบคีรีขันธ์!J349"")+IMPORTRANGE(""https://docs.google.com/spreadsheets/d/1vVf6wykvW_lAyu7Yo9L4hUTqHqIeP_qcVuxCtosJEbg/edit?usp=sharing"",""ปราจีนบุรี!J349"")+IMPORTRANGE(""https://docs.googl"&amp;"e.com/spreadsheets/d/1BIDqLLg5jk3v59G8NlR8rk5xfQDKne0sAvZHSj7TI6I/edit?usp=sharing"",""พระนครศรีอยุธยา!J349"")+IMPORTRANGE(""https://docs.google.com/spreadsheets/d/1YXvxf8Yu6_rV4hTBrwMqAcAnv6DfhUxh5emyM3CJp_w/edit?usp=sharing"",""เพชรบุรี!J349"")+IMPORTRA"&amp;"NGE(""https://docs.google.com/spreadsheets/d/19KBlQQs7uwvsao6t2n-KvW3Ax8J8uRRfZPq1zPbXgKc/edit?usp=sharing"",""ระยอง!J349"")+IMPORTRANGE(""https://docs.google.com/spreadsheets/d/1jQ6P4QcrGM89YfqcC_PxOHGCMq5ezhucwJd8ci-NHng/edit?usp=sharing"",""ราชบุรี!J34"&amp;"9"")+IMPORTRANGE(""https://docs.google.com/spreadsheets/d/1lufeA2cfFqM-elVq2hznhDzC6Pr7wkJ9ZG_sYNGCMCU/edit?usp=sharing"",""ลพบุรี!J349"")+IMPORTRANGE(""https://docs.google.com/spreadsheets/d/10oOiF7loTyfsTkbd4MpaIm0HQ9SwB7IYHdIUvt-U1Uc/edit?usp=sharing"""&amp;",""สระแก้ว!J349"")+IMPORTRANGE(""https://docs.google.com/spreadsheets/d/1xmPlrr1QbdSIKvl1dWUl9K4PjAfSL9oeMr_37QVzcxc/edit?usp=sharing"",""สระบุรี!J349"")+IMPORTRANGE(""https://docs.google.com/spreadsheets/d/1j51vR6CYVGhABJpv6tkstgok82RLpXieLzW1yOY5rHw/edi"&amp;"t?usp=sharing"",""สิงห์บุรี!J349"")+IMPORTRANGE(""https://docs.google.com/spreadsheets/d/1H1EalTWKUSzO4Z1-1CwzoDUaVffgrThEBe2sl74kKG0/edit?usp=sharing"",""สุพรรณบุรี!J349"")+IMPORTRANGE(""https://docs.google.com/spreadsheets/d/1BmIruG_sIrJLYao_Pdr7zVArWsf"&amp;"oBt2692TMi6x_854/edit?usp=sharing"",""อ่างทอง!J349"")"),91)</f>
        <v>91</v>
      </c>
      <c r="K350" s="87"/>
      <c r="L350" s="72"/>
      <c r="M350" s="72"/>
      <c r="N350" s="72"/>
      <c r="O350" s="72"/>
      <c r="P350" s="72"/>
      <c r="Q350" s="86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72"/>
      <c r="M351" s="72"/>
      <c r="N351" s="72"/>
      <c r="O351" s="72"/>
      <c r="P351" s="72"/>
      <c r="Q351" s="86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556" t="s">
        <v>145</v>
      </c>
      <c r="F352" s="554"/>
      <c r="G352" s="557"/>
      <c r="H352" s="558" t="s">
        <v>35</v>
      </c>
      <c r="I352" s="559">
        <v>0</v>
      </c>
      <c r="J352" s="559">
        <f ca="1">J353+J354</f>
        <v>47446</v>
      </c>
      <c r="K352" s="560">
        <v>0</v>
      </c>
      <c r="L352" s="390"/>
      <c r="M352" s="390"/>
      <c r="N352" s="390"/>
      <c r="O352" s="390"/>
      <c r="P352" s="390"/>
      <c r="Q352" s="391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0"/>
      <c r="E353" s="291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13wPX838HrBrQMCywv1BsuMkt4PEKTChp52zj44s2izQ/edit?usp=sharing"",""กาญจนบุรี!J352"")+IMPORTRANGE(""https://docs.google.com/spreadsheets/d/1ddFKvqj1W1NEiWytbGlB1zMx_ykJDVtmfEQ-6-lIUBA/edit?usp=sharing"","&amp;"""จันทบุรี!J352"")+IMPORTRANGE(""https://docs.google.com/spreadsheets/d/1T1PQvRODqOBZk8BRht_U031fIS1beLA0Ub2CEytj2q0/edit?usp=sharing"",""ฉะเชิงเทรา!J352"")+IMPORTRANGE(""https://docs.google.com/spreadsheets/d/11tr1B-Bhyr79v2bkwVh5h_fR-PStkgjlZtkrZpYurG0/"&amp;"edit?usp=sharing"",""ชลบุรี!J352"")+IMPORTRANGE(""https://docs.google.com/spreadsheets/d/1hh-FVnSX0vozXhGluamEcS54Dw9_zqW0N7qJUWgJ0Sw/edit?usp=sharing"",""ชัยนาท!J352"")+IMPORTRANGE(""https://docs.google.com/spreadsheets/d/1jkqa6GXxSacMcY1eN8AHjMNJ_7dDXMJ"&amp;"VRLDlaFSOdPM/edit?usp=sharing"",""ตราด!J352"")+IMPORTRANGE(""https://docs.google.com/spreadsheets/d/18hSgUJ3VwClqi_qtULmmW3cLr0oe3OKaSYoKzdpTsYQ/edit?usp=sharing"",""นครนายก!J352"")+IMPORTRANGE(""https://docs.google.com/spreadsheets/d/1YTZo6WM2dQ6Ix6FSdnL"&amp;"5P7uVnVKu40sxZu975tgG10E/edit?usp=sharing"",""นครปฐม!J352"")+IMPORTRANGE(""https://docs.google.com/spreadsheets/d/1OYoGg4WDg5RIzwGeB10padOxJF9E_Vljuvvct_M7RDo/edit?usp=sharing"",""ปทุมธานี!J352"")+IMPORTRANGE(""https://docs.google.com/spreadsheets/d/1GbCI"&amp;"E4D4wk9FUozzqk7SxfDMxDVBwVmI5zcaVUSzKAc/edit?usp=sharing"",""ประจวบคีรีขันธ์!J352"")+IMPORTRANGE(""https://docs.google.com/spreadsheets/d/1vVf6wykvW_lAyu7Yo9L4hUTqHqIeP_qcVuxCtosJEbg/edit?usp=sharing"",""ปราจีนบุรี!J352"")+IMPORTRANGE(""https://docs.googl"&amp;"e.com/spreadsheets/d/1BIDqLLg5jk3v59G8NlR8rk5xfQDKne0sAvZHSj7TI6I/edit?usp=sharing"",""พระนครศรีอยุธยา!J352"")+IMPORTRANGE(""https://docs.google.com/spreadsheets/d/1YXvxf8Yu6_rV4hTBrwMqAcAnv6DfhUxh5emyM3CJp_w/edit?usp=sharing"",""เพชรบุรี!J352"")+IMPORTRA"&amp;"NGE(""https://docs.google.com/spreadsheets/d/19KBlQQs7uwvsao6t2n-KvW3Ax8J8uRRfZPq1zPbXgKc/edit?usp=sharing"",""ระยอง!J352"")+IMPORTRANGE(""https://docs.google.com/spreadsheets/d/1jQ6P4QcrGM89YfqcC_PxOHGCMq5ezhucwJd8ci-NHng/edit?usp=sharing"",""ราชบุรี!J35"&amp;"2"")+IMPORTRANGE(""https://docs.google.com/spreadsheets/d/1lufeA2cfFqM-elVq2hznhDzC6Pr7wkJ9ZG_sYNGCMCU/edit?usp=sharing"",""ลพบุรี!J352"")+IMPORTRANGE(""https://docs.google.com/spreadsheets/d/10oOiF7loTyfsTkbd4MpaIm0HQ9SwB7IYHdIUvt-U1Uc/edit?usp=sharing"""&amp;",""สระแก้ว!J352"")+IMPORTRANGE(""https://docs.google.com/spreadsheets/d/1xmPlrr1QbdSIKvl1dWUl9K4PjAfSL9oeMr_37QVzcxc/edit?usp=sharing"",""สระบุรี!J352"")+IMPORTRANGE(""https://docs.google.com/spreadsheets/d/1j51vR6CYVGhABJpv6tkstgok82RLpXieLzW1yOY5rHw/edi"&amp;"t?usp=sharing"",""สิงห์บุรี!J352"")+IMPORTRANGE(""https://docs.google.com/spreadsheets/d/1H1EalTWKUSzO4Z1-1CwzoDUaVffgrThEBe2sl74kKG0/edit?usp=sharing"",""สุพรรณบุรี!J352"")+IMPORTRANGE(""https://docs.google.com/spreadsheets/d/1BmIruG_sIrJLYao_Pdr7zVArWsf"&amp;"oBt2692TMi6x_854/edit?usp=sharing"",""อ่างทอง!J352"")"),7712)</f>
        <v>7712</v>
      </c>
      <c r="K353" s="87"/>
      <c r="L353" s="72"/>
      <c r="M353" s="72"/>
      <c r="N353" s="72"/>
      <c r="O353" s="72"/>
      <c r="P353" s="72"/>
      <c r="Q353" s="86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0"/>
      <c r="E354" s="291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13wPX838HrBrQMCywv1BsuMkt4PEKTChp52zj44s2izQ/edit?usp=sharing"",""กาญจนบุรี!J353"")+IMPORTRANGE(""https://docs.google.com/spreadsheets/d/1ddFKvqj1W1NEiWytbGlB1zMx_ykJDVtmfEQ-6-lIUBA/edit?usp=sharing"","&amp;"""จันทบุรี!J353"")+IMPORTRANGE(""https://docs.google.com/spreadsheets/d/1T1PQvRODqOBZk8BRht_U031fIS1beLA0Ub2CEytj2q0/edit?usp=sharing"",""ฉะเชิงเทรา!J353"")+IMPORTRANGE(""https://docs.google.com/spreadsheets/d/11tr1B-Bhyr79v2bkwVh5h_fR-PStkgjlZtkrZpYurG0/"&amp;"edit?usp=sharing"",""ชลบุรี!J353"")+IMPORTRANGE(""https://docs.google.com/spreadsheets/d/1hh-FVnSX0vozXhGluamEcS54Dw9_zqW0N7qJUWgJ0Sw/edit?usp=sharing"",""ชัยนาท!J353"")+IMPORTRANGE(""https://docs.google.com/spreadsheets/d/1jkqa6GXxSacMcY1eN8AHjMNJ_7dDXMJ"&amp;"VRLDlaFSOdPM/edit?usp=sharing"",""ตราด!J353"")+IMPORTRANGE(""https://docs.google.com/spreadsheets/d/18hSgUJ3VwClqi_qtULmmW3cLr0oe3OKaSYoKzdpTsYQ/edit?usp=sharing"",""นครนายก!J353"")+IMPORTRANGE(""https://docs.google.com/spreadsheets/d/1YTZo6WM2dQ6Ix6FSdnL"&amp;"5P7uVnVKu40sxZu975tgG10E/edit?usp=sharing"",""นครปฐม!J353"")+IMPORTRANGE(""https://docs.google.com/spreadsheets/d/1OYoGg4WDg5RIzwGeB10padOxJF9E_Vljuvvct_M7RDo/edit?usp=sharing"",""ปทุมธานี!J353"")+IMPORTRANGE(""https://docs.google.com/spreadsheets/d/1GbCI"&amp;"E4D4wk9FUozzqk7SxfDMxDVBwVmI5zcaVUSzKAc/edit?usp=sharing"",""ประจวบคีรีขันธ์!J353"")+IMPORTRANGE(""https://docs.google.com/spreadsheets/d/1vVf6wykvW_lAyu7Yo9L4hUTqHqIeP_qcVuxCtosJEbg/edit?usp=sharing"",""ปราจีนบุรี!J353"")+IMPORTRANGE(""https://docs.googl"&amp;"e.com/spreadsheets/d/1BIDqLLg5jk3v59G8NlR8rk5xfQDKne0sAvZHSj7TI6I/edit?usp=sharing"",""พระนครศรีอยุธยา!J353"")+IMPORTRANGE(""https://docs.google.com/spreadsheets/d/1YXvxf8Yu6_rV4hTBrwMqAcAnv6DfhUxh5emyM3CJp_w/edit?usp=sharing"",""เพชรบุรี!J353"")+IMPORTRA"&amp;"NGE(""https://docs.google.com/spreadsheets/d/19KBlQQs7uwvsao6t2n-KvW3Ax8J8uRRfZPq1zPbXgKc/edit?usp=sharing"",""ระยอง!J353"")+IMPORTRANGE(""https://docs.google.com/spreadsheets/d/1jQ6P4QcrGM89YfqcC_PxOHGCMq5ezhucwJd8ci-NHng/edit?usp=sharing"",""ราชบุรี!J35"&amp;"3"")+IMPORTRANGE(""https://docs.google.com/spreadsheets/d/1lufeA2cfFqM-elVq2hznhDzC6Pr7wkJ9ZG_sYNGCMCU/edit?usp=sharing"",""ลพบุรี!J353"")+IMPORTRANGE(""https://docs.google.com/spreadsheets/d/10oOiF7loTyfsTkbd4MpaIm0HQ9SwB7IYHdIUvt-U1Uc/edit?usp=sharing"""&amp;",""สระแก้ว!J353"")+IMPORTRANGE(""https://docs.google.com/spreadsheets/d/1xmPlrr1QbdSIKvl1dWUl9K4PjAfSL9oeMr_37QVzcxc/edit?usp=sharing"",""สระบุรี!J353"")+IMPORTRANGE(""https://docs.google.com/spreadsheets/d/1j51vR6CYVGhABJpv6tkstgok82RLpXieLzW1yOY5rHw/edi"&amp;"t?usp=sharing"",""สิงห์บุรี!J353"")+IMPORTRANGE(""https://docs.google.com/spreadsheets/d/1H1EalTWKUSzO4Z1-1CwzoDUaVffgrThEBe2sl74kKG0/edit?usp=sharing"",""สุพรรณบุรี!J353"")+IMPORTRANGE(""https://docs.google.com/spreadsheets/d/1BmIruG_sIrJLYao_Pdr7zVArWsf"&amp;"oBt2692TMi6x_854/edit?usp=sharing"",""อ่างทอง!J353"")"),39734)</f>
        <v>39734</v>
      </c>
      <c r="K354" s="87"/>
      <c r="L354" s="72"/>
      <c r="M354" s="72"/>
      <c r="N354" s="72"/>
      <c r="O354" s="72"/>
      <c r="P354" s="72"/>
      <c r="Q354" s="86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72"/>
      <c r="M355" s="72"/>
      <c r="N355" s="72"/>
      <c r="O355" s="72"/>
      <c r="P355" s="72"/>
      <c r="Q355" s="86"/>
      <c r="R355" s="87"/>
      <c r="S355" s="87"/>
      <c r="T355" s="87"/>
      <c r="U355" s="87"/>
    </row>
    <row r="356" spans="1:21" ht="19.5" x14ac:dyDescent="0.3">
      <c r="A356" s="521"/>
      <c r="B356" s="522" t="s">
        <v>148</v>
      </c>
      <c r="C356" s="533"/>
      <c r="D356" s="523"/>
      <c r="E356" s="523"/>
      <c r="F356" s="523"/>
      <c r="G356" s="524"/>
      <c r="H356" s="524"/>
      <c r="I356" s="561"/>
      <c r="J356" s="561"/>
      <c r="K356" s="528"/>
      <c r="L356" s="528"/>
      <c r="M356" s="528"/>
      <c r="N356" s="528"/>
      <c r="O356" s="528"/>
      <c r="P356" s="528"/>
      <c r="Q356" s="529"/>
      <c r="R356" s="530"/>
      <c r="S356" s="530"/>
      <c r="T356" s="530"/>
      <c r="U356" s="530"/>
    </row>
    <row r="357" spans="1:21" ht="19.5" x14ac:dyDescent="0.3">
      <c r="A357" s="209"/>
      <c r="B357" s="67"/>
      <c r="C357" s="210" t="s">
        <v>18</v>
      </c>
      <c r="D357" s="211" t="s">
        <v>19</v>
      </c>
      <c r="E357" s="67"/>
      <c r="F357" s="67"/>
      <c r="G357" s="69"/>
      <c r="H357" s="212" t="s">
        <v>14</v>
      </c>
      <c r="I357" s="71"/>
      <c r="J357" s="71"/>
      <c r="K357" s="72"/>
      <c r="L357" s="213">
        <f t="shared" ref="L357:N357" ca="1" si="258">L358+L359</f>
        <v>8038505</v>
      </c>
      <c r="M357" s="213">
        <f t="shared" ca="1" si="258"/>
        <v>8164395</v>
      </c>
      <c r="N357" s="213">
        <f t="shared" ca="1" si="258"/>
        <v>3750993.4099999899</v>
      </c>
      <c r="O357" s="213">
        <f t="shared" ref="O357:O365" ca="1" si="259">IF(L357&gt;0,N357*100/L357,0)</f>
        <v>46.662823622053978</v>
      </c>
      <c r="P357" s="213">
        <f t="shared" ref="P357:P365" ca="1" si="260">IF(M357&gt;0,N357*100/M357,0)</f>
        <v>45.943311292508383</v>
      </c>
      <c r="Q357" s="214">
        <f t="shared" ref="Q357:S357" ca="1" si="261">Q358+Q359</f>
        <v>0</v>
      </c>
      <c r="R357" s="215">
        <f t="shared" ca="1" si="261"/>
        <v>0</v>
      </c>
      <c r="S357" s="215">
        <f t="shared" ca="1" si="261"/>
        <v>0</v>
      </c>
      <c r="T357" s="215">
        <f t="shared" ref="T357:T365" ca="1" si="262">IF(Q357&gt;0,S357*100/Q357,0)</f>
        <v>0</v>
      </c>
      <c r="U357" s="215">
        <f t="shared" ref="U357:U365" ca="1" si="263">IF(R357&gt;0,S357*100/R357,0)</f>
        <v>0</v>
      </c>
    </row>
    <row r="358" spans="1:21" ht="18.75" x14ac:dyDescent="0.25">
      <c r="A358" s="209"/>
      <c r="B358" s="67"/>
      <c r="C358" s="67"/>
      <c r="D358" s="67"/>
      <c r="E358" s="75" t="s">
        <v>20</v>
      </c>
      <c r="F358" s="67"/>
      <c r="G358" s="69"/>
      <c r="H358" s="216" t="s">
        <v>14</v>
      </c>
      <c r="I358" s="71"/>
      <c r="J358" s="71"/>
      <c r="K358" s="72"/>
      <c r="L358" s="88">
        <f t="shared" ref="L358:N358" ca="1" si="264">L361+L364</f>
        <v>0</v>
      </c>
      <c r="M358" s="88">
        <f t="shared" ca="1" si="264"/>
        <v>0</v>
      </c>
      <c r="N358" s="88">
        <f t="shared" ca="1" si="264"/>
        <v>0</v>
      </c>
      <c r="O358" s="88">
        <f t="shared" ca="1" si="259"/>
        <v>0</v>
      </c>
      <c r="P358" s="88">
        <f t="shared" ca="1" si="260"/>
        <v>0</v>
      </c>
      <c r="Q358" s="217">
        <f t="shared" ref="Q358:S358" ca="1" si="265">Q361+Q364</f>
        <v>0</v>
      </c>
      <c r="R358" s="133">
        <f t="shared" ca="1" si="265"/>
        <v>0</v>
      </c>
      <c r="S358" s="133">
        <f t="shared" ca="1" si="265"/>
        <v>0</v>
      </c>
      <c r="T358" s="133">
        <f t="shared" ca="1" si="262"/>
        <v>0</v>
      </c>
      <c r="U358" s="133">
        <f t="shared" ca="1" si="263"/>
        <v>0</v>
      </c>
    </row>
    <row r="359" spans="1:21" ht="18.75" x14ac:dyDescent="0.25">
      <c r="A359" s="209"/>
      <c r="B359" s="67"/>
      <c r="C359" s="67"/>
      <c r="D359" s="67"/>
      <c r="E359" s="75" t="s">
        <v>21</v>
      </c>
      <c r="F359" s="67"/>
      <c r="G359" s="69"/>
      <c r="H359" s="216" t="s">
        <v>14</v>
      </c>
      <c r="I359" s="71"/>
      <c r="J359" s="71"/>
      <c r="K359" s="72"/>
      <c r="L359" s="88">
        <f t="shared" ref="L359:N359" ca="1" si="266">L362+L365</f>
        <v>8038505</v>
      </c>
      <c r="M359" s="88">
        <f t="shared" ca="1" si="266"/>
        <v>8164395</v>
      </c>
      <c r="N359" s="88">
        <f t="shared" ca="1" si="266"/>
        <v>3750993.4099999899</v>
      </c>
      <c r="O359" s="88">
        <f t="shared" ca="1" si="259"/>
        <v>46.662823622053978</v>
      </c>
      <c r="P359" s="88">
        <f t="shared" ca="1" si="260"/>
        <v>45.943311292508383</v>
      </c>
      <c r="Q359" s="131">
        <f t="shared" ref="Q359:S359" ca="1" si="267">Q362+Q365</f>
        <v>0</v>
      </c>
      <c r="R359" s="132">
        <f t="shared" ca="1" si="267"/>
        <v>0</v>
      </c>
      <c r="S359" s="132">
        <f t="shared" ca="1" si="267"/>
        <v>0</v>
      </c>
      <c r="T359" s="132">
        <f t="shared" ca="1" si="262"/>
        <v>0</v>
      </c>
      <c r="U359" s="132">
        <f t="shared" ca="1" si="263"/>
        <v>0</v>
      </c>
    </row>
    <row r="360" spans="1:21" ht="18.75" x14ac:dyDescent="0.25">
      <c r="A360" s="209"/>
      <c r="B360" s="67"/>
      <c r="C360" s="67"/>
      <c r="D360" s="68" t="s">
        <v>22</v>
      </c>
      <c r="E360" s="67"/>
      <c r="F360" s="67"/>
      <c r="G360" s="69"/>
      <c r="H360" s="218" t="s">
        <v>14</v>
      </c>
      <c r="I360" s="219"/>
      <c r="J360" s="219"/>
      <c r="K360" s="220"/>
      <c r="L360" s="88">
        <f t="shared" ref="L360:N360" ca="1" si="268">L361+L362</f>
        <v>8038505</v>
      </c>
      <c r="M360" s="88">
        <f t="shared" ca="1" si="268"/>
        <v>8164395</v>
      </c>
      <c r="N360" s="88">
        <f t="shared" ca="1" si="268"/>
        <v>3750993.4099999899</v>
      </c>
      <c r="O360" s="88">
        <f t="shared" ca="1" si="259"/>
        <v>46.662823622053978</v>
      </c>
      <c r="P360" s="88">
        <f t="shared" ca="1" si="260"/>
        <v>45.943311292508383</v>
      </c>
      <c r="Q360" s="131">
        <f t="shared" ref="Q360:S360" ca="1" si="269">Q361+Q362</f>
        <v>0</v>
      </c>
      <c r="R360" s="132">
        <f t="shared" ca="1" si="269"/>
        <v>0</v>
      </c>
      <c r="S360" s="132">
        <f t="shared" ca="1" si="269"/>
        <v>0</v>
      </c>
      <c r="T360" s="132">
        <f t="shared" ca="1" si="262"/>
        <v>0</v>
      </c>
      <c r="U360" s="132">
        <f t="shared" ca="1" si="263"/>
        <v>0</v>
      </c>
    </row>
    <row r="361" spans="1:21" ht="18.75" x14ac:dyDescent="0.25">
      <c r="A361" s="209"/>
      <c r="B361" s="67"/>
      <c r="C361" s="67"/>
      <c r="D361" s="67"/>
      <c r="E361" s="75" t="s">
        <v>36</v>
      </c>
      <c r="F361" s="67"/>
      <c r="G361" s="69"/>
      <c r="H361" s="218" t="s">
        <v>14</v>
      </c>
      <c r="I361" s="219"/>
      <c r="J361" s="219"/>
      <c r="K361" s="220"/>
      <c r="L361" s="88">
        <f ca="1">IFERROR(__xludf.DUMMYFUNCTION("IMPORTRANGE(""https://docs.google.com/spreadsheets/d/13wPX838HrBrQMCywv1BsuMkt4PEKTChp52zj44s2izQ/edit?usp=sharing"",""กาญจนบุรี!L360"")+IMPORTRANGE(""https://docs.google.com/spreadsheets/d/1ddFKvqj1W1NEiWytbGlB1zMx_ykJDVtmfEQ-6-lIUBA/edit?usp=sharing"","&amp;"""จันทบุรี!L360"")+IMPORTRANGE(""https://docs.google.com/spreadsheets/d/1T1PQvRODqOBZk8BRht_U031fIS1beLA0Ub2CEytj2q0/edit?usp=sharing"",""ฉะเชิงเทรา!L360"")+IMPORTRANGE(""https://docs.google.com/spreadsheets/d/11tr1B-Bhyr79v2bkwVh5h_fR-PStkgjlZtkrZpYurG0/"&amp;"edit?usp=sharing"",""ชลบุรี!L360"")+IMPORTRANGE(""https://docs.google.com/spreadsheets/d/1hh-FVnSX0vozXhGluamEcS54Dw9_zqW0N7qJUWgJ0Sw/edit?usp=sharing"",""ชัยนาท!L360"")+IMPORTRANGE(""https://docs.google.com/spreadsheets/d/1jkqa6GXxSacMcY1eN8AHjMNJ_7dDXMJ"&amp;"VRLDlaFSOdPM/edit?usp=sharing"",""ตราด!L360"")+IMPORTRANGE(""https://docs.google.com/spreadsheets/d/18hSgUJ3VwClqi_qtULmmW3cLr0oe3OKaSYoKzdpTsYQ/edit?usp=sharing"",""นครนายก!L360"")+IMPORTRANGE(""https://docs.google.com/spreadsheets/d/1YTZo6WM2dQ6Ix6FSdnL"&amp;"5P7uVnVKu40sxZu975tgG10E/edit?usp=sharing"",""นครปฐม!L360"")+IMPORTRANGE(""https://docs.google.com/spreadsheets/d/1OYoGg4WDg5RIzwGeB10padOxJF9E_Vljuvvct_M7RDo/edit?usp=sharing"",""ปทุมธานี!L360"")+IMPORTRANGE(""https://docs.google.com/spreadsheets/d/1GbCI"&amp;"E4D4wk9FUozzqk7SxfDMxDVBwVmI5zcaVUSzKAc/edit?usp=sharing"",""ประจวบคีรีขันธ์!L360"")+IMPORTRANGE(""https://docs.google.com/spreadsheets/d/1vVf6wykvW_lAyu7Yo9L4hUTqHqIeP_qcVuxCtosJEbg/edit?usp=sharing"",""ปราจีนบุรี!L360"")+IMPORTRANGE(""https://docs.googl"&amp;"e.com/spreadsheets/d/1BIDqLLg5jk3v59G8NlR8rk5xfQDKne0sAvZHSj7TI6I/edit?usp=sharing"",""พระนครศรีอยุธยา!L360"")+IMPORTRANGE(""https://docs.google.com/spreadsheets/d/1YXvxf8Yu6_rV4hTBrwMqAcAnv6DfhUxh5emyM3CJp_w/edit?usp=sharing"",""เพชรบุรี!L360"")+IMPORTRA"&amp;"NGE(""https://docs.google.com/spreadsheets/d/19KBlQQs7uwvsao6t2n-KvW3Ax8J8uRRfZPq1zPbXgKc/edit?usp=sharing"",""ระยอง!L360"")+IMPORTRANGE(""https://docs.google.com/spreadsheets/d/1jQ6P4QcrGM89YfqcC_PxOHGCMq5ezhucwJd8ci-NHng/edit?usp=sharing"",""ราชบุรี!L36"&amp;"0"")+IMPORTRANGE(""https://docs.google.com/spreadsheets/d/1lufeA2cfFqM-elVq2hznhDzC6Pr7wkJ9ZG_sYNGCMCU/edit?usp=sharing"",""ลพบุรี!L360"")+IMPORTRANGE(""https://docs.google.com/spreadsheets/d/10oOiF7loTyfsTkbd4MpaIm0HQ9SwB7IYHdIUvt-U1Uc/edit?usp=sharing"""&amp;",""สระแก้ว!L360"")+IMPORTRANGE(""https://docs.google.com/spreadsheets/d/1xmPlrr1QbdSIKvl1dWUl9K4PjAfSL9oeMr_37QVzcxc/edit?usp=sharing"",""สระบุรี!L360"")+IMPORTRANGE(""https://docs.google.com/spreadsheets/d/1j51vR6CYVGhABJpv6tkstgok82RLpXieLzW1yOY5rHw/edi"&amp;"t?usp=sharing"",""สิงห์บุรี!L360"")+IMPORTRANGE(""https://docs.google.com/spreadsheets/d/1H1EalTWKUSzO4Z1-1CwzoDUaVffgrThEBe2sl74kKG0/edit?usp=sharing"",""สุพรรณบุรี!L360"")+IMPORTRANGE(""https://docs.google.com/spreadsheets/d/1BmIruG_sIrJLYao_Pdr7zVArWsf"&amp;"oBt2692TMi6x_854/edit?usp=sharing"",""อ่างทอง!L360"")"),0)</f>
        <v>0</v>
      </c>
      <c r="M361" s="88">
        <f ca="1">IFERROR(__xludf.DUMMYFUNCTION("IMPORTRANGE(""https://docs.google.com/spreadsheets/d/13wPX838HrBrQMCywv1BsuMkt4PEKTChp52zj44s2izQ/edit?usp=sharing"",""กาญจนบุรี!M360"")+IMPORTRANGE(""https://docs.google.com/spreadsheets/d/1ddFKvqj1W1NEiWytbGlB1zMx_ykJDVtmfEQ-6-lIUBA/edit?usp=sharing"","&amp;"""จันทบุรี!M360"")+IMPORTRANGE(""https://docs.google.com/spreadsheets/d/1T1PQvRODqOBZk8BRht_U031fIS1beLA0Ub2CEytj2q0/edit?usp=sharing"",""ฉะเชิงเทรา!M360"")+IMPORTRANGE(""https://docs.google.com/spreadsheets/d/11tr1B-Bhyr79v2bkwVh5h_fR-PStkgjlZtkrZpYurG0/"&amp;"edit?usp=sharing"",""ชลบุรี!M360"")+IMPORTRANGE(""https://docs.google.com/spreadsheets/d/1hh-FVnSX0vozXhGluamEcS54Dw9_zqW0N7qJUWgJ0Sw/edit?usp=sharing"",""ชัยนาท!M360"")+IMPORTRANGE(""https://docs.google.com/spreadsheets/d/1jkqa6GXxSacMcY1eN8AHjMNJ_7dDXMJ"&amp;"VRLDlaFSOdPM/edit?usp=sharing"",""ตราด!M360"")+IMPORTRANGE(""https://docs.google.com/spreadsheets/d/18hSgUJ3VwClqi_qtULmmW3cLr0oe3OKaSYoKzdpTsYQ/edit?usp=sharing"",""นครนายก!M360"")+IMPORTRANGE(""https://docs.google.com/spreadsheets/d/1YTZo6WM2dQ6Ix6FSdnL"&amp;"5P7uVnVKu40sxZu975tgG10E/edit?usp=sharing"",""นครปฐม!M360"")+IMPORTRANGE(""https://docs.google.com/spreadsheets/d/1OYoGg4WDg5RIzwGeB10padOxJF9E_Vljuvvct_M7RDo/edit?usp=sharing"",""ปทุมธานี!M360"")+IMPORTRANGE(""https://docs.google.com/spreadsheets/d/1GbCI"&amp;"E4D4wk9FUozzqk7SxfDMxDVBwVmI5zcaVUSzKAc/edit?usp=sharing"",""ประจวบคีรีขันธ์!M360"")+IMPORTRANGE(""https://docs.google.com/spreadsheets/d/1vVf6wykvW_lAyu7Yo9L4hUTqHqIeP_qcVuxCtosJEbg/edit?usp=sharing"",""ปราจีนบุรี!M360"")+IMPORTRANGE(""https://docs.googl"&amp;"e.com/spreadsheets/d/1BIDqLLg5jk3v59G8NlR8rk5xfQDKne0sAvZHSj7TI6I/edit?usp=sharing"",""พระนครศรีอยุธยา!M360"")+IMPORTRANGE(""https://docs.google.com/spreadsheets/d/1YXvxf8Yu6_rV4hTBrwMqAcAnv6DfhUxh5emyM3CJp_w/edit?usp=sharing"",""เพชรบุรี!M360"")+IMPORTRA"&amp;"NGE(""https://docs.google.com/spreadsheets/d/19KBlQQs7uwvsao6t2n-KvW3Ax8J8uRRfZPq1zPbXgKc/edit?usp=sharing"",""ระยอง!M360"")+IMPORTRANGE(""https://docs.google.com/spreadsheets/d/1jQ6P4QcrGM89YfqcC_PxOHGCMq5ezhucwJd8ci-NHng/edit?usp=sharing"",""ราชบุรี!M36"&amp;"0"")+IMPORTRANGE(""https://docs.google.com/spreadsheets/d/1lufeA2cfFqM-elVq2hznhDzC6Pr7wkJ9ZG_sYNGCMCU/edit?usp=sharing"",""ลพบุรี!M360"")+IMPORTRANGE(""https://docs.google.com/spreadsheets/d/10oOiF7loTyfsTkbd4MpaIm0HQ9SwB7IYHdIUvt-U1Uc/edit?usp=sharing"""&amp;",""สระแก้ว!M360"")+IMPORTRANGE(""https://docs.google.com/spreadsheets/d/1xmPlrr1QbdSIKvl1dWUl9K4PjAfSL9oeMr_37QVzcxc/edit?usp=sharing"",""สระบุรี!M360"")+IMPORTRANGE(""https://docs.google.com/spreadsheets/d/1j51vR6CYVGhABJpv6tkstgok82RLpXieLzW1yOY5rHw/edi"&amp;"t?usp=sharing"",""สิงห์บุรี!M360"")+IMPORTRANGE(""https://docs.google.com/spreadsheets/d/1H1EalTWKUSzO4Z1-1CwzoDUaVffgrThEBe2sl74kKG0/edit?usp=sharing"",""สุพรรณบุรี!M360"")+IMPORTRANGE(""https://docs.google.com/spreadsheets/d/1BmIruG_sIrJLYao_Pdr7zVArWsf"&amp;"oBt2692TMi6x_854/edit?usp=sharing"",""อ่างทอง!M360"")"),0)</f>
        <v>0</v>
      </c>
      <c r="N361" s="88">
        <f ca="1">IFERROR(__xludf.DUMMYFUNCTION("IMPORTRANGE(""https://docs.google.com/spreadsheets/d/13wPX838HrBrQMCywv1BsuMkt4PEKTChp52zj44s2izQ/edit?usp=sharing"",""กาญจนบุรี!N360"")+IMPORTRANGE(""https://docs.google.com/spreadsheets/d/1ddFKvqj1W1NEiWytbGlB1zMx_ykJDVtmfEQ-6-lIUBA/edit?usp=sharing"","&amp;"""จันทบุรี!N360"")+IMPORTRANGE(""https://docs.google.com/spreadsheets/d/1T1PQvRODqOBZk8BRht_U031fIS1beLA0Ub2CEytj2q0/edit?usp=sharing"",""ฉะเชิงเทรา!N360"")+IMPORTRANGE(""https://docs.google.com/spreadsheets/d/11tr1B-Bhyr79v2bkwVh5h_fR-PStkgjlZtkrZpYurG0/"&amp;"edit?usp=sharing"",""ชลบุรี!N360"")+IMPORTRANGE(""https://docs.google.com/spreadsheets/d/1hh-FVnSX0vozXhGluamEcS54Dw9_zqW0N7qJUWgJ0Sw/edit?usp=sharing"",""ชัยนาท!N360"")+IMPORTRANGE(""https://docs.google.com/spreadsheets/d/1jkqa6GXxSacMcY1eN8AHjMNJ_7dDXMJ"&amp;"VRLDlaFSOdPM/edit?usp=sharing"",""ตราด!N360"")+IMPORTRANGE(""https://docs.google.com/spreadsheets/d/18hSgUJ3VwClqi_qtULmmW3cLr0oe3OKaSYoKzdpTsYQ/edit?usp=sharing"",""นครนายก!N360"")+IMPORTRANGE(""https://docs.google.com/spreadsheets/d/1YTZo6WM2dQ6Ix6FSdnL"&amp;"5P7uVnVKu40sxZu975tgG10E/edit?usp=sharing"",""นครปฐม!N360"")+IMPORTRANGE(""https://docs.google.com/spreadsheets/d/1OYoGg4WDg5RIzwGeB10padOxJF9E_Vljuvvct_M7RDo/edit?usp=sharing"",""ปทุมธานี!N360"")+IMPORTRANGE(""https://docs.google.com/spreadsheets/d/1GbCI"&amp;"E4D4wk9FUozzqk7SxfDMxDVBwVmI5zcaVUSzKAc/edit?usp=sharing"",""ประจวบคีรีขันธ์!N360"")+IMPORTRANGE(""https://docs.google.com/spreadsheets/d/1vVf6wykvW_lAyu7Yo9L4hUTqHqIeP_qcVuxCtosJEbg/edit?usp=sharing"",""ปราจีนบุรี!N360"")+IMPORTRANGE(""https://docs.googl"&amp;"e.com/spreadsheets/d/1BIDqLLg5jk3v59G8NlR8rk5xfQDKne0sAvZHSj7TI6I/edit?usp=sharing"",""พระนครศรีอยุธยา!N360"")+IMPORTRANGE(""https://docs.google.com/spreadsheets/d/1YXvxf8Yu6_rV4hTBrwMqAcAnv6DfhUxh5emyM3CJp_w/edit?usp=sharing"",""เพชรบุรี!N360"")+IMPORTRA"&amp;"NGE(""https://docs.google.com/spreadsheets/d/19KBlQQs7uwvsao6t2n-KvW3Ax8J8uRRfZPq1zPbXgKc/edit?usp=sharing"",""ระยอง!N360"")+IMPORTRANGE(""https://docs.google.com/spreadsheets/d/1jQ6P4QcrGM89YfqcC_PxOHGCMq5ezhucwJd8ci-NHng/edit?usp=sharing"",""ราชบุรี!N36"&amp;"0"")+IMPORTRANGE(""https://docs.google.com/spreadsheets/d/1lufeA2cfFqM-elVq2hznhDzC6Pr7wkJ9ZG_sYNGCMCU/edit?usp=sharing"",""ลพบุรี!N360"")+IMPORTRANGE(""https://docs.google.com/spreadsheets/d/10oOiF7loTyfsTkbd4MpaIm0HQ9SwB7IYHdIUvt-U1Uc/edit?usp=sharing"""&amp;",""สระแก้ว!N360"")+IMPORTRANGE(""https://docs.google.com/spreadsheets/d/1xmPlrr1QbdSIKvl1dWUl9K4PjAfSL9oeMr_37QVzcxc/edit?usp=sharing"",""สระบุรี!N360"")+IMPORTRANGE(""https://docs.google.com/spreadsheets/d/1j51vR6CYVGhABJpv6tkstgok82RLpXieLzW1yOY5rHw/edi"&amp;"t?usp=sharing"",""สิงห์บุรี!N360"")+IMPORTRANGE(""https://docs.google.com/spreadsheets/d/1H1EalTWKUSzO4Z1-1CwzoDUaVffgrThEBe2sl74kKG0/edit?usp=sharing"",""สุพรรณบุรี!N360"")+IMPORTRANGE(""https://docs.google.com/spreadsheets/d/1BmIruG_sIrJLYao_Pdr7zVArWsf"&amp;"oBt2692TMi6x_854/edit?usp=sharing"",""อ่างทอง!N360"")"),0)</f>
        <v>0</v>
      </c>
      <c r="O361" s="88">
        <f t="shared" ca="1" si="259"/>
        <v>0</v>
      </c>
      <c r="P361" s="88">
        <f t="shared" ca="1" si="260"/>
        <v>0</v>
      </c>
      <c r="Q361" s="76">
        <f ca="1">IFERROR(__xludf.DUMMYFUNCTION("IMPORTRANGE(""https://docs.google.com/spreadsheets/d/13wPX838HrBrQMCywv1BsuMkt4PEKTChp52zj44s2izQ/edit?usp=sharing"",""กาญจนบุรี!Q360"")+IMPORTRANGE(""https://docs.google.com/spreadsheets/d/1ddFKvqj1W1NEiWytbGlB1zMx_ykJDVtmfEQ-6-lIUBA/edit?usp=sharing"","&amp;"""จันทบุรี!Q360"")+IMPORTRANGE(""https://docs.google.com/spreadsheets/d/1T1PQvRODqOBZk8BRht_U031fIS1beLA0Ub2CEytj2q0/edit?usp=sharing"",""ฉะเชิงเทรา!Q360"")+IMPORTRANGE(""https://docs.google.com/spreadsheets/d/11tr1B-Bhyr79v2bkwVh5h_fR-PStkgjlZtkrZpYurG0/"&amp;"edit?usp=sharing"",""ชลบุรี!Q360"")+IMPORTRANGE(""https://docs.google.com/spreadsheets/d/1hh-FVnSX0vozXhGluamEcS54Dw9_zqW0N7qJUWgJ0Sw/edit?usp=sharing"",""ชัยนาท!Q360"")+IMPORTRANGE(""https://docs.google.com/spreadsheets/d/1jkqa6GXxSacMcY1eN8AHjMNJ_7dDXMJ"&amp;"VRLDlaFSOdPM/edit?usp=sharing"",""ตราด!Q360"")+IMPORTRANGE(""https://docs.google.com/spreadsheets/d/18hSgUJ3VwClqi_qtULmmW3cLr0oe3OKaSYoKzdpTsYQ/edit?usp=sharing"",""นครนายก!Q360"")+IMPORTRANGE(""https://docs.google.com/spreadsheets/d/1YTZo6WM2dQ6Ix6FSdnL"&amp;"5P7uVnVKu40sxZu975tgG10E/edit?usp=sharing"",""นครปฐม!Q360"")+IMPORTRANGE(""https://docs.google.com/spreadsheets/d/1OYoGg4WDg5RIzwGeB10padOxJF9E_Vljuvvct_M7RDo/edit?usp=sharing"",""ปทุมธานี!Q360"")+IMPORTRANGE(""https://docs.google.com/spreadsheets/d/1GbCI"&amp;"E4D4wk9FUozzqk7SxfDMxDVBwVmI5zcaVUSzKAc/edit?usp=sharing"",""ประจวบคีรีขันธ์!Q360"")+IMPORTRANGE(""https://docs.google.com/spreadsheets/d/1vVf6wykvW_lAyu7Yo9L4hUTqHqIeP_qcVuxCtosJEbg/edit?usp=sharing"",""ปราจีนบุรี!Q360"")+IMPORTRANGE(""https://docs.googl"&amp;"e.com/spreadsheets/d/1BIDqLLg5jk3v59G8NlR8rk5xfQDKne0sAvZHSj7TI6I/edit?usp=sharing"",""พระนครศรีอยุธยา!Q360"")+IMPORTRANGE(""https://docs.google.com/spreadsheets/d/1YXvxf8Yu6_rV4hTBrwMqAcAnv6DfhUxh5emyM3CJp_w/edit?usp=sharing"",""เพชรบุรี!Q360"")+IMPORTRA"&amp;"NGE(""https://docs.google.com/spreadsheets/d/19KBlQQs7uwvsao6t2n-KvW3Ax8J8uRRfZPq1zPbXgKc/edit?usp=sharing"",""ระยอง!Q360"")+IMPORTRANGE(""https://docs.google.com/spreadsheets/d/1jQ6P4QcrGM89YfqcC_PxOHGCMq5ezhucwJd8ci-NHng/edit?usp=sharing"",""ราชบุรี!Q36"&amp;"0"")+IMPORTRANGE(""https://docs.google.com/spreadsheets/d/1lufeA2cfFqM-elVq2hznhDzC6Pr7wkJ9ZG_sYNGCMCU/edit?usp=sharing"",""ลพบุรี!Q360"")+IMPORTRANGE(""https://docs.google.com/spreadsheets/d/10oOiF7loTyfsTkbd4MpaIm0HQ9SwB7IYHdIUvt-U1Uc/edit?usp=sharing"""&amp;",""สระแก้ว!Q360"")+IMPORTRANGE(""https://docs.google.com/spreadsheets/d/1xmPlrr1QbdSIKvl1dWUl9K4PjAfSL9oeMr_37QVzcxc/edit?usp=sharing"",""สระบุรี!Q360"")+IMPORTRANGE(""https://docs.google.com/spreadsheets/d/1j51vR6CYVGhABJpv6tkstgok82RLpXieLzW1yOY5rHw/edi"&amp;"t?usp=sharing"",""สิงห์บุรี!Q360"")+IMPORTRANGE(""https://docs.google.com/spreadsheets/d/1H1EalTWKUSzO4Z1-1CwzoDUaVffgrThEBe2sl74kKG0/edit?usp=sharing"",""สุพรรณบุรี!Q360"")+IMPORTRANGE(""https://docs.google.com/spreadsheets/d/1BmIruG_sIrJLYao_Pdr7zVArWsf"&amp;"oBt2692TMi6x_854/edit?usp=sharing"",""อ่างทอง!Q360"")"),0)</f>
        <v>0</v>
      </c>
      <c r="R361" s="77">
        <f ca="1">IFERROR(__xludf.DUMMYFUNCTION("IMPORTRANGE(""https://docs.google.com/spreadsheets/d/13wPX838HrBrQMCywv1BsuMkt4PEKTChp52zj44s2izQ/edit?usp=sharing"",""กาญจนบุรี!R360"")+IMPORTRANGE(""https://docs.google.com/spreadsheets/d/1ddFKvqj1W1NEiWytbGlB1zMx_ykJDVtmfEQ-6-lIUBA/edit?usp=sharing"","&amp;"""จันทบุรี!R360"")+IMPORTRANGE(""https://docs.google.com/spreadsheets/d/1T1PQvRODqOBZk8BRht_U031fIS1beLA0Ub2CEytj2q0/edit?usp=sharing"",""ฉะเชิงเทรา!R360"")+IMPORTRANGE(""https://docs.google.com/spreadsheets/d/11tr1B-Bhyr79v2bkwVh5h_fR-PStkgjlZtkrZpYurG0/"&amp;"edit?usp=sharing"",""ชลบุรี!R360"")+IMPORTRANGE(""https://docs.google.com/spreadsheets/d/1hh-FVnSX0vozXhGluamEcS54Dw9_zqW0N7qJUWgJ0Sw/edit?usp=sharing"",""ชัยนาท!R360"")+IMPORTRANGE(""https://docs.google.com/spreadsheets/d/1jkqa6GXxSacMcY1eN8AHjMNJ_7dDXMJ"&amp;"VRLDlaFSOdPM/edit?usp=sharing"",""ตราด!R360"")+IMPORTRANGE(""https://docs.google.com/spreadsheets/d/18hSgUJ3VwClqi_qtULmmW3cLr0oe3OKaSYoKzdpTsYQ/edit?usp=sharing"",""นครนายก!R360"")+IMPORTRANGE(""https://docs.google.com/spreadsheets/d/1YTZo6WM2dQ6Ix6FSdnL"&amp;"5P7uVnVKu40sxZu975tgG10E/edit?usp=sharing"",""นครปฐม!R360"")+IMPORTRANGE(""https://docs.google.com/spreadsheets/d/1OYoGg4WDg5RIzwGeB10padOxJF9E_Vljuvvct_M7RDo/edit?usp=sharing"",""ปทุมธานี!R360"")+IMPORTRANGE(""https://docs.google.com/spreadsheets/d/1GbCI"&amp;"E4D4wk9FUozzqk7SxfDMxDVBwVmI5zcaVUSzKAc/edit?usp=sharing"",""ประจวบคีรีขันธ์!R360"")+IMPORTRANGE(""https://docs.google.com/spreadsheets/d/1vVf6wykvW_lAyu7Yo9L4hUTqHqIeP_qcVuxCtosJEbg/edit?usp=sharing"",""ปราจีนบุรี!R360"")+IMPORTRANGE(""https://docs.googl"&amp;"e.com/spreadsheets/d/1BIDqLLg5jk3v59G8NlR8rk5xfQDKne0sAvZHSj7TI6I/edit?usp=sharing"",""พระนครศรีอยุธยา!R360"")+IMPORTRANGE(""https://docs.google.com/spreadsheets/d/1YXvxf8Yu6_rV4hTBrwMqAcAnv6DfhUxh5emyM3CJp_w/edit?usp=sharing"",""เพชรบุรี!R360"")+IMPORTRA"&amp;"NGE(""https://docs.google.com/spreadsheets/d/19KBlQQs7uwvsao6t2n-KvW3Ax8J8uRRfZPq1zPbXgKc/edit?usp=sharing"",""ระยอง!R360"")+IMPORTRANGE(""https://docs.google.com/spreadsheets/d/1jQ6P4QcrGM89YfqcC_PxOHGCMq5ezhucwJd8ci-NHng/edit?usp=sharing"",""ราชบุรี!R36"&amp;"0"")+IMPORTRANGE(""https://docs.google.com/spreadsheets/d/1lufeA2cfFqM-elVq2hznhDzC6Pr7wkJ9ZG_sYNGCMCU/edit?usp=sharing"",""ลพบุรี!R360"")+IMPORTRANGE(""https://docs.google.com/spreadsheets/d/10oOiF7loTyfsTkbd4MpaIm0HQ9SwB7IYHdIUvt-U1Uc/edit?usp=sharing"""&amp;",""สระแก้ว!R360"")+IMPORTRANGE(""https://docs.google.com/spreadsheets/d/1xmPlrr1QbdSIKvl1dWUl9K4PjAfSL9oeMr_37QVzcxc/edit?usp=sharing"",""สระบุรี!R360"")+IMPORTRANGE(""https://docs.google.com/spreadsheets/d/1j51vR6CYVGhABJpv6tkstgok82RLpXieLzW1yOY5rHw/edi"&amp;"t?usp=sharing"",""สิงห์บุรี!R360"")+IMPORTRANGE(""https://docs.google.com/spreadsheets/d/1H1EalTWKUSzO4Z1-1CwzoDUaVffgrThEBe2sl74kKG0/edit?usp=sharing"",""สุพรรณบุรี!R360"")+IMPORTRANGE(""https://docs.google.com/spreadsheets/d/1BmIruG_sIrJLYao_Pdr7zVArWsf"&amp;"oBt2692TMi6x_854/edit?usp=sharing"",""อ่างทอง!R360"")"),0)</f>
        <v>0</v>
      </c>
      <c r="S361" s="77">
        <f ca="1">IFERROR(__xludf.DUMMYFUNCTION("IMPORTRANGE(""https://docs.google.com/spreadsheets/d/13wPX838HrBrQMCywv1BsuMkt4PEKTChp52zj44s2izQ/edit?usp=sharing"",""กาญจนบุรี!S360"")+IMPORTRANGE(""https://docs.google.com/spreadsheets/d/1ddFKvqj1W1NEiWytbGlB1zMx_ykJDVtmfEQ-6-lIUBA/edit?usp=sharing"","&amp;"""จันทบุรี!S360"")+IMPORTRANGE(""https://docs.google.com/spreadsheets/d/1T1PQvRODqOBZk8BRht_U031fIS1beLA0Ub2CEytj2q0/edit?usp=sharing"",""ฉะเชิงเทรา!S360"")+IMPORTRANGE(""https://docs.google.com/spreadsheets/d/11tr1B-Bhyr79v2bkwVh5h_fR-PStkgjlZtkrZpYurG0/"&amp;"edit?usp=sharing"",""ชลบุรี!S360"")+IMPORTRANGE(""https://docs.google.com/spreadsheets/d/1hh-FVnSX0vozXhGluamEcS54Dw9_zqW0N7qJUWgJ0Sw/edit?usp=sharing"",""ชัยนาท!S360"")+IMPORTRANGE(""https://docs.google.com/spreadsheets/d/1jkqa6GXxSacMcY1eN8AHjMNJ_7dDXMJ"&amp;"VRLDlaFSOdPM/edit?usp=sharing"",""ตราด!S360"")+IMPORTRANGE(""https://docs.google.com/spreadsheets/d/18hSgUJ3VwClqi_qtULmmW3cLr0oe3OKaSYoKzdpTsYQ/edit?usp=sharing"",""นครนายก!S360"")+IMPORTRANGE(""https://docs.google.com/spreadsheets/d/1YTZo6WM2dQ6Ix6FSdnL"&amp;"5P7uVnVKu40sxZu975tgG10E/edit?usp=sharing"",""นครปฐม!S360"")+IMPORTRANGE(""https://docs.google.com/spreadsheets/d/1OYoGg4WDg5RIzwGeB10padOxJF9E_Vljuvvct_M7RDo/edit?usp=sharing"",""ปทุมธานี!S360"")+IMPORTRANGE(""https://docs.google.com/spreadsheets/d/1GbCI"&amp;"E4D4wk9FUozzqk7SxfDMxDVBwVmI5zcaVUSzKAc/edit?usp=sharing"",""ประจวบคีรีขันธ์!S360"")+IMPORTRANGE(""https://docs.google.com/spreadsheets/d/1vVf6wykvW_lAyu7Yo9L4hUTqHqIeP_qcVuxCtosJEbg/edit?usp=sharing"",""ปราจีนบุรี!S360"")+IMPORTRANGE(""https://docs.googl"&amp;"e.com/spreadsheets/d/1BIDqLLg5jk3v59G8NlR8rk5xfQDKne0sAvZHSj7TI6I/edit?usp=sharing"",""พระนครศรีอยุธยา!S360"")+IMPORTRANGE(""https://docs.google.com/spreadsheets/d/1YXvxf8Yu6_rV4hTBrwMqAcAnv6DfhUxh5emyM3CJp_w/edit?usp=sharing"",""เพชรบุรี!S360"")+IMPORTRA"&amp;"NGE(""https://docs.google.com/spreadsheets/d/19KBlQQs7uwvsao6t2n-KvW3Ax8J8uRRfZPq1zPbXgKc/edit?usp=sharing"",""ระยอง!S360"")+IMPORTRANGE(""https://docs.google.com/spreadsheets/d/1jQ6P4QcrGM89YfqcC_PxOHGCMq5ezhucwJd8ci-NHng/edit?usp=sharing"",""ราชบุรี!S36"&amp;"0"")+IMPORTRANGE(""https://docs.google.com/spreadsheets/d/1lufeA2cfFqM-elVq2hznhDzC6Pr7wkJ9ZG_sYNGCMCU/edit?usp=sharing"",""ลพบุรี!S360"")+IMPORTRANGE(""https://docs.google.com/spreadsheets/d/10oOiF7loTyfsTkbd4MpaIm0HQ9SwB7IYHdIUvt-U1Uc/edit?usp=sharing"""&amp;",""สระแก้ว!S360"")+IMPORTRANGE(""https://docs.google.com/spreadsheets/d/1xmPlrr1QbdSIKvl1dWUl9K4PjAfSL9oeMr_37QVzcxc/edit?usp=sharing"",""สระบุรี!S360"")+IMPORTRANGE(""https://docs.google.com/spreadsheets/d/1j51vR6CYVGhABJpv6tkstgok82RLpXieLzW1yOY5rHw/edi"&amp;"t?usp=sharing"",""สิงห์บุรี!S360"")+IMPORTRANGE(""https://docs.google.com/spreadsheets/d/1H1EalTWKUSzO4Z1-1CwzoDUaVffgrThEBe2sl74kKG0/edit?usp=sharing"",""สุพรรณบุรี!S360"")+IMPORTRANGE(""https://docs.google.com/spreadsheets/d/1BmIruG_sIrJLYao_Pdr7zVArWsf"&amp;"oBt2692TMi6x_854/edit?usp=sharing"",""อ่างทอง!S360"")"),0)</f>
        <v>0</v>
      </c>
      <c r="T361" s="133">
        <f t="shared" ca="1" si="262"/>
        <v>0</v>
      </c>
      <c r="U361" s="133">
        <f t="shared" ca="1" si="263"/>
        <v>0</v>
      </c>
    </row>
    <row r="362" spans="1:21" ht="18.75" x14ac:dyDescent="0.25">
      <c r="A362" s="209"/>
      <c r="B362" s="67"/>
      <c r="C362" s="67"/>
      <c r="D362" s="67"/>
      <c r="E362" s="75" t="s">
        <v>37</v>
      </c>
      <c r="F362" s="67"/>
      <c r="G362" s="69"/>
      <c r="H362" s="218" t="s">
        <v>14</v>
      </c>
      <c r="I362" s="219"/>
      <c r="J362" s="219"/>
      <c r="K362" s="220"/>
      <c r="L362" s="88">
        <f ca="1">IFERROR(__xludf.DUMMYFUNCTION("IMPORTRANGE(""https://docs.google.com/spreadsheets/d/13wPX838HrBrQMCywv1BsuMkt4PEKTChp52zj44s2izQ/edit?usp=sharing"",""กาญจนบุรี!L361"")+IMPORTRANGE(""https://docs.google.com/spreadsheets/d/1ddFKvqj1W1NEiWytbGlB1zMx_ykJDVtmfEQ-6-lIUBA/edit?usp=sharing"","&amp;"""จันทบุรี!L361"")+IMPORTRANGE(""https://docs.google.com/spreadsheets/d/1T1PQvRODqOBZk8BRht_U031fIS1beLA0Ub2CEytj2q0/edit?usp=sharing"",""ฉะเชิงเทรา!L361"")+IMPORTRANGE(""https://docs.google.com/spreadsheets/d/11tr1B-Bhyr79v2bkwVh5h_fR-PStkgjlZtkrZpYurG0/"&amp;"edit?usp=sharing"",""ชลบุรี!L361"")+IMPORTRANGE(""https://docs.google.com/spreadsheets/d/1hh-FVnSX0vozXhGluamEcS54Dw9_zqW0N7qJUWgJ0Sw/edit?usp=sharing"",""ชัยนาท!L361"")+IMPORTRANGE(""https://docs.google.com/spreadsheets/d/1jkqa6GXxSacMcY1eN8AHjMNJ_7dDXMJ"&amp;"VRLDlaFSOdPM/edit?usp=sharing"",""ตราด!L361"")+IMPORTRANGE(""https://docs.google.com/spreadsheets/d/18hSgUJ3VwClqi_qtULmmW3cLr0oe3OKaSYoKzdpTsYQ/edit?usp=sharing"",""นครนายก!L361"")+IMPORTRANGE(""https://docs.google.com/spreadsheets/d/1YTZo6WM2dQ6Ix6FSdnL"&amp;"5P7uVnVKu40sxZu975tgG10E/edit?usp=sharing"",""นครปฐม!L361"")+IMPORTRANGE(""https://docs.google.com/spreadsheets/d/1OYoGg4WDg5RIzwGeB10padOxJF9E_Vljuvvct_M7RDo/edit?usp=sharing"",""ปทุมธานี!L361"")+IMPORTRANGE(""https://docs.google.com/spreadsheets/d/1GbCI"&amp;"E4D4wk9FUozzqk7SxfDMxDVBwVmI5zcaVUSzKAc/edit?usp=sharing"",""ประจวบคีรีขันธ์!L361"")+IMPORTRANGE(""https://docs.google.com/spreadsheets/d/1vVf6wykvW_lAyu7Yo9L4hUTqHqIeP_qcVuxCtosJEbg/edit?usp=sharing"",""ปราจีนบุรี!L361"")+IMPORTRANGE(""https://docs.googl"&amp;"e.com/spreadsheets/d/1BIDqLLg5jk3v59G8NlR8rk5xfQDKne0sAvZHSj7TI6I/edit?usp=sharing"",""พระนครศรีอยุธยา!L361"")+IMPORTRANGE(""https://docs.google.com/spreadsheets/d/1YXvxf8Yu6_rV4hTBrwMqAcAnv6DfhUxh5emyM3CJp_w/edit?usp=sharing"",""เพชรบุรี!L361"")+IMPORTRA"&amp;"NGE(""https://docs.google.com/spreadsheets/d/19KBlQQs7uwvsao6t2n-KvW3Ax8J8uRRfZPq1zPbXgKc/edit?usp=sharing"",""ระยอง!L361"")+IMPORTRANGE(""https://docs.google.com/spreadsheets/d/1jQ6P4QcrGM89YfqcC_PxOHGCMq5ezhucwJd8ci-NHng/edit?usp=sharing"",""ราชบุรี!L36"&amp;"1"")+IMPORTRANGE(""https://docs.google.com/spreadsheets/d/1lufeA2cfFqM-elVq2hznhDzC6Pr7wkJ9ZG_sYNGCMCU/edit?usp=sharing"",""ลพบุรี!L361"")+IMPORTRANGE(""https://docs.google.com/spreadsheets/d/10oOiF7loTyfsTkbd4MpaIm0HQ9SwB7IYHdIUvt-U1Uc/edit?usp=sharing"""&amp;",""สระแก้ว!L361"")+IMPORTRANGE(""https://docs.google.com/spreadsheets/d/1xmPlrr1QbdSIKvl1dWUl9K4PjAfSL9oeMr_37QVzcxc/edit?usp=sharing"",""สระบุรี!L361"")+IMPORTRANGE(""https://docs.google.com/spreadsheets/d/1j51vR6CYVGhABJpv6tkstgok82RLpXieLzW1yOY5rHw/edi"&amp;"t?usp=sharing"",""สิงห์บุรี!L361"")+IMPORTRANGE(""https://docs.google.com/spreadsheets/d/1H1EalTWKUSzO4Z1-1CwzoDUaVffgrThEBe2sl74kKG0/edit?usp=sharing"",""สุพรรณบุรี!L361"")+IMPORTRANGE(""https://docs.google.com/spreadsheets/d/1BmIruG_sIrJLYao_Pdr7zVArWsf"&amp;"oBt2692TMi6x_854/edit?usp=sharing"",""อ่างทอง!L361"")"),8038505)</f>
        <v>8038505</v>
      </c>
      <c r="M362" s="88">
        <f ca="1">IFERROR(__xludf.DUMMYFUNCTION("IMPORTRANGE(""https://docs.google.com/spreadsheets/d/13wPX838HrBrQMCywv1BsuMkt4PEKTChp52zj44s2izQ/edit?usp=sharing"",""กาญจนบุรี!M361"")+IMPORTRANGE(""https://docs.google.com/spreadsheets/d/1ddFKvqj1W1NEiWytbGlB1zMx_ykJDVtmfEQ-6-lIUBA/edit?usp=sharing"","&amp;"""จันทบุรี!M361"")+IMPORTRANGE(""https://docs.google.com/spreadsheets/d/1T1PQvRODqOBZk8BRht_U031fIS1beLA0Ub2CEytj2q0/edit?usp=sharing"",""ฉะเชิงเทรา!M361"")+IMPORTRANGE(""https://docs.google.com/spreadsheets/d/11tr1B-Bhyr79v2bkwVh5h_fR-PStkgjlZtkrZpYurG0/"&amp;"edit?usp=sharing"",""ชลบุรี!M361"")+IMPORTRANGE(""https://docs.google.com/spreadsheets/d/1hh-FVnSX0vozXhGluamEcS54Dw9_zqW0N7qJUWgJ0Sw/edit?usp=sharing"",""ชัยนาท!M361"")+IMPORTRANGE(""https://docs.google.com/spreadsheets/d/1jkqa6GXxSacMcY1eN8AHjMNJ_7dDXMJ"&amp;"VRLDlaFSOdPM/edit?usp=sharing"",""ตราด!M361"")+IMPORTRANGE(""https://docs.google.com/spreadsheets/d/18hSgUJ3VwClqi_qtULmmW3cLr0oe3OKaSYoKzdpTsYQ/edit?usp=sharing"",""นครนายก!M361"")+IMPORTRANGE(""https://docs.google.com/spreadsheets/d/1YTZo6WM2dQ6Ix6FSdnL"&amp;"5P7uVnVKu40sxZu975tgG10E/edit?usp=sharing"",""นครปฐม!M361"")+IMPORTRANGE(""https://docs.google.com/spreadsheets/d/1OYoGg4WDg5RIzwGeB10padOxJF9E_Vljuvvct_M7RDo/edit?usp=sharing"",""ปทุมธานี!M361"")+IMPORTRANGE(""https://docs.google.com/spreadsheets/d/1GbCI"&amp;"E4D4wk9FUozzqk7SxfDMxDVBwVmI5zcaVUSzKAc/edit?usp=sharing"",""ประจวบคีรีขันธ์!M361"")+IMPORTRANGE(""https://docs.google.com/spreadsheets/d/1vVf6wykvW_lAyu7Yo9L4hUTqHqIeP_qcVuxCtosJEbg/edit?usp=sharing"",""ปราจีนบุรี!M361"")+IMPORTRANGE(""https://docs.googl"&amp;"e.com/spreadsheets/d/1BIDqLLg5jk3v59G8NlR8rk5xfQDKne0sAvZHSj7TI6I/edit?usp=sharing"",""พระนครศรีอยุธยา!M361"")+IMPORTRANGE(""https://docs.google.com/spreadsheets/d/1YXvxf8Yu6_rV4hTBrwMqAcAnv6DfhUxh5emyM3CJp_w/edit?usp=sharing"",""เพชรบุรี!M361"")+IMPORTRA"&amp;"NGE(""https://docs.google.com/spreadsheets/d/19KBlQQs7uwvsao6t2n-KvW3Ax8J8uRRfZPq1zPbXgKc/edit?usp=sharing"",""ระยอง!M361"")+IMPORTRANGE(""https://docs.google.com/spreadsheets/d/1jQ6P4QcrGM89YfqcC_PxOHGCMq5ezhucwJd8ci-NHng/edit?usp=sharing"",""ราชบุรี!M36"&amp;"1"")+IMPORTRANGE(""https://docs.google.com/spreadsheets/d/1lufeA2cfFqM-elVq2hznhDzC6Pr7wkJ9ZG_sYNGCMCU/edit?usp=sharing"",""ลพบุรี!M361"")+IMPORTRANGE(""https://docs.google.com/spreadsheets/d/10oOiF7loTyfsTkbd4MpaIm0HQ9SwB7IYHdIUvt-U1Uc/edit?usp=sharing"""&amp;",""สระแก้ว!M361"")+IMPORTRANGE(""https://docs.google.com/spreadsheets/d/1xmPlrr1QbdSIKvl1dWUl9K4PjAfSL9oeMr_37QVzcxc/edit?usp=sharing"",""สระบุรี!M361"")+IMPORTRANGE(""https://docs.google.com/spreadsheets/d/1j51vR6CYVGhABJpv6tkstgok82RLpXieLzW1yOY5rHw/edi"&amp;"t?usp=sharing"",""สิงห์บุรี!M361"")+IMPORTRANGE(""https://docs.google.com/spreadsheets/d/1H1EalTWKUSzO4Z1-1CwzoDUaVffgrThEBe2sl74kKG0/edit?usp=sharing"",""สุพรรณบุรี!M361"")+IMPORTRANGE(""https://docs.google.com/spreadsheets/d/1BmIruG_sIrJLYao_Pdr7zVArWsf"&amp;"oBt2692TMi6x_854/edit?usp=sharing"",""อ่างทอง!M361"")"),8164395)</f>
        <v>8164395</v>
      </c>
      <c r="N362" s="88">
        <f ca="1">IFERROR(__xludf.DUMMYFUNCTION("IMPORTRANGE(""https://docs.google.com/spreadsheets/d/13wPX838HrBrQMCywv1BsuMkt4PEKTChp52zj44s2izQ/edit?usp=sharing"",""กาญจนบุรี!N361"")+IMPORTRANGE(""https://docs.google.com/spreadsheets/d/1ddFKvqj1W1NEiWytbGlB1zMx_ykJDVtmfEQ-6-lIUBA/edit?usp=sharing"","&amp;"""จันทบุรี!N361"")+IMPORTRANGE(""https://docs.google.com/spreadsheets/d/1T1PQvRODqOBZk8BRht_U031fIS1beLA0Ub2CEytj2q0/edit?usp=sharing"",""ฉะเชิงเทรา!N361"")+IMPORTRANGE(""https://docs.google.com/spreadsheets/d/11tr1B-Bhyr79v2bkwVh5h_fR-PStkgjlZtkrZpYurG0/"&amp;"edit?usp=sharing"",""ชลบุรี!N361"")+IMPORTRANGE(""https://docs.google.com/spreadsheets/d/1hh-FVnSX0vozXhGluamEcS54Dw9_zqW0N7qJUWgJ0Sw/edit?usp=sharing"",""ชัยนาท!N361"")+IMPORTRANGE(""https://docs.google.com/spreadsheets/d/1jkqa6GXxSacMcY1eN8AHjMNJ_7dDXMJ"&amp;"VRLDlaFSOdPM/edit?usp=sharing"",""ตราด!N361"")+IMPORTRANGE(""https://docs.google.com/spreadsheets/d/18hSgUJ3VwClqi_qtULmmW3cLr0oe3OKaSYoKzdpTsYQ/edit?usp=sharing"",""นครนายก!N361"")+IMPORTRANGE(""https://docs.google.com/spreadsheets/d/1YTZo6WM2dQ6Ix6FSdnL"&amp;"5P7uVnVKu40sxZu975tgG10E/edit?usp=sharing"",""นครปฐม!N361"")+IMPORTRANGE(""https://docs.google.com/spreadsheets/d/1OYoGg4WDg5RIzwGeB10padOxJF9E_Vljuvvct_M7RDo/edit?usp=sharing"",""ปทุมธานี!N361"")+IMPORTRANGE(""https://docs.google.com/spreadsheets/d/1GbCI"&amp;"E4D4wk9FUozzqk7SxfDMxDVBwVmI5zcaVUSzKAc/edit?usp=sharing"",""ประจวบคีรีขันธ์!N361"")+IMPORTRANGE(""https://docs.google.com/spreadsheets/d/1vVf6wykvW_lAyu7Yo9L4hUTqHqIeP_qcVuxCtosJEbg/edit?usp=sharing"",""ปราจีนบุรี!N361"")+IMPORTRANGE(""https://docs.googl"&amp;"e.com/spreadsheets/d/1BIDqLLg5jk3v59G8NlR8rk5xfQDKne0sAvZHSj7TI6I/edit?usp=sharing"",""พระนครศรีอยุธยา!N361"")+IMPORTRANGE(""https://docs.google.com/spreadsheets/d/1YXvxf8Yu6_rV4hTBrwMqAcAnv6DfhUxh5emyM3CJp_w/edit?usp=sharing"",""เพชรบุรี!N361"")+IMPORTRA"&amp;"NGE(""https://docs.google.com/spreadsheets/d/19KBlQQs7uwvsao6t2n-KvW3Ax8J8uRRfZPq1zPbXgKc/edit?usp=sharing"",""ระยอง!N361"")+IMPORTRANGE(""https://docs.google.com/spreadsheets/d/1jQ6P4QcrGM89YfqcC_PxOHGCMq5ezhucwJd8ci-NHng/edit?usp=sharing"",""ราชบุรี!N36"&amp;"1"")+IMPORTRANGE(""https://docs.google.com/spreadsheets/d/1lufeA2cfFqM-elVq2hznhDzC6Pr7wkJ9ZG_sYNGCMCU/edit?usp=sharing"",""ลพบุรี!N361"")+IMPORTRANGE(""https://docs.google.com/spreadsheets/d/10oOiF7loTyfsTkbd4MpaIm0HQ9SwB7IYHdIUvt-U1Uc/edit?usp=sharing"""&amp;",""สระแก้ว!N361"")+IMPORTRANGE(""https://docs.google.com/spreadsheets/d/1xmPlrr1QbdSIKvl1dWUl9K4PjAfSL9oeMr_37QVzcxc/edit?usp=sharing"",""สระบุรี!N361"")+IMPORTRANGE(""https://docs.google.com/spreadsheets/d/1j51vR6CYVGhABJpv6tkstgok82RLpXieLzW1yOY5rHw/edi"&amp;"t?usp=sharing"",""สิงห์บุรี!N361"")+IMPORTRANGE(""https://docs.google.com/spreadsheets/d/1H1EalTWKUSzO4Z1-1CwzoDUaVffgrThEBe2sl74kKG0/edit?usp=sharing"",""สุพรรณบุรี!N361"")+IMPORTRANGE(""https://docs.google.com/spreadsheets/d/1BmIruG_sIrJLYao_Pdr7zVArWsf"&amp;"oBt2692TMi6x_854/edit?usp=sharing"",""อ่างทอง!N361"")"),3750993.40999999)</f>
        <v>3750993.4099999899</v>
      </c>
      <c r="O362" s="88">
        <f t="shared" ca="1" si="259"/>
        <v>46.662823622053978</v>
      </c>
      <c r="P362" s="88">
        <f t="shared" ca="1" si="260"/>
        <v>45.943311292508383</v>
      </c>
      <c r="Q362" s="73">
        <f ca="1">IFERROR(__xludf.DUMMYFUNCTION("IMPORTRANGE(""https://docs.google.com/spreadsheets/d/13wPX838HrBrQMCywv1BsuMkt4PEKTChp52zj44s2izQ/edit?usp=sharing"",""กาญจนบุรี!Q361"")+IMPORTRANGE(""https://docs.google.com/spreadsheets/d/1ddFKvqj1W1NEiWytbGlB1zMx_ykJDVtmfEQ-6-lIUBA/edit?usp=sharing"","&amp;"""จันทบุรี!Q361"")+IMPORTRANGE(""https://docs.google.com/spreadsheets/d/1T1PQvRODqOBZk8BRht_U031fIS1beLA0Ub2CEytj2q0/edit?usp=sharing"",""ฉะเชิงเทรา!Q361"")+IMPORTRANGE(""https://docs.google.com/spreadsheets/d/11tr1B-Bhyr79v2bkwVh5h_fR-PStkgjlZtkrZpYurG0/"&amp;"edit?usp=sharing"",""ชลบุรี!Q361"")+IMPORTRANGE(""https://docs.google.com/spreadsheets/d/1hh-FVnSX0vozXhGluamEcS54Dw9_zqW0N7qJUWgJ0Sw/edit?usp=sharing"",""ชัยนาท!Q361"")+IMPORTRANGE(""https://docs.google.com/spreadsheets/d/1jkqa6GXxSacMcY1eN8AHjMNJ_7dDXMJ"&amp;"VRLDlaFSOdPM/edit?usp=sharing"",""ตราด!Q361"")+IMPORTRANGE(""https://docs.google.com/spreadsheets/d/18hSgUJ3VwClqi_qtULmmW3cLr0oe3OKaSYoKzdpTsYQ/edit?usp=sharing"",""นครนายก!Q361"")+IMPORTRANGE(""https://docs.google.com/spreadsheets/d/1YTZo6WM2dQ6Ix6FSdnL"&amp;"5P7uVnVKu40sxZu975tgG10E/edit?usp=sharing"",""นครปฐม!Q361"")+IMPORTRANGE(""https://docs.google.com/spreadsheets/d/1OYoGg4WDg5RIzwGeB10padOxJF9E_Vljuvvct_M7RDo/edit?usp=sharing"",""ปทุมธานี!Q361"")+IMPORTRANGE(""https://docs.google.com/spreadsheets/d/1GbCI"&amp;"E4D4wk9FUozzqk7SxfDMxDVBwVmI5zcaVUSzKAc/edit?usp=sharing"",""ประจวบคีรีขันธ์!Q361"")+IMPORTRANGE(""https://docs.google.com/spreadsheets/d/1vVf6wykvW_lAyu7Yo9L4hUTqHqIeP_qcVuxCtosJEbg/edit?usp=sharing"",""ปราจีนบุรี!Q361"")+IMPORTRANGE(""https://docs.googl"&amp;"e.com/spreadsheets/d/1BIDqLLg5jk3v59G8NlR8rk5xfQDKne0sAvZHSj7TI6I/edit?usp=sharing"",""พระนครศรีอยุธยา!Q361"")+IMPORTRANGE(""https://docs.google.com/spreadsheets/d/1YXvxf8Yu6_rV4hTBrwMqAcAnv6DfhUxh5emyM3CJp_w/edit?usp=sharing"",""เพชรบุรี!Q361"")+IMPORTRA"&amp;"NGE(""https://docs.google.com/spreadsheets/d/19KBlQQs7uwvsao6t2n-KvW3Ax8J8uRRfZPq1zPbXgKc/edit?usp=sharing"",""ระยอง!Q361"")+IMPORTRANGE(""https://docs.google.com/spreadsheets/d/1jQ6P4QcrGM89YfqcC_PxOHGCMq5ezhucwJd8ci-NHng/edit?usp=sharing"",""ราชบุรี!Q36"&amp;"1"")+IMPORTRANGE(""https://docs.google.com/spreadsheets/d/1lufeA2cfFqM-elVq2hznhDzC6Pr7wkJ9ZG_sYNGCMCU/edit?usp=sharing"",""ลพบุรี!Q361"")+IMPORTRANGE(""https://docs.google.com/spreadsheets/d/10oOiF7loTyfsTkbd4MpaIm0HQ9SwB7IYHdIUvt-U1Uc/edit?usp=sharing"""&amp;",""สระแก้ว!Q361"")+IMPORTRANGE(""https://docs.google.com/spreadsheets/d/1xmPlrr1QbdSIKvl1dWUl9K4PjAfSL9oeMr_37QVzcxc/edit?usp=sharing"",""สระบุรี!Q361"")+IMPORTRANGE(""https://docs.google.com/spreadsheets/d/1j51vR6CYVGhABJpv6tkstgok82RLpXieLzW1yOY5rHw/edi"&amp;"t?usp=sharing"",""สิงห์บุรี!Q361"")+IMPORTRANGE(""https://docs.google.com/spreadsheets/d/1H1EalTWKUSzO4Z1-1CwzoDUaVffgrThEBe2sl74kKG0/edit?usp=sharing"",""สุพรรณบุรี!Q361"")+IMPORTRANGE(""https://docs.google.com/spreadsheets/d/1BmIruG_sIrJLYao_Pdr7zVArWsf"&amp;"oBt2692TMi6x_854/edit?usp=sharing"",""อ่างทอง!Q361"")"),0)</f>
        <v>0</v>
      </c>
      <c r="R362" s="74">
        <f ca="1">IFERROR(__xludf.DUMMYFUNCTION("IMPORTRANGE(""https://docs.google.com/spreadsheets/d/13wPX838HrBrQMCywv1BsuMkt4PEKTChp52zj44s2izQ/edit?usp=sharing"",""กาญจนบุรี!R361"")+IMPORTRANGE(""https://docs.google.com/spreadsheets/d/1ddFKvqj1W1NEiWytbGlB1zMx_ykJDVtmfEQ-6-lIUBA/edit?usp=sharing"","&amp;"""จันทบุรี!R361"")+IMPORTRANGE(""https://docs.google.com/spreadsheets/d/1T1PQvRODqOBZk8BRht_U031fIS1beLA0Ub2CEytj2q0/edit?usp=sharing"",""ฉะเชิงเทรา!R361"")+IMPORTRANGE(""https://docs.google.com/spreadsheets/d/11tr1B-Bhyr79v2bkwVh5h_fR-PStkgjlZtkrZpYurG0/"&amp;"edit?usp=sharing"",""ชลบุรี!R361"")+IMPORTRANGE(""https://docs.google.com/spreadsheets/d/1hh-FVnSX0vozXhGluamEcS54Dw9_zqW0N7qJUWgJ0Sw/edit?usp=sharing"",""ชัยนาท!R361"")+IMPORTRANGE(""https://docs.google.com/spreadsheets/d/1jkqa6GXxSacMcY1eN8AHjMNJ_7dDXMJ"&amp;"VRLDlaFSOdPM/edit?usp=sharing"",""ตราด!R361"")+IMPORTRANGE(""https://docs.google.com/spreadsheets/d/18hSgUJ3VwClqi_qtULmmW3cLr0oe3OKaSYoKzdpTsYQ/edit?usp=sharing"",""นครนายก!R361"")+IMPORTRANGE(""https://docs.google.com/spreadsheets/d/1YTZo6WM2dQ6Ix6FSdnL"&amp;"5P7uVnVKu40sxZu975tgG10E/edit?usp=sharing"",""นครปฐม!R361"")+IMPORTRANGE(""https://docs.google.com/spreadsheets/d/1OYoGg4WDg5RIzwGeB10padOxJF9E_Vljuvvct_M7RDo/edit?usp=sharing"",""ปทุมธานี!R361"")+IMPORTRANGE(""https://docs.google.com/spreadsheets/d/1GbCI"&amp;"E4D4wk9FUozzqk7SxfDMxDVBwVmI5zcaVUSzKAc/edit?usp=sharing"",""ประจวบคีรีขันธ์!R361"")+IMPORTRANGE(""https://docs.google.com/spreadsheets/d/1vVf6wykvW_lAyu7Yo9L4hUTqHqIeP_qcVuxCtosJEbg/edit?usp=sharing"",""ปราจีนบุรี!R361"")+IMPORTRANGE(""https://docs.googl"&amp;"e.com/spreadsheets/d/1BIDqLLg5jk3v59G8NlR8rk5xfQDKne0sAvZHSj7TI6I/edit?usp=sharing"",""พระนครศรีอยุธยา!R361"")+IMPORTRANGE(""https://docs.google.com/spreadsheets/d/1YXvxf8Yu6_rV4hTBrwMqAcAnv6DfhUxh5emyM3CJp_w/edit?usp=sharing"",""เพชรบุรี!R361"")+IMPORTRA"&amp;"NGE(""https://docs.google.com/spreadsheets/d/19KBlQQs7uwvsao6t2n-KvW3Ax8J8uRRfZPq1zPbXgKc/edit?usp=sharing"",""ระยอง!R361"")+IMPORTRANGE(""https://docs.google.com/spreadsheets/d/1jQ6P4QcrGM89YfqcC_PxOHGCMq5ezhucwJd8ci-NHng/edit?usp=sharing"",""ราชบุรี!R36"&amp;"1"")+IMPORTRANGE(""https://docs.google.com/spreadsheets/d/1lufeA2cfFqM-elVq2hznhDzC6Pr7wkJ9ZG_sYNGCMCU/edit?usp=sharing"",""ลพบุรี!R361"")+IMPORTRANGE(""https://docs.google.com/spreadsheets/d/10oOiF7loTyfsTkbd4MpaIm0HQ9SwB7IYHdIUvt-U1Uc/edit?usp=sharing"""&amp;",""สระแก้ว!R361"")+IMPORTRANGE(""https://docs.google.com/spreadsheets/d/1xmPlrr1QbdSIKvl1dWUl9K4PjAfSL9oeMr_37QVzcxc/edit?usp=sharing"",""สระบุรี!R361"")+IMPORTRANGE(""https://docs.google.com/spreadsheets/d/1j51vR6CYVGhABJpv6tkstgok82RLpXieLzW1yOY5rHw/edi"&amp;"t?usp=sharing"",""สิงห์บุรี!R361"")+IMPORTRANGE(""https://docs.google.com/spreadsheets/d/1H1EalTWKUSzO4Z1-1CwzoDUaVffgrThEBe2sl74kKG0/edit?usp=sharing"",""สุพรรณบุรี!R361"")+IMPORTRANGE(""https://docs.google.com/spreadsheets/d/1BmIruG_sIrJLYao_Pdr7zVArWsf"&amp;"oBt2692TMi6x_854/edit?usp=sharing"",""อ่างทอง!R361"")"),0)</f>
        <v>0</v>
      </c>
      <c r="S362" s="74">
        <f ca="1">IFERROR(__xludf.DUMMYFUNCTION("IMPORTRANGE(""https://docs.google.com/spreadsheets/d/13wPX838HrBrQMCywv1BsuMkt4PEKTChp52zj44s2izQ/edit?usp=sharing"",""กาญจนบุรี!S361"")+IMPORTRANGE(""https://docs.google.com/spreadsheets/d/1ddFKvqj1W1NEiWytbGlB1zMx_ykJDVtmfEQ-6-lIUBA/edit?usp=sharing"","&amp;"""จันทบุรี!S361"")+IMPORTRANGE(""https://docs.google.com/spreadsheets/d/1T1PQvRODqOBZk8BRht_U031fIS1beLA0Ub2CEytj2q0/edit?usp=sharing"",""ฉะเชิงเทรา!S361"")+IMPORTRANGE(""https://docs.google.com/spreadsheets/d/11tr1B-Bhyr79v2bkwVh5h_fR-PStkgjlZtkrZpYurG0/"&amp;"edit?usp=sharing"",""ชลบุรี!S361"")+IMPORTRANGE(""https://docs.google.com/spreadsheets/d/1hh-FVnSX0vozXhGluamEcS54Dw9_zqW0N7qJUWgJ0Sw/edit?usp=sharing"",""ชัยนาท!S361"")+IMPORTRANGE(""https://docs.google.com/spreadsheets/d/1jkqa6GXxSacMcY1eN8AHjMNJ_7dDXMJ"&amp;"VRLDlaFSOdPM/edit?usp=sharing"",""ตราด!S361"")+IMPORTRANGE(""https://docs.google.com/spreadsheets/d/18hSgUJ3VwClqi_qtULmmW3cLr0oe3OKaSYoKzdpTsYQ/edit?usp=sharing"",""นครนายก!S361"")+IMPORTRANGE(""https://docs.google.com/spreadsheets/d/1YTZo6WM2dQ6Ix6FSdnL"&amp;"5P7uVnVKu40sxZu975tgG10E/edit?usp=sharing"",""นครปฐม!S361"")+IMPORTRANGE(""https://docs.google.com/spreadsheets/d/1OYoGg4WDg5RIzwGeB10padOxJF9E_Vljuvvct_M7RDo/edit?usp=sharing"",""ปทุมธานี!S361"")+IMPORTRANGE(""https://docs.google.com/spreadsheets/d/1GbCI"&amp;"E4D4wk9FUozzqk7SxfDMxDVBwVmI5zcaVUSzKAc/edit?usp=sharing"",""ประจวบคีรีขันธ์!S361"")+IMPORTRANGE(""https://docs.google.com/spreadsheets/d/1vVf6wykvW_lAyu7Yo9L4hUTqHqIeP_qcVuxCtosJEbg/edit?usp=sharing"",""ปราจีนบุรี!S361"")+IMPORTRANGE(""https://docs.googl"&amp;"e.com/spreadsheets/d/1BIDqLLg5jk3v59G8NlR8rk5xfQDKne0sAvZHSj7TI6I/edit?usp=sharing"",""พระนครศรีอยุธยา!S361"")+IMPORTRANGE(""https://docs.google.com/spreadsheets/d/1YXvxf8Yu6_rV4hTBrwMqAcAnv6DfhUxh5emyM3CJp_w/edit?usp=sharing"",""เพชรบุรี!S361"")+IMPORTRA"&amp;"NGE(""https://docs.google.com/spreadsheets/d/19KBlQQs7uwvsao6t2n-KvW3Ax8J8uRRfZPq1zPbXgKc/edit?usp=sharing"",""ระยอง!S361"")+IMPORTRANGE(""https://docs.google.com/spreadsheets/d/1jQ6P4QcrGM89YfqcC_PxOHGCMq5ezhucwJd8ci-NHng/edit?usp=sharing"",""ราชบุรี!S36"&amp;"1"")+IMPORTRANGE(""https://docs.google.com/spreadsheets/d/1lufeA2cfFqM-elVq2hznhDzC6Pr7wkJ9ZG_sYNGCMCU/edit?usp=sharing"",""ลพบุรี!S361"")+IMPORTRANGE(""https://docs.google.com/spreadsheets/d/10oOiF7loTyfsTkbd4MpaIm0HQ9SwB7IYHdIUvt-U1Uc/edit?usp=sharing"""&amp;",""สระแก้ว!S361"")+IMPORTRANGE(""https://docs.google.com/spreadsheets/d/1xmPlrr1QbdSIKvl1dWUl9K4PjAfSL9oeMr_37QVzcxc/edit?usp=sharing"",""สระบุรี!S361"")+IMPORTRANGE(""https://docs.google.com/spreadsheets/d/1j51vR6CYVGhABJpv6tkstgok82RLpXieLzW1yOY5rHw/edi"&amp;"t?usp=sharing"",""สิงห์บุรี!S361"")+IMPORTRANGE(""https://docs.google.com/spreadsheets/d/1H1EalTWKUSzO4Z1-1CwzoDUaVffgrThEBe2sl74kKG0/edit?usp=sharing"",""สุพรรณบุรี!S361"")+IMPORTRANGE(""https://docs.google.com/spreadsheets/d/1BmIruG_sIrJLYao_Pdr7zVArWsf"&amp;"oBt2692TMi6x_854/edit?usp=sharing"",""อ่างทอง!S361"")"),0)</f>
        <v>0</v>
      </c>
      <c r="T362" s="132">
        <f t="shared" ca="1" si="262"/>
        <v>0</v>
      </c>
      <c r="U362" s="132">
        <f t="shared" ca="1" si="263"/>
        <v>0</v>
      </c>
    </row>
    <row r="363" spans="1:21" ht="18.75" x14ac:dyDescent="0.25">
      <c r="A363" s="209"/>
      <c r="B363" s="67"/>
      <c r="C363" s="67"/>
      <c r="D363" s="68" t="s">
        <v>23</v>
      </c>
      <c r="E363" s="67"/>
      <c r="F363" s="67"/>
      <c r="G363" s="69"/>
      <c r="H363" s="221" t="s">
        <v>14</v>
      </c>
      <c r="I363" s="219"/>
      <c r="J363" s="219"/>
      <c r="K363" s="220"/>
      <c r="L363" s="88">
        <f t="shared" ref="L363:N363" ca="1" si="270">L364+L365</f>
        <v>0</v>
      </c>
      <c r="M363" s="88">
        <f t="shared" ca="1" si="270"/>
        <v>0</v>
      </c>
      <c r="N363" s="88">
        <f t="shared" ca="1" si="270"/>
        <v>0</v>
      </c>
      <c r="O363" s="88">
        <f t="shared" ca="1" si="259"/>
        <v>0</v>
      </c>
      <c r="P363" s="88">
        <f t="shared" ca="1" si="260"/>
        <v>0</v>
      </c>
      <c r="Q363" s="131">
        <f t="shared" ref="Q363:S363" ca="1" si="271">Q364+Q365</f>
        <v>0</v>
      </c>
      <c r="R363" s="132">
        <f t="shared" ca="1" si="271"/>
        <v>0</v>
      </c>
      <c r="S363" s="132">
        <f t="shared" ca="1" si="271"/>
        <v>0</v>
      </c>
      <c r="T363" s="132">
        <f t="shared" ca="1" si="262"/>
        <v>0</v>
      </c>
      <c r="U363" s="132">
        <f t="shared" ca="1" si="263"/>
        <v>0</v>
      </c>
    </row>
    <row r="364" spans="1:21" ht="18.75" x14ac:dyDescent="0.25">
      <c r="A364" s="209"/>
      <c r="B364" s="67"/>
      <c r="C364" s="67"/>
      <c r="D364" s="67"/>
      <c r="E364" s="75" t="s">
        <v>20</v>
      </c>
      <c r="F364" s="67"/>
      <c r="G364" s="69"/>
      <c r="H364" s="218" t="s">
        <v>14</v>
      </c>
      <c r="I364" s="219"/>
      <c r="J364" s="219"/>
      <c r="K364" s="220"/>
      <c r="L364" s="88">
        <f ca="1">IFERROR(__xludf.DUMMYFUNCTION("IMPORTRANGE(""https://docs.google.com/spreadsheets/d/13wPX838HrBrQMCywv1BsuMkt4PEKTChp52zj44s2izQ/edit?usp=sharing"",""กาญจนบุรี!L363"")+IMPORTRANGE(""https://docs.google.com/spreadsheets/d/1ddFKvqj1W1NEiWytbGlB1zMx_ykJDVtmfEQ-6-lIUBA/edit?usp=sharing"","&amp;"""จันทบุรี!L363"")+IMPORTRANGE(""https://docs.google.com/spreadsheets/d/1T1PQvRODqOBZk8BRht_U031fIS1beLA0Ub2CEytj2q0/edit?usp=sharing"",""ฉะเชิงเทรา!L363"")+IMPORTRANGE(""https://docs.google.com/spreadsheets/d/11tr1B-Bhyr79v2bkwVh5h_fR-PStkgjlZtkrZpYurG0/"&amp;"edit?usp=sharing"",""ชลบุรี!L363"")+IMPORTRANGE(""https://docs.google.com/spreadsheets/d/1hh-FVnSX0vozXhGluamEcS54Dw9_zqW0N7qJUWgJ0Sw/edit?usp=sharing"",""ชัยนาท!L363"")+IMPORTRANGE(""https://docs.google.com/spreadsheets/d/1jkqa6GXxSacMcY1eN8AHjMNJ_7dDXMJ"&amp;"VRLDlaFSOdPM/edit?usp=sharing"",""ตราด!L363"")+IMPORTRANGE(""https://docs.google.com/spreadsheets/d/18hSgUJ3VwClqi_qtULmmW3cLr0oe3OKaSYoKzdpTsYQ/edit?usp=sharing"",""นครนายก!L363"")+IMPORTRANGE(""https://docs.google.com/spreadsheets/d/1YTZo6WM2dQ6Ix6FSdnL"&amp;"5P7uVnVKu40sxZu975tgG10E/edit?usp=sharing"",""นครปฐม!L363"")+IMPORTRANGE(""https://docs.google.com/spreadsheets/d/1OYoGg4WDg5RIzwGeB10padOxJF9E_Vljuvvct_M7RDo/edit?usp=sharing"",""ปทุมธานี!L363"")+IMPORTRANGE(""https://docs.google.com/spreadsheets/d/1GbCI"&amp;"E4D4wk9FUozzqk7SxfDMxDVBwVmI5zcaVUSzKAc/edit?usp=sharing"",""ประจวบคีรีขันธ์!L363"")+IMPORTRANGE(""https://docs.google.com/spreadsheets/d/1vVf6wykvW_lAyu7Yo9L4hUTqHqIeP_qcVuxCtosJEbg/edit?usp=sharing"",""ปราจีนบุรี!L363"")+IMPORTRANGE(""https://docs.googl"&amp;"e.com/spreadsheets/d/1BIDqLLg5jk3v59G8NlR8rk5xfQDKne0sAvZHSj7TI6I/edit?usp=sharing"",""พระนครศรีอยุธยา!L363"")+IMPORTRANGE(""https://docs.google.com/spreadsheets/d/1YXvxf8Yu6_rV4hTBrwMqAcAnv6DfhUxh5emyM3CJp_w/edit?usp=sharing"",""เพชรบุรี!L363"")+IMPORTRA"&amp;"NGE(""https://docs.google.com/spreadsheets/d/19KBlQQs7uwvsao6t2n-KvW3Ax8J8uRRfZPq1zPbXgKc/edit?usp=sharing"",""ระยอง!L363"")+IMPORTRANGE(""https://docs.google.com/spreadsheets/d/1jQ6P4QcrGM89YfqcC_PxOHGCMq5ezhucwJd8ci-NHng/edit?usp=sharing"",""ราชบุรี!L36"&amp;"3"")+IMPORTRANGE(""https://docs.google.com/spreadsheets/d/1lufeA2cfFqM-elVq2hznhDzC6Pr7wkJ9ZG_sYNGCMCU/edit?usp=sharing"",""ลพบุรี!L363"")+IMPORTRANGE(""https://docs.google.com/spreadsheets/d/10oOiF7loTyfsTkbd4MpaIm0HQ9SwB7IYHdIUvt-U1Uc/edit?usp=sharing"""&amp;",""สระแก้ว!L363"")+IMPORTRANGE(""https://docs.google.com/spreadsheets/d/1xmPlrr1QbdSIKvl1dWUl9K4PjAfSL9oeMr_37QVzcxc/edit?usp=sharing"",""สระบุรี!L363"")+IMPORTRANGE(""https://docs.google.com/spreadsheets/d/1j51vR6CYVGhABJpv6tkstgok82RLpXieLzW1yOY5rHw/edi"&amp;"t?usp=sharing"",""สิงห์บุรี!L363"")+IMPORTRANGE(""https://docs.google.com/spreadsheets/d/1H1EalTWKUSzO4Z1-1CwzoDUaVffgrThEBe2sl74kKG0/edit?usp=sharing"",""สุพรรณบุรี!L363"")+IMPORTRANGE(""https://docs.google.com/spreadsheets/d/1BmIruG_sIrJLYao_Pdr7zVArWsf"&amp;"oBt2692TMi6x_854/edit?usp=sharing"",""อ่างทอง!L363"")"),0)</f>
        <v>0</v>
      </c>
      <c r="M364" s="88">
        <f ca="1">IFERROR(__xludf.DUMMYFUNCTION("IMPORTRANGE(""https://docs.google.com/spreadsheets/d/13wPX838HrBrQMCywv1BsuMkt4PEKTChp52zj44s2izQ/edit?usp=sharing"",""กาญจนบุรี!M363"")+IMPORTRANGE(""https://docs.google.com/spreadsheets/d/1ddFKvqj1W1NEiWytbGlB1zMx_ykJDVtmfEQ-6-lIUBA/edit?usp=sharing"","&amp;"""จันทบุรี!M363"")+IMPORTRANGE(""https://docs.google.com/spreadsheets/d/1T1PQvRODqOBZk8BRht_U031fIS1beLA0Ub2CEytj2q0/edit?usp=sharing"",""ฉะเชิงเทรา!M363"")+IMPORTRANGE(""https://docs.google.com/spreadsheets/d/11tr1B-Bhyr79v2bkwVh5h_fR-PStkgjlZtkrZpYurG0/"&amp;"edit?usp=sharing"",""ชลบุรี!M363"")+IMPORTRANGE(""https://docs.google.com/spreadsheets/d/1hh-FVnSX0vozXhGluamEcS54Dw9_zqW0N7qJUWgJ0Sw/edit?usp=sharing"",""ชัยนาท!M363"")+IMPORTRANGE(""https://docs.google.com/spreadsheets/d/1jkqa6GXxSacMcY1eN8AHjMNJ_7dDXMJ"&amp;"VRLDlaFSOdPM/edit?usp=sharing"",""ตราด!M363"")+IMPORTRANGE(""https://docs.google.com/spreadsheets/d/18hSgUJ3VwClqi_qtULmmW3cLr0oe3OKaSYoKzdpTsYQ/edit?usp=sharing"",""นครนายก!M363"")+IMPORTRANGE(""https://docs.google.com/spreadsheets/d/1YTZo6WM2dQ6Ix6FSdnL"&amp;"5P7uVnVKu40sxZu975tgG10E/edit?usp=sharing"",""นครปฐม!M363"")+IMPORTRANGE(""https://docs.google.com/spreadsheets/d/1OYoGg4WDg5RIzwGeB10padOxJF9E_Vljuvvct_M7RDo/edit?usp=sharing"",""ปทุมธานี!M363"")+IMPORTRANGE(""https://docs.google.com/spreadsheets/d/1GbCI"&amp;"E4D4wk9FUozzqk7SxfDMxDVBwVmI5zcaVUSzKAc/edit?usp=sharing"",""ประจวบคีรีขันธ์!M363"")+IMPORTRANGE(""https://docs.google.com/spreadsheets/d/1vVf6wykvW_lAyu7Yo9L4hUTqHqIeP_qcVuxCtosJEbg/edit?usp=sharing"",""ปราจีนบุรี!M363"")+IMPORTRANGE(""https://docs.googl"&amp;"e.com/spreadsheets/d/1BIDqLLg5jk3v59G8NlR8rk5xfQDKne0sAvZHSj7TI6I/edit?usp=sharing"",""พระนครศรีอยุธยา!M363"")+IMPORTRANGE(""https://docs.google.com/spreadsheets/d/1YXvxf8Yu6_rV4hTBrwMqAcAnv6DfhUxh5emyM3CJp_w/edit?usp=sharing"",""เพชรบุรี!M363"")+IMPORTRA"&amp;"NGE(""https://docs.google.com/spreadsheets/d/19KBlQQs7uwvsao6t2n-KvW3Ax8J8uRRfZPq1zPbXgKc/edit?usp=sharing"",""ระยอง!M363"")+IMPORTRANGE(""https://docs.google.com/spreadsheets/d/1jQ6P4QcrGM89YfqcC_PxOHGCMq5ezhucwJd8ci-NHng/edit?usp=sharing"",""ราชบุรี!M36"&amp;"3"")+IMPORTRANGE(""https://docs.google.com/spreadsheets/d/1lufeA2cfFqM-elVq2hznhDzC6Pr7wkJ9ZG_sYNGCMCU/edit?usp=sharing"",""ลพบุรี!M363"")+IMPORTRANGE(""https://docs.google.com/spreadsheets/d/10oOiF7loTyfsTkbd4MpaIm0HQ9SwB7IYHdIUvt-U1Uc/edit?usp=sharing"""&amp;",""สระแก้ว!M363"")+IMPORTRANGE(""https://docs.google.com/spreadsheets/d/1xmPlrr1QbdSIKvl1dWUl9K4PjAfSL9oeMr_37QVzcxc/edit?usp=sharing"",""สระบุรี!M363"")+IMPORTRANGE(""https://docs.google.com/spreadsheets/d/1j51vR6CYVGhABJpv6tkstgok82RLpXieLzW1yOY5rHw/edi"&amp;"t?usp=sharing"",""สิงห์บุรี!M363"")+IMPORTRANGE(""https://docs.google.com/spreadsheets/d/1H1EalTWKUSzO4Z1-1CwzoDUaVffgrThEBe2sl74kKG0/edit?usp=sharing"",""สุพรรณบุรี!M363"")+IMPORTRANGE(""https://docs.google.com/spreadsheets/d/1BmIruG_sIrJLYao_Pdr7zVArWsf"&amp;"oBt2692TMi6x_854/edit?usp=sharing"",""อ่างทอง!M363"")"),0)</f>
        <v>0</v>
      </c>
      <c r="N364" s="88">
        <f ca="1">IFERROR(__xludf.DUMMYFUNCTION("IMPORTRANGE(""https://docs.google.com/spreadsheets/d/13wPX838HrBrQMCywv1BsuMkt4PEKTChp52zj44s2izQ/edit?usp=sharing"",""กาญจนบุรี!N363"")+IMPORTRANGE(""https://docs.google.com/spreadsheets/d/1ddFKvqj1W1NEiWytbGlB1zMx_ykJDVtmfEQ-6-lIUBA/edit?usp=sharing"","&amp;"""จันทบุรี!N363"")+IMPORTRANGE(""https://docs.google.com/spreadsheets/d/1T1PQvRODqOBZk8BRht_U031fIS1beLA0Ub2CEytj2q0/edit?usp=sharing"",""ฉะเชิงเทรา!N363"")+IMPORTRANGE(""https://docs.google.com/spreadsheets/d/11tr1B-Bhyr79v2bkwVh5h_fR-PStkgjlZtkrZpYurG0/"&amp;"edit?usp=sharing"",""ชลบุรี!N363"")+IMPORTRANGE(""https://docs.google.com/spreadsheets/d/1hh-FVnSX0vozXhGluamEcS54Dw9_zqW0N7qJUWgJ0Sw/edit?usp=sharing"",""ชัยนาท!N363"")+IMPORTRANGE(""https://docs.google.com/spreadsheets/d/1jkqa6GXxSacMcY1eN8AHjMNJ_7dDXMJ"&amp;"VRLDlaFSOdPM/edit?usp=sharing"",""ตราด!N363"")+IMPORTRANGE(""https://docs.google.com/spreadsheets/d/18hSgUJ3VwClqi_qtULmmW3cLr0oe3OKaSYoKzdpTsYQ/edit?usp=sharing"",""นครนายก!N363"")+IMPORTRANGE(""https://docs.google.com/spreadsheets/d/1YTZo6WM2dQ6Ix6FSdnL"&amp;"5P7uVnVKu40sxZu975tgG10E/edit?usp=sharing"",""นครปฐม!N363"")+IMPORTRANGE(""https://docs.google.com/spreadsheets/d/1OYoGg4WDg5RIzwGeB10padOxJF9E_Vljuvvct_M7RDo/edit?usp=sharing"",""ปทุมธานี!N363"")+IMPORTRANGE(""https://docs.google.com/spreadsheets/d/1GbCI"&amp;"E4D4wk9FUozzqk7SxfDMxDVBwVmI5zcaVUSzKAc/edit?usp=sharing"",""ประจวบคีรีขันธ์!N363"")+IMPORTRANGE(""https://docs.google.com/spreadsheets/d/1vVf6wykvW_lAyu7Yo9L4hUTqHqIeP_qcVuxCtosJEbg/edit?usp=sharing"",""ปราจีนบุรี!N363"")+IMPORTRANGE(""https://docs.googl"&amp;"e.com/spreadsheets/d/1BIDqLLg5jk3v59G8NlR8rk5xfQDKne0sAvZHSj7TI6I/edit?usp=sharing"",""พระนครศรีอยุธยา!N363"")+IMPORTRANGE(""https://docs.google.com/spreadsheets/d/1YXvxf8Yu6_rV4hTBrwMqAcAnv6DfhUxh5emyM3CJp_w/edit?usp=sharing"",""เพชรบุรี!N363"")+IMPORTRA"&amp;"NGE(""https://docs.google.com/spreadsheets/d/19KBlQQs7uwvsao6t2n-KvW3Ax8J8uRRfZPq1zPbXgKc/edit?usp=sharing"",""ระยอง!N363"")+IMPORTRANGE(""https://docs.google.com/spreadsheets/d/1jQ6P4QcrGM89YfqcC_PxOHGCMq5ezhucwJd8ci-NHng/edit?usp=sharing"",""ราชบุรี!N36"&amp;"3"")+IMPORTRANGE(""https://docs.google.com/spreadsheets/d/1lufeA2cfFqM-elVq2hznhDzC6Pr7wkJ9ZG_sYNGCMCU/edit?usp=sharing"",""ลพบุรี!N363"")+IMPORTRANGE(""https://docs.google.com/spreadsheets/d/10oOiF7loTyfsTkbd4MpaIm0HQ9SwB7IYHdIUvt-U1Uc/edit?usp=sharing"""&amp;",""สระแก้ว!N363"")+IMPORTRANGE(""https://docs.google.com/spreadsheets/d/1xmPlrr1QbdSIKvl1dWUl9K4PjAfSL9oeMr_37QVzcxc/edit?usp=sharing"",""สระบุรี!N363"")+IMPORTRANGE(""https://docs.google.com/spreadsheets/d/1j51vR6CYVGhABJpv6tkstgok82RLpXieLzW1yOY5rHw/edi"&amp;"t?usp=sharing"",""สิงห์บุรี!N363"")+IMPORTRANGE(""https://docs.google.com/spreadsheets/d/1H1EalTWKUSzO4Z1-1CwzoDUaVffgrThEBe2sl74kKG0/edit?usp=sharing"",""สุพรรณบุรี!N363"")+IMPORTRANGE(""https://docs.google.com/spreadsheets/d/1BmIruG_sIrJLYao_Pdr7zVArWsf"&amp;"oBt2692TMi6x_854/edit?usp=sharing"",""อ่างทอง!N363"")"),0)</f>
        <v>0</v>
      </c>
      <c r="O364" s="88">
        <f t="shared" ca="1" si="259"/>
        <v>0</v>
      </c>
      <c r="P364" s="88">
        <f t="shared" ca="1" si="260"/>
        <v>0</v>
      </c>
      <c r="Q364" s="76">
        <f ca="1">IFERROR(__xludf.DUMMYFUNCTION("IMPORTRANGE(""https://docs.google.com/spreadsheets/d/13wPX838HrBrQMCywv1BsuMkt4PEKTChp52zj44s2izQ/edit?usp=sharing"",""กาญจนบุรี!Q363"")+IMPORTRANGE(""https://docs.google.com/spreadsheets/d/1ddFKvqj1W1NEiWytbGlB1zMx_ykJDVtmfEQ-6-lIUBA/edit?usp=sharing"","&amp;"""จันทบุรี!Q363"")+IMPORTRANGE(""https://docs.google.com/spreadsheets/d/1T1PQvRODqOBZk8BRht_U031fIS1beLA0Ub2CEytj2q0/edit?usp=sharing"",""ฉะเชิงเทรา!Q363"")+IMPORTRANGE(""https://docs.google.com/spreadsheets/d/11tr1B-Bhyr79v2bkwVh5h_fR-PStkgjlZtkrZpYurG0/"&amp;"edit?usp=sharing"",""ชลบุรี!Q363"")+IMPORTRANGE(""https://docs.google.com/spreadsheets/d/1hh-FVnSX0vozXhGluamEcS54Dw9_zqW0N7qJUWgJ0Sw/edit?usp=sharing"",""ชัยนาท!Q363"")+IMPORTRANGE(""https://docs.google.com/spreadsheets/d/1jkqa6GXxSacMcY1eN8AHjMNJ_7dDXMJ"&amp;"VRLDlaFSOdPM/edit?usp=sharing"",""ตราด!Q363"")+IMPORTRANGE(""https://docs.google.com/spreadsheets/d/18hSgUJ3VwClqi_qtULmmW3cLr0oe3OKaSYoKzdpTsYQ/edit?usp=sharing"",""นครนายก!Q363"")+IMPORTRANGE(""https://docs.google.com/spreadsheets/d/1YTZo6WM2dQ6Ix6FSdnL"&amp;"5P7uVnVKu40sxZu975tgG10E/edit?usp=sharing"",""นครปฐม!Q363"")+IMPORTRANGE(""https://docs.google.com/spreadsheets/d/1OYoGg4WDg5RIzwGeB10padOxJF9E_Vljuvvct_M7RDo/edit?usp=sharing"",""ปทุมธานี!Q363"")+IMPORTRANGE(""https://docs.google.com/spreadsheets/d/1GbCI"&amp;"E4D4wk9FUozzqk7SxfDMxDVBwVmI5zcaVUSzKAc/edit?usp=sharing"",""ประจวบคีรีขันธ์!Q363"")+IMPORTRANGE(""https://docs.google.com/spreadsheets/d/1vVf6wykvW_lAyu7Yo9L4hUTqHqIeP_qcVuxCtosJEbg/edit?usp=sharing"",""ปราจีนบุรี!Q363"")+IMPORTRANGE(""https://docs.googl"&amp;"e.com/spreadsheets/d/1BIDqLLg5jk3v59G8NlR8rk5xfQDKne0sAvZHSj7TI6I/edit?usp=sharing"",""พระนครศรีอยุธยา!Q363"")+IMPORTRANGE(""https://docs.google.com/spreadsheets/d/1YXvxf8Yu6_rV4hTBrwMqAcAnv6DfhUxh5emyM3CJp_w/edit?usp=sharing"",""เพชรบุรี!Q363"")+IMPORTRA"&amp;"NGE(""https://docs.google.com/spreadsheets/d/19KBlQQs7uwvsao6t2n-KvW3Ax8J8uRRfZPq1zPbXgKc/edit?usp=sharing"",""ระยอง!Q363"")+IMPORTRANGE(""https://docs.google.com/spreadsheets/d/1jQ6P4QcrGM89YfqcC_PxOHGCMq5ezhucwJd8ci-NHng/edit?usp=sharing"",""ราชบุรี!Q36"&amp;"3"")+IMPORTRANGE(""https://docs.google.com/spreadsheets/d/1lufeA2cfFqM-elVq2hznhDzC6Pr7wkJ9ZG_sYNGCMCU/edit?usp=sharing"",""ลพบุรี!Q363"")+IMPORTRANGE(""https://docs.google.com/spreadsheets/d/10oOiF7loTyfsTkbd4MpaIm0HQ9SwB7IYHdIUvt-U1Uc/edit?usp=sharing"""&amp;",""สระแก้ว!Q363"")+IMPORTRANGE(""https://docs.google.com/spreadsheets/d/1xmPlrr1QbdSIKvl1dWUl9K4PjAfSL9oeMr_37QVzcxc/edit?usp=sharing"",""สระบุรี!Q363"")+IMPORTRANGE(""https://docs.google.com/spreadsheets/d/1j51vR6CYVGhABJpv6tkstgok82RLpXieLzW1yOY5rHw/edi"&amp;"t?usp=sharing"",""สิงห์บุรี!Q363"")+IMPORTRANGE(""https://docs.google.com/spreadsheets/d/1H1EalTWKUSzO4Z1-1CwzoDUaVffgrThEBe2sl74kKG0/edit?usp=sharing"",""สุพรรณบุรี!Q363"")+IMPORTRANGE(""https://docs.google.com/spreadsheets/d/1BmIruG_sIrJLYao_Pdr7zVArWsf"&amp;"oBt2692TMi6x_854/edit?usp=sharing"",""อ่างทอง!Q363"")"),0)</f>
        <v>0</v>
      </c>
      <c r="R364" s="77">
        <f ca="1">IFERROR(__xludf.DUMMYFUNCTION("IMPORTRANGE(""https://docs.google.com/spreadsheets/d/13wPX838HrBrQMCywv1BsuMkt4PEKTChp52zj44s2izQ/edit?usp=sharing"",""กาญจนบุรี!R363"")+IMPORTRANGE(""https://docs.google.com/spreadsheets/d/1ddFKvqj1W1NEiWytbGlB1zMx_ykJDVtmfEQ-6-lIUBA/edit?usp=sharing"","&amp;"""จันทบุรี!R363"")+IMPORTRANGE(""https://docs.google.com/spreadsheets/d/1T1PQvRODqOBZk8BRht_U031fIS1beLA0Ub2CEytj2q0/edit?usp=sharing"",""ฉะเชิงเทรา!R363"")+IMPORTRANGE(""https://docs.google.com/spreadsheets/d/11tr1B-Bhyr79v2bkwVh5h_fR-PStkgjlZtkrZpYurG0/"&amp;"edit?usp=sharing"",""ชลบุรี!R363"")+IMPORTRANGE(""https://docs.google.com/spreadsheets/d/1hh-FVnSX0vozXhGluamEcS54Dw9_zqW0N7qJUWgJ0Sw/edit?usp=sharing"",""ชัยนาท!R363"")+IMPORTRANGE(""https://docs.google.com/spreadsheets/d/1jkqa6GXxSacMcY1eN8AHjMNJ_7dDXMJ"&amp;"VRLDlaFSOdPM/edit?usp=sharing"",""ตราด!R363"")+IMPORTRANGE(""https://docs.google.com/spreadsheets/d/18hSgUJ3VwClqi_qtULmmW3cLr0oe3OKaSYoKzdpTsYQ/edit?usp=sharing"",""นครนายก!R363"")+IMPORTRANGE(""https://docs.google.com/spreadsheets/d/1YTZo6WM2dQ6Ix6FSdnL"&amp;"5P7uVnVKu40sxZu975tgG10E/edit?usp=sharing"",""นครปฐม!R363"")+IMPORTRANGE(""https://docs.google.com/spreadsheets/d/1OYoGg4WDg5RIzwGeB10padOxJF9E_Vljuvvct_M7RDo/edit?usp=sharing"",""ปทุมธานี!R363"")+IMPORTRANGE(""https://docs.google.com/spreadsheets/d/1GbCI"&amp;"E4D4wk9FUozzqk7SxfDMxDVBwVmI5zcaVUSzKAc/edit?usp=sharing"",""ประจวบคีรีขันธ์!R363"")+IMPORTRANGE(""https://docs.google.com/spreadsheets/d/1vVf6wykvW_lAyu7Yo9L4hUTqHqIeP_qcVuxCtosJEbg/edit?usp=sharing"",""ปราจีนบุรี!R363"")+IMPORTRANGE(""https://docs.googl"&amp;"e.com/spreadsheets/d/1BIDqLLg5jk3v59G8NlR8rk5xfQDKne0sAvZHSj7TI6I/edit?usp=sharing"",""พระนครศรีอยุธยา!R363"")+IMPORTRANGE(""https://docs.google.com/spreadsheets/d/1YXvxf8Yu6_rV4hTBrwMqAcAnv6DfhUxh5emyM3CJp_w/edit?usp=sharing"",""เพชรบุรี!R363"")+IMPORTRA"&amp;"NGE(""https://docs.google.com/spreadsheets/d/19KBlQQs7uwvsao6t2n-KvW3Ax8J8uRRfZPq1zPbXgKc/edit?usp=sharing"",""ระยอง!R363"")+IMPORTRANGE(""https://docs.google.com/spreadsheets/d/1jQ6P4QcrGM89YfqcC_PxOHGCMq5ezhucwJd8ci-NHng/edit?usp=sharing"",""ราชบุรี!R36"&amp;"3"")+IMPORTRANGE(""https://docs.google.com/spreadsheets/d/1lufeA2cfFqM-elVq2hznhDzC6Pr7wkJ9ZG_sYNGCMCU/edit?usp=sharing"",""ลพบุรี!R363"")+IMPORTRANGE(""https://docs.google.com/spreadsheets/d/10oOiF7loTyfsTkbd4MpaIm0HQ9SwB7IYHdIUvt-U1Uc/edit?usp=sharing"""&amp;",""สระแก้ว!R363"")+IMPORTRANGE(""https://docs.google.com/spreadsheets/d/1xmPlrr1QbdSIKvl1dWUl9K4PjAfSL9oeMr_37QVzcxc/edit?usp=sharing"",""สระบุรี!R363"")+IMPORTRANGE(""https://docs.google.com/spreadsheets/d/1j51vR6CYVGhABJpv6tkstgok82RLpXieLzW1yOY5rHw/edi"&amp;"t?usp=sharing"",""สิงห์บุรี!R363"")+IMPORTRANGE(""https://docs.google.com/spreadsheets/d/1H1EalTWKUSzO4Z1-1CwzoDUaVffgrThEBe2sl74kKG0/edit?usp=sharing"",""สุพรรณบุรี!R363"")+IMPORTRANGE(""https://docs.google.com/spreadsheets/d/1BmIruG_sIrJLYao_Pdr7zVArWsf"&amp;"oBt2692TMi6x_854/edit?usp=sharing"",""อ่างทอง!R363"")"),0)</f>
        <v>0</v>
      </c>
      <c r="S364" s="77">
        <f ca="1">IFERROR(__xludf.DUMMYFUNCTION("IMPORTRANGE(""https://docs.google.com/spreadsheets/d/13wPX838HrBrQMCywv1BsuMkt4PEKTChp52zj44s2izQ/edit?usp=sharing"",""กาญจนบุรี!S363"")+IMPORTRANGE(""https://docs.google.com/spreadsheets/d/1ddFKvqj1W1NEiWytbGlB1zMx_ykJDVtmfEQ-6-lIUBA/edit?usp=sharing"","&amp;"""จันทบุรี!S363"")+IMPORTRANGE(""https://docs.google.com/spreadsheets/d/1T1PQvRODqOBZk8BRht_U031fIS1beLA0Ub2CEytj2q0/edit?usp=sharing"",""ฉะเชิงเทรา!S363"")+IMPORTRANGE(""https://docs.google.com/spreadsheets/d/11tr1B-Bhyr79v2bkwVh5h_fR-PStkgjlZtkrZpYurG0/"&amp;"edit?usp=sharing"",""ชลบุรี!S363"")+IMPORTRANGE(""https://docs.google.com/spreadsheets/d/1hh-FVnSX0vozXhGluamEcS54Dw9_zqW0N7qJUWgJ0Sw/edit?usp=sharing"",""ชัยนาท!S363"")+IMPORTRANGE(""https://docs.google.com/spreadsheets/d/1jkqa6GXxSacMcY1eN8AHjMNJ_7dDXMJ"&amp;"VRLDlaFSOdPM/edit?usp=sharing"",""ตราด!S363"")+IMPORTRANGE(""https://docs.google.com/spreadsheets/d/18hSgUJ3VwClqi_qtULmmW3cLr0oe3OKaSYoKzdpTsYQ/edit?usp=sharing"",""นครนายก!S363"")+IMPORTRANGE(""https://docs.google.com/spreadsheets/d/1YTZo6WM2dQ6Ix6FSdnL"&amp;"5P7uVnVKu40sxZu975tgG10E/edit?usp=sharing"",""นครปฐม!S363"")+IMPORTRANGE(""https://docs.google.com/spreadsheets/d/1OYoGg4WDg5RIzwGeB10padOxJF9E_Vljuvvct_M7RDo/edit?usp=sharing"",""ปทุมธานี!S363"")+IMPORTRANGE(""https://docs.google.com/spreadsheets/d/1GbCI"&amp;"E4D4wk9FUozzqk7SxfDMxDVBwVmI5zcaVUSzKAc/edit?usp=sharing"",""ประจวบคีรีขันธ์!S363"")+IMPORTRANGE(""https://docs.google.com/spreadsheets/d/1vVf6wykvW_lAyu7Yo9L4hUTqHqIeP_qcVuxCtosJEbg/edit?usp=sharing"",""ปราจีนบุรี!S363"")+IMPORTRANGE(""https://docs.googl"&amp;"e.com/spreadsheets/d/1BIDqLLg5jk3v59G8NlR8rk5xfQDKne0sAvZHSj7TI6I/edit?usp=sharing"",""พระนครศรีอยุธยา!S363"")+IMPORTRANGE(""https://docs.google.com/spreadsheets/d/1YXvxf8Yu6_rV4hTBrwMqAcAnv6DfhUxh5emyM3CJp_w/edit?usp=sharing"",""เพชรบุรี!S363"")+IMPORTRA"&amp;"NGE(""https://docs.google.com/spreadsheets/d/19KBlQQs7uwvsao6t2n-KvW3Ax8J8uRRfZPq1zPbXgKc/edit?usp=sharing"",""ระยอง!S363"")+IMPORTRANGE(""https://docs.google.com/spreadsheets/d/1jQ6P4QcrGM89YfqcC_PxOHGCMq5ezhucwJd8ci-NHng/edit?usp=sharing"",""ราชบุรี!S36"&amp;"3"")+IMPORTRANGE(""https://docs.google.com/spreadsheets/d/1lufeA2cfFqM-elVq2hznhDzC6Pr7wkJ9ZG_sYNGCMCU/edit?usp=sharing"",""ลพบุรี!S363"")+IMPORTRANGE(""https://docs.google.com/spreadsheets/d/10oOiF7loTyfsTkbd4MpaIm0HQ9SwB7IYHdIUvt-U1Uc/edit?usp=sharing"""&amp;",""สระแก้ว!S363"")+IMPORTRANGE(""https://docs.google.com/spreadsheets/d/1xmPlrr1QbdSIKvl1dWUl9K4PjAfSL9oeMr_37QVzcxc/edit?usp=sharing"",""สระบุรี!S363"")+IMPORTRANGE(""https://docs.google.com/spreadsheets/d/1j51vR6CYVGhABJpv6tkstgok82RLpXieLzW1yOY5rHw/edi"&amp;"t?usp=sharing"",""สิงห์บุรี!S363"")+IMPORTRANGE(""https://docs.google.com/spreadsheets/d/1H1EalTWKUSzO4Z1-1CwzoDUaVffgrThEBe2sl74kKG0/edit?usp=sharing"",""สุพรรณบุรี!S363"")+IMPORTRANGE(""https://docs.google.com/spreadsheets/d/1BmIruG_sIrJLYao_Pdr7zVArWsf"&amp;"oBt2692TMi6x_854/edit?usp=sharing"",""อ่างทอง!S363"")"),0)</f>
        <v>0</v>
      </c>
      <c r="T364" s="133">
        <f t="shared" ca="1" si="262"/>
        <v>0</v>
      </c>
      <c r="U364" s="133">
        <f t="shared" ca="1" si="263"/>
        <v>0</v>
      </c>
    </row>
    <row r="365" spans="1:21" ht="18.75" x14ac:dyDescent="0.25">
      <c r="A365" s="209"/>
      <c r="B365" s="67"/>
      <c r="C365" s="67"/>
      <c r="D365" s="67"/>
      <c r="E365" s="75" t="s">
        <v>21</v>
      </c>
      <c r="F365" s="67"/>
      <c r="G365" s="69"/>
      <c r="H365" s="221" t="s">
        <v>14</v>
      </c>
      <c r="I365" s="219"/>
      <c r="J365" s="219"/>
      <c r="K365" s="220"/>
      <c r="L365" s="88">
        <f ca="1">IFERROR(__xludf.DUMMYFUNCTION("IMPORTRANGE(""https://docs.google.com/spreadsheets/d/13wPX838HrBrQMCywv1BsuMkt4PEKTChp52zj44s2izQ/edit?usp=sharing"",""กาญจนบุรี!L364"")+IMPORTRANGE(""https://docs.google.com/spreadsheets/d/1ddFKvqj1W1NEiWytbGlB1zMx_ykJDVtmfEQ-6-lIUBA/edit?usp=sharing"","&amp;"""จันทบุรี!L364"")+IMPORTRANGE(""https://docs.google.com/spreadsheets/d/1T1PQvRODqOBZk8BRht_U031fIS1beLA0Ub2CEytj2q0/edit?usp=sharing"",""ฉะเชิงเทรา!L364"")+IMPORTRANGE(""https://docs.google.com/spreadsheets/d/11tr1B-Bhyr79v2bkwVh5h_fR-PStkgjlZtkrZpYurG0/"&amp;"edit?usp=sharing"",""ชลบุรี!L364"")+IMPORTRANGE(""https://docs.google.com/spreadsheets/d/1hh-FVnSX0vozXhGluamEcS54Dw9_zqW0N7qJUWgJ0Sw/edit?usp=sharing"",""ชัยนาท!L364"")+IMPORTRANGE(""https://docs.google.com/spreadsheets/d/1jkqa6GXxSacMcY1eN8AHjMNJ_7dDXMJ"&amp;"VRLDlaFSOdPM/edit?usp=sharing"",""ตราด!L364"")+IMPORTRANGE(""https://docs.google.com/spreadsheets/d/18hSgUJ3VwClqi_qtULmmW3cLr0oe3OKaSYoKzdpTsYQ/edit?usp=sharing"",""นครนายก!L364"")+IMPORTRANGE(""https://docs.google.com/spreadsheets/d/1YTZo6WM2dQ6Ix6FSdnL"&amp;"5P7uVnVKu40sxZu975tgG10E/edit?usp=sharing"",""นครปฐม!L364"")+IMPORTRANGE(""https://docs.google.com/spreadsheets/d/1OYoGg4WDg5RIzwGeB10padOxJF9E_Vljuvvct_M7RDo/edit?usp=sharing"",""ปทุมธานี!L364"")+IMPORTRANGE(""https://docs.google.com/spreadsheets/d/1GbCI"&amp;"E4D4wk9FUozzqk7SxfDMxDVBwVmI5zcaVUSzKAc/edit?usp=sharing"",""ประจวบคีรีขันธ์!L364"")+IMPORTRANGE(""https://docs.google.com/spreadsheets/d/1vVf6wykvW_lAyu7Yo9L4hUTqHqIeP_qcVuxCtosJEbg/edit?usp=sharing"",""ปราจีนบุรี!L364"")+IMPORTRANGE(""https://docs.googl"&amp;"e.com/spreadsheets/d/1BIDqLLg5jk3v59G8NlR8rk5xfQDKne0sAvZHSj7TI6I/edit?usp=sharing"",""พระนครศรีอยุธยา!L364"")+IMPORTRANGE(""https://docs.google.com/spreadsheets/d/1YXvxf8Yu6_rV4hTBrwMqAcAnv6DfhUxh5emyM3CJp_w/edit?usp=sharing"",""เพชรบุรี!L364"")+IMPORTRA"&amp;"NGE(""https://docs.google.com/spreadsheets/d/19KBlQQs7uwvsao6t2n-KvW3Ax8J8uRRfZPq1zPbXgKc/edit?usp=sharing"",""ระยอง!L364"")+IMPORTRANGE(""https://docs.google.com/spreadsheets/d/1jQ6P4QcrGM89YfqcC_PxOHGCMq5ezhucwJd8ci-NHng/edit?usp=sharing"",""ราชบุรี!L36"&amp;"4"")+IMPORTRANGE(""https://docs.google.com/spreadsheets/d/1lufeA2cfFqM-elVq2hznhDzC6Pr7wkJ9ZG_sYNGCMCU/edit?usp=sharing"",""ลพบุรี!L364"")+IMPORTRANGE(""https://docs.google.com/spreadsheets/d/10oOiF7loTyfsTkbd4MpaIm0HQ9SwB7IYHdIUvt-U1Uc/edit?usp=sharing"""&amp;",""สระแก้ว!L364"")+IMPORTRANGE(""https://docs.google.com/spreadsheets/d/1xmPlrr1QbdSIKvl1dWUl9K4PjAfSL9oeMr_37QVzcxc/edit?usp=sharing"",""สระบุรี!L364"")+IMPORTRANGE(""https://docs.google.com/spreadsheets/d/1j51vR6CYVGhABJpv6tkstgok82RLpXieLzW1yOY5rHw/edi"&amp;"t?usp=sharing"",""สิงห์บุรี!L364"")+IMPORTRANGE(""https://docs.google.com/spreadsheets/d/1H1EalTWKUSzO4Z1-1CwzoDUaVffgrThEBe2sl74kKG0/edit?usp=sharing"",""สุพรรณบุรี!L364"")+IMPORTRANGE(""https://docs.google.com/spreadsheets/d/1BmIruG_sIrJLYao_Pdr7zVArWsf"&amp;"oBt2692TMi6x_854/edit?usp=sharing"",""อ่างทอง!L364"")"),0)</f>
        <v>0</v>
      </c>
      <c r="M365" s="88">
        <f ca="1">IFERROR(__xludf.DUMMYFUNCTION("IMPORTRANGE(""https://docs.google.com/spreadsheets/d/13wPX838HrBrQMCywv1BsuMkt4PEKTChp52zj44s2izQ/edit?usp=sharing"",""กาญจนบุรี!M364"")+IMPORTRANGE(""https://docs.google.com/spreadsheets/d/1ddFKvqj1W1NEiWytbGlB1zMx_ykJDVtmfEQ-6-lIUBA/edit?usp=sharing"","&amp;"""จันทบุรี!M364"")+IMPORTRANGE(""https://docs.google.com/spreadsheets/d/1T1PQvRODqOBZk8BRht_U031fIS1beLA0Ub2CEytj2q0/edit?usp=sharing"",""ฉะเชิงเทรา!M364"")+IMPORTRANGE(""https://docs.google.com/spreadsheets/d/11tr1B-Bhyr79v2bkwVh5h_fR-PStkgjlZtkrZpYurG0/"&amp;"edit?usp=sharing"",""ชลบุรี!M364"")+IMPORTRANGE(""https://docs.google.com/spreadsheets/d/1hh-FVnSX0vozXhGluamEcS54Dw9_zqW0N7qJUWgJ0Sw/edit?usp=sharing"",""ชัยนาท!M364"")+IMPORTRANGE(""https://docs.google.com/spreadsheets/d/1jkqa6GXxSacMcY1eN8AHjMNJ_7dDXMJ"&amp;"VRLDlaFSOdPM/edit?usp=sharing"",""ตราด!M364"")+IMPORTRANGE(""https://docs.google.com/spreadsheets/d/18hSgUJ3VwClqi_qtULmmW3cLr0oe3OKaSYoKzdpTsYQ/edit?usp=sharing"",""นครนายก!M364"")+IMPORTRANGE(""https://docs.google.com/spreadsheets/d/1YTZo6WM2dQ6Ix6FSdnL"&amp;"5P7uVnVKu40sxZu975tgG10E/edit?usp=sharing"",""นครปฐม!M364"")+IMPORTRANGE(""https://docs.google.com/spreadsheets/d/1OYoGg4WDg5RIzwGeB10padOxJF9E_Vljuvvct_M7RDo/edit?usp=sharing"",""ปทุมธานี!M364"")+IMPORTRANGE(""https://docs.google.com/spreadsheets/d/1GbCI"&amp;"E4D4wk9FUozzqk7SxfDMxDVBwVmI5zcaVUSzKAc/edit?usp=sharing"",""ประจวบคีรีขันธ์!M364"")+IMPORTRANGE(""https://docs.google.com/spreadsheets/d/1vVf6wykvW_lAyu7Yo9L4hUTqHqIeP_qcVuxCtosJEbg/edit?usp=sharing"",""ปราจีนบุรี!M364"")+IMPORTRANGE(""https://docs.googl"&amp;"e.com/spreadsheets/d/1BIDqLLg5jk3v59G8NlR8rk5xfQDKne0sAvZHSj7TI6I/edit?usp=sharing"",""พระนครศรีอยุธยา!M364"")+IMPORTRANGE(""https://docs.google.com/spreadsheets/d/1YXvxf8Yu6_rV4hTBrwMqAcAnv6DfhUxh5emyM3CJp_w/edit?usp=sharing"",""เพชรบุรี!M364"")+IMPORTRA"&amp;"NGE(""https://docs.google.com/spreadsheets/d/19KBlQQs7uwvsao6t2n-KvW3Ax8J8uRRfZPq1zPbXgKc/edit?usp=sharing"",""ระยอง!M364"")+IMPORTRANGE(""https://docs.google.com/spreadsheets/d/1jQ6P4QcrGM89YfqcC_PxOHGCMq5ezhucwJd8ci-NHng/edit?usp=sharing"",""ราชบุรี!M36"&amp;"4"")+IMPORTRANGE(""https://docs.google.com/spreadsheets/d/1lufeA2cfFqM-elVq2hznhDzC6Pr7wkJ9ZG_sYNGCMCU/edit?usp=sharing"",""ลพบุรี!M364"")+IMPORTRANGE(""https://docs.google.com/spreadsheets/d/10oOiF7loTyfsTkbd4MpaIm0HQ9SwB7IYHdIUvt-U1Uc/edit?usp=sharing"""&amp;",""สระแก้ว!M364"")+IMPORTRANGE(""https://docs.google.com/spreadsheets/d/1xmPlrr1QbdSIKvl1dWUl9K4PjAfSL9oeMr_37QVzcxc/edit?usp=sharing"",""สระบุรี!M364"")+IMPORTRANGE(""https://docs.google.com/spreadsheets/d/1j51vR6CYVGhABJpv6tkstgok82RLpXieLzW1yOY5rHw/edi"&amp;"t?usp=sharing"",""สิงห์บุรี!M364"")+IMPORTRANGE(""https://docs.google.com/spreadsheets/d/1H1EalTWKUSzO4Z1-1CwzoDUaVffgrThEBe2sl74kKG0/edit?usp=sharing"",""สุพรรณบุรี!M364"")+IMPORTRANGE(""https://docs.google.com/spreadsheets/d/1BmIruG_sIrJLYao_Pdr7zVArWsf"&amp;"oBt2692TMi6x_854/edit?usp=sharing"",""อ่างทอง!M364"")"),0)</f>
        <v>0</v>
      </c>
      <c r="N365" s="88">
        <f ca="1">IFERROR(__xludf.DUMMYFUNCTION("IMPORTRANGE(""https://docs.google.com/spreadsheets/d/13wPX838HrBrQMCywv1BsuMkt4PEKTChp52zj44s2izQ/edit?usp=sharing"",""กาญจนบุรี!N364"")+IMPORTRANGE(""https://docs.google.com/spreadsheets/d/1ddFKvqj1W1NEiWytbGlB1zMx_ykJDVtmfEQ-6-lIUBA/edit?usp=sharing"","&amp;"""จันทบุรี!N364"")+IMPORTRANGE(""https://docs.google.com/spreadsheets/d/1T1PQvRODqOBZk8BRht_U031fIS1beLA0Ub2CEytj2q0/edit?usp=sharing"",""ฉะเชิงเทรา!N364"")+IMPORTRANGE(""https://docs.google.com/spreadsheets/d/11tr1B-Bhyr79v2bkwVh5h_fR-PStkgjlZtkrZpYurG0/"&amp;"edit?usp=sharing"",""ชลบุรี!N364"")+IMPORTRANGE(""https://docs.google.com/spreadsheets/d/1hh-FVnSX0vozXhGluamEcS54Dw9_zqW0N7qJUWgJ0Sw/edit?usp=sharing"",""ชัยนาท!N364"")+IMPORTRANGE(""https://docs.google.com/spreadsheets/d/1jkqa6GXxSacMcY1eN8AHjMNJ_7dDXMJ"&amp;"VRLDlaFSOdPM/edit?usp=sharing"",""ตราด!N364"")+IMPORTRANGE(""https://docs.google.com/spreadsheets/d/18hSgUJ3VwClqi_qtULmmW3cLr0oe3OKaSYoKzdpTsYQ/edit?usp=sharing"",""นครนายก!N364"")+IMPORTRANGE(""https://docs.google.com/spreadsheets/d/1YTZo6WM2dQ6Ix6FSdnL"&amp;"5P7uVnVKu40sxZu975tgG10E/edit?usp=sharing"",""นครปฐม!N364"")+IMPORTRANGE(""https://docs.google.com/spreadsheets/d/1OYoGg4WDg5RIzwGeB10padOxJF9E_Vljuvvct_M7RDo/edit?usp=sharing"",""ปทุมธานี!N364"")+IMPORTRANGE(""https://docs.google.com/spreadsheets/d/1GbCI"&amp;"E4D4wk9FUozzqk7SxfDMxDVBwVmI5zcaVUSzKAc/edit?usp=sharing"",""ประจวบคีรีขันธ์!N364"")+IMPORTRANGE(""https://docs.google.com/spreadsheets/d/1vVf6wykvW_lAyu7Yo9L4hUTqHqIeP_qcVuxCtosJEbg/edit?usp=sharing"",""ปราจีนบุรี!N364"")+IMPORTRANGE(""https://docs.googl"&amp;"e.com/spreadsheets/d/1BIDqLLg5jk3v59G8NlR8rk5xfQDKne0sAvZHSj7TI6I/edit?usp=sharing"",""พระนครศรีอยุธยา!N364"")+IMPORTRANGE(""https://docs.google.com/spreadsheets/d/1YXvxf8Yu6_rV4hTBrwMqAcAnv6DfhUxh5emyM3CJp_w/edit?usp=sharing"",""เพชรบุรี!N364"")+IMPORTRA"&amp;"NGE(""https://docs.google.com/spreadsheets/d/19KBlQQs7uwvsao6t2n-KvW3Ax8J8uRRfZPq1zPbXgKc/edit?usp=sharing"",""ระยอง!N364"")+IMPORTRANGE(""https://docs.google.com/spreadsheets/d/1jQ6P4QcrGM89YfqcC_PxOHGCMq5ezhucwJd8ci-NHng/edit?usp=sharing"",""ราชบุรี!N36"&amp;"4"")+IMPORTRANGE(""https://docs.google.com/spreadsheets/d/1lufeA2cfFqM-elVq2hznhDzC6Pr7wkJ9ZG_sYNGCMCU/edit?usp=sharing"",""ลพบุรี!N364"")+IMPORTRANGE(""https://docs.google.com/spreadsheets/d/10oOiF7loTyfsTkbd4MpaIm0HQ9SwB7IYHdIUvt-U1Uc/edit?usp=sharing"""&amp;",""สระแก้ว!N364"")+IMPORTRANGE(""https://docs.google.com/spreadsheets/d/1xmPlrr1QbdSIKvl1dWUl9K4PjAfSL9oeMr_37QVzcxc/edit?usp=sharing"",""สระบุรี!N364"")+IMPORTRANGE(""https://docs.google.com/spreadsheets/d/1j51vR6CYVGhABJpv6tkstgok82RLpXieLzW1yOY5rHw/edi"&amp;"t?usp=sharing"",""สิงห์บุรี!N364"")+IMPORTRANGE(""https://docs.google.com/spreadsheets/d/1H1EalTWKUSzO4Z1-1CwzoDUaVffgrThEBe2sl74kKG0/edit?usp=sharing"",""สุพรรณบุรี!N364"")+IMPORTRANGE(""https://docs.google.com/spreadsheets/d/1BmIruG_sIrJLYao_Pdr7zVArWsf"&amp;"oBt2692TMi6x_854/edit?usp=sharing"",""อ่างทอง!N364"")"),0)</f>
        <v>0</v>
      </c>
      <c r="O365" s="88">
        <f t="shared" ca="1" si="259"/>
        <v>0</v>
      </c>
      <c r="P365" s="88">
        <f t="shared" ca="1" si="260"/>
        <v>0</v>
      </c>
      <c r="Q365" s="73">
        <f ca="1">IFERROR(__xludf.DUMMYFUNCTION("IMPORTRANGE(""https://docs.google.com/spreadsheets/d/13wPX838HrBrQMCywv1BsuMkt4PEKTChp52zj44s2izQ/edit?usp=sharing"",""กาญจนบุรี!Q364"")+IMPORTRANGE(""https://docs.google.com/spreadsheets/d/1ddFKvqj1W1NEiWytbGlB1zMx_ykJDVtmfEQ-6-lIUBA/edit?usp=sharing"","&amp;"""จันทบุรี!Q364"")+IMPORTRANGE(""https://docs.google.com/spreadsheets/d/1T1PQvRODqOBZk8BRht_U031fIS1beLA0Ub2CEytj2q0/edit?usp=sharing"",""ฉะเชิงเทรา!Q364"")+IMPORTRANGE(""https://docs.google.com/spreadsheets/d/11tr1B-Bhyr79v2bkwVh5h_fR-PStkgjlZtkrZpYurG0/"&amp;"edit?usp=sharing"",""ชลบุรี!Q364"")+IMPORTRANGE(""https://docs.google.com/spreadsheets/d/1hh-FVnSX0vozXhGluamEcS54Dw9_zqW0N7qJUWgJ0Sw/edit?usp=sharing"",""ชัยนาท!Q364"")+IMPORTRANGE(""https://docs.google.com/spreadsheets/d/1jkqa6GXxSacMcY1eN8AHjMNJ_7dDXMJ"&amp;"VRLDlaFSOdPM/edit?usp=sharing"",""ตราด!Q364"")+IMPORTRANGE(""https://docs.google.com/spreadsheets/d/18hSgUJ3VwClqi_qtULmmW3cLr0oe3OKaSYoKzdpTsYQ/edit?usp=sharing"",""นครนายก!Q364"")+IMPORTRANGE(""https://docs.google.com/spreadsheets/d/1YTZo6WM2dQ6Ix6FSdnL"&amp;"5P7uVnVKu40sxZu975tgG10E/edit?usp=sharing"",""นครปฐม!Q364"")+IMPORTRANGE(""https://docs.google.com/spreadsheets/d/1OYoGg4WDg5RIzwGeB10padOxJF9E_Vljuvvct_M7RDo/edit?usp=sharing"",""ปทุมธานี!Q364"")+IMPORTRANGE(""https://docs.google.com/spreadsheets/d/1GbCI"&amp;"E4D4wk9FUozzqk7SxfDMxDVBwVmI5zcaVUSzKAc/edit?usp=sharing"",""ประจวบคีรีขันธ์!Q364"")+IMPORTRANGE(""https://docs.google.com/spreadsheets/d/1vVf6wykvW_lAyu7Yo9L4hUTqHqIeP_qcVuxCtosJEbg/edit?usp=sharing"",""ปราจีนบุรี!Q364"")+IMPORTRANGE(""https://docs.googl"&amp;"e.com/spreadsheets/d/1BIDqLLg5jk3v59G8NlR8rk5xfQDKne0sAvZHSj7TI6I/edit?usp=sharing"",""พระนครศรีอยุธยา!Q364"")+IMPORTRANGE(""https://docs.google.com/spreadsheets/d/1YXvxf8Yu6_rV4hTBrwMqAcAnv6DfhUxh5emyM3CJp_w/edit?usp=sharing"",""เพชรบุรี!Q364"")+IMPORTRA"&amp;"NGE(""https://docs.google.com/spreadsheets/d/19KBlQQs7uwvsao6t2n-KvW3Ax8J8uRRfZPq1zPbXgKc/edit?usp=sharing"",""ระยอง!Q364"")+IMPORTRANGE(""https://docs.google.com/spreadsheets/d/1jQ6P4QcrGM89YfqcC_PxOHGCMq5ezhucwJd8ci-NHng/edit?usp=sharing"",""ราชบุรี!Q36"&amp;"4"")+IMPORTRANGE(""https://docs.google.com/spreadsheets/d/1lufeA2cfFqM-elVq2hznhDzC6Pr7wkJ9ZG_sYNGCMCU/edit?usp=sharing"",""ลพบุรี!Q364"")+IMPORTRANGE(""https://docs.google.com/spreadsheets/d/10oOiF7loTyfsTkbd4MpaIm0HQ9SwB7IYHdIUvt-U1Uc/edit?usp=sharing"""&amp;",""สระแก้ว!Q364"")+IMPORTRANGE(""https://docs.google.com/spreadsheets/d/1xmPlrr1QbdSIKvl1dWUl9K4PjAfSL9oeMr_37QVzcxc/edit?usp=sharing"",""สระบุรี!Q364"")+IMPORTRANGE(""https://docs.google.com/spreadsheets/d/1j51vR6CYVGhABJpv6tkstgok82RLpXieLzW1yOY5rHw/edi"&amp;"t?usp=sharing"",""สิงห์บุรี!Q364"")+IMPORTRANGE(""https://docs.google.com/spreadsheets/d/1H1EalTWKUSzO4Z1-1CwzoDUaVffgrThEBe2sl74kKG0/edit?usp=sharing"",""สุพรรณบุรี!Q364"")+IMPORTRANGE(""https://docs.google.com/spreadsheets/d/1BmIruG_sIrJLYao_Pdr7zVArWsf"&amp;"oBt2692TMi6x_854/edit?usp=sharing"",""อ่างทอง!Q364"")"),0)</f>
        <v>0</v>
      </c>
      <c r="R365" s="74">
        <f ca="1">IFERROR(__xludf.DUMMYFUNCTION("IMPORTRANGE(""https://docs.google.com/spreadsheets/d/13wPX838HrBrQMCywv1BsuMkt4PEKTChp52zj44s2izQ/edit?usp=sharing"",""กาญจนบุรี!R364"")+IMPORTRANGE(""https://docs.google.com/spreadsheets/d/1ddFKvqj1W1NEiWytbGlB1zMx_ykJDVtmfEQ-6-lIUBA/edit?usp=sharing"","&amp;"""จันทบุรี!R364"")+IMPORTRANGE(""https://docs.google.com/spreadsheets/d/1T1PQvRODqOBZk8BRht_U031fIS1beLA0Ub2CEytj2q0/edit?usp=sharing"",""ฉะเชิงเทรา!R364"")+IMPORTRANGE(""https://docs.google.com/spreadsheets/d/11tr1B-Bhyr79v2bkwVh5h_fR-PStkgjlZtkrZpYurG0/"&amp;"edit?usp=sharing"",""ชลบุรี!R364"")+IMPORTRANGE(""https://docs.google.com/spreadsheets/d/1hh-FVnSX0vozXhGluamEcS54Dw9_zqW0N7qJUWgJ0Sw/edit?usp=sharing"",""ชัยนาท!R364"")+IMPORTRANGE(""https://docs.google.com/spreadsheets/d/1jkqa6GXxSacMcY1eN8AHjMNJ_7dDXMJ"&amp;"VRLDlaFSOdPM/edit?usp=sharing"",""ตราด!R364"")+IMPORTRANGE(""https://docs.google.com/spreadsheets/d/18hSgUJ3VwClqi_qtULmmW3cLr0oe3OKaSYoKzdpTsYQ/edit?usp=sharing"",""นครนายก!R364"")+IMPORTRANGE(""https://docs.google.com/spreadsheets/d/1YTZo6WM2dQ6Ix6FSdnL"&amp;"5P7uVnVKu40sxZu975tgG10E/edit?usp=sharing"",""นครปฐม!R364"")+IMPORTRANGE(""https://docs.google.com/spreadsheets/d/1OYoGg4WDg5RIzwGeB10padOxJF9E_Vljuvvct_M7RDo/edit?usp=sharing"",""ปทุมธานี!R364"")+IMPORTRANGE(""https://docs.google.com/spreadsheets/d/1GbCI"&amp;"E4D4wk9FUozzqk7SxfDMxDVBwVmI5zcaVUSzKAc/edit?usp=sharing"",""ประจวบคีรีขันธ์!R364"")+IMPORTRANGE(""https://docs.google.com/spreadsheets/d/1vVf6wykvW_lAyu7Yo9L4hUTqHqIeP_qcVuxCtosJEbg/edit?usp=sharing"",""ปราจีนบุรี!R364"")+IMPORTRANGE(""https://docs.googl"&amp;"e.com/spreadsheets/d/1BIDqLLg5jk3v59G8NlR8rk5xfQDKne0sAvZHSj7TI6I/edit?usp=sharing"",""พระนครศรีอยุธยา!R364"")+IMPORTRANGE(""https://docs.google.com/spreadsheets/d/1YXvxf8Yu6_rV4hTBrwMqAcAnv6DfhUxh5emyM3CJp_w/edit?usp=sharing"",""เพชรบุรี!R364"")+IMPORTRA"&amp;"NGE(""https://docs.google.com/spreadsheets/d/19KBlQQs7uwvsao6t2n-KvW3Ax8J8uRRfZPq1zPbXgKc/edit?usp=sharing"",""ระยอง!R364"")+IMPORTRANGE(""https://docs.google.com/spreadsheets/d/1jQ6P4QcrGM89YfqcC_PxOHGCMq5ezhucwJd8ci-NHng/edit?usp=sharing"",""ราชบุรี!R36"&amp;"4"")+IMPORTRANGE(""https://docs.google.com/spreadsheets/d/1lufeA2cfFqM-elVq2hznhDzC6Pr7wkJ9ZG_sYNGCMCU/edit?usp=sharing"",""ลพบุรี!R364"")+IMPORTRANGE(""https://docs.google.com/spreadsheets/d/10oOiF7loTyfsTkbd4MpaIm0HQ9SwB7IYHdIUvt-U1Uc/edit?usp=sharing"""&amp;",""สระแก้ว!R364"")+IMPORTRANGE(""https://docs.google.com/spreadsheets/d/1xmPlrr1QbdSIKvl1dWUl9K4PjAfSL9oeMr_37QVzcxc/edit?usp=sharing"",""สระบุรี!R364"")+IMPORTRANGE(""https://docs.google.com/spreadsheets/d/1j51vR6CYVGhABJpv6tkstgok82RLpXieLzW1yOY5rHw/edi"&amp;"t?usp=sharing"",""สิงห์บุรี!R364"")+IMPORTRANGE(""https://docs.google.com/spreadsheets/d/1H1EalTWKUSzO4Z1-1CwzoDUaVffgrThEBe2sl74kKG0/edit?usp=sharing"",""สุพรรณบุรี!R364"")+IMPORTRANGE(""https://docs.google.com/spreadsheets/d/1BmIruG_sIrJLYao_Pdr7zVArWsf"&amp;"oBt2692TMi6x_854/edit?usp=sharing"",""อ่างทอง!R364"")"),0)</f>
        <v>0</v>
      </c>
      <c r="S365" s="74">
        <f ca="1">IFERROR(__xludf.DUMMYFUNCTION("IMPORTRANGE(""https://docs.google.com/spreadsheets/d/13wPX838HrBrQMCywv1BsuMkt4PEKTChp52zj44s2izQ/edit?usp=sharing"",""กาญจนบุรี!S364"")+IMPORTRANGE(""https://docs.google.com/spreadsheets/d/1ddFKvqj1W1NEiWytbGlB1zMx_ykJDVtmfEQ-6-lIUBA/edit?usp=sharing"","&amp;"""จันทบุรี!S364"")+IMPORTRANGE(""https://docs.google.com/spreadsheets/d/1T1PQvRODqOBZk8BRht_U031fIS1beLA0Ub2CEytj2q0/edit?usp=sharing"",""ฉะเชิงเทรา!S364"")+IMPORTRANGE(""https://docs.google.com/spreadsheets/d/11tr1B-Bhyr79v2bkwVh5h_fR-PStkgjlZtkrZpYurG0/"&amp;"edit?usp=sharing"",""ชลบุรี!S364"")+IMPORTRANGE(""https://docs.google.com/spreadsheets/d/1hh-FVnSX0vozXhGluamEcS54Dw9_zqW0N7qJUWgJ0Sw/edit?usp=sharing"",""ชัยนาท!S364"")+IMPORTRANGE(""https://docs.google.com/spreadsheets/d/1jkqa6GXxSacMcY1eN8AHjMNJ_7dDXMJ"&amp;"VRLDlaFSOdPM/edit?usp=sharing"",""ตราด!S364"")+IMPORTRANGE(""https://docs.google.com/spreadsheets/d/18hSgUJ3VwClqi_qtULmmW3cLr0oe3OKaSYoKzdpTsYQ/edit?usp=sharing"",""นครนายก!S364"")+IMPORTRANGE(""https://docs.google.com/spreadsheets/d/1YTZo6WM2dQ6Ix6FSdnL"&amp;"5P7uVnVKu40sxZu975tgG10E/edit?usp=sharing"",""นครปฐม!S364"")+IMPORTRANGE(""https://docs.google.com/spreadsheets/d/1OYoGg4WDg5RIzwGeB10padOxJF9E_Vljuvvct_M7RDo/edit?usp=sharing"",""ปทุมธานี!S364"")+IMPORTRANGE(""https://docs.google.com/spreadsheets/d/1GbCI"&amp;"E4D4wk9FUozzqk7SxfDMxDVBwVmI5zcaVUSzKAc/edit?usp=sharing"",""ประจวบคีรีขันธ์!S364"")+IMPORTRANGE(""https://docs.google.com/spreadsheets/d/1vVf6wykvW_lAyu7Yo9L4hUTqHqIeP_qcVuxCtosJEbg/edit?usp=sharing"",""ปราจีนบุรี!S364"")+IMPORTRANGE(""https://docs.googl"&amp;"e.com/spreadsheets/d/1BIDqLLg5jk3v59G8NlR8rk5xfQDKne0sAvZHSj7TI6I/edit?usp=sharing"",""พระนครศรีอยุธยา!S364"")+IMPORTRANGE(""https://docs.google.com/spreadsheets/d/1YXvxf8Yu6_rV4hTBrwMqAcAnv6DfhUxh5emyM3CJp_w/edit?usp=sharing"",""เพชรบุรี!S364"")+IMPORTRA"&amp;"NGE(""https://docs.google.com/spreadsheets/d/19KBlQQs7uwvsao6t2n-KvW3Ax8J8uRRfZPq1zPbXgKc/edit?usp=sharing"",""ระยอง!S364"")+IMPORTRANGE(""https://docs.google.com/spreadsheets/d/1jQ6P4QcrGM89YfqcC_PxOHGCMq5ezhucwJd8ci-NHng/edit?usp=sharing"",""ราชบุรี!S36"&amp;"4"")+IMPORTRANGE(""https://docs.google.com/spreadsheets/d/1lufeA2cfFqM-elVq2hznhDzC6Pr7wkJ9ZG_sYNGCMCU/edit?usp=sharing"",""ลพบุรี!S364"")+IMPORTRANGE(""https://docs.google.com/spreadsheets/d/10oOiF7loTyfsTkbd4MpaIm0HQ9SwB7IYHdIUvt-U1Uc/edit?usp=sharing"""&amp;",""สระแก้ว!S364"")+IMPORTRANGE(""https://docs.google.com/spreadsheets/d/1xmPlrr1QbdSIKvl1dWUl9K4PjAfSL9oeMr_37QVzcxc/edit?usp=sharing"",""สระบุรี!S364"")+IMPORTRANGE(""https://docs.google.com/spreadsheets/d/1j51vR6CYVGhABJpv6tkstgok82RLpXieLzW1yOY5rHw/edi"&amp;"t?usp=sharing"",""สิงห์บุรี!S364"")+IMPORTRANGE(""https://docs.google.com/spreadsheets/d/1H1EalTWKUSzO4Z1-1CwzoDUaVffgrThEBe2sl74kKG0/edit?usp=sharing"",""สุพรรณบุรี!S364"")+IMPORTRANGE(""https://docs.google.com/spreadsheets/d/1BmIruG_sIrJLYao_Pdr7zVArWsf"&amp;"oBt2692TMi6x_854/edit?usp=sharing"",""อ่างทอง!S364"")"),0)</f>
        <v>0</v>
      </c>
      <c r="T365" s="132">
        <f t="shared" ca="1" si="262"/>
        <v>0</v>
      </c>
      <c r="U365" s="132">
        <f t="shared" ca="1" si="263"/>
        <v>0</v>
      </c>
    </row>
    <row r="366" spans="1:21" ht="19.5" x14ac:dyDescent="0.3">
      <c r="A366" s="382"/>
      <c r="B366" s="383"/>
      <c r="C366" s="385"/>
      <c r="D366" s="562" t="s">
        <v>149</v>
      </c>
      <c r="E366" s="385"/>
      <c r="F366" s="385"/>
      <c r="G366" s="386"/>
      <c r="H366" s="563" t="s">
        <v>35</v>
      </c>
      <c r="I366" s="564">
        <f t="shared" ref="I366:J366" ca="1" si="272">I372</f>
        <v>1810</v>
      </c>
      <c r="J366" s="565">
        <f t="shared" ca="1" si="272"/>
        <v>821</v>
      </c>
      <c r="K366" s="566">
        <f ca="1">IF(I366&gt;0,J366*100/I366,0)</f>
        <v>45.35911602209945</v>
      </c>
      <c r="L366" s="390"/>
      <c r="M366" s="390"/>
      <c r="N366" s="390"/>
      <c r="O366" s="390"/>
      <c r="P366" s="390"/>
      <c r="Q366" s="391"/>
      <c r="R366" s="392"/>
      <c r="S366" s="392"/>
      <c r="T366" s="392"/>
      <c r="U366" s="392"/>
    </row>
    <row r="367" spans="1:21" ht="19.5" x14ac:dyDescent="0.3">
      <c r="A367" s="222"/>
      <c r="B367" s="223"/>
      <c r="C367" s="210" t="s">
        <v>18</v>
      </c>
      <c r="D367" s="224" t="s">
        <v>38</v>
      </c>
      <c r="E367" s="225"/>
      <c r="F367" s="225"/>
      <c r="G367" s="226"/>
      <c r="H367" s="227"/>
      <c r="I367" s="71"/>
      <c r="J367" s="71"/>
      <c r="K367" s="72"/>
      <c r="L367" s="220"/>
      <c r="M367" s="220"/>
      <c r="N367" s="220"/>
      <c r="O367" s="220"/>
      <c r="P367" s="220"/>
      <c r="Q367" s="228"/>
      <c r="R367" s="229"/>
      <c r="S367" s="229"/>
      <c r="T367" s="229"/>
      <c r="U367" s="229"/>
    </row>
    <row r="368" spans="1:21" ht="18.75" x14ac:dyDescent="0.25">
      <c r="A368" s="222"/>
      <c r="B368" s="231"/>
      <c r="C368" s="223"/>
      <c r="D368" s="231"/>
      <c r="E368" s="230" t="s">
        <v>150</v>
      </c>
      <c r="F368" s="231"/>
      <c r="G368" s="227"/>
      <c r="H368" s="242" t="s">
        <v>35</v>
      </c>
      <c r="I368" s="321">
        <v>0</v>
      </c>
      <c r="J368" s="239">
        <f ca="1">IFERROR(__xludf.DUMMYFUNCTION("IMPORTRANGE(""https://docs.google.com/spreadsheets/d/13wPX838HrBrQMCywv1BsuMkt4PEKTChp52zj44s2izQ/edit?usp=sharing"",""กาญจนบุรี!J367"")+IMPORTRANGE(""https://docs.google.com/spreadsheets/d/1ddFKvqj1W1NEiWytbGlB1zMx_ykJDVtmfEQ-6-lIUBA/edit?usp=sharing"","&amp;"""จันทบุรี!J367"")+IMPORTRANGE(""https://docs.google.com/spreadsheets/d/1T1PQvRODqOBZk8BRht_U031fIS1beLA0Ub2CEytj2q0/edit?usp=sharing"",""ฉะเชิงเทรา!J367"")+IMPORTRANGE(""https://docs.google.com/spreadsheets/d/11tr1B-Bhyr79v2bkwVh5h_fR-PStkgjlZtkrZpYurG0/"&amp;"edit?usp=sharing"",""ชลบุรี!J367"")+IMPORTRANGE(""https://docs.google.com/spreadsheets/d/1hh-FVnSX0vozXhGluamEcS54Dw9_zqW0N7qJUWgJ0Sw/edit?usp=sharing"",""ชัยนาท!J367"")+IMPORTRANGE(""https://docs.google.com/spreadsheets/d/1jkqa6GXxSacMcY1eN8AHjMNJ_7dDXMJ"&amp;"VRLDlaFSOdPM/edit?usp=sharing"",""ตราด!J367"")+IMPORTRANGE(""https://docs.google.com/spreadsheets/d/18hSgUJ3VwClqi_qtULmmW3cLr0oe3OKaSYoKzdpTsYQ/edit?usp=sharing"",""นครนายก!J367"")+IMPORTRANGE(""https://docs.google.com/spreadsheets/d/1YTZo6WM2dQ6Ix6FSdnL"&amp;"5P7uVnVKu40sxZu975tgG10E/edit?usp=sharing"",""นครปฐม!J367"")+IMPORTRANGE(""https://docs.google.com/spreadsheets/d/1OYoGg4WDg5RIzwGeB10padOxJF9E_Vljuvvct_M7RDo/edit?usp=sharing"",""ปทุมธานี!J367"")+IMPORTRANGE(""https://docs.google.com/spreadsheets/d/1GbCI"&amp;"E4D4wk9FUozzqk7SxfDMxDVBwVmI5zcaVUSzKAc/edit?usp=sharing"",""ประจวบคีรีขันธ์!J367"")+IMPORTRANGE(""https://docs.google.com/spreadsheets/d/1vVf6wykvW_lAyu7Yo9L4hUTqHqIeP_qcVuxCtosJEbg/edit?usp=sharing"",""ปราจีนบุรี!J367"")+IMPORTRANGE(""https://docs.googl"&amp;"e.com/spreadsheets/d/1BIDqLLg5jk3v59G8NlR8rk5xfQDKne0sAvZHSj7TI6I/edit?usp=sharing"",""พระนครศรีอยุธยา!J367"")+IMPORTRANGE(""https://docs.google.com/spreadsheets/d/1YXvxf8Yu6_rV4hTBrwMqAcAnv6DfhUxh5emyM3CJp_w/edit?usp=sharing"",""เพชรบุรี!J367"")+IMPORTRA"&amp;"NGE(""https://docs.google.com/spreadsheets/d/19KBlQQs7uwvsao6t2n-KvW3Ax8J8uRRfZPq1zPbXgKc/edit?usp=sharing"",""ระยอง!J367"")+IMPORTRANGE(""https://docs.google.com/spreadsheets/d/1jQ6P4QcrGM89YfqcC_PxOHGCMq5ezhucwJd8ci-NHng/edit?usp=sharing"",""ราชบุรี!J36"&amp;"7"")+IMPORTRANGE(""https://docs.google.com/spreadsheets/d/1lufeA2cfFqM-elVq2hznhDzC6Pr7wkJ9ZG_sYNGCMCU/edit?usp=sharing"",""ลพบุรี!J367"")+IMPORTRANGE(""https://docs.google.com/spreadsheets/d/10oOiF7loTyfsTkbd4MpaIm0HQ9SwB7IYHdIUvt-U1Uc/edit?usp=sharing"""&amp;",""สระแก้ว!J367"")+IMPORTRANGE(""https://docs.google.com/spreadsheets/d/1xmPlrr1QbdSIKvl1dWUl9K4PjAfSL9oeMr_37QVzcxc/edit?usp=sharing"",""สระบุรี!J367"")+IMPORTRANGE(""https://docs.google.com/spreadsheets/d/1j51vR6CYVGhABJpv6tkstgok82RLpXieLzW1yOY5rHw/edi"&amp;"t?usp=sharing"",""สิงห์บุรี!J367"")+IMPORTRANGE(""https://docs.google.com/spreadsheets/d/1H1EalTWKUSzO4Z1-1CwzoDUaVffgrThEBe2sl74kKG0/edit?usp=sharing"",""สุพรรณบุรี!J367"")+IMPORTRANGE(""https://docs.google.com/spreadsheets/d/1BmIruG_sIrJLYao_Pdr7zVArWsf"&amp;"oBt2692TMi6x_854/edit?usp=sharing"",""อ่างทอง!J367"")"),897)</f>
        <v>897</v>
      </c>
      <c r="K368" s="88">
        <f t="shared" ref="K368:K373" si="273">IF(I368&gt;0,J368*100/I368,0)</f>
        <v>0</v>
      </c>
      <c r="L368" s="220"/>
      <c r="M368" s="220"/>
      <c r="N368" s="220"/>
      <c r="O368" s="220"/>
      <c r="P368" s="220"/>
      <c r="Q368" s="228"/>
      <c r="R368" s="229"/>
      <c r="S368" s="229"/>
      <c r="T368" s="229"/>
      <c r="U368" s="229"/>
    </row>
    <row r="369" spans="1:21" ht="18.75" x14ac:dyDescent="0.25">
      <c r="A369" s="222"/>
      <c r="B369" s="231"/>
      <c r="C369" s="223"/>
      <c r="D369" s="231"/>
      <c r="E369" s="231"/>
      <c r="F369" s="231"/>
      <c r="G369" s="227"/>
      <c r="H369" s="242" t="s">
        <v>46</v>
      </c>
      <c r="I369" s="239">
        <f ca="1">IFERROR(__xludf.DUMMYFUNCTION("IMPORTRANGE(""https://docs.google.com/spreadsheets/d/13wPX838HrBrQMCywv1BsuMkt4PEKTChp52zj44s2izQ/edit?usp=sharing"",""กาญจนบุรี!I368"")+IMPORTRANGE(""https://docs.google.com/spreadsheets/d/1ddFKvqj1W1NEiWytbGlB1zMx_ykJDVtmfEQ-6-lIUBA/edit?usp=sharing"","&amp;"""จันทบุรี!I368"")+IMPORTRANGE(""https://docs.google.com/spreadsheets/d/1T1PQvRODqOBZk8BRht_U031fIS1beLA0Ub2CEytj2q0/edit?usp=sharing"",""ฉะเชิงเทรา!I368"")+IMPORTRANGE(""https://docs.google.com/spreadsheets/d/11tr1B-Bhyr79v2bkwVh5h_fR-PStkgjlZtkrZpYurG0/"&amp;"edit?usp=sharing"",""ชลบุรี!I368"")+IMPORTRANGE(""https://docs.google.com/spreadsheets/d/1hh-FVnSX0vozXhGluamEcS54Dw9_zqW0N7qJUWgJ0Sw/edit?usp=sharing"",""ชัยนาท!I368"")+IMPORTRANGE(""https://docs.google.com/spreadsheets/d/1jkqa6GXxSacMcY1eN8AHjMNJ_7dDXMJ"&amp;"VRLDlaFSOdPM/edit?usp=sharing"",""ตราด!I368"")+IMPORTRANGE(""https://docs.google.com/spreadsheets/d/18hSgUJ3VwClqi_qtULmmW3cLr0oe3OKaSYoKzdpTsYQ/edit?usp=sharing"",""นครนายก!I368"")+IMPORTRANGE(""https://docs.google.com/spreadsheets/d/1YTZo6WM2dQ6Ix6FSdnL"&amp;"5P7uVnVKu40sxZu975tgG10E/edit?usp=sharing"",""นครปฐม!I368"")+IMPORTRANGE(""https://docs.google.com/spreadsheets/d/1OYoGg4WDg5RIzwGeB10padOxJF9E_Vljuvvct_M7RDo/edit?usp=sharing"",""ปทุมธานี!I368"")+IMPORTRANGE(""https://docs.google.com/spreadsheets/d/1GbCI"&amp;"E4D4wk9FUozzqk7SxfDMxDVBwVmI5zcaVUSzKAc/edit?usp=sharing"",""ประจวบคีรีขันธ์!I368"")+IMPORTRANGE(""https://docs.google.com/spreadsheets/d/1vVf6wykvW_lAyu7Yo9L4hUTqHqIeP_qcVuxCtosJEbg/edit?usp=sharing"",""ปราจีนบุรี!I368"")+IMPORTRANGE(""https://docs.googl"&amp;"e.com/spreadsheets/d/1BIDqLLg5jk3v59G8NlR8rk5xfQDKne0sAvZHSj7TI6I/edit?usp=sharing"",""พระนครศรีอยุธยา!I368"")+IMPORTRANGE(""https://docs.google.com/spreadsheets/d/1YXvxf8Yu6_rV4hTBrwMqAcAnv6DfhUxh5emyM3CJp_w/edit?usp=sharing"",""เพชรบุรี!I368"")+IMPORTRA"&amp;"NGE(""https://docs.google.com/spreadsheets/d/19KBlQQs7uwvsao6t2n-KvW3Ax8J8uRRfZPq1zPbXgKc/edit?usp=sharing"",""ระยอง!I368"")+IMPORTRANGE(""https://docs.google.com/spreadsheets/d/1jQ6P4QcrGM89YfqcC_PxOHGCMq5ezhucwJd8ci-NHng/edit?usp=sharing"",""ราชบุรี!I36"&amp;"8"")+IMPORTRANGE(""https://docs.google.com/spreadsheets/d/1lufeA2cfFqM-elVq2hznhDzC6Pr7wkJ9ZG_sYNGCMCU/edit?usp=sharing"",""ลพบุรี!I368"")+IMPORTRANGE(""https://docs.google.com/spreadsheets/d/10oOiF7loTyfsTkbd4MpaIm0HQ9SwB7IYHdIUvt-U1Uc/edit?usp=sharing"""&amp;",""สระแก้ว!I368"")+IMPORTRANGE(""https://docs.google.com/spreadsheets/d/1xmPlrr1QbdSIKvl1dWUl9K4PjAfSL9oeMr_37QVzcxc/edit?usp=sharing"",""สระบุรี!I368"")+IMPORTRANGE(""https://docs.google.com/spreadsheets/d/1j51vR6CYVGhABJpv6tkstgok82RLpXieLzW1yOY5rHw/edi"&amp;"t?usp=sharing"",""สิงห์บุรี!I368"")+IMPORTRANGE(""https://docs.google.com/spreadsheets/d/1H1EalTWKUSzO4Z1-1CwzoDUaVffgrThEBe2sl74kKG0/edit?usp=sharing"",""สุพรรณบุรี!I368"")+IMPORTRANGE(""https://docs.google.com/spreadsheets/d/1BmIruG_sIrJLYao_Pdr7zVArWsf"&amp;"oBt2692TMi6x_854/edit?usp=sharing"",""อ่างทอง!I368"")"),17325)</f>
        <v>17325</v>
      </c>
      <c r="J369" s="239">
        <f ca="1">IFERROR(__xludf.DUMMYFUNCTION("IMPORTRANGE(""https://docs.google.com/spreadsheets/d/13wPX838HrBrQMCywv1BsuMkt4PEKTChp52zj44s2izQ/edit?usp=sharing"",""กาญจนบุรี!J368"")+IMPORTRANGE(""https://docs.google.com/spreadsheets/d/1ddFKvqj1W1NEiWytbGlB1zMx_ykJDVtmfEQ-6-lIUBA/edit?usp=sharing"","&amp;"""จันทบุรี!J368"")+IMPORTRANGE(""https://docs.google.com/spreadsheets/d/1T1PQvRODqOBZk8BRht_U031fIS1beLA0Ub2CEytj2q0/edit?usp=sharing"",""ฉะเชิงเทรา!J368"")+IMPORTRANGE(""https://docs.google.com/spreadsheets/d/11tr1B-Bhyr79v2bkwVh5h_fR-PStkgjlZtkrZpYurG0/"&amp;"edit?usp=sharing"",""ชลบุรี!J368"")+IMPORTRANGE(""https://docs.google.com/spreadsheets/d/1hh-FVnSX0vozXhGluamEcS54Dw9_zqW0N7qJUWgJ0Sw/edit?usp=sharing"",""ชัยนาท!J368"")+IMPORTRANGE(""https://docs.google.com/spreadsheets/d/1jkqa6GXxSacMcY1eN8AHjMNJ_7dDXMJ"&amp;"VRLDlaFSOdPM/edit?usp=sharing"",""ตราด!J368"")+IMPORTRANGE(""https://docs.google.com/spreadsheets/d/18hSgUJ3VwClqi_qtULmmW3cLr0oe3OKaSYoKzdpTsYQ/edit?usp=sharing"",""นครนายก!J368"")+IMPORTRANGE(""https://docs.google.com/spreadsheets/d/1YTZo6WM2dQ6Ix6FSdnL"&amp;"5P7uVnVKu40sxZu975tgG10E/edit?usp=sharing"",""นครปฐม!J368"")+IMPORTRANGE(""https://docs.google.com/spreadsheets/d/1OYoGg4WDg5RIzwGeB10padOxJF9E_Vljuvvct_M7RDo/edit?usp=sharing"",""ปทุมธานี!J368"")+IMPORTRANGE(""https://docs.google.com/spreadsheets/d/1GbCI"&amp;"E4D4wk9FUozzqk7SxfDMxDVBwVmI5zcaVUSzKAc/edit?usp=sharing"",""ประจวบคีรีขันธ์!J368"")+IMPORTRANGE(""https://docs.google.com/spreadsheets/d/1vVf6wykvW_lAyu7Yo9L4hUTqHqIeP_qcVuxCtosJEbg/edit?usp=sharing"",""ปราจีนบุรี!J368"")+IMPORTRANGE(""https://docs.googl"&amp;"e.com/spreadsheets/d/1BIDqLLg5jk3v59G8NlR8rk5xfQDKne0sAvZHSj7TI6I/edit?usp=sharing"",""พระนครศรีอยุธยา!J368"")+IMPORTRANGE(""https://docs.google.com/spreadsheets/d/1YXvxf8Yu6_rV4hTBrwMqAcAnv6DfhUxh5emyM3CJp_w/edit?usp=sharing"",""เพชรบุรี!J368"")+IMPORTRA"&amp;"NGE(""https://docs.google.com/spreadsheets/d/19KBlQQs7uwvsao6t2n-KvW3Ax8J8uRRfZPq1zPbXgKc/edit?usp=sharing"",""ระยอง!J368"")+IMPORTRANGE(""https://docs.google.com/spreadsheets/d/1jQ6P4QcrGM89YfqcC_PxOHGCMq5ezhucwJd8ci-NHng/edit?usp=sharing"",""ราชบุรี!J36"&amp;"8"")+IMPORTRANGE(""https://docs.google.com/spreadsheets/d/1lufeA2cfFqM-elVq2hznhDzC6Pr7wkJ9ZG_sYNGCMCU/edit?usp=sharing"",""ลพบุรี!J368"")+IMPORTRANGE(""https://docs.google.com/spreadsheets/d/10oOiF7loTyfsTkbd4MpaIm0HQ9SwB7IYHdIUvt-U1Uc/edit?usp=sharing"""&amp;",""สระแก้ว!J368"")+IMPORTRANGE(""https://docs.google.com/spreadsheets/d/1xmPlrr1QbdSIKvl1dWUl9K4PjAfSL9oeMr_37QVzcxc/edit?usp=sharing"",""สระบุรี!J368"")+IMPORTRANGE(""https://docs.google.com/spreadsheets/d/1j51vR6CYVGhABJpv6tkstgok82RLpXieLzW1yOY5rHw/edi"&amp;"t?usp=sharing"",""สิงห์บุรี!J368"")+IMPORTRANGE(""https://docs.google.com/spreadsheets/d/1H1EalTWKUSzO4Z1-1CwzoDUaVffgrThEBe2sl74kKG0/edit?usp=sharing"",""สุพรรณบุรี!J368"")+IMPORTRANGE(""https://docs.google.com/spreadsheets/d/1BmIruG_sIrJLYao_Pdr7zVArWsf"&amp;"oBt2692TMi6x_854/edit?usp=sharing"",""อ่างทอง!J368"")"),10742.64)</f>
        <v>10742.64</v>
      </c>
      <c r="K369" s="88">
        <f t="shared" ca="1" si="273"/>
        <v>62.006580086580087</v>
      </c>
      <c r="L369" s="220"/>
      <c r="M369" s="220"/>
      <c r="N369" s="220"/>
      <c r="O369" s="220"/>
      <c r="P369" s="220"/>
      <c r="Q369" s="228"/>
      <c r="R369" s="229"/>
      <c r="S369" s="229"/>
      <c r="T369" s="229"/>
      <c r="U369" s="229"/>
    </row>
    <row r="370" spans="1:21" ht="18.75" x14ac:dyDescent="0.25">
      <c r="A370" s="222"/>
      <c r="B370" s="231"/>
      <c r="C370" s="223"/>
      <c r="D370" s="231"/>
      <c r="E370" s="230" t="s">
        <v>151</v>
      </c>
      <c r="F370" s="231"/>
      <c r="G370" s="227"/>
      <c r="H370" s="237" t="s">
        <v>35</v>
      </c>
      <c r="I370" s="239">
        <f ca="1">IFERROR(__xludf.DUMMYFUNCTION("IMPORTRANGE(""https://docs.google.com/spreadsheets/d/13wPX838HrBrQMCywv1BsuMkt4PEKTChp52zj44s2izQ/edit?usp=sharing"",""กาญจนบุรี!I369"")+IMPORTRANGE(""https://docs.google.com/spreadsheets/d/1ddFKvqj1W1NEiWytbGlB1zMx_ykJDVtmfEQ-6-lIUBA/edit?usp=sharing"","&amp;"""จันทบุรี!I369"")+IMPORTRANGE(""https://docs.google.com/spreadsheets/d/1T1PQvRODqOBZk8BRht_U031fIS1beLA0Ub2CEytj2q0/edit?usp=sharing"",""ฉะเชิงเทรา!I369"")+IMPORTRANGE(""https://docs.google.com/spreadsheets/d/11tr1B-Bhyr79v2bkwVh5h_fR-PStkgjlZtkrZpYurG0/"&amp;"edit?usp=sharing"",""ชลบุรี!I369"")+IMPORTRANGE(""https://docs.google.com/spreadsheets/d/1hh-FVnSX0vozXhGluamEcS54Dw9_zqW0N7qJUWgJ0Sw/edit?usp=sharing"",""ชัยนาท!I369"")+IMPORTRANGE(""https://docs.google.com/spreadsheets/d/1jkqa6GXxSacMcY1eN8AHjMNJ_7dDXMJ"&amp;"VRLDlaFSOdPM/edit?usp=sharing"",""ตราด!I369"")+IMPORTRANGE(""https://docs.google.com/spreadsheets/d/18hSgUJ3VwClqi_qtULmmW3cLr0oe3OKaSYoKzdpTsYQ/edit?usp=sharing"",""นครนายก!I369"")+IMPORTRANGE(""https://docs.google.com/spreadsheets/d/1YTZo6WM2dQ6Ix6FSdnL"&amp;"5P7uVnVKu40sxZu975tgG10E/edit?usp=sharing"",""นครปฐม!I369"")+IMPORTRANGE(""https://docs.google.com/spreadsheets/d/1OYoGg4WDg5RIzwGeB10padOxJF9E_Vljuvvct_M7RDo/edit?usp=sharing"",""ปทุมธานี!I369"")+IMPORTRANGE(""https://docs.google.com/spreadsheets/d/1GbCI"&amp;"E4D4wk9FUozzqk7SxfDMxDVBwVmI5zcaVUSzKAc/edit?usp=sharing"",""ประจวบคีรีขันธ์!I369"")+IMPORTRANGE(""https://docs.google.com/spreadsheets/d/1vVf6wykvW_lAyu7Yo9L4hUTqHqIeP_qcVuxCtosJEbg/edit?usp=sharing"",""ปราจีนบุรี!I369"")+IMPORTRANGE(""https://docs.googl"&amp;"e.com/spreadsheets/d/1BIDqLLg5jk3v59G8NlR8rk5xfQDKne0sAvZHSj7TI6I/edit?usp=sharing"",""พระนครศรีอยุธยา!I369"")+IMPORTRANGE(""https://docs.google.com/spreadsheets/d/1YXvxf8Yu6_rV4hTBrwMqAcAnv6DfhUxh5emyM3CJp_w/edit?usp=sharing"",""เพชรบุรี!I369"")+IMPORTRA"&amp;"NGE(""https://docs.google.com/spreadsheets/d/19KBlQQs7uwvsao6t2n-KvW3Ax8J8uRRfZPq1zPbXgKc/edit?usp=sharing"",""ระยอง!I369"")+IMPORTRANGE(""https://docs.google.com/spreadsheets/d/1jQ6P4QcrGM89YfqcC_PxOHGCMq5ezhucwJd8ci-NHng/edit?usp=sharing"",""ราชบุรี!I36"&amp;"9"")+IMPORTRANGE(""https://docs.google.com/spreadsheets/d/1lufeA2cfFqM-elVq2hznhDzC6Pr7wkJ9ZG_sYNGCMCU/edit?usp=sharing"",""ลพบุรี!I369"")+IMPORTRANGE(""https://docs.google.com/spreadsheets/d/10oOiF7loTyfsTkbd4MpaIm0HQ9SwB7IYHdIUvt-U1Uc/edit?usp=sharing"""&amp;",""สระแก้ว!I369"")+IMPORTRANGE(""https://docs.google.com/spreadsheets/d/1xmPlrr1QbdSIKvl1dWUl9K4PjAfSL9oeMr_37QVzcxc/edit?usp=sharing"",""สระบุรี!I369"")+IMPORTRANGE(""https://docs.google.com/spreadsheets/d/1j51vR6CYVGhABJpv6tkstgok82RLpXieLzW1yOY5rHw/edi"&amp;"t?usp=sharing"",""สิงห์บุรี!I369"")+IMPORTRANGE(""https://docs.google.com/spreadsheets/d/1H1EalTWKUSzO4Z1-1CwzoDUaVffgrThEBe2sl74kKG0/edit?usp=sharing"",""สุพรรณบุรี!I369"")+IMPORTRANGE(""https://docs.google.com/spreadsheets/d/1BmIruG_sIrJLYao_Pdr7zVArWsf"&amp;"oBt2692TMi6x_854/edit?usp=sharing"",""อ่างทอง!I369"")"),2680)</f>
        <v>2680</v>
      </c>
      <c r="J370" s="239">
        <f ca="1">IFERROR(__xludf.DUMMYFUNCTION("IMPORTRANGE(""https://docs.google.com/spreadsheets/d/13wPX838HrBrQMCywv1BsuMkt4PEKTChp52zj44s2izQ/edit?usp=sharing"",""กาญจนบุรี!J369"")+IMPORTRANGE(""https://docs.google.com/spreadsheets/d/1ddFKvqj1W1NEiWytbGlB1zMx_ykJDVtmfEQ-6-lIUBA/edit?usp=sharing"","&amp;"""จันทบุรี!J369"")+IMPORTRANGE(""https://docs.google.com/spreadsheets/d/1T1PQvRODqOBZk8BRht_U031fIS1beLA0Ub2CEytj2q0/edit?usp=sharing"",""ฉะเชิงเทรา!J369"")+IMPORTRANGE(""https://docs.google.com/spreadsheets/d/11tr1B-Bhyr79v2bkwVh5h_fR-PStkgjlZtkrZpYurG0/"&amp;"edit?usp=sharing"",""ชลบุรี!J369"")+IMPORTRANGE(""https://docs.google.com/spreadsheets/d/1hh-FVnSX0vozXhGluamEcS54Dw9_zqW0N7qJUWgJ0Sw/edit?usp=sharing"",""ชัยนาท!J369"")+IMPORTRANGE(""https://docs.google.com/spreadsheets/d/1jkqa6GXxSacMcY1eN8AHjMNJ_7dDXMJ"&amp;"VRLDlaFSOdPM/edit?usp=sharing"",""ตราด!J369"")+IMPORTRANGE(""https://docs.google.com/spreadsheets/d/18hSgUJ3VwClqi_qtULmmW3cLr0oe3OKaSYoKzdpTsYQ/edit?usp=sharing"",""นครนายก!J369"")+IMPORTRANGE(""https://docs.google.com/spreadsheets/d/1YTZo6WM2dQ6Ix6FSdnL"&amp;"5P7uVnVKu40sxZu975tgG10E/edit?usp=sharing"",""นครปฐม!J369"")+IMPORTRANGE(""https://docs.google.com/spreadsheets/d/1OYoGg4WDg5RIzwGeB10padOxJF9E_Vljuvvct_M7RDo/edit?usp=sharing"",""ปทุมธานี!J369"")+IMPORTRANGE(""https://docs.google.com/spreadsheets/d/1GbCI"&amp;"E4D4wk9FUozzqk7SxfDMxDVBwVmI5zcaVUSzKAc/edit?usp=sharing"",""ประจวบคีรีขันธ์!J369"")+IMPORTRANGE(""https://docs.google.com/spreadsheets/d/1vVf6wykvW_lAyu7Yo9L4hUTqHqIeP_qcVuxCtosJEbg/edit?usp=sharing"",""ปราจีนบุรี!J369"")+IMPORTRANGE(""https://docs.googl"&amp;"e.com/spreadsheets/d/1BIDqLLg5jk3v59G8NlR8rk5xfQDKne0sAvZHSj7TI6I/edit?usp=sharing"",""พระนครศรีอยุธยา!J369"")+IMPORTRANGE(""https://docs.google.com/spreadsheets/d/1YXvxf8Yu6_rV4hTBrwMqAcAnv6DfhUxh5emyM3CJp_w/edit?usp=sharing"",""เพชรบุรี!J369"")+IMPORTRA"&amp;"NGE(""https://docs.google.com/spreadsheets/d/19KBlQQs7uwvsao6t2n-KvW3Ax8J8uRRfZPq1zPbXgKc/edit?usp=sharing"",""ระยอง!J369"")+IMPORTRANGE(""https://docs.google.com/spreadsheets/d/1jQ6P4QcrGM89YfqcC_PxOHGCMq5ezhucwJd8ci-NHng/edit?usp=sharing"",""ราชบุรี!J36"&amp;"9"")+IMPORTRANGE(""https://docs.google.com/spreadsheets/d/1lufeA2cfFqM-elVq2hznhDzC6Pr7wkJ9ZG_sYNGCMCU/edit?usp=sharing"",""ลพบุรี!J369"")+IMPORTRANGE(""https://docs.google.com/spreadsheets/d/10oOiF7loTyfsTkbd4MpaIm0HQ9SwB7IYHdIUvt-U1Uc/edit?usp=sharing"""&amp;",""สระแก้ว!J369"")+IMPORTRANGE(""https://docs.google.com/spreadsheets/d/1xmPlrr1QbdSIKvl1dWUl9K4PjAfSL9oeMr_37QVzcxc/edit?usp=sharing"",""สระบุรี!J369"")+IMPORTRANGE(""https://docs.google.com/spreadsheets/d/1j51vR6CYVGhABJpv6tkstgok82RLpXieLzW1yOY5rHw/edi"&amp;"t?usp=sharing"",""สิงห์บุรี!J369"")+IMPORTRANGE(""https://docs.google.com/spreadsheets/d/1H1EalTWKUSzO4Z1-1CwzoDUaVffgrThEBe2sl74kKG0/edit?usp=sharing"",""สุพรรณบุรี!J369"")+IMPORTRANGE(""https://docs.google.com/spreadsheets/d/1BmIruG_sIrJLYao_Pdr7zVArWsf"&amp;"oBt2692TMi6x_854/edit?usp=sharing"",""อ่างทอง!J369"")"),1247)</f>
        <v>1247</v>
      </c>
      <c r="K370" s="88">
        <f t="shared" ca="1" si="273"/>
        <v>46.529850746268657</v>
      </c>
      <c r="L370" s="220"/>
      <c r="M370" s="220"/>
      <c r="N370" s="220"/>
      <c r="O370" s="220"/>
      <c r="P370" s="220"/>
      <c r="Q370" s="228"/>
      <c r="R370" s="229"/>
      <c r="S370" s="229"/>
      <c r="T370" s="229"/>
      <c r="U370" s="229"/>
    </row>
    <row r="371" spans="1:21" ht="18.75" x14ac:dyDescent="0.25">
      <c r="A371" s="222"/>
      <c r="B371" s="231"/>
      <c r="C371" s="223"/>
      <c r="D371" s="231"/>
      <c r="E371" s="231"/>
      <c r="F371" s="231"/>
      <c r="G371" s="227"/>
      <c r="H371" s="237" t="s">
        <v>46</v>
      </c>
      <c r="I371" s="321">
        <v>0</v>
      </c>
      <c r="J371" s="239">
        <f ca="1">IFERROR(__xludf.DUMMYFUNCTION("IMPORTRANGE(""https://docs.google.com/spreadsheets/d/13wPX838HrBrQMCywv1BsuMkt4PEKTChp52zj44s2izQ/edit?usp=sharing"",""กาญจนบุรี!J370"")+IMPORTRANGE(""https://docs.google.com/spreadsheets/d/1ddFKvqj1W1NEiWytbGlB1zMx_ykJDVtmfEQ-6-lIUBA/edit?usp=sharing"","&amp;"""จันทบุรี!J370"")+IMPORTRANGE(""https://docs.google.com/spreadsheets/d/1T1PQvRODqOBZk8BRht_U031fIS1beLA0Ub2CEytj2q0/edit?usp=sharing"",""ฉะเชิงเทรา!J370"")+IMPORTRANGE(""https://docs.google.com/spreadsheets/d/11tr1B-Bhyr79v2bkwVh5h_fR-PStkgjlZtkrZpYurG0/"&amp;"edit?usp=sharing"",""ชลบุรี!J370"")+IMPORTRANGE(""https://docs.google.com/spreadsheets/d/1hh-FVnSX0vozXhGluamEcS54Dw9_zqW0N7qJUWgJ0Sw/edit?usp=sharing"",""ชัยนาท!J370"")+IMPORTRANGE(""https://docs.google.com/spreadsheets/d/1jkqa6GXxSacMcY1eN8AHjMNJ_7dDXMJ"&amp;"VRLDlaFSOdPM/edit?usp=sharing"",""ตราด!J370"")+IMPORTRANGE(""https://docs.google.com/spreadsheets/d/18hSgUJ3VwClqi_qtULmmW3cLr0oe3OKaSYoKzdpTsYQ/edit?usp=sharing"",""นครนายก!J370"")+IMPORTRANGE(""https://docs.google.com/spreadsheets/d/1YTZo6WM2dQ6Ix6FSdnL"&amp;"5P7uVnVKu40sxZu975tgG10E/edit?usp=sharing"",""นครปฐม!J370"")+IMPORTRANGE(""https://docs.google.com/spreadsheets/d/1OYoGg4WDg5RIzwGeB10padOxJF9E_Vljuvvct_M7RDo/edit?usp=sharing"",""ปทุมธานี!J370"")+IMPORTRANGE(""https://docs.google.com/spreadsheets/d/1GbCI"&amp;"E4D4wk9FUozzqk7SxfDMxDVBwVmI5zcaVUSzKAc/edit?usp=sharing"",""ประจวบคีรีขันธ์!J370"")+IMPORTRANGE(""https://docs.google.com/spreadsheets/d/1vVf6wykvW_lAyu7Yo9L4hUTqHqIeP_qcVuxCtosJEbg/edit?usp=sharing"",""ปราจีนบุรี!J370"")+IMPORTRANGE(""https://docs.googl"&amp;"e.com/spreadsheets/d/1BIDqLLg5jk3v59G8NlR8rk5xfQDKne0sAvZHSj7TI6I/edit?usp=sharing"",""พระนครศรีอยุธยา!J370"")+IMPORTRANGE(""https://docs.google.com/spreadsheets/d/1YXvxf8Yu6_rV4hTBrwMqAcAnv6DfhUxh5emyM3CJp_w/edit?usp=sharing"",""เพชรบุรี!J370"")+IMPORTRA"&amp;"NGE(""https://docs.google.com/spreadsheets/d/19KBlQQs7uwvsao6t2n-KvW3Ax8J8uRRfZPq1zPbXgKc/edit?usp=sharing"",""ระยอง!J370"")+IMPORTRANGE(""https://docs.google.com/spreadsheets/d/1jQ6P4QcrGM89YfqcC_PxOHGCMq5ezhucwJd8ci-NHng/edit?usp=sharing"",""ราชบุรี!J37"&amp;"0"")+IMPORTRANGE(""https://docs.google.com/spreadsheets/d/1lufeA2cfFqM-elVq2hznhDzC6Pr7wkJ9ZG_sYNGCMCU/edit?usp=sharing"",""ลพบุรี!J370"")+IMPORTRANGE(""https://docs.google.com/spreadsheets/d/10oOiF7loTyfsTkbd4MpaIm0HQ9SwB7IYHdIUvt-U1Uc/edit?usp=sharing"""&amp;",""สระแก้ว!J370"")+IMPORTRANGE(""https://docs.google.com/spreadsheets/d/1xmPlrr1QbdSIKvl1dWUl9K4PjAfSL9oeMr_37QVzcxc/edit?usp=sharing"",""สระบุรี!J370"")+IMPORTRANGE(""https://docs.google.com/spreadsheets/d/1j51vR6CYVGhABJpv6tkstgok82RLpXieLzW1yOY5rHw/edi"&amp;"t?usp=sharing"",""สิงห์บุรี!J370"")+IMPORTRANGE(""https://docs.google.com/spreadsheets/d/1H1EalTWKUSzO4Z1-1CwzoDUaVffgrThEBe2sl74kKG0/edit?usp=sharing"",""สุพรรณบุรี!J370"")+IMPORTRANGE(""https://docs.google.com/spreadsheets/d/1BmIruG_sIrJLYao_Pdr7zVArWsf"&amp;"oBt2692TMi6x_854/edit?usp=sharing"",""อ่างทอง!J370"")"),18317.1)</f>
        <v>18317.099999999999</v>
      </c>
      <c r="K371" s="88">
        <f t="shared" si="273"/>
        <v>0</v>
      </c>
      <c r="L371" s="220"/>
      <c r="M371" s="220"/>
      <c r="N371" s="220"/>
      <c r="O371" s="220"/>
      <c r="P371" s="220"/>
      <c r="Q371" s="228"/>
      <c r="R371" s="229"/>
      <c r="S371" s="229"/>
      <c r="T371" s="229"/>
      <c r="U371" s="229"/>
    </row>
    <row r="372" spans="1:21" ht="18.75" x14ac:dyDescent="0.25">
      <c r="A372" s="222"/>
      <c r="B372" s="231"/>
      <c r="C372" s="223"/>
      <c r="D372" s="231"/>
      <c r="E372" s="567" t="s">
        <v>152</v>
      </c>
      <c r="F372" s="231"/>
      <c r="G372" s="227"/>
      <c r="H372" s="237" t="s">
        <v>35</v>
      </c>
      <c r="I372" s="239">
        <f ca="1">IFERROR(__xludf.DUMMYFUNCTION("IMPORTRANGE(""https://docs.google.com/spreadsheets/d/13wPX838HrBrQMCywv1BsuMkt4PEKTChp52zj44s2izQ/edit?usp=sharing"",""กาญจนบุรี!I371"")+IMPORTRANGE(""https://docs.google.com/spreadsheets/d/1ddFKvqj1W1NEiWytbGlB1zMx_ykJDVtmfEQ-6-lIUBA/edit?usp=sharing"","&amp;"""จันทบุรี!I371"")+IMPORTRANGE(""https://docs.google.com/spreadsheets/d/1T1PQvRODqOBZk8BRht_U031fIS1beLA0Ub2CEytj2q0/edit?usp=sharing"",""ฉะเชิงเทรา!I371"")+IMPORTRANGE(""https://docs.google.com/spreadsheets/d/11tr1B-Bhyr79v2bkwVh5h_fR-PStkgjlZtkrZpYurG0/"&amp;"edit?usp=sharing"",""ชลบุรี!I371"")+IMPORTRANGE(""https://docs.google.com/spreadsheets/d/1hh-FVnSX0vozXhGluamEcS54Dw9_zqW0N7qJUWgJ0Sw/edit?usp=sharing"",""ชัยนาท!I371"")+IMPORTRANGE(""https://docs.google.com/spreadsheets/d/1jkqa6GXxSacMcY1eN8AHjMNJ_7dDXMJ"&amp;"VRLDlaFSOdPM/edit?usp=sharing"",""ตราด!I371"")+IMPORTRANGE(""https://docs.google.com/spreadsheets/d/18hSgUJ3VwClqi_qtULmmW3cLr0oe3OKaSYoKzdpTsYQ/edit?usp=sharing"",""นครนายก!I371"")+IMPORTRANGE(""https://docs.google.com/spreadsheets/d/1YTZo6WM2dQ6Ix6FSdnL"&amp;"5P7uVnVKu40sxZu975tgG10E/edit?usp=sharing"",""นครปฐม!I371"")+IMPORTRANGE(""https://docs.google.com/spreadsheets/d/1OYoGg4WDg5RIzwGeB10padOxJF9E_Vljuvvct_M7RDo/edit?usp=sharing"",""ปทุมธานี!I371"")+IMPORTRANGE(""https://docs.google.com/spreadsheets/d/1GbCI"&amp;"E4D4wk9FUozzqk7SxfDMxDVBwVmI5zcaVUSzKAc/edit?usp=sharing"",""ประจวบคีรีขันธ์!I371"")+IMPORTRANGE(""https://docs.google.com/spreadsheets/d/1vVf6wykvW_lAyu7Yo9L4hUTqHqIeP_qcVuxCtosJEbg/edit?usp=sharing"",""ปราจีนบุรี!I371"")+IMPORTRANGE(""https://docs.googl"&amp;"e.com/spreadsheets/d/1BIDqLLg5jk3v59G8NlR8rk5xfQDKne0sAvZHSj7TI6I/edit?usp=sharing"",""พระนครศรีอยุธยา!I371"")+IMPORTRANGE(""https://docs.google.com/spreadsheets/d/1YXvxf8Yu6_rV4hTBrwMqAcAnv6DfhUxh5emyM3CJp_w/edit?usp=sharing"",""เพชรบุรี!I371"")+IMPORTRA"&amp;"NGE(""https://docs.google.com/spreadsheets/d/19KBlQQs7uwvsao6t2n-KvW3Ax8J8uRRfZPq1zPbXgKc/edit?usp=sharing"",""ระยอง!I371"")+IMPORTRANGE(""https://docs.google.com/spreadsheets/d/1jQ6P4QcrGM89YfqcC_PxOHGCMq5ezhucwJd8ci-NHng/edit?usp=sharing"",""ราชบุรี!I37"&amp;"1"")+IMPORTRANGE(""https://docs.google.com/spreadsheets/d/1lufeA2cfFqM-elVq2hznhDzC6Pr7wkJ9ZG_sYNGCMCU/edit?usp=sharing"",""ลพบุรี!I371"")+IMPORTRANGE(""https://docs.google.com/spreadsheets/d/10oOiF7loTyfsTkbd4MpaIm0HQ9SwB7IYHdIUvt-U1Uc/edit?usp=sharing"""&amp;",""สระแก้ว!I371"")+IMPORTRANGE(""https://docs.google.com/spreadsheets/d/1xmPlrr1QbdSIKvl1dWUl9K4PjAfSL9oeMr_37QVzcxc/edit?usp=sharing"",""สระบุรี!I371"")+IMPORTRANGE(""https://docs.google.com/spreadsheets/d/1j51vR6CYVGhABJpv6tkstgok82RLpXieLzW1yOY5rHw/edi"&amp;"t?usp=sharing"",""สิงห์บุรี!I371"")+IMPORTRANGE(""https://docs.google.com/spreadsheets/d/1H1EalTWKUSzO4Z1-1CwzoDUaVffgrThEBe2sl74kKG0/edit?usp=sharing"",""สุพรรณบุรี!I371"")+IMPORTRANGE(""https://docs.google.com/spreadsheets/d/1BmIruG_sIrJLYao_Pdr7zVArWsf"&amp;"oBt2692TMi6x_854/edit?usp=sharing"",""อ่างทอง!I371"")"),1810)</f>
        <v>1810</v>
      </c>
      <c r="J372" s="239">
        <f ca="1">IFERROR(__xludf.DUMMYFUNCTION("IMPORTRANGE(""https://docs.google.com/spreadsheets/d/13wPX838HrBrQMCywv1BsuMkt4PEKTChp52zj44s2izQ/edit?usp=sharing"",""กาญจนบุรี!J371"")+IMPORTRANGE(""https://docs.google.com/spreadsheets/d/1ddFKvqj1W1NEiWytbGlB1zMx_ykJDVtmfEQ-6-lIUBA/edit?usp=sharing"","&amp;"""จันทบุรี!J371"")+IMPORTRANGE(""https://docs.google.com/spreadsheets/d/1T1PQvRODqOBZk8BRht_U031fIS1beLA0Ub2CEytj2q0/edit?usp=sharing"",""ฉะเชิงเทรา!J371"")+IMPORTRANGE(""https://docs.google.com/spreadsheets/d/11tr1B-Bhyr79v2bkwVh5h_fR-PStkgjlZtkrZpYurG0/"&amp;"edit?usp=sharing"",""ชลบุรี!J371"")+IMPORTRANGE(""https://docs.google.com/spreadsheets/d/1hh-FVnSX0vozXhGluamEcS54Dw9_zqW0N7qJUWgJ0Sw/edit?usp=sharing"",""ชัยนาท!J371"")+IMPORTRANGE(""https://docs.google.com/spreadsheets/d/1jkqa6GXxSacMcY1eN8AHjMNJ_7dDXMJ"&amp;"VRLDlaFSOdPM/edit?usp=sharing"",""ตราด!J371"")+IMPORTRANGE(""https://docs.google.com/spreadsheets/d/18hSgUJ3VwClqi_qtULmmW3cLr0oe3OKaSYoKzdpTsYQ/edit?usp=sharing"",""นครนายก!J371"")+IMPORTRANGE(""https://docs.google.com/spreadsheets/d/1YTZo6WM2dQ6Ix6FSdnL"&amp;"5P7uVnVKu40sxZu975tgG10E/edit?usp=sharing"",""นครปฐม!J371"")+IMPORTRANGE(""https://docs.google.com/spreadsheets/d/1OYoGg4WDg5RIzwGeB10padOxJF9E_Vljuvvct_M7RDo/edit?usp=sharing"",""ปทุมธานี!J371"")+IMPORTRANGE(""https://docs.google.com/spreadsheets/d/1GbCI"&amp;"E4D4wk9FUozzqk7SxfDMxDVBwVmI5zcaVUSzKAc/edit?usp=sharing"",""ประจวบคีรีขันธ์!J371"")+IMPORTRANGE(""https://docs.google.com/spreadsheets/d/1vVf6wykvW_lAyu7Yo9L4hUTqHqIeP_qcVuxCtosJEbg/edit?usp=sharing"",""ปราจีนบุรี!J371"")+IMPORTRANGE(""https://docs.googl"&amp;"e.com/spreadsheets/d/1BIDqLLg5jk3v59G8NlR8rk5xfQDKne0sAvZHSj7TI6I/edit?usp=sharing"",""พระนครศรีอยุธยา!J371"")+IMPORTRANGE(""https://docs.google.com/spreadsheets/d/1YXvxf8Yu6_rV4hTBrwMqAcAnv6DfhUxh5emyM3CJp_w/edit?usp=sharing"",""เพชรบุรี!J371"")+IMPORTRA"&amp;"NGE(""https://docs.google.com/spreadsheets/d/19KBlQQs7uwvsao6t2n-KvW3Ax8J8uRRfZPq1zPbXgKc/edit?usp=sharing"",""ระยอง!J371"")+IMPORTRANGE(""https://docs.google.com/spreadsheets/d/1jQ6P4QcrGM89YfqcC_PxOHGCMq5ezhucwJd8ci-NHng/edit?usp=sharing"",""ราชบุรี!J37"&amp;"1"")+IMPORTRANGE(""https://docs.google.com/spreadsheets/d/1lufeA2cfFqM-elVq2hznhDzC6Pr7wkJ9ZG_sYNGCMCU/edit?usp=sharing"",""ลพบุรี!J371"")+IMPORTRANGE(""https://docs.google.com/spreadsheets/d/10oOiF7loTyfsTkbd4MpaIm0HQ9SwB7IYHdIUvt-U1Uc/edit?usp=sharing"""&amp;",""สระแก้ว!J371"")+IMPORTRANGE(""https://docs.google.com/spreadsheets/d/1xmPlrr1QbdSIKvl1dWUl9K4PjAfSL9oeMr_37QVzcxc/edit?usp=sharing"",""สระบุรี!J371"")+IMPORTRANGE(""https://docs.google.com/spreadsheets/d/1j51vR6CYVGhABJpv6tkstgok82RLpXieLzW1yOY5rHw/edi"&amp;"t?usp=sharing"",""สิงห์บุรี!J371"")+IMPORTRANGE(""https://docs.google.com/spreadsheets/d/1H1EalTWKUSzO4Z1-1CwzoDUaVffgrThEBe2sl74kKG0/edit?usp=sharing"",""สุพรรณบุรี!J371"")+IMPORTRANGE(""https://docs.google.com/spreadsheets/d/1BmIruG_sIrJLYao_Pdr7zVArWsf"&amp;"oBt2692TMi6x_854/edit?usp=sharing"",""อ่างทอง!J371"")"),821)</f>
        <v>821</v>
      </c>
      <c r="K372" s="88">
        <f t="shared" ca="1" si="273"/>
        <v>45.35911602209945</v>
      </c>
      <c r="L372" s="220"/>
      <c r="M372" s="220"/>
      <c r="N372" s="220"/>
      <c r="O372" s="220"/>
      <c r="P372" s="220"/>
      <c r="Q372" s="228"/>
      <c r="R372" s="229"/>
      <c r="S372" s="229"/>
      <c r="T372" s="229"/>
      <c r="U372" s="229"/>
    </row>
    <row r="373" spans="1:21" ht="18.75" x14ac:dyDescent="0.25">
      <c r="A373" s="568"/>
      <c r="B373" s="454"/>
      <c r="C373" s="452"/>
      <c r="D373" s="454"/>
      <c r="E373" s="454"/>
      <c r="F373" s="454"/>
      <c r="G373" s="455"/>
      <c r="H373" s="569" t="s">
        <v>46</v>
      </c>
      <c r="I373" s="456">
        <v>0</v>
      </c>
      <c r="J373" s="350">
        <f ca="1">IFERROR(__xludf.DUMMYFUNCTION("IMPORTRANGE(""https://docs.google.com/spreadsheets/d/13wPX838HrBrQMCywv1BsuMkt4PEKTChp52zj44s2izQ/edit?usp=sharing"",""กาญจนบุรี!J372"")+IMPORTRANGE(""https://docs.google.com/spreadsheets/d/1ddFKvqj1W1NEiWytbGlB1zMx_ykJDVtmfEQ-6-lIUBA/edit?usp=sharing"","&amp;"""จันทบุรี!J372"")+IMPORTRANGE(""https://docs.google.com/spreadsheets/d/1T1PQvRODqOBZk8BRht_U031fIS1beLA0Ub2CEytj2q0/edit?usp=sharing"",""ฉะเชิงเทรา!J372"")+IMPORTRANGE(""https://docs.google.com/spreadsheets/d/11tr1B-Bhyr79v2bkwVh5h_fR-PStkgjlZtkrZpYurG0/"&amp;"edit?usp=sharing"",""ชลบุรี!J372"")+IMPORTRANGE(""https://docs.google.com/spreadsheets/d/1hh-FVnSX0vozXhGluamEcS54Dw9_zqW0N7qJUWgJ0Sw/edit?usp=sharing"",""ชัยนาท!J372"")+IMPORTRANGE(""https://docs.google.com/spreadsheets/d/1jkqa6GXxSacMcY1eN8AHjMNJ_7dDXMJ"&amp;"VRLDlaFSOdPM/edit?usp=sharing"",""ตราด!J372"")+IMPORTRANGE(""https://docs.google.com/spreadsheets/d/18hSgUJ3VwClqi_qtULmmW3cLr0oe3OKaSYoKzdpTsYQ/edit?usp=sharing"",""นครนายก!J372"")+IMPORTRANGE(""https://docs.google.com/spreadsheets/d/1YTZo6WM2dQ6Ix6FSdnL"&amp;"5P7uVnVKu40sxZu975tgG10E/edit?usp=sharing"",""นครปฐม!J372"")+IMPORTRANGE(""https://docs.google.com/spreadsheets/d/1OYoGg4WDg5RIzwGeB10padOxJF9E_Vljuvvct_M7RDo/edit?usp=sharing"",""ปทุมธานี!J372"")+IMPORTRANGE(""https://docs.google.com/spreadsheets/d/1GbCI"&amp;"E4D4wk9FUozzqk7SxfDMxDVBwVmI5zcaVUSzKAc/edit?usp=sharing"",""ประจวบคีรีขันธ์!J372"")+IMPORTRANGE(""https://docs.google.com/spreadsheets/d/1vVf6wykvW_lAyu7Yo9L4hUTqHqIeP_qcVuxCtosJEbg/edit?usp=sharing"",""ปราจีนบุรี!J372"")+IMPORTRANGE(""https://docs.googl"&amp;"e.com/spreadsheets/d/1BIDqLLg5jk3v59G8NlR8rk5xfQDKne0sAvZHSj7TI6I/edit?usp=sharing"",""พระนครศรีอยุธยา!J372"")+IMPORTRANGE(""https://docs.google.com/spreadsheets/d/1YXvxf8Yu6_rV4hTBrwMqAcAnv6DfhUxh5emyM3CJp_w/edit?usp=sharing"",""เพชรบุรี!J372"")+IMPORTRA"&amp;"NGE(""https://docs.google.com/spreadsheets/d/19KBlQQs7uwvsao6t2n-KvW3Ax8J8uRRfZPq1zPbXgKc/edit?usp=sharing"",""ระยอง!J372"")+IMPORTRANGE(""https://docs.google.com/spreadsheets/d/1jQ6P4QcrGM89YfqcC_PxOHGCMq5ezhucwJd8ci-NHng/edit?usp=sharing"",""ราชบุรี!J37"&amp;"2"")+IMPORTRANGE(""https://docs.google.com/spreadsheets/d/1lufeA2cfFqM-elVq2hznhDzC6Pr7wkJ9ZG_sYNGCMCU/edit?usp=sharing"",""ลพบุรี!J372"")+IMPORTRANGE(""https://docs.google.com/spreadsheets/d/10oOiF7loTyfsTkbd4MpaIm0HQ9SwB7IYHdIUvt-U1Uc/edit?usp=sharing"""&amp;",""สระแก้ว!J372"")+IMPORTRANGE(""https://docs.google.com/spreadsheets/d/1xmPlrr1QbdSIKvl1dWUl9K4PjAfSL9oeMr_37QVzcxc/edit?usp=sharing"",""สระบุรี!J372"")+IMPORTRANGE(""https://docs.google.com/spreadsheets/d/1j51vR6CYVGhABJpv6tkstgok82RLpXieLzW1yOY5rHw/edi"&amp;"t?usp=sharing"",""สิงห์บุรี!J372"")+IMPORTRANGE(""https://docs.google.com/spreadsheets/d/1H1EalTWKUSzO4Z1-1CwzoDUaVffgrThEBe2sl74kKG0/edit?usp=sharing"",""สุพรรณบุรี!J372"")+IMPORTRANGE(""https://docs.google.com/spreadsheets/d/1BmIruG_sIrJLYao_Pdr7zVArWsf"&amp;"oBt2692TMi6x_854/edit?usp=sharing"",""อ่างทอง!J372"")"),12733.88)</f>
        <v>12733.88</v>
      </c>
      <c r="K373" s="180">
        <f t="shared" si="273"/>
        <v>0</v>
      </c>
      <c r="L373" s="458"/>
      <c r="M373" s="458"/>
      <c r="N373" s="458"/>
      <c r="O373" s="458"/>
      <c r="P373" s="458"/>
      <c r="Q373" s="228"/>
      <c r="R373" s="229"/>
      <c r="S373" s="229"/>
      <c r="T373" s="229"/>
      <c r="U373" s="229"/>
    </row>
    <row r="374" spans="1:21" ht="19.5" x14ac:dyDescent="0.3">
      <c r="A374" s="570"/>
      <c r="B374" s="571"/>
      <c r="C374" s="572"/>
      <c r="D374" s="57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74"/>
      <c r="F374" s="574"/>
      <c r="G374" s="574"/>
      <c r="H374" s="575"/>
      <c r="I374" s="576"/>
      <c r="J374" s="576"/>
      <c r="K374" s="577"/>
      <c r="L374" s="577"/>
      <c r="M374" s="577"/>
      <c r="N374" s="577"/>
      <c r="O374" s="577"/>
      <c r="P374" s="577"/>
      <c r="Q374" s="97"/>
      <c r="R374" s="98"/>
      <c r="S374" s="98"/>
      <c r="T374" s="98"/>
      <c r="U374" s="98"/>
    </row>
    <row r="375" spans="1:21" ht="19.5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ca="1">I386</f>
        <v>3000</v>
      </c>
      <c r="J375" s="585">
        <f ca="1">J387+J389</f>
        <v>0</v>
      </c>
      <c r="K375" s="586">
        <f ca="1">IF(I375&gt;0,J375*100/I375,0)</f>
        <v>0</v>
      </c>
      <c r="L375" s="587"/>
      <c r="M375" s="587"/>
      <c r="N375" s="587"/>
      <c r="O375" s="587"/>
      <c r="P375" s="587"/>
      <c r="Q375" s="529"/>
      <c r="R375" s="530"/>
      <c r="S375" s="530"/>
      <c r="T375" s="530"/>
      <c r="U375" s="530"/>
    </row>
    <row r="376" spans="1:21" ht="19.5" x14ac:dyDescent="0.3">
      <c r="A376" s="257"/>
      <c r="B376" s="269"/>
      <c r="C376" s="278" t="s">
        <v>18</v>
      </c>
      <c r="D376" s="588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264">
        <f t="shared" ref="L376:N376" ca="1" si="274">L377+L378</f>
        <v>0</v>
      </c>
      <c r="M376" s="264">
        <f t="shared" ca="1" si="274"/>
        <v>0</v>
      </c>
      <c r="N376" s="264">
        <f t="shared" ca="1" si="274"/>
        <v>0</v>
      </c>
      <c r="O376" s="264">
        <f t="shared" ref="O376:O384" ca="1" si="275">IF(L376&gt;0,N376*100/L376,0)</f>
        <v>0</v>
      </c>
      <c r="P376" s="264">
        <f t="shared" ref="P376:P384" ca="1" si="276">IF(M376&gt;0,N376*100/M376,0)</f>
        <v>0</v>
      </c>
      <c r="Q376" s="214">
        <f t="shared" ref="Q376:S376" ca="1" si="277">Q377+Q378</f>
        <v>862500</v>
      </c>
      <c r="R376" s="215">
        <f t="shared" ca="1" si="277"/>
        <v>0</v>
      </c>
      <c r="S376" s="215">
        <f t="shared" ca="1" si="277"/>
        <v>0</v>
      </c>
      <c r="T376" s="215">
        <f t="shared" ref="T376:T384" ca="1" si="278">IF(Q376&gt;0,S376*100/Q376,0)</f>
        <v>0</v>
      </c>
      <c r="U376" s="215">
        <f t="shared" ref="U376:U384" ca="1" si="279">IF(R376&gt;0,S376*100/R376,0)</f>
        <v>0</v>
      </c>
    </row>
    <row r="377" spans="1:21" ht="18.75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7">
        <f t="shared" ref="L377:N377" ca="1" si="280">L380+L383</f>
        <v>0</v>
      </c>
      <c r="M377" s="77">
        <f t="shared" ca="1" si="280"/>
        <v>0</v>
      </c>
      <c r="N377" s="77">
        <f t="shared" ca="1" si="280"/>
        <v>0</v>
      </c>
      <c r="O377" s="77">
        <f t="shared" ca="1" si="275"/>
        <v>0</v>
      </c>
      <c r="P377" s="77">
        <f t="shared" ca="1" si="276"/>
        <v>0</v>
      </c>
      <c r="Q377" s="217">
        <f t="shared" ref="Q377:S377" ca="1" si="281">Q380+Q383</f>
        <v>0</v>
      </c>
      <c r="R377" s="133">
        <f t="shared" ca="1" si="281"/>
        <v>0</v>
      </c>
      <c r="S377" s="133">
        <f t="shared" ca="1" si="281"/>
        <v>0</v>
      </c>
      <c r="T377" s="133">
        <f t="shared" ca="1" si="278"/>
        <v>0</v>
      </c>
      <c r="U377" s="133">
        <f t="shared" ca="1" si="279"/>
        <v>0</v>
      </c>
    </row>
    <row r="378" spans="1:21" ht="18.75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4">
        <f t="shared" ref="L378:N378" ca="1" si="282">L381+L384</f>
        <v>0</v>
      </c>
      <c r="M378" s="74">
        <f t="shared" ca="1" si="282"/>
        <v>0</v>
      </c>
      <c r="N378" s="74">
        <f t="shared" ca="1" si="282"/>
        <v>0</v>
      </c>
      <c r="O378" s="74">
        <f t="shared" ca="1" si="275"/>
        <v>0</v>
      </c>
      <c r="P378" s="74">
        <f t="shared" ca="1" si="276"/>
        <v>0</v>
      </c>
      <c r="Q378" s="131">
        <f t="shared" ref="Q378:S378" ca="1" si="283">Q381+Q384</f>
        <v>862500</v>
      </c>
      <c r="R378" s="132">
        <f t="shared" ca="1" si="283"/>
        <v>0</v>
      </c>
      <c r="S378" s="132">
        <f t="shared" ca="1" si="283"/>
        <v>0</v>
      </c>
      <c r="T378" s="132">
        <f t="shared" ca="1" si="278"/>
        <v>0</v>
      </c>
      <c r="U378" s="132">
        <f t="shared" ca="1" si="279"/>
        <v>0</v>
      </c>
    </row>
    <row r="379" spans="1:21" ht="18.75" x14ac:dyDescent="0.25">
      <c r="A379" s="257"/>
      <c r="B379" s="269"/>
      <c r="C379" s="269"/>
      <c r="D379" s="274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4">
        <f t="shared" ref="L379:N379" ca="1" si="284">L380+L381</f>
        <v>0</v>
      </c>
      <c r="M379" s="74">
        <f t="shared" ca="1" si="284"/>
        <v>0</v>
      </c>
      <c r="N379" s="74">
        <f t="shared" ca="1" si="284"/>
        <v>0</v>
      </c>
      <c r="O379" s="74">
        <f t="shared" ca="1" si="275"/>
        <v>0</v>
      </c>
      <c r="P379" s="74">
        <f t="shared" ca="1" si="276"/>
        <v>0</v>
      </c>
      <c r="Q379" s="131">
        <f t="shared" ref="Q379:S379" ca="1" si="285">Q380+Q381</f>
        <v>862500</v>
      </c>
      <c r="R379" s="132">
        <f t="shared" ca="1" si="285"/>
        <v>0</v>
      </c>
      <c r="S379" s="132">
        <f t="shared" ca="1" si="285"/>
        <v>0</v>
      </c>
      <c r="T379" s="132">
        <f t="shared" ca="1" si="278"/>
        <v>0</v>
      </c>
      <c r="U379" s="132">
        <f t="shared" ca="1" si="279"/>
        <v>0</v>
      </c>
    </row>
    <row r="380" spans="1:21" ht="18.75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7">
        <f ca="1">IFERROR(__xludf.DUMMYFUNCTION("IMPORTRANGE(""https://docs.google.com/spreadsheets/d/13wPX838HrBrQMCywv1BsuMkt4PEKTChp52zj44s2izQ/edit?usp=sharing"",""กาญจนบุรี!L379"")+IMPORTRANGE(""https://docs.google.com/spreadsheets/d/1ddFKvqj1W1NEiWytbGlB1zMx_ykJDVtmfEQ-6-lIUBA/edit?usp=sharing"","&amp;"""จันทบุรี!L379"")+IMPORTRANGE(""https://docs.google.com/spreadsheets/d/1T1PQvRODqOBZk8BRht_U031fIS1beLA0Ub2CEytj2q0/edit?usp=sharing"",""ฉะเชิงเทรา!L379"")+IMPORTRANGE(""https://docs.google.com/spreadsheets/d/11tr1B-Bhyr79v2bkwVh5h_fR-PStkgjlZtkrZpYurG0/"&amp;"edit?usp=sharing"",""ชลบุรี!L379"")+IMPORTRANGE(""https://docs.google.com/spreadsheets/d/1hh-FVnSX0vozXhGluamEcS54Dw9_zqW0N7qJUWgJ0Sw/edit?usp=sharing"",""ชัยนาท!L379"")+IMPORTRANGE(""https://docs.google.com/spreadsheets/d/1jkqa6GXxSacMcY1eN8AHjMNJ_7dDXMJ"&amp;"VRLDlaFSOdPM/edit?usp=sharing"",""ตราด!L379"")+IMPORTRANGE(""https://docs.google.com/spreadsheets/d/18hSgUJ3VwClqi_qtULmmW3cLr0oe3OKaSYoKzdpTsYQ/edit?usp=sharing"",""นครนายก!L379"")+IMPORTRANGE(""https://docs.google.com/spreadsheets/d/1YTZo6WM2dQ6Ix6FSdnL"&amp;"5P7uVnVKu40sxZu975tgG10E/edit?usp=sharing"",""นครปฐม!L379"")+IMPORTRANGE(""https://docs.google.com/spreadsheets/d/1OYoGg4WDg5RIzwGeB10padOxJF9E_Vljuvvct_M7RDo/edit?usp=sharing"",""ปทุมธานี!L379"")+IMPORTRANGE(""https://docs.google.com/spreadsheets/d/1GbCI"&amp;"E4D4wk9FUozzqk7SxfDMxDVBwVmI5zcaVUSzKAc/edit?usp=sharing"",""ประจวบคีรีขันธ์!L379"")+IMPORTRANGE(""https://docs.google.com/spreadsheets/d/1vVf6wykvW_lAyu7Yo9L4hUTqHqIeP_qcVuxCtosJEbg/edit?usp=sharing"",""ปราจีนบุรี!L379"")+IMPORTRANGE(""https://docs.googl"&amp;"e.com/spreadsheets/d/1BIDqLLg5jk3v59G8NlR8rk5xfQDKne0sAvZHSj7TI6I/edit?usp=sharing"",""พระนครศรีอยุธยา!L379"")+IMPORTRANGE(""https://docs.google.com/spreadsheets/d/1YXvxf8Yu6_rV4hTBrwMqAcAnv6DfhUxh5emyM3CJp_w/edit?usp=sharing"",""เพชรบุรี!L379"")+IMPORTRA"&amp;"NGE(""https://docs.google.com/spreadsheets/d/19KBlQQs7uwvsao6t2n-KvW3Ax8J8uRRfZPq1zPbXgKc/edit?usp=sharing"",""ระยอง!L379"")+IMPORTRANGE(""https://docs.google.com/spreadsheets/d/1jQ6P4QcrGM89YfqcC_PxOHGCMq5ezhucwJd8ci-NHng/edit?usp=sharing"",""ราชบุรี!L37"&amp;"9"")+IMPORTRANGE(""https://docs.google.com/spreadsheets/d/1lufeA2cfFqM-elVq2hznhDzC6Pr7wkJ9ZG_sYNGCMCU/edit?usp=sharing"",""ลพบุรี!L379"")+IMPORTRANGE(""https://docs.google.com/spreadsheets/d/10oOiF7loTyfsTkbd4MpaIm0HQ9SwB7IYHdIUvt-U1Uc/edit?usp=sharing"""&amp;",""สระแก้ว!L379"")+IMPORTRANGE(""https://docs.google.com/spreadsheets/d/1xmPlrr1QbdSIKvl1dWUl9K4PjAfSL9oeMr_37QVzcxc/edit?usp=sharing"",""สระบุรี!L379"")+IMPORTRANGE(""https://docs.google.com/spreadsheets/d/1j51vR6CYVGhABJpv6tkstgok82RLpXieLzW1yOY5rHw/edi"&amp;"t?usp=sharing"",""สิงห์บุรี!L379"")+IMPORTRANGE(""https://docs.google.com/spreadsheets/d/1H1EalTWKUSzO4Z1-1CwzoDUaVffgrThEBe2sl74kKG0/edit?usp=sharing"",""สุพรรณบุรี!L379"")+IMPORTRANGE(""https://docs.google.com/spreadsheets/d/1BmIruG_sIrJLYao_Pdr7zVArWsf"&amp;"oBt2692TMi6x_854/edit?usp=sharing"",""อ่างทอง!L379"")"),0)</f>
        <v>0</v>
      </c>
      <c r="M380" s="77">
        <f ca="1">IFERROR(__xludf.DUMMYFUNCTION("IMPORTRANGE(""https://docs.google.com/spreadsheets/d/13wPX838HrBrQMCywv1BsuMkt4PEKTChp52zj44s2izQ/edit?usp=sharing"",""กาญจนบุรี!M379"")+IMPORTRANGE(""https://docs.google.com/spreadsheets/d/1ddFKvqj1W1NEiWytbGlB1zMx_ykJDVtmfEQ-6-lIUBA/edit?usp=sharing"","&amp;"""จันทบุรี!M379"")+IMPORTRANGE(""https://docs.google.com/spreadsheets/d/1T1PQvRODqOBZk8BRht_U031fIS1beLA0Ub2CEytj2q0/edit?usp=sharing"",""ฉะเชิงเทรา!M379"")+IMPORTRANGE(""https://docs.google.com/spreadsheets/d/11tr1B-Bhyr79v2bkwVh5h_fR-PStkgjlZtkrZpYurG0/"&amp;"edit?usp=sharing"",""ชลบุรี!M379"")+IMPORTRANGE(""https://docs.google.com/spreadsheets/d/1hh-FVnSX0vozXhGluamEcS54Dw9_zqW0N7qJUWgJ0Sw/edit?usp=sharing"",""ชัยนาท!M379"")+IMPORTRANGE(""https://docs.google.com/spreadsheets/d/1jkqa6GXxSacMcY1eN8AHjMNJ_7dDXMJ"&amp;"VRLDlaFSOdPM/edit?usp=sharing"",""ตราด!M379"")+IMPORTRANGE(""https://docs.google.com/spreadsheets/d/18hSgUJ3VwClqi_qtULmmW3cLr0oe3OKaSYoKzdpTsYQ/edit?usp=sharing"",""นครนายก!M379"")+IMPORTRANGE(""https://docs.google.com/spreadsheets/d/1YTZo6WM2dQ6Ix6FSdnL"&amp;"5P7uVnVKu40sxZu975tgG10E/edit?usp=sharing"",""นครปฐม!M379"")+IMPORTRANGE(""https://docs.google.com/spreadsheets/d/1OYoGg4WDg5RIzwGeB10padOxJF9E_Vljuvvct_M7RDo/edit?usp=sharing"",""ปทุมธานี!M379"")+IMPORTRANGE(""https://docs.google.com/spreadsheets/d/1GbCI"&amp;"E4D4wk9FUozzqk7SxfDMxDVBwVmI5zcaVUSzKAc/edit?usp=sharing"",""ประจวบคีรีขันธ์!M379"")+IMPORTRANGE(""https://docs.google.com/spreadsheets/d/1vVf6wykvW_lAyu7Yo9L4hUTqHqIeP_qcVuxCtosJEbg/edit?usp=sharing"",""ปราจีนบุรี!M379"")+IMPORTRANGE(""https://docs.googl"&amp;"e.com/spreadsheets/d/1BIDqLLg5jk3v59G8NlR8rk5xfQDKne0sAvZHSj7TI6I/edit?usp=sharing"",""พระนครศรีอยุธยา!M379"")+IMPORTRANGE(""https://docs.google.com/spreadsheets/d/1YXvxf8Yu6_rV4hTBrwMqAcAnv6DfhUxh5emyM3CJp_w/edit?usp=sharing"",""เพชรบุรี!M379"")+IMPORTRA"&amp;"NGE(""https://docs.google.com/spreadsheets/d/19KBlQQs7uwvsao6t2n-KvW3Ax8J8uRRfZPq1zPbXgKc/edit?usp=sharing"",""ระยอง!M379"")+IMPORTRANGE(""https://docs.google.com/spreadsheets/d/1jQ6P4QcrGM89YfqcC_PxOHGCMq5ezhucwJd8ci-NHng/edit?usp=sharing"",""ราชบุรี!M37"&amp;"9"")+IMPORTRANGE(""https://docs.google.com/spreadsheets/d/1lufeA2cfFqM-elVq2hznhDzC6Pr7wkJ9ZG_sYNGCMCU/edit?usp=sharing"",""ลพบุรี!M379"")+IMPORTRANGE(""https://docs.google.com/spreadsheets/d/10oOiF7loTyfsTkbd4MpaIm0HQ9SwB7IYHdIUvt-U1Uc/edit?usp=sharing"""&amp;",""สระแก้ว!M379"")+IMPORTRANGE(""https://docs.google.com/spreadsheets/d/1xmPlrr1QbdSIKvl1dWUl9K4PjAfSL9oeMr_37QVzcxc/edit?usp=sharing"",""สระบุรี!M379"")+IMPORTRANGE(""https://docs.google.com/spreadsheets/d/1j51vR6CYVGhABJpv6tkstgok82RLpXieLzW1yOY5rHw/edi"&amp;"t?usp=sharing"",""สิงห์บุรี!M379"")+IMPORTRANGE(""https://docs.google.com/spreadsheets/d/1H1EalTWKUSzO4Z1-1CwzoDUaVffgrThEBe2sl74kKG0/edit?usp=sharing"",""สุพรรณบุรี!M379"")+IMPORTRANGE(""https://docs.google.com/spreadsheets/d/1BmIruG_sIrJLYao_Pdr7zVArWsf"&amp;"oBt2692TMi6x_854/edit?usp=sharing"",""อ่างทอง!M379"")"),0)</f>
        <v>0</v>
      </c>
      <c r="N380" s="77">
        <f ca="1">IFERROR(__xludf.DUMMYFUNCTION("IMPORTRANGE(""https://docs.google.com/spreadsheets/d/13wPX838HrBrQMCywv1BsuMkt4PEKTChp52zj44s2izQ/edit?usp=sharing"",""กาญจนบุรี!N379"")+IMPORTRANGE(""https://docs.google.com/spreadsheets/d/1ddFKvqj1W1NEiWytbGlB1zMx_ykJDVtmfEQ-6-lIUBA/edit?usp=sharing"","&amp;"""จันทบุรี!N379"")+IMPORTRANGE(""https://docs.google.com/spreadsheets/d/1T1PQvRODqOBZk8BRht_U031fIS1beLA0Ub2CEytj2q0/edit?usp=sharing"",""ฉะเชิงเทรา!N379"")+IMPORTRANGE(""https://docs.google.com/spreadsheets/d/11tr1B-Bhyr79v2bkwVh5h_fR-PStkgjlZtkrZpYurG0/"&amp;"edit?usp=sharing"",""ชลบุรี!N379"")+IMPORTRANGE(""https://docs.google.com/spreadsheets/d/1hh-FVnSX0vozXhGluamEcS54Dw9_zqW0N7qJUWgJ0Sw/edit?usp=sharing"",""ชัยนาท!N379"")+IMPORTRANGE(""https://docs.google.com/spreadsheets/d/1jkqa6GXxSacMcY1eN8AHjMNJ_7dDXMJ"&amp;"VRLDlaFSOdPM/edit?usp=sharing"",""ตราด!N379"")+IMPORTRANGE(""https://docs.google.com/spreadsheets/d/18hSgUJ3VwClqi_qtULmmW3cLr0oe3OKaSYoKzdpTsYQ/edit?usp=sharing"",""นครนายก!N379"")+IMPORTRANGE(""https://docs.google.com/spreadsheets/d/1YTZo6WM2dQ6Ix6FSdnL"&amp;"5P7uVnVKu40sxZu975tgG10E/edit?usp=sharing"",""นครปฐม!N379"")+IMPORTRANGE(""https://docs.google.com/spreadsheets/d/1OYoGg4WDg5RIzwGeB10padOxJF9E_Vljuvvct_M7RDo/edit?usp=sharing"",""ปทุมธานี!N379"")+IMPORTRANGE(""https://docs.google.com/spreadsheets/d/1GbCI"&amp;"E4D4wk9FUozzqk7SxfDMxDVBwVmI5zcaVUSzKAc/edit?usp=sharing"",""ประจวบคีรีขันธ์!N379"")+IMPORTRANGE(""https://docs.google.com/spreadsheets/d/1vVf6wykvW_lAyu7Yo9L4hUTqHqIeP_qcVuxCtosJEbg/edit?usp=sharing"",""ปราจีนบุรี!N379"")+IMPORTRANGE(""https://docs.googl"&amp;"e.com/spreadsheets/d/1BIDqLLg5jk3v59G8NlR8rk5xfQDKne0sAvZHSj7TI6I/edit?usp=sharing"",""พระนครศรีอยุธยา!N379"")+IMPORTRANGE(""https://docs.google.com/spreadsheets/d/1YXvxf8Yu6_rV4hTBrwMqAcAnv6DfhUxh5emyM3CJp_w/edit?usp=sharing"",""เพชรบุรี!N379"")+IMPORTRA"&amp;"NGE(""https://docs.google.com/spreadsheets/d/19KBlQQs7uwvsao6t2n-KvW3Ax8J8uRRfZPq1zPbXgKc/edit?usp=sharing"",""ระยอง!N379"")+IMPORTRANGE(""https://docs.google.com/spreadsheets/d/1jQ6P4QcrGM89YfqcC_PxOHGCMq5ezhucwJd8ci-NHng/edit?usp=sharing"",""ราชบุรี!N37"&amp;"9"")+IMPORTRANGE(""https://docs.google.com/spreadsheets/d/1lufeA2cfFqM-elVq2hznhDzC6Pr7wkJ9ZG_sYNGCMCU/edit?usp=sharing"",""ลพบุรี!N379"")+IMPORTRANGE(""https://docs.google.com/spreadsheets/d/10oOiF7loTyfsTkbd4MpaIm0HQ9SwB7IYHdIUvt-U1Uc/edit?usp=sharing"""&amp;",""สระแก้ว!N379"")+IMPORTRANGE(""https://docs.google.com/spreadsheets/d/1xmPlrr1QbdSIKvl1dWUl9K4PjAfSL9oeMr_37QVzcxc/edit?usp=sharing"",""สระบุรี!N379"")+IMPORTRANGE(""https://docs.google.com/spreadsheets/d/1j51vR6CYVGhABJpv6tkstgok82RLpXieLzW1yOY5rHw/edi"&amp;"t?usp=sharing"",""สิงห์บุรี!N379"")+IMPORTRANGE(""https://docs.google.com/spreadsheets/d/1H1EalTWKUSzO4Z1-1CwzoDUaVffgrThEBe2sl74kKG0/edit?usp=sharing"",""สุพรรณบุรี!N379"")+IMPORTRANGE(""https://docs.google.com/spreadsheets/d/1BmIruG_sIrJLYao_Pdr7zVArWsf"&amp;"oBt2692TMi6x_854/edit?usp=sharing"",""อ่างทอง!N379"")"),0)</f>
        <v>0</v>
      </c>
      <c r="O380" s="77">
        <f t="shared" ca="1" si="275"/>
        <v>0</v>
      </c>
      <c r="P380" s="77">
        <f t="shared" ca="1" si="276"/>
        <v>0</v>
      </c>
      <c r="Q380" s="76">
        <f ca="1">IFERROR(__xludf.DUMMYFUNCTION("IMPORTRANGE(""https://docs.google.com/spreadsheets/d/13wPX838HrBrQMCywv1BsuMkt4PEKTChp52zj44s2izQ/edit?usp=sharing"",""กาญจนบุรี!Q379"")+IMPORTRANGE(""https://docs.google.com/spreadsheets/d/1ddFKvqj1W1NEiWytbGlB1zMx_ykJDVtmfEQ-6-lIUBA/edit?usp=sharing"","&amp;"""จันทบุรี!Q379"")+IMPORTRANGE(""https://docs.google.com/spreadsheets/d/1T1PQvRODqOBZk8BRht_U031fIS1beLA0Ub2CEytj2q0/edit?usp=sharing"",""ฉะเชิงเทรา!Q379"")+IMPORTRANGE(""https://docs.google.com/spreadsheets/d/11tr1B-Bhyr79v2bkwVh5h_fR-PStkgjlZtkrZpYurG0/"&amp;"edit?usp=sharing"",""ชลบุรี!Q379"")+IMPORTRANGE(""https://docs.google.com/spreadsheets/d/1hh-FVnSX0vozXhGluamEcS54Dw9_zqW0N7qJUWgJ0Sw/edit?usp=sharing"",""ชัยนาท!Q379"")+IMPORTRANGE(""https://docs.google.com/spreadsheets/d/1jkqa6GXxSacMcY1eN8AHjMNJ_7dDXMJ"&amp;"VRLDlaFSOdPM/edit?usp=sharing"",""ตราด!Q379"")+IMPORTRANGE(""https://docs.google.com/spreadsheets/d/18hSgUJ3VwClqi_qtULmmW3cLr0oe3OKaSYoKzdpTsYQ/edit?usp=sharing"",""นครนายก!Q379"")+IMPORTRANGE(""https://docs.google.com/spreadsheets/d/1YTZo6WM2dQ6Ix6FSdnL"&amp;"5P7uVnVKu40sxZu975tgG10E/edit?usp=sharing"",""นครปฐม!Q379"")+IMPORTRANGE(""https://docs.google.com/spreadsheets/d/1OYoGg4WDg5RIzwGeB10padOxJF9E_Vljuvvct_M7RDo/edit?usp=sharing"",""ปทุมธานี!Q379"")+IMPORTRANGE(""https://docs.google.com/spreadsheets/d/1GbCI"&amp;"E4D4wk9FUozzqk7SxfDMxDVBwVmI5zcaVUSzKAc/edit?usp=sharing"",""ประจวบคีรีขันธ์!Q379"")+IMPORTRANGE(""https://docs.google.com/spreadsheets/d/1vVf6wykvW_lAyu7Yo9L4hUTqHqIeP_qcVuxCtosJEbg/edit?usp=sharing"",""ปราจีนบุรี!Q379"")+IMPORTRANGE(""https://docs.googl"&amp;"e.com/spreadsheets/d/1BIDqLLg5jk3v59G8NlR8rk5xfQDKne0sAvZHSj7TI6I/edit?usp=sharing"",""พระนครศรีอยุธยา!Q379"")+IMPORTRANGE(""https://docs.google.com/spreadsheets/d/1YXvxf8Yu6_rV4hTBrwMqAcAnv6DfhUxh5emyM3CJp_w/edit?usp=sharing"",""เพชรบุรี!Q379"")+IMPORTRA"&amp;"NGE(""https://docs.google.com/spreadsheets/d/19KBlQQs7uwvsao6t2n-KvW3Ax8J8uRRfZPq1zPbXgKc/edit?usp=sharing"",""ระยอง!Q379"")+IMPORTRANGE(""https://docs.google.com/spreadsheets/d/1jQ6P4QcrGM89YfqcC_PxOHGCMq5ezhucwJd8ci-NHng/edit?usp=sharing"",""ราชบุรี!Q37"&amp;"9"")+IMPORTRANGE(""https://docs.google.com/spreadsheets/d/1lufeA2cfFqM-elVq2hznhDzC6Pr7wkJ9ZG_sYNGCMCU/edit?usp=sharing"",""ลพบุรี!Q379"")+IMPORTRANGE(""https://docs.google.com/spreadsheets/d/10oOiF7loTyfsTkbd4MpaIm0HQ9SwB7IYHdIUvt-U1Uc/edit?usp=sharing"""&amp;",""สระแก้ว!Q379"")+IMPORTRANGE(""https://docs.google.com/spreadsheets/d/1xmPlrr1QbdSIKvl1dWUl9K4PjAfSL9oeMr_37QVzcxc/edit?usp=sharing"",""สระบุรี!Q379"")+IMPORTRANGE(""https://docs.google.com/spreadsheets/d/1j51vR6CYVGhABJpv6tkstgok82RLpXieLzW1yOY5rHw/edi"&amp;"t?usp=sharing"",""สิงห์บุรี!Q379"")+IMPORTRANGE(""https://docs.google.com/spreadsheets/d/1H1EalTWKUSzO4Z1-1CwzoDUaVffgrThEBe2sl74kKG0/edit?usp=sharing"",""สุพรรณบุรี!Q379"")+IMPORTRANGE(""https://docs.google.com/spreadsheets/d/1BmIruG_sIrJLYao_Pdr7zVArWsf"&amp;"oBt2692TMi6x_854/edit?usp=sharing"",""อ่างทอง!Q379"")"),0)</f>
        <v>0</v>
      </c>
      <c r="R380" s="77">
        <f ca="1">IFERROR(__xludf.DUMMYFUNCTION("IMPORTRANGE(""https://docs.google.com/spreadsheets/d/13wPX838HrBrQMCywv1BsuMkt4PEKTChp52zj44s2izQ/edit?usp=sharing"",""กาญจนบุรี!R379"")+IMPORTRANGE(""https://docs.google.com/spreadsheets/d/1ddFKvqj1W1NEiWytbGlB1zMx_ykJDVtmfEQ-6-lIUBA/edit?usp=sharing"","&amp;"""จันทบุรี!R379"")+IMPORTRANGE(""https://docs.google.com/spreadsheets/d/1T1PQvRODqOBZk8BRht_U031fIS1beLA0Ub2CEytj2q0/edit?usp=sharing"",""ฉะเชิงเทรา!R379"")+IMPORTRANGE(""https://docs.google.com/spreadsheets/d/11tr1B-Bhyr79v2bkwVh5h_fR-PStkgjlZtkrZpYurG0/"&amp;"edit?usp=sharing"",""ชลบุรี!R379"")+IMPORTRANGE(""https://docs.google.com/spreadsheets/d/1hh-FVnSX0vozXhGluamEcS54Dw9_zqW0N7qJUWgJ0Sw/edit?usp=sharing"",""ชัยนาท!R379"")+IMPORTRANGE(""https://docs.google.com/spreadsheets/d/1jkqa6GXxSacMcY1eN8AHjMNJ_7dDXMJ"&amp;"VRLDlaFSOdPM/edit?usp=sharing"",""ตราด!R379"")+IMPORTRANGE(""https://docs.google.com/spreadsheets/d/18hSgUJ3VwClqi_qtULmmW3cLr0oe3OKaSYoKzdpTsYQ/edit?usp=sharing"",""นครนายก!R379"")+IMPORTRANGE(""https://docs.google.com/spreadsheets/d/1YTZo6WM2dQ6Ix6FSdnL"&amp;"5P7uVnVKu40sxZu975tgG10E/edit?usp=sharing"",""นครปฐม!R379"")+IMPORTRANGE(""https://docs.google.com/spreadsheets/d/1OYoGg4WDg5RIzwGeB10padOxJF9E_Vljuvvct_M7RDo/edit?usp=sharing"",""ปทุมธานี!R379"")+IMPORTRANGE(""https://docs.google.com/spreadsheets/d/1GbCI"&amp;"E4D4wk9FUozzqk7SxfDMxDVBwVmI5zcaVUSzKAc/edit?usp=sharing"",""ประจวบคีรีขันธ์!R379"")+IMPORTRANGE(""https://docs.google.com/spreadsheets/d/1vVf6wykvW_lAyu7Yo9L4hUTqHqIeP_qcVuxCtosJEbg/edit?usp=sharing"",""ปราจีนบุรี!R379"")+IMPORTRANGE(""https://docs.googl"&amp;"e.com/spreadsheets/d/1BIDqLLg5jk3v59G8NlR8rk5xfQDKne0sAvZHSj7TI6I/edit?usp=sharing"",""พระนครศรีอยุธยา!R379"")+IMPORTRANGE(""https://docs.google.com/spreadsheets/d/1YXvxf8Yu6_rV4hTBrwMqAcAnv6DfhUxh5emyM3CJp_w/edit?usp=sharing"",""เพชรบุรี!R379"")+IMPORTRA"&amp;"NGE(""https://docs.google.com/spreadsheets/d/19KBlQQs7uwvsao6t2n-KvW3Ax8J8uRRfZPq1zPbXgKc/edit?usp=sharing"",""ระยอง!R379"")+IMPORTRANGE(""https://docs.google.com/spreadsheets/d/1jQ6P4QcrGM89YfqcC_PxOHGCMq5ezhucwJd8ci-NHng/edit?usp=sharing"",""ราชบุรี!R37"&amp;"9"")+IMPORTRANGE(""https://docs.google.com/spreadsheets/d/1lufeA2cfFqM-elVq2hznhDzC6Pr7wkJ9ZG_sYNGCMCU/edit?usp=sharing"",""ลพบุรี!R379"")+IMPORTRANGE(""https://docs.google.com/spreadsheets/d/10oOiF7loTyfsTkbd4MpaIm0HQ9SwB7IYHdIUvt-U1Uc/edit?usp=sharing"""&amp;",""สระแก้ว!R379"")+IMPORTRANGE(""https://docs.google.com/spreadsheets/d/1xmPlrr1QbdSIKvl1dWUl9K4PjAfSL9oeMr_37QVzcxc/edit?usp=sharing"",""สระบุรี!R379"")+IMPORTRANGE(""https://docs.google.com/spreadsheets/d/1j51vR6CYVGhABJpv6tkstgok82RLpXieLzW1yOY5rHw/edi"&amp;"t?usp=sharing"",""สิงห์บุรี!R379"")+IMPORTRANGE(""https://docs.google.com/spreadsheets/d/1H1EalTWKUSzO4Z1-1CwzoDUaVffgrThEBe2sl74kKG0/edit?usp=sharing"",""สุพรรณบุรี!R379"")+IMPORTRANGE(""https://docs.google.com/spreadsheets/d/1BmIruG_sIrJLYao_Pdr7zVArWsf"&amp;"oBt2692TMi6x_854/edit?usp=sharing"",""อ่างทอง!R379"")"),0)</f>
        <v>0</v>
      </c>
      <c r="S380" s="77">
        <f ca="1">IFERROR(__xludf.DUMMYFUNCTION("IMPORTRANGE(""https://docs.google.com/spreadsheets/d/13wPX838HrBrQMCywv1BsuMkt4PEKTChp52zj44s2izQ/edit?usp=sharing"",""กาญจนบุรี!S379"")+IMPORTRANGE(""https://docs.google.com/spreadsheets/d/1ddFKvqj1W1NEiWytbGlB1zMx_ykJDVtmfEQ-6-lIUBA/edit?usp=sharing"","&amp;"""จันทบุรี!S379"")+IMPORTRANGE(""https://docs.google.com/spreadsheets/d/1T1PQvRODqOBZk8BRht_U031fIS1beLA0Ub2CEytj2q0/edit?usp=sharing"",""ฉะเชิงเทรา!S379"")+IMPORTRANGE(""https://docs.google.com/spreadsheets/d/11tr1B-Bhyr79v2bkwVh5h_fR-PStkgjlZtkrZpYurG0/"&amp;"edit?usp=sharing"",""ชลบุรี!S379"")+IMPORTRANGE(""https://docs.google.com/spreadsheets/d/1hh-FVnSX0vozXhGluamEcS54Dw9_zqW0N7qJUWgJ0Sw/edit?usp=sharing"",""ชัยนาท!S379"")+IMPORTRANGE(""https://docs.google.com/spreadsheets/d/1jkqa6GXxSacMcY1eN8AHjMNJ_7dDXMJ"&amp;"VRLDlaFSOdPM/edit?usp=sharing"",""ตราด!S379"")+IMPORTRANGE(""https://docs.google.com/spreadsheets/d/18hSgUJ3VwClqi_qtULmmW3cLr0oe3OKaSYoKzdpTsYQ/edit?usp=sharing"",""นครนายก!S379"")+IMPORTRANGE(""https://docs.google.com/spreadsheets/d/1YTZo6WM2dQ6Ix6FSdnL"&amp;"5P7uVnVKu40sxZu975tgG10E/edit?usp=sharing"",""นครปฐม!S379"")+IMPORTRANGE(""https://docs.google.com/spreadsheets/d/1OYoGg4WDg5RIzwGeB10padOxJF9E_Vljuvvct_M7RDo/edit?usp=sharing"",""ปทุมธานี!S379"")+IMPORTRANGE(""https://docs.google.com/spreadsheets/d/1GbCI"&amp;"E4D4wk9FUozzqk7SxfDMxDVBwVmI5zcaVUSzKAc/edit?usp=sharing"",""ประจวบคีรีขันธ์!S379"")+IMPORTRANGE(""https://docs.google.com/spreadsheets/d/1vVf6wykvW_lAyu7Yo9L4hUTqHqIeP_qcVuxCtosJEbg/edit?usp=sharing"",""ปราจีนบุรี!S379"")+IMPORTRANGE(""https://docs.googl"&amp;"e.com/spreadsheets/d/1BIDqLLg5jk3v59G8NlR8rk5xfQDKne0sAvZHSj7TI6I/edit?usp=sharing"",""พระนครศรีอยุธยา!S379"")+IMPORTRANGE(""https://docs.google.com/spreadsheets/d/1YXvxf8Yu6_rV4hTBrwMqAcAnv6DfhUxh5emyM3CJp_w/edit?usp=sharing"",""เพชรบุรี!S379"")+IMPORTRA"&amp;"NGE(""https://docs.google.com/spreadsheets/d/19KBlQQs7uwvsao6t2n-KvW3Ax8J8uRRfZPq1zPbXgKc/edit?usp=sharing"",""ระยอง!S379"")+IMPORTRANGE(""https://docs.google.com/spreadsheets/d/1jQ6P4QcrGM89YfqcC_PxOHGCMq5ezhucwJd8ci-NHng/edit?usp=sharing"",""ราชบุรี!S37"&amp;"9"")+IMPORTRANGE(""https://docs.google.com/spreadsheets/d/1lufeA2cfFqM-elVq2hznhDzC6Pr7wkJ9ZG_sYNGCMCU/edit?usp=sharing"",""ลพบุรี!S379"")+IMPORTRANGE(""https://docs.google.com/spreadsheets/d/10oOiF7loTyfsTkbd4MpaIm0HQ9SwB7IYHdIUvt-U1Uc/edit?usp=sharing"""&amp;",""สระแก้ว!S379"")+IMPORTRANGE(""https://docs.google.com/spreadsheets/d/1xmPlrr1QbdSIKvl1dWUl9K4PjAfSL9oeMr_37QVzcxc/edit?usp=sharing"",""สระบุรี!S379"")+IMPORTRANGE(""https://docs.google.com/spreadsheets/d/1j51vR6CYVGhABJpv6tkstgok82RLpXieLzW1yOY5rHw/edi"&amp;"t?usp=sharing"",""สิงห์บุรี!S379"")+IMPORTRANGE(""https://docs.google.com/spreadsheets/d/1H1EalTWKUSzO4Z1-1CwzoDUaVffgrThEBe2sl74kKG0/edit?usp=sharing"",""สุพรรณบุรี!S379"")+IMPORTRANGE(""https://docs.google.com/spreadsheets/d/1BmIruG_sIrJLYao_Pdr7zVArWsf"&amp;"oBt2692TMi6x_854/edit?usp=sharing"",""อ่างทอง!S379"")"),0)</f>
        <v>0</v>
      </c>
      <c r="T380" s="133">
        <f t="shared" ca="1" si="278"/>
        <v>0</v>
      </c>
      <c r="U380" s="133">
        <f t="shared" ca="1" si="279"/>
        <v>0</v>
      </c>
    </row>
    <row r="381" spans="1:21" ht="18.75" x14ac:dyDescent="0.25">
      <c r="A381" s="257"/>
      <c r="B381" s="269"/>
      <c r="C381" s="269"/>
      <c r="D381" s="269"/>
      <c r="E381" s="589" t="s">
        <v>37</v>
      </c>
      <c r="F381" s="269"/>
      <c r="G381" s="312"/>
      <c r="H381" s="271" t="s">
        <v>14</v>
      </c>
      <c r="I381" s="272"/>
      <c r="J381" s="272"/>
      <c r="K381" s="229"/>
      <c r="L381" s="74">
        <f ca="1">IFERROR(__xludf.DUMMYFUNCTION("IMPORTRANGE(""https://docs.google.com/spreadsheets/d/13wPX838HrBrQMCywv1BsuMkt4PEKTChp52zj44s2izQ/edit?usp=sharing"",""กาญจนบุรี!L380"")+IMPORTRANGE(""https://docs.google.com/spreadsheets/d/1ddFKvqj1W1NEiWytbGlB1zMx_ykJDVtmfEQ-6-lIUBA/edit?usp=sharing"","&amp;"""จันทบุรี!L380"")+IMPORTRANGE(""https://docs.google.com/spreadsheets/d/1T1PQvRODqOBZk8BRht_U031fIS1beLA0Ub2CEytj2q0/edit?usp=sharing"",""ฉะเชิงเทรา!L380"")+IMPORTRANGE(""https://docs.google.com/spreadsheets/d/11tr1B-Bhyr79v2bkwVh5h_fR-PStkgjlZtkrZpYurG0/"&amp;"edit?usp=sharing"",""ชลบุรี!L380"")+IMPORTRANGE(""https://docs.google.com/spreadsheets/d/1hh-FVnSX0vozXhGluamEcS54Dw9_zqW0N7qJUWgJ0Sw/edit?usp=sharing"",""ชัยนาท!L380"")+IMPORTRANGE(""https://docs.google.com/spreadsheets/d/1jkqa6GXxSacMcY1eN8AHjMNJ_7dDXMJ"&amp;"VRLDlaFSOdPM/edit?usp=sharing"",""ตราด!L380"")+IMPORTRANGE(""https://docs.google.com/spreadsheets/d/18hSgUJ3VwClqi_qtULmmW3cLr0oe3OKaSYoKzdpTsYQ/edit?usp=sharing"",""นครนายก!L380"")+IMPORTRANGE(""https://docs.google.com/spreadsheets/d/1YTZo6WM2dQ6Ix6FSdnL"&amp;"5P7uVnVKu40sxZu975tgG10E/edit?usp=sharing"",""นครปฐม!L380"")+IMPORTRANGE(""https://docs.google.com/spreadsheets/d/1OYoGg4WDg5RIzwGeB10padOxJF9E_Vljuvvct_M7RDo/edit?usp=sharing"",""ปทุมธานี!L380"")+IMPORTRANGE(""https://docs.google.com/spreadsheets/d/1GbCI"&amp;"E4D4wk9FUozzqk7SxfDMxDVBwVmI5zcaVUSzKAc/edit?usp=sharing"",""ประจวบคีรีขันธ์!L380"")+IMPORTRANGE(""https://docs.google.com/spreadsheets/d/1vVf6wykvW_lAyu7Yo9L4hUTqHqIeP_qcVuxCtosJEbg/edit?usp=sharing"",""ปราจีนบุรี!L380"")+IMPORTRANGE(""https://docs.googl"&amp;"e.com/spreadsheets/d/1BIDqLLg5jk3v59G8NlR8rk5xfQDKne0sAvZHSj7TI6I/edit?usp=sharing"",""พระนครศรีอยุธยา!L380"")+IMPORTRANGE(""https://docs.google.com/spreadsheets/d/1YXvxf8Yu6_rV4hTBrwMqAcAnv6DfhUxh5emyM3CJp_w/edit?usp=sharing"",""เพชรบุรี!L380"")+IMPORTRA"&amp;"NGE(""https://docs.google.com/spreadsheets/d/19KBlQQs7uwvsao6t2n-KvW3Ax8J8uRRfZPq1zPbXgKc/edit?usp=sharing"",""ระยอง!L380"")+IMPORTRANGE(""https://docs.google.com/spreadsheets/d/1jQ6P4QcrGM89YfqcC_PxOHGCMq5ezhucwJd8ci-NHng/edit?usp=sharing"",""ราชบุรี!L38"&amp;"0"")+IMPORTRANGE(""https://docs.google.com/spreadsheets/d/1lufeA2cfFqM-elVq2hznhDzC6Pr7wkJ9ZG_sYNGCMCU/edit?usp=sharing"",""ลพบุรี!L380"")+IMPORTRANGE(""https://docs.google.com/spreadsheets/d/10oOiF7loTyfsTkbd4MpaIm0HQ9SwB7IYHdIUvt-U1Uc/edit?usp=sharing"""&amp;",""สระแก้ว!L380"")+IMPORTRANGE(""https://docs.google.com/spreadsheets/d/1xmPlrr1QbdSIKvl1dWUl9K4PjAfSL9oeMr_37QVzcxc/edit?usp=sharing"",""สระบุรี!L380"")+IMPORTRANGE(""https://docs.google.com/spreadsheets/d/1j51vR6CYVGhABJpv6tkstgok82RLpXieLzW1yOY5rHw/edi"&amp;"t?usp=sharing"",""สิงห์บุรี!L380"")+IMPORTRANGE(""https://docs.google.com/spreadsheets/d/1H1EalTWKUSzO4Z1-1CwzoDUaVffgrThEBe2sl74kKG0/edit?usp=sharing"",""สุพรรณบุรี!L380"")+IMPORTRANGE(""https://docs.google.com/spreadsheets/d/1BmIruG_sIrJLYao_Pdr7zVArWsf"&amp;"oBt2692TMi6x_854/edit?usp=sharing"",""อ่างทอง!L380"")"),0)</f>
        <v>0</v>
      </c>
      <c r="M381" s="74">
        <f ca="1">IFERROR(__xludf.DUMMYFUNCTION("IMPORTRANGE(""https://docs.google.com/spreadsheets/d/13wPX838HrBrQMCywv1BsuMkt4PEKTChp52zj44s2izQ/edit?usp=sharing"",""กาญจนบุรี!M380"")+IMPORTRANGE(""https://docs.google.com/spreadsheets/d/1ddFKvqj1W1NEiWytbGlB1zMx_ykJDVtmfEQ-6-lIUBA/edit?usp=sharing"","&amp;"""จันทบุรี!M380"")+IMPORTRANGE(""https://docs.google.com/spreadsheets/d/1T1PQvRODqOBZk8BRht_U031fIS1beLA0Ub2CEytj2q0/edit?usp=sharing"",""ฉะเชิงเทรา!M380"")+IMPORTRANGE(""https://docs.google.com/spreadsheets/d/11tr1B-Bhyr79v2bkwVh5h_fR-PStkgjlZtkrZpYurG0/"&amp;"edit?usp=sharing"",""ชลบุรี!M380"")+IMPORTRANGE(""https://docs.google.com/spreadsheets/d/1hh-FVnSX0vozXhGluamEcS54Dw9_zqW0N7qJUWgJ0Sw/edit?usp=sharing"",""ชัยนาท!M380"")+IMPORTRANGE(""https://docs.google.com/spreadsheets/d/1jkqa6GXxSacMcY1eN8AHjMNJ_7dDXMJ"&amp;"VRLDlaFSOdPM/edit?usp=sharing"",""ตราด!M380"")+IMPORTRANGE(""https://docs.google.com/spreadsheets/d/18hSgUJ3VwClqi_qtULmmW3cLr0oe3OKaSYoKzdpTsYQ/edit?usp=sharing"",""นครนายก!M380"")+IMPORTRANGE(""https://docs.google.com/spreadsheets/d/1YTZo6WM2dQ6Ix6FSdnL"&amp;"5P7uVnVKu40sxZu975tgG10E/edit?usp=sharing"",""นครปฐม!M380"")+IMPORTRANGE(""https://docs.google.com/spreadsheets/d/1OYoGg4WDg5RIzwGeB10padOxJF9E_Vljuvvct_M7RDo/edit?usp=sharing"",""ปทุมธานี!M380"")+IMPORTRANGE(""https://docs.google.com/spreadsheets/d/1GbCI"&amp;"E4D4wk9FUozzqk7SxfDMxDVBwVmI5zcaVUSzKAc/edit?usp=sharing"",""ประจวบคีรีขันธ์!M380"")+IMPORTRANGE(""https://docs.google.com/spreadsheets/d/1vVf6wykvW_lAyu7Yo9L4hUTqHqIeP_qcVuxCtosJEbg/edit?usp=sharing"",""ปราจีนบุรี!M380"")+IMPORTRANGE(""https://docs.googl"&amp;"e.com/spreadsheets/d/1BIDqLLg5jk3v59G8NlR8rk5xfQDKne0sAvZHSj7TI6I/edit?usp=sharing"",""พระนครศรีอยุธยา!M380"")+IMPORTRANGE(""https://docs.google.com/spreadsheets/d/1YXvxf8Yu6_rV4hTBrwMqAcAnv6DfhUxh5emyM3CJp_w/edit?usp=sharing"",""เพชรบุรี!M380"")+IMPORTRA"&amp;"NGE(""https://docs.google.com/spreadsheets/d/19KBlQQs7uwvsao6t2n-KvW3Ax8J8uRRfZPq1zPbXgKc/edit?usp=sharing"",""ระยอง!M380"")+IMPORTRANGE(""https://docs.google.com/spreadsheets/d/1jQ6P4QcrGM89YfqcC_PxOHGCMq5ezhucwJd8ci-NHng/edit?usp=sharing"",""ราชบุรี!M38"&amp;"0"")+IMPORTRANGE(""https://docs.google.com/spreadsheets/d/1lufeA2cfFqM-elVq2hznhDzC6Pr7wkJ9ZG_sYNGCMCU/edit?usp=sharing"",""ลพบุรี!M380"")+IMPORTRANGE(""https://docs.google.com/spreadsheets/d/10oOiF7loTyfsTkbd4MpaIm0HQ9SwB7IYHdIUvt-U1Uc/edit?usp=sharing"""&amp;",""สระแก้ว!M380"")+IMPORTRANGE(""https://docs.google.com/spreadsheets/d/1xmPlrr1QbdSIKvl1dWUl9K4PjAfSL9oeMr_37QVzcxc/edit?usp=sharing"",""สระบุรี!M380"")+IMPORTRANGE(""https://docs.google.com/spreadsheets/d/1j51vR6CYVGhABJpv6tkstgok82RLpXieLzW1yOY5rHw/edi"&amp;"t?usp=sharing"",""สิงห์บุรี!M380"")+IMPORTRANGE(""https://docs.google.com/spreadsheets/d/1H1EalTWKUSzO4Z1-1CwzoDUaVffgrThEBe2sl74kKG0/edit?usp=sharing"",""สุพรรณบุรี!M380"")+IMPORTRANGE(""https://docs.google.com/spreadsheets/d/1BmIruG_sIrJLYao_Pdr7zVArWsf"&amp;"oBt2692TMi6x_854/edit?usp=sharing"",""อ่างทอง!M380"")"),0)</f>
        <v>0</v>
      </c>
      <c r="N381" s="74">
        <f ca="1">IFERROR(__xludf.DUMMYFUNCTION("IMPORTRANGE(""https://docs.google.com/spreadsheets/d/13wPX838HrBrQMCywv1BsuMkt4PEKTChp52zj44s2izQ/edit?usp=sharing"",""กาญจนบุรี!N380"")+IMPORTRANGE(""https://docs.google.com/spreadsheets/d/1ddFKvqj1W1NEiWytbGlB1zMx_ykJDVtmfEQ-6-lIUBA/edit?usp=sharing"","&amp;"""จันทบุรี!N380"")+IMPORTRANGE(""https://docs.google.com/spreadsheets/d/1T1PQvRODqOBZk8BRht_U031fIS1beLA0Ub2CEytj2q0/edit?usp=sharing"",""ฉะเชิงเทรา!N380"")+IMPORTRANGE(""https://docs.google.com/spreadsheets/d/11tr1B-Bhyr79v2bkwVh5h_fR-PStkgjlZtkrZpYurG0/"&amp;"edit?usp=sharing"",""ชลบุรี!N380"")+IMPORTRANGE(""https://docs.google.com/spreadsheets/d/1hh-FVnSX0vozXhGluamEcS54Dw9_zqW0N7qJUWgJ0Sw/edit?usp=sharing"",""ชัยนาท!N380"")+IMPORTRANGE(""https://docs.google.com/spreadsheets/d/1jkqa6GXxSacMcY1eN8AHjMNJ_7dDXMJ"&amp;"VRLDlaFSOdPM/edit?usp=sharing"",""ตราด!N380"")+IMPORTRANGE(""https://docs.google.com/spreadsheets/d/18hSgUJ3VwClqi_qtULmmW3cLr0oe3OKaSYoKzdpTsYQ/edit?usp=sharing"",""นครนายก!N380"")+IMPORTRANGE(""https://docs.google.com/spreadsheets/d/1YTZo6WM2dQ6Ix6FSdnL"&amp;"5P7uVnVKu40sxZu975tgG10E/edit?usp=sharing"",""นครปฐม!N380"")+IMPORTRANGE(""https://docs.google.com/spreadsheets/d/1OYoGg4WDg5RIzwGeB10padOxJF9E_Vljuvvct_M7RDo/edit?usp=sharing"",""ปทุมธานี!N380"")+IMPORTRANGE(""https://docs.google.com/spreadsheets/d/1GbCI"&amp;"E4D4wk9FUozzqk7SxfDMxDVBwVmI5zcaVUSzKAc/edit?usp=sharing"",""ประจวบคีรีขันธ์!N380"")+IMPORTRANGE(""https://docs.google.com/spreadsheets/d/1vVf6wykvW_lAyu7Yo9L4hUTqHqIeP_qcVuxCtosJEbg/edit?usp=sharing"",""ปราจีนบุรี!N380"")+IMPORTRANGE(""https://docs.googl"&amp;"e.com/spreadsheets/d/1BIDqLLg5jk3v59G8NlR8rk5xfQDKne0sAvZHSj7TI6I/edit?usp=sharing"",""พระนครศรีอยุธยา!N380"")+IMPORTRANGE(""https://docs.google.com/spreadsheets/d/1YXvxf8Yu6_rV4hTBrwMqAcAnv6DfhUxh5emyM3CJp_w/edit?usp=sharing"",""เพชรบุรี!N380"")+IMPORTRA"&amp;"NGE(""https://docs.google.com/spreadsheets/d/19KBlQQs7uwvsao6t2n-KvW3Ax8J8uRRfZPq1zPbXgKc/edit?usp=sharing"",""ระยอง!N380"")+IMPORTRANGE(""https://docs.google.com/spreadsheets/d/1jQ6P4QcrGM89YfqcC_PxOHGCMq5ezhucwJd8ci-NHng/edit?usp=sharing"",""ราชบุรี!N38"&amp;"0"")+IMPORTRANGE(""https://docs.google.com/spreadsheets/d/1lufeA2cfFqM-elVq2hznhDzC6Pr7wkJ9ZG_sYNGCMCU/edit?usp=sharing"",""ลพบุรี!N380"")+IMPORTRANGE(""https://docs.google.com/spreadsheets/d/10oOiF7loTyfsTkbd4MpaIm0HQ9SwB7IYHdIUvt-U1Uc/edit?usp=sharing"""&amp;",""สระแก้ว!N380"")+IMPORTRANGE(""https://docs.google.com/spreadsheets/d/1xmPlrr1QbdSIKvl1dWUl9K4PjAfSL9oeMr_37QVzcxc/edit?usp=sharing"",""สระบุรี!N380"")+IMPORTRANGE(""https://docs.google.com/spreadsheets/d/1j51vR6CYVGhABJpv6tkstgok82RLpXieLzW1yOY5rHw/edi"&amp;"t?usp=sharing"",""สิงห์บุรี!N380"")+IMPORTRANGE(""https://docs.google.com/spreadsheets/d/1H1EalTWKUSzO4Z1-1CwzoDUaVffgrThEBe2sl74kKG0/edit?usp=sharing"",""สุพรรณบุรี!N380"")+IMPORTRANGE(""https://docs.google.com/spreadsheets/d/1BmIruG_sIrJLYao_Pdr7zVArWsf"&amp;"oBt2692TMi6x_854/edit?usp=sharing"",""อ่างทอง!N380"")"),0)</f>
        <v>0</v>
      </c>
      <c r="O381" s="74">
        <f t="shared" ca="1" si="275"/>
        <v>0</v>
      </c>
      <c r="P381" s="74">
        <f t="shared" ca="1" si="276"/>
        <v>0</v>
      </c>
      <c r="Q381" s="131">
        <f ca="1">IFERROR(__xludf.DUMMYFUNCTION("IMPORTRANGE(""https://docs.google.com/spreadsheets/d/13wPX838HrBrQMCywv1BsuMkt4PEKTChp52zj44s2izQ/edit?usp=sharing"",""กาญจนบุรี!Q380"")+IMPORTRANGE(""https://docs.google.com/spreadsheets/d/1ddFKvqj1W1NEiWytbGlB1zMx_ykJDVtmfEQ-6-lIUBA/edit?usp=sharing"","&amp;"""จันทบุรี!Q380"")+IMPORTRANGE(""https://docs.google.com/spreadsheets/d/1T1PQvRODqOBZk8BRht_U031fIS1beLA0Ub2CEytj2q0/edit?usp=sharing"",""ฉะเชิงเทรา!Q380"")+IMPORTRANGE(""https://docs.google.com/spreadsheets/d/11tr1B-Bhyr79v2bkwVh5h_fR-PStkgjlZtkrZpYurG0/"&amp;"edit?usp=sharing"",""ชลบุรี!Q380"")+IMPORTRANGE(""https://docs.google.com/spreadsheets/d/1hh-FVnSX0vozXhGluamEcS54Dw9_zqW0N7qJUWgJ0Sw/edit?usp=sharing"",""ชัยนาท!Q380"")+IMPORTRANGE(""https://docs.google.com/spreadsheets/d/1jkqa6GXxSacMcY1eN8AHjMNJ_7dDXMJ"&amp;"VRLDlaFSOdPM/edit?usp=sharing"",""ตราด!Q380"")+IMPORTRANGE(""https://docs.google.com/spreadsheets/d/18hSgUJ3VwClqi_qtULmmW3cLr0oe3OKaSYoKzdpTsYQ/edit?usp=sharing"",""นครนายก!Q380"")+IMPORTRANGE(""https://docs.google.com/spreadsheets/d/1YTZo6WM2dQ6Ix6FSdnL"&amp;"5P7uVnVKu40sxZu975tgG10E/edit?usp=sharing"",""นครปฐม!Q380"")+IMPORTRANGE(""https://docs.google.com/spreadsheets/d/1OYoGg4WDg5RIzwGeB10padOxJF9E_Vljuvvct_M7RDo/edit?usp=sharing"",""ปทุมธานี!Q380"")+IMPORTRANGE(""https://docs.google.com/spreadsheets/d/1GbCI"&amp;"E4D4wk9FUozzqk7SxfDMxDVBwVmI5zcaVUSzKAc/edit?usp=sharing"",""ประจวบคีรีขันธ์!Q380"")+IMPORTRANGE(""https://docs.google.com/spreadsheets/d/1vVf6wykvW_lAyu7Yo9L4hUTqHqIeP_qcVuxCtosJEbg/edit?usp=sharing"",""ปราจีนบุรี!Q380"")+IMPORTRANGE(""https://docs.googl"&amp;"e.com/spreadsheets/d/1BIDqLLg5jk3v59G8NlR8rk5xfQDKne0sAvZHSj7TI6I/edit?usp=sharing"",""พระนครศรีอยุธยา!Q380"")+IMPORTRANGE(""https://docs.google.com/spreadsheets/d/1YXvxf8Yu6_rV4hTBrwMqAcAnv6DfhUxh5emyM3CJp_w/edit?usp=sharing"",""เพชรบุรี!Q380"")+IMPORTRA"&amp;"NGE(""https://docs.google.com/spreadsheets/d/19KBlQQs7uwvsao6t2n-KvW3Ax8J8uRRfZPq1zPbXgKc/edit?usp=sharing"",""ระยอง!Q380"")+IMPORTRANGE(""https://docs.google.com/spreadsheets/d/1jQ6P4QcrGM89YfqcC_PxOHGCMq5ezhucwJd8ci-NHng/edit?usp=sharing"",""ราชบุรี!Q38"&amp;"0"")+IMPORTRANGE(""https://docs.google.com/spreadsheets/d/1lufeA2cfFqM-elVq2hznhDzC6Pr7wkJ9ZG_sYNGCMCU/edit?usp=sharing"",""ลพบุรี!Q380"")+IMPORTRANGE(""https://docs.google.com/spreadsheets/d/10oOiF7loTyfsTkbd4MpaIm0HQ9SwB7IYHdIUvt-U1Uc/edit?usp=sharing"""&amp;",""สระแก้ว!Q380"")+IMPORTRANGE(""https://docs.google.com/spreadsheets/d/1xmPlrr1QbdSIKvl1dWUl9K4PjAfSL9oeMr_37QVzcxc/edit?usp=sharing"",""สระบุรี!Q380"")+IMPORTRANGE(""https://docs.google.com/spreadsheets/d/1j51vR6CYVGhABJpv6tkstgok82RLpXieLzW1yOY5rHw/edi"&amp;"t?usp=sharing"",""สิงห์บุรี!Q380"")+IMPORTRANGE(""https://docs.google.com/spreadsheets/d/1H1EalTWKUSzO4Z1-1CwzoDUaVffgrThEBe2sl74kKG0/edit?usp=sharing"",""สุพรรณบุรี!Q380"")+IMPORTRANGE(""https://docs.google.com/spreadsheets/d/1BmIruG_sIrJLYao_Pdr7zVArWsf"&amp;"oBt2692TMi6x_854/edit?usp=sharing"",""อ่างทอง!Q380"")"),862500)</f>
        <v>862500</v>
      </c>
      <c r="R381" s="132">
        <f ca="1">IFERROR(__xludf.DUMMYFUNCTION("IMPORTRANGE(""https://docs.google.com/spreadsheets/d/13wPX838HrBrQMCywv1BsuMkt4PEKTChp52zj44s2izQ/edit?usp=sharing"",""กาญจนบุรี!R380"")+IMPORTRANGE(""https://docs.google.com/spreadsheets/d/1ddFKvqj1W1NEiWytbGlB1zMx_ykJDVtmfEQ-6-lIUBA/edit?usp=sharing"","&amp;"""จันทบุรี!R380"")+IMPORTRANGE(""https://docs.google.com/spreadsheets/d/1T1PQvRODqOBZk8BRht_U031fIS1beLA0Ub2CEytj2q0/edit?usp=sharing"",""ฉะเชิงเทรา!R380"")+IMPORTRANGE(""https://docs.google.com/spreadsheets/d/11tr1B-Bhyr79v2bkwVh5h_fR-PStkgjlZtkrZpYurG0/"&amp;"edit?usp=sharing"",""ชลบุรี!R380"")+IMPORTRANGE(""https://docs.google.com/spreadsheets/d/1hh-FVnSX0vozXhGluamEcS54Dw9_zqW0N7qJUWgJ0Sw/edit?usp=sharing"",""ชัยนาท!R380"")+IMPORTRANGE(""https://docs.google.com/spreadsheets/d/1jkqa6GXxSacMcY1eN8AHjMNJ_7dDXMJ"&amp;"VRLDlaFSOdPM/edit?usp=sharing"",""ตราด!R380"")+IMPORTRANGE(""https://docs.google.com/spreadsheets/d/18hSgUJ3VwClqi_qtULmmW3cLr0oe3OKaSYoKzdpTsYQ/edit?usp=sharing"",""นครนายก!R380"")+IMPORTRANGE(""https://docs.google.com/spreadsheets/d/1YTZo6WM2dQ6Ix6FSdnL"&amp;"5P7uVnVKu40sxZu975tgG10E/edit?usp=sharing"",""นครปฐม!R380"")+IMPORTRANGE(""https://docs.google.com/spreadsheets/d/1OYoGg4WDg5RIzwGeB10padOxJF9E_Vljuvvct_M7RDo/edit?usp=sharing"",""ปทุมธานี!R380"")+IMPORTRANGE(""https://docs.google.com/spreadsheets/d/1GbCI"&amp;"E4D4wk9FUozzqk7SxfDMxDVBwVmI5zcaVUSzKAc/edit?usp=sharing"",""ประจวบคีรีขันธ์!R380"")+IMPORTRANGE(""https://docs.google.com/spreadsheets/d/1vVf6wykvW_lAyu7Yo9L4hUTqHqIeP_qcVuxCtosJEbg/edit?usp=sharing"",""ปราจีนบุรี!R380"")+IMPORTRANGE(""https://docs.googl"&amp;"e.com/spreadsheets/d/1BIDqLLg5jk3v59G8NlR8rk5xfQDKne0sAvZHSj7TI6I/edit?usp=sharing"",""พระนครศรีอยุธยา!R380"")+IMPORTRANGE(""https://docs.google.com/spreadsheets/d/1YXvxf8Yu6_rV4hTBrwMqAcAnv6DfhUxh5emyM3CJp_w/edit?usp=sharing"",""เพชรบุรี!R380"")+IMPORTRA"&amp;"NGE(""https://docs.google.com/spreadsheets/d/19KBlQQs7uwvsao6t2n-KvW3Ax8J8uRRfZPq1zPbXgKc/edit?usp=sharing"",""ระยอง!R380"")+IMPORTRANGE(""https://docs.google.com/spreadsheets/d/1jQ6P4QcrGM89YfqcC_PxOHGCMq5ezhucwJd8ci-NHng/edit?usp=sharing"",""ราชบุรี!R38"&amp;"0"")+IMPORTRANGE(""https://docs.google.com/spreadsheets/d/1lufeA2cfFqM-elVq2hznhDzC6Pr7wkJ9ZG_sYNGCMCU/edit?usp=sharing"",""ลพบุรี!R380"")+IMPORTRANGE(""https://docs.google.com/spreadsheets/d/10oOiF7loTyfsTkbd4MpaIm0HQ9SwB7IYHdIUvt-U1Uc/edit?usp=sharing"""&amp;",""สระแก้ว!R380"")+IMPORTRANGE(""https://docs.google.com/spreadsheets/d/1xmPlrr1QbdSIKvl1dWUl9K4PjAfSL9oeMr_37QVzcxc/edit?usp=sharing"",""สระบุรี!R380"")+IMPORTRANGE(""https://docs.google.com/spreadsheets/d/1j51vR6CYVGhABJpv6tkstgok82RLpXieLzW1yOY5rHw/edi"&amp;"t?usp=sharing"",""สิงห์บุรี!R380"")+IMPORTRANGE(""https://docs.google.com/spreadsheets/d/1H1EalTWKUSzO4Z1-1CwzoDUaVffgrThEBe2sl74kKG0/edit?usp=sharing"",""สุพรรณบุรี!R380"")+IMPORTRANGE(""https://docs.google.com/spreadsheets/d/1BmIruG_sIrJLYao_Pdr7zVArWsf"&amp;"oBt2692TMi6x_854/edit?usp=sharing"",""อ่างทอง!R380"")"),0)</f>
        <v>0</v>
      </c>
      <c r="S381" s="132">
        <f ca="1">IFERROR(__xludf.DUMMYFUNCTION("IMPORTRANGE(""https://docs.google.com/spreadsheets/d/13wPX838HrBrQMCywv1BsuMkt4PEKTChp52zj44s2izQ/edit?usp=sharing"",""กาญจนบุรี!S380"")+IMPORTRANGE(""https://docs.google.com/spreadsheets/d/1ddFKvqj1W1NEiWytbGlB1zMx_ykJDVtmfEQ-6-lIUBA/edit?usp=sharing"","&amp;"""จันทบุรี!S380"")+IMPORTRANGE(""https://docs.google.com/spreadsheets/d/1T1PQvRODqOBZk8BRht_U031fIS1beLA0Ub2CEytj2q0/edit?usp=sharing"",""ฉะเชิงเทรา!S380"")+IMPORTRANGE(""https://docs.google.com/spreadsheets/d/11tr1B-Bhyr79v2bkwVh5h_fR-PStkgjlZtkrZpYurG0/"&amp;"edit?usp=sharing"",""ชลบุรี!S380"")+IMPORTRANGE(""https://docs.google.com/spreadsheets/d/1hh-FVnSX0vozXhGluamEcS54Dw9_zqW0N7qJUWgJ0Sw/edit?usp=sharing"",""ชัยนาท!S380"")+IMPORTRANGE(""https://docs.google.com/spreadsheets/d/1jkqa6GXxSacMcY1eN8AHjMNJ_7dDXMJ"&amp;"VRLDlaFSOdPM/edit?usp=sharing"",""ตราด!S380"")+IMPORTRANGE(""https://docs.google.com/spreadsheets/d/18hSgUJ3VwClqi_qtULmmW3cLr0oe3OKaSYoKzdpTsYQ/edit?usp=sharing"",""นครนายก!S380"")+IMPORTRANGE(""https://docs.google.com/spreadsheets/d/1YTZo6WM2dQ6Ix6FSdnL"&amp;"5P7uVnVKu40sxZu975tgG10E/edit?usp=sharing"",""นครปฐม!S380"")+IMPORTRANGE(""https://docs.google.com/spreadsheets/d/1OYoGg4WDg5RIzwGeB10padOxJF9E_Vljuvvct_M7RDo/edit?usp=sharing"",""ปทุมธานี!S380"")+IMPORTRANGE(""https://docs.google.com/spreadsheets/d/1GbCI"&amp;"E4D4wk9FUozzqk7SxfDMxDVBwVmI5zcaVUSzKAc/edit?usp=sharing"",""ประจวบคีรีขันธ์!S380"")+IMPORTRANGE(""https://docs.google.com/spreadsheets/d/1vVf6wykvW_lAyu7Yo9L4hUTqHqIeP_qcVuxCtosJEbg/edit?usp=sharing"",""ปราจีนบุรี!S380"")+IMPORTRANGE(""https://docs.googl"&amp;"e.com/spreadsheets/d/1BIDqLLg5jk3v59G8NlR8rk5xfQDKne0sAvZHSj7TI6I/edit?usp=sharing"",""พระนครศรีอยุธยา!S380"")+IMPORTRANGE(""https://docs.google.com/spreadsheets/d/1YXvxf8Yu6_rV4hTBrwMqAcAnv6DfhUxh5emyM3CJp_w/edit?usp=sharing"",""เพชรบุรี!S380"")+IMPORTRA"&amp;"NGE(""https://docs.google.com/spreadsheets/d/19KBlQQs7uwvsao6t2n-KvW3Ax8J8uRRfZPq1zPbXgKc/edit?usp=sharing"",""ระยอง!S380"")+IMPORTRANGE(""https://docs.google.com/spreadsheets/d/1jQ6P4QcrGM89YfqcC_PxOHGCMq5ezhucwJd8ci-NHng/edit?usp=sharing"",""ราชบุรี!S38"&amp;"0"")+IMPORTRANGE(""https://docs.google.com/spreadsheets/d/1lufeA2cfFqM-elVq2hznhDzC6Pr7wkJ9ZG_sYNGCMCU/edit?usp=sharing"",""ลพบุรี!S380"")+IMPORTRANGE(""https://docs.google.com/spreadsheets/d/10oOiF7loTyfsTkbd4MpaIm0HQ9SwB7IYHdIUvt-U1Uc/edit?usp=sharing"""&amp;",""สระแก้ว!S380"")+IMPORTRANGE(""https://docs.google.com/spreadsheets/d/1xmPlrr1QbdSIKvl1dWUl9K4PjAfSL9oeMr_37QVzcxc/edit?usp=sharing"",""สระบุรี!S380"")+IMPORTRANGE(""https://docs.google.com/spreadsheets/d/1j51vR6CYVGhABJpv6tkstgok82RLpXieLzW1yOY5rHw/edi"&amp;"t?usp=sharing"",""สิงห์บุรี!S380"")+IMPORTRANGE(""https://docs.google.com/spreadsheets/d/1H1EalTWKUSzO4Z1-1CwzoDUaVffgrThEBe2sl74kKG0/edit?usp=sharing"",""สุพรรณบุรี!S380"")+IMPORTRANGE(""https://docs.google.com/spreadsheets/d/1BmIruG_sIrJLYao_Pdr7zVArWsf"&amp;"oBt2692TMi6x_854/edit?usp=sharing"",""อ่างทอง!S380"")"),0)</f>
        <v>0</v>
      </c>
      <c r="T381" s="132">
        <f t="shared" ca="1" si="278"/>
        <v>0</v>
      </c>
      <c r="U381" s="132">
        <f t="shared" ca="1" si="279"/>
        <v>0</v>
      </c>
    </row>
    <row r="382" spans="1:21" ht="18.75" x14ac:dyDescent="0.25">
      <c r="A382" s="257"/>
      <c r="B382" s="269"/>
      <c r="C382" s="269"/>
      <c r="D382" s="274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4">
        <f t="shared" ref="L382:N382" ca="1" si="286">L383+L384</f>
        <v>0</v>
      </c>
      <c r="M382" s="74">
        <f t="shared" ca="1" si="286"/>
        <v>0</v>
      </c>
      <c r="N382" s="74">
        <f t="shared" ca="1" si="286"/>
        <v>0</v>
      </c>
      <c r="O382" s="74">
        <f t="shared" ca="1" si="275"/>
        <v>0</v>
      </c>
      <c r="P382" s="74">
        <f t="shared" ca="1" si="276"/>
        <v>0</v>
      </c>
      <c r="Q382" s="131">
        <f t="shared" ref="Q382:S382" ca="1" si="287">Q383+Q384</f>
        <v>0</v>
      </c>
      <c r="R382" s="132">
        <f t="shared" ca="1" si="287"/>
        <v>0</v>
      </c>
      <c r="S382" s="132">
        <f t="shared" ca="1" si="287"/>
        <v>0</v>
      </c>
      <c r="T382" s="132">
        <f t="shared" ca="1" si="278"/>
        <v>0</v>
      </c>
      <c r="U382" s="132">
        <f t="shared" ca="1" si="279"/>
        <v>0</v>
      </c>
    </row>
    <row r="383" spans="1:21" ht="18.75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7">
        <f ca="1">IFERROR(__xludf.DUMMYFUNCTION("IMPORTRANGE(""https://docs.google.com/spreadsheets/d/13wPX838HrBrQMCywv1BsuMkt4PEKTChp52zj44s2izQ/edit?usp=sharing"",""กาญจนบุรี!L382"")+IMPORTRANGE(""https://docs.google.com/spreadsheets/d/1ddFKvqj1W1NEiWytbGlB1zMx_ykJDVtmfEQ-6-lIUBA/edit?usp=sharing"","&amp;"""จันทบุรี!L382"")+IMPORTRANGE(""https://docs.google.com/spreadsheets/d/1T1PQvRODqOBZk8BRht_U031fIS1beLA0Ub2CEytj2q0/edit?usp=sharing"",""ฉะเชิงเทรา!L382"")+IMPORTRANGE(""https://docs.google.com/spreadsheets/d/11tr1B-Bhyr79v2bkwVh5h_fR-PStkgjlZtkrZpYurG0/"&amp;"edit?usp=sharing"",""ชลบุรี!L382"")+IMPORTRANGE(""https://docs.google.com/spreadsheets/d/1hh-FVnSX0vozXhGluamEcS54Dw9_zqW0N7qJUWgJ0Sw/edit?usp=sharing"",""ชัยนาท!L382"")+IMPORTRANGE(""https://docs.google.com/spreadsheets/d/1jkqa6GXxSacMcY1eN8AHjMNJ_7dDXMJ"&amp;"VRLDlaFSOdPM/edit?usp=sharing"",""ตราด!L382"")+IMPORTRANGE(""https://docs.google.com/spreadsheets/d/18hSgUJ3VwClqi_qtULmmW3cLr0oe3OKaSYoKzdpTsYQ/edit?usp=sharing"",""นครนายก!L382"")+IMPORTRANGE(""https://docs.google.com/spreadsheets/d/1YTZo6WM2dQ6Ix6FSdnL"&amp;"5P7uVnVKu40sxZu975tgG10E/edit?usp=sharing"",""นครปฐม!L382"")+IMPORTRANGE(""https://docs.google.com/spreadsheets/d/1OYoGg4WDg5RIzwGeB10padOxJF9E_Vljuvvct_M7RDo/edit?usp=sharing"",""ปทุมธานี!L382"")+IMPORTRANGE(""https://docs.google.com/spreadsheets/d/1GbCI"&amp;"E4D4wk9FUozzqk7SxfDMxDVBwVmI5zcaVUSzKAc/edit?usp=sharing"",""ประจวบคีรีขันธ์!L382"")+IMPORTRANGE(""https://docs.google.com/spreadsheets/d/1vVf6wykvW_lAyu7Yo9L4hUTqHqIeP_qcVuxCtosJEbg/edit?usp=sharing"",""ปราจีนบุรี!L382"")+IMPORTRANGE(""https://docs.googl"&amp;"e.com/spreadsheets/d/1BIDqLLg5jk3v59G8NlR8rk5xfQDKne0sAvZHSj7TI6I/edit?usp=sharing"",""พระนครศรีอยุธยา!L382"")+IMPORTRANGE(""https://docs.google.com/spreadsheets/d/1YXvxf8Yu6_rV4hTBrwMqAcAnv6DfhUxh5emyM3CJp_w/edit?usp=sharing"",""เพชรบุรี!L382"")+IMPORTRA"&amp;"NGE(""https://docs.google.com/spreadsheets/d/19KBlQQs7uwvsao6t2n-KvW3Ax8J8uRRfZPq1zPbXgKc/edit?usp=sharing"",""ระยอง!L382"")+IMPORTRANGE(""https://docs.google.com/spreadsheets/d/1jQ6P4QcrGM89YfqcC_PxOHGCMq5ezhucwJd8ci-NHng/edit?usp=sharing"",""ราชบุรี!L38"&amp;"2"")+IMPORTRANGE(""https://docs.google.com/spreadsheets/d/1lufeA2cfFqM-elVq2hznhDzC6Pr7wkJ9ZG_sYNGCMCU/edit?usp=sharing"",""ลพบุรี!L382"")+IMPORTRANGE(""https://docs.google.com/spreadsheets/d/10oOiF7loTyfsTkbd4MpaIm0HQ9SwB7IYHdIUvt-U1Uc/edit?usp=sharing"""&amp;",""สระแก้ว!L382"")+IMPORTRANGE(""https://docs.google.com/spreadsheets/d/1xmPlrr1QbdSIKvl1dWUl9K4PjAfSL9oeMr_37QVzcxc/edit?usp=sharing"",""สระบุรี!L382"")+IMPORTRANGE(""https://docs.google.com/spreadsheets/d/1j51vR6CYVGhABJpv6tkstgok82RLpXieLzW1yOY5rHw/edi"&amp;"t?usp=sharing"",""สิงห์บุรี!L382"")+IMPORTRANGE(""https://docs.google.com/spreadsheets/d/1H1EalTWKUSzO4Z1-1CwzoDUaVffgrThEBe2sl74kKG0/edit?usp=sharing"",""สุพรรณบุรี!L382"")+IMPORTRANGE(""https://docs.google.com/spreadsheets/d/1BmIruG_sIrJLYao_Pdr7zVArWsf"&amp;"oBt2692TMi6x_854/edit?usp=sharing"",""อ่างทอง!L382"")"),0)</f>
        <v>0</v>
      </c>
      <c r="M383" s="77">
        <f ca="1">IFERROR(__xludf.DUMMYFUNCTION("IMPORTRANGE(""https://docs.google.com/spreadsheets/d/13wPX838HrBrQMCywv1BsuMkt4PEKTChp52zj44s2izQ/edit?usp=sharing"",""กาญจนบุรี!M382"")+IMPORTRANGE(""https://docs.google.com/spreadsheets/d/1ddFKvqj1W1NEiWytbGlB1zMx_ykJDVtmfEQ-6-lIUBA/edit?usp=sharing"","&amp;"""จันทบุรี!M382"")+IMPORTRANGE(""https://docs.google.com/spreadsheets/d/1T1PQvRODqOBZk8BRht_U031fIS1beLA0Ub2CEytj2q0/edit?usp=sharing"",""ฉะเชิงเทรา!M382"")+IMPORTRANGE(""https://docs.google.com/spreadsheets/d/11tr1B-Bhyr79v2bkwVh5h_fR-PStkgjlZtkrZpYurG0/"&amp;"edit?usp=sharing"",""ชลบุรี!M382"")+IMPORTRANGE(""https://docs.google.com/spreadsheets/d/1hh-FVnSX0vozXhGluamEcS54Dw9_zqW0N7qJUWgJ0Sw/edit?usp=sharing"",""ชัยนาท!M382"")+IMPORTRANGE(""https://docs.google.com/spreadsheets/d/1jkqa6GXxSacMcY1eN8AHjMNJ_7dDXMJ"&amp;"VRLDlaFSOdPM/edit?usp=sharing"",""ตราด!M382"")+IMPORTRANGE(""https://docs.google.com/spreadsheets/d/18hSgUJ3VwClqi_qtULmmW3cLr0oe3OKaSYoKzdpTsYQ/edit?usp=sharing"",""นครนายก!M382"")+IMPORTRANGE(""https://docs.google.com/spreadsheets/d/1YTZo6WM2dQ6Ix6FSdnL"&amp;"5P7uVnVKu40sxZu975tgG10E/edit?usp=sharing"",""นครปฐม!M382"")+IMPORTRANGE(""https://docs.google.com/spreadsheets/d/1OYoGg4WDg5RIzwGeB10padOxJF9E_Vljuvvct_M7RDo/edit?usp=sharing"",""ปทุมธานี!M382"")+IMPORTRANGE(""https://docs.google.com/spreadsheets/d/1GbCI"&amp;"E4D4wk9FUozzqk7SxfDMxDVBwVmI5zcaVUSzKAc/edit?usp=sharing"",""ประจวบคีรีขันธ์!M382"")+IMPORTRANGE(""https://docs.google.com/spreadsheets/d/1vVf6wykvW_lAyu7Yo9L4hUTqHqIeP_qcVuxCtosJEbg/edit?usp=sharing"",""ปราจีนบุรี!M382"")+IMPORTRANGE(""https://docs.googl"&amp;"e.com/spreadsheets/d/1BIDqLLg5jk3v59G8NlR8rk5xfQDKne0sAvZHSj7TI6I/edit?usp=sharing"",""พระนครศรีอยุธยา!M382"")+IMPORTRANGE(""https://docs.google.com/spreadsheets/d/1YXvxf8Yu6_rV4hTBrwMqAcAnv6DfhUxh5emyM3CJp_w/edit?usp=sharing"",""เพชรบุรี!M382"")+IMPORTRA"&amp;"NGE(""https://docs.google.com/spreadsheets/d/19KBlQQs7uwvsao6t2n-KvW3Ax8J8uRRfZPq1zPbXgKc/edit?usp=sharing"",""ระยอง!M382"")+IMPORTRANGE(""https://docs.google.com/spreadsheets/d/1jQ6P4QcrGM89YfqcC_PxOHGCMq5ezhucwJd8ci-NHng/edit?usp=sharing"",""ราชบุรี!M38"&amp;"2"")+IMPORTRANGE(""https://docs.google.com/spreadsheets/d/1lufeA2cfFqM-elVq2hznhDzC6Pr7wkJ9ZG_sYNGCMCU/edit?usp=sharing"",""ลพบุรี!M382"")+IMPORTRANGE(""https://docs.google.com/spreadsheets/d/10oOiF7loTyfsTkbd4MpaIm0HQ9SwB7IYHdIUvt-U1Uc/edit?usp=sharing"""&amp;",""สระแก้ว!M382"")+IMPORTRANGE(""https://docs.google.com/spreadsheets/d/1xmPlrr1QbdSIKvl1dWUl9K4PjAfSL9oeMr_37QVzcxc/edit?usp=sharing"",""สระบุรี!M382"")+IMPORTRANGE(""https://docs.google.com/spreadsheets/d/1j51vR6CYVGhABJpv6tkstgok82RLpXieLzW1yOY5rHw/edi"&amp;"t?usp=sharing"",""สิงห์บุรี!M382"")+IMPORTRANGE(""https://docs.google.com/spreadsheets/d/1H1EalTWKUSzO4Z1-1CwzoDUaVffgrThEBe2sl74kKG0/edit?usp=sharing"",""สุพรรณบุรี!M382"")+IMPORTRANGE(""https://docs.google.com/spreadsheets/d/1BmIruG_sIrJLYao_Pdr7zVArWsf"&amp;"oBt2692TMi6x_854/edit?usp=sharing"",""อ่างทอง!M382"")"),0)</f>
        <v>0</v>
      </c>
      <c r="N383" s="77">
        <f ca="1">IFERROR(__xludf.DUMMYFUNCTION("IMPORTRANGE(""https://docs.google.com/spreadsheets/d/13wPX838HrBrQMCywv1BsuMkt4PEKTChp52zj44s2izQ/edit?usp=sharing"",""กาญจนบุรี!N382"")+IMPORTRANGE(""https://docs.google.com/spreadsheets/d/1ddFKvqj1W1NEiWytbGlB1zMx_ykJDVtmfEQ-6-lIUBA/edit?usp=sharing"","&amp;"""จันทบุรี!N382"")+IMPORTRANGE(""https://docs.google.com/spreadsheets/d/1T1PQvRODqOBZk8BRht_U031fIS1beLA0Ub2CEytj2q0/edit?usp=sharing"",""ฉะเชิงเทรา!N382"")+IMPORTRANGE(""https://docs.google.com/spreadsheets/d/11tr1B-Bhyr79v2bkwVh5h_fR-PStkgjlZtkrZpYurG0/"&amp;"edit?usp=sharing"",""ชลบุรี!N382"")+IMPORTRANGE(""https://docs.google.com/spreadsheets/d/1hh-FVnSX0vozXhGluamEcS54Dw9_zqW0N7qJUWgJ0Sw/edit?usp=sharing"",""ชัยนาท!N382"")+IMPORTRANGE(""https://docs.google.com/spreadsheets/d/1jkqa6GXxSacMcY1eN8AHjMNJ_7dDXMJ"&amp;"VRLDlaFSOdPM/edit?usp=sharing"",""ตราด!N382"")+IMPORTRANGE(""https://docs.google.com/spreadsheets/d/18hSgUJ3VwClqi_qtULmmW3cLr0oe3OKaSYoKzdpTsYQ/edit?usp=sharing"",""นครนายก!N382"")+IMPORTRANGE(""https://docs.google.com/spreadsheets/d/1YTZo6WM2dQ6Ix6FSdnL"&amp;"5P7uVnVKu40sxZu975tgG10E/edit?usp=sharing"",""นครปฐม!N382"")+IMPORTRANGE(""https://docs.google.com/spreadsheets/d/1OYoGg4WDg5RIzwGeB10padOxJF9E_Vljuvvct_M7RDo/edit?usp=sharing"",""ปทุมธานี!N382"")+IMPORTRANGE(""https://docs.google.com/spreadsheets/d/1GbCI"&amp;"E4D4wk9FUozzqk7SxfDMxDVBwVmI5zcaVUSzKAc/edit?usp=sharing"",""ประจวบคีรีขันธ์!N382"")+IMPORTRANGE(""https://docs.google.com/spreadsheets/d/1vVf6wykvW_lAyu7Yo9L4hUTqHqIeP_qcVuxCtosJEbg/edit?usp=sharing"",""ปราจีนบุรี!N382"")+IMPORTRANGE(""https://docs.googl"&amp;"e.com/spreadsheets/d/1BIDqLLg5jk3v59G8NlR8rk5xfQDKne0sAvZHSj7TI6I/edit?usp=sharing"",""พระนครศรีอยุธยา!N382"")+IMPORTRANGE(""https://docs.google.com/spreadsheets/d/1YXvxf8Yu6_rV4hTBrwMqAcAnv6DfhUxh5emyM3CJp_w/edit?usp=sharing"",""เพชรบุรี!N382"")+IMPORTRA"&amp;"NGE(""https://docs.google.com/spreadsheets/d/19KBlQQs7uwvsao6t2n-KvW3Ax8J8uRRfZPq1zPbXgKc/edit?usp=sharing"",""ระยอง!N382"")+IMPORTRANGE(""https://docs.google.com/spreadsheets/d/1jQ6P4QcrGM89YfqcC_PxOHGCMq5ezhucwJd8ci-NHng/edit?usp=sharing"",""ราชบุรี!N38"&amp;"2"")+IMPORTRANGE(""https://docs.google.com/spreadsheets/d/1lufeA2cfFqM-elVq2hznhDzC6Pr7wkJ9ZG_sYNGCMCU/edit?usp=sharing"",""ลพบุรี!N382"")+IMPORTRANGE(""https://docs.google.com/spreadsheets/d/10oOiF7loTyfsTkbd4MpaIm0HQ9SwB7IYHdIUvt-U1Uc/edit?usp=sharing"""&amp;",""สระแก้ว!N382"")+IMPORTRANGE(""https://docs.google.com/spreadsheets/d/1xmPlrr1QbdSIKvl1dWUl9K4PjAfSL9oeMr_37QVzcxc/edit?usp=sharing"",""สระบุรี!N382"")+IMPORTRANGE(""https://docs.google.com/spreadsheets/d/1j51vR6CYVGhABJpv6tkstgok82RLpXieLzW1yOY5rHw/edi"&amp;"t?usp=sharing"",""สิงห์บุรี!N382"")+IMPORTRANGE(""https://docs.google.com/spreadsheets/d/1H1EalTWKUSzO4Z1-1CwzoDUaVffgrThEBe2sl74kKG0/edit?usp=sharing"",""สุพรรณบุรี!N382"")+IMPORTRANGE(""https://docs.google.com/spreadsheets/d/1BmIruG_sIrJLYao_Pdr7zVArWsf"&amp;"oBt2692TMi6x_854/edit?usp=sharing"",""อ่างทอง!N382"")"),0)</f>
        <v>0</v>
      </c>
      <c r="O383" s="77">
        <f t="shared" ca="1" si="275"/>
        <v>0</v>
      </c>
      <c r="P383" s="77">
        <f t="shared" ca="1" si="276"/>
        <v>0</v>
      </c>
      <c r="Q383" s="76">
        <f ca="1">IFERROR(__xludf.DUMMYFUNCTION("IMPORTRANGE(""https://docs.google.com/spreadsheets/d/13wPX838HrBrQMCywv1BsuMkt4PEKTChp52zj44s2izQ/edit?usp=sharing"",""กาญจนบุรี!Q382"")+IMPORTRANGE(""https://docs.google.com/spreadsheets/d/1ddFKvqj1W1NEiWytbGlB1zMx_ykJDVtmfEQ-6-lIUBA/edit?usp=sharing"","&amp;"""จันทบุรี!Q382"")+IMPORTRANGE(""https://docs.google.com/spreadsheets/d/1T1PQvRODqOBZk8BRht_U031fIS1beLA0Ub2CEytj2q0/edit?usp=sharing"",""ฉะเชิงเทรา!Q382"")+IMPORTRANGE(""https://docs.google.com/spreadsheets/d/11tr1B-Bhyr79v2bkwVh5h_fR-PStkgjlZtkrZpYurG0/"&amp;"edit?usp=sharing"",""ชลบุรี!Q382"")+IMPORTRANGE(""https://docs.google.com/spreadsheets/d/1hh-FVnSX0vozXhGluamEcS54Dw9_zqW0N7qJUWgJ0Sw/edit?usp=sharing"",""ชัยนาท!Q382"")+IMPORTRANGE(""https://docs.google.com/spreadsheets/d/1jkqa6GXxSacMcY1eN8AHjMNJ_7dDXMJ"&amp;"VRLDlaFSOdPM/edit?usp=sharing"",""ตราด!Q382"")+IMPORTRANGE(""https://docs.google.com/spreadsheets/d/18hSgUJ3VwClqi_qtULmmW3cLr0oe3OKaSYoKzdpTsYQ/edit?usp=sharing"",""นครนายก!Q382"")+IMPORTRANGE(""https://docs.google.com/spreadsheets/d/1YTZo6WM2dQ6Ix6FSdnL"&amp;"5P7uVnVKu40sxZu975tgG10E/edit?usp=sharing"",""นครปฐม!Q382"")+IMPORTRANGE(""https://docs.google.com/spreadsheets/d/1OYoGg4WDg5RIzwGeB10padOxJF9E_Vljuvvct_M7RDo/edit?usp=sharing"",""ปทุมธานี!Q382"")+IMPORTRANGE(""https://docs.google.com/spreadsheets/d/1GbCI"&amp;"E4D4wk9FUozzqk7SxfDMxDVBwVmI5zcaVUSzKAc/edit?usp=sharing"",""ประจวบคีรีขันธ์!Q382"")+IMPORTRANGE(""https://docs.google.com/spreadsheets/d/1vVf6wykvW_lAyu7Yo9L4hUTqHqIeP_qcVuxCtosJEbg/edit?usp=sharing"",""ปราจีนบุรี!Q382"")+IMPORTRANGE(""https://docs.googl"&amp;"e.com/spreadsheets/d/1BIDqLLg5jk3v59G8NlR8rk5xfQDKne0sAvZHSj7TI6I/edit?usp=sharing"",""พระนครศรีอยุธยา!Q382"")+IMPORTRANGE(""https://docs.google.com/spreadsheets/d/1YXvxf8Yu6_rV4hTBrwMqAcAnv6DfhUxh5emyM3CJp_w/edit?usp=sharing"",""เพชรบุรี!Q382"")+IMPORTRA"&amp;"NGE(""https://docs.google.com/spreadsheets/d/19KBlQQs7uwvsao6t2n-KvW3Ax8J8uRRfZPq1zPbXgKc/edit?usp=sharing"",""ระยอง!Q382"")+IMPORTRANGE(""https://docs.google.com/spreadsheets/d/1jQ6P4QcrGM89YfqcC_PxOHGCMq5ezhucwJd8ci-NHng/edit?usp=sharing"",""ราชบุรี!Q38"&amp;"2"")+IMPORTRANGE(""https://docs.google.com/spreadsheets/d/1lufeA2cfFqM-elVq2hznhDzC6Pr7wkJ9ZG_sYNGCMCU/edit?usp=sharing"",""ลพบุรี!Q382"")+IMPORTRANGE(""https://docs.google.com/spreadsheets/d/10oOiF7loTyfsTkbd4MpaIm0HQ9SwB7IYHdIUvt-U1Uc/edit?usp=sharing"""&amp;",""สระแก้ว!Q382"")+IMPORTRANGE(""https://docs.google.com/spreadsheets/d/1xmPlrr1QbdSIKvl1dWUl9K4PjAfSL9oeMr_37QVzcxc/edit?usp=sharing"",""สระบุรี!Q382"")+IMPORTRANGE(""https://docs.google.com/spreadsheets/d/1j51vR6CYVGhABJpv6tkstgok82RLpXieLzW1yOY5rHw/edi"&amp;"t?usp=sharing"",""สิงห์บุรี!Q382"")+IMPORTRANGE(""https://docs.google.com/spreadsheets/d/1H1EalTWKUSzO4Z1-1CwzoDUaVffgrThEBe2sl74kKG0/edit?usp=sharing"",""สุพรรณบุรี!Q382"")+IMPORTRANGE(""https://docs.google.com/spreadsheets/d/1BmIruG_sIrJLYao_Pdr7zVArWsf"&amp;"oBt2692TMi6x_854/edit?usp=sharing"",""อ่างทอง!Q382"")"),0)</f>
        <v>0</v>
      </c>
      <c r="R383" s="77">
        <f ca="1">IFERROR(__xludf.DUMMYFUNCTION("IMPORTRANGE(""https://docs.google.com/spreadsheets/d/13wPX838HrBrQMCywv1BsuMkt4PEKTChp52zj44s2izQ/edit?usp=sharing"",""กาญจนบุรี!R382"")+IMPORTRANGE(""https://docs.google.com/spreadsheets/d/1ddFKvqj1W1NEiWytbGlB1zMx_ykJDVtmfEQ-6-lIUBA/edit?usp=sharing"","&amp;"""จันทบุรี!R382"")+IMPORTRANGE(""https://docs.google.com/spreadsheets/d/1T1PQvRODqOBZk8BRht_U031fIS1beLA0Ub2CEytj2q0/edit?usp=sharing"",""ฉะเชิงเทรา!R382"")+IMPORTRANGE(""https://docs.google.com/spreadsheets/d/11tr1B-Bhyr79v2bkwVh5h_fR-PStkgjlZtkrZpYurG0/"&amp;"edit?usp=sharing"",""ชลบุรี!R382"")+IMPORTRANGE(""https://docs.google.com/spreadsheets/d/1hh-FVnSX0vozXhGluamEcS54Dw9_zqW0N7qJUWgJ0Sw/edit?usp=sharing"",""ชัยนาท!R382"")+IMPORTRANGE(""https://docs.google.com/spreadsheets/d/1jkqa6GXxSacMcY1eN8AHjMNJ_7dDXMJ"&amp;"VRLDlaFSOdPM/edit?usp=sharing"",""ตราด!R382"")+IMPORTRANGE(""https://docs.google.com/spreadsheets/d/18hSgUJ3VwClqi_qtULmmW3cLr0oe3OKaSYoKzdpTsYQ/edit?usp=sharing"",""นครนายก!R382"")+IMPORTRANGE(""https://docs.google.com/spreadsheets/d/1YTZo6WM2dQ6Ix6FSdnL"&amp;"5P7uVnVKu40sxZu975tgG10E/edit?usp=sharing"",""นครปฐม!R382"")+IMPORTRANGE(""https://docs.google.com/spreadsheets/d/1OYoGg4WDg5RIzwGeB10padOxJF9E_Vljuvvct_M7RDo/edit?usp=sharing"",""ปทุมธานี!R382"")+IMPORTRANGE(""https://docs.google.com/spreadsheets/d/1GbCI"&amp;"E4D4wk9FUozzqk7SxfDMxDVBwVmI5zcaVUSzKAc/edit?usp=sharing"",""ประจวบคีรีขันธ์!R382"")+IMPORTRANGE(""https://docs.google.com/spreadsheets/d/1vVf6wykvW_lAyu7Yo9L4hUTqHqIeP_qcVuxCtosJEbg/edit?usp=sharing"",""ปราจีนบุรี!R382"")+IMPORTRANGE(""https://docs.googl"&amp;"e.com/spreadsheets/d/1BIDqLLg5jk3v59G8NlR8rk5xfQDKne0sAvZHSj7TI6I/edit?usp=sharing"",""พระนครศรีอยุธยา!R382"")+IMPORTRANGE(""https://docs.google.com/spreadsheets/d/1YXvxf8Yu6_rV4hTBrwMqAcAnv6DfhUxh5emyM3CJp_w/edit?usp=sharing"",""เพชรบุรี!R382"")+IMPORTRA"&amp;"NGE(""https://docs.google.com/spreadsheets/d/19KBlQQs7uwvsao6t2n-KvW3Ax8J8uRRfZPq1zPbXgKc/edit?usp=sharing"",""ระยอง!R382"")+IMPORTRANGE(""https://docs.google.com/spreadsheets/d/1jQ6P4QcrGM89YfqcC_PxOHGCMq5ezhucwJd8ci-NHng/edit?usp=sharing"",""ราชบุรี!R38"&amp;"2"")+IMPORTRANGE(""https://docs.google.com/spreadsheets/d/1lufeA2cfFqM-elVq2hznhDzC6Pr7wkJ9ZG_sYNGCMCU/edit?usp=sharing"",""ลพบุรี!R382"")+IMPORTRANGE(""https://docs.google.com/spreadsheets/d/10oOiF7loTyfsTkbd4MpaIm0HQ9SwB7IYHdIUvt-U1Uc/edit?usp=sharing"""&amp;",""สระแก้ว!R382"")+IMPORTRANGE(""https://docs.google.com/spreadsheets/d/1xmPlrr1QbdSIKvl1dWUl9K4PjAfSL9oeMr_37QVzcxc/edit?usp=sharing"",""สระบุรี!R382"")+IMPORTRANGE(""https://docs.google.com/spreadsheets/d/1j51vR6CYVGhABJpv6tkstgok82RLpXieLzW1yOY5rHw/edi"&amp;"t?usp=sharing"",""สิงห์บุรี!R382"")+IMPORTRANGE(""https://docs.google.com/spreadsheets/d/1H1EalTWKUSzO4Z1-1CwzoDUaVffgrThEBe2sl74kKG0/edit?usp=sharing"",""สุพรรณบุรี!R382"")+IMPORTRANGE(""https://docs.google.com/spreadsheets/d/1BmIruG_sIrJLYao_Pdr7zVArWsf"&amp;"oBt2692TMi6x_854/edit?usp=sharing"",""อ่างทอง!R382"")"),0)</f>
        <v>0</v>
      </c>
      <c r="S383" s="77">
        <f ca="1">IFERROR(__xludf.DUMMYFUNCTION("IMPORTRANGE(""https://docs.google.com/spreadsheets/d/13wPX838HrBrQMCywv1BsuMkt4PEKTChp52zj44s2izQ/edit?usp=sharing"",""กาญจนบุรี!S382"")+IMPORTRANGE(""https://docs.google.com/spreadsheets/d/1ddFKvqj1W1NEiWytbGlB1zMx_ykJDVtmfEQ-6-lIUBA/edit?usp=sharing"","&amp;"""จันทบุรี!S382"")+IMPORTRANGE(""https://docs.google.com/spreadsheets/d/1T1PQvRODqOBZk8BRht_U031fIS1beLA0Ub2CEytj2q0/edit?usp=sharing"",""ฉะเชิงเทรา!S382"")+IMPORTRANGE(""https://docs.google.com/spreadsheets/d/11tr1B-Bhyr79v2bkwVh5h_fR-PStkgjlZtkrZpYurG0/"&amp;"edit?usp=sharing"",""ชลบุรี!S382"")+IMPORTRANGE(""https://docs.google.com/spreadsheets/d/1hh-FVnSX0vozXhGluamEcS54Dw9_zqW0N7qJUWgJ0Sw/edit?usp=sharing"",""ชัยนาท!S382"")+IMPORTRANGE(""https://docs.google.com/spreadsheets/d/1jkqa6GXxSacMcY1eN8AHjMNJ_7dDXMJ"&amp;"VRLDlaFSOdPM/edit?usp=sharing"",""ตราด!S382"")+IMPORTRANGE(""https://docs.google.com/spreadsheets/d/18hSgUJ3VwClqi_qtULmmW3cLr0oe3OKaSYoKzdpTsYQ/edit?usp=sharing"",""นครนายก!S382"")+IMPORTRANGE(""https://docs.google.com/spreadsheets/d/1YTZo6WM2dQ6Ix6FSdnL"&amp;"5P7uVnVKu40sxZu975tgG10E/edit?usp=sharing"",""นครปฐม!S382"")+IMPORTRANGE(""https://docs.google.com/spreadsheets/d/1OYoGg4WDg5RIzwGeB10padOxJF9E_Vljuvvct_M7RDo/edit?usp=sharing"",""ปทุมธานี!S382"")+IMPORTRANGE(""https://docs.google.com/spreadsheets/d/1GbCI"&amp;"E4D4wk9FUozzqk7SxfDMxDVBwVmI5zcaVUSzKAc/edit?usp=sharing"",""ประจวบคีรีขันธ์!S382"")+IMPORTRANGE(""https://docs.google.com/spreadsheets/d/1vVf6wykvW_lAyu7Yo9L4hUTqHqIeP_qcVuxCtosJEbg/edit?usp=sharing"",""ปราจีนบุรี!S382"")+IMPORTRANGE(""https://docs.googl"&amp;"e.com/spreadsheets/d/1BIDqLLg5jk3v59G8NlR8rk5xfQDKne0sAvZHSj7TI6I/edit?usp=sharing"",""พระนครศรีอยุธยา!S382"")+IMPORTRANGE(""https://docs.google.com/spreadsheets/d/1YXvxf8Yu6_rV4hTBrwMqAcAnv6DfhUxh5emyM3CJp_w/edit?usp=sharing"",""เพชรบุรี!S382"")+IMPORTRA"&amp;"NGE(""https://docs.google.com/spreadsheets/d/19KBlQQs7uwvsao6t2n-KvW3Ax8J8uRRfZPq1zPbXgKc/edit?usp=sharing"",""ระยอง!S382"")+IMPORTRANGE(""https://docs.google.com/spreadsheets/d/1jQ6P4QcrGM89YfqcC_PxOHGCMq5ezhucwJd8ci-NHng/edit?usp=sharing"",""ราชบุรี!S38"&amp;"2"")+IMPORTRANGE(""https://docs.google.com/spreadsheets/d/1lufeA2cfFqM-elVq2hznhDzC6Pr7wkJ9ZG_sYNGCMCU/edit?usp=sharing"",""ลพบุรี!S382"")+IMPORTRANGE(""https://docs.google.com/spreadsheets/d/10oOiF7loTyfsTkbd4MpaIm0HQ9SwB7IYHdIUvt-U1Uc/edit?usp=sharing"""&amp;",""สระแก้ว!S382"")+IMPORTRANGE(""https://docs.google.com/spreadsheets/d/1xmPlrr1QbdSIKvl1dWUl9K4PjAfSL9oeMr_37QVzcxc/edit?usp=sharing"",""สระบุรี!S382"")+IMPORTRANGE(""https://docs.google.com/spreadsheets/d/1j51vR6CYVGhABJpv6tkstgok82RLpXieLzW1yOY5rHw/edi"&amp;"t?usp=sharing"",""สิงห์บุรี!S382"")+IMPORTRANGE(""https://docs.google.com/spreadsheets/d/1H1EalTWKUSzO4Z1-1CwzoDUaVffgrThEBe2sl74kKG0/edit?usp=sharing"",""สุพรรณบุรี!S382"")+IMPORTRANGE(""https://docs.google.com/spreadsheets/d/1BmIruG_sIrJLYao_Pdr7zVArWsf"&amp;"oBt2692TMi6x_854/edit?usp=sharing"",""อ่างทอง!S382"")"),0)</f>
        <v>0</v>
      </c>
      <c r="T383" s="133">
        <f t="shared" ca="1" si="278"/>
        <v>0</v>
      </c>
      <c r="U383" s="133">
        <f t="shared" ca="1" si="279"/>
        <v>0</v>
      </c>
    </row>
    <row r="384" spans="1:21" ht="18.75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4">
        <f ca="1">IFERROR(__xludf.DUMMYFUNCTION("IMPORTRANGE(""https://docs.google.com/spreadsheets/d/13wPX838HrBrQMCywv1BsuMkt4PEKTChp52zj44s2izQ/edit?usp=sharing"",""กาญจนบุรี!L383"")+IMPORTRANGE(""https://docs.google.com/spreadsheets/d/1ddFKvqj1W1NEiWytbGlB1zMx_ykJDVtmfEQ-6-lIUBA/edit?usp=sharing"","&amp;"""จันทบุรี!L383"")+IMPORTRANGE(""https://docs.google.com/spreadsheets/d/1T1PQvRODqOBZk8BRht_U031fIS1beLA0Ub2CEytj2q0/edit?usp=sharing"",""ฉะเชิงเทรา!L383"")+IMPORTRANGE(""https://docs.google.com/spreadsheets/d/11tr1B-Bhyr79v2bkwVh5h_fR-PStkgjlZtkrZpYurG0/"&amp;"edit?usp=sharing"",""ชลบุรี!L383"")+IMPORTRANGE(""https://docs.google.com/spreadsheets/d/1hh-FVnSX0vozXhGluamEcS54Dw9_zqW0N7qJUWgJ0Sw/edit?usp=sharing"",""ชัยนาท!L383"")+IMPORTRANGE(""https://docs.google.com/spreadsheets/d/1jkqa6GXxSacMcY1eN8AHjMNJ_7dDXMJ"&amp;"VRLDlaFSOdPM/edit?usp=sharing"",""ตราด!L383"")+IMPORTRANGE(""https://docs.google.com/spreadsheets/d/18hSgUJ3VwClqi_qtULmmW3cLr0oe3OKaSYoKzdpTsYQ/edit?usp=sharing"",""นครนายก!L383"")+IMPORTRANGE(""https://docs.google.com/spreadsheets/d/1YTZo6WM2dQ6Ix6FSdnL"&amp;"5P7uVnVKu40sxZu975tgG10E/edit?usp=sharing"",""นครปฐม!L383"")+IMPORTRANGE(""https://docs.google.com/spreadsheets/d/1OYoGg4WDg5RIzwGeB10padOxJF9E_Vljuvvct_M7RDo/edit?usp=sharing"",""ปทุมธานี!L383"")+IMPORTRANGE(""https://docs.google.com/spreadsheets/d/1GbCI"&amp;"E4D4wk9FUozzqk7SxfDMxDVBwVmI5zcaVUSzKAc/edit?usp=sharing"",""ประจวบคีรีขันธ์!L383"")+IMPORTRANGE(""https://docs.google.com/spreadsheets/d/1vVf6wykvW_lAyu7Yo9L4hUTqHqIeP_qcVuxCtosJEbg/edit?usp=sharing"",""ปราจีนบุรี!L383"")+IMPORTRANGE(""https://docs.googl"&amp;"e.com/spreadsheets/d/1BIDqLLg5jk3v59G8NlR8rk5xfQDKne0sAvZHSj7TI6I/edit?usp=sharing"",""พระนครศรีอยุธยา!L383"")+IMPORTRANGE(""https://docs.google.com/spreadsheets/d/1YXvxf8Yu6_rV4hTBrwMqAcAnv6DfhUxh5emyM3CJp_w/edit?usp=sharing"",""เพชรบุรี!L383"")+IMPORTRA"&amp;"NGE(""https://docs.google.com/spreadsheets/d/19KBlQQs7uwvsao6t2n-KvW3Ax8J8uRRfZPq1zPbXgKc/edit?usp=sharing"",""ระยอง!L383"")+IMPORTRANGE(""https://docs.google.com/spreadsheets/d/1jQ6P4QcrGM89YfqcC_PxOHGCMq5ezhucwJd8ci-NHng/edit?usp=sharing"",""ราชบุรี!L38"&amp;"3"")+IMPORTRANGE(""https://docs.google.com/spreadsheets/d/1lufeA2cfFqM-elVq2hznhDzC6Pr7wkJ9ZG_sYNGCMCU/edit?usp=sharing"",""ลพบุรี!L383"")+IMPORTRANGE(""https://docs.google.com/spreadsheets/d/10oOiF7loTyfsTkbd4MpaIm0HQ9SwB7IYHdIUvt-U1Uc/edit?usp=sharing"""&amp;",""สระแก้ว!L383"")+IMPORTRANGE(""https://docs.google.com/spreadsheets/d/1xmPlrr1QbdSIKvl1dWUl9K4PjAfSL9oeMr_37QVzcxc/edit?usp=sharing"",""สระบุรี!L383"")+IMPORTRANGE(""https://docs.google.com/spreadsheets/d/1j51vR6CYVGhABJpv6tkstgok82RLpXieLzW1yOY5rHw/edi"&amp;"t?usp=sharing"",""สิงห์บุรี!L383"")+IMPORTRANGE(""https://docs.google.com/spreadsheets/d/1H1EalTWKUSzO4Z1-1CwzoDUaVffgrThEBe2sl74kKG0/edit?usp=sharing"",""สุพรรณบุรี!L383"")+IMPORTRANGE(""https://docs.google.com/spreadsheets/d/1BmIruG_sIrJLYao_Pdr7zVArWsf"&amp;"oBt2692TMi6x_854/edit?usp=sharing"",""อ่างทอง!L383"")"),0)</f>
        <v>0</v>
      </c>
      <c r="M384" s="74">
        <f ca="1">IFERROR(__xludf.DUMMYFUNCTION("IMPORTRANGE(""https://docs.google.com/spreadsheets/d/13wPX838HrBrQMCywv1BsuMkt4PEKTChp52zj44s2izQ/edit?usp=sharing"",""กาญจนบุรี!M383"")+IMPORTRANGE(""https://docs.google.com/spreadsheets/d/1ddFKvqj1W1NEiWytbGlB1zMx_ykJDVtmfEQ-6-lIUBA/edit?usp=sharing"","&amp;"""จันทบุรี!M383"")+IMPORTRANGE(""https://docs.google.com/spreadsheets/d/1T1PQvRODqOBZk8BRht_U031fIS1beLA0Ub2CEytj2q0/edit?usp=sharing"",""ฉะเชิงเทรา!M383"")+IMPORTRANGE(""https://docs.google.com/spreadsheets/d/11tr1B-Bhyr79v2bkwVh5h_fR-PStkgjlZtkrZpYurG0/"&amp;"edit?usp=sharing"",""ชลบุรี!M383"")+IMPORTRANGE(""https://docs.google.com/spreadsheets/d/1hh-FVnSX0vozXhGluamEcS54Dw9_zqW0N7qJUWgJ0Sw/edit?usp=sharing"",""ชัยนาท!M383"")+IMPORTRANGE(""https://docs.google.com/spreadsheets/d/1jkqa6GXxSacMcY1eN8AHjMNJ_7dDXMJ"&amp;"VRLDlaFSOdPM/edit?usp=sharing"",""ตราด!M383"")+IMPORTRANGE(""https://docs.google.com/spreadsheets/d/18hSgUJ3VwClqi_qtULmmW3cLr0oe3OKaSYoKzdpTsYQ/edit?usp=sharing"",""นครนายก!M383"")+IMPORTRANGE(""https://docs.google.com/spreadsheets/d/1YTZo6WM2dQ6Ix6FSdnL"&amp;"5P7uVnVKu40sxZu975tgG10E/edit?usp=sharing"",""นครปฐม!M383"")+IMPORTRANGE(""https://docs.google.com/spreadsheets/d/1OYoGg4WDg5RIzwGeB10padOxJF9E_Vljuvvct_M7RDo/edit?usp=sharing"",""ปทุมธานี!M383"")+IMPORTRANGE(""https://docs.google.com/spreadsheets/d/1GbCI"&amp;"E4D4wk9FUozzqk7SxfDMxDVBwVmI5zcaVUSzKAc/edit?usp=sharing"",""ประจวบคีรีขันธ์!M383"")+IMPORTRANGE(""https://docs.google.com/spreadsheets/d/1vVf6wykvW_lAyu7Yo9L4hUTqHqIeP_qcVuxCtosJEbg/edit?usp=sharing"",""ปราจีนบุรี!M383"")+IMPORTRANGE(""https://docs.googl"&amp;"e.com/spreadsheets/d/1BIDqLLg5jk3v59G8NlR8rk5xfQDKne0sAvZHSj7TI6I/edit?usp=sharing"",""พระนครศรีอยุธยา!M383"")+IMPORTRANGE(""https://docs.google.com/spreadsheets/d/1YXvxf8Yu6_rV4hTBrwMqAcAnv6DfhUxh5emyM3CJp_w/edit?usp=sharing"",""เพชรบุรี!M383"")+IMPORTRA"&amp;"NGE(""https://docs.google.com/spreadsheets/d/19KBlQQs7uwvsao6t2n-KvW3Ax8J8uRRfZPq1zPbXgKc/edit?usp=sharing"",""ระยอง!M383"")+IMPORTRANGE(""https://docs.google.com/spreadsheets/d/1jQ6P4QcrGM89YfqcC_PxOHGCMq5ezhucwJd8ci-NHng/edit?usp=sharing"",""ราชบุรี!M38"&amp;"3"")+IMPORTRANGE(""https://docs.google.com/spreadsheets/d/1lufeA2cfFqM-elVq2hznhDzC6Pr7wkJ9ZG_sYNGCMCU/edit?usp=sharing"",""ลพบุรี!M383"")+IMPORTRANGE(""https://docs.google.com/spreadsheets/d/10oOiF7loTyfsTkbd4MpaIm0HQ9SwB7IYHdIUvt-U1Uc/edit?usp=sharing"""&amp;",""สระแก้ว!M383"")+IMPORTRANGE(""https://docs.google.com/spreadsheets/d/1xmPlrr1QbdSIKvl1dWUl9K4PjAfSL9oeMr_37QVzcxc/edit?usp=sharing"",""สระบุรี!M383"")+IMPORTRANGE(""https://docs.google.com/spreadsheets/d/1j51vR6CYVGhABJpv6tkstgok82RLpXieLzW1yOY5rHw/edi"&amp;"t?usp=sharing"",""สิงห์บุรี!M383"")+IMPORTRANGE(""https://docs.google.com/spreadsheets/d/1H1EalTWKUSzO4Z1-1CwzoDUaVffgrThEBe2sl74kKG0/edit?usp=sharing"",""สุพรรณบุรี!M383"")+IMPORTRANGE(""https://docs.google.com/spreadsheets/d/1BmIruG_sIrJLYao_Pdr7zVArWsf"&amp;"oBt2692TMi6x_854/edit?usp=sharing"",""อ่างทอง!M383"")"),0)</f>
        <v>0</v>
      </c>
      <c r="N384" s="74">
        <f ca="1">IFERROR(__xludf.DUMMYFUNCTION("IMPORTRANGE(""https://docs.google.com/spreadsheets/d/13wPX838HrBrQMCywv1BsuMkt4PEKTChp52zj44s2izQ/edit?usp=sharing"",""กาญจนบุรี!N383"")+IMPORTRANGE(""https://docs.google.com/spreadsheets/d/1ddFKvqj1W1NEiWytbGlB1zMx_ykJDVtmfEQ-6-lIUBA/edit?usp=sharing"","&amp;"""จันทบุรี!N383"")+IMPORTRANGE(""https://docs.google.com/spreadsheets/d/1T1PQvRODqOBZk8BRht_U031fIS1beLA0Ub2CEytj2q0/edit?usp=sharing"",""ฉะเชิงเทรา!N383"")+IMPORTRANGE(""https://docs.google.com/spreadsheets/d/11tr1B-Bhyr79v2bkwVh5h_fR-PStkgjlZtkrZpYurG0/"&amp;"edit?usp=sharing"",""ชลบุรี!N383"")+IMPORTRANGE(""https://docs.google.com/spreadsheets/d/1hh-FVnSX0vozXhGluamEcS54Dw9_zqW0N7qJUWgJ0Sw/edit?usp=sharing"",""ชัยนาท!N383"")+IMPORTRANGE(""https://docs.google.com/spreadsheets/d/1jkqa6GXxSacMcY1eN8AHjMNJ_7dDXMJ"&amp;"VRLDlaFSOdPM/edit?usp=sharing"",""ตราด!N383"")+IMPORTRANGE(""https://docs.google.com/spreadsheets/d/18hSgUJ3VwClqi_qtULmmW3cLr0oe3OKaSYoKzdpTsYQ/edit?usp=sharing"",""นครนายก!N383"")+IMPORTRANGE(""https://docs.google.com/spreadsheets/d/1YTZo6WM2dQ6Ix6FSdnL"&amp;"5P7uVnVKu40sxZu975tgG10E/edit?usp=sharing"",""นครปฐม!N383"")+IMPORTRANGE(""https://docs.google.com/spreadsheets/d/1OYoGg4WDg5RIzwGeB10padOxJF9E_Vljuvvct_M7RDo/edit?usp=sharing"",""ปทุมธานี!N383"")+IMPORTRANGE(""https://docs.google.com/spreadsheets/d/1GbCI"&amp;"E4D4wk9FUozzqk7SxfDMxDVBwVmI5zcaVUSzKAc/edit?usp=sharing"",""ประจวบคีรีขันธ์!N383"")+IMPORTRANGE(""https://docs.google.com/spreadsheets/d/1vVf6wykvW_lAyu7Yo9L4hUTqHqIeP_qcVuxCtosJEbg/edit?usp=sharing"",""ปราจีนบุรี!N383"")+IMPORTRANGE(""https://docs.googl"&amp;"e.com/spreadsheets/d/1BIDqLLg5jk3v59G8NlR8rk5xfQDKne0sAvZHSj7TI6I/edit?usp=sharing"",""พระนครศรีอยุธยา!N383"")+IMPORTRANGE(""https://docs.google.com/spreadsheets/d/1YXvxf8Yu6_rV4hTBrwMqAcAnv6DfhUxh5emyM3CJp_w/edit?usp=sharing"",""เพชรบุรี!N383"")+IMPORTRA"&amp;"NGE(""https://docs.google.com/spreadsheets/d/19KBlQQs7uwvsao6t2n-KvW3Ax8J8uRRfZPq1zPbXgKc/edit?usp=sharing"",""ระยอง!N383"")+IMPORTRANGE(""https://docs.google.com/spreadsheets/d/1jQ6P4QcrGM89YfqcC_PxOHGCMq5ezhucwJd8ci-NHng/edit?usp=sharing"",""ราชบุรี!N38"&amp;"3"")+IMPORTRANGE(""https://docs.google.com/spreadsheets/d/1lufeA2cfFqM-elVq2hznhDzC6Pr7wkJ9ZG_sYNGCMCU/edit?usp=sharing"",""ลพบุรี!N383"")+IMPORTRANGE(""https://docs.google.com/spreadsheets/d/10oOiF7loTyfsTkbd4MpaIm0HQ9SwB7IYHdIUvt-U1Uc/edit?usp=sharing"""&amp;",""สระแก้ว!N383"")+IMPORTRANGE(""https://docs.google.com/spreadsheets/d/1xmPlrr1QbdSIKvl1dWUl9K4PjAfSL9oeMr_37QVzcxc/edit?usp=sharing"",""สระบุรี!N383"")+IMPORTRANGE(""https://docs.google.com/spreadsheets/d/1j51vR6CYVGhABJpv6tkstgok82RLpXieLzW1yOY5rHw/edi"&amp;"t?usp=sharing"",""สิงห์บุรี!N383"")+IMPORTRANGE(""https://docs.google.com/spreadsheets/d/1H1EalTWKUSzO4Z1-1CwzoDUaVffgrThEBe2sl74kKG0/edit?usp=sharing"",""สุพรรณบุรี!N383"")+IMPORTRANGE(""https://docs.google.com/spreadsheets/d/1BmIruG_sIrJLYao_Pdr7zVArWsf"&amp;"oBt2692TMi6x_854/edit?usp=sharing"",""อ่างทอง!N383"")"),0)</f>
        <v>0</v>
      </c>
      <c r="O384" s="74">
        <f t="shared" ca="1" si="275"/>
        <v>0</v>
      </c>
      <c r="P384" s="74">
        <f t="shared" ca="1" si="276"/>
        <v>0</v>
      </c>
      <c r="Q384" s="73">
        <f ca="1">IFERROR(__xludf.DUMMYFUNCTION("IMPORTRANGE(""https://docs.google.com/spreadsheets/d/13wPX838HrBrQMCywv1BsuMkt4PEKTChp52zj44s2izQ/edit?usp=sharing"",""กาญจนบุรี!Q383"")+IMPORTRANGE(""https://docs.google.com/spreadsheets/d/1ddFKvqj1W1NEiWytbGlB1zMx_ykJDVtmfEQ-6-lIUBA/edit?usp=sharing"","&amp;"""จันทบุรี!Q383"")+IMPORTRANGE(""https://docs.google.com/spreadsheets/d/1T1PQvRODqOBZk8BRht_U031fIS1beLA0Ub2CEytj2q0/edit?usp=sharing"",""ฉะเชิงเทรา!Q383"")+IMPORTRANGE(""https://docs.google.com/spreadsheets/d/11tr1B-Bhyr79v2bkwVh5h_fR-PStkgjlZtkrZpYurG0/"&amp;"edit?usp=sharing"",""ชลบุรี!Q383"")+IMPORTRANGE(""https://docs.google.com/spreadsheets/d/1hh-FVnSX0vozXhGluamEcS54Dw9_zqW0N7qJUWgJ0Sw/edit?usp=sharing"",""ชัยนาท!Q383"")+IMPORTRANGE(""https://docs.google.com/spreadsheets/d/1jkqa6GXxSacMcY1eN8AHjMNJ_7dDXMJ"&amp;"VRLDlaFSOdPM/edit?usp=sharing"",""ตราด!Q383"")+IMPORTRANGE(""https://docs.google.com/spreadsheets/d/18hSgUJ3VwClqi_qtULmmW3cLr0oe3OKaSYoKzdpTsYQ/edit?usp=sharing"",""นครนายก!Q383"")+IMPORTRANGE(""https://docs.google.com/spreadsheets/d/1YTZo6WM2dQ6Ix6FSdnL"&amp;"5P7uVnVKu40sxZu975tgG10E/edit?usp=sharing"",""นครปฐม!Q383"")+IMPORTRANGE(""https://docs.google.com/spreadsheets/d/1OYoGg4WDg5RIzwGeB10padOxJF9E_Vljuvvct_M7RDo/edit?usp=sharing"",""ปทุมธานี!Q383"")+IMPORTRANGE(""https://docs.google.com/spreadsheets/d/1GbCI"&amp;"E4D4wk9FUozzqk7SxfDMxDVBwVmI5zcaVUSzKAc/edit?usp=sharing"",""ประจวบคีรีขันธ์!Q383"")+IMPORTRANGE(""https://docs.google.com/spreadsheets/d/1vVf6wykvW_lAyu7Yo9L4hUTqHqIeP_qcVuxCtosJEbg/edit?usp=sharing"",""ปราจีนบุรี!Q383"")+IMPORTRANGE(""https://docs.googl"&amp;"e.com/spreadsheets/d/1BIDqLLg5jk3v59G8NlR8rk5xfQDKne0sAvZHSj7TI6I/edit?usp=sharing"",""พระนครศรีอยุธยา!Q383"")+IMPORTRANGE(""https://docs.google.com/spreadsheets/d/1YXvxf8Yu6_rV4hTBrwMqAcAnv6DfhUxh5emyM3CJp_w/edit?usp=sharing"",""เพชรบุรี!Q383"")+IMPORTRA"&amp;"NGE(""https://docs.google.com/spreadsheets/d/19KBlQQs7uwvsao6t2n-KvW3Ax8J8uRRfZPq1zPbXgKc/edit?usp=sharing"",""ระยอง!Q383"")+IMPORTRANGE(""https://docs.google.com/spreadsheets/d/1jQ6P4QcrGM89YfqcC_PxOHGCMq5ezhucwJd8ci-NHng/edit?usp=sharing"",""ราชบุรี!Q38"&amp;"3"")+IMPORTRANGE(""https://docs.google.com/spreadsheets/d/1lufeA2cfFqM-elVq2hznhDzC6Pr7wkJ9ZG_sYNGCMCU/edit?usp=sharing"",""ลพบุรี!Q383"")+IMPORTRANGE(""https://docs.google.com/spreadsheets/d/10oOiF7loTyfsTkbd4MpaIm0HQ9SwB7IYHdIUvt-U1Uc/edit?usp=sharing"""&amp;",""สระแก้ว!Q383"")+IMPORTRANGE(""https://docs.google.com/spreadsheets/d/1xmPlrr1QbdSIKvl1dWUl9K4PjAfSL9oeMr_37QVzcxc/edit?usp=sharing"",""สระบุรี!Q383"")+IMPORTRANGE(""https://docs.google.com/spreadsheets/d/1j51vR6CYVGhABJpv6tkstgok82RLpXieLzW1yOY5rHw/edi"&amp;"t?usp=sharing"",""สิงห์บุรี!Q383"")+IMPORTRANGE(""https://docs.google.com/spreadsheets/d/1H1EalTWKUSzO4Z1-1CwzoDUaVffgrThEBe2sl74kKG0/edit?usp=sharing"",""สุพรรณบุรี!Q383"")+IMPORTRANGE(""https://docs.google.com/spreadsheets/d/1BmIruG_sIrJLYao_Pdr7zVArWsf"&amp;"oBt2692TMi6x_854/edit?usp=sharing"",""อ่างทอง!Q383"")"),0)</f>
        <v>0</v>
      </c>
      <c r="R384" s="74">
        <f ca="1">IFERROR(__xludf.DUMMYFUNCTION("IMPORTRANGE(""https://docs.google.com/spreadsheets/d/13wPX838HrBrQMCywv1BsuMkt4PEKTChp52zj44s2izQ/edit?usp=sharing"",""กาญจนบุรี!R383"")+IMPORTRANGE(""https://docs.google.com/spreadsheets/d/1ddFKvqj1W1NEiWytbGlB1zMx_ykJDVtmfEQ-6-lIUBA/edit?usp=sharing"","&amp;"""จันทบุรี!R383"")+IMPORTRANGE(""https://docs.google.com/spreadsheets/d/1T1PQvRODqOBZk8BRht_U031fIS1beLA0Ub2CEytj2q0/edit?usp=sharing"",""ฉะเชิงเทรา!R383"")+IMPORTRANGE(""https://docs.google.com/spreadsheets/d/11tr1B-Bhyr79v2bkwVh5h_fR-PStkgjlZtkrZpYurG0/"&amp;"edit?usp=sharing"",""ชลบุรี!R383"")+IMPORTRANGE(""https://docs.google.com/spreadsheets/d/1hh-FVnSX0vozXhGluamEcS54Dw9_zqW0N7qJUWgJ0Sw/edit?usp=sharing"",""ชัยนาท!R383"")+IMPORTRANGE(""https://docs.google.com/spreadsheets/d/1jkqa6GXxSacMcY1eN8AHjMNJ_7dDXMJ"&amp;"VRLDlaFSOdPM/edit?usp=sharing"",""ตราด!R383"")+IMPORTRANGE(""https://docs.google.com/spreadsheets/d/18hSgUJ3VwClqi_qtULmmW3cLr0oe3OKaSYoKzdpTsYQ/edit?usp=sharing"",""นครนายก!R383"")+IMPORTRANGE(""https://docs.google.com/spreadsheets/d/1YTZo6WM2dQ6Ix6FSdnL"&amp;"5P7uVnVKu40sxZu975tgG10E/edit?usp=sharing"",""นครปฐม!R383"")+IMPORTRANGE(""https://docs.google.com/spreadsheets/d/1OYoGg4WDg5RIzwGeB10padOxJF9E_Vljuvvct_M7RDo/edit?usp=sharing"",""ปทุมธานี!R383"")+IMPORTRANGE(""https://docs.google.com/spreadsheets/d/1GbCI"&amp;"E4D4wk9FUozzqk7SxfDMxDVBwVmI5zcaVUSzKAc/edit?usp=sharing"",""ประจวบคีรีขันธ์!R383"")+IMPORTRANGE(""https://docs.google.com/spreadsheets/d/1vVf6wykvW_lAyu7Yo9L4hUTqHqIeP_qcVuxCtosJEbg/edit?usp=sharing"",""ปราจีนบุรี!R383"")+IMPORTRANGE(""https://docs.googl"&amp;"e.com/spreadsheets/d/1BIDqLLg5jk3v59G8NlR8rk5xfQDKne0sAvZHSj7TI6I/edit?usp=sharing"",""พระนครศรีอยุธยา!R383"")+IMPORTRANGE(""https://docs.google.com/spreadsheets/d/1YXvxf8Yu6_rV4hTBrwMqAcAnv6DfhUxh5emyM3CJp_w/edit?usp=sharing"",""เพชรบุรี!R383"")+IMPORTRA"&amp;"NGE(""https://docs.google.com/spreadsheets/d/19KBlQQs7uwvsao6t2n-KvW3Ax8J8uRRfZPq1zPbXgKc/edit?usp=sharing"",""ระยอง!R383"")+IMPORTRANGE(""https://docs.google.com/spreadsheets/d/1jQ6P4QcrGM89YfqcC_PxOHGCMq5ezhucwJd8ci-NHng/edit?usp=sharing"",""ราชบุรี!R38"&amp;"3"")+IMPORTRANGE(""https://docs.google.com/spreadsheets/d/1lufeA2cfFqM-elVq2hznhDzC6Pr7wkJ9ZG_sYNGCMCU/edit?usp=sharing"",""ลพบุรี!R383"")+IMPORTRANGE(""https://docs.google.com/spreadsheets/d/10oOiF7loTyfsTkbd4MpaIm0HQ9SwB7IYHdIUvt-U1Uc/edit?usp=sharing"""&amp;",""สระแก้ว!R383"")+IMPORTRANGE(""https://docs.google.com/spreadsheets/d/1xmPlrr1QbdSIKvl1dWUl9K4PjAfSL9oeMr_37QVzcxc/edit?usp=sharing"",""สระบุรี!R383"")+IMPORTRANGE(""https://docs.google.com/spreadsheets/d/1j51vR6CYVGhABJpv6tkstgok82RLpXieLzW1yOY5rHw/edi"&amp;"t?usp=sharing"",""สิงห์บุรี!R383"")+IMPORTRANGE(""https://docs.google.com/spreadsheets/d/1H1EalTWKUSzO4Z1-1CwzoDUaVffgrThEBe2sl74kKG0/edit?usp=sharing"",""สุพรรณบุรี!R383"")+IMPORTRANGE(""https://docs.google.com/spreadsheets/d/1BmIruG_sIrJLYao_Pdr7zVArWsf"&amp;"oBt2692TMi6x_854/edit?usp=sharing"",""อ่างทอง!R383"")"),0)</f>
        <v>0</v>
      </c>
      <c r="S384" s="74">
        <f ca="1">IFERROR(__xludf.DUMMYFUNCTION("IMPORTRANGE(""https://docs.google.com/spreadsheets/d/13wPX838HrBrQMCywv1BsuMkt4PEKTChp52zj44s2izQ/edit?usp=sharing"",""กาญจนบุรี!S383"")+IMPORTRANGE(""https://docs.google.com/spreadsheets/d/1ddFKvqj1W1NEiWytbGlB1zMx_ykJDVtmfEQ-6-lIUBA/edit?usp=sharing"","&amp;"""จันทบุรี!S383"")+IMPORTRANGE(""https://docs.google.com/spreadsheets/d/1T1PQvRODqOBZk8BRht_U031fIS1beLA0Ub2CEytj2q0/edit?usp=sharing"",""ฉะเชิงเทรา!S383"")+IMPORTRANGE(""https://docs.google.com/spreadsheets/d/11tr1B-Bhyr79v2bkwVh5h_fR-PStkgjlZtkrZpYurG0/"&amp;"edit?usp=sharing"",""ชลบุรี!S383"")+IMPORTRANGE(""https://docs.google.com/spreadsheets/d/1hh-FVnSX0vozXhGluamEcS54Dw9_zqW0N7qJUWgJ0Sw/edit?usp=sharing"",""ชัยนาท!S383"")+IMPORTRANGE(""https://docs.google.com/spreadsheets/d/1jkqa6GXxSacMcY1eN8AHjMNJ_7dDXMJ"&amp;"VRLDlaFSOdPM/edit?usp=sharing"",""ตราด!S383"")+IMPORTRANGE(""https://docs.google.com/spreadsheets/d/18hSgUJ3VwClqi_qtULmmW3cLr0oe3OKaSYoKzdpTsYQ/edit?usp=sharing"",""นครนายก!S383"")+IMPORTRANGE(""https://docs.google.com/spreadsheets/d/1YTZo6WM2dQ6Ix6FSdnL"&amp;"5P7uVnVKu40sxZu975tgG10E/edit?usp=sharing"",""นครปฐม!S383"")+IMPORTRANGE(""https://docs.google.com/spreadsheets/d/1OYoGg4WDg5RIzwGeB10padOxJF9E_Vljuvvct_M7RDo/edit?usp=sharing"",""ปทุมธานี!S383"")+IMPORTRANGE(""https://docs.google.com/spreadsheets/d/1GbCI"&amp;"E4D4wk9FUozzqk7SxfDMxDVBwVmI5zcaVUSzKAc/edit?usp=sharing"",""ประจวบคีรีขันธ์!S383"")+IMPORTRANGE(""https://docs.google.com/spreadsheets/d/1vVf6wykvW_lAyu7Yo9L4hUTqHqIeP_qcVuxCtosJEbg/edit?usp=sharing"",""ปราจีนบุรี!S383"")+IMPORTRANGE(""https://docs.googl"&amp;"e.com/spreadsheets/d/1BIDqLLg5jk3v59G8NlR8rk5xfQDKne0sAvZHSj7TI6I/edit?usp=sharing"",""พระนครศรีอยุธยา!S383"")+IMPORTRANGE(""https://docs.google.com/spreadsheets/d/1YXvxf8Yu6_rV4hTBrwMqAcAnv6DfhUxh5emyM3CJp_w/edit?usp=sharing"",""เพชรบุรี!S383"")+IMPORTRA"&amp;"NGE(""https://docs.google.com/spreadsheets/d/19KBlQQs7uwvsao6t2n-KvW3Ax8J8uRRfZPq1zPbXgKc/edit?usp=sharing"",""ระยอง!S383"")+IMPORTRANGE(""https://docs.google.com/spreadsheets/d/1jQ6P4QcrGM89YfqcC_PxOHGCMq5ezhucwJd8ci-NHng/edit?usp=sharing"",""ราชบุรี!S38"&amp;"3"")+IMPORTRANGE(""https://docs.google.com/spreadsheets/d/1lufeA2cfFqM-elVq2hznhDzC6Pr7wkJ9ZG_sYNGCMCU/edit?usp=sharing"",""ลพบุรี!S383"")+IMPORTRANGE(""https://docs.google.com/spreadsheets/d/10oOiF7loTyfsTkbd4MpaIm0HQ9SwB7IYHdIUvt-U1Uc/edit?usp=sharing"""&amp;",""สระแก้ว!S383"")+IMPORTRANGE(""https://docs.google.com/spreadsheets/d/1xmPlrr1QbdSIKvl1dWUl9K4PjAfSL9oeMr_37QVzcxc/edit?usp=sharing"",""สระบุรี!S383"")+IMPORTRANGE(""https://docs.google.com/spreadsheets/d/1j51vR6CYVGhABJpv6tkstgok82RLpXieLzW1yOY5rHw/edi"&amp;"t?usp=sharing"",""สิงห์บุรี!S383"")+IMPORTRANGE(""https://docs.google.com/spreadsheets/d/1H1EalTWKUSzO4Z1-1CwzoDUaVffgrThEBe2sl74kKG0/edit?usp=sharing"",""สุพรรณบุรี!S383"")+IMPORTRANGE(""https://docs.google.com/spreadsheets/d/1BmIruG_sIrJLYao_Pdr7zVArWsf"&amp;"oBt2692TMi6x_854/edit?usp=sharing"",""อ่างทอง!S383"")"),0)</f>
        <v>0</v>
      </c>
      <c r="T384" s="132">
        <f t="shared" ca="1" si="278"/>
        <v>0</v>
      </c>
      <c r="U384" s="132">
        <f t="shared" ca="1" si="279"/>
        <v>0</v>
      </c>
    </row>
    <row r="385" spans="1:21" ht="19.5" x14ac:dyDescent="0.3">
      <c r="A385" s="276"/>
      <c r="B385" s="277"/>
      <c r="C385" s="278" t="s">
        <v>18</v>
      </c>
      <c r="D385" s="590" t="s">
        <v>38</v>
      </c>
      <c r="E385" s="280"/>
      <c r="F385" s="280"/>
      <c r="G385" s="281"/>
      <c r="H385" s="310"/>
      <c r="I385" s="272"/>
      <c r="J385" s="263"/>
      <c r="K385" s="87"/>
      <c r="L385" s="87"/>
      <c r="M385" s="87"/>
      <c r="N385" s="87"/>
      <c r="O385" s="229"/>
      <c r="P385" s="229"/>
      <c r="Q385" s="86"/>
      <c r="R385" s="87"/>
      <c r="S385" s="87"/>
      <c r="T385" s="229"/>
      <c r="U385" s="229"/>
    </row>
    <row r="386" spans="1:21" ht="18.75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f ca="1">IFERROR(__xludf.DUMMYFUNCTION("IMPORTRANGE(""https://docs.google.com/spreadsheets/d/13wPX838HrBrQMCywv1BsuMkt4PEKTChp52zj44s2izQ/edit?usp=sharing"",""กาญจนบุรี!I385"")+IMPORTRANGE(""https://docs.google.com/spreadsheets/d/1ddFKvqj1W1NEiWytbGlB1zMx_ykJDVtmfEQ-6-lIUBA/edit?usp=sharing"","&amp;"""จันทบุรี!I385"")+IMPORTRANGE(""https://docs.google.com/spreadsheets/d/1T1PQvRODqOBZk8BRht_U031fIS1beLA0Ub2CEytj2q0/edit?usp=sharing"",""ฉะเชิงเทรา!I385"")+IMPORTRANGE(""https://docs.google.com/spreadsheets/d/11tr1B-Bhyr79v2bkwVh5h_fR-PStkgjlZtkrZpYurG0/"&amp;"edit?usp=sharing"",""ชลบุรี!I385"")+IMPORTRANGE(""https://docs.google.com/spreadsheets/d/1hh-FVnSX0vozXhGluamEcS54Dw9_zqW0N7qJUWgJ0Sw/edit?usp=sharing"",""ชัยนาท!I385"")+IMPORTRANGE(""https://docs.google.com/spreadsheets/d/1jkqa6GXxSacMcY1eN8AHjMNJ_7dDXMJ"&amp;"VRLDlaFSOdPM/edit?usp=sharing"",""ตราด!I385"")+IMPORTRANGE(""https://docs.google.com/spreadsheets/d/18hSgUJ3VwClqi_qtULmmW3cLr0oe3OKaSYoKzdpTsYQ/edit?usp=sharing"",""นครนายก!I385"")+IMPORTRANGE(""https://docs.google.com/spreadsheets/d/1YTZo6WM2dQ6Ix6FSdnL"&amp;"5P7uVnVKu40sxZu975tgG10E/edit?usp=sharing"",""นครปฐม!I385"")+IMPORTRANGE(""https://docs.google.com/spreadsheets/d/1OYoGg4WDg5RIzwGeB10padOxJF9E_Vljuvvct_M7RDo/edit?usp=sharing"",""ปทุมธานี!I385"")+IMPORTRANGE(""https://docs.google.com/spreadsheets/d/1GbCI"&amp;"E4D4wk9FUozzqk7SxfDMxDVBwVmI5zcaVUSzKAc/edit?usp=sharing"",""ประจวบคีรีขันธ์!I385"")+IMPORTRANGE(""https://docs.google.com/spreadsheets/d/1vVf6wykvW_lAyu7Yo9L4hUTqHqIeP_qcVuxCtosJEbg/edit?usp=sharing"",""ปราจีนบุรี!I385"")+IMPORTRANGE(""https://docs.googl"&amp;"e.com/spreadsheets/d/1BIDqLLg5jk3v59G8NlR8rk5xfQDKne0sAvZHSj7TI6I/edit?usp=sharing"",""พระนครศรีอยุธยา!I385"")+IMPORTRANGE(""https://docs.google.com/spreadsheets/d/1YXvxf8Yu6_rV4hTBrwMqAcAnv6DfhUxh5emyM3CJp_w/edit?usp=sharing"",""เพชรบุรี!I385"")+IMPORTRA"&amp;"NGE(""https://docs.google.com/spreadsheets/d/19KBlQQs7uwvsao6t2n-KvW3Ax8J8uRRfZPq1zPbXgKc/edit?usp=sharing"",""ระยอง!I385"")+IMPORTRANGE(""https://docs.google.com/spreadsheets/d/1jQ6P4QcrGM89YfqcC_PxOHGCMq5ezhucwJd8ci-NHng/edit?usp=sharing"",""ราชบุรี!I38"&amp;"5"")+IMPORTRANGE(""https://docs.google.com/spreadsheets/d/1lufeA2cfFqM-elVq2hznhDzC6Pr7wkJ9ZG_sYNGCMCU/edit?usp=sharing"",""ลพบุรี!I385"")+IMPORTRANGE(""https://docs.google.com/spreadsheets/d/10oOiF7loTyfsTkbd4MpaIm0HQ9SwB7IYHdIUvt-U1Uc/edit?usp=sharing"""&amp;",""สระแก้ว!I385"")+IMPORTRANGE(""https://docs.google.com/spreadsheets/d/1xmPlrr1QbdSIKvl1dWUl9K4PjAfSL9oeMr_37QVzcxc/edit?usp=sharing"",""สระบุรี!I385"")+IMPORTRANGE(""https://docs.google.com/spreadsheets/d/1j51vR6CYVGhABJpv6tkstgok82RLpXieLzW1yOY5rHw/edi"&amp;"t?usp=sharing"",""สิงห์บุรี!I385"")+IMPORTRANGE(""https://docs.google.com/spreadsheets/d/1H1EalTWKUSzO4Z1-1CwzoDUaVffgrThEBe2sl74kKG0/edit?usp=sharing"",""สุพรรณบุรี!I385"")+IMPORTRANGE(""https://docs.google.com/spreadsheets/d/1BmIruG_sIrJLYao_Pdr7zVArWsf"&amp;"oBt2692TMi6x_854/edit?usp=sharing"",""อ่างทอง!I385"")"),3000)</f>
        <v>3000</v>
      </c>
      <c r="J386" s="293">
        <f ca="1">IFERROR(__xludf.DUMMYFUNCTION("IMPORTRANGE(""https://docs.google.com/spreadsheets/d/13wPX838HrBrQMCywv1BsuMkt4PEKTChp52zj44s2izQ/edit?usp=sharing"",""กาญจนบุรี!J385"")+IMPORTRANGE(""https://docs.google.com/spreadsheets/d/1ddFKvqj1W1NEiWytbGlB1zMx_ykJDVtmfEQ-6-lIUBA/edit?usp=sharing"","&amp;"""จันทบุรี!J385"")+IMPORTRANGE(""https://docs.google.com/spreadsheets/d/1T1PQvRODqOBZk8BRht_U031fIS1beLA0Ub2CEytj2q0/edit?usp=sharing"",""ฉะเชิงเทรา!J385"")+IMPORTRANGE(""https://docs.google.com/spreadsheets/d/11tr1B-Bhyr79v2bkwVh5h_fR-PStkgjlZtkrZpYurG0/"&amp;"edit?usp=sharing"",""ชลบุรี!J385"")+IMPORTRANGE(""https://docs.google.com/spreadsheets/d/1hh-FVnSX0vozXhGluamEcS54Dw9_zqW0N7qJUWgJ0Sw/edit?usp=sharing"",""ชัยนาท!J385"")+IMPORTRANGE(""https://docs.google.com/spreadsheets/d/1jkqa6GXxSacMcY1eN8AHjMNJ_7dDXMJ"&amp;"VRLDlaFSOdPM/edit?usp=sharing"",""ตราด!J385"")+IMPORTRANGE(""https://docs.google.com/spreadsheets/d/18hSgUJ3VwClqi_qtULmmW3cLr0oe3OKaSYoKzdpTsYQ/edit?usp=sharing"",""นครนายก!J385"")+IMPORTRANGE(""https://docs.google.com/spreadsheets/d/1YTZo6WM2dQ6Ix6FSdnL"&amp;"5P7uVnVKu40sxZu975tgG10E/edit?usp=sharing"",""นครปฐม!J385"")+IMPORTRANGE(""https://docs.google.com/spreadsheets/d/1OYoGg4WDg5RIzwGeB10padOxJF9E_Vljuvvct_M7RDo/edit?usp=sharing"",""ปทุมธานี!J385"")+IMPORTRANGE(""https://docs.google.com/spreadsheets/d/1GbCI"&amp;"E4D4wk9FUozzqk7SxfDMxDVBwVmI5zcaVUSzKAc/edit?usp=sharing"",""ประจวบคีรีขันธ์!J385"")+IMPORTRANGE(""https://docs.google.com/spreadsheets/d/1vVf6wykvW_lAyu7Yo9L4hUTqHqIeP_qcVuxCtosJEbg/edit?usp=sharing"",""ปราจีนบุรี!J385"")+IMPORTRANGE(""https://docs.googl"&amp;"e.com/spreadsheets/d/1BIDqLLg5jk3v59G8NlR8rk5xfQDKne0sAvZHSj7TI6I/edit?usp=sharing"",""พระนครศรีอยุธยา!J385"")+IMPORTRANGE(""https://docs.google.com/spreadsheets/d/1YXvxf8Yu6_rV4hTBrwMqAcAnv6DfhUxh5emyM3CJp_w/edit?usp=sharing"",""เพชรบุรี!J385"")+IMPORTRA"&amp;"NGE(""https://docs.google.com/spreadsheets/d/19KBlQQs7uwvsao6t2n-KvW3Ax8J8uRRfZPq1zPbXgKc/edit?usp=sharing"",""ระยอง!J385"")+IMPORTRANGE(""https://docs.google.com/spreadsheets/d/1jQ6P4QcrGM89YfqcC_PxOHGCMq5ezhucwJd8ci-NHng/edit?usp=sharing"",""ราชบุรี!J38"&amp;"5"")+IMPORTRANGE(""https://docs.google.com/spreadsheets/d/1lufeA2cfFqM-elVq2hznhDzC6Pr7wkJ9ZG_sYNGCMCU/edit?usp=sharing"",""ลพบุรี!J385"")+IMPORTRANGE(""https://docs.google.com/spreadsheets/d/10oOiF7loTyfsTkbd4MpaIm0HQ9SwB7IYHdIUvt-U1Uc/edit?usp=sharing"""&amp;",""สระแก้ว!J385"")+IMPORTRANGE(""https://docs.google.com/spreadsheets/d/1xmPlrr1QbdSIKvl1dWUl9K4PjAfSL9oeMr_37QVzcxc/edit?usp=sharing"",""สระบุรี!J385"")+IMPORTRANGE(""https://docs.google.com/spreadsheets/d/1j51vR6CYVGhABJpv6tkstgok82RLpXieLzW1yOY5rHw/edi"&amp;"t?usp=sharing"",""สิงห์บุรี!J385"")+IMPORTRANGE(""https://docs.google.com/spreadsheets/d/1H1EalTWKUSzO4Z1-1CwzoDUaVffgrThEBe2sl74kKG0/edit?usp=sharing"",""สุพรรณบุรี!J385"")+IMPORTRANGE(""https://docs.google.com/spreadsheets/d/1BmIruG_sIrJLYao_Pdr7zVArWsf"&amp;"oBt2692TMi6x_854/edit?usp=sharing"",""อ่างทอง!J385"")"),0)</f>
        <v>0</v>
      </c>
      <c r="K386" s="74">
        <f t="shared" ref="K386:K389" ca="1" si="288">IF(I386&gt;0,J386*100/I386,0)</f>
        <v>0</v>
      </c>
      <c r="L386" s="87"/>
      <c r="M386" s="87"/>
      <c r="N386" s="87"/>
      <c r="O386" s="87"/>
      <c r="P386" s="87"/>
      <c r="Q386" s="86"/>
      <c r="R386" s="87"/>
      <c r="S386" s="87"/>
      <c r="T386" s="87"/>
      <c r="U386" s="87"/>
    </row>
    <row r="387" spans="1:21" ht="18.75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13wPX838HrBrQMCywv1BsuMkt4PEKTChp52zj44s2izQ/edit?usp=sharing"",""กาญจนบุรี!I386"")+IMPORTRANGE(""https://docs.google.com/spreadsheets/d/1ddFKvqj1W1NEiWytbGlB1zMx_ykJDVtmfEQ-6-lIUBA/edit?usp=sharing"","&amp;"""จันทบุรี!I386"")+IMPORTRANGE(""https://docs.google.com/spreadsheets/d/1T1PQvRODqOBZk8BRht_U031fIS1beLA0Ub2CEytj2q0/edit?usp=sharing"",""ฉะเชิงเทรา!I386"")+IMPORTRANGE(""https://docs.google.com/spreadsheets/d/11tr1B-Bhyr79v2bkwVh5h_fR-PStkgjlZtkrZpYurG0/"&amp;"edit?usp=sharing"",""ชลบุรี!I386"")+IMPORTRANGE(""https://docs.google.com/spreadsheets/d/1hh-FVnSX0vozXhGluamEcS54Dw9_zqW0N7qJUWgJ0Sw/edit?usp=sharing"",""ชัยนาท!I386"")+IMPORTRANGE(""https://docs.google.com/spreadsheets/d/1jkqa6GXxSacMcY1eN8AHjMNJ_7dDXMJ"&amp;"VRLDlaFSOdPM/edit?usp=sharing"",""ตราด!I386"")+IMPORTRANGE(""https://docs.google.com/spreadsheets/d/18hSgUJ3VwClqi_qtULmmW3cLr0oe3OKaSYoKzdpTsYQ/edit?usp=sharing"",""นครนายก!I386"")+IMPORTRANGE(""https://docs.google.com/spreadsheets/d/1YTZo6WM2dQ6Ix6FSdnL"&amp;"5P7uVnVKu40sxZu975tgG10E/edit?usp=sharing"",""นครปฐม!I386"")+IMPORTRANGE(""https://docs.google.com/spreadsheets/d/1OYoGg4WDg5RIzwGeB10padOxJF9E_Vljuvvct_M7RDo/edit?usp=sharing"",""ปทุมธานี!I386"")+IMPORTRANGE(""https://docs.google.com/spreadsheets/d/1GbCI"&amp;"E4D4wk9FUozzqk7SxfDMxDVBwVmI5zcaVUSzKAc/edit?usp=sharing"",""ประจวบคีรีขันธ์!I386"")+IMPORTRANGE(""https://docs.google.com/spreadsheets/d/1vVf6wykvW_lAyu7Yo9L4hUTqHqIeP_qcVuxCtosJEbg/edit?usp=sharing"",""ปราจีนบุรี!I386"")+IMPORTRANGE(""https://docs.googl"&amp;"e.com/spreadsheets/d/1BIDqLLg5jk3v59G8NlR8rk5xfQDKne0sAvZHSj7TI6I/edit?usp=sharing"",""พระนครศรีอยุธยา!I386"")+IMPORTRANGE(""https://docs.google.com/spreadsheets/d/1YXvxf8Yu6_rV4hTBrwMqAcAnv6DfhUxh5emyM3CJp_w/edit?usp=sharing"",""เพชรบุรี!I386"")+IMPORTRA"&amp;"NGE(""https://docs.google.com/spreadsheets/d/19KBlQQs7uwvsao6t2n-KvW3Ax8J8uRRfZPq1zPbXgKc/edit?usp=sharing"",""ระยอง!I386"")+IMPORTRANGE(""https://docs.google.com/spreadsheets/d/1jQ6P4QcrGM89YfqcC_PxOHGCMq5ezhucwJd8ci-NHng/edit?usp=sharing"",""ราชบุรี!I38"&amp;"6"")+IMPORTRANGE(""https://docs.google.com/spreadsheets/d/1lufeA2cfFqM-elVq2hznhDzC6Pr7wkJ9ZG_sYNGCMCU/edit?usp=sharing"",""ลพบุรี!I386"")+IMPORTRANGE(""https://docs.google.com/spreadsheets/d/10oOiF7loTyfsTkbd4MpaIm0HQ9SwB7IYHdIUvt-U1Uc/edit?usp=sharing"""&amp;",""สระแก้ว!I386"")+IMPORTRANGE(""https://docs.google.com/spreadsheets/d/1xmPlrr1QbdSIKvl1dWUl9K4PjAfSL9oeMr_37QVzcxc/edit?usp=sharing"",""สระบุรี!I386"")+IMPORTRANGE(""https://docs.google.com/spreadsheets/d/1j51vR6CYVGhABJpv6tkstgok82RLpXieLzW1yOY5rHw/edi"&amp;"t?usp=sharing"",""สิงห์บุรี!I386"")+IMPORTRANGE(""https://docs.google.com/spreadsheets/d/1H1EalTWKUSzO4Z1-1CwzoDUaVffgrThEBe2sl74kKG0/edit?usp=sharing"",""สุพรรณบุรี!I386"")+IMPORTRANGE(""https://docs.google.com/spreadsheets/d/1BmIruG_sIrJLYao_Pdr7zVArWsf"&amp;"oBt2692TMi6x_854/edit?usp=sharing"",""อ่างทอง!I386"")"),13800)</f>
        <v>13800</v>
      </c>
      <c r="J387" s="293">
        <f ca="1">IFERROR(__xludf.DUMMYFUNCTION("IMPORTRANGE(""https://docs.google.com/spreadsheets/d/13wPX838HrBrQMCywv1BsuMkt4PEKTChp52zj44s2izQ/edit?usp=sharing"",""กาญจนบุรี!J386"")+IMPORTRANGE(""https://docs.google.com/spreadsheets/d/1ddFKvqj1W1NEiWytbGlB1zMx_ykJDVtmfEQ-6-lIUBA/edit?usp=sharing"","&amp;"""จันทบุรี!J386"")+IMPORTRANGE(""https://docs.google.com/spreadsheets/d/1T1PQvRODqOBZk8BRht_U031fIS1beLA0Ub2CEytj2q0/edit?usp=sharing"",""ฉะเชิงเทรา!J386"")+IMPORTRANGE(""https://docs.google.com/spreadsheets/d/11tr1B-Bhyr79v2bkwVh5h_fR-PStkgjlZtkrZpYurG0/"&amp;"edit?usp=sharing"",""ชลบุรี!J386"")+IMPORTRANGE(""https://docs.google.com/spreadsheets/d/1hh-FVnSX0vozXhGluamEcS54Dw9_zqW0N7qJUWgJ0Sw/edit?usp=sharing"",""ชัยนาท!J386"")+IMPORTRANGE(""https://docs.google.com/spreadsheets/d/1jkqa6GXxSacMcY1eN8AHjMNJ_7dDXMJ"&amp;"VRLDlaFSOdPM/edit?usp=sharing"",""ตราด!J386"")+IMPORTRANGE(""https://docs.google.com/spreadsheets/d/18hSgUJ3VwClqi_qtULmmW3cLr0oe3OKaSYoKzdpTsYQ/edit?usp=sharing"",""นครนายก!J386"")+IMPORTRANGE(""https://docs.google.com/spreadsheets/d/1YTZo6WM2dQ6Ix6FSdnL"&amp;"5P7uVnVKu40sxZu975tgG10E/edit?usp=sharing"",""นครปฐม!J386"")+IMPORTRANGE(""https://docs.google.com/spreadsheets/d/1OYoGg4WDg5RIzwGeB10padOxJF9E_Vljuvvct_M7RDo/edit?usp=sharing"",""ปทุมธานี!J386"")+IMPORTRANGE(""https://docs.google.com/spreadsheets/d/1GbCI"&amp;"E4D4wk9FUozzqk7SxfDMxDVBwVmI5zcaVUSzKAc/edit?usp=sharing"",""ประจวบคีรีขันธ์!J386"")+IMPORTRANGE(""https://docs.google.com/spreadsheets/d/1vVf6wykvW_lAyu7Yo9L4hUTqHqIeP_qcVuxCtosJEbg/edit?usp=sharing"",""ปราจีนบุรี!J386"")+IMPORTRANGE(""https://docs.googl"&amp;"e.com/spreadsheets/d/1BIDqLLg5jk3v59G8NlR8rk5xfQDKne0sAvZHSj7TI6I/edit?usp=sharing"",""พระนครศรีอยุธยา!J386"")+IMPORTRANGE(""https://docs.google.com/spreadsheets/d/1YXvxf8Yu6_rV4hTBrwMqAcAnv6DfhUxh5emyM3CJp_w/edit?usp=sharing"",""เพชรบุรี!J386"")+IMPORTRA"&amp;"NGE(""https://docs.google.com/spreadsheets/d/19KBlQQs7uwvsao6t2n-KvW3Ax8J8uRRfZPq1zPbXgKc/edit?usp=sharing"",""ระยอง!J386"")+IMPORTRANGE(""https://docs.google.com/spreadsheets/d/1jQ6P4QcrGM89YfqcC_PxOHGCMq5ezhucwJd8ci-NHng/edit?usp=sharing"",""ราชบุรี!J38"&amp;"6"")+IMPORTRANGE(""https://docs.google.com/spreadsheets/d/1lufeA2cfFqM-elVq2hznhDzC6Pr7wkJ9ZG_sYNGCMCU/edit?usp=sharing"",""ลพบุรี!J386"")+IMPORTRANGE(""https://docs.google.com/spreadsheets/d/10oOiF7loTyfsTkbd4MpaIm0HQ9SwB7IYHdIUvt-U1Uc/edit?usp=sharing"""&amp;",""สระแก้ว!J386"")+IMPORTRANGE(""https://docs.google.com/spreadsheets/d/1xmPlrr1QbdSIKvl1dWUl9K4PjAfSL9oeMr_37QVzcxc/edit?usp=sharing"",""สระบุรี!J386"")+IMPORTRANGE(""https://docs.google.com/spreadsheets/d/1j51vR6CYVGhABJpv6tkstgok82RLpXieLzW1yOY5rHw/edi"&amp;"t?usp=sharing"",""สิงห์บุรี!J386"")+IMPORTRANGE(""https://docs.google.com/spreadsheets/d/1H1EalTWKUSzO4Z1-1CwzoDUaVffgrThEBe2sl74kKG0/edit?usp=sharing"",""สุพรรณบุรี!J386"")+IMPORTRANGE(""https://docs.google.com/spreadsheets/d/1BmIruG_sIrJLYao_Pdr7zVArWsf"&amp;"oBt2692TMi6x_854/edit?usp=sharing"",""อ่างทอง!J386"")"),0)</f>
        <v>0</v>
      </c>
      <c r="K387" s="74">
        <f t="shared" ca="1" si="288"/>
        <v>0</v>
      </c>
      <c r="L387" s="87"/>
      <c r="M387" s="87"/>
      <c r="N387" s="87"/>
      <c r="O387" s="87"/>
      <c r="P387" s="87"/>
      <c r="Q387" s="86"/>
      <c r="R387" s="87"/>
      <c r="S387" s="87"/>
      <c r="T387" s="87"/>
      <c r="U387" s="87"/>
    </row>
    <row r="388" spans="1:21" ht="18.75" hidden="1" x14ac:dyDescent="0.25">
      <c r="A388" s="269"/>
      <c r="B388" s="269"/>
      <c r="C388" s="269"/>
      <c r="D388" s="269"/>
      <c r="E388" s="591" t="s">
        <v>155</v>
      </c>
      <c r="F388" s="269"/>
      <c r="G388" s="312"/>
      <c r="H388" s="266" t="s">
        <v>34</v>
      </c>
      <c r="I388" s="592">
        <f ca="1">IFERROR(__xludf.DUMMYFUNCTION("IMPORTRANGE(""https://docs.google.com/spreadsheets/d/13wPX838HrBrQMCywv1BsuMkt4PEKTChp52zj44s2izQ/edit?usp=sharing"",""กาญจนบุรี!I387"")+IMPORTRANGE(""https://docs.google.com/spreadsheets/d/1ddFKvqj1W1NEiWytbGlB1zMx_ykJDVtmfEQ-6-lIUBA/edit?usp=sharing"","&amp;"""จันทบุรี!I387"")+IMPORTRANGE(""https://docs.google.com/spreadsheets/d/1T1PQvRODqOBZk8BRht_U031fIS1beLA0Ub2CEytj2q0/edit?usp=sharing"",""ฉะเชิงเทรา!I387"")+IMPORTRANGE(""https://docs.google.com/spreadsheets/d/11tr1B-Bhyr79v2bkwVh5h_fR-PStkgjlZtkrZpYurG0/"&amp;"edit?usp=sharing"",""ชลบุรี!I387"")+IMPORTRANGE(""https://docs.google.com/spreadsheets/d/1hh-FVnSX0vozXhGluamEcS54Dw9_zqW0N7qJUWgJ0Sw/edit?usp=sharing"",""ชัยนาท!I387"")+IMPORTRANGE(""https://docs.google.com/spreadsheets/d/1jkqa6GXxSacMcY1eN8AHjMNJ_7dDXMJ"&amp;"VRLDlaFSOdPM/edit?usp=sharing"",""ตราด!I387"")+IMPORTRANGE(""https://docs.google.com/spreadsheets/d/18hSgUJ3VwClqi_qtULmmW3cLr0oe3OKaSYoKzdpTsYQ/edit?usp=sharing"",""นครนายก!I387"")+IMPORTRANGE(""https://docs.google.com/spreadsheets/d/1YTZo6WM2dQ6Ix6FSdnL"&amp;"5P7uVnVKu40sxZu975tgG10E/edit?usp=sharing"",""นครปฐม!I387"")+IMPORTRANGE(""https://docs.google.com/spreadsheets/d/1OYoGg4WDg5RIzwGeB10padOxJF9E_Vljuvvct_M7RDo/edit?usp=sharing"",""ปทุมธานี!I387"")+IMPORTRANGE(""https://docs.google.com/spreadsheets/d/1GbCI"&amp;"E4D4wk9FUozzqk7SxfDMxDVBwVmI5zcaVUSzKAc/edit?usp=sharing"",""ประจวบคีรีขันธ์!I387"")+IMPORTRANGE(""https://docs.google.com/spreadsheets/d/1vVf6wykvW_lAyu7Yo9L4hUTqHqIeP_qcVuxCtosJEbg/edit?usp=sharing"",""ปราจีนบุรี!I387"")+IMPORTRANGE(""https://docs.googl"&amp;"e.com/spreadsheets/d/1BIDqLLg5jk3v59G8NlR8rk5xfQDKne0sAvZHSj7TI6I/edit?usp=sharing"",""พระนครศรีอยุธยา!I387"")+IMPORTRANGE(""https://docs.google.com/spreadsheets/d/1YXvxf8Yu6_rV4hTBrwMqAcAnv6DfhUxh5emyM3CJp_w/edit?usp=sharing"",""เพชรบุรี!I387"")+IMPORTRA"&amp;"NGE(""https://docs.google.com/spreadsheets/d/19KBlQQs7uwvsao6t2n-KvW3Ax8J8uRRfZPq1zPbXgKc/edit?usp=sharing"",""ระยอง!I387"")+IMPORTRANGE(""https://docs.google.com/spreadsheets/d/1jQ6P4QcrGM89YfqcC_PxOHGCMq5ezhucwJd8ci-NHng/edit?usp=sharing"",""ราชบุรี!I38"&amp;"7"")+IMPORTRANGE(""https://docs.google.com/spreadsheets/d/1lufeA2cfFqM-elVq2hznhDzC6Pr7wkJ9ZG_sYNGCMCU/edit?usp=sharing"",""ลพบุรี!I387"")+IMPORTRANGE(""https://docs.google.com/spreadsheets/d/10oOiF7loTyfsTkbd4MpaIm0HQ9SwB7IYHdIUvt-U1Uc/edit?usp=sharing"""&amp;",""สระแก้ว!I387"")+IMPORTRANGE(""https://docs.google.com/spreadsheets/d/1xmPlrr1QbdSIKvl1dWUl9K4PjAfSL9oeMr_37QVzcxc/edit?usp=sharing"",""สระบุรี!I387"")+IMPORTRANGE(""https://docs.google.com/spreadsheets/d/1j51vR6CYVGhABJpv6tkstgok82RLpXieLzW1yOY5rHw/edi"&amp;"t?usp=sharing"",""สิงห์บุรี!I387"")+IMPORTRANGE(""https://docs.google.com/spreadsheets/d/1H1EalTWKUSzO4Z1-1CwzoDUaVffgrThEBe2sl74kKG0/edit?usp=sharing"",""สุพรรณบุรี!I387"")+IMPORTRANGE(""https://docs.google.com/spreadsheets/d/1BmIruG_sIrJLYao_Pdr7zVArWsf"&amp;"oBt2692TMi6x_854/edit?usp=sharing"",""อ่างทอง!I387"")"),0)</f>
        <v>0</v>
      </c>
      <c r="J388" s="592">
        <f ca="1">IFERROR(__xludf.DUMMYFUNCTION("IMPORTRANGE(""https://docs.google.com/spreadsheets/d/13wPX838HrBrQMCywv1BsuMkt4PEKTChp52zj44s2izQ/edit?usp=sharing"",""กาญจนบุรี!J387"")+IMPORTRANGE(""https://docs.google.com/spreadsheets/d/1ddFKvqj1W1NEiWytbGlB1zMx_ykJDVtmfEQ-6-lIUBA/edit?usp=sharing"","&amp;"""จันทบุรี!J387"")+IMPORTRANGE(""https://docs.google.com/spreadsheets/d/1T1PQvRODqOBZk8BRht_U031fIS1beLA0Ub2CEytj2q0/edit?usp=sharing"",""ฉะเชิงเทรา!J387"")+IMPORTRANGE(""https://docs.google.com/spreadsheets/d/11tr1B-Bhyr79v2bkwVh5h_fR-PStkgjlZtkrZpYurG0/"&amp;"edit?usp=sharing"",""ชลบุรี!J387"")+IMPORTRANGE(""https://docs.google.com/spreadsheets/d/1hh-FVnSX0vozXhGluamEcS54Dw9_zqW0N7qJUWgJ0Sw/edit?usp=sharing"",""ชัยนาท!J387"")+IMPORTRANGE(""https://docs.google.com/spreadsheets/d/1jkqa6GXxSacMcY1eN8AHjMNJ_7dDXMJ"&amp;"VRLDlaFSOdPM/edit?usp=sharing"",""ตราด!J387"")+IMPORTRANGE(""https://docs.google.com/spreadsheets/d/18hSgUJ3VwClqi_qtULmmW3cLr0oe3OKaSYoKzdpTsYQ/edit?usp=sharing"",""นครนายก!J387"")+IMPORTRANGE(""https://docs.google.com/spreadsheets/d/1YTZo6WM2dQ6Ix6FSdnL"&amp;"5P7uVnVKu40sxZu975tgG10E/edit?usp=sharing"",""นครปฐม!J387"")+IMPORTRANGE(""https://docs.google.com/spreadsheets/d/1OYoGg4WDg5RIzwGeB10padOxJF9E_Vljuvvct_M7RDo/edit?usp=sharing"",""ปทุมธานี!J387"")+IMPORTRANGE(""https://docs.google.com/spreadsheets/d/1GbCI"&amp;"E4D4wk9FUozzqk7SxfDMxDVBwVmI5zcaVUSzKAc/edit?usp=sharing"",""ประจวบคีรีขันธ์!J387"")+IMPORTRANGE(""https://docs.google.com/spreadsheets/d/1vVf6wykvW_lAyu7Yo9L4hUTqHqIeP_qcVuxCtosJEbg/edit?usp=sharing"",""ปราจีนบุรี!J387"")+IMPORTRANGE(""https://docs.googl"&amp;"e.com/spreadsheets/d/1BIDqLLg5jk3v59G8NlR8rk5xfQDKne0sAvZHSj7TI6I/edit?usp=sharing"",""พระนครศรีอยุธยา!J387"")+IMPORTRANGE(""https://docs.google.com/spreadsheets/d/1YXvxf8Yu6_rV4hTBrwMqAcAnv6DfhUxh5emyM3CJp_w/edit?usp=sharing"",""เพชรบุรี!J387"")+IMPORTRA"&amp;"NGE(""https://docs.google.com/spreadsheets/d/19KBlQQs7uwvsao6t2n-KvW3Ax8J8uRRfZPq1zPbXgKc/edit?usp=sharing"",""ระยอง!J387"")+IMPORTRANGE(""https://docs.google.com/spreadsheets/d/1jQ6P4QcrGM89YfqcC_PxOHGCMq5ezhucwJd8ci-NHng/edit?usp=sharing"",""ราชบุรี!J38"&amp;"7"")+IMPORTRANGE(""https://docs.google.com/spreadsheets/d/1lufeA2cfFqM-elVq2hznhDzC6Pr7wkJ9ZG_sYNGCMCU/edit?usp=sharing"",""ลพบุรี!J387"")+IMPORTRANGE(""https://docs.google.com/spreadsheets/d/10oOiF7loTyfsTkbd4MpaIm0HQ9SwB7IYHdIUvt-U1Uc/edit?usp=sharing"""&amp;",""สระแก้ว!J387"")+IMPORTRANGE(""https://docs.google.com/spreadsheets/d/1xmPlrr1QbdSIKvl1dWUl9K4PjAfSL9oeMr_37QVzcxc/edit?usp=sharing"",""สระบุรี!J387"")+IMPORTRANGE(""https://docs.google.com/spreadsheets/d/1j51vR6CYVGhABJpv6tkstgok82RLpXieLzW1yOY5rHw/edi"&amp;"t?usp=sharing"",""สิงห์บุรี!J387"")+IMPORTRANGE(""https://docs.google.com/spreadsheets/d/1H1EalTWKUSzO4Z1-1CwzoDUaVffgrThEBe2sl74kKG0/edit?usp=sharing"",""สุพรรณบุรี!J387"")+IMPORTRANGE(""https://docs.google.com/spreadsheets/d/1BmIruG_sIrJLYao_Pdr7zVArWsf"&amp;"oBt2692TMi6x_854/edit?usp=sharing"",""อ่างทอง!J387"")"),0)</f>
        <v>0</v>
      </c>
      <c r="K388" s="77">
        <f t="shared" ca="1" si="288"/>
        <v>0</v>
      </c>
      <c r="L388" s="87"/>
      <c r="M388" s="87"/>
      <c r="N388" s="87"/>
      <c r="O388" s="87"/>
      <c r="P388" s="87"/>
      <c r="Q388" s="86"/>
      <c r="R388" s="87"/>
      <c r="S388" s="87"/>
      <c r="T388" s="87"/>
      <c r="U388" s="87"/>
    </row>
    <row r="389" spans="1:21" ht="18.75" hidden="1" x14ac:dyDescent="0.25">
      <c r="A389" s="269"/>
      <c r="B389" s="269"/>
      <c r="C389" s="269"/>
      <c r="D389" s="269"/>
      <c r="E389" s="269"/>
      <c r="F389" s="269"/>
      <c r="G389" s="312"/>
      <c r="H389" s="266" t="s">
        <v>46</v>
      </c>
      <c r="I389" s="592">
        <f ca="1">IFERROR(__xludf.DUMMYFUNCTION("IMPORTRANGE(""https://docs.google.com/spreadsheets/d/13wPX838HrBrQMCywv1BsuMkt4PEKTChp52zj44s2izQ/edit?usp=sharing"",""กาญจนบุรี!I388"")+IMPORTRANGE(""https://docs.google.com/spreadsheets/d/1ddFKvqj1W1NEiWytbGlB1zMx_ykJDVtmfEQ-6-lIUBA/edit?usp=sharing"","&amp;"""จันทบุรี!I388"")+IMPORTRANGE(""https://docs.google.com/spreadsheets/d/1T1PQvRODqOBZk8BRht_U031fIS1beLA0Ub2CEytj2q0/edit?usp=sharing"",""ฉะเชิงเทรา!I388"")+IMPORTRANGE(""https://docs.google.com/spreadsheets/d/11tr1B-Bhyr79v2bkwVh5h_fR-PStkgjlZtkrZpYurG0/"&amp;"edit?usp=sharing"",""ชลบุรี!I388"")+IMPORTRANGE(""https://docs.google.com/spreadsheets/d/1hh-FVnSX0vozXhGluamEcS54Dw9_zqW0N7qJUWgJ0Sw/edit?usp=sharing"",""ชัยนาท!I388"")+IMPORTRANGE(""https://docs.google.com/spreadsheets/d/1jkqa6GXxSacMcY1eN8AHjMNJ_7dDXMJ"&amp;"VRLDlaFSOdPM/edit?usp=sharing"",""ตราด!I388"")+IMPORTRANGE(""https://docs.google.com/spreadsheets/d/18hSgUJ3VwClqi_qtULmmW3cLr0oe3OKaSYoKzdpTsYQ/edit?usp=sharing"",""นครนายก!I388"")+IMPORTRANGE(""https://docs.google.com/spreadsheets/d/1YTZo6WM2dQ6Ix6FSdnL"&amp;"5P7uVnVKu40sxZu975tgG10E/edit?usp=sharing"",""นครปฐม!I388"")+IMPORTRANGE(""https://docs.google.com/spreadsheets/d/1OYoGg4WDg5RIzwGeB10padOxJF9E_Vljuvvct_M7RDo/edit?usp=sharing"",""ปทุมธานี!I388"")+IMPORTRANGE(""https://docs.google.com/spreadsheets/d/1GbCI"&amp;"E4D4wk9FUozzqk7SxfDMxDVBwVmI5zcaVUSzKAc/edit?usp=sharing"",""ประจวบคีรีขันธ์!I388"")+IMPORTRANGE(""https://docs.google.com/spreadsheets/d/1vVf6wykvW_lAyu7Yo9L4hUTqHqIeP_qcVuxCtosJEbg/edit?usp=sharing"",""ปราจีนบุรี!I388"")+IMPORTRANGE(""https://docs.googl"&amp;"e.com/spreadsheets/d/1BIDqLLg5jk3v59G8NlR8rk5xfQDKne0sAvZHSj7TI6I/edit?usp=sharing"",""พระนครศรีอยุธยา!I388"")+IMPORTRANGE(""https://docs.google.com/spreadsheets/d/1YXvxf8Yu6_rV4hTBrwMqAcAnv6DfhUxh5emyM3CJp_w/edit?usp=sharing"",""เพชรบุรี!I388"")+IMPORTRA"&amp;"NGE(""https://docs.google.com/spreadsheets/d/19KBlQQs7uwvsao6t2n-KvW3Ax8J8uRRfZPq1zPbXgKc/edit?usp=sharing"",""ระยอง!I388"")+IMPORTRANGE(""https://docs.google.com/spreadsheets/d/1jQ6P4QcrGM89YfqcC_PxOHGCMq5ezhucwJd8ci-NHng/edit?usp=sharing"",""ราชบุรี!I38"&amp;"8"")+IMPORTRANGE(""https://docs.google.com/spreadsheets/d/1lufeA2cfFqM-elVq2hznhDzC6Pr7wkJ9ZG_sYNGCMCU/edit?usp=sharing"",""ลพบุรี!I388"")+IMPORTRANGE(""https://docs.google.com/spreadsheets/d/10oOiF7loTyfsTkbd4MpaIm0HQ9SwB7IYHdIUvt-U1Uc/edit?usp=sharing"""&amp;",""สระแก้ว!I388"")+IMPORTRANGE(""https://docs.google.com/spreadsheets/d/1xmPlrr1QbdSIKvl1dWUl9K4PjAfSL9oeMr_37QVzcxc/edit?usp=sharing"",""สระบุรี!I388"")+IMPORTRANGE(""https://docs.google.com/spreadsheets/d/1j51vR6CYVGhABJpv6tkstgok82RLpXieLzW1yOY5rHw/edi"&amp;"t?usp=sharing"",""สิงห์บุรี!I388"")+IMPORTRANGE(""https://docs.google.com/spreadsheets/d/1H1EalTWKUSzO4Z1-1CwzoDUaVffgrThEBe2sl74kKG0/edit?usp=sharing"",""สุพรรณบุรี!I388"")+IMPORTRANGE(""https://docs.google.com/spreadsheets/d/1BmIruG_sIrJLYao_Pdr7zVArWsf"&amp;"oBt2692TMi6x_854/edit?usp=sharing"",""อ่างทอง!I388"")"),0)</f>
        <v>0</v>
      </c>
      <c r="J389" s="592">
        <f ca="1">IFERROR(__xludf.DUMMYFUNCTION("IMPORTRANGE(""https://docs.google.com/spreadsheets/d/13wPX838HrBrQMCywv1BsuMkt4PEKTChp52zj44s2izQ/edit?usp=sharing"",""กาญจนบุรี!J388"")+IMPORTRANGE(""https://docs.google.com/spreadsheets/d/1ddFKvqj1W1NEiWytbGlB1zMx_ykJDVtmfEQ-6-lIUBA/edit?usp=sharing"","&amp;"""จันทบุรี!J388"")+IMPORTRANGE(""https://docs.google.com/spreadsheets/d/1T1PQvRODqOBZk8BRht_U031fIS1beLA0Ub2CEytj2q0/edit?usp=sharing"",""ฉะเชิงเทรา!J388"")+IMPORTRANGE(""https://docs.google.com/spreadsheets/d/11tr1B-Bhyr79v2bkwVh5h_fR-PStkgjlZtkrZpYurG0/"&amp;"edit?usp=sharing"",""ชลบุรี!J388"")+IMPORTRANGE(""https://docs.google.com/spreadsheets/d/1hh-FVnSX0vozXhGluamEcS54Dw9_zqW0N7qJUWgJ0Sw/edit?usp=sharing"",""ชัยนาท!J388"")+IMPORTRANGE(""https://docs.google.com/spreadsheets/d/1jkqa6GXxSacMcY1eN8AHjMNJ_7dDXMJ"&amp;"VRLDlaFSOdPM/edit?usp=sharing"",""ตราด!J388"")+IMPORTRANGE(""https://docs.google.com/spreadsheets/d/18hSgUJ3VwClqi_qtULmmW3cLr0oe3OKaSYoKzdpTsYQ/edit?usp=sharing"",""นครนายก!J388"")+IMPORTRANGE(""https://docs.google.com/spreadsheets/d/1YTZo6WM2dQ6Ix6FSdnL"&amp;"5P7uVnVKu40sxZu975tgG10E/edit?usp=sharing"",""นครปฐม!J388"")+IMPORTRANGE(""https://docs.google.com/spreadsheets/d/1OYoGg4WDg5RIzwGeB10padOxJF9E_Vljuvvct_M7RDo/edit?usp=sharing"",""ปทุมธานี!J388"")+IMPORTRANGE(""https://docs.google.com/spreadsheets/d/1GbCI"&amp;"E4D4wk9FUozzqk7SxfDMxDVBwVmI5zcaVUSzKAc/edit?usp=sharing"",""ประจวบคีรีขันธ์!J388"")+IMPORTRANGE(""https://docs.google.com/spreadsheets/d/1vVf6wykvW_lAyu7Yo9L4hUTqHqIeP_qcVuxCtosJEbg/edit?usp=sharing"",""ปราจีนบุรี!J388"")+IMPORTRANGE(""https://docs.googl"&amp;"e.com/spreadsheets/d/1BIDqLLg5jk3v59G8NlR8rk5xfQDKne0sAvZHSj7TI6I/edit?usp=sharing"",""พระนครศรีอยุธยา!J388"")+IMPORTRANGE(""https://docs.google.com/spreadsheets/d/1YXvxf8Yu6_rV4hTBrwMqAcAnv6DfhUxh5emyM3CJp_w/edit?usp=sharing"",""เพชรบุรี!J388"")+IMPORTRA"&amp;"NGE(""https://docs.google.com/spreadsheets/d/19KBlQQs7uwvsao6t2n-KvW3Ax8J8uRRfZPq1zPbXgKc/edit?usp=sharing"",""ระยอง!J388"")+IMPORTRANGE(""https://docs.google.com/spreadsheets/d/1jQ6P4QcrGM89YfqcC_PxOHGCMq5ezhucwJd8ci-NHng/edit?usp=sharing"",""ราชบุรี!J38"&amp;"8"")+IMPORTRANGE(""https://docs.google.com/spreadsheets/d/1lufeA2cfFqM-elVq2hznhDzC6Pr7wkJ9ZG_sYNGCMCU/edit?usp=sharing"",""ลพบุรี!J388"")+IMPORTRANGE(""https://docs.google.com/spreadsheets/d/10oOiF7loTyfsTkbd4MpaIm0HQ9SwB7IYHdIUvt-U1Uc/edit?usp=sharing"""&amp;",""สระแก้ว!J388"")+IMPORTRANGE(""https://docs.google.com/spreadsheets/d/1xmPlrr1QbdSIKvl1dWUl9K4PjAfSL9oeMr_37QVzcxc/edit?usp=sharing"",""สระบุรี!J388"")+IMPORTRANGE(""https://docs.google.com/spreadsheets/d/1j51vR6CYVGhABJpv6tkstgok82RLpXieLzW1yOY5rHw/edi"&amp;"t?usp=sharing"",""สิงห์บุรี!J388"")+IMPORTRANGE(""https://docs.google.com/spreadsheets/d/1H1EalTWKUSzO4Z1-1CwzoDUaVffgrThEBe2sl74kKG0/edit?usp=sharing"",""สุพรรณบุรี!J388"")+IMPORTRANGE(""https://docs.google.com/spreadsheets/d/1BmIruG_sIrJLYao_Pdr7zVArWsf"&amp;"oBt2692TMi6x_854/edit?usp=sharing"",""อ่างทอง!J388"")"),0)</f>
        <v>0</v>
      </c>
      <c r="K389" s="77">
        <f t="shared" ca="1" si="288"/>
        <v>0</v>
      </c>
      <c r="L389" s="87"/>
      <c r="M389" s="87"/>
      <c r="N389" s="87"/>
      <c r="O389" s="87"/>
      <c r="P389" s="87"/>
      <c r="Q389" s="86"/>
      <c r="R389" s="87"/>
      <c r="S389" s="87"/>
      <c r="T389" s="87"/>
      <c r="U389" s="87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6"/>
      <c r="M390" s="596"/>
      <c r="N390" s="596"/>
      <c r="O390" s="596"/>
      <c r="P390" s="596"/>
      <c r="Q390" s="597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1"/>
      <c r="M391" s="601"/>
      <c r="N391" s="601"/>
      <c r="O391" s="601"/>
      <c r="P391" s="601"/>
      <c r="Q391" s="602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610">
        <f t="shared" ref="I392:J392" si="289">I403</f>
        <v>0</v>
      </c>
      <c r="J392" s="610">
        <f t="shared" si="289"/>
        <v>0</v>
      </c>
      <c r="K392" s="611">
        <f>IF(I392&gt;0,J392*100/I392,0)</f>
        <v>0</v>
      </c>
      <c r="L392" s="530"/>
      <c r="M392" s="530"/>
      <c r="N392" s="530"/>
      <c r="O392" s="530"/>
      <c r="P392" s="530"/>
      <c r="Q392" s="529"/>
      <c r="R392" s="530"/>
      <c r="S392" s="530"/>
      <c r="T392" s="530"/>
      <c r="U392" s="530"/>
    </row>
    <row r="393" spans="1:21" ht="19.5" hidden="1" x14ac:dyDescent="0.3">
      <c r="A393" s="257"/>
      <c r="B393" s="269"/>
      <c r="C393" s="278" t="s">
        <v>18</v>
      </c>
      <c r="D393" s="588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264">
        <f t="shared" ref="L393:N393" ca="1" si="290">L394+L395</f>
        <v>0</v>
      </c>
      <c r="M393" s="264">
        <f t="shared" ca="1" si="290"/>
        <v>0</v>
      </c>
      <c r="N393" s="264">
        <f t="shared" ca="1" si="290"/>
        <v>0</v>
      </c>
      <c r="O393" s="264">
        <f t="shared" ref="O393:O401" ca="1" si="291">IF(L393&gt;0,N393*100/L393,0)</f>
        <v>0</v>
      </c>
      <c r="P393" s="264">
        <f t="shared" ref="P393:P401" ca="1" si="292">IF(M393&gt;0,N393*100/M393,0)</f>
        <v>0</v>
      </c>
      <c r="Q393" s="214">
        <f t="shared" ref="Q393:S393" ca="1" si="293">Q394+Q395</f>
        <v>0</v>
      </c>
      <c r="R393" s="215">
        <f t="shared" ca="1" si="293"/>
        <v>0</v>
      </c>
      <c r="S393" s="215">
        <f t="shared" ca="1" si="293"/>
        <v>0</v>
      </c>
      <c r="T393" s="215">
        <f t="shared" ref="T393:T401" ca="1" si="294">IF(Q393&gt;0,S393*100/Q393,0)</f>
        <v>0</v>
      </c>
      <c r="U393" s="215">
        <f t="shared" ref="U393:U401" ca="1" si="295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7">
        <f t="shared" ref="L394:N394" ca="1" si="296">L397+L400</f>
        <v>0</v>
      </c>
      <c r="M394" s="77">
        <f t="shared" ca="1" si="296"/>
        <v>0</v>
      </c>
      <c r="N394" s="77">
        <f t="shared" ca="1" si="296"/>
        <v>0</v>
      </c>
      <c r="O394" s="77">
        <f t="shared" ca="1" si="291"/>
        <v>0</v>
      </c>
      <c r="P394" s="77">
        <f t="shared" ca="1" si="292"/>
        <v>0</v>
      </c>
      <c r="Q394" s="217">
        <f t="shared" ref="Q394:S394" ca="1" si="297">Q397+Q400</f>
        <v>0</v>
      </c>
      <c r="R394" s="133">
        <f t="shared" ca="1" si="297"/>
        <v>0</v>
      </c>
      <c r="S394" s="133">
        <f t="shared" ca="1" si="297"/>
        <v>0</v>
      </c>
      <c r="T394" s="133">
        <f t="shared" ca="1" si="294"/>
        <v>0</v>
      </c>
      <c r="U394" s="133">
        <f t="shared" ca="1" si="295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4">
        <f t="shared" ref="L395:N395" ca="1" si="298">L398+L401</f>
        <v>0</v>
      </c>
      <c r="M395" s="74">
        <f t="shared" ca="1" si="298"/>
        <v>0</v>
      </c>
      <c r="N395" s="74">
        <f t="shared" ca="1" si="298"/>
        <v>0</v>
      </c>
      <c r="O395" s="74">
        <f t="shared" ca="1" si="291"/>
        <v>0</v>
      </c>
      <c r="P395" s="74">
        <f t="shared" ca="1" si="292"/>
        <v>0</v>
      </c>
      <c r="Q395" s="131">
        <f t="shared" ref="Q395:S395" ca="1" si="299">Q398+Q401</f>
        <v>0</v>
      </c>
      <c r="R395" s="132">
        <f t="shared" ca="1" si="299"/>
        <v>0</v>
      </c>
      <c r="S395" s="132">
        <f t="shared" ca="1" si="299"/>
        <v>0</v>
      </c>
      <c r="T395" s="132">
        <f t="shared" ca="1" si="294"/>
        <v>0</v>
      </c>
      <c r="U395" s="132">
        <f t="shared" ca="1" si="295"/>
        <v>0</v>
      </c>
    </row>
    <row r="396" spans="1:21" ht="18.75" hidden="1" x14ac:dyDescent="0.25">
      <c r="A396" s="257"/>
      <c r="B396" s="269"/>
      <c r="C396" s="269"/>
      <c r="D396" s="274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4">
        <f t="shared" ref="L396:N396" ca="1" si="300">L397+L398</f>
        <v>0</v>
      </c>
      <c r="M396" s="74">
        <f t="shared" ca="1" si="300"/>
        <v>0</v>
      </c>
      <c r="N396" s="74">
        <f t="shared" ca="1" si="300"/>
        <v>0</v>
      </c>
      <c r="O396" s="74">
        <f t="shared" ca="1" si="291"/>
        <v>0</v>
      </c>
      <c r="P396" s="74">
        <f t="shared" ca="1" si="292"/>
        <v>0</v>
      </c>
      <c r="Q396" s="131">
        <f t="shared" ref="Q396:S396" ca="1" si="301">Q397+Q398</f>
        <v>0</v>
      </c>
      <c r="R396" s="132">
        <f t="shared" ca="1" si="301"/>
        <v>0</v>
      </c>
      <c r="S396" s="132">
        <f t="shared" ca="1" si="301"/>
        <v>0</v>
      </c>
      <c r="T396" s="132">
        <f t="shared" ca="1" si="294"/>
        <v>0</v>
      </c>
      <c r="U396" s="132">
        <f t="shared" ca="1" si="295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7">
        <f ca="1">IFERROR(__xludf.DUMMYFUNCTION("IMPORTRANGE(""https://docs.google.com/spreadsheets/d/13wPX838HrBrQMCywv1BsuMkt4PEKTChp52zj44s2izQ/edit?usp=sharing"",""กาญจนบุรี!L396"")+IMPORTRANGE(""https://docs.google.com/spreadsheets/d/1ddFKvqj1W1NEiWytbGlB1zMx_ykJDVtmfEQ-6-lIUBA/edit?usp=sharing"","&amp;"""จันทบุรี!L396"")+IMPORTRANGE(""https://docs.google.com/spreadsheets/d/1T1PQvRODqOBZk8BRht_U031fIS1beLA0Ub2CEytj2q0/edit?usp=sharing"",""ฉะเชิงเทรา!L396"")+IMPORTRANGE(""https://docs.google.com/spreadsheets/d/11tr1B-Bhyr79v2bkwVh5h_fR-PStkgjlZtkrZpYurG0/"&amp;"edit?usp=sharing"",""ชลบุรี!L396"")+IMPORTRANGE(""https://docs.google.com/spreadsheets/d/1hh-FVnSX0vozXhGluamEcS54Dw9_zqW0N7qJUWgJ0Sw/edit?usp=sharing"",""ชัยนาท!L396"")+IMPORTRANGE(""https://docs.google.com/spreadsheets/d/1jkqa6GXxSacMcY1eN8AHjMNJ_7dDXMJ"&amp;"VRLDlaFSOdPM/edit?usp=sharing"",""ตราด!L396"")+IMPORTRANGE(""https://docs.google.com/spreadsheets/d/18hSgUJ3VwClqi_qtULmmW3cLr0oe3OKaSYoKzdpTsYQ/edit?usp=sharing"",""นครนายก!L396"")+IMPORTRANGE(""https://docs.google.com/spreadsheets/d/1YTZo6WM2dQ6Ix6FSdnL"&amp;"5P7uVnVKu40sxZu975tgG10E/edit?usp=sharing"",""นครปฐม!L396"")+IMPORTRANGE(""https://docs.google.com/spreadsheets/d/1OYoGg4WDg5RIzwGeB10padOxJF9E_Vljuvvct_M7RDo/edit?usp=sharing"",""ปทุมธานี!L396"")+IMPORTRANGE(""https://docs.google.com/spreadsheets/d/1GbCI"&amp;"E4D4wk9FUozzqk7SxfDMxDVBwVmI5zcaVUSzKAc/edit?usp=sharing"",""ประจวบคีรีขันธ์!L396"")+IMPORTRANGE(""https://docs.google.com/spreadsheets/d/1vVf6wykvW_lAyu7Yo9L4hUTqHqIeP_qcVuxCtosJEbg/edit?usp=sharing"",""ปราจีนบุรี!L396"")+IMPORTRANGE(""https://docs.googl"&amp;"e.com/spreadsheets/d/1BIDqLLg5jk3v59G8NlR8rk5xfQDKne0sAvZHSj7TI6I/edit?usp=sharing"",""พระนครศรีอยุธยา!L396"")+IMPORTRANGE(""https://docs.google.com/spreadsheets/d/1YXvxf8Yu6_rV4hTBrwMqAcAnv6DfhUxh5emyM3CJp_w/edit?usp=sharing"",""เพชรบุรี!L396"")+IMPORTRA"&amp;"NGE(""https://docs.google.com/spreadsheets/d/19KBlQQs7uwvsao6t2n-KvW3Ax8J8uRRfZPq1zPbXgKc/edit?usp=sharing"",""ระยอง!L396"")+IMPORTRANGE(""https://docs.google.com/spreadsheets/d/1jQ6P4QcrGM89YfqcC_PxOHGCMq5ezhucwJd8ci-NHng/edit?usp=sharing"",""ราชบุรี!L39"&amp;"6"")+IMPORTRANGE(""https://docs.google.com/spreadsheets/d/1lufeA2cfFqM-elVq2hznhDzC6Pr7wkJ9ZG_sYNGCMCU/edit?usp=sharing"",""ลพบุรี!L396"")+IMPORTRANGE(""https://docs.google.com/spreadsheets/d/10oOiF7loTyfsTkbd4MpaIm0HQ9SwB7IYHdIUvt-U1Uc/edit?usp=sharing"""&amp;",""สระแก้ว!L396"")+IMPORTRANGE(""https://docs.google.com/spreadsheets/d/1xmPlrr1QbdSIKvl1dWUl9K4PjAfSL9oeMr_37QVzcxc/edit?usp=sharing"",""สระบุรี!L396"")+IMPORTRANGE(""https://docs.google.com/spreadsheets/d/1j51vR6CYVGhABJpv6tkstgok82RLpXieLzW1yOY5rHw/edi"&amp;"t?usp=sharing"",""สิงห์บุรี!L396"")+IMPORTRANGE(""https://docs.google.com/spreadsheets/d/1H1EalTWKUSzO4Z1-1CwzoDUaVffgrThEBe2sl74kKG0/edit?usp=sharing"",""สุพรรณบุรี!L396"")+IMPORTRANGE(""https://docs.google.com/spreadsheets/d/1BmIruG_sIrJLYao_Pdr7zVArWsf"&amp;"oBt2692TMi6x_854/edit?usp=sharing"",""อ่างทอง!L396"")"),0)</f>
        <v>0</v>
      </c>
      <c r="M397" s="77">
        <f ca="1">IFERROR(__xludf.DUMMYFUNCTION("IMPORTRANGE(""https://docs.google.com/spreadsheets/d/13wPX838HrBrQMCywv1BsuMkt4PEKTChp52zj44s2izQ/edit?usp=sharing"",""กาญจนบุรี!M396"")+IMPORTRANGE(""https://docs.google.com/spreadsheets/d/1ddFKvqj1W1NEiWytbGlB1zMx_ykJDVtmfEQ-6-lIUBA/edit?usp=sharing"","&amp;"""จันทบุรี!M396"")+IMPORTRANGE(""https://docs.google.com/spreadsheets/d/1T1PQvRODqOBZk8BRht_U031fIS1beLA0Ub2CEytj2q0/edit?usp=sharing"",""ฉะเชิงเทรา!M396"")+IMPORTRANGE(""https://docs.google.com/spreadsheets/d/11tr1B-Bhyr79v2bkwVh5h_fR-PStkgjlZtkrZpYurG0/"&amp;"edit?usp=sharing"",""ชลบุรี!M396"")+IMPORTRANGE(""https://docs.google.com/spreadsheets/d/1hh-FVnSX0vozXhGluamEcS54Dw9_zqW0N7qJUWgJ0Sw/edit?usp=sharing"",""ชัยนาท!M396"")+IMPORTRANGE(""https://docs.google.com/spreadsheets/d/1jkqa6GXxSacMcY1eN8AHjMNJ_7dDXMJ"&amp;"VRLDlaFSOdPM/edit?usp=sharing"",""ตราด!M396"")+IMPORTRANGE(""https://docs.google.com/spreadsheets/d/18hSgUJ3VwClqi_qtULmmW3cLr0oe3OKaSYoKzdpTsYQ/edit?usp=sharing"",""นครนายก!M396"")+IMPORTRANGE(""https://docs.google.com/spreadsheets/d/1YTZo6WM2dQ6Ix6FSdnL"&amp;"5P7uVnVKu40sxZu975tgG10E/edit?usp=sharing"",""นครปฐม!M396"")+IMPORTRANGE(""https://docs.google.com/spreadsheets/d/1OYoGg4WDg5RIzwGeB10padOxJF9E_Vljuvvct_M7RDo/edit?usp=sharing"",""ปทุมธานี!M396"")+IMPORTRANGE(""https://docs.google.com/spreadsheets/d/1GbCI"&amp;"E4D4wk9FUozzqk7SxfDMxDVBwVmI5zcaVUSzKAc/edit?usp=sharing"",""ประจวบคีรีขันธ์!M396"")+IMPORTRANGE(""https://docs.google.com/spreadsheets/d/1vVf6wykvW_lAyu7Yo9L4hUTqHqIeP_qcVuxCtosJEbg/edit?usp=sharing"",""ปราจีนบุรี!M396"")+IMPORTRANGE(""https://docs.googl"&amp;"e.com/spreadsheets/d/1BIDqLLg5jk3v59G8NlR8rk5xfQDKne0sAvZHSj7TI6I/edit?usp=sharing"",""พระนครศรีอยุธยา!M396"")+IMPORTRANGE(""https://docs.google.com/spreadsheets/d/1YXvxf8Yu6_rV4hTBrwMqAcAnv6DfhUxh5emyM3CJp_w/edit?usp=sharing"",""เพชรบุรี!M396"")+IMPORTRA"&amp;"NGE(""https://docs.google.com/spreadsheets/d/19KBlQQs7uwvsao6t2n-KvW3Ax8J8uRRfZPq1zPbXgKc/edit?usp=sharing"",""ระยอง!M396"")+IMPORTRANGE(""https://docs.google.com/spreadsheets/d/1jQ6P4QcrGM89YfqcC_PxOHGCMq5ezhucwJd8ci-NHng/edit?usp=sharing"",""ราชบุรี!M39"&amp;"6"")+IMPORTRANGE(""https://docs.google.com/spreadsheets/d/1lufeA2cfFqM-elVq2hznhDzC6Pr7wkJ9ZG_sYNGCMCU/edit?usp=sharing"",""ลพบุรี!M396"")+IMPORTRANGE(""https://docs.google.com/spreadsheets/d/10oOiF7loTyfsTkbd4MpaIm0HQ9SwB7IYHdIUvt-U1Uc/edit?usp=sharing"""&amp;",""สระแก้ว!M396"")+IMPORTRANGE(""https://docs.google.com/spreadsheets/d/1xmPlrr1QbdSIKvl1dWUl9K4PjAfSL9oeMr_37QVzcxc/edit?usp=sharing"",""สระบุรี!M396"")+IMPORTRANGE(""https://docs.google.com/spreadsheets/d/1j51vR6CYVGhABJpv6tkstgok82RLpXieLzW1yOY5rHw/edi"&amp;"t?usp=sharing"",""สิงห์บุรี!M396"")+IMPORTRANGE(""https://docs.google.com/spreadsheets/d/1H1EalTWKUSzO4Z1-1CwzoDUaVffgrThEBe2sl74kKG0/edit?usp=sharing"",""สุพรรณบุรี!M396"")+IMPORTRANGE(""https://docs.google.com/spreadsheets/d/1BmIruG_sIrJLYao_Pdr7zVArWsf"&amp;"oBt2692TMi6x_854/edit?usp=sharing"",""อ่างทอง!M396"")"),0)</f>
        <v>0</v>
      </c>
      <c r="N397" s="77">
        <f ca="1">IFERROR(__xludf.DUMMYFUNCTION("IMPORTRANGE(""https://docs.google.com/spreadsheets/d/13wPX838HrBrQMCywv1BsuMkt4PEKTChp52zj44s2izQ/edit?usp=sharing"",""กาญจนบุรี!N396"")+IMPORTRANGE(""https://docs.google.com/spreadsheets/d/1ddFKvqj1W1NEiWytbGlB1zMx_ykJDVtmfEQ-6-lIUBA/edit?usp=sharing"","&amp;"""จันทบุรี!N396"")+IMPORTRANGE(""https://docs.google.com/spreadsheets/d/1T1PQvRODqOBZk8BRht_U031fIS1beLA0Ub2CEytj2q0/edit?usp=sharing"",""ฉะเชิงเทรา!N396"")+IMPORTRANGE(""https://docs.google.com/spreadsheets/d/11tr1B-Bhyr79v2bkwVh5h_fR-PStkgjlZtkrZpYurG0/"&amp;"edit?usp=sharing"",""ชลบุรี!N396"")+IMPORTRANGE(""https://docs.google.com/spreadsheets/d/1hh-FVnSX0vozXhGluamEcS54Dw9_zqW0N7qJUWgJ0Sw/edit?usp=sharing"",""ชัยนาท!N396"")+IMPORTRANGE(""https://docs.google.com/spreadsheets/d/1jkqa6GXxSacMcY1eN8AHjMNJ_7dDXMJ"&amp;"VRLDlaFSOdPM/edit?usp=sharing"",""ตราด!N396"")+IMPORTRANGE(""https://docs.google.com/spreadsheets/d/18hSgUJ3VwClqi_qtULmmW3cLr0oe3OKaSYoKzdpTsYQ/edit?usp=sharing"",""นครนายก!N396"")+IMPORTRANGE(""https://docs.google.com/spreadsheets/d/1YTZo6WM2dQ6Ix6FSdnL"&amp;"5P7uVnVKu40sxZu975tgG10E/edit?usp=sharing"",""นครปฐม!N396"")+IMPORTRANGE(""https://docs.google.com/spreadsheets/d/1OYoGg4WDg5RIzwGeB10padOxJF9E_Vljuvvct_M7RDo/edit?usp=sharing"",""ปทุมธานี!N396"")+IMPORTRANGE(""https://docs.google.com/spreadsheets/d/1GbCI"&amp;"E4D4wk9FUozzqk7SxfDMxDVBwVmI5zcaVUSzKAc/edit?usp=sharing"",""ประจวบคีรีขันธ์!N396"")+IMPORTRANGE(""https://docs.google.com/spreadsheets/d/1vVf6wykvW_lAyu7Yo9L4hUTqHqIeP_qcVuxCtosJEbg/edit?usp=sharing"",""ปราจีนบุรี!N396"")+IMPORTRANGE(""https://docs.googl"&amp;"e.com/spreadsheets/d/1BIDqLLg5jk3v59G8NlR8rk5xfQDKne0sAvZHSj7TI6I/edit?usp=sharing"",""พระนครศรีอยุธยา!N396"")+IMPORTRANGE(""https://docs.google.com/spreadsheets/d/1YXvxf8Yu6_rV4hTBrwMqAcAnv6DfhUxh5emyM3CJp_w/edit?usp=sharing"",""เพชรบุรี!N396"")+IMPORTRA"&amp;"NGE(""https://docs.google.com/spreadsheets/d/19KBlQQs7uwvsao6t2n-KvW3Ax8J8uRRfZPq1zPbXgKc/edit?usp=sharing"",""ระยอง!N396"")+IMPORTRANGE(""https://docs.google.com/spreadsheets/d/1jQ6P4QcrGM89YfqcC_PxOHGCMq5ezhucwJd8ci-NHng/edit?usp=sharing"",""ราชบุรี!N39"&amp;"6"")+IMPORTRANGE(""https://docs.google.com/spreadsheets/d/1lufeA2cfFqM-elVq2hznhDzC6Pr7wkJ9ZG_sYNGCMCU/edit?usp=sharing"",""ลพบุรี!N396"")+IMPORTRANGE(""https://docs.google.com/spreadsheets/d/10oOiF7loTyfsTkbd4MpaIm0HQ9SwB7IYHdIUvt-U1Uc/edit?usp=sharing"""&amp;",""สระแก้ว!N396"")+IMPORTRANGE(""https://docs.google.com/spreadsheets/d/1xmPlrr1QbdSIKvl1dWUl9K4PjAfSL9oeMr_37QVzcxc/edit?usp=sharing"",""สระบุรี!N396"")+IMPORTRANGE(""https://docs.google.com/spreadsheets/d/1j51vR6CYVGhABJpv6tkstgok82RLpXieLzW1yOY5rHw/edi"&amp;"t?usp=sharing"",""สิงห์บุรี!N396"")+IMPORTRANGE(""https://docs.google.com/spreadsheets/d/1H1EalTWKUSzO4Z1-1CwzoDUaVffgrThEBe2sl74kKG0/edit?usp=sharing"",""สุพรรณบุรี!N396"")+IMPORTRANGE(""https://docs.google.com/spreadsheets/d/1BmIruG_sIrJLYao_Pdr7zVArWsf"&amp;"oBt2692TMi6x_854/edit?usp=sharing"",""อ่างทอง!N396"")"),0)</f>
        <v>0</v>
      </c>
      <c r="O397" s="77">
        <f t="shared" ca="1" si="291"/>
        <v>0</v>
      </c>
      <c r="P397" s="77">
        <f t="shared" ca="1" si="292"/>
        <v>0</v>
      </c>
      <c r="Q397" s="76">
        <f ca="1">IFERROR(__xludf.DUMMYFUNCTION("IMPORTRANGE(""https://docs.google.com/spreadsheets/d/13wPX838HrBrQMCywv1BsuMkt4PEKTChp52zj44s2izQ/edit?usp=sharing"",""กาญจนบุรี!Q396"")+IMPORTRANGE(""https://docs.google.com/spreadsheets/d/1ddFKvqj1W1NEiWytbGlB1zMx_ykJDVtmfEQ-6-lIUBA/edit?usp=sharing"","&amp;"""จันทบุรี!Q396"")+IMPORTRANGE(""https://docs.google.com/spreadsheets/d/1T1PQvRODqOBZk8BRht_U031fIS1beLA0Ub2CEytj2q0/edit?usp=sharing"",""ฉะเชิงเทรา!Q396"")+IMPORTRANGE(""https://docs.google.com/spreadsheets/d/11tr1B-Bhyr79v2bkwVh5h_fR-PStkgjlZtkrZpYurG0/"&amp;"edit?usp=sharing"",""ชลบุรี!Q396"")+IMPORTRANGE(""https://docs.google.com/spreadsheets/d/1hh-FVnSX0vozXhGluamEcS54Dw9_zqW0N7qJUWgJ0Sw/edit?usp=sharing"",""ชัยนาท!Q396"")+IMPORTRANGE(""https://docs.google.com/spreadsheets/d/1jkqa6GXxSacMcY1eN8AHjMNJ_7dDXMJ"&amp;"VRLDlaFSOdPM/edit?usp=sharing"",""ตราด!Q396"")+IMPORTRANGE(""https://docs.google.com/spreadsheets/d/18hSgUJ3VwClqi_qtULmmW3cLr0oe3OKaSYoKzdpTsYQ/edit?usp=sharing"",""นครนายก!Q396"")+IMPORTRANGE(""https://docs.google.com/spreadsheets/d/1YTZo6WM2dQ6Ix6FSdnL"&amp;"5P7uVnVKu40sxZu975tgG10E/edit?usp=sharing"",""นครปฐม!Q396"")+IMPORTRANGE(""https://docs.google.com/spreadsheets/d/1OYoGg4WDg5RIzwGeB10padOxJF9E_Vljuvvct_M7RDo/edit?usp=sharing"",""ปทุมธานี!Q396"")+IMPORTRANGE(""https://docs.google.com/spreadsheets/d/1GbCI"&amp;"E4D4wk9FUozzqk7SxfDMxDVBwVmI5zcaVUSzKAc/edit?usp=sharing"",""ประจวบคีรีขันธ์!Q396"")+IMPORTRANGE(""https://docs.google.com/spreadsheets/d/1vVf6wykvW_lAyu7Yo9L4hUTqHqIeP_qcVuxCtosJEbg/edit?usp=sharing"",""ปราจีนบุรี!Q396"")+IMPORTRANGE(""https://docs.googl"&amp;"e.com/spreadsheets/d/1BIDqLLg5jk3v59G8NlR8rk5xfQDKne0sAvZHSj7TI6I/edit?usp=sharing"",""พระนครศรีอยุธยา!Q396"")+IMPORTRANGE(""https://docs.google.com/spreadsheets/d/1YXvxf8Yu6_rV4hTBrwMqAcAnv6DfhUxh5emyM3CJp_w/edit?usp=sharing"",""เพชรบุรี!Q396"")+IMPORTRA"&amp;"NGE(""https://docs.google.com/spreadsheets/d/19KBlQQs7uwvsao6t2n-KvW3Ax8J8uRRfZPq1zPbXgKc/edit?usp=sharing"",""ระยอง!Q396"")+IMPORTRANGE(""https://docs.google.com/spreadsheets/d/1jQ6P4QcrGM89YfqcC_PxOHGCMq5ezhucwJd8ci-NHng/edit?usp=sharing"",""ราชบุรี!Q39"&amp;"6"")+IMPORTRANGE(""https://docs.google.com/spreadsheets/d/1lufeA2cfFqM-elVq2hznhDzC6Pr7wkJ9ZG_sYNGCMCU/edit?usp=sharing"",""ลพบุรี!Q396"")+IMPORTRANGE(""https://docs.google.com/spreadsheets/d/10oOiF7loTyfsTkbd4MpaIm0HQ9SwB7IYHdIUvt-U1Uc/edit?usp=sharing"""&amp;",""สระแก้ว!Q396"")+IMPORTRANGE(""https://docs.google.com/spreadsheets/d/1xmPlrr1QbdSIKvl1dWUl9K4PjAfSL9oeMr_37QVzcxc/edit?usp=sharing"",""สระบุรี!Q396"")+IMPORTRANGE(""https://docs.google.com/spreadsheets/d/1j51vR6CYVGhABJpv6tkstgok82RLpXieLzW1yOY5rHw/edi"&amp;"t?usp=sharing"",""สิงห์บุรี!Q396"")+IMPORTRANGE(""https://docs.google.com/spreadsheets/d/1H1EalTWKUSzO4Z1-1CwzoDUaVffgrThEBe2sl74kKG0/edit?usp=sharing"",""สุพรรณบุรี!Q396"")+IMPORTRANGE(""https://docs.google.com/spreadsheets/d/1BmIruG_sIrJLYao_Pdr7zVArWsf"&amp;"oBt2692TMi6x_854/edit?usp=sharing"",""อ่างทอง!Q396"")"),0)</f>
        <v>0</v>
      </c>
      <c r="R397" s="77">
        <f ca="1">IFERROR(__xludf.DUMMYFUNCTION("IMPORTRANGE(""https://docs.google.com/spreadsheets/d/13wPX838HrBrQMCywv1BsuMkt4PEKTChp52zj44s2izQ/edit?usp=sharing"",""กาญจนบุรี!R396"")+IMPORTRANGE(""https://docs.google.com/spreadsheets/d/1ddFKvqj1W1NEiWytbGlB1zMx_ykJDVtmfEQ-6-lIUBA/edit?usp=sharing"","&amp;"""จันทบุรี!R396"")+IMPORTRANGE(""https://docs.google.com/spreadsheets/d/1T1PQvRODqOBZk8BRht_U031fIS1beLA0Ub2CEytj2q0/edit?usp=sharing"",""ฉะเชิงเทรา!R396"")+IMPORTRANGE(""https://docs.google.com/spreadsheets/d/11tr1B-Bhyr79v2bkwVh5h_fR-PStkgjlZtkrZpYurG0/"&amp;"edit?usp=sharing"",""ชลบุรี!R396"")+IMPORTRANGE(""https://docs.google.com/spreadsheets/d/1hh-FVnSX0vozXhGluamEcS54Dw9_zqW0N7qJUWgJ0Sw/edit?usp=sharing"",""ชัยนาท!R396"")+IMPORTRANGE(""https://docs.google.com/spreadsheets/d/1jkqa6GXxSacMcY1eN8AHjMNJ_7dDXMJ"&amp;"VRLDlaFSOdPM/edit?usp=sharing"",""ตราด!R396"")+IMPORTRANGE(""https://docs.google.com/spreadsheets/d/18hSgUJ3VwClqi_qtULmmW3cLr0oe3OKaSYoKzdpTsYQ/edit?usp=sharing"",""นครนายก!R396"")+IMPORTRANGE(""https://docs.google.com/spreadsheets/d/1YTZo6WM2dQ6Ix6FSdnL"&amp;"5P7uVnVKu40sxZu975tgG10E/edit?usp=sharing"",""นครปฐม!R396"")+IMPORTRANGE(""https://docs.google.com/spreadsheets/d/1OYoGg4WDg5RIzwGeB10padOxJF9E_Vljuvvct_M7RDo/edit?usp=sharing"",""ปทุมธานี!R396"")+IMPORTRANGE(""https://docs.google.com/spreadsheets/d/1GbCI"&amp;"E4D4wk9FUozzqk7SxfDMxDVBwVmI5zcaVUSzKAc/edit?usp=sharing"",""ประจวบคีรีขันธ์!R396"")+IMPORTRANGE(""https://docs.google.com/spreadsheets/d/1vVf6wykvW_lAyu7Yo9L4hUTqHqIeP_qcVuxCtosJEbg/edit?usp=sharing"",""ปราจีนบุรี!R396"")+IMPORTRANGE(""https://docs.googl"&amp;"e.com/spreadsheets/d/1BIDqLLg5jk3v59G8NlR8rk5xfQDKne0sAvZHSj7TI6I/edit?usp=sharing"",""พระนครศรีอยุธยา!R396"")+IMPORTRANGE(""https://docs.google.com/spreadsheets/d/1YXvxf8Yu6_rV4hTBrwMqAcAnv6DfhUxh5emyM3CJp_w/edit?usp=sharing"",""เพชรบุรี!R396"")+IMPORTRA"&amp;"NGE(""https://docs.google.com/spreadsheets/d/19KBlQQs7uwvsao6t2n-KvW3Ax8J8uRRfZPq1zPbXgKc/edit?usp=sharing"",""ระยอง!R396"")+IMPORTRANGE(""https://docs.google.com/spreadsheets/d/1jQ6P4QcrGM89YfqcC_PxOHGCMq5ezhucwJd8ci-NHng/edit?usp=sharing"",""ราชบุรี!R39"&amp;"6"")+IMPORTRANGE(""https://docs.google.com/spreadsheets/d/1lufeA2cfFqM-elVq2hznhDzC6Pr7wkJ9ZG_sYNGCMCU/edit?usp=sharing"",""ลพบุรี!R396"")+IMPORTRANGE(""https://docs.google.com/spreadsheets/d/10oOiF7loTyfsTkbd4MpaIm0HQ9SwB7IYHdIUvt-U1Uc/edit?usp=sharing"""&amp;",""สระแก้ว!R396"")+IMPORTRANGE(""https://docs.google.com/spreadsheets/d/1xmPlrr1QbdSIKvl1dWUl9K4PjAfSL9oeMr_37QVzcxc/edit?usp=sharing"",""สระบุรี!R396"")+IMPORTRANGE(""https://docs.google.com/spreadsheets/d/1j51vR6CYVGhABJpv6tkstgok82RLpXieLzW1yOY5rHw/edi"&amp;"t?usp=sharing"",""สิงห์บุรี!R396"")+IMPORTRANGE(""https://docs.google.com/spreadsheets/d/1H1EalTWKUSzO4Z1-1CwzoDUaVffgrThEBe2sl74kKG0/edit?usp=sharing"",""สุพรรณบุรี!R396"")+IMPORTRANGE(""https://docs.google.com/spreadsheets/d/1BmIruG_sIrJLYao_Pdr7zVArWsf"&amp;"oBt2692TMi6x_854/edit?usp=sharing"",""อ่างทอง!R396"")"),0)</f>
        <v>0</v>
      </c>
      <c r="S397" s="77">
        <f ca="1">IFERROR(__xludf.DUMMYFUNCTION("IMPORTRANGE(""https://docs.google.com/spreadsheets/d/13wPX838HrBrQMCywv1BsuMkt4PEKTChp52zj44s2izQ/edit?usp=sharing"",""กาญจนบุรี!S396"")+IMPORTRANGE(""https://docs.google.com/spreadsheets/d/1ddFKvqj1W1NEiWytbGlB1zMx_ykJDVtmfEQ-6-lIUBA/edit?usp=sharing"","&amp;"""จันทบุรี!S396"")+IMPORTRANGE(""https://docs.google.com/spreadsheets/d/1T1PQvRODqOBZk8BRht_U031fIS1beLA0Ub2CEytj2q0/edit?usp=sharing"",""ฉะเชิงเทรา!S396"")+IMPORTRANGE(""https://docs.google.com/spreadsheets/d/11tr1B-Bhyr79v2bkwVh5h_fR-PStkgjlZtkrZpYurG0/"&amp;"edit?usp=sharing"",""ชลบุรี!S396"")+IMPORTRANGE(""https://docs.google.com/spreadsheets/d/1hh-FVnSX0vozXhGluamEcS54Dw9_zqW0N7qJUWgJ0Sw/edit?usp=sharing"",""ชัยนาท!S396"")+IMPORTRANGE(""https://docs.google.com/spreadsheets/d/1jkqa6GXxSacMcY1eN8AHjMNJ_7dDXMJ"&amp;"VRLDlaFSOdPM/edit?usp=sharing"",""ตราด!S396"")+IMPORTRANGE(""https://docs.google.com/spreadsheets/d/18hSgUJ3VwClqi_qtULmmW3cLr0oe3OKaSYoKzdpTsYQ/edit?usp=sharing"",""นครนายก!S396"")+IMPORTRANGE(""https://docs.google.com/spreadsheets/d/1YTZo6WM2dQ6Ix6FSdnL"&amp;"5P7uVnVKu40sxZu975tgG10E/edit?usp=sharing"",""นครปฐม!S396"")+IMPORTRANGE(""https://docs.google.com/spreadsheets/d/1OYoGg4WDg5RIzwGeB10padOxJF9E_Vljuvvct_M7RDo/edit?usp=sharing"",""ปทุมธานี!S396"")+IMPORTRANGE(""https://docs.google.com/spreadsheets/d/1GbCI"&amp;"E4D4wk9FUozzqk7SxfDMxDVBwVmI5zcaVUSzKAc/edit?usp=sharing"",""ประจวบคีรีขันธ์!S396"")+IMPORTRANGE(""https://docs.google.com/spreadsheets/d/1vVf6wykvW_lAyu7Yo9L4hUTqHqIeP_qcVuxCtosJEbg/edit?usp=sharing"",""ปราจีนบุรี!S396"")+IMPORTRANGE(""https://docs.googl"&amp;"e.com/spreadsheets/d/1BIDqLLg5jk3v59G8NlR8rk5xfQDKne0sAvZHSj7TI6I/edit?usp=sharing"",""พระนครศรีอยุธยา!S396"")+IMPORTRANGE(""https://docs.google.com/spreadsheets/d/1YXvxf8Yu6_rV4hTBrwMqAcAnv6DfhUxh5emyM3CJp_w/edit?usp=sharing"",""เพชรบุรี!S396"")+IMPORTRA"&amp;"NGE(""https://docs.google.com/spreadsheets/d/19KBlQQs7uwvsao6t2n-KvW3Ax8J8uRRfZPq1zPbXgKc/edit?usp=sharing"",""ระยอง!S396"")+IMPORTRANGE(""https://docs.google.com/spreadsheets/d/1jQ6P4QcrGM89YfqcC_PxOHGCMq5ezhucwJd8ci-NHng/edit?usp=sharing"",""ราชบุรี!S39"&amp;"6"")+IMPORTRANGE(""https://docs.google.com/spreadsheets/d/1lufeA2cfFqM-elVq2hznhDzC6Pr7wkJ9ZG_sYNGCMCU/edit?usp=sharing"",""ลพบุรี!S396"")+IMPORTRANGE(""https://docs.google.com/spreadsheets/d/10oOiF7loTyfsTkbd4MpaIm0HQ9SwB7IYHdIUvt-U1Uc/edit?usp=sharing"""&amp;",""สระแก้ว!S396"")+IMPORTRANGE(""https://docs.google.com/spreadsheets/d/1xmPlrr1QbdSIKvl1dWUl9K4PjAfSL9oeMr_37QVzcxc/edit?usp=sharing"",""สระบุรี!S396"")+IMPORTRANGE(""https://docs.google.com/spreadsheets/d/1j51vR6CYVGhABJpv6tkstgok82RLpXieLzW1yOY5rHw/edi"&amp;"t?usp=sharing"",""สิงห์บุรี!S396"")+IMPORTRANGE(""https://docs.google.com/spreadsheets/d/1H1EalTWKUSzO4Z1-1CwzoDUaVffgrThEBe2sl74kKG0/edit?usp=sharing"",""สุพรรณบุรี!S396"")+IMPORTRANGE(""https://docs.google.com/spreadsheets/d/1BmIruG_sIrJLYao_Pdr7zVArWsf"&amp;"oBt2692TMi6x_854/edit?usp=sharing"",""อ่างทอง!S396"")"),0)</f>
        <v>0</v>
      </c>
      <c r="T397" s="133">
        <f t="shared" ca="1" si="294"/>
        <v>0</v>
      </c>
      <c r="U397" s="133">
        <f t="shared" ca="1" si="295"/>
        <v>0</v>
      </c>
    </row>
    <row r="398" spans="1:21" ht="18.75" hidden="1" x14ac:dyDescent="0.25">
      <c r="A398" s="257"/>
      <c r="B398" s="269"/>
      <c r="C398" s="269"/>
      <c r="D398" s="269"/>
      <c r="E398" s="589" t="s">
        <v>37</v>
      </c>
      <c r="F398" s="269"/>
      <c r="G398" s="312"/>
      <c r="H398" s="271" t="s">
        <v>14</v>
      </c>
      <c r="I398" s="272"/>
      <c r="J398" s="272"/>
      <c r="K398" s="229"/>
      <c r="L398" s="74">
        <f ca="1">IFERROR(__xludf.DUMMYFUNCTION("IMPORTRANGE(""https://docs.google.com/spreadsheets/d/13wPX838HrBrQMCywv1BsuMkt4PEKTChp52zj44s2izQ/edit?usp=sharing"",""กาญจนบุรี!L397"")+IMPORTRANGE(""https://docs.google.com/spreadsheets/d/1ddFKvqj1W1NEiWytbGlB1zMx_ykJDVtmfEQ-6-lIUBA/edit?usp=sharing"","&amp;"""จันทบุรี!L397"")+IMPORTRANGE(""https://docs.google.com/spreadsheets/d/1T1PQvRODqOBZk8BRht_U031fIS1beLA0Ub2CEytj2q0/edit?usp=sharing"",""ฉะเชิงเทรา!L397"")+IMPORTRANGE(""https://docs.google.com/spreadsheets/d/11tr1B-Bhyr79v2bkwVh5h_fR-PStkgjlZtkrZpYurG0/"&amp;"edit?usp=sharing"",""ชลบุรี!L397"")+IMPORTRANGE(""https://docs.google.com/spreadsheets/d/1hh-FVnSX0vozXhGluamEcS54Dw9_zqW0N7qJUWgJ0Sw/edit?usp=sharing"",""ชัยนาท!L397"")+IMPORTRANGE(""https://docs.google.com/spreadsheets/d/1jkqa6GXxSacMcY1eN8AHjMNJ_7dDXMJ"&amp;"VRLDlaFSOdPM/edit?usp=sharing"",""ตราด!L397"")+IMPORTRANGE(""https://docs.google.com/spreadsheets/d/18hSgUJ3VwClqi_qtULmmW3cLr0oe3OKaSYoKzdpTsYQ/edit?usp=sharing"",""นครนายก!L397"")+IMPORTRANGE(""https://docs.google.com/spreadsheets/d/1YTZo6WM2dQ6Ix6FSdnL"&amp;"5P7uVnVKu40sxZu975tgG10E/edit?usp=sharing"",""นครปฐม!L397"")+IMPORTRANGE(""https://docs.google.com/spreadsheets/d/1OYoGg4WDg5RIzwGeB10padOxJF9E_Vljuvvct_M7RDo/edit?usp=sharing"",""ปทุมธานี!L397"")+IMPORTRANGE(""https://docs.google.com/spreadsheets/d/1GbCI"&amp;"E4D4wk9FUozzqk7SxfDMxDVBwVmI5zcaVUSzKAc/edit?usp=sharing"",""ประจวบคีรีขันธ์!L397"")+IMPORTRANGE(""https://docs.google.com/spreadsheets/d/1vVf6wykvW_lAyu7Yo9L4hUTqHqIeP_qcVuxCtosJEbg/edit?usp=sharing"",""ปราจีนบุรี!L397"")+IMPORTRANGE(""https://docs.googl"&amp;"e.com/spreadsheets/d/1BIDqLLg5jk3v59G8NlR8rk5xfQDKne0sAvZHSj7TI6I/edit?usp=sharing"",""พระนครศรีอยุธยา!L397"")+IMPORTRANGE(""https://docs.google.com/spreadsheets/d/1YXvxf8Yu6_rV4hTBrwMqAcAnv6DfhUxh5emyM3CJp_w/edit?usp=sharing"",""เพชรบุรี!L397"")+IMPORTRA"&amp;"NGE(""https://docs.google.com/spreadsheets/d/19KBlQQs7uwvsao6t2n-KvW3Ax8J8uRRfZPq1zPbXgKc/edit?usp=sharing"",""ระยอง!L397"")+IMPORTRANGE(""https://docs.google.com/spreadsheets/d/1jQ6P4QcrGM89YfqcC_PxOHGCMq5ezhucwJd8ci-NHng/edit?usp=sharing"",""ราชบุรี!L39"&amp;"7"")+IMPORTRANGE(""https://docs.google.com/spreadsheets/d/1lufeA2cfFqM-elVq2hznhDzC6Pr7wkJ9ZG_sYNGCMCU/edit?usp=sharing"",""ลพบุรี!L397"")+IMPORTRANGE(""https://docs.google.com/spreadsheets/d/10oOiF7loTyfsTkbd4MpaIm0HQ9SwB7IYHdIUvt-U1Uc/edit?usp=sharing"""&amp;",""สระแก้ว!L397"")+IMPORTRANGE(""https://docs.google.com/spreadsheets/d/1xmPlrr1QbdSIKvl1dWUl9K4PjAfSL9oeMr_37QVzcxc/edit?usp=sharing"",""สระบุรี!L397"")+IMPORTRANGE(""https://docs.google.com/spreadsheets/d/1j51vR6CYVGhABJpv6tkstgok82RLpXieLzW1yOY5rHw/edi"&amp;"t?usp=sharing"",""สิงห์บุรี!L397"")+IMPORTRANGE(""https://docs.google.com/spreadsheets/d/1H1EalTWKUSzO4Z1-1CwzoDUaVffgrThEBe2sl74kKG0/edit?usp=sharing"",""สุพรรณบุรี!L397"")+IMPORTRANGE(""https://docs.google.com/spreadsheets/d/1BmIruG_sIrJLYao_Pdr7zVArWsf"&amp;"oBt2692TMi6x_854/edit?usp=sharing"",""อ่างทอง!L397"")"),0)</f>
        <v>0</v>
      </c>
      <c r="M398" s="74">
        <f ca="1">IFERROR(__xludf.DUMMYFUNCTION("IMPORTRANGE(""https://docs.google.com/spreadsheets/d/13wPX838HrBrQMCywv1BsuMkt4PEKTChp52zj44s2izQ/edit?usp=sharing"",""กาญจนบุรี!M397"")+IMPORTRANGE(""https://docs.google.com/spreadsheets/d/1ddFKvqj1W1NEiWytbGlB1zMx_ykJDVtmfEQ-6-lIUBA/edit?usp=sharing"","&amp;"""จันทบุรี!M397"")+IMPORTRANGE(""https://docs.google.com/spreadsheets/d/1T1PQvRODqOBZk8BRht_U031fIS1beLA0Ub2CEytj2q0/edit?usp=sharing"",""ฉะเชิงเทรา!M397"")+IMPORTRANGE(""https://docs.google.com/spreadsheets/d/11tr1B-Bhyr79v2bkwVh5h_fR-PStkgjlZtkrZpYurG0/"&amp;"edit?usp=sharing"",""ชลบุรี!M397"")+IMPORTRANGE(""https://docs.google.com/spreadsheets/d/1hh-FVnSX0vozXhGluamEcS54Dw9_zqW0N7qJUWgJ0Sw/edit?usp=sharing"",""ชัยนาท!M397"")+IMPORTRANGE(""https://docs.google.com/spreadsheets/d/1jkqa6GXxSacMcY1eN8AHjMNJ_7dDXMJ"&amp;"VRLDlaFSOdPM/edit?usp=sharing"",""ตราด!M397"")+IMPORTRANGE(""https://docs.google.com/spreadsheets/d/18hSgUJ3VwClqi_qtULmmW3cLr0oe3OKaSYoKzdpTsYQ/edit?usp=sharing"",""นครนายก!M397"")+IMPORTRANGE(""https://docs.google.com/spreadsheets/d/1YTZo6WM2dQ6Ix6FSdnL"&amp;"5P7uVnVKu40sxZu975tgG10E/edit?usp=sharing"",""นครปฐม!M397"")+IMPORTRANGE(""https://docs.google.com/spreadsheets/d/1OYoGg4WDg5RIzwGeB10padOxJF9E_Vljuvvct_M7RDo/edit?usp=sharing"",""ปทุมธานี!M397"")+IMPORTRANGE(""https://docs.google.com/spreadsheets/d/1GbCI"&amp;"E4D4wk9FUozzqk7SxfDMxDVBwVmI5zcaVUSzKAc/edit?usp=sharing"",""ประจวบคีรีขันธ์!M397"")+IMPORTRANGE(""https://docs.google.com/spreadsheets/d/1vVf6wykvW_lAyu7Yo9L4hUTqHqIeP_qcVuxCtosJEbg/edit?usp=sharing"",""ปราจีนบุรี!M397"")+IMPORTRANGE(""https://docs.googl"&amp;"e.com/spreadsheets/d/1BIDqLLg5jk3v59G8NlR8rk5xfQDKne0sAvZHSj7TI6I/edit?usp=sharing"",""พระนครศรีอยุธยา!M397"")+IMPORTRANGE(""https://docs.google.com/spreadsheets/d/1YXvxf8Yu6_rV4hTBrwMqAcAnv6DfhUxh5emyM3CJp_w/edit?usp=sharing"",""เพชรบุรี!M397"")+IMPORTRA"&amp;"NGE(""https://docs.google.com/spreadsheets/d/19KBlQQs7uwvsao6t2n-KvW3Ax8J8uRRfZPq1zPbXgKc/edit?usp=sharing"",""ระยอง!M397"")+IMPORTRANGE(""https://docs.google.com/spreadsheets/d/1jQ6P4QcrGM89YfqcC_PxOHGCMq5ezhucwJd8ci-NHng/edit?usp=sharing"",""ราชบุรี!M39"&amp;"7"")+IMPORTRANGE(""https://docs.google.com/spreadsheets/d/1lufeA2cfFqM-elVq2hznhDzC6Pr7wkJ9ZG_sYNGCMCU/edit?usp=sharing"",""ลพบุรี!M397"")+IMPORTRANGE(""https://docs.google.com/spreadsheets/d/10oOiF7loTyfsTkbd4MpaIm0HQ9SwB7IYHdIUvt-U1Uc/edit?usp=sharing"""&amp;",""สระแก้ว!M397"")+IMPORTRANGE(""https://docs.google.com/spreadsheets/d/1xmPlrr1QbdSIKvl1dWUl9K4PjAfSL9oeMr_37QVzcxc/edit?usp=sharing"",""สระบุรี!M397"")+IMPORTRANGE(""https://docs.google.com/spreadsheets/d/1j51vR6CYVGhABJpv6tkstgok82RLpXieLzW1yOY5rHw/edi"&amp;"t?usp=sharing"",""สิงห์บุรี!M397"")+IMPORTRANGE(""https://docs.google.com/spreadsheets/d/1H1EalTWKUSzO4Z1-1CwzoDUaVffgrThEBe2sl74kKG0/edit?usp=sharing"",""สุพรรณบุรี!M397"")+IMPORTRANGE(""https://docs.google.com/spreadsheets/d/1BmIruG_sIrJLYao_Pdr7zVArWsf"&amp;"oBt2692TMi6x_854/edit?usp=sharing"",""อ่างทอง!M397"")"),0)</f>
        <v>0</v>
      </c>
      <c r="N398" s="74">
        <f ca="1">IFERROR(__xludf.DUMMYFUNCTION("IMPORTRANGE(""https://docs.google.com/spreadsheets/d/13wPX838HrBrQMCywv1BsuMkt4PEKTChp52zj44s2izQ/edit?usp=sharing"",""กาญจนบุรี!N397"")+IMPORTRANGE(""https://docs.google.com/spreadsheets/d/1ddFKvqj1W1NEiWytbGlB1zMx_ykJDVtmfEQ-6-lIUBA/edit?usp=sharing"","&amp;"""จันทบุรี!N397"")+IMPORTRANGE(""https://docs.google.com/spreadsheets/d/1T1PQvRODqOBZk8BRht_U031fIS1beLA0Ub2CEytj2q0/edit?usp=sharing"",""ฉะเชิงเทรา!N397"")+IMPORTRANGE(""https://docs.google.com/spreadsheets/d/11tr1B-Bhyr79v2bkwVh5h_fR-PStkgjlZtkrZpYurG0/"&amp;"edit?usp=sharing"",""ชลบุรี!N397"")+IMPORTRANGE(""https://docs.google.com/spreadsheets/d/1hh-FVnSX0vozXhGluamEcS54Dw9_zqW0N7qJUWgJ0Sw/edit?usp=sharing"",""ชัยนาท!N397"")+IMPORTRANGE(""https://docs.google.com/spreadsheets/d/1jkqa6GXxSacMcY1eN8AHjMNJ_7dDXMJ"&amp;"VRLDlaFSOdPM/edit?usp=sharing"",""ตราด!N397"")+IMPORTRANGE(""https://docs.google.com/spreadsheets/d/18hSgUJ3VwClqi_qtULmmW3cLr0oe3OKaSYoKzdpTsYQ/edit?usp=sharing"",""นครนายก!N397"")+IMPORTRANGE(""https://docs.google.com/spreadsheets/d/1YTZo6WM2dQ6Ix6FSdnL"&amp;"5P7uVnVKu40sxZu975tgG10E/edit?usp=sharing"",""นครปฐม!N397"")+IMPORTRANGE(""https://docs.google.com/spreadsheets/d/1OYoGg4WDg5RIzwGeB10padOxJF9E_Vljuvvct_M7RDo/edit?usp=sharing"",""ปทุมธานี!N397"")+IMPORTRANGE(""https://docs.google.com/spreadsheets/d/1GbCI"&amp;"E4D4wk9FUozzqk7SxfDMxDVBwVmI5zcaVUSzKAc/edit?usp=sharing"",""ประจวบคีรีขันธ์!N397"")+IMPORTRANGE(""https://docs.google.com/spreadsheets/d/1vVf6wykvW_lAyu7Yo9L4hUTqHqIeP_qcVuxCtosJEbg/edit?usp=sharing"",""ปราจีนบุรี!N397"")+IMPORTRANGE(""https://docs.googl"&amp;"e.com/spreadsheets/d/1BIDqLLg5jk3v59G8NlR8rk5xfQDKne0sAvZHSj7TI6I/edit?usp=sharing"",""พระนครศรีอยุธยา!N397"")+IMPORTRANGE(""https://docs.google.com/spreadsheets/d/1YXvxf8Yu6_rV4hTBrwMqAcAnv6DfhUxh5emyM3CJp_w/edit?usp=sharing"",""เพชรบุรี!N397"")+IMPORTRA"&amp;"NGE(""https://docs.google.com/spreadsheets/d/19KBlQQs7uwvsao6t2n-KvW3Ax8J8uRRfZPq1zPbXgKc/edit?usp=sharing"",""ระยอง!N397"")+IMPORTRANGE(""https://docs.google.com/spreadsheets/d/1jQ6P4QcrGM89YfqcC_PxOHGCMq5ezhucwJd8ci-NHng/edit?usp=sharing"",""ราชบุรี!N39"&amp;"7"")+IMPORTRANGE(""https://docs.google.com/spreadsheets/d/1lufeA2cfFqM-elVq2hznhDzC6Pr7wkJ9ZG_sYNGCMCU/edit?usp=sharing"",""ลพบุรี!N397"")+IMPORTRANGE(""https://docs.google.com/spreadsheets/d/10oOiF7loTyfsTkbd4MpaIm0HQ9SwB7IYHdIUvt-U1Uc/edit?usp=sharing"""&amp;",""สระแก้ว!N397"")+IMPORTRANGE(""https://docs.google.com/spreadsheets/d/1xmPlrr1QbdSIKvl1dWUl9K4PjAfSL9oeMr_37QVzcxc/edit?usp=sharing"",""สระบุรี!N397"")+IMPORTRANGE(""https://docs.google.com/spreadsheets/d/1j51vR6CYVGhABJpv6tkstgok82RLpXieLzW1yOY5rHw/edi"&amp;"t?usp=sharing"",""สิงห์บุรี!N397"")+IMPORTRANGE(""https://docs.google.com/spreadsheets/d/1H1EalTWKUSzO4Z1-1CwzoDUaVffgrThEBe2sl74kKG0/edit?usp=sharing"",""สุพรรณบุรี!N397"")+IMPORTRANGE(""https://docs.google.com/spreadsheets/d/1BmIruG_sIrJLYao_Pdr7zVArWsf"&amp;"oBt2692TMi6x_854/edit?usp=sharing"",""อ่างทอง!N397"")"),0)</f>
        <v>0</v>
      </c>
      <c r="O398" s="74">
        <f t="shared" ca="1" si="291"/>
        <v>0</v>
      </c>
      <c r="P398" s="74">
        <f t="shared" ca="1" si="292"/>
        <v>0</v>
      </c>
      <c r="Q398" s="73">
        <f ca="1">IFERROR(__xludf.DUMMYFUNCTION("IMPORTRANGE(""https://docs.google.com/spreadsheets/d/13wPX838HrBrQMCywv1BsuMkt4PEKTChp52zj44s2izQ/edit?usp=sharing"",""กาญจนบุรี!Q397"")+IMPORTRANGE(""https://docs.google.com/spreadsheets/d/1ddFKvqj1W1NEiWytbGlB1zMx_ykJDVtmfEQ-6-lIUBA/edit?usp=sharing"","&amp;"""จันทบุรี!Q397"")+IMPORTRANGE(""https://docs.google.com/spreadsheets/d/1T1PQvRODqOBZk8BRht_U031fIS1beLA0Ub2CEytj2q0/edit?usp=sharing"",""ฉะเชิงเทรา!Q397"")+IMPORTRANGE(""https://docs.google.com/spreadsheets/d/11tr1B-Bhyr79v2bkwVh5h_fR-PStkgjlZtkrZpYurG0/"&amp;"edit?usp=sharing"",""ชลบุรี!Q397"")+IMPORTRANGE(""https://docs.google.com/spreadsheets/d/1hh-FVnSX0vozXhGluamEcS54Dw9_zqW0N7qJUWgJ0Sw/edit?usp=sharing"",""ชัยนาท!Q397"")+IMPORTRANGE(""https://docs.google.com/spreadsheets/d/1jkqa6GXxSacMcY1eN8AHjMNJ_7dDXMJ"&amp;"VRLDlaFSOdPM/edit?usp=sharing"",""ตราด!Q397"")+IMPORTRANGE(""https://docs.google.com/spreadsheets/d/18hSgUJ3VwClqi_qtULmmW3cLr0oe3OKaSYoKzdpTsYQ/edit?usp=sharing"",""นครนายก!Q397"")+IMPORTRANGE(""https://docs.google.com/spreadsheets/d/1YTZo6WM2dQ6Ix6FSdnL"&amp;"5P7uVnVKu40sxZu975tgG10E/edit?usp=sharing"",""นครปฐม!Q397"")+IMPORTRANGE(""https://docs.google.com/spreadsheets/d/1OYoGg4WDg5RIzwGeB10padOxJF9E_Vljuvvct_M7RDo/edit?usp=sharing"",""ปทุมธานี!Q397"")+IMPORTRANGE(""https://docs.google.com/spreadsheets/d/1GbCI"&amp;"E4D4wk9FUozzqk7SxfDMxDVBwVmI5zcaVUSzKAc/edit?usp=sharing"",""ประจวบคีรีขันธ์!Q397"")+IMPORTRANGE(""https://docs.google.com/spreadsheets/d/1vVf6wykvW_lAyu7Yo9L4hUTqHqIeP_qcVuxCtosJEbg/edit?usp=sharing"",""ปราจีนบุรี!Q397"")+IMPORTRANGE(""https://docs.googl"&amp;"e.com/spreadsheets/d/1BIDqLLg5jk3v59G8NlR8rk5xfQDKne0sAvZHSj7TI6I/edit?usp=sharing"",""พระนครศรีอยุธยา!Q397"")+IMPORTRANGE(""https://docs.google.com/spreadsheets/d/1YXvxf8Yu6_rV4hTBrwMqAcAnv6DfhUxh5emyM3CJp_w/edit?usp=sharing"",""เพชรบุรี!Q397"")+IMPORTRA"&amp;"NGE(""https://docs.google.com/spreadsheets/d/19KBlQQs7uwvsao6t2n-KvW3Ax8J8uRRfZPq1zPbXgKc/edit?usp=sharing"",""ระยอง!Q397"")+IMPORTRANGE(""https://docs.google.com/spreadsheets/d/1jQ6P4QcrGM89YfqcC_PxOHGCMq5ezhucwJd8ci-NHng/edit?usp=sharing"",""ราชบุรี!Q39"&amp;"7"")+IMPORTRANGE(""https://docs.google.com/spreadsheets/d/1lufeA2cfFqM-elVq2hznhDzC6Pr7wkJ9ZG_sYNGCMCU/edit?usp=sharing"",""ลพบุรี!Q397"")+IMPORTRANGE(""https://docs.google.com/spreadsheets/d/10oOiF7loTyfsTkbd4MpaIm0HQ9SwB7IYHdIUvt-U1Uc/edit?usp=sharing"""&amp;",""สระแก้ว!Q397"")+IMPORTRANGE(""https://docs.google.com/spreadsheets/d/1xmPlrr1QbdSIKvl1dWUl9K4PjAfSL9oeMr_37QVzcxc/edit?usp=sharing"",""สระบุรี!Q397"")+IMPORTRANGE(""https://docs.google.com/spreadsheets/d/1j51vR6CYVGhABJpv6tkstgok82RLpXieLzW1yOY5rHw/edi"&amp;"t?usp=sharing"",""สิงห์บุรี!Q397"")+IMPORTRANGE(""https://docs.google.com/spreadsheets/d/1H1EalTWKUSzO4Z1-1CwzoDUaVffgrThEBe2sl74kKG0/edit?usp=sharing"",""สุพรรณบุรี!Q397"")+IMPORTRANGE(""https://docs.google.com/spreadsheets/d/1BmIruG_sIrJLYao_Pdr7zVArWsf"&amp;"oBt2692TMi6x_854/edit?usp=sharing"",""อ่างทอง!Q397"")"),0)</f>
        <v>0</v>
      </c>
      <c r="R398" s="74">
        <f ca="1">IFERROR(__xludf.DUMMYFUNCTION("IMPORTRANGE(""https://docs.google.com/spreadsheets/d/13wPX838HrBrQMCywv1BsuMkt4PEKTChp52zj44s2izQ/edit?usp=sharing"",""กาญจนบุรี!R397"")+IMPORTRANGE(""https://docs.google.com/spreadsheets/d/1ddFKvqj1W1NEiWytbGlB1zMx_ykJDVtmfEQ-6-lIUBA/edit?usp=sharing"","&amp;"""จันทบุรี!R397"")+IMPORTRANGE(""https://docs.google.com/spreadsheets/d/1T1PQvRODqOBZk8BRht_U031fIS1beLA0Ub2CEytj2q0/edit?usp=sharing"",""ฉะเชิงเทรา!R397"")+IMPORTRANGE(""https://docs.google.com/spreadsheets/d/11tr1B-Bhyr79v2bkwVh5h_fR-PStkgjlZtkrZpYurG0/"&amp;"edit?usp=sharing"",""ชลบุรี!R397"")+IMPORTRANGE(""https://docs.google.com/spreadsheets/d/1hh-FVnSX0vozXhGluamEcS54Dw9_zqW0N7qJUWgJ0Sw/edit?usp=sharing"",""ชัยนาท!R397"")+IMPORTRANGE(""https://docs.google.com/spreadsheets/d/1jkqa6GXxSacMcY1eN8AHjMNJ_7dDXMJ"&amp;"VRLDlaFSOdPM/edit?usp=sharing"",""ตราด!R397"")+IMPORTRANGE(""https://docs.google.com/spreadsheets/d/18hSgUJ3VwClqi_qtULmmW3cLr0oe3OKaSYoKzdpTsYQ/edit?usp=sharing"",""นครนายก!R397"")+IMPORTRANGE(""https://docs.google.com/spreadsheets/d/1YTZo6WM2dQ6Ix6FSdnL"&amp;"5P7uVnVKu40sxZu975tgG10E/edit?usp=sharing"",""นครปฐม!R397"")+IMPORTRANGE(""https://docs.google.com/spreadsheets/d/1OYoGg4WDg5RIzwGeB10padOxJF9E_Vljuvvct_M7RDo/edit?usp=sharing"",""ปทุมธานี!R397"")+IMPORTRANGE(""https://docs.google.com/spreadsheets/d/1GbCI"&amp;"E4D4wk9FUozzqk7SxfDMxDVBwVmI5zcaVUSzKAc/edit?usp=sharing"",""ประจวบคีรีขันธ์!R397"")+IMPORTRANGE(""https://docs.google.com/spreadsheets/d/1vVf6wykvW_lAyu7Yo9L4hUTqHqIeP_qcVuxCtosJEbg/edit?usp=sharing"",""ปราจีนบุรี!R397"")+IMPORTRANGE(""https://docs.googl"&amp;"e.com/spreadsheets/d/1BIDqLLg5jk3v59G8NlR8rk5xfQDKne0sAvZHSj7TI6I/edit?usp=sharing"",""พระนครศรีอยุธยา!R397"")+IMPORTRANGE(""https://docs.google.com/spreadsheets/d/1YXvxf8Yu6_rV4hTBrwMqAcAnv6DfhUxh5emyM3CJp_w/edit?usp=sharing"",""เพชรบุรี!R397"")+IMPORTRA"&amp;"NGE(""https://docs.google.com/spreadsheets/d/19KBlQQs7uwvsao6t2n-KvW3Ax8J8uRRfZPq1zPbXgKc/edit?usp=sharing"",""ระยอง!R397"")+IMPORTRANGE(""https://docs.google.com/spreadsheets/d/1jQ6P4QcrGM89YfqcC_PxOHGCMq5ezhucwJd8ci-NHng/edit?usp=sharing"",""ราชบุรี!R39"&amp;"7"")+IMPORTRANGE(""https://docs.google.com/spreadsheets/d/1lufeA2cfFqM-elVq2hznhDzC6Pr7wkJ9ZG_sYNGCMCU/edit?usp=sharing"",""ลพบุรี!R397"")+IMPORTRANGE(""https://docs.google.com/spreadsheets/d/10oOiF7loTyfsTkbd4MpaIm0HQ9SwB7IYHdIUvt-U1Uc/edit?usp=sharing"""&amp;",""สระแก้ว!R397"")+IMPORTRANGE(""https://docs.google.com/spreadsheets/d/1xmPlrr1QbdSIKvl1dWUl9K4PjAfSL9oeMr_37QVzcxc/edit?usp=sharing"",""สระบุรี!R397"")+IMPORTRANGE(""https://docs.google.com/spreadsheets/d/1j51vR6CYVGhABJpv6tkstgok82RLpXieLzW1yOY5rHw/edi"&amp;"t?usp=sharing"",""สิงห์บุรี!R397"")+IMPORTRANGE(""https://docs.google.com/spreadsheets/d/1H1EalTWKUSzO4Z1-1CwzoDUaVffgrThEBe2sl74kKG0/edit?usp=sharing"",""สุพรรณบุรี!R397"")+IMPORTRANGE(""https://docs.google.com/spreadsheets/d/1BmIruG_sIrJLYao_Pdr7zVArWsf"&amp;"oBt2692TMi6x_854/edit?usp=sharing"",""อ่างทอง!R397"")"),0)</f>
        <v>0</v>
      </c>
      <c r="S398" s="74">
        <f ca="1">IFERROR(__xludf.DUMMYFUNCTION("IMPORTRANGE(""https://docs.google.com/spreadsheets/d/13wPX838HrBrQMCywv1BsuMkt4PEKTChp52zj44s2izQ/edit?usp=sharing"",""กาญจนบุรี!S397"")+IMPORTRANGE(""https://docs.google.com/spreadsheets/d/1ddFKvqj1W1NEiWytbGlB1zMx_ykJDVtmfEQ-6-lIUBA/edit?usp=sharing"","&amp;"""จันทบุรี!S397"")+IMPORTRANGE(""https://docs.google.com/spreadsheets/d/1T1PQvRODqOBZk8BRht_U031fIS1beLA0Ub2CEytj2q0/edit?usp=sharing"",""ฉะเชิงเทรา!S397"")+IMPORTRANGE(""https://docs.google.com/spreadsheets/d/11tr1B-Bhyr79v2bkwVh5h_fR-PStkgjlZtkrZpYurG0/"&amp;"edit?usp=sharing"",""ชลบุรี!S397"")+IMPORTRANGE(""https://docs.google.com/spreadsheets/d/1hh-FVnSX0vozXhGluamEcS54Dw9_zqW0N7qJUWgJ0Sw/edit?usp=sharing"",""ชัยนาท!S397"")+IMPORTRANGE(""https://docs.google.com/spreadsheets/d/1jkqa6GXxSacMcY1eN8AHjMNJ_7dDXMJ"&amp;"VRLDlaFSOdPM/edit?usp=sharing"",""ตราด!S397"")+IMPORTRANGE(""https://docs.google.com/spreadsheets/d/18hSgUJ3VwClqi_qtULmmW3cLr0oe3OKaSYoKzdpTsYQ/edit?usp=sharing"",""นครนายก!S397"")+IMPORTRANGE(""https://docs.google.com/spreadsheets/d/1YTZo6WM2dQ6Ix6FSdnL"&amp;"5P7uVnVKu40sxZu975tgG10E/edit?usp=sharing"",""นครปฐม!S397"")+IMPORTRANGE(""https://docs.google.com/spreadsheets/d/1OYoGg4WDg5RIzwGeB10padOxJF9E_Vljuvvct_M7RDo/edit?usp=sharing"",""ปทุมธานี!S397"")+IMPORTRANGE(""https://docs.google.com/spreadsheets/d/1GbCI"&amp;"E4D4wk9FUozzqk7SxfDMxDVBwVmI5zcaVUSzKAc/edit?usp=sharing"",""ประจวบคีรีขันธ์!S397"")+IMPORTRANGE(""https://docs.google.com/spreadsheets/d/1vVf6wykvW_lAyu7Yo9L4hUTqHqIeP_qcVuxCtosJEbg/edit?usp=sharing"",""ปราจีนบุรี!S397"")+IMPORTRANGE(""https://docs.googl"&amp;"e.com/spreadsheets/d/1BIDqLLg5jk3v59G8NlR8rk5xfQDKne0sAvZHSj7TI6I/edit?usp=sharing"",""พระนครศรีอยุธยา!S397"")+IMPORTRANGE(""https://docs.google.com/spreadsheets/d/1YXvxf8Yu6_rV4hTBrwMqAcAnv6DfhUxh5emyM3CJp_w/edit?usp=sharing"",""เพชรบุรี!S397"")+IMPORTRA"&amp;"NGE(""https://docs.google.com/spreadsheets/d/19KBlQQs7uwvsao6t2n-KvW3Ax8J8uRRfZPq1zPbXgKc/edit?usp=sharing"",""ระยอง!S397"")+IMPORTRANGE(""https://docs.google.com/spreadsheets/d/1jQ6P4QcrGM89YfqcC_PxOHGCMq5ezhucwJd8ci-NHng/edit?usp=sharing"",""ราชบุรี!S39"&amp;"7"")+IMPORTRANGE(""https://docs.google.com/spreadsheets/d/1lufeA2cfFqM-elVq2hznhDzC6Pr7wkJ9ZG_sYNGCMCU/edit?usp=sharing"",""ลพบุรี!S397"")+IMPORTRANGE(""https://docs.google.com/spreadsheets/d/10oOiF7loTyfsTkbd4MpaIm0HQ9SwB7IYHdIUvt-U1Uc/edit?usp=sharing"""&amp;",""สระแก้ว!S397"")+IMPORTRANGE(""https://docs.google.com/spreadsheets/d/1xmPlrr1QbdSIKvl1dWUl9K4PjAfSL9oeMr_37QVzcxc/edit?usp=sharing"",""สระบุรี!S397"")+IMPORTRANGE(""https://docs.google.com/spreadsheets/d/1j51vR6CYVGhABJpv6tkstgok82RLpXieLzW1yOY5rHw/edi"&amp;"t?usp=sharing"",""สิงห์บุรี!S397"")+IMPORTRANGE(""https://docs.google.com/spreadsheets/d/1H1EalTWKUSzO4Z1-1CwzoDUaVffgrThEBe2sl74kKG0/edit?usp=sharing"",""สุพรรณบุรี!S397"")+IMPORTRANGE(""https://docs.google.com/spreadsheets/d/1BmIruG_sIrJLYao_Pdr7zVArWsf"&amp;"oBt2692TMi6x_854/edit?usp=sharing"",""อ่างทอง!S397"")"),0)</f>
        <v>0</v>
      </c>
      <c r="T398" s="132">
        <f t="shared" ca="1" si="294"/>
        <v>0</v>
      </c>
      <c r="U398" s="132">
        <f t="shared" ca="1" si="295"/>
        <v>0</v>
      </c>
    </row>
    <row r="399" spans="1:21" ht="18.75" hidden="1" x14ac:dyDescent="0.25">
      <c r="A399" s="257"/>
      <c r="B399" s="269"/>
      <c r="C399" s="269"/>
      <c r="D399" s="274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4">
        <f t="shared" ref="L399:N399" ca="1" si="302">L400+L401</f>
        <v>0</v>
      </c>
      <c r="M399" s="74">
        <f t="shared" ca="1" si="302"/>
        <v>0</v>
      </c>
      <c r="N399" s="74">
        <f t="shared" ca="1" si="302"/>
        <v>0</v>
      </c>
      <c r="O399" s="74">
        <f t="shared" ca="1" si="291"/>
        <v>0</v>
      </c>
      <c r="P399" s="74">
        <f t="shared" ca="1" si="292"/>
        <v>0</v>
      </c>
      <c r="Q399" s="131">
        <f t="shared" ref="Q399:S399" ca="1" si="303">Q400+Q401</f>
        <v>0</v>
      </c>
      <c r="R399" s="132">
        <f t="shared" ca="1" si="303"/>
        <v>0</v>
      </c>
      <c r="S399" s="132">
        <f t="shared" ca="1" si="303"/>
        <v>0</v>
      </c>
      <c r="T399" s="132">
        <f t="shared" ca="1" si="294"/>
        <v>0</v>
      </c>
      <c r="U399" s="132">
        <f t="shared" ca="1" si="295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7">
        <f ca="1">IFERROR(__xludf.DUMMYFUNCTION("IMPORTRANGE(""https://docs.google.com/spreadsheets/d/13wPX838HrBrQMCywv1BsuMkt4PEKTChp52zj44s2izQ/edit?usp=sharing"",""กาญจนบุรี!L399"")+IMPORTRANGE(""https://docs.google.com/spreadsheets/d/1ddFKvqj1W1NEiWytbGlB1zMx_ykJDVtmfEQ-6-lIUBA/edit?usp=sharing"","&amp;"""จันทบุรี!L399"")+IMPORTRANGE(""https://docs.google.com/spreadsheets/d/1T1PQvRODqOBZk8BRht_U031fIS1beLA0Ub2CEytj2q0/edit?usp=sharing"",""ฉะเชิงเทรา!L399"")+IMPORTRANGE(""https://docs.google.com/spreadsheets/d/11tr1B-Bhyr79v2bkwVh5h_fR-PStkgjlZtkrZpYurG0/"&amp;"edit?usp=sharing"",""ชลบุรี!L399"")+IMPORTRANGE(""https://docs.google.com/spreadsheets/d/1hh-FVnSX0vozXhGluamEcS54Dw9_zqW0N7qJUWgJ0Sw/edit?usp=sharing"",""ชัยนาท!L399"")+IMPORTRANGE(""https://docs.google.com/spreadsheets/d/1jkqa6GXxSacMcY1eN8AHjMNJ_7dDXMJ"&amp;"VRLDlaFSOdPM/edit?usp=sharing"",""ตราด!L399"")+IMPORTRANGE(""https://docs.google.com/spreadsheets/d/18hSgUJ3VwClqi_qtULmmW3cLr0oe3OKaSYoKzdpTsYQ/edit?usp=sharing"",""นครนายก!L399"")+IMPORTRANGE(""https://docs.google.com/spreadsheets/d/1YTZo6WM2dQ6Ix6FSdnL"&amp;"5P7uVnVKu40sxZu975tgG10E/edit?usp=sharing"",""นครปฐม!L399"")+IMPORTRANGE(""https://docs.google.com/spreadsheets/d/1OYoGg4WDg5RIzwGeB10padOxJF9E_Vljuvvct_M7RDo/edit?usp=sharing"",""ปทุมธานี!L399"")+IMPORTRANGE(""https://docs.google.com/spreadsheets/d/1GbCI"&amp;"E4D4wk9FUozzqk7SxfDMxDVBwVmI5zcaVUSzKAc/edit?usp=sharing"",""ประจวบคีรีขันธ์!L399"")+IMPORTRANGE(""https://docs.google.com/spreadsheets/d/1vVf6wykvW_lAyu7Yo9L4hUTqHqIeP_qcVuxCtosJEbg/edit?usp=sharing"",""ปราจีนบุรี!L399"")+IMPORTRANGE(""https://docs.googl"&amp;"e.com/spreadsheets/d/1BIDqLLg5jk3v59G8NlR8rk5xfQDKne0sAvZHSj7TI6I/edit?usp=sharing"",""พระนครศรีอยุธยา!L399"")+IMPORTRANGE(""https://docs.google.com/spreadsheets/d/1YXvxf8Yu6_rV4hTBrwMqAcAnv6DfhUxh5emyM3CJp_w/edit?usp=sharing"",""เพชรบุรี!L399"")+IMPORTRA"&amp;"NGE(""https://docs.google.com/spreadsheets/d/19KBlQQs7uwvsao6t2n-KvW3Ax8J8uRRfZPq1zPbXgKc/edit?usp=sharing"",""ระยอง!L399"")+IMPORTRANGE(""https://docs.google.com/spreadsheets/d/1jQ6P4QcrGM89YfqcC_PxOHGCMq5ezhucwJd8ci-NHng/edit?usp=sharing"",""ราชบุรี!L39"&amp;"9"")+IMPORTRANGE(""https://docs.google.com/spreadsheets/d/1lufeA2cfFqM-elVq2hznhDzC6Pr7wkJ9ZG_sYNGCMCU/edit?usp=sharing"",""ลพบุรี!L399"")+IMPORTRANGE(""https://docs.google.com/spreadsheets/d/10oOiF7loTyfsTkbd4MpaIm0HQ9SwB7IYHdIUvt-U1Uc/edit?usp=sharing"""&amp;",""สระแก้ว!L399"")+IMPORTRANGE(""https://docs.google.com/spreadsheets/d/1xmPlrr1QbdSIKvl1dWUl9K4PjAfSL9oeMr_37QVzcxc/edit?usp=sharing"",""สระบุรี!L399"")+IMPORTRANGE(""https://docs.google.com/spreadsheets/d/1j51vR6CYVGhABJpv6tkstgok82RLpXieLzW1yOY5rHw/edi"&amp;"t?usp=sharing"",""สิงห์บุรี!L399"")+IMPORTRANGE(""https://docs.google.com/spreadsheets/d/1H1EalTWKUSzO4Z1-1CwzoDUaVffgrThEBe2sl74kKG0/edit?usp=sharing"",""สุพรรณบุรี!L399"")+IMPORTRANGE(""https://docs.google.com/spreadsheets/d/1BmIruG_sIrJLYao_Pdr7zVArWsf"&amp;"oBt2692TMi6x_854/edit?usp=sharing"",""อ่างทอง!L399"")"),0)</f>
        <v>0</v>
      </c>
      <c r="M400" s="77">
        <f ca="1">IFERROR(__xludf.DUMMYFUNCTION("IMPORTRANGE(""https://docs.google.com/spreadsheets/d/13wPX838HrBrQMCywv1BsuMkt4PEKTChp52zj44s2izQ/edit?usp=sharing"",""กาญจนบุรี!M399"")+IMPORTRANGE(""https://docs.google.com/spreadsheets/d/1ddFKvqj1W1NEiWytbGlB1zMx_ykJDVtmfEQ-6-lIUBA/edit?usp=sharing"","&amp;"""จันทบุรี!M399"")+IMPORTRANGE(""https://docs.google.com/spreadsheets/d/1T1PQvRODqOBZk8BRht_U031fIS1beLA0Ub2CEytj2q0/edit?usp=sharing"",""ฉะเชิงเทรา!M399"")+IMPORTRANGE(""https://docs.google.com/spreadsheets/d/11tr1B-Bhyr79v2bkwVh5h_fR-PStkgjlZtkrZpYurG0/"&amp;"edit?usp=sharing"",""ชลบุรี!M399"")+IMPORTRANGE(""https://docs.google.com/spreadsheets/d/1hh-FVnSX0vozXhGluamEcS54Dw9_zqW0N7qJUWgJ0Sw/edit?usp=sharing"",""ชัยนาท!M399"")+IMPORTRANGE(""https://docs.google.com/spreadsheets/d/1jkqa6GXxSacMcY1eN8AHjMNJ_7dDXMJ"&amp;"VRLDlaFSOdPM/edit?usp=sharing"",""ตราด!M399"")+IMPORTRANGE(""https://docs.google.com/spreadsheets/d/18hSgUJ3VwClqi_qtULmmW3cLr0oe3OKaSYoKzdpTsYQ/edit?usp=sharing"",""นครนายก!M399"")+IMPORTRANGE(""https://docs.google.com/spreadsheets/d/1YTZo6WM2dQ6Ix6FSdnL"&amp;"5P7uVnVKu40sxZu975tgG10E/edit?usp=sharing"",""นครปฐม!M399"")+IMPORTRANGE(""https://docs.google.com/spreadsheets/d/1OYoGg4WDg5RIzwGeB10padOxJF9E_Vljuvvct_M7RDo/edit?usp=sharing"",""ปทุมธานี!M399"")+IMPORTRANGE(""https://docs.google.com/spreadsheets/d/1GbCI"&amp;"E4D4wk9FUozzqk7SxfDMxDVBwVmI5zcaVUSzKAc/edit?usp=sharing"",""ประจวบคีรีขันธ์!M399"")+IMPORTRANGE(""https://docs.google.com/spreadsheets/d/1vVf6wykvW_lAyu7Yo9L4hUTqHqIeP_qcVuxCtosJEbg/edit?usp=sharing"",""ปราจีนบุรี!M399"")+IMPORTRANGE(""https://docs.googl"&amp;"e.com/spreadsheets/d/1BIDqLLg5jk3v59G8NlR8rk5xfQDKne0sAvZHSj7TI6I/edit?usp=sharing"",""พระนครศรีอยุธยา!M399"")+IMPORTRANGE(""https://docs.google.com/spreadsheets/d/1YXvxf8Yu6_rV4hTBrwMqAcAnv6DfhUxh5emyM3CJp_w/edit?usp=sharing"",""เพชรบุรี!M399"")+IMPORTRA"&amp;"NGE(""https://docs.google.com/spreadsheets/d/19KBlQQs7uwvsao6t2n-KvW3Ax8J8uRRfZPq1zPbXgKc/edit?usp=sharing"",""ระยอง!M399"")+IMPORTRANGE(""https://docs.google.com/spreadsheets/d/1jQ6P4QcrGM89YfqcC_PxOHGCMq5ezhucwJd8ci-NHng/edit?usp=sharing"",""ราชบุรี!M39"&amp;"9"")+IMPORTRANGE(""https://docs.google.com/spreadsheets/d/1lufeA2cfFqM-elVq2hznhDzC6Pr7wkJ9ZG_sYNGCMCU/edit?usp=sharing"",""ลพบุรี!M399"")+IMPORTRANGE(""https://docs.google.com/spreadsheets/d/10oOiF7loTyfsTkbd4MpaIm0HQ9SwB7IYHdIUvt-U1Uc/edit?usp=sharing"""&amp;",""สระแก้ว!M399"")+IMPORTRANGE(""https://docs.google.com/spreadsheets/d/1xmPlrr1QbdSIKvl1dWUl9K4PjAfSL9oeMr_37QVzcxc/edit?usp=sharing"",""สระบุรี!M399"")+IMPORTRANGE(""https://docs.google.com/spreadsheets/d/1j51vR6CYVGhABJpv6tkstgok82RLpXieLzW1yOY5rHw/edi"&amp;"t?usp=sharing"",""สิงห์บุรี!M399"")+IMPORTRANGE(""https://docs.google.com/spreadsheets/d/1H1EalTWKUSzO4Z1-1CwzoDUaVffgrThEBe2sl74kKG0/edit?usp=sharing"",""สุพรรณบุรี!M399"")+IMPORTRANGE(""https://docs.google.com/spreadsheets/d/1BmIruG_sIrJLYao_Pdr7zVArWsf"&amp;"oBt2692TMi6x_854/edit?usp=sharing"",""อ่างทอง!M399"")"),0)</f>
        <v>0</v>
      </c>
      <c r="N400" s="77">
        <f ca="1">IFERROR(__xludf.DUMMYFUNCTION("IMPORTRANGE(""https://docs.google.com/spreadsheets/d/13wPX838HrBrQMCywv1BsuMkt4PEKTChp52zj44s2izQ/edit?usp=sharing"",""กาญจนบุรี!N399"")+IMPORTRANGE(""https://docs.google.com/spreadsheets/d/1ddFKvqj1W1NEiWytbGlB1zMx_ykJDVtmfEQ-6-lIUBA/edit?usp=sharing"","&amp;"""จันทบุรี!N399"")+IMPORTRANGE(""https://docs.google.com/spreadsheets/d/1T1PQvRODqOBZk8BRht_U031fIS1beLA0Ub2CEytj2q0/edit?usp=sharing"",""ฉะเชิงเทรา!N399"")+IMPORTRANGE(""https://docs.google.com/spreadsheets/d/11tr1B-Bhyr79v2bkwVh5h_fR-PStkgjlZtkrZpYurG0/"&amp;"edit?usp=sharing"",""ชลบุรี!N399"")+IMPORTRANGE(""https://docs.google.com/spreadsheets/d/1hh-FVnSX0vozXhGluamEcS54Dw9_zqW0N7qJUWgJ0Sw/edit?usp=sharing"",""ชัยนาท!N399"")+IMPORTRANGE(""https://docs.google.com/spreadsheets/d/1jkqa6GXxSacMcY1eN8AHjMNJ_7dDXMJ"&amp;"VRLDlaFSOdPM/edit?usp=sharing"",""ตราด!N399"")+IMPORTRANGE(""https://docs.google.com/spreadsheets/d/18hSgUJ3VwClqi_qtULmmW3cLr0oe3OKaSYoKzdpTsYQ/edit?usp=sharing"",""นครนายก!N399"")+IMPORTRANGE(""https://docs.google.com/spreadsheets/d/1YTZo6WM2dQ6Ix6FSdnL"&amp;"5P7uVnVKu40sxZu975tgG10E/edit?usp=sharing"",""นครปฐม!N399"")+IMPORTRANGE(""https://docs.google.com/spreadsheets/d/1OYoGg4WDg5RIzwGeB10padOxJF9E_Vljuvvct_M7RDo/edit?usp=sharing"",""ปทุมธานี!N399"")+IMPORTRANGE(""https://docs.google.com/spreadsheets/d/1GbCI"&amp;"E4D4wk9FUozzqk7SxfDMxDVBwVmI5zcaVUSzKAc/edit?usp=sharing"",""ประจวบคีรีขันธ์!N399"")+IMPORTRANGE(""https://docs.google.com/spreadsheets/d/1vVf6wykvW_lAyu7Yo9L4hUTqHqIeP_qcVuxCtosJEbg/edit?usp=sharing"",""ปราจีนบุรี!N399"")+IMPORTRANGE(""https://docs.googl"&amp;"e.com/spreadsheets/d/1BIDqLLg5jk3v59G8NlR8rk5xfQDKne0sAvZHSj7TI6I/edit?usp=sharing"",""พระนครศรีอยุธยา!N399"")+IMPORTRANGE(""https://docs.google.com/spreadsheets/d/1YXvxf8Yu6_rV4hTBrwMqAcAnv6DfhUxh5emyM3CJp_w/edit?usp=sharing"",""เพชรบุรี!N399"")+IMPORTRA"&amp;"NGE(""https://docs.google.com/spreadsheets/d/19KBlQQs7uwvsao6t2n-KvW3Ax8J8uRRfZPq1zPbXgKc/edit?usp=sharing"",""ระยอง!N399"")+IMPORTRANGE(""https://docs.google.com/spreadsheets/d/1jQ6P4QcrGM89YfqcC_PxOHGCMq5ezhucwJd8ci-NHng/edit?usp=sharing"",""ราชบุรี!N39"&amp;"9"")+IMPORTRANGE(""https://docs.google.com/spreadsheets/d/1lufeA2cfFqM-elVq2hznhDzC6Pr7wkJ9ZG_sYNGCMCU/edit?usp=sharing"",""ลพบุรี!N399"")+IMPORTRANGE(""https://docs.google.com/spreadsheets/d/10oOiF7loTyfsTkbd4MpaIm0HQ9SwB7IYHdIUvt-U1Uc/edit?usp=sharing"""&amp;",""สระแก้ว!N399"")+IMPORTRANGE(""https://docs.google.com/spreadsheets/d/1xmPlrr1QbdSIKvl1dWUl9K4PjAfSL9oeMr_37QVzcxc/edit?usp=sharing"",""สระบุรี!N399"")+IMPORTRANGE(""https://docs.google.com/spreadsheets/d/1j51vR6CYVGhABJpv6tkstgok82RLpXieLzW1yOY5rHw/edi"&amp;"t?usp=sharing"",""สิงห์บุรี!N399"")+IMPORTRANGE(""https://docs.google.com/spreadsheets/d/1H1EalTWKUSzO4Z1-1CwzoDUaVffgrThEBe2sl74kKG0/edit?usp=sharing"",""สุพรรณบุรี!N399"")+IMPORTRANGE(""https://docs.google.com/spreadsheets/d/1BmIruG_sIrJLYao_Pdr7zVArWsf"&amp;"oBt2692TMi6x_854/edit?usp=sharing"",""อ่างทอง!N399"")"),0)</f>
        <v>0</v>
      </c>
      <c r="O400" s="77">
        <f t="shared" ca="1" si="291"/>
        <v>0</v>
      </c>
      <c r="P400" s="77">
        <f t="shared" ca="1" si="292"/>
        <v>0</v>
      </c>
      <c r="Q400" s="76">
        <f ca="1">IFERROR(__xludf.DUMMYFUNCTION("IMPORTRANGE(""https://docs.google.com/spreadsheets/d/13wPX838HrBrQMCywv1BsuMkt4PEKTChp52zj44s2izQ/edit?usp=sharing"",""กาญจนบุรี!Q399"")+IMPORTRANGE(""https://docs.google.com/spreadsheets/d/1ddFKvqj1W1NEiWytbGlB1zMx_ykJDVtmfEQ-6-lIUBA/edit?usp=sharing"","&amp;"""จันทบุรี!Q399"")+IMPORTRANGE(""https://docs.google.com/spreadsheets/d/1T1PQvRODqOBZk8BRht_U031fIS1beLA0Ub2CEytj2q0/edit?usp=sharing"",""ฉะเชิงเทรา!Q399"")+IMPORTRANGE(""https://docs.google.com/spreadsheets/d/11tr1B-Bhyr79v2bkwVh5h_fR-PStkgjlZtkrZpYurG0/"&amp;"edit?usp=sharing"",""ชลบุรี!Q399"")+IMPORTRANGE(""https://docs.google.com/spreadsheets/d/1hh-FVnSX0vozXhGluamEcS54Dw9_zqW0N7qJUWgJ0Sw/edit?usp=sharing"",""ชัยนาท!Q399"")+IMPORTRANGE(""https://docs.google.com/spreadsheets/d/1jkqa6GXxSacMcY1eN8AHjMNJ_7dDXMJ"&amp;"VRLDlaFSOdPM/edit?usp=sharing"",""ตราด!Q399"")+IMPORTRANGE(""https://docs.google.com/spreadsheets/d/18hSgUJ3VwClqi_qtULmmW3cLr0oe3OKaSYoKzdpTsYQ/edit?usp=sharing"",""นครนายก!Q399"")+IMPORTRANGE(""https://docs.google.com/spreadsheets/d/1YTZo6WM2dQ6Ix6FSdnL"&amp;"5P7uVnVKu40sxZu975tgG10E/edit?usp=sharing"",""นครปฐม!Q399"")+IMPORTRANGE(""https://docs.google.com/spreadsheets/d/1OYoGg4WDg5RIzwGeB10padOxJF9E_Vljuvvct_M7RDo/edit?usp=sharing"",""ปทุมธานี!Q399"")+IMPORTRANGE(""https://docs.google.com/spreadsheets/d/1GbCI"&amp;"E4D4wk9FUozzqk7SxfDMxDVBwVmI5zcaVUSzKAc/edit?usp=sharing"",""ประจวบคีรีขันธ์!Q399"")+IMPORTRANGE(""https://docs.google.com/spreadsheets/d/1vVf6wykvW_lAyu7Yo9L4hUTqHqIeP_qcVuxCtosJEbg/edit?usp=sharing"",""ปราจีนบุรี!Q399"")+IMPORTRANGE(""https://docs.googl"&amp;"e.com/spreadsheets/d/1BIDqLLg5jk3v59G8NlR8rk5xfQDKne0sAvZHSj7TI6I/edit?usp=sharing"",""พระนครศรีอยุธยา!Q399"")+IMPORTRANGE(""https://docs.google.com/spreadsheets/d/1YXvxf8Yu6_rV4hTBrwMqAcAnv6DfhUxh5emyM3CJp_w/edit?usp=sharing"",""เพชรบุรี!Q399"")+IMPORTRA"&amp;"NGE(""https://docs.google.com/spreadsheets/d/19KBlQQs7uwvsao6t2n-KvW3Ax8J8uRRfZPq1zPbXgKc/edit?usp=sharing"",""ระยอง!Q399"")+IMPORTRANGE(""https://docs.google.com/spreadsheets/d/1jQ6P4QcrGM89YfqcC_PxOHGCMq5ezhucwJd8ci-NHng/edit?usp=sharing"",""ราชบุรี!Q39"&amp;"9"")+IMPORTRANGE(""https://docs.google.com/spreadsheets/d/1lufeA2cfFqM-elVq2hznhDzC6Pr7wkJ9ZG_sYNGCMCU/edit?usp=sharing"",""ลพบุรี!Q399"")+IMPORTRANGE(""https://docs.google.com/spreadsheets/d/10oOiF7loTyfsTkbd4MpaIm0HQ9SwB7IYHdIUvt-U1Uc/edit?usp=sharing"""&amp;",""สระแก้ว!Q399"")+IMPORTRANGE(""https://docs.google.com/spreadsheets/d/1xmPlrr1QbdSIKvl1dWUl9K4PjAfSL9oeMr_37QVzcxc/edit?usp=sharing"",""สระบุรี!Q399"")+IMPORTRANGE(""https://docs.google.com/spreadsheets/d/1j51vR6CYVGhABJpv6tkstgok82RLpXieLzW1yOY5rHw/edi"&amp;"t?usp=sharing"",""สิงห์บุรี!Q399"")+IMPORTRANGE(""https://docs.google.com/spreadsheets/d/1H1EalTWKUSzO4Z1-1CwzoDUaVffgrThEBe2sl74kKG0/edit?usp=sharing"",""สุพรรณบุรี!Q399"")+IMPORTRANGE(""https://docs.google.com/spreadsheets/d/1BmIruG_sIrJLYao_Pdr7zVArWsf"&amp;"oBt2692TMi6x_854/edit?usp=sharing"",""อ่างทอง!Q399"")"),0)</f>
        <v>0</v>
      </c>
      <c r="R400" s="77">
        <f ca="1">IFERROR(__xludf.DUMMYFUNCTION("IMPORTRANGE(""https://docs.google.com/spreadsheets/d/13wPX838HrBrQMCywv1BsuMkt4PEKTChp52zj44s2izQ/edit?usp=sharing"",""กาญจนบุรี!R399"")+IMPORTRANGE(""https://docs.google.com/spreadsheets/d/1ddFKvqj1W1NEiWytbGlB1zMx_ykJDVtmfEQ-6-lIUBA/edit?usp=sharing"","&amp;"""จันทบุรี!R399"")+IMPORTRANGE(""https://docs.google.com/spreadsheets/d/1T1PQvRODqOBZk8BRht_U031fIS1beLA0Ub2CEytj2q0/edit?usp=sharing"",""ฉะเชิงเทรา!R399"")+IMPORTRANGE(""https://docs.google.com/spreadsheets/d/11tr1B-Bhyr79v2bkwVh5h_fR-PStkgjlZtkrZpYurG0/"&amp;"edit?usp=sharing"",""ชลบุรี!R399"")+IMPORTRANGE(""https://docs.google.com/spreadsheets/d/1hh-FVnSX0vozXhGluamEcS54Dw9_zqW0N7qJUWgJ0Sw/edit?usp=sharing"",""ชัยนาท!R399"")+IMPORTRANGE(""https://docs.google.com/spreadsheets/d/1jkqa6GXxSacMcY1eN8AHjMNJ_7dDXMJ"&amp;"VRLDlaFSOdPM/edit?usp=sharing"",""ตราด!R399"")+IMPORTRANGE(""https://docs.google.com/spreadsheets/d/18hSgUJ3VwClqi_qtULmmW3cLr0oe3OKaSYoKzdpTsYQ/edit?usp=sharing"",""นครนายก!R399"")+IMPORTRANGE(""https://docs.google.com/spreadsheets/d/1YTZo6WM2dQ6Ix6FSdnL"&amp;"5P7uVnVKu40sxZu975tgG10E/edit?usp=sharing"",""นครปฐม!R399"")+IMPORTRANGE(""https://docs.google.com/spreadsheets/d/1OYoGg4WDg5RIzwGeB10padOxJF9E_Vljuvvct_M7RDo/edit?usp=sharing"",""ปทุมธานี!R399"")+IMPORTRANGE(""https://docs.google.com/spreadsheets/d/1GbCI"&amp;"E4D4wk9FUozzqk7SxfDMxDVBwVmI5zcaVUSzKAc/edit?usp=sharing"",""ประจวบคีรีขันธ์!R399"")+IMPORTRANGE(""https://docs.google.com/spreadsheets/d/1vVf6wykvW_lAyu7Yo9L4hUTqHqIeP_qcVuxCtosJEbg/edit?usp=sharing"",""ปราจีนบุรี!R399"")+IMPORTRANGE(""https://docs.googl"&amp;"e.com/spreadsheets/d/1BIDqLLg5jk3v59G8NlR8rk5xfQDKne0sAvZHSj7TI6I/edit?usp=sharing"",""พระนครศรีอยุธยา!R399"")+IMPORTRANGE(""https://docs.google.com/spreadsheets/d/1YXvxf8Yu6_rV4hTBrwMqAcAnv6DfhUxh5emyM3CJp_w/edit?usp=sharing"",""เพชรบุรี!R399"")+IMPORTRA"&amp;"NGE(""https://docs.google.com/spreadsheets/d/19KBlQQs7uwvsao6t2n-KvW3Ax8J8uRRfZPq1zPbXgKc/edit?usp=sharing"",""ระยอง!R399"")+IMPORTRANGE(""https://docs.google.com/spreadsheets/d/1jQ6P4QcrGM89YfqcC_PxOHGCMq5ezhucwJd8ci-NHng/edit?usp=sharing"",""ราชบุรี!R39"&amp;"9"")+IMPORTRANGE(""https://docs.google.com/spreadsheets/d/1lufeA2cfFqM-elVq2hznhDzC6Pr7wkJ9ZG_sYNGCMCU/edit?usp=sharing"",""ลพบุรี!R399"")+IMPORTRANGE(""https://docs.google.com/spreadsheets/d/10oOiF7loTyfsTkbd4MpaIm0HQ9SwB7IYHdIUvt-U1Uc/edit?usp=sharing"""&amp;",""สระแก้ว!R399"")+IMPORTRANGE(""https://docs.google.com/spreadsheets/d/1xmPlrr1QbdSIKvl1dWUl9K4PjAfSL9oeMr_37QVzcxc/edit?usp=sharing"",""สระบุรี!R399"")+IMPORTRANGE(""https://docs.google.com/spreadsheets/d/1j51vR6CYVGhABJpv6tkstgok82RLpXieLzW1yOY5rHw/edi"&amp;"t?usp=sharing"",""สิงห์บุรี!R399"")+IMPORTRANGE(""https://docs.google.com/spreadsheets/d/1H1EalTWKUSzO4Z1-1CwzoDUaVffgrThEBe2sl74kKG0/edit?usp=sharing"",""สุพรรณบุรี!R399"")+IMPORTRANGE(""https://docs.google.com/spreadsheets/d/1BmIruG_sIrJLYao_Pdr7zVArWsf"&amp;"oBt2692TMi6x_854/edit?usp=sharing"",""อ่างทอง!R399"")"),0)</f>
        <v>0</v>
      </c>
      <c r="S400" s="77">
        <f ca="1">IFERROR(__xludf.DUMMYFUNCTION("IMPORTRANGE(""https://docs.google.com/spreadsheets/d/13wPX838HrBrQMCywv1BsuMkt4PEKTChp52zj44s2izQ/edit?usp=sharing"",""กาญจนบุรี!S399"")+IMPORTRANGE(""https://docs.google.com/spreadsheets/d/1ddFKvqj1W1NEiWytbGlB1zMx_ykJDVtmfEQ-6-lIUBA/edit?usp=sharing"","&amp;"""จันทบุรี!S399"")+IMPORTRANGE(""https://docs.google.com/spreadsheets/d/1T1PQvRODqOBZk8BRht_U031fIS1beLA0Ub2CEytj2q0/edit?usp=sharing"",""ฉะเชิงเทรา!S399"")+IMPORTRANGE(""https://docs.google.com/spreadsheets/d/11tr1B-Bhyr79v2bkwVh5h_fR-PStkgjlZtkrZpYurG0/"&amp;"edit?usp=sharing"",""ชลบุรี!S399"")+IMPORTRANGE(""https://docs.google.com/spreadsheets/d/1hh-FVnSX0vozXhGluamEcS54Dw9_zqW0N7qJUWgJ0Sw/edit?usp=sharing"",""ชัยนาท!S399"")+IMPORTRANGE(""https://docs.google.com/spreadsheets/d/1jkqa6GXxSacMcY1eN8AHjMNJ_7dDXMJ"&amp;"VRLDlaFSOdPM/edit?usp=sharing"",""ตราด!S399"")+IMPORTRANGE(""https://docs.google.com/spreadsheets/d/18hSgUJ3VwClqi_qtULmmW3cLr0oe3OKaSYoKzdpTsYQ/edit?usp=sharing"",""นครนายก!S399"")+IMPORTRANGE(""https://docs.google.com/spreadsheets/d/1YTZo6WM2dQ6Ix6FSdnL"&amp;"5P7uVnVKu40sxZu975tgG10E/edit?usp=sharing"",""นครปฐม!S399"")+IMPORTRANGE(""https://docs.google.com/spreadsheets/d/1OYoGg4WDg5RIzwGeB10padOxJF9E_Vljuvvct_M7RDo/edit?usp=sharing"",""ปทุมธานี!S399"")+IMPORTRANGE(""https://docs.google.com/spreadsheets/d/1GbCI"&amp;"E4D4wk9FUozzqk7SxfDMxDVBwVmI5zcaVUSzKAc/edit?usp=sharing"",""ประจวบคีรีขันธ์!S399"")+IMPORTRANGE(""https://docs.google.com/spreadsheets/d/1vVf6wykvW_lAyu7Yo9L4hUTqHqIeP_qcVuxCtosJEbg/edit?usp=sharing"",""ปราจีนบุรี!S399"")+IMPORTRANGE(""https://docs.googl"&amp;"e.com/spreadsheets/d/1BIDqLLg5jk3v59G8NlR8rk5xfQDKne0sAvZHSj7TI6I/edit?usp=sharing"",""พระนครศรีอยุธยา!S399"")+IMPORTRANGE(""https://docs.google.com/spreadsheets/d/1YXvxf8Yu6_rV4hTBrwMqAcAnv6DfhUxh5emyM3CJp_w/edit?usp=sharing"",""เพชรบุรี!S399"")+IMPORTRA"&amp;"NGE(""https://docs.google.com/spreadsheets/d/19KBlQQs7uwvsao6t2n-KvW3Ax8J8uRRfZPq1zPbXgKc/edit?usp=sharing"",""ระยอง!S399"")+IMPORTRANGE(""https://docs.google.com/spreadsheets/d/1jQ6P4QcrGM89YfqcC_PxOHGCMq5ezhucwJd8ci-NHng/edit?usp=sharing"",""ราชบุรี!S39"&amp;"9"")+IMPORTRANGE(""https://docs.google.com/spreadsheets/d/1lufeA2cfFqM-elVq2hznhDzC6Pr7wkJ9ZG_sYNGCMCU/edit?usp=sharing"",""ลพบุรี!S399"")+IMPORTRANGE(""https://docs.google.com/spreadsheets/d/10oOiF7loTyfsTkbd4MpaIm0HQ9SwB7IYHdIUvt-U1Uc/edit?usp=sharing"""&amp;",""สระแก้ว!S399"")+IMPORTRANGE(""https://docs.google.com/spreadsheets/d/1xmPlrr1QbdSIKvl1dWUl9K4PjAfSL9oeMr_37QVzcxc/edit?usp=sharing"",""สระบุรี!S399"")+IMPORTRANGE(""https://docs.google.com/spreadsheets/d/1j51vR6CYVGhABJpv6tkstgok82RLpXieLzW1yOY5rHw/edi"&amp;"t?usp=sharing"",""สิงห์บุรี!S399"")+IMPORTRANGE(""https://docs.google.com/spreadsheets/d/1H1EalTWKUSzO4Z1-1CwzoDUaVffgrThEBe2sl74kKG0/edit?usp=sharing"",""สุพรรณบุรี!S399"")+IMPORTRANGE(""https://docs.google.com/spreadsheets/d/1BmIruG_sIrJLYao_Pdr7zVArWsf"&amp;"oBt2692TMi6x_854/edit?usp=sharing"",""อ่างทอง!S399"")"),0)</f>
        <v>0</v>
      </c>
      <c r="T400" s="133">
        <f t="shared" ca="1" si="294"/>
        <v>0</v>
      </c>
      <c r="U400" s="133">
        <f t="shared" ca="1" si="295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4">
        <f ca="1">IFERROR(__xludf.DUMMYFUNCTION("IMPORTRANGE(""https://docs.google.com/spreadsheets/d/13wPX838HrBrQMCywv1BsuMkt4PEKTChp52zj44s2izQ/edit?usp=sharing"",""กาญจนบุรี!L400"")+IMPORTRANGE(""https://docs.google.com/spreadsheets/d/1ddFKvqj1W1NEiWytbGlB1zMx_ykJDVtmfEQ-6-lIUBA/edit?usp=sharing"","&amp;"""จันทบุรี!L400"")+IMPORTRANGE(""https://docs.google.com/spreadsheets/d/1T1PQvRODqOBZk8BRht_U031fIS1beLA0Ub2CEytj2q0/edit?usp=sharing"",""ฉะเชิงเทรา!L400"")+IMPORTRANGE(""https://docs.google.com/spreadsheets/d/11tr1B-Bhyr79v2bkwVh5h_fR-PStkgjlZtkrZpYurG0/"&amp;"edit?usp=sharing"",""ชลบุรี!L400"")+IMPORTRANGE(""https://docs.google.com/spreadsheets/d/1hh-FVnSX0vozXhGluamEcS54Dw9_zqW0N7qJUWgJ0Sw/edit?usp=sharing"",""ชัยนาท!L400"")+IMPORTRANGE(""https://docs.google.com/spreadsheets/d/1jkqa6GXxSacMcY1eN8AHjMNJ_7dDXMJ"&amp;"VRLDlaFSOdPM/edit?usp=sharing"",""ตราด!L400"")+IMPORTRANGE(""https://docs.google.com/spreadsheets/d/18hSgUJ3VwClqi_qtULmmW3cLr0oe3OKaSYoKzdpTsYQ/edit?usp=sharing"",""นครนายก!L400"")+IMPORTRANGE(""https://docs.google.com/spreadsheets/d/1YTZo6WM2dQ6Ix6FSdnL"&amp;"5P7uVnVKu40sxZu975tgG10E/edit?usp=sharing"",""นครปฐม!L400"")+IMPORTRANGE(""https://docs.google.com/spreadsheets/d/1OYoGg4WDg5RIzwGeB10padOxJF9E_Vljuvvct_M7RDo/edit?usp=sharing"",""ปทุมธานี!L400"")+IMPORTRANGE(""https://docs.google.com/spreadsheets/d/1GbCI"&amp;"E4D4wk9FUozzqk7SxfDMxDVBwVmI5zcaVUSzKAc/edit?usp=sharing"",""ประจวบคีรีขันธ์!L400"")+IMPORTRANGE(""https://docs.google.com/spreadsheets/d/1vVf6wykvW_lAyu7Yo9L4hUTqHqIeP_qcVuxCtosJEbg/edit?usp=sharing"",""ปราจีนบุรี!L400"")+IMPORTRANGE(""https://docs.googl"&amp;"e.com/spreadsheets/d/1BIDqLLg5jk3v59G8NlR8rk5xfQDKne0sAvZHSj7TI6I/edit?usp=sharing"",""พระนครศรีอยุธยา!L400"")+IMPORTRANGE(""https://docs.google.com/spreadsheets/d/1YXvxf8Yu6_rV4hTBrwMqAcAnv6DfhUxh5emyM3CJp_w/edit?usp=sharing"",""เพชรบุรี!L400"")+IMPORTRA"&amp;"NGE(""https://docs.google.com/spreadsheets/d/19KBlQQs7uwvsao6t2n-KvW3Ax8J8uRRfZPq1zPbXgKc/edit?usp=sharing"",""ระยอง!L400"")+IMPORTRANGE(""https://docs.google.com/spreadsheets/d/1jQ6P4QcrGM89YfqcC_PxOHGCMq5ezhucwJd8ci-NHng/edit?usp=sharing"",""ราชบุรี!L40"&amp;"0"")+IMPORTRANGE(""https://docs.google.com/spreadsheets/d/1lufeA2cfFqM-elVq2hznhDzC6Pr7wkJ9ZG_sYNGCMCU/edit?usp=sharing"",""ลพบุรี!L400"")+IMPORTRANGE(""https://docs.google.com/spreadsheets/d/10oOiF7loTyfsTkbd4MpaIm0HQ9SwB7IYHdIUvt-U1Uc/edit?usp=sharing"""&amp;",""สระแก้ว!L400"")+IMPORTRANGE(""https://docs.google.com/spreadsheets/d/1xmPlrr1QbdSIKvl1dWUl9K4PjAfSL9oeMr_37QVzcxc/edit?usp=sharing"",""สระบุรี!L400"")+IMPORTRANGE(""https://docs.google.com/spreadsheets/d/1j51vR6CYVGhABJpv6tkstgok82RLpXieLzW1yOY5rHw/edi"&amp;"t?usp=sharing"",""สิงห์บุรี!L400"")+IMPORTRANGE(""https://docs.google.com/spreadsheets/d/1H1EalTWKUSzO4Z1-1CwzoDUaVffgrThEBe2sl74kKG0/edit?usp=sharing"",""สุพรรณบุรี!L400"")+IMPORTRANGE(""https://docs.google.com/spreadsheets/d/1BmIruG_sIrJLYao_Pdr7zVArWsf"&amp;"oBt2692TMi6x_854/edit?usp=sharing"",""อ่างทอง!L400"")"),0)</f>
        <v>0</v>
      </c>
      <c r="M401" s="74">
        <f ca="1">IFERROR(__xludf.DUMMYFUNCTION("IMPORTRANGE(""https://docs.google.com/spreadsheets/d/13wPX838HrBrQMCywv1BsuMkt4PEKTChp52zj44s2izQ/edit?usp=sharing"",""กาญจนบุรี!M400"")+IMPORTRANGE(""https://docs.google.com/spreadsheets/d/1ddFKvqj1W1NEiWytbGlB1zMx_ykJDVtmfEQ-6-lIUBA/edit?usp=sharing"","&amp;"""จันทบุรี!M400"")+IMPORTRANGE(""https://docs.google.com/spreadsheets/d/1T1PQvRODqOBZk8BRht_U031fIS1beLA0Ub2CEytj2q0/edit?usp=sharing"",""ฉะเชิงเทรา!M400"")+IMPORTRANGE(""https://docs.google.com/spreadsheets/d/11tr1B-Bhyr79v2bkwVh5h_fR-PStkgjlZtkrZpYurG0/"&amp;"edit?usp=sharing"",""ชลบุรี!M400"")+IMPORTRANGE(""https://docs.google.com/spreadsheets/d/1hh-FVnSX0vozXhGluamEcS54Dw9_zqW0N7qJUWgJ0Sw/edit?usp=sharing"",""ชัยนาท!M400"")+IMPORTRANGE(""https://docs.google.com/spreadsheets/d/1jkqa6GXxSacMcY1eN8AHjMNJ_7dDXMJ"&amp;"VRLDlaFSOdPM/edit?usp=sharing"",""ตราด!M400"")+IMPORTRANGE(""https://docs.google.com/spreadsheets/d/18hSgUJ3VwClqi_qtULmmW3cLr0oe3OKaSYoKzdpTsYQ/edit?usp=sharing"",""นครนายก!M400"")+IMPORTRANGE(""https://docs.google.com/spreadsheets/d/1YTZo6WM2dQ6Ix6FSdnL"&amp;"5P7uVnVKu40sxZu975tgG10E/edit?usp=sharing"",""นครปฐม!M400"")+IMPORTRANGE(""https://docs.google.com/spreadsheets/d/1OYoGg4WDg5RIzwGeB10padOxJF9E_Vljuvvct_M7RDo/edit?usp=sharing"",""ปทุมธานี!M400"")+IMPORTRANGE(""https://docs.google.com/spreadsheets/d/1GbCI"&amp;"E4D4wk9FUozzqk7SxfDMxDVBwVmI5zcaVUSzKAc/edit?usp=sharing"",""ประจวบคีรีขันธ์!M400"")+IMPORTRANGE(""https://docs.google.com/spreadsheets/d/1vVf6wykvW_lAyu7Yo9L4hUTqHqIeP_qcVuxCtosJEbg/edit?usp=sharing"",""ปราจีนบุรี!M400"")+IMPORTRANGE(""https://docs.googl"&amp;"e.com/spreadsheets/d/1BIDqLLg5jk3v59G8NlR8rk5xfQDKne0sAvZHSj7TI6I/edit?usp=sharing"",""พระนครศรีอยุธยา!M400"")+IMPORTRANGE(""https://docs.google.com/spreadsheets/d/1YXvxf8Yu6_rV4hTBrwMqAcAnv6DfhUxh5emyM3CJp_w/edit?usp=sharing"",""เพชรบุรี!M400"")+IMPORTRA"&amp;"NGE(""https://docs.google.com/spreadsheets/d/19KBlQQs7uwvsao6t2n-KvW3Ax8J8uRRfZPq1zPbXgKc/edit?usp=sharing"",""ระยอง!M400"")+IMPORTRANGE(""https://docs.google.com/spreadsheets/d/1jQ6P4QcrGM89YfqcC_PxOHGCMq5ezhucwJd8ci-NHng/edit?usp=sharing"",""ราชบุรี!M40"&amp;"0"")+IMPORTRANGE(""https://docs.google.com/spreadsheets/d/1lufeA2cfFqM-elVq2hznhDzC6Pr7wkJ9ZG_sYNGCMCU/edit?usp=sharing"",""ลพบุรี!M400"")+IMPORTRANGE(""https://docs.google.com/spreadsheets/d/10oOiF7loTyfsTkbd4MpaIm0HQ9SwB7IYHdIUvt-U1Uc/edit?usp=sharing"""&amp;",""สระแก้ว!M400"")+IMPORTRANGE(""https://docs.google.com/spreadsheets/d/1xmPlrr1QbdSIKvl1dWUl9K4PjAfSL9oeMr_37QVzcxc/edit?usp=sharing"",""สระบุรี!M400"")+IMPORTRANGE(""https://docs.google.com/spreadsheets/d/1j51vR6CYVGhABJpv6tkstgok82RLpXieLzW1yOY5rHw/edi"&amp;"t?usp=sharing"",""สิงห์บุรี!M400"")+IMPORTRANGE(""https://docs.google.com/spreadsheets/d/1H1EalTWKUSzO4Z1-1CwzoDUaVffgrThEBe2sl74kKG0/edit?usp=sharing"",""สุพรรณบุรี!M400"")+IMPORTRANGE(""https://docs.google.com/spreadsheets/d/1BmIruG_sIrJLYao_Pdr7zVArWsf"&amp;"oBt2692TMi6x_854/edit?usp=sharing"",""อ่างทอง!M400"")"),0)</f>
        <v>0</v>
      </c>
      <c r="N401" s="74">
        <f ca="1">IFERROR(__xludf.DUMMYFUNCTION("IMPORTRANGE(""https://docs.google.com/spreadsheets/d/13wPX838HrBrQMCywv1BsuMkt4PEKTChp52zj44s2izQ/edit?usp=sharing"",""กาญจนบุรี!N400"")+IMPORTRANGE(""https://docs.google.com/spreadsheets/d/1ddFKvqj1W1NEiWytbGlB1zMx_ykJDVtmfEQ-6-lIUBA/edit?usp=sharing"","&amp;"""จันทบุรี!N400"")+IMPORTRANGE(""https://docs.google.com/spreadsheets/d/1T1PQvRODqOBZk8BRht_U031fIS1beLA0Ub2CEytj2q0/edit?usp=sharing"",""ฉะเชิงเทรา!N400"")+IMPORTRANGE(""https://docs.google.com/spreadsheets/d/11tr1B-Bhyr79v2bkwVh5h_fR-PStkgjlZtkrZpYurG0/"&amp;"edit?usp=sharing"",""ชลบุรี!N400"")+IMPORTRANGE(""https://docs.google.com/spreadsheets/d/1hh-FVnSX0vozXhGluamEcS54Dw9_zqW0N7qJUWgJ0Sw/edit?usp=sharing"",""ชัยนาท!N400"")+IMPORTRANGE(""https://docs.google.com/spreadsheets/d/1jkqa6GXxSacMcY1eN8AHjMNJ_7dDXMJ"&amp;"VRLDlaFSOdPM/edit?usp=sharing"",""ตราด!N400"")+IMPORTRANGE(""https://docs.google.com/spreadsheets/d/18hSgUJ3VwClqi_qtULmmW3cLr0oe3OKaSYoKzdpTsYQ/edit?usp=sharing"",""นครนายก!N400"")+IMPORTRANGE(""https://docs.google.com/spreadsheets/d/1YTZo6WM2dQ6Ix6FSdnL"&amp;"5P7uVnVKu40sxZu975tgG10E/edit?usp=sharing"",""นครปฐม!N400"")+IMPORTRANGE(""https://docs.google.com/spreadsheets/d/1OYoGg4WDg5RIzwGeB10padOxJF9E_Vljuvvct_M7RDo/edit?usp=sharing"",""ปทุมธานี!N400"")+IMPORTRANGE(""https://docs.google.com/spreadsheets/d/1GbCI"&amp;"E4D4wk9FUozzqk7SxfDMxDVBwVmI5zcaVUSzKAc/edit?usp=sharing"",""ประจวบคีรีขันธ์!N400"")+IMPORTRANGE(""https://docs.google.com/spreadsheets/d/1vVf6wykvW_lAyu7Yo9L4hUTqHqIeP_qcVuxCtosJEbg/edit?usp=sharing"",""ปราจีนบุรี!N400"")+IMPORTRANGE(""https://docs.googl"&amp;"e.com/spreadsheets/d/1BIDqLLg5jk3v59G8NlR8rk5xfQDKne0sAvZHSj7TI6I/edit?usp=sharing"",""พระนครศรีอยุธยา!N400"")+IMPORTRANGE(""https://docs.google.com/spreadsheets/d/1YXvxf8Yu6_rV4hTBrwMqAcAnv6DfhUxh5emyM3CJp_w/edit?usp=sharing"",""เพชรบุรี!N400"")+IMPORTRA"&amp;"NGE(""https://docs.google.com/spreadsheets/d/19KBlQQs7uwvsao6t2n-KvW3Ax8J8uRRfZPq1zPbXgKc/edit?usp=sharing"",""ระยอง!N400"")+IMPORTRANGE(""https://docs.google.com/spreadsheets/d/1jQ6P4QcrGM89YfqcC_PxOHGCMq5ezhucwJd8ci-NHng/edit?usp=sharing"",""ราชบุรี!N40"&amp;"0"")+IMPORTRANGE(""https://docs.google.com/spreadsheets/d/1lufeA2cfFqM-elVq2hznhDzC6Pr7wkJ9ZG_sYNGCMCU/edit?usp=sharing"",""ลพบุรี!N400"")+IMPORTRANGE(""https://docs.google.com/spreadsheets/d/10oOiF7loTyfsTkbd4MpaIm0HQ9SwB7IYHdIUvt-U1Uc/edit?usp=sharing"""&amp;",""สระแก้ว!N400"")+IMPORTRANGE(""https://docs.google.com/spreadsheets/d/1xmPlrr1QbdSIKvl1dWUl9K4PjAfSL9oeMr_37QVzcxc/edit?usp=sharing"",""สระบุรี!N400"")+IMPORTRANGE(""https://docs.google.com/spreadsheets/d/1j51vR6CYVGhABJpv6tkstgok82RLpXieLzW1yOY5rHw/edi"&amp;"t?usp=sharing"",""สิงห์บุรี!N400"")+IMPORTRANGE(""https://docs.google.com/spreadsheets/d/1H1EalTWKUSzO4Z1-1CwzoDUaVffgrThEBe2sl74kKG0/edit?usp=sharing"",""สุพรรณบุรี!N400"")+IMPORTRANGE(""https://docs.google.com/spreadsheets/d/1BmIruG_sIrJLYao_Pdr7zVArWsf"&amp;"oBt2692TMi6x_854/edit?usp=sharing"",""อ่างทอง!N400"")"),0)</f>
        <v>0</v>
      </c>
      <c r="O401" s="74">
        <f t="shared" ca="1" si="291"/>
        <v>0</v>
      </c>
      <c r="P401" s="74">
        <f t="shared" ca="1" si="292"/>
        <v>0</v>
      </c>
      <c r="Q401" s="73">
        <f ca="1">IFERROR(__xludf.DUMMYFUNCTION("IMPORTRANGE(""https://docs.google.com/spreadsheets/d/13wPX838HrBrQMCywv1BsuMkt4PEKTChp52zj44s2izQ/edit?usp=sharing"",""กาญจนบุรี!Q400"")+IMPORTRANGE(""https://docs.google.com/spreadsheets/d/1ddFKvqj1W1NEiWytbGlB1zMx_ykJDVtmfEQ-6-lIUBA/edit?usp=sharing"","&amp;"""จันทบุรี!Q400"")+IMPORTRANGE(""https://docs.google.com/spreadsheets/d/1T1PQvRODqOBZk8BRht_U031fIS1beLA0Ub2CEytj2q0/edit?usp=sharing"",""ฉะเชิงเทรา!Q400"")+IMPORTRANGE(""https://docs.google.com/spreadsheets/d/11tr1B-Bhyr79v2bkwVh5h_fR-PStkgjlZtkrZpYurG0/"&amp;"edit?usp=sharing"",""ชลบุรี!Q400"")+IMPORTRANGE(""https://docs.google.com/spreadsheets/d/1hh-FVnSX0vozXhGluamEcS54Dw9_zqW0N7qJUWgJ0Sw/edit?usp=sharing"",""ชัยนาท!Q400"")+IMPORTRANGE(""https://docs.google.com/spreadsheets/d/1jkqa6GXxSacMcY1eN8AHjMNJ_7dDXMJ"&amp;"VRLDlaFSOdPM/edit?usp=sharing"",""ตราด!Q400"")+IMPORTRANGE(""https://docs.google.com/spreadsheets/d/18hSgUJ3VwClqi_qtULmmW3cLr0oe3OKaSYoKzdpTsYQ/edit?usp=sharing"",""นครนายก!Q400"")+IMPORTRANGE(""https://docs.google.com/spreadsheets/d/1YTZo6WM2dQ6Ix6FSdnL"&amp;"5P7uVnVKu40sxZu975tgG10E/edit?usp=sharing"",""นครปฐม!Q400"")+IMPORTRANGE(""https://docs.google.com/spreadsheets/d/1OYoGg4WDg5RIzwGeB10padOxJF9E_Vljuvvct_M7RDo/edit?usp=sharing"",""ปทุมธานี!Q400"")+IMPORTRANGE(""https://docs.google.com/spreadsheets/d/1GbCI"&amp;"E4D4wk9FUozzqk7SxfDMxDVBwVmI5zcaVUSzKAc/edit?usp=sharing"",""ประจวบคีรีขันธ์!Q400"")+IMPORTRANGE(""https://docs.google.com/spreadsheets/d/1vVf6wykvW_lAyu7Yo9L4hUTqHqIeP_qcVuxCtosJEbg/edit?usp=sharing"",""ปราจีนบุรี!Q400"")+IMPORTRANGE(""https://docs.googl"&amp;"e.com/spreadsheets/d/1BIDqLLg5jk3v59G8NlR8rk5xfQDKne0sAvZHSj7TI6I/edit?usp=sharing"",""พระนครศรีอยุธยา!Q400"")+IMPORTRANGE(""https://docs.google.com/spreadsheets/d/1YXvxf8Yu6_rV4hTBrwMqAcAnv6DfhUxh5emyM3CJp_w/edit?usp=sharing"",""เพชรบุรี!Q400"")+IMPORTRA"&amp;"NGE(""https://docs.google.com/spreadsheets/d/19KBlQQs7uwvsao6t2n-KvW3Ax8J8uRRfZPq1zPbXgKc/edit?usp=sharing"",""ระยอง!Q400"")+IMPORTRANGE(""https://docs.google.com/spreadsheets/d/1jQ6P4QcrGM89YfqcC_PxOHGCMq5ezhucwJd8ci-NHng/edit?usp=sharing"",""ราชบุรี!Q40"&amp;"0"")+IMPORTRANGE(""https://docs.google.com/spreadsheets/d/1lufeA2cfFqM-elVq2hznhDzC6Pr7wkJ9ZG_sYNGCMCU/edit?usp=sharing"",""ลพบุรี!Q400"")+IMPORTRANGE(""https://docs.google.com/spreadsheets/d/10oOiF7loTyfsTkbd4MpaIm0HQ9SwB7IYHdIUvt-U1Uc/edit?usp=sharing"""&amp;",""สระแก้ว!Q400"")+IMPORTRANGE(""https://docs.google.com/spreadsheets/d/1xmPlrr1QbdSIKvl1dWUl9K4PjAfSL9oeMr_37QVzcxc/edit?usp=sharing"",""สระบุรี!Q400"")+IMPORTRANGE(""https://docs.google.com/spreadsheets/d/1j51vR6CYVGhABJpv6tkstgok82RLpXieLzW1yOY5rHw/edi"&amp;"t?usp=sharing"",""สิงห์บุรี!Q400"")+IMPORTRANGE(""https://docs.google.com/spreadsheets/d/1H1EalTWKUSzO4Z1-1CwzoDUaVffgrThEBe2sl74kKG0/edit?usp=sharing"",""สุพรรณบุรี!Q400"")+IMPORTRANGE(""https://docs.google.com/spreadsheets/d/1BmIruG_sIrJLYao_Pdr7zVArWsf"&amp;"oBt2692TMi6x_854/edit?usp=sharing"",""อ่างทอง!Q400"")"),0)</f>
        <v>0</v>
      </c>
      <c r="R401" s="74">
        <f ca="1">IFERROR(__xludf.DUMMYFUNCTION("IMPORTRANGE(""https://docs.google.com/spreadsheets/d/13wPX838HrBrQMCywv1BsuMkt4PEKTChp52zj44s2izQ/edit?usp=sharing"",""กาญจนบุรี!R400"")+IMPORTRANGE(""https://docs.google.com/spreadsheets/d/1ddFKvqj1W1NEiWytbGlB1zMx_ykJDVtmfEQ-6-lIUBA/edit?usp=sharing"","&amp;"""จันทบุรี!R400"")+IMPORTRANGE(""https://docs.google.com/spreadsheets/d/1T1PQvRODqOBZk8BRht_U031fIS1beLA0Ub2CEytj2q0/edit?usp=sharing"",""ฉะเชิงเทรา!R400"")+IMPORTRANGE(""https://docs.google.com/spreadsheets/d/11tr1B-Bhyr79v2bkwVh5h_fR-PStkgjlZtkrZpYurG0/"&amp;"edit?usp=sharing"",""ชลบุรี!R400"")+IMPORTRANGE(""https://docs.google.com/spreadsheets/d/1hh-FVnSX0vozXhGluamEcS54Dw9_zqW0N7qJUWgJ0Sw/edit?usp=sharing"",""ชัยนาท!R400"")+IMPORTRANGE(""https://docs.google.com/spreadsheets/d/1jkqa6GXxSacMcY1eN8AHjMNJ_7dDXMJ"&amp;"VRLDlaFSOdPM/edit?usp=sharing"",""ตราด!R400"")+IMPORTRANGE(""https://docs.google.com/spreadsheets/d/18hSgUJ3VwClqi_qtULmmW3cLr0oe3OKaSYoKzdpTsYQ/edit?usp=sharing"",""นครนายก!R400"")+IMPORTRANGE(""https://docs.google.com/spreadsheets/d/1YTZo6WM2dQ6Ix6FSdnL"&amp;"5P7uVnVKu40sxZu975tgG10E/edit?usp=sharing"",""นครปฐม!R400"")+IMPORTRANGE(""https://docs.google.com/spreadsheets/d/1OYoGg4WDg5RIzwGeB10padOxJF9E_Vljuvvct_M7RDo/edit?usp=sharing"",""ปทุมธานี!R400"")+IMPORTRANGE(""https://docs.google.com/spreadsheets/d/1GbCI"&amp;"E4D4wk9FUozzqk7SxfDMxDVBwVmI5zcaVUSzKAc/edit?usp=sharing"",""ประจวบคีรีขันธ์!R400"")+IMPORTRANGE(""https://docs.google.com/spreadsheets/d/1vVf6wykvW_lAyu7Yo9L4hUTqHqIeP_qcVuxCtosJEbg/edit?usp=sharing"",""ปราจีนบุรี!R400"")+IMPORTRANGE(""https://docs.googl"&amp;"e.com/spreadsheets/d/1BIDqLLg5jk3v59G8NlR8rk5xfQDKne0sAvZHSj7TI6I/edit?usp=sharing"",""พระนครศรีอยุธยา!R400"")+IMPORTRANGE(""https://docs.google.com/spreadsheets/d/1YXvxf8Yu6_rV4hTBrwMqAcAnv6DfhUxh5emyM3CJp_w/edit?usp=sharing"",""เพชรบุรี!R400"")+IMPORTRA"&amp;"NGE(""https://docs.google.com/spreadsheets/d/19KBlQQs7uwvsao6t2n-KvW3Ax8J8uRRfZPq1zPbXgKc/edit?usp=sharing"",""ระยอง!R400"")+IMPORTRANGE(""https://docs.google.com/spreadsheets/d/1jQ6P4QcrGM89YfqcC_PxOHGCMq5ezhucwJd8ci-NHng/edit?usp=sharing"",""ราชบุรี!R40"&amp;"0"")+IMPORTRANGE(""https://docs.google.com/spreadsheets/d/1lufeA2cfFqM-elVq2hznhDzC6Pr7wkJ9ZG_sYNGCMCU/edit?usp=sharing"",""ลพบุรี!R400"")+IMPORTRANGE(""https://docs.google.com/spreadsheets/d/10oOiF7loTyfsTkbd4MpaIm0HQ9SwB7IYHdIUvt-U1Uc/edit?usp=sharing"""&amp;",""สระแก้ว!R400"")+IMPORTRANGE(""https://docs.google.com/spreadsheets/d/1xmPlrr1QbdSIKvl1dWUl9K4PjAfSL9oeMr_37QVzcxc/edit?usp=sharing"",""สระบุรี!R400"")+IMPORTRANGE(""https://docs.google.com/spreadsheets/d/1j51vR6CYVGhABJpv6tkstgok82RLpXieLzW1yOY5rHw/edi"&amp;"t?usp=sharing"",""สิงห์บุรี!R400"")+IMPORTRANGE(""https://docs.google.com/spreadsheets/d/1H1EalTWKUSzO4Z1-1CwzoDUaVffgrThEBe2sl74kKG0/edit?usp=sharing"",""สุพรรณบุรี!R400"")+IMPORTRANGE(""https://docs.google.com/spreadsheets/d/1BmIruG_sIrJLYao_Pdr7zVArWsf"&amp;"oBt2692TMi6x_854/edit?usp=sharing"",""อ่างทอง!R400"")"),0)</f>
        <v>0</v>
      </c>
      <c r="S401" s="74">
        <f ca="1">IFERROR(__xludf.DUMMYFUNCTION("IMPORTRANGE(""https://docs.google.com/spreadsheets/d/13wPX838HrBrQMCywv1BsuMkt4PEKTChp52zj44s2izQ/edit?usp=sharing"",""กาญจนบุรี!S400"")+IMPORTRANGE(""https://docs.google.com/spreadsheets/d/1ddFKvqj1W1NEiWytbGlB1zMx_ykJDVtmfEQ-6-lIUBA/edit?usp=sharing"","&amp;"""จันทบุรี!S400"")+IMPORTRANGE(""https://docs.google.com/spreadsheets/d/1T1PQvRODqOBZk8BRht_U031fIS1beLA0Ub2CEytj2q0/edit?usp=sharing"",""ฉะเชิงเทรา!S400"")+IMPORTRANGE(""https://docs.google.com/spreadsheets/d/11tr1B-Bhyr79v2bkwVh5h_fR-PStkgjlZtkrZpYurG0/"&amp;"edit?usp=sharing"",""ชลบุรี!S400"")+IMPORTRANGE(""https://docs.google.com/spreadsheets/d/1hh-FVnSX0vozXhGluamEcS54Dw9_zqW0N7qJUWgJ0Sw/edit?usp=sharing"",""ชัยนาท!S400"")+IMPORTRANGE(""https://docs.google.com/spreadsheets/d/1jkqa6GXxSacMcY1eN8AHjMNJ_7dDXMJ"&amp;"VRLDlaFSOdPM/edit?usp=sharing"",""ตราด!S400"")+IMPORTRANGE(""https://docs.google.com/spreadsheets/d/18hSgUJ3VwClqi_qtULmmW3cLr0oe3OKaSYoKzdpTsYQ/edit?usp=sharing"",""นครนายก!S400"")+IMPORTRANGE(""https://docs.google.com/spreadsheets/d/1YTZo6WM2dQ6Ix6FSdnL"&amp;"5P7uVnVKu40sxZu975tgG10E/edit?usp=sharing"",""นครปฐม!S400"")+IMPORTRANGE(""https://docs.google.com/spreadsheets/d/1OYoGg4WDg5RIzwGeB10padOxJF9E_Vljuvvct_M7RDo/edit?usp=sharing"",""ปทุมธานี!S400"")+IMPORTRANGE(""https://docs.google.com/spreadsheets/d/1GbCI"&amp;"E4D4wk9FUozzqk7SxfDMxDVBwVmI5zcaVUSzKAc/edit?usp=sharing"",""ประจวบคีรีขันธ์!S400"")+IMPORTRANGE(""https://docs.google.com/spreadsheets/d/1vVf6wykvW_lAyu7Yo9L4hUTqHqIeP_qcVuxCtosJEbg/edit?usp=sharing"",""ปราจีนบุรี!S400"")+IMPORTRANGE(""https://docs.googl"&amp;"e.com/spreadsheets/d/1BIDqLLg5jk3v59G8NlR8rk5xfQDKne0sAvZHSj7TI6I/edit?usp=sharing"",""พระนครศรีอยุธยา!S400"")+IMPORTRANGE(""https://docs.google.com/spreadsheets/d/1YXvxf8Yu6_rV4hTBrwMqAcAnv6DfhUxh5emyM3CJp_w/edit?usp=sharing"",""เพชรบุรี!S400"")+IMPORTRA"&amp;"NGE(""https://docs.google.com/spreadsheets/d/19KBlQQs7uwvsao6t2n-KvW3Ax8J8uRRfZPq1zPbXgKc/edit?usp=sharing"",""ระยอง!S400"")+IMPORTRANGE(""https://docs.google.com/spreadsheets/d/1jQ6P4QcrGM89YfqcC_PxOHGCMq5ezhucwJd8ci-NHng/edit?usp=sharing"",""ราชบุรี!S40"&amp;"0"")+IMPORTRANGE(""https://docs.google.com/spreadsheets/d/1lufeA2cfFqM-elVq2hznhDzC6Pr7wkJ9ZG_sYNGCMCU/edit?usp=sharing"",""ลพบุรี!S400"")+IMPORTRANGE(""https://docs.google.com/spreadsheets/d/10oOiF7loTyfsTkbd4MpaIm0HQ9SwB7IYHdIUvt-U1Uc/edit?usp=sharing"""&amp;",""สระแก้ว!S400"")+IMPORTRANGE(""https://docs.google.com/spreadsheets/d/1xmPlrr1QbdSIKvl1dWUl9K4PjAfSL9oeMr_37QVzcxc/edit?usp=sharing"",""สระบุรี!S400"")+IMPORTRANGE(""https://docs.google.com/spreadsheets/d/1j51vR6CYVGhABJpv6tkstgok82RLpXieLzW1yOY5rHw/edi"&amp;"t?usp=sharing"",""สิงห์บุรี!S400"")+IMPORTRANGE(""https://docs.google.com/spreadsheets/d/1H1EalTWKUSzO4Z1-1CwzoDUaVffgrThEBe2sl74kKG0/edit?usp=sharing"",""สุพรรณบุรี!S400"")+IMPORTRANGE(""https://docs.google.com/spreadsheets/d/1BmIruG_sIrJLYao_Pdr7zVArWsf"&amp;"oBt2692TMi6x_854/edit?usp=sharing"",""อ่างทอง!S400"")"),0)</f>
        <v>0</v>
      </c>
      <c r="T401" s="132">
        <f t="shared" ca="1" si="294"/>
        <v>0</v>
      </c>
      <c r="U401" s="132">
        <f t="shared" ca="1" si="295"/>
        <v>0</v>
      </c>
    </row>
    <row r="402" spans="1:21" ht="19.5" hidden="1" x14ac:dyDescent="0.3">
      <c r="A402" s="276"/>
      <c r="B402" s="277"/>
      <c r="C402" s="278" t="s">
        <v>18</v>
      </c>
      <c r="D402" s="590" t="s">
        <v>38</v>
      </c>
      <c r="E402" s="280"/>
      <c r="F402" s="280"/>
      <c r="G402" s="281"/>
      <c r="H402" s="310"/>
      <c r="I402" s="272"/>
      <c r="J402" s="263"/>
      <c r="K402" s="87"/>
      <c r="L402" s="87"/>
      <c r="M402" s="87"/>
      <c r="N402" s="87"/>
      <c r="O402" s="229"/>
      <c r="P402" s="229"/>
      <c r="Q402" s="86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6"/>
      <c r="M403" s="596"/>
      <c r="N403" s="596"/>
      <c r="O403" s="596"/>
      <c r="P403" s="596"/>
      <c r="Q403" s="597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6"/>
      <c r="M404" s="596"/>
      <c r="N404" s="596"/>
      <c r="O404" s="596"/>
      <c r="P404" s="596"/>
      <c r="Q404" s="597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6"/>
      <c r="M405" s="596"/>
      <c r="N405" s="596"/>
      <c r="O405" s="596"/>
      <c r="P405" s="596"/>
      <c r="Q405" s="597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6"/>
      <c r="M406" s="596"/>
      <c r="N406" s="596"/>
      <c r="O406" s="596"/>
      <c r="P406" s="596"/>
      <c r="Q406" s="597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6"/>
      <c r="M407" s="596"/>
      <c r="N407" s="596"/>
      <c r="O407" s="596"/>
      <c r="P407" s="596"/>
      <c r="Q407" s="597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6"/>
      <c r="M408" s="596"/>
      <c r="N408" s="596"/>
      <c r="O408" s="596"/>
      <c r="P408" s="596"/>
      <c r="Q408" s="597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6"/>
      <c r="M409" s="596"/>
      <c r="N409" s="596"/>
      <c r="O409" s="596"/>
      <c r="P409" s="596"/>
      <c r="Q409" s="597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6"/>
      <c r="M410" s="596"/>
      <c r="N410" s="596"/>
      <c r="O410" s="596"/>
      <c r="P410" s="596"/>
      <c r="Q410" s="597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6"/>
      <c r="M411" s="596"/>
      <c r="N411" s="596"/>
      <c r="O411" s="596"/>
      <c r="P411" s="596"/>
      <c r="Q411" s="597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1"/>
      <c r="M412" s="601"/>
      <c r="N412" s="601"/>
      <c r="O412" s="601"/>
      <c r="P412" s="601"/>
      <c r="Q412" s="602"/>
      <c r="R412" s="601"/>
      <c r="S412" s="601"/>
      <c r="T412" s="601"/>
      <c r="U412" s="601"/>
    </row>
    <row r="413" spans="1:21" ht="19.5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304">I424</f>
        <v>0</v>
      </c>
      <c r="J413" s="617">
        <f t="shared" ca="1" si="304"/>
        <v>0</v>
      </c>
      <c r="K413" s="611">
        <f ca="1">IF(I413&gt;0,J413*100/I413,0)</f>
        <v>0</v>
      </c>
      <c r="L413" s="530"/>
      <c r="M413" s="530"/>
      <c r="N413" s="530"/>
      <c r="O413" s="530"/>
      <c r="P413" s="530"/>
      <c r="Q413" s="529"/>
      <c r="R413" s="530"/>
      <c r="S413" s="530"/>
      <c r="T413" s="530"/>
      <c r="U413" s="530"/>
    </row>
    <row r="414" spans="1:21" ht="19.5" x14ac:dyDescent="0.3">
      <c r="A414" s="257"/>
      <c r="B414" s="269"/>
      <c r="C414" s="618" t="s">
        <v>18</v>
      </c>
      <c r="D414" s="1355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264">
        <f t="shared" ref="L414:N414" ca="1" si="305">L415+L416</f>
        <v>0</v>
      </c>
      <c r="M414" s="264">
        <f t="shared" ca="1" si="305"/>
        <v>0</v>
      </c>
      <c r="N414" s="264">
        <f t="shared" ca="1" si="305"/>
        <v>0</v>
      </c>
      <c r="O414" s="264">
        <f t="shared" ref="O414:O422" ca="1" si="306">IF(L414&gt;0,N414*100/L414,0)</f>
        <v>0</v>
      </c>
      <c r="P414" s="264">
        <f t="shared" ref="P414:P422" ca="1" si="307">IF(M414&gt;0,N414*100/M414,0)</f>
        <v>0</v>
      </c>
      <c r="Q414" s="214">
        <f t="shared" ref="Q414:S414" ca="1" si="308">Q415+Q416</f>
        <v>0</v>
      </c>
      <c r="R414" s="215">
        <f t="shared" ca="1" si="308"/>
        <v>0</v>
      </c>
      <c r="S414" s="215">
        <f t="shared" ca="1" si="308"/>
        <v>0</v>
      </c>
      <c r="T414" s="215">
        <f t="shared" ref="T414:T422" ca="1" si="309">IF(Q414&gt;0,S414*100/Q414,0)</f>
        <v>0</v>
      </c>
      <c r="U414" s="215">
        <f t="shared" ref="U414:U422" ca="1" si="310">IF(R414&gt;0,S414*100/R414,0)</f>
        <v>0</v>
      </c>
    </row>
    <row r="415" spans="1:21" ht="18.75" x14ac:dyDescent="0.25">
      <c r="A415" s="257"/>
      <c r="B415" s="269"/>
      <c r="C415" s="269"/>
      <c r="D415" s="269"/>
      <c r="E415" s="591" t="s">
        <v>158</v>
      </c>
      <c r="F415" s="269"/>
      <c r="G415" s="312"/>
      <c r="H415" s="308" t="s">
        <v>14</v>
      </c>
      <c r="I415" s="263"/>
      <c r="J415" s="263"/>
      <c r="K415" s="87"/>
      <c r="L415" s="77">
        <f t="shared" ref="L415:N415" ca="1" si="311">L418+L421</f>
        <v>0</v>
      </c>
      <c r="M415" s="77">
        <f t="shared" ca="1" si="311"/>
        <v>0</v>
      </c>
      <c r="N415" s="77">
        <f t="shared" ca="1" si="311"/>
        <v>0</v>
      </c>
      <c r="O415" s="77">
        <f t="shared" ca="1" si="306"/>
        <v>0</v>
      </c>
      <c r="P415" s="77">
        <f t="shared" ca="1" si="307"/>
        <v>0</v>
      </c>
      <c r="Q415" s="217">
        <f t="shared" ref="Q415:S415" ca="1" si="312">Q418+Q421</f>
        <v>0</v>
      </c>
      <c r="R415" s="133">
        <f t="shared" ca="1" si="312"/>
        <v>0</v>
      </c>
      <c r="S415" s="133">
        <f t="shared" ca="1" si="312"/>
        <v>0</v>
      </c>
      <c r="T415" s="133">
        <f t="shared" ca="1" si="309"/>
        <v>0</v>
      </c>
      <c r="U415" s="133">
        <f t="shared" ca="1" si="310"/>
        <v>0</v>
      </c>
    </row>
    <row r="416" spans="1:21" ht="18.75" x14ac:dyDescent="0.25">
      <c r="A416" s="257"/>
      <c r="B416" s="269"/>
      <c r="C416" s="269"/>
      <c r="D416" s="269"/>
      <c r="E416" s="589" t="s">
        <v>159</v>
      </c>
      <c r="F416" s="269"/>
      <c r="G416" s="312"/>
      <c r="H416" s="307" t="s">
        <v>14</v>
      </c>
      <c r="I416" s="263"/>
      <c r="J416" s="263"/>
      <c r="K416" s="87"/>
      <c r="L416" s="74">
        <f t="shared" ref="L416:N416" ca="1" si="313">L419+L422</f>
        <v>0</v>
      </c>
      <c r="M416" s="74">
        <f t="shared" ca="1" si="313"/>
        <v>0</v>
      </c>
      <c r="N416" s="74">
        <f t="shared" ca="1" si="313"/>
        <v>0</v>
      </c>
      <c r="O416" s="74">
        <f t="shared" ca="1" si="306"/>
        <v>0</v>
      </c>
      <c r="P416" s="74">
        <f t="shared" ca="1" si="307"/>
        <v>0</v>
      </c>
      <c r="Q416" s="131">
        <f t="shared" ref="Q416:S416" ca="1" si="314">Q419+Q422</f>
        <v>0</v>
      </c>
      <c r="R416" s="132">
        <f t="shared" ca="1" si="314"/>
        <v>0</v>
      </c>
      <c r="S416" s="132">
        <f t="shared" ca="1" si="314"/>
        <v>0</v>
      </c>
      <c r="T416" s="132">
        <f t="shared" ca="1" si="309"/>
        <v>0</v>
      </c>
      <c r="U416" s="132">
        <f t="shared" ca="1" si="310"/>
        <v>0</v>
      </c>
    </row>
    <row r="417" spans="1:21" ht="19.5" x14ac:dyDescent="0.3">
      <c r="A417" s="257"/>
      <c r="B417" s="269"/>
      <c r="C417" s="269"/>
      <c r="D417" s="588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4">
        <f t="shared" ref="L417:N417" ca="1" si="315">L418+L419</f>
        <v>0</v>
      </c>
      <c r="M417" s="74">
        <f t="shared" ca="1" si="315"/>
        <v>0</v>
      </c>
      <c r="N417" s="74">
        <f t="shared" ca="1" si="315"/>
        <v>0</v>
      </c>
      <c r="O417" s="74">
        <f t="shared" ca="1" si="306"/>
        <v>0</v>
      </c>
      <c r="P417" s="74">
        <f t="shared" ca="1" si="307"/>
        <v>0</v>
      </c>
      <c r="Q417" s="131">
        <f t="shared" ref="Q417:S417" ca="1" si="316">Q418+Q419</f>
        <v>0</v>
      </c>
      <c r="R417" s="132">
        <f t="shared" ca="1" si="316"/>
        <v>0</v>
      </c>
      <c r="S417" s="132">
        <f t="shared" ca="1" si="316"/>
        <v>0</v>
      </c>
      <c r="T417" s="132">
        <f t="shared" ca="1" si="309"/>
        <v>0</v>
      </c>
      <c r="U417" s="132">
        <f t="shared" ca="1" si="310"/>
        <v>0</v>
      </c>
    </row>
    <row r="418" spans="1:21" ht="18.75" x14ac:dyDescent="0.25">
      <c r="A418" s="257"/>
      <c r="B418" s="269"/>
      <c r="C418" s="269"/>
      <c r="D418" s="269"/>
      <c r="E418" s="591" t="s">
        <v>158</v>
      </c>
      <c r="F418" s="269"/>
      <c r="G418" s="312"/>
      <c r="H418" s="308" t="s">
        <v>14</v>
      </c>
      <c r="I418" s="263"/>
      <c r="J418" s="263"/>
      <c r="K418" s="87"/>
      <c r="L418" s="77">
        <f ca="1">IFERROR(__xludf.DUMMYFUNCTION("IMPORTRANGE(""https://docs.google.com/spreadsheets/d/13wPX838HrBrQMCywv1BsuMkt4PEKTChp52zj44s2izQ/edit?usp=sharing"",""กาญจนบุรี!L417"")+IMPORTRANGE(""https://docs.google.com/spreadsheets/d/1ddFKvqj1W1NEiWytbGlB1zMx_ykJDVtmfEQ-6-lIUBA/edit?usp=sharing"","&amp;"""จันทบุรี!L417"")+IMPORTRANGE(""https://docs.google.com/spreadsheets/d/1T1PQvRODqOBZk8BRht_U031fIS1beLA0Ub2CEytj2q0/edit?usp=sharing"",""ฉะเชิงเทรา!L417"")+IMPORTRANGE(""https://docs.google.com/spreadsheets/d/11tr1B-Bhyr79v2bkwVh5h_fR-PStkgjlZtkrZpYurG0/"&amp;"edit?usp=sharing"",""ชลบุรี!L417"")+IMPORTRANGE(""https://docs.google.com/spreadsheets/d/1hh-FVnSX0vozXhGluamEcS54Dw9_zqW0N7qJUWgJ0Sw/edit?usp=sharing"",""ชัยนาท!L417"")+IMPORTRANGE(""https://docs.google.com/spreadsheets/d/1jkqa6GXxSacMcY1eN8AHjMNJ_7dDXMJ"&amp;"VRLDlaFSOdPM/edit?usp=sharing"",""ตราด!L417"")+IMPORTRANGE(""https://docs.google.com/spreadsheets/d/18hSgUJ3VwClqi_qtULmmW3cLr0oe3OKaSYoKzdpTsYQ/edit?usp=sharing"",""นครนายก!L417"")+IMPORTRANGE(""https://docs.google.com/spreadsheets/d/1YTZo6WM2dQ6Ix6FSdnL"&amp;"5P7uVnVKu40sxZu975tgG10E/edit?usp=sharing"",""นครปฐม!L417"")+IMPORTRANGE(""https://docs.google.com/spreadsheets/d/1OYoGg4WDg5RIzwGeB10padOxJF9E_Vljuvvct_M7RDo/edit?usp=sharing"",""ปทุมธานี!L417"")+IMPORTRANGE(""https://docs.google.com/spreadsheets/d/1GbCI"&amp;"E4D4wk9FUozzqk7SxfDMxDVBwVmI5zcaVUSzKAc/edit?usp=sharing"",""ประจวบคีรีขันธ์!L417"")+IMPORTRANGE(""https://docs.google.com/spreadsheets/d/1vVf6wykvW_lAyu7Yo9L4hUTqHqIeP_qcVuxCtosJEbg/edit?usp=sharing"",""ปราจีนบุรี!L417"")+IMPORTRANGE(""https://docs.googl"&amp;"e.com/spreadsheets/d/1BIDqLLg5jk3v59G8NlR8rk5xfQDKne0sAvZHSj7TI6I/edit?usp=sharing"",""พระนครศรีอยุธยา!L417"")+IMPORTRANGE(""https://docs.google.com/spreadsheets/d/1YXvxf8Yu6_rV4hTBrwMqAcAnv6DfhUxh5emyM3CJp_w/edit?usp=sharing"",""เพชรบุรี!L417"")+IMPORTRA"&amp;"NGE(""https://docs.google.com/spreadsheets/d/19KBlQQs7uwvsao6t2n-KvW3Ax8J8uRRfZPq1zPbXgKc/edit?usp=sharing"",""ระยอง!L417"")+IMPORTRANGE(""https://docs.google.com/spreadsheets/d/1jQ6P4QcrGM89YfqcC_PxOHGCMq5ezhucwJd8ci-NHng/edit?usp=sharing"",""ราชบุรี!L41"&amp;"7"")+IMPORTRANGE(""https://docs.google.com/spreadsheets/d/1lufeA2cfFqM-elVq2hznhDzC6Pr7wkJ9ZG_sYNGCMCU/edit?usp=sharing"",""ลพบุรี!L417"")+IMPORTRANGE(""https://docs.google.com/spreadsheets/d/10oOiF7loTyfsTkbd4MpaIm0HQ9SwB7IYHdIUvt-U1Uc/edit?usp=sharing"""&amp;",""สระแก้ว!L417"")+IMPORTRANGE(""https://docs.google.com/spreadsheets/d/1xmPlrr1QbdSIKvl1dWUl9K4PjAfSL9oeMr_37QVzcxc/edit?usp=sharing"",""สระบุรี!L417"")+IMPORTRANGE(""https://docs.google.com/spreadsheets/d/1j51vR6CYVGhABJpv6tkstgok82RLpXieLzW1yOY5rHw/edi"&amp;"t?usp=sharing"",""สิงห์บุรี!L417"")+IMPORTRANGE(""https://docs.google.com/spreadsheets/d/1H1EalTWKUSzO4Z1-1CwzoDUaVffgrThEBe2sl74kKG0/edit?usp=sharing"",""สุพรรณบุรี!L417"")+IMPORTRANGE(""https://docs.google.com/spreadsheets/d/1BmIruG_sIrJLYao_Pdr7zVArWsf"&amp;"oBt2692TMi6x_854/edit?usp=sharing"",""อ่างทอง!L417"")"),0)</f>
        <v>0</v>
      </c>
      <c r="M418" s="77">
        <f ca="1">IFERROR(__xludf.DUMMYFUNCTION("IMPORTRANGE(""https://docs.google.com/spreadsheets/d/13wPX838HrBrQMCywv1BsuMkt4PEKTChp52zj44s2izQ/edit?usp=sharing"",""กาญจนบุรี!M417"")+IMPORTRANGE(""https://docs.google.com/spreadsheets/d/1ddFKvqj1W1NEiWytbGlB1zMx_ykJDVtmfEQ-6-lIUBA/edit?usp=sharing"","&amp;"""จันทบุรี!M417"")+IMPORTRANGE(""https://docs.google.com/spreadsheets/d/1T1PQvRODqOBZk8BRht_U031fIS1beLA0Ub2CEytj2q0/edit?usp=sharing"",""ฉะเชิงเทรา!M417"")+IMPORTRANGE(""https://docs.google.com/spreadsheets/d/11tr1B-Bhyr79v2bkwVh5h_fR-PStkgjlZtkrZpYurG0/"&amp;"edit?usp=sharing"",""ชลบุรี!M417"")+IMPORTRANGE(""https://docs.google.com/spreadsheets/d/1hh-FVnSX0vozXhGluamEcS54Dw9_zqW0N7qJUWgJ0Sw/edit?usp=sharing"",""ชัยนาท!M417"")+IMPORTRANGE(""https://docs.google.com/spreadsheets/d/1jkqa6GXxSacMcY1eN8AHjMNJ_7dDXMJ"&amp;"VRLDlaFSOdPM/edit?usp=sharing"",""ตราด!M417"")+IMPORTRANGE(""https://docs.google.com/spreadsheets/d/18hSgUJ3VwClqi_qtULmmW3cLr0oe3OKaSYoKzdpTsYQ/edit?usp=sharing"",""นครนายก!M417"")+IMPORTRANGE(""https://docs.google.com/spreadsheets/d/1YTZo6WM2dQ6Ix6FSdnL"&amp;"5P7uVnVKu40sxZu975tgG10E/edit?usp=sharing"",""นครปฐม!M417"")+IMPORTRANGE(""https://docs.google.com/spreadsheets/d/1OYoGg4WDg5RIzwGeB10padOxJF9E_Vljuvvct_M7RDo/edit?usp=sharing"",""ปทุมธานี!M417"")+IMPORTRANGE(""https://docs.google.com/spreadsheets/d/1GbCI"&amp;"E4D4wk9FUozzqk7SxfDMxDVBwVmI5zcaVUSzKAc/edit?usp=sharing"",""ประจวบคีรีขันธ์!M417"")+IMPORTRANGE(""https://docs.google.com/spreadsheets/d/1vVf6wykvW_lAyu7Yo9L4hUTqHqIeP_qcVuxCtosJEbg/edit?usp=sharing"",""ปราจีนบุรี!M417"")+IMPORTRANGE(""https://docs.googl"&amp;"e.com/spreadsheets/d/1BIDqLLg5jk3v59G8NlR8rk5xfQDKne0sAvZHSj7TI6I/edit?usp=sharing"",""พระนครศรีอยุธยา!M417"")+IMPORTRANGE(""https://docs.google.com/spreadsheets/d/1YXvxf8Yu6_rV4hTBrwMqAcAnv6DfhUxh5emyM3CJp_w/edit?usp=sharing"",""เพชรบุรี!M417"")+IMPORTRA"&amp;"NGE(""https://docs.google.com/spreadsheets/d/19KBlQQs7uwvsao6t2n-KvW3Ax8J8uRRfZPq1zPbXgKc/edit?usp=sharing"",""ระยอง!M417"")+IMPORTRANGE(""https://docs.google.com/spreadsheets/d/1jQ6P4QcrGM89YfqcC_PxOHGCMq5ezhucwJd8ci-NHng/edit?usp=sharing"",""ราชบุรี!M41"&amp;"7"")+IMPORTRANGE(""https://docs.google.com/spreadsheets/d/1lufeA2cfFqM-elVq2hznhDzC6Pr7wkJ9ZG_sYNGCMCU/edit?usp=sharing"",""ลพบุรี!M417"")+IMPORTRANGE(""https://docs.google.com/spreadsheets/d/10oOiF7loTyfsTkbd4MpaIm0HQ9SwB7IYHdIUvt-U1Uc/edit?usp=sharing"""&amp;",""สระแก้ว!M417"")+IMPORTRANGE(""https://docs.google.com/spreadsheets/d/1xmPlrr1QbdSIKvl1dWUl9K4PjAfSL9oeMr_37QVzcxc/edit?usp=sharing"",""สระบุรี!M417"")+IMPORTRANGE(""https://docs.google.com/spreadsheets/d/1j51vR6CYVGhABJpv6tkstgok82RLpXieLzW1yOY5rHw/edi"&amp;"t?usp=sharing"",""สิงห์บุรี!M417"")+IMPORTRANGE(""https://docs.google.com/spreadsheets/d/1H1EalTWKUSzO4Z1-1CwzoDUaVffgrThEBe2sl74kKG0/edit?usp=sharing"",""สุพรรณบุรี!M417"")+IMPORTRANGE(""https://docs.google.com/spreadsheets/d/1BmIruG_sIrJLYao_Pdr7zVArWsf"&amp;"oBt2692TMi6x_854/edit?usp=sharing"",""อ่างทอง!M417"")"),0)</f>
        <v>0</v>
      </c>
      <c r="N418" s="77">
        <f ca="1">IFERROR(__xludf.DUMMYFUNCTION("IMPORTRANGE(""https://docs.google.com/spreadsheets/d/13wPX838HrBrQMCywv1BsuMkt4PEKTChp52zj44s2izQ/edit?usp=sharing"",""กาญจนบุรี!N417"")+IMPORTRANGE(""https://docs.google.com/spreadsheets/d/1ddFKvqj1W1NEiWytbGlB1zMx_ykJDVtmfEQ-6-lIUBA/edit?usp=sharing"","&amp;"""จันทบุรี!N417"")+IMPORTRANGE(""https://docs.google.com/spreadsheets/d/1T1PQvRODqOBZk8BRht_U031fIS1beLA0Ub2CEytj2q0/edit?usp=sharing"",""ฉะเชิงเทรา!N417"")+IMPORTRANGE(""https://docs.google.com/spreadsheets/d/11tr1B-Bhyr79v2bkwVh5h_fR-PStkgjlZtkrZpYurG0/"&amp;"edit?usp=sharing"",""ชลบุรี!N417"")+IMPORTRANGE(""https://docs.google.com/spreadsheets/d/1hh-FVnSX0vozXhGluamEcS54Dw9_zqW0N7qJUWgJ0Sw/edit?usp=sharing"",""ชัยนาท!N417"")+IMPORTRANGE(""https://docs.google.com/spreadsheets/d/1jkqa6GXxSacMcY1eN8AHjMNJ_7dDXMJ"&amp;"VRLDlaFSOdPM/edit?usp=sharing"",""ตราด!N417"")+IMPORTRANGE(""https://docs.google.com/spreadsheets/d/18hSgUJ3VwClqi_qtULmmW3cLr0oe3OKaSYoKzdpTsYQ/edit?usp=sharing"",""นครนายก!N417"")+IMPORTRANGE(""https://docs.google.com/spreadsheets/d/1YTZo6WM2dQ6Ix6FSdnL"&amp;"5P7uVnVKu40sxZu975tgG10E/edit?usp=sharing"",""นครปฐม!N417"")+IMPORTRANGE(""https://docs.google.com/spreadsheets/d/1OYoGg4WDg5RIzwGeB10padOxJF9E_Vljuvvct_M7RDo/edit?usp=sharing"",""ปทุมธานี!N417"")+IMPORTRANGE(""https://docs.google.com/spreadsheets/d/1GbCI"&amp;"E4D4wk9FUozzqk7SxfDMxDVBwVmI5zcaVUSzKAc/edit?usp=sharing"",""ประจวบคีรีขันธ์!N417"")+IMPORTRANGE(""https://docs.google.com/spreadsheets/d/1vVf6wykvW_lAyu7Yo9L4hUTqHqIeP_qcVuxCtosJEbg/edit?usp=sharing"",""ปราจีนบุรี!N417"")+IMPORTRANGE(""https://docs.googl"&amp;"e.com/spreadsheets/d/1BIDqLLg5jk3v59G8NlR8rk5xfQDKne0sAvZHSj7TI6I/edit?usp=sharing"",""พระนครศรีอยุธยา!N417"")+IMPORTRANGE(""https://docs.google.com/spreadsheets/d/1YXvxf8Yu6_rV4hTBrwMqAcAnv6DfhUxh5emyM3CJp_w/edit?usp=sharing"",""เพชรบุรี!N417"")+IMPORTRA"&amp;"NGE(""https://docs.google.com/spreadsheets/d/19KBlQQs7uwvsao6t2n-KvW3Ax8J8uRRfZPq1zPbXgKc/edit?usp=sharing"",""ระยอง!N417"")+IMPORTRANGE(""https://docs.google.com/spreadsheets/d/1jQ6P4QcrGM89YfqcC_PxOHGCMq5ezhucwJd8ci-NHng/edit?usp=sharing"",""ราชบุรี!N41"&amp;"7"")+IMPORTRANGE(""https://docs.google.com/spreadsheets/d/1lufeA2cfFqM-elVq2hznhDzC6Pr7wkJ9ZG_sYNGCMCU/edit?usp=sharing"",""ลพบุรี!N417"")+IMPORTRANGE(""https://docs.google.com/spreadsheets/d/10oOiF7loTyfsTkbd4MpaIm0HQ9SwB7IYHdIUvt-U1Uc/edit?usp=sharing"""&amp;",""สระแก้ว!N417"")+IMPORTRANGE(""https://docs.google.com/spreadsheets/d/1xmPlrr1QbdSIKvl1dWUl9K4PjAfSL9oeMr_37QVzcxc/edit?usp=sharing"",""สระบุรี!N417"")+IMPORTRANGE(""https://docs.google.com/spreadsheets/d/1j51vR6CYVGhABJpv6tkstgok82RLpXieLzW1yOY5rHw/edi"&amp;"t?usp=sharing"",""สิงห์บุรี!N417"")+IMPORTRANGE(""https://docs.google.com/spreadsheets/d/1H1EalTWKUSzO4Z1-1CwzoDUaVffgrThEBe2sl74kKG0/edit?usp=sharing"",""สุพรรณบุรี!N417"")+IMPORTRANGE(""https://docs.google.com/spreadsheets/d/1BmIruG_sIrJLYao_Pdr7zVArWsf"&amp;"oBt2692TMi6x_854/edit?usp=sharing"",""อ่างทอง!N417"")"),0)</f>
        <v>0</v>
      </c>
      <c r="O418" s="77">
        <f t="shared" ca="1" si="306"/>
        <v>0</v>
      </c>
      <c r="P418" s="77">
        <f t="shared" ca="1" si="307"/>
        <v>0</v>
      </c>
      <c r="Q418" s="76">
        <f ca="1">IFERROR(__xludf.DUMMYFUNCTION("IMPORTRANGE(""https://docs.google.com/spreadsheets/d/13wPX838HrBrQMCywv1BsuMkt4PEKTChp52zj44s2izQ/edit?usp=sharing"",""กาญจนบุรี!Q417"")+IMPORTRANGE(""https://docs.google.com/spreadsheets/d/1ddFKvqj1W1NEiWytbGlB1zMx_ykJDVtmfEQ-6-lIUBA/edit?usp=sharing"","&amp;"""จันทบุรี!Q417"")+IMPORTRANGE(""https://docs.google.com/spreadsheets/d/1T1PQvRODqOBZk8BRht_U031fIS1beLA0Ub2CEytj2q0/edit?usp=sharing"",""ฉะเชิงเทรา!Q417"")+IMPORTRANGE(""https://docs.google.com/spreadsheets/d/11tr1B-Bhyr79v2bkwVh5h_fR-PStkgjlZtkrZpYurG0/"&amp;"edit?usp=sharing"",""ชลบุรี!Q417"")+IMPORTRANGE(""https://docs.google.com/spreadsheets/d/1hh-FVnSX0vozXhGluamEcS54Dw9_zqW0N7qJUWgJ0Sw/edit?usp=sharing"",""ชัยนาท!Q417"")+IMPORTRANGE(""https://docs.google.com/spreadsheets/d/1jkqa6GXxSacMcY1eN8AHjMNJ_7dDXMJ"&amp;"VRLDlaFSOdPM/edit?usp=sharing"",""ตราด!Q417"")+IMPORTRANGE(""https://docs.google.com/spreadsheets/d/18hSgUJ3VwClqi_qtULmmW3cLr0oe3OKaSYoKzdpTsYQ/edit?usp=sharing"",""นครนายก!Q417"")+IMPORTRANGE(""https://docs.google.com/spreadsheets/d/1YTZo6WM2dQ6Ix6FSdnL"&amp;"5P7uVnVKu40sxZu975tgG10E/edit?usp=sharing"",""นครปฐม!Q417"")+IMPORTRANGE(""https://docs.google.com/spreadsheets/d/1OYoGg4WDg5RIzwGeB10padOxJF9E_Vljuvvct_M7RDo/edit?usp=sharing"",""ปทุมธานี!Q417"")+IMPORTRANGE(""https://docs.google.com/spreadsheets/d/1GbCI"&amp;"E4D4wk9FUozzqk7SxfDMxDVBwVmI5zcaVUSzKAc/edit?usp=sharing"",""ประจวบคีรีขันธ์!Q417"")+IMPORTRANGE(""https://docs.google.com/spreadsheets/d/1vVf6wykvW_lAyu7Yo9L4hUTqHqIeP_qcVuxCtosJEbg/edit?usp=sharing"",""ปราจีนบุรี!Q417"")+IMPORTRANGE(""https://docs.googl"&amp;"e.com/spreadsheets/d/1BIDqLLg5jk3v59G8NlR8rk5xfQDKne0sAvZHSj7TI6I/edit?usp=sharing"",""พระนครศรีอยุธยา!Q417"")+IMPORTRANGE(""https://docs.google.com/spreadsheets/d/1YXvxf8Yu6_rV4hTBrwMqAcAnv6DfhUxh5emyM3CJp_w/edit?usp=sharing"",""เพชรบุรี!Q417"")+IMPORTRA"&amp;"NGE(""https://docs.google.com/spreadsheets/d/19KBlQQs7uwvsao6t2n-KvW3Ax8J8uRRfZPq1zPbXgKc/edit?usp=sharing"",""ระยอง!Q417"")+IMPORTRANGE(""https://docs.google.com/spreadsheets/d/1jQ6P4QcrGM89YfqcC_PxOHGCMq5ezhucwJd8ci-NHng/edit?usp=sharing"",""ราชบุรี!Q41"&amp;"7"")+IMPORTRANGE(""https://docs.google.com/spreadsheets/d/1lufeA2cfFqM-elVq2hznhDzC6Pr7wkJ9ZG_sYNGCMCU/edit?usp=sharing"",""ลพบุรี!Q417"")+IMPORTRANGE(""https://docs.google.com/spreadsheets/d/10oOiF7loTyfsTkbd4MpaIm0HQ9SwB7IYHdIUvt-U1Uc/edit?usp=sharing"""&amp;",""สระแก้ว!Q417"")+IMPORTRANGE(""https://docs.google.com/spreadsheets/d/1xmPlrr1QbdSIKvl1dWUl9K4PjAfSL9oeMr_37QVzcxc/edit?usp=sharing"",""สระบุรี!Q417"")+IMPORTRANGE(""https://docs.google.com/spreadsheets/d/1j51vR6CYVGhABJpv6tkstgok82RLpXieLzW1yOY5rHw/edi"&amp;"t?usp=sharing"",""สิงห์บุรี!Q417"")+IMPORTRANGE(""https://docs.google.com/spreadsheets/d/1H1EalTWKUSzO4Z1-1CwzoDUaVffgrThEBe2sl74kKG0/edit?usp=sharing"",""สุพรรณบุรี!Q417"")+IMPORTRANGE(""https://docs.google.com/spreadsheets/d/1BmIruG_sIrJLYao_Pdr7zVArWsf"&amp;"oBt2692TMi6x_854/edit?usp=sharing"",""อ่างทอง!Q417"")"),0)</f>
        <v>0</v>
      </c>
      <c r="R418" s="77">
        <f ca="1">IFERROR(__xludf.DUMMYFUNCTION("IMPORTRANGE(""https://docs.google.com/spreadsheets/d/13wPX838HrBrQMCywv1BsuMkt4PEKTChp52zj44s2izQ/edit?usp=sharing"",""กาญจนบุรี!R417"")+IMPORTRANGE(""https://docs.google.com/spreadsheets/d/1ddFKvqj1W1NEiWytbGlB1zMx_ykJDVtmfEQ-6-lIUBA/edit?usp=sharing"","&amp;"""จันทบุรี!R417"")+IMPORTRANGE(""https://docs.google.com/spreadsheets/d/1T1PQvRODqOBZk8BRht_U031fIS1beLA0Ub2CEytj2q0/edit?usp=sharing"",""ฉะเชิงเทรา!R417"")+IMPORTRANGE(""https://docs.google.com/spreadsheets/d/11tr1B-Bhyr79v2bkwVh5h_fR-PStkgjlZtkrZpYurG0/"&amp;"edit?usp=sharing"",""ชลบุรี!R417"")+IMPORTRANGE(""https://docs.google.com/spreadsheets/d/1hh-FVnSX0vozXhGluamEcS54Dw9_zqW0N7qJUWgJ0Sw/edit?usp=sharing"",""ชัยนาท!R417"")+IMPORTRANGE(""https://docs.google.com/spreadsheets/d/1jkqa6GXxSacMcY1eN8AHjMNJ_7dDXMJ"&amp;"VRLDlaFSOdPM/edit?usp=sharing"",""ตราด!R417"")+IMPORTRANGE(""https://docs.google.com/spreadsheets/d/18hSgUJ3VwClqi_qtULmmW3cLr0oe3OKaSYoKzdpTsYQ/edit?usp=sharing"",""นครนายก!R417"")+IMPORTRANGE(""https://docs.google.com/spreadsheets/d/1YTZo6WM2dQ6Ix6FSdnL"&amp;"5P7uVnVKu40sxZu975tgG10E/edit?usp=sharing"",""นครปฐม!R417"")+IMPORTRANGE(""https://docs.google.com/spreadsheets/d/1OYoGg4WDg5RIzwGeB10padOxJF9E_Vljuvvct_M7RDo/edit?usp=sharing"",""ปทุมธานี!R417"")+IMPORTRANGE(""https://docs.google.com/spreadsheets/d/1GbCI"&amp;"E4D4wk9FUozzqk7SxfDMxDVBwVmI5zcaVUSzKAc/edit?usp=sharing"",""ประจวบคีรีขันธ์!R417"")+IMPORTRANGE(""https://docs.google.com/spreadsheets/d/1vVf6wykvW_lAyu7Yo9L4hUTqHqIeP_qcVuxCtosJEbg/edit?usp=sharing"",""ปราจีนบุรี!R417"")+IMPORTRANGE(""https://docs.googl"&amp;"e.com/spreadsheets/d/1BIDqLLg5jk3v59G8NlR8rk5xfQDKne0sAvZHSj7TI6I/edit?usp=sharing"",""พระนครศรีอยุธยา!R417"")+IMPORTRANGE(""https://docs.google.com/spreadsheets/d/1YXvxf8Yu6_rV4hTBrwMqAcAnv6DfhUxh5emyM3CJp_w/edit?usp=sharing"",""เพชรบุรี!R417"")+IMPORTRA"&amp;"NGE(""https://docs.google.com/spreadsheets/d/19KBlQQs7uwvsao6t2n-KvW3Ax8J8uRRfZPq1zPbXgKc/edit?usp=sharing"",""ระยอง!R417"")+IMPORTRANGE(""https://docs.google.com/spreadsheets/d/1jQ6P4QcrGM89YfqcC_PxOHGCMq5ezhucwJd8ci-NHng/edit?usp=sharing"",""ราชบุรี!R41"&amp;"7"")+IMPORTRANGE(""https://docs.google.com/spreadsheets/d/1lufeA2cfFqM-elVq2hznhDzC6Pr7wkJ9ZG_sYNGCMCU/edit?usp=sharing"",""ลพบุรี!R417"")+IMPORTRANGE(""https://docs.google.com/spreadsheets/d/10oOiF7loTyfsTkbd4MpaIm0HQ9SwB7IYHdIUvt-U1Uc/edit?usp=sharing"""&amp;",""สระแก้ว!R417"")+IMPORTRANGE(""https://docs.google.com/spreadsheets/d/1xmPlrr1QbdSIKvl1dWUl9K4PjAfSL9oeMr_37QVzcxc/edit?usp=sharing"",""สระบุรี!R417"")+IMPORTRANGE(""https://docs.google.com/spreadsheets/d/1j51vR6CYVGhABJpv6tkstgok82RLpXieLzW1yOY5rHw/edi"&amp;"t?usp=sharing"",""สิงห์บุรี!R417"")+IMPORTRANGE(""https://docs.google.com/spreadsheets/d/1H1EalTWKUSzO4Z1-1CwzoDUaVffgrThEBe2sl74kKG0/edit?usp=sharing"",""สุพรรณบุรี!R417"")+IMPORTRANGE(""https://docs.google.com/spreadsheets/d/1BmIruG_sIrJLYao_Pdr7zVArWsf"&amp;"oBt2692TMi6x_854/edit?usp=sharing"",""อ่างทอง!R417"")"),0)</f>
        <v>0</v>
      </c>
      <c r="S418" s="77">
        <f ca="1">IFERROR(__xludf.DUMMYFUNCTION("IMPORTRANGE(""https://docs.google.com/spreadsheets/d/13wPX838HrBrQMCywv1BsuMkt4PEKTChp52zj44s2izQ/edit?usp=sharing"",""กาญจนบุรี!S417"")+IMPORTRANGE(""https://docs.google.com/spreadsheets/d/1ddFKvqj1W1NEiWytbGlB1zMx_ykJDVtmfEQ-6-lIUBA/edit?usp=sharing"","&amp;"""จันทบุรี!S417"")+IMPORTRANGE(""https://docs.google.com/spreadsheets/d/1T1PQvRODqOBZk8BRht_U031fIS1beLA0Ub2CEytj2q0/edit?usp=sharing"",""ฉะเชิงเทรา!S417"")+IMPORTRANGE(""https://docs.google.com/spreadsheets/d/11tr1B-Bhyr79v2bkwVh5h_fR-PStkgjlZtkrZpYurG0/"&amp;"edit?usp=sharing"",""ชลบุรี!S417"")+IMPORTRANGE(""https://docs.google.com/spreadsheets/d/1hh-FVnSX0vozXhGluamEcS54Dw9_zqW0N7qJUWgJ0Sw/edit?usp=sharing"",""ชัยนาท!S417"")+IMPORTRANGE(""https://docs.google.com/spreadsheets/d/1jkqa6GXxSacMcY1eN8AHjMNJ_7dDXMJ"&amp;"VRLDlaFSOdPM/edit?usp=sharing"",""ตราด!S417"")+IMPORTRANGE(""https://docs.google.com/spreadsheets/d/18hSgUJ3VwClqi_qtULmmW3cLr0oe3OKaSYoKzdpTsYQ/edit?usp=sharing"",""นครนายก!S417"")+IMPORTRANGE(""https://docs.google.com/spreadsheets/d/1YTZo6WM2dQ6Ix6FSdnL"&amp;"5P7uVnVKu40sxZu975tgG10E/edit?usp=sharing"",""นครปฐม!S417"")+IMPORTRANGE(""https://docs.google.com/spreadsheets/d/1OYoGg4WDg5RIzwGeB10padOxJF9E_Vljuvvct_M7RDo/edit?usp=sharing"",""ปทุมธานี!S417"")+IMPORTRANGE(""https://docs.google.com/spreadsheets/d/1GbCI"&amp;"E4D4wk9FUozzqk7SxfDMxDVBwVmI5zcaVUSzKAc/edit?usp=sharing"",""ประจวบคีรีขันธ์!S417"")+IMPORTRANGE(""https://docs.google.com/spreadsheets/d/1vVf6wykvW_lAyu7Yo9L4hUTqHqIeP_qcVuxCtosJEbg/edit?usp=sharing"",""ปราจีนบุรี!S417"")+IMPORTRANGE(""https://docs.googl"&amp;"e.com/spreadsheets/d/1BIDqLLg5jk3v59G8NlR8rk5xfQDKne0sAvZHSj7TI6I/edit?usp=sharing"",""พระนครศรีอยุธยา!S417"")+IMPORTRANGE(""https://docs.google.com/spreadsheets/d/1YXvxf8Yu6_rV4hTBrwMqAcAnv6DfhUxh5emyM3CJp_w/edit?usp=sharing"",""เพชรบุรี!S417"")+IMPORTRA"&amp;"NGE(""https://docs.google.com/spreadsheets/d/19KBlQQs7uwvsao6t2n-KvW3Ax8J8uRRfZPq1zPbXgKc/edit?usp=sharing"",""ระยอง!S417"")+IMPORTRANGE(""https://docs.google.com/spreadsheets/d/1jQ6P4QcrGM89YfqcC_PxOHGCMq5ezhucwJd8ci-NHng/edit?usp=sharing"",""ราชบุรี!S41"&amp;"7"")+IMPORTRANGE(""https://docs.google.com/spreadsheets/d/1lufeA2cfFqM-elVq2hznhDzC6Pr7wkJ9ZG_sYNGCMCU/edit?usp=sharing"",""ลพบุรี!S417"")+IMPORTRANGE(""https://docs.google.com/spreadsheets/d/10oOiF7loTyfsTkbd4MpaIm0HQ9SwB7IYHdIUvt-U1Uc/edit?usp=sharing"""&amp;",""สระแก้ว!S417"")+IMPORTRANGE(""https://docs.google.com/spreadsheets/d/1xmPlrr1QbdSIKvl1dWUl9K4PjAfSL9oeMr_37QVzcxc/edit?usp=sharing"",""สระบุรี!S417"")+IMPORTRANGE(""https://docs.google.com/spreadsheets/d/1j51vR6CYVGhABJpv6tkstgok82RLpXieLzW1yOY5rHw/edi"&amp;"t?usp=sharing"",""สิงห์บุรี!S417"")+IMPORTRANGE(""https://docs.google.com/spreadsheets/d/1H1EalTWKUSzO4Z1-1CwzoDUaVffgrThEBe2sl74kKG0/edit?usp=sharing"",""สุพรรณบุรี!S417"")+IMPORTRANGE(""https://docs.google.com/spreadsheets/d/1BmIruG_sIrJLYao_Pdr7zVArWsf"&amp;"oBt2692TMi6x_854/edit?usp=sharing"",""อ่างทอง!S417"")"),0)</f>
        <v>0</v>
      </c>
      <c r="T418" s="133">
        <f t="shared" ca="1" si="309"/>
        <v>0</v>
      </c>
      <c r="U418" s="133">
        <f t="shared" ca="1" si="310"/>
        <v>0</v>
      </c>
    </row>
    <row r="419" spans="1:21" ht="18.75" x14ac:dyDescent="0.25">
      <c r="A419" s="257"/>
      <c r="B419" s="269"/>
      <c r="C419" s="269"/>
      <c r="D419" s="269"/>
      <c r="E419" s="589" t="s">
        <v>159</v>
      </c>
      <c r="F419" s="269"/>
      <c r="G419" s="312"/>
      <c r="H419" s="307" t="s">
        <v>14</v>
      </c>
      <c r="I419" s="263"/>
      <c r="J419" s="263"/>
      <c r="K419" s="87"/>
      <c r="L419" s="74">
        <f ca="1">IFERROR(__xludf.DUMMYFUNCTION("IMPORTRANGE(""https://docs.google.com/spreadsheets/d/13wPX838HrBrQMCywv1BsuMkt4PEKTChp52zj44s2izQ/edit?usp=sharing"",""กาญจนบุรี!L418"")+IMPORTRANGE(""https://docs.google.com/spreadsheets/d/1ddFKvqj1W1NEiWytbGlB1zMx_ykJDVtmfEQ-6-lIUBA/edit?usp=sharing"","&amp;"""จันทบุรี!L418"")+IMPORTRANGE(""https://docs.google.com/spreadsheets/d/1T1PQvRODqOBZk8BRht_U031fIS1beLA0Ub2CEytj2q0/edit?usp=sharing"",""ฉะเชิงเทรา!L418"")+IMPORTRANGE(""https://docs.google.com/spreadsheets/d/11tr1B-Bhyr79v2bkwVh5h_fR-PStkgjlZtkrZpYurG0/"&amp;"edit?usp=sharing"",""ชลบุรี!L418"")+IMPORTRANGE(""https://docs.google.com/spreadsheets/d/1hh-FVnSX0vozXhGluamEcS54Dw9_zqW0N7qJUWgJ0Sw/edit?usp=sharing"",""ชัยนาท!L418"")+IMPORTRANGE(""https://docs.google.com/spreadsheets/d/1jkqa6GXxSacMcY1eN8AHjMNJ_7dDXMJ"&amp;"VRLDlaFSOdPM/edit?usp=sharing"",""ตราด!L418"")+IMPORTRANGE(""https://docs.google.com/spreadsheets/d/18hSgUJ3VwClqi_qtULmmW3cLr0oe3OKaSYoKzdpTsYQ/edit?usp=sharing"",""นครนายก!L418"")+IMPORTRANGE(""https://docs.google.com/spreadsheets/d/1YTZo6WM2dQ6Ix6FSdnL"&amp;"5P7uVnVKu40sxZu975tgG10E/edit?usp=sharing"",""นครปฐม!L418"")+IMPORTRANGE(""https://docs.google.com/spreadsheets/d/1OYoGg4WDg5RIzwGeB10padOxJF9E_Vljuvvct_M7RDo/edit?usp=sharing"",""ปทุมธานี!L418"")+IMPORTRANGE(""https://docs.google.com/spreadsheets/d/1GbCI"&amp;"E4D4wk9FUozzqk7SxfDMxDVBwVmI5zcaVUSzKAc/edit?usp=sharing"",""ประจวบคีรีขันธ์!L418"")+IMPORTRANGE(""https://docs.google.com/spreadsheets/d/1vVf6wykvW_lAyu7Yo9L4hUTqHqIeP_qcVuxCtosJEbg/edit?usp=sharing"",""ปราจีนบุรี!L418"")+IMPORTRANGE(""https://docs.googl"&amp;"e.com/spreadsheets/d/1BIDqLLg5jk3v59G8NlR8rk5xfQDKne0sAvZHSj7TI6I/edit?usp=sharing"",""พระนครศรีอยุธยา!L418"")+IMPORTRANGE(""https://docs.google.com/spreadsheets/d/1YXvxf8Yu6_rV4hTBrwMqAcAnv6DfhUxh5emyM3CJp_w/edit?usp=sharing"",""เพชรบุรี!L418"")+IMPORTRA"&amp;"NGE(""https://docs.google.com/spreadsheets/d/19KBlQQs7uwvsao6t2n-KvW3Ax8J8uRRfZPq1zPbXgKc/edit?usp=sharing"",""ระยอง!L418"")+IMPORTRANGE(""https://docs.google.com/spreadsheets/d/1jQ6P4QcrGM89YfqcC_PxOHGCMq5ezhucwJd8ci-NHng/edit?usp=sharing"",""ราชบุรี!L41"&amp;"8"")+IMPORTRANGE(""https://docs.google.com/spreadsheets/d/1lufeA2cfFqM-elVq2hznhDzC6Pr7wkJ9ZG_sYNGCMCU/edit?usp=sharing"",""ลพบุรี!L418"")+IMPORTRANGE(""https://docs.google.com/spreadsheets/d/10oOiF7loTyfsTkbd4MpaIm0HQ9SwB7IYHdIUvt-U1Uc/edit?usp=sharing"""&amp;",""สระแก้ว!L418"")+IMPORTRANGE(""https://docs.google.com/spreadsheets/d/1xmPlrr1QbdSIKvl1dWUl9K4PjAfSL9oeMr_37QVzcxc/edit?usp=sharing"",""สระบุรี!L418"")+IMPORTRANGE(""https://docs.google.com/spreadsheets/d/1j51vR6CYVGhABJpv6tkstgok82RLpXieLzW1yOY5rHw/edi"&amp;"t?usp=sharing"",""สิงห์บุรี!L418"")+IMPORTRANGE(""https://docs.google.com/spreadsheets/d/1H1EalTWKUSzO4Z1-1CwzoDUaVffgrThEBe2sl74kKG0/edit?usp=sharing"",""สุพรรณบุรี!L418"")+IMPORTRANGE(""https://docs.google.com/spreadsheets/d/1BmIruG_sIrJLYao_Pdr7zVArWsf"&amp;"oBt2692TMi6x_854/edit?usp=sharing"",""อ่างทอง!L418"")"),0)</f>
        <v>0</v>
      </c>
      <c r="M419" s="74">
        <f ca="1">IFERROR(__xludf.DUMMYFUNCTION("IMPORTRANGE(""https://docs.google.com/spreadsheets/d/13wPX838HrBrQMCywv1BsuMkt4PEKTChp52zj44s2izQ/edit?usp=sharing"",""กาญจนบุรี!M418"")+IMPORTRANGE(""https://docs.google.com/spreadsheets/d/1ddFKvqj1W1NEiWytbGlB1zMx_ykJDVtmfEQ-6-lIUBA/edit?usp=sharing"","&amp;"""จันทบุรี!M418"")+IMPORTRANGE(""https://docs.google.com/spreadsheets/d/1T1PQvRODqOBZk8BRht_U031fIS1beLA0Ub2CEytj2q0/edit?usp=sharing"",""ฉะเชิงเทรา!M418"")+IMPORTRANGE(""https://docs.google.com/spreadsheets/d/11tr1B-Bhyr79v2bkwVh5h_fR-PStkgjlZtkrZpYurG0/"&amp;"edit?usp=sharing"",""ชลบุรี!M418"")+IMPORTRANGE(""https://docs.google.com/spreadsheets/d/1hh-FVnSX0vozXhGluamEcS54Dw9_zqW0N7qJUWgJ0Sw/edit?usp=sharing"",""ชัยนาท!M418"")+IMPORTRANGE(""https://docs.google.com/spreadsheets/d/1jkqa6GXxSacMcY1eN8AHjMNJ_7dDXMJ"&amp;"VRLDlaFSOdPM/edit?usp=sharing"",""ตราด!M418"")+IMPORTRANGE(""https://docs.google.com/spreadsheets/d/18hSgUJ3VwClqi_qtULmmW3cLr0oe3OKaSYoKzdpTsYQ/edit?usp=sharing"",""นครนายก!M418"")+IMPORTRANGE(""https://docs.google.com/spreadsheets/d/1YTZo6WM2dQ6Ix6FSdnL"&amp;"5P7uVnVKu40sxZu975tgG10E/edit?usp=sharing"",""นครปฐม!M418"")+IMPORTRANGE(""https://docs.google.com/spreadsheets/d/1OYoGg4WDg5RIzwGeB10padOxJF9E_Vljuvvct_M7RDo/edit?usp=sharing"",""ปทุมธานี!M418"")+IMPORTRANGE(""https://docs.google.com/spreadsheets/d/1GbCI"&amp;"E4D4wk9FUozzqk7SxfDMxDVBwVmI5zcaVUSzKAc/edit?usp=sharing"",""ประจวบคีรีขันธ์!M418"")+IMPORTRANGE(""https://docs.google.com/spreadsheets/d/1vVf6wykvW_lAyu7Yo9L4hUTqHqIeP_qcVuxCtosJEbg/edit?usp=sharing"",""ปราจีนบุรี!M418"")+IMPORTRANGE(""https://docs.googl"&amp;"e.com/spreadsheets/d/1BIDqLLg5jk3v59G8NlR8rk5xfQDKne0sAvZHSj7TI6I/edit?usp=sharing"",""พระนครศรีอยุธยา!M418"")+IMPORTRANGE(""https://docs.google.com/spreadsheets/d/1YXvxf8Yu6_rV4hTBrwMqAcAnv6DfhUxh5emyM3CJp_w/edit?usp=sharing"",""เพชรบุรี!M418"")+IMPORTRA"&amp;"NGE(""https://docs.google.com/spreadsheets/d/19KBlQQs7uwvsao6t2n-KvW3Ax8J8uRRfZPq1zPbXgKc/edit?usp=sharing"",""ระยอง!M418"")+IMPORTRANGE(""https://docs.google.com/spreadsheets/d/1jQ6P4QcrGM89YfqcC_PxOHGCMq5ezhucwJd8ci-NHng/edit?usp=sharing"",""ราชบุรี!M41"&amp;"8"")+IMPORTRANGE(""https://docs.google.com/spreadsheets/d/1lufeA2cfFqM-elVq2hznhDzC6Pr7wkJ9ZG_sYNGCMCU/edit?usp=sharing"",""ลพบุรี!M418"")+IMPORTRANGE(""https://docs.google.com/spreadsheets/d/10oOiF7loTyfsTkbd4MpaIm0HQ9SwB7IYHdIUvt-U1Uc/edit?usp=sharing"""&amp;",""สระแก้ว!M418"")+IMPORTRANGE(""https://docs.google.com/spreadsheets/d/1xmPlrr1QbdSIKvl1dWUl9K4PjAfSL9oeMr_37QVzcxc/edit?usp=sharing"",""สระบุรี!M418"")+IMPORTRANGE(""https://docs.google.com/spreadsheets/d/1j51vR6CYVGhABJpv6tkstgok82RLpXieLzW1yOY5rHw/edi"&amp;"t?usp=sharing"",""สิงห์บุรี!M418"")+IMPORTRANGE(""https://docs.google.com/spreadsheets/d/1H1EalTWKUSzO4Z1-1CwzoDUaVffgrThEBe2sl74kKG0/edit?usp=sharing"",""สุพรรณบุรี!M418"")+IMPORTRANGE(""https://docs.google.com/spreadsheets/d/1BmIruG_sIrJLYao_Pdr7zVArWsf"&amp;"oBt2692TMi6x_854/edit?usp=sharing"",""อ่างทอง!M418"")"),0)</f>
        <v>0</v>
      </c>
      <c r="N419" s="74">
        <f ca="1">IFERROR(__xludf.DUMMYFUNCTION("IMPORTRANGE(""https://docs.google.com/spreadsheets/d/13wPX838HrBrQMCywv1BsuMkt4PEKTChp52zj44s2izQ/edit?usp=sharing"",""กาญจนบุรี!N418"")+IMPORTRANGE(""https://docs.google.com/spreadsheets/d/1ddFKvqj1W1NEiWytbGlB1zMx_ykJDVtmfEQ-6-lIUBA/edit?usp=sharing"","&amp;"""จันทบุรี!N418"")+IMPORTRANGE(""https://docs.google.com/spreadsheets/d/1T1PQvRODqOBZk8BRht_U031fIS1beLA0Ub2CEytj2q0/edit?usp=sharing"",""ฉะเชิงเทรา!N418"")+IMPORTRANGE(""https://docs.google.com/spreadsheets/d/11tr1B-Bhyr79v2bkwVh5h_fR-PStkgjlZtkrZpYurG0/"&amp;"edit?usp=sharing"",""ชลบุรี!N418"")+IMPORTRANGE(""https://docs.google.com/spreadsheets/d/1hh-FVnSX0vozXhGluamEcS54Dw9_zqW0N7qJUWgJ0Sw/edit?usp=sharing"",""ชัยนาท!N418"")+IMPORTRANGE(""https://docs.google.com/spreadsheets/d/1jkqa6GXxSacMcY1eN8AHjMNJ_7dDXMJ"&amp;"VRLDlaFSOdPM/edit?usp=sharing"",""ตราด!N418"")+IMPORTRANGE(""https://docs.google.com/spreadsheets/d/18hSgUJ3VwClqi_qtULmmW3cLr0oe3OKaSYoKzdpTsYQ/edit?usp=sharing"",""นครนายก!N418"")+IMPORTRANGE(""https://docs.google.com/spreadsheets/d/1YTZo6WM2dQ6Ix6FSdnL"&amp;"5P7uVnVKu40sxZu975tgG10E/edit?usp=sharing"",""นครปฐม!N418"")+IMPORTRANGE(""https://docs.google.com/spreadsheets/d/1OYoGg4WDg5RIzwGeB10padOxJF9E_Vljuvvct_M7RDo/edit?usp=sharing"",""ปทุมธานี!N418"")+IMPORTRANGE(""https://docs.google.com/spreadsheets/d/1GbCI"&amp;"E4D4wk9FUozzqk7SxfDMxDVBwVmI5zcaVUSzKAc/edit?usp=sharing"",""ประจวบคีรีขันธ์!N418"")+IMPORTRANGE(""https://docs.google.com/spreadsheets/d/1vVf6wykvW_lAyu7Yo9L4hUTqHqIeP_qcVuxCtosJEbg/edit?usp=sharing"",""ปราจีนบุรี!N418"")+IMPORTRANGE(""https://docs.googl"&amp;"e.com/spreadsheets/d/1BIDqLLg5jk3v59G8NlR8rk5xfQDKne0sAvZHSj7TI6I/edit?usp=sharing"",""พระนครศรีอยุธยา!N418"")+IMPORTRANGE(""https://docs.google.com/spreadsheets/d/1YXvxf8Yu6_rV4hTBrwMqAcAnv6DfhUxh5emyM3CJp_w/edit?usp=sharing"",""เพชรบุรี!N418"")+IMPORTRA"&amp;"NGE(""https://docs.google.com/spreadsheets/d/19KBlQQs7uwvsao6t2n-KvW3Ax8J8uRRfZPq1zPbXgKc/edit?usp=sharing"",""ระยอง!N418"")+IMPORTRANGE(""https://docs.google.com/spreadsheets/d/1jQ6P4QcrGM89YfqcC_PxOHGCMq5ezhucwJd8ci-NHng/edit?usp=sharing"",""ราชบุรี!N41"&amp;"8"")+IMPORTRANGE(""https://docs.google.com/spreadsheets/d/1lufeA2cfFqM-elVq2hznhDzC6Pr7wkJ9ZG_sYNGCMCU/edit?usp=sharing"",""ลพบุรี!N418"")+IMPORTRANGE(""https://docs.google.com/spreadsheets/d/10oOiF7loTyfsTkbd4MpaIm0HQ9SwB7IYHdIUvt-U1Uc/edit?usp=sharing"""&amp;",""สระแก้ว!N418"")+IMPORTRANGE(""https://docs.google.com/spreadsheets/d/1xmPlrr1QbdSIKvl1dWUl9K4PjAfSL9oeMr_37QVzcxc/edit?usp=sharing"",""สระบุรี!N418"")+IMPORTRANGE(""https://docs.google.com/spreadsheets/d/1j51vR6CYVGhABJpv6tkstgok82RLpXieLzW1yOY5rHw/edi"&amp;"t?usp=sharing"",""สิงห์บุรี!N418"")+IMPORTRANGE(""https://docs.google.com/spreadsheets/d/1H1EalTWKUSzO4Z1-1CwzoDUaVffgrThEBe2sl74kKG0/edit?usp=sharing"",""สุพรรณบุรี!N418"")+IMPORTRANGE(""https://docs.google.com/spreadsheets/d/1BmIruG_sIrJLYao_Pdr7zVArWsf"&amp;"oBt2692TMi6x_854/edit?usp=sharing"",""อ่างทอง!N418"")"),0)</f>
        <v>0</v>
      </c>
      <c r="O419" s="74">
        <f t="shared" ca="1" si="306"/>
        <v>0</v>
      </c>
      <c r="P419" s="74">
        <f t="shared" ca="1" si="307"/>
        <v>0</v>
      </c>
      <c r="Q419" s="131">
        <f ca="1">IFERROR(__xludf.DUMMYFUNCTION("IMPORTRANGE(""https://docs.google.com/spreadsheets/d/13wPX838HrBrQMCywv1BsuMkt4PEKTChp52zj44s2izQ/edit?usp=sharing"",""กาญจนบุรี!Q418"")+IMPORTRANGE(""https://docs.google.com/spreadsheets/d/1ddFKvqj1W1NEiWytbGlB1zMx_ykJDVtmfEQ-6-lIUBA/edit?usp=sharing"","&amp;"""จันทบุรี!Q418"")+IMPORTRANGE(""https://docs.google.com/spreadsheets/d/1T1PQvRODqOBZk8BRht_U031fIS1beLA0Ub2CEytj2q0/edit?usp=sharing"",""ฉะเชิงเทรา!Q418"")+IMPORTRANGE(""https://docs.google.com/spreadsheets/d/11tr1B-Bhyr79v2bkwVh5h_fR-PStkgjlZtkrZpYurG0/"&amp;"edit?usp=sharing"",""ชลบุรี!Q418"")+IMPORTRANGE(""https://docs.google.com/spreadsheets/d/1hh-FVnSX0vozXhGluamEcS54Dw9_zqW0N7qJUWgJ0Sw/edit?usp=sharing"",""ชัยนาท!Q418"")+IMPORTRANGE(""https://docs.google.com/spreadsheets/d/1jkqa6GXxSacMcY1eN8AHjMNJ_7dDXMJ"&amp;"VRLDlaFSOdPM/edit?usp=sharing"",""ตราด!Q418"")+IMPORTRANGE(""https://docs.google.com/spreadsheets/d/18hSgUJ3VwClqi_qtULmmW3cLr0oe3OKaSYoKzdpTsYQ/edit?usp=sharing"",""นครนายก!Q418"")+IMPORTRANGE(""https://docs.google.com/spreadsheets/d/1YTZo6WM2dQ6Ix6FSdnL"&amp;"5P7uVnVKu40sxZu975tgG10E/edit?usp=sharing"",""นครปฐม!Q418"")+IMPORTRANGE(""https://docs.google.com/spreadsheets/d/1OYoGg4WDg5RIzwGeB10padOxJF9E_Vljuvvct_M7RDo/edit?usp=sharing"",""ปทุมธานี!Q418"")+IMPORTRANGE(""https://docs.google.com/spreadsheets/d/1GbCI"&amp;"E4D4wk9FUozzqk7SxfDMxDVBwVmI5zcaVUSzKAc/edit?usp=sharing"",""ประจวบคีรีขันธ์!Q418"")+IMPORTRANGE(""https://docs.google.com/spreadsheets/d/1vVf6wykvW_lAyu7Yo9L4hUTqHqIeP_qcVuxCtosJEbg/edit?usp=sharing"",""ปราจีนบุรี!Q418"")+IMPORTRANGE(""https://docs.googl"&amp;"e.com/spreadsheets/d/1BIDqLLg5jk3v59G8NlR8rk5xfQDKne0sAvZHSj7TI6I/edit?usp=sharing"",""พระนครศรีอยุธยา!Q418"")+IMPORTRANGE(""https://docs.google.com/spreadsheets/d/1YXvxf8Yu6_rV4hTBrwMqAcAnv6DfhUxh5emyM3CJp_w/edit?usp=sharing"",""เพชรบุรี!Q418"")+IMPORTRA"&amp;"NGE(""https://docs.google.com/spreadsheets/d/19KBlQQs7uwvsao6t2n-KvW3Ax8J8uRRfZPq1zPbXgKc/edit?usp=sharing"",""ระยอง!Q418"")+IMPORTRANGE(""https://docs.google.com/spreadsheets/d/1jQ6P4QcrGM89YfqcC_PxOHGCMq5ezhucwJd8ci-NHng/edit?usp=sharing"",""ราชบุรี!Q41"&amp;"8"")+IMPORTRANGE(""https://docs.google.com/spreadsheets/d/1lufeA2cfFqM-elVq2hznhDzC6Pr7wkJ9ZG_sYNGCMCU/edit?usp=sharing"",""ลพบุรี!Q418"")+IMPORTRANGE(""https://docs.google.com/spreadsheets/d/10oOiF7loTyfsTkbd4MpaIm0HQ9SwB7IYHdIUvt-U1Uc/edit?usp=sharing"""&amp;",""สระแก้ว!Q418"")+IMPORTRANGE(""https://docs.google.com/spreadsheets/d/1xmPlrr1QbdSIKvl1dWUl9K4PjAfSL9oeMr_37QVzcxc/edit?usp=sharing"",""สระบุรี!Q418"")+IMPORTRANGE(""https://docs.google.com/spreadsheets/d/1j51vR6CYVGhABJpv6tkstgok82RLpXieLzW1yOY5rHw/edi"&amp;"t?usp=sharing"",""สิงห์บุรี!Q418"")+IMPORTRANGE(""https://docs.google.com/spreadsheets/d/1H1EalTWKUSzO4Z1-1CwzoDUaVffgrThEBe2sl74kKG0/edit?usp=sharing"",""สุพรรณบุรี!Q418"")+IMPORTRANGE(""https://docs.google.com/spreadsheets/d/1BmIruG_sIrJLYao_Pdr7zVArWsf"&amp;"oBt2692TMi6x_854/edit?usp=sharing"",""อ่างทอง!Q418"")"),0)</f>
        <v>0</v>
      </c>
      <c r="R419" s="132">
        <f ca="1">IFERROR(__xludf.DUMMYFUNCTION("IMPORTRANGE(""https://docs.google.com/spreadsheets/d/13wPX838HrBrQMCywv1BsuMkt4PEKTChp52zj44s2izQ/edit?usp=sharing"",""กาญจนบุรี!R418"")+IMPORTRANGE(""https://docs.google.com/spreadsheets/d/1ddFKvqj1W1NEiWytbGlB1zMx_ykJDVtmfEQ-6-lIUBA/edit?usp=sharing"","&amp;"""จันทบุรี!R418"")+IMPORTRANGE(""https://docs.google.com/spreadsheets/d/1T1PQvRODqOBZk8BRht_U031fIS1beLA0Ub2CEytj2q0/edit?usp=sharing"",""ฉะเชิงเทรา!R418"")+IMPORTRANGE(""https://docs.google.com/spreadsheets/d/11tr1B-Bhyr79v2bkwVh5h_fR-PStkgjlZtkrZpYurG0/"&amp;"edit?usp=sharing"",""ชลบุรี!R418"")+IMPORTRANGE(""https://docs.google.com/spreadsheets/d/1hh-FVnSX0vozXhGluamEcS54Dw9_zqW0N7qJUWgJ0Sw/edit?usp=sharing"",""ชัยนาท!R418"")+IMPORTRANGE(""https://docs.google.com/spreadsheets/d/1jkqa6GXxSacMcY1eN8AHjMNJ_7dDXMJ"&amp;"VRLDlaFSOdPM/edit?usp=sharing"",""ตราด!R418"")+IMPORTRANGE(""https://docs.google.com/spreadsheets/d/18hSgUJ3VwClqi_qtULmmW3cLr0oe3OKaSYoKzdpTsYQ/edit?usp=sharing"",""นครนายก!R418"")+IMPORTRANGE(""https://docs.google.com/spreadsheets/d/1YTZo6WM2dQ6Ix6FSdnL"&amp;"5P7uVnVKu40sxZu975tgG10E/edit?usp=sharing"",""นครปฐม!R418"")+IMPORTRANGE(""https://docs.google.com/spreadsheets/d/1OYoGg4WDg5RIzwGeB10padOxJF9E_Vljuvvct_M7RDo/edit?usp=sharing"",""ปทุมธานี!R418"")+IMPORTRANGE(""https://docs.google.com/spreadsheets/d/1GbCI"&amp;"E4D4wk9FUozzqk7SxfDMxDVBwVmI5zcaVUSzKAc/edit?usp=sharing"",""ประจวบคีรีขันธ์!R418"")+IMPORTRANGE(""https://docs.google.com/spreadsheets/d/1vVf6wykvW_lAyu7Yo9L4hUTqHqIeP_qcVuxCtosJEbg/edit?usp=sharing"",""ปราจีนบุรี!R418"")+IMPORTRANGE(""https://docs.googl"&amp;"e.com/spreadsheets/d/1BIDqLLg5jk3v59G8NlR8rk5xfQDKne0sAvZHSj7TI6I/edit?usp=sharing"",""พระนครศรีอยุธยา!R418"")+IMPORTRANGE(""https://docs.google.com/spreadsheets/d/1YXvxf8Yu6_rV4hTBrwMqAcAnv6DfhUxh5emyM3CJp_w/edit?usp=sharing"",""เพชรบุรี!R418"")+IMPORTRA"&amp;"NGE(""https://docs.google.com/spreadsheets/d/19KBlQQs7uwvsao6t2n-KvW3Ax8J8uRRfZPq1zPbXgKc/edit?usp=sharing"",""ระยอง!R418"")+IMPORTRANGE(""https://docs.google.com/spreadsheets/d/1jQ6P4QcrGM89YfqcC_PxOHGCMq5ezhucwJd8ci-NHng/edit?usp=sharing"",""ราชบุรี!R41"&amp;"8"")+IMPORTRANGE(""https://docs.google.com/spreadsheets/d/1lufeA2cfFqM-elVq2hznhDzC6Pr7wkJ9ZG_sYNGCMCU/edit?usp=sharing"",""ลพบุรี!R418"")+IMPORTRANGE(""https://docs.google.com/spreadsheets/d/10oOiF7loTyfsTkbd4MpaIm0HQ9SwB7IYHdIUvt-U1Uc/edit?usp=sharing"""&amp;",""สระแก้ว!R418"")+IMPORTRANGE(""https://docs.google.com/spreadsheets/d/1xmPlrr1QbdSIKvl1dWUl9K4PjAfSL9oeMr_37QVzcxc/edit?usp=sharing"",""สระบุรี!R418"")+IMPORTRANGE(""https://docs.google.com/spreadsheets/d/1j51vR6CYVGhABJpv6tkstgok82RLpXieLzW1yOY5rHw/edi"&amp;"t?usp=sharing"",""สิงห์บุรี!R418"")+IMPORTRANGE(""https://docs.google.com/spreadsheets/d/1H1EalTWKUSzO4Z1-1CwzoDUaVffgrThEBe2sl74kKG0/edit?usp=sharing"",""สุพรรณบุรี!R418"")+IMPORTRANGE(""https://docs.google.com/spreadsheets/d/1BmIruG_sIrJLYao_Pdr7zVArWsf"&amp;"oBt2692TMi6x_854/edit?usp=sharing"",""อ่างทอง!R418"")"),0)</f>
        <v>0</v>
      </c>
      <c r="S419" s="132">
        <f ca="1">IFERROR(__xludf.DUMMYFUNCTION("IMPORTRANGE(""https://docs.google.com/spreadsheets/d/13wPX838HrBrQMCywv1BsuMkt4PEKTChp52zj44s2izQ/edit?usp=sharing"",""กาญจนบุรี!S418"")+IMPORTRANGE(""https://docs.google.com/spreadsheets/d/1ddFKvqj1W1NEiWytbGlB1zMx_ykJDVtmfEQ-6-lIUBA/edit?usp=sharing"","&amp;"""จันทบุรี!S418"")+IMPORTRANGE(""https://docs.google.com/spreadsheets/d/1T1PQvRODqOBZk8BRht_U031fIS1beLA0Ub2CEytj2q0/edit?usp=sharing"",""ฉะเชิงเทรา!S418"")+IMPORTRANGE(""https://docs.google.com/spreadsheets/d/11tr1B-Bhyr79v2bkwVh5h_fR-PStkgjlZtkrZpYurG0/"&amp;"edit?usp=sharing"",""ชลบุรี!S418"")+IMPORTRANGE(""https://docs.google.com/spreadsheets/d/1hh-FVnSX0vozXhGluamEcS54Dw9_zqW0N7qJUWgJ0Sw/edit?usp=sharing"",""ชัยนาท!S418"")+IMPORTRANGE(""https://docs.google.com/spreadsheets/d/1jkqa6GXxSacMcY1eN8AHjMNJ_7dDXMJ"&amp;"VRLDlaFSOdPM/edit?usp=sharing"",""ตราด!S418"")+IMPORTRANGE(""https://docs.google.com/spreadsheets/d/18hSgUJ3VwClqi_qtULmmW3cLr0oe3OKaSYoKzdpTsYQ/edit?usp=sharing"",""นครนายก!S418"")+IMPORTRANGE(""https://docs.google.com/spreadsheets/d/1YTZo6WM2dQ6Ix6FSdnL"&amp;"5P7uVnVKu40sxZu975tgG10E/edit?usp=sharing"",""นครปฐม!S418"")+IMPORTRANGE(""https://docs.google.com/spreadsheets/d/1OYoGg4WDg5RIzwGeB10padOxJF9E_Vljuvvct_M7RDo/edit?usp=sharing"",""ปทุมธานี!S418"")+IMPORTRANGE(""https://docs.google.com/spreadsheets/d/1GbCI"&amp;"E4D4wk9FUozzqk7SxfDMxDVBwVmI5zcaVUSzKAc/edit?usp=sharing"",""ประจวบคีรีขันธ์!S418"")+IMPORTRANGE(""https://docs.google.com/spreadsheets/d/1vVf6wykvW_lAyu7Yo9L4hUTqHqIeP_qcVuxCtosJEbg/edit?usp=sharing"",""ปราจีนบุรี!S418"")+IMPORTRANGE(""https://docs.googl"&amp;"e.com/spreadsheets/d/1BIDqLLg5jk3v59G8NlR8rk5xfQDKne0sAvZHSj7TI6I/edit?usp=sharing"",""พระนครศรีอยุธยา!S418"")+IMPORTRANGE(""https://docs.google.com/spreadsheets/d/1YXvxf8Yu6_rV4hTBrwMqAcAnv6DfhUxh5emyM3CJp_w/edit?usp=sharing"",""เพชรบุรี!S418"")+IMPORTRA"&amp;"NGE(""https://docs.google.com/spreadsheets/d/19KBlQQs7uwvsao6t2n-KvW3Ax8J8uRRfZPq1zPbXgKc/edit?usp=sharing"",""ระยอง!S418"")+IMPORTRANGE(""https://docs.google.com/spreadsheets/d/1jQ6P4QcrGM89YfqcC_PxOHGCMq5ezhucwJd8ci-NHng/edit?usp=sharing"",""ราชบุรี!S41"&amp;"8"")+IMPORTRANGE(""https://docs.google.com/spreadsheets/d/1lufeA2cfFqM-elVq2hznhDzC6Pr7wkJ9ZG_sYNGCMCU/edit?usp=sharing"",""ลพบุรี!S418"")+IMPORTRANGE(""https://docs.google.com/spreadsheets/d/10oOiF7loTyfsTkbd4MpaIm0HQ9SwB7IYHdIUvt-U1Uc/edit?usp=sharing"""&amp;",""สระแก้ว!S418"")+IMPORTRANGE(""https://docs.google.com/spreadsheets/d/1xmPlrr1QbdSIKvl1dWUl9K4PjAfSL9oeMr_37QVzcxc/edit?usp=sharing"",""สระบุรี!S418"")+IMPORTRANGE(""https://docs.google.com/spreadsheets/d/1j51vR6CYVGhABJpv6tkstgok82RLpXieLzW1yOY5rHw/edi"&amp;"t?usp=sharing"",""สิงห์บุรี!S418"")+IMPORTRANGE(""https://docs.google.com/spreadsheets/d/1H1EalTWKUSzO4Z1-1CwzoDUaVffgrThEBe2sl74kKG0/edit?usp=sharing"",""สุพรรณบุรี!S418"")+IMPORTRANGE(""https://docs.google.com/spreadsheets/d/1BmIruG_sIrJLYao_Pdr7zVArWsf"&amp;"oBt2692TMi6x_854/edit?usp=sharing"",""อ่างทอง!S418"")"),0)</f>
        <v>0</v>
      </c>
      <c r="T419" s="132">
        <f t="shared" ca="1" si="309"/>
        <v>0</v>
      </c>
      <c r="U419" s="132">
        <f t="shared" ca="1" si="310"/>
        <v>0</v>
      </c>
    </row>
    <row r="420" spans="1:21" ht="19.5" x14ac:dyDescent="0.3">
      <c r="A420" s="257"/>
      <c r="B420" s="269"/>
      <c r="C420" s="269"/>
      <c r="D420" s="588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4">
        <f t="shared" ref="L420:N420" ca="1" si="317">L421+L422</f>
        <v>0</v>
      </c>
      <c r="M420" s="74">
        <f t="shared" ca="1" si="317"/>
        <v>0</v>
      </c>
      <c r="N420" s="74">
        <f t="shared" ca="1" si="317"/>
        <v>0</v>
      </c>
      <c r="O420" s="74">
        <f t="shared" ca="1" si="306"/>
        <v>0</v>
      </c>
      <c r="P420" s="74">
        <f t="shared" ca="1" si="307"/>
        <v>0</v>
      </c>
      <c r="Q420" s="131">
        <f t="shared" ref="Q420:S420" ca="1" si="318">Q421+Q422</f>
        <v>0</v>
      </c>
      <c r="R420" s="132">
        <f t="shared" ca="1" si="318"/>
        <v>0</v>
      </c>
      <c r="S420" s="132">
        <f t="shared" ca="1" si="318"/>
        <v>0</v>
      </c>
      <c r="T420" s="132">
        <f t="shared" ca="1" si="309"/>
        <v>0</v>
      </c>
      <c r="U420" s="132">
        <f t="shared" ca="1" si="310"/>
        <v>0</v>
      </c>
    </row>
    <row r="421" spans="1:21" ht="18.75" x14ac:dyDescent="0.25">
      <c r="A421" s="257"/>
      <c r="B421" s="269"/>
      <c r="C421" s="269"/>
      <c r="D421" s="269"/>
      <c r="E421" s="591" t="s">
        <v>20</v>
      </c>
      <c r="F421" s="269"/>
      <c r="G421" s="312"/>
      <c r="H421" s="308" t="s">
        <v>14</v>
      </c>
      <c r="I421" s="263"/>
      <c r="J421" s="263"/>
      <c r="K421" s="87"/>
      <c r="L421" s="77">
        <f ca="1">IFERROR(__xludf.DUMMYFUNCTION("IMPORTRANGE(""https://docs.google.com/spreadsheets/d/13wPX838HrBrQMCywv1BsuMkt4PEKTChp52zj44s2izQ/edit?usp=sharing"",""กาญจนบุรี!L420"")+IMPORTRANGE(""https://docs.google.com/spreadsheets/d/1ddFKvqj1W1NEiWytbGlB1zMx_ykJDVtmfEQ-6-lIUBA/edit?usp=sharing"","&amp;"""จันทบุรี!L420"")+IMPORTRANGE(""https://docs.google.com/spreadsheets/d/1T1PQvRODqOBZk8BRht_U031fIS1beLA0Ub2CEytj2q0/edit?usp=sharing"",""ฉะเชิงเทรา!L420"")+IMPORTRANGE(""https://docs.google.com/spreadsheets/d/11tr1B-Bhyr79v2bkwVh5h_fR-PStkgjlZtkrZpYurG0/"&amp;"edit?usp=sharing"",""ชลบุรี!L420"")+IMPORTRANGE(""https://docs.google.com/spreadsheets/d/1hh-FVnSX0vozXhGluamEcS54Dw9_zqW0N7qJUWgJ0Sw/edit?usp=sharing"",""ชัยนาท!L420"")+IMPORTRANGE(""https://docs.google.com/spreadsheets/d/1jkqa6GXxSacMcY1eN8AHjMNJ_7dDXMJ"&amp;"VRLDlaFSOdPM/edit?usp=sharing"",""ตราด!L420"")+IMPORTRANGE(""https://docs.google.com/spreadsheets/d/18hSgUJ3VwClqi_qtULmmW3cLr0oe3OKaSYoKzdpTsYQ/edit?usp=sharing"",""นครนายก!L420"")+IMPORTRANGE(""https://docs.google.com/spreadsheets/d/1YTZo6WM2dQ6Ix6FSdnL"&amp;"5P7uVnVKu40sxZu975tgG10E/edit?usp=sharing"",""นครปฐม!L420"")+IMPORTRANGE(""https://docs.google.com/spreadsheets/d/1OYoGg4WDg5RIzwGeB10padOxJF9E_Vljuvvct_M7RDo/edit?usp=sharing"",""ปทุมธานี!L420"")+IMPORTRANGE(""https://docs.google.com/spreadsheets/d/1GbCI"&amp;"E4D4wk9FUozzqk7SxfDMxDVBwVmI5zcaVUSzKAc/edit?usp=sharing"",""ประจวบคีรีขันธ์!L420"")+IMPORTRANGE(""https://docs.google.com/spreadsheets/d/1vVf6wykvW_lAyu7Yo9L4hUTqHqIeP_qcVuxCtosJEbg/edit?usp=sharing"",""ปราจีนบุรี!L420"")+IMPORTRANGE(""https://docs.googl"&amp;"e.com/spreadsheets/d/1BIDqLLg5jk3v59G8NlR8rk5xfQDKne0sAvZHSj7TI6I/edit?usp=sharing"",""พระนครศรีอยุธยา!L420"")+IMPORTRANGE(""https://docs.google.com/spreadsheets/d/1YXvxf8Yu6_rV4hTBrwMqAcAnv6DfhUxh5emyM3CJp_w/edit?usp=sharing"",""เพชรบุรี!L420"")+IMPORTRA"&amp;"NGE(""https://docs.google.com/spreadsheets/d/19KBlQQs7uwvsao6t2n-KvW3Ax8J8uRRfZPq1zPbXgKc/edit?usp=sharing"",""ระยอง!L420"")+IMPORTRANGE(""https://docs.google.com/spreadsheets/d/1jQ6P4QcrGM89YfqcC_PxOHGCMq5ezhucwJd8ci-NHng/edit?usp=sharing"",""ราชบุรี!L42"&amp;"0"")+IMPORTRANGE(""https://docs.google.com/spreadsheets/d/1lufeA2cfFqM-elVq2hznhDzC6Pr7wkJ9ZG_sYNGCMCU/edit?usp=sharing"",""ลพบุรี!L420"")+IMPORTRANGE(""https://docs.google.com/spreadsheets/d/10oOiF7loTyfsTkbd4MpaIm0HQ9SwB7IYHdIUvt-U1Uc/edit?usp=sharing"""&amp;",""สระแก้ว!L420"")+IMPORTRANGE(""https://docs.google.com/spreadsheets/d/1xmPlrr1QbdSIKvl1dWUl9K4PjAfSL9oeMr_37QVzcxc/edit?usp=sharing"",""สระบุรี!L420"")+IMPORTRANGE(""https://docs.google.com/spreadsheets/d/1j51vR6CYVGhABJpv6tkstgok82RLpXieLzW1yOY5rHw/edi"&amp;"t?usp=sharing"",""สิงห์บุรี!L420"")+IMPORTRANGE(""https://docs.google.com/spreadsheets/d/1H1EalTWKUSzO4Z1-1CwzoDUaVffgrThEBe2sl74kKG0/edit?usp=sharing"",""สุพรรณบุรี!L420"")+IMPORTRANGE(""https://docs.google.com/spreadsheets/d/1BmIruG_sIrJLYao_Pdr7zVArWsf"&amp;"oBt2692TMi6x_854/edit?usp=sharing"",""อ่างทอง!L420"")"),0)</f>
        <v>0</v>
      </c>
      <c r="M421" s="77">
        <f ca="1">IFERROR(__xludf.DUMMYFUNCTION("IMPORTRANGE(""https://docs.google.com/spreadsheets/d/13wPX838HrBrQMCywv1BsuMkt4PEKTChp52zj44s2izQ/edit?usp=sharing"",""กาญจนบุรี!M420"")+IMPORTRANGE(""https://docs.google.com/spreadsheets/d/1ddFKvqj1W1NEiWytbGlB1zMx_ykJDVtmfEQ-6-lIUBA/edit?usp=sharing"","&amp;"""จันทบุรี!M420"")+IMPORTRANGE(""https://docs.google.com/spreadsheets/d/1T1PQvRODqOBZk8BRht_U031fIS1beLA0Ub2CEytj2q0/edit?usp=sharing"",""ฉะเชิงเทรา!M420"")+IMPORTRANGE(""https://docs.google.com/spreadsheets/d/11tr1B-Bhyr79v2bkwVh5h_fR-PStkgjlZtkrZpYurG0/"&amp;"edit?usp=sharing"",""ชลบุรี!M420"")+IMPORTRANGE(""https://docs.google.com/spreadsheets/d/1hh-FVnSX0vozXhGluamEcS54Dw9_zqW0N7qJUWgJ0Sw/edit?usp=sharing"",""ชัยนาท!M420"")+IMPORTRANGE(""https://docs.google.com/spreadsheets/d/1jkqa6GXxSacMcY1eN8AHjMNJ_7dDXMJ"&amp;"VRLDlaFSOdPM/edit?usp=sharing"",""ตราด!M420"")+IMPORTRANGE(""https://docs.google.com/spreadsheets/d/18hSgUJ3VwClqi_qtULmmW3cLr0oe3OKaSYoKzdpTsYQ/edit?usp=sharing"",""นครนายก!M420"")+IMPORTRANGE(""https://docs.google.com/spreadsheets/d/1YTZo6WM2dQ6Ix6FSdnL"&amp;"5P7uVnVKu40sxZu975tgG10E/edit?usp=sharing"",""นครปฐม!M420"")+IMPORTRANGE(""https://docs.google.com/spreadsheets/d/1OYoGg4WDg5RIzwGeB10padOxJF9E_Vljuvvct_M7RDo/edit?usp=sharing"",""ปทุมธานี!M420"")+IMPORTRANGE(""https://docs.google.com/spreadsheets/d/1GbCI"&amp;"E4D4wk9FUozzqk7SxfDMxDVBwVmI5zcaVUSzKAc/edit?usp=sharing"",""ประจวบคีรีขันธ์!M420"")+IMPORTRANGE(""https://docs.google.com/spreadsheets/d/1vVf6wykvW_lAyu7Yo9L4hUTqHqIeP_qcVuxCtosJEbg/edit?usp=sharing"",""ปราจีนบุรี!M420"")+IMPORTRANGE(""https://docs.googl"&amp;"e.com/spreadsheets/d/1BIDqLLg5jk3v59G8NlR8rk5xfQDKne0sAvZHSj7TI6I/edit?usp=sharing"",""พระนครศรีอยุธยา!M420"")+IMPORTRANGE(""https://docs.google.com/spreadsheets/d/1YXvxf8Yu6_rV4hTBrwMqAcAnv6DfhUxh5emyM3CJp_w/edit?usp=sharing"",""เพชรบุรี!M420"")+IMPORTRA"&amp;"NGE(""https://docs.google.com/spreadsheets/d/19KBlQQs7uwvsao6t2n-KvW3Ax8J8uRRfZPq1zPbXgKc/edit?usp=sharing"",""ระยอง!M420"")+IMPORTRANGE(""https://docs.google.com/spreadsheets/d/1jQ6P4QcrGM89YfqcC_PxOHGCMq5ezhucwJd8ci-NHng/edit?usp=sharing"",""ราชบุรี!M42"&amp;"0"")+IMPORTRANGE(""https://docs.google.com/spreadsheets/d/1lufeA2cfFqM-elVq2hznhDzC6Pr7wkJ9ZG_sYNGCMCU/edit?usp=sharing"",""ลพบุรี!M420"")+IMPORTRANGE(""https://docs.google.com/spreadsheets/d/10oOiF7loTyfsTkbd4MpaIm0HQ9SwB7IYHdIUvt-U1Uc/edit?usp=sharing"""&amp;",""สระแก้ว!M420"")+IMPORTRANGE(""https://docs.google.com/spreadsheets/d/1xmPlrr1QbdSIKvl1dWUl9K4PjAfSL9oeMr_37QVzcxc/edit?usp=sharing"",""สระบุรี!M420"")+IMPORTRANGE(""https://docs.google.com/spreadsheets/d/1j51vR6CYVGhABJpv6tkstgok82RLpXieLzW1yOY5rHw/edi"&amp;"t?usp=sharing"",""สิงห์บุรี!M420"")+IMPORTRANGE(""https://docs.google.com/spreadsheets/d/1H1EalTWKUSzO4Z1-1CwzoDUaVffgrThEBe2sl74kKG0/edit?usp=sharing"",""สุพรรณบุรี!M420"")+IMPORTRANGE(""https://docs.google.com/spreadsheets/d/1BmIruG_sIrJLYao_Pdr7zVArWsf"&amp;"oBt2692TMi6x_854/edit?usp=sharing"",""อ่างทอง!M420"")"),0)</f>
        <v>0</v>
      </c>
      <c r="N421" s="77">
        <f ca="1">IFERROR(__xludf.DUMMYFUNCTION("IMPORTRANGE(""https://docs.google.com/spreadsheets/d/13wPX838HrBrQMCywv1BsuMkt4PEKTChp52zj44s2izQ/edit?usp=sharing"",""กาญจนบุรี!N420"")+IMPORTRANGE(""https://docs.google.com/spreadsheets/d/1ddFKvqj1W1NEiWytbGlB1zMx_ykJDVtmfEQ-6-lIUBA/edit?usp=sharing"","&amp;"""จันทบุรี!N420"")+IMPORTRANGE(""https://docs.google.com/spreadsheets/d/1T1PQvRODqOBZk8BRht_U031fIS1beLA0Ub2CEytj2q0/edit?usp=sharing"",""ฉะเชิงเทรา!N420"")+IMPORTRANGE(""https://docs.google.com/spreadsheets/d/11tr1B-Bhyr79v2bkwVh5h_fR-PStkgjlZtkrZpYurG0/"&amp;"edit?usp=sharing"",""ชลบุรี!N420"")+IMPORTRANGE(""https://docs.google.com/spreadsheets/d/1hh-FVnSX0vozXhGluamEcS54Dw9_zqW0N7qJUWgJ0Sw/edit?usp=sharing"",""ชัยนาท!N420"")+IMPORTRANGE(""https://docs.google.com/spreadsheets/d/1jkqa6GXxSacMcY1eN8AHjMNJ_7dDXMJ"&amp;"VRLDlaFSOdPM/edit?usp=sharing"",""ตราด!N420"")+IMPORTRANGE(""https://docs.google.com/spreadsheets/d/18hSgUJ3VwClqi_qtULmmW3cLr0oe3OKaSYoKzdpTsYQ/edit?usp=sharing"",""นครนายก!N420"")+IMPORTRANGE(""https://docs.google.com/spreadsheets/d/1YTZo6WM2dQ6Ix6FSdnL"&amp;"5P7uVnVKu40sxZu975tgG10E/edit?usp=sharing"",""นครปฐม!N420"")+IMPORTRANGE(""https://docs.google.com/spreadsheets/d/1OYoGg4WDg5RIzwGeB10padOxJF9E_Vljuvvct_M7RDo/edit?usp=sharing"",""ปทุมธานี!N420"")+IMPORTRANGE(""https://docs.google.com/spreadsheets/d/1GbCI"&amp;"E4D4wk9FUozzqk7SxfDMxDVBwVmI5zcaVUSzKAc/edit?usp=sharing"",""ประจวบคีรีขันธ์!N420"")+IMPORTRANGE(""https://docs.google.com/spreadsheets/d/1vVf6wykvW_lAyu7Yo9L4hUTqHqIeP_qcVuxCtosJEbg/edit?usp=sharing"",""ปราจีนบุรี!N420"")+IMPORTRANGE(""https://docs.googl"&amp;"e.com/spreadsheets/d/1BIDqLLg5jk3v59G8NlR8rk5xfQDKne0sAvZHSj7TI6I/edit?usp=sharing"",""พระนครศรีอยุธยา!N420"")+IMPORTRANGE(""https://docs.google.com/spreadsheets/d/1YXvxf8Yu6_rV4hTBrwMqAcAnv6DfhUxh5emyM3CJp_w/edit?usp=sharing"",""เพชรบุรี!N420"")+IMPORTRA"&amp;"NGE(""https://docs.google.com/spreadsheets/d/19KBlQQs7uwvsao6t2n-KvW3Ax8J8uRRfZPq1zPbXgKc/edit?usp=sharing"",""ระยอง!N420"")+IMPORTRANGE(""https://docs.google.com/spreadsheets/d/1jQ6P4QcrGM89YfqcC_PxOHGCMq5ezhucwJd8ci-NHng/edit?usp=sharing"",""ราชบุรี!N42"&amp;"0"")+IMPORTRANGE(""https://docs.google.com/spreadsheets/d/1lufeA2cfFqM-elVq2hznhDzC6Pr7wkJ9ZG_sYNGCMCU/edit?usp=sharing"",""ลพบุรี!N420"")+IMPORTRANGE(""https://docs.google.com/spreadsheets/d/10oOiF7loTyfsTkbd4MpaIm0HQ9SwB7IYHdIUvt-U1Uc/edit?usp=sharing"""&amp;",""สระแก้ว!N420"")+IMPORTRANGE(""https://docs.google.com/spreadsheets/d/1xmPlrr1QbdSIKvl1dWUl9K4PjAfSL9oeMr_37QVzcxc/edit?usp=sharing"",""สระบุรี!N420"")+IMPORTRANGE(""https://docs.google.com/spreadsheets/d/1j51vR6CYVGhABJpv6tkstgok82RLpXieLzW1yOY5rHw/edi"&amp;"t?usp=sharing"",""สิงห์บุรี!N420"")+IMPORTRANGE(""https://docs.google.com/spreadsheets/d/1H1EalTWKUSzO4Z1-1CwzoDUaVffgrThEBe2sl74kKG0/edit?usp=sharing"",""สุพรรณบุรี!N420"")+IMPORTRANGE(""https://docs.google.com/spreadsheets/d/1BmIruG_sIrJLYao_Pdr7zVArWsf"&amp;"oBt2692TMi6x_854/edit?usp=sharing"",""อ่างทอง!N420"")"),0)</f>
        <v>0</v>
      </c>
      <c r="O421" s="77">
        <f t="shared" ca="1" si="306"/>
        <v>0</v>
      </c>
      <c r="P421" s="77">
        <f t="shared" ca="1" si="307"/>
        <v>0</v>
      </c>
      <c r="Q421" s="76">
        <f ca="1">IFERROR(__xludf.DUMMYFUNCTION("IMPORTRANGE(""https://docs.google.com/spreadsheets/d/13wPX838HrBrQMCywv1BsuMkt4PEKTChp52zj44s2izQ/edit?usp=sharing"",""กาญจนบุรี!Q420"")+IMPORTRANGE(""https://docs.google.com/spreadsheets/d/1ddFKvqj1W1NEiWytbGlB1zMx_ykJDVtmfEQ-6-lIUBA/edit?usp=sharing"","&amp;"""จันทบุรี!Q420"")+IMPORTRANGE(""https://docs.google.com/spreadsheets/d/1T1PQvRODqOBZk8BRht_U031fIS1beLA0Ub2CEytj2q0/edit?usp=sharing"",""ฉะเชิงเทรา!Q420"")+IMPORTRANGE(""https://docs.google.com/spreadsheets/d/11tr1B-Bhyr79v2bkwVh5h_fR-PStkgjlZtkrZpYurG0/"&amp;"edit?usp=sharing"",""ชลบุรี!Q420"")+IMPORTRANGE(""https://docs.google.com/spreadsheets/d/1hh-FVnSX0vozXhGluamEcS54Dw9_zqW0N7qJUWgJ0Sw/edit?usp=sharing"",""ชัยนาท!Q420"")+IMPORTRANGE(""https://docs.google.com/spreadsheets/d/1jkqa6GXxSacMcY1eN8AHjMNJ_7dDXMJ"&amp;"VRLDlaFSOdPM/edit?usp=sharing"",""ตราด!Q420"")+IMPORTRANGE(""https://docs.google.com/spreadsheets/d/18hSgUJ3VwClqi_qtULmmW3cLr0oe3OKaSYoKzdpTsYQ/edit?usp=sharing"",""นครนายก!Q420"")+IMPORTRANGE(""https://docs.google.com/spreadsheets/d/1YTZo6WM2dQ6Ix6FSdnL"&amp;"5P7uVnVKu40sxZu975tgG10E/edit?usp=sharing"",""นครปฐม!Q420"")+IMPORTRANGE(""https://docs.google.com/spreadsheets/d/1OYoGg4WDg5RIzwGeB10padOxJF9E_Vljuvvct_M7RDo/edit?usp=sharing"",""ปทุมธานี!Q420"")+IMPORTRANGE(""https://docs.google.com/spreadsheets/d/1GbCI"&amp;"E4D4wk9FUozzqk7SxfDMxDVBwVmI5zcaVUSzKAc/edit?usp=sharing"",""ประจวบคีรีขันธ์!Q420"")+IMPORTRANGE(""https://docs.google.com/spreadsheets/d/1vVf6wykvW_lAyu7Yo9L4hUTqHqIeP_qcVuxCtosJEbg/edit?usp=sharing"",""ปราจีนบุรี!Q420"")+IMPORTRANGE(""https://docs.googl"&amp;"e.com/spreadsheets/d/1BIDqLLg5jk3v59G8NlR8rk5xfQDKne0sAvZHSj7TI6I/edit?usp=sharing"",""พระนครศรีอยุธยา!Q420"")+IMPORTRANGE(""https://docs.google.com/spreadsheets/d/1YXvxf8Yu6_rV4hTBrwMqAcAnv6DfhUxh5emyM3CJp_w/edit?usp=sharing"",""เพชรบุรี!Q420"")+IMPORTRA"&amp;"NGE(""https://docs.google.com/spreadsheets/d/19KBlQQs7uwvsao6t2n-KvW3Ax8J8uRRfZPq1zPbXgKc/edit?usp=sharing"",""ระยอง!Q420"")+IMPORTRANGE(""https://docs.google.com/spreadsheets/d/1jQ6P4QcrGM89YfqcC_PxOHGCMq5ezhucwJd8ci-NHng/edit?usp=sharing"",""ราชบุรี!Q42"&amp;"0"")+IMPORTRANGE(""https://docs.google.com/spreadsheets/d/1lufeA2cfFqM-elVq2hznhDzC6Pr7wkJ9ZG_sYNGCMCU/edit?usp=sharing"",""ลพบุรี!Q420"")+IMPORTRANGE(""https://docs.google.com/spreadsheets/d/10oOiF7loTyfsTkbd4MpaIm0HQ9SwB7IYHdIUvt-U1Uc/edit?usp=sharing"""&amp;",""สระแก้ว!Q420"")+IMPORTRANGE(""https://docs.google.com/spreadsheets/d/1xmPlrr1QbdSIKvl1dWUl9K4PjAfSL9oeMr_37QVzcxc/edit?usp=sharing"",""สระบุรี!Q420"")+IMPORTRANGE(""https://docs.google.com/spreadsheets/d/1j51vR6CYVGhABJpv6tkstgok82RLpXieLzW1yOY5rHw/edi"&amp;"t?usp=sharing"",""สิงห์บุรี!Q420"")+IMPORTRANGE(""https://docs.google.com/spreadsheets/d/1H1EalTWKUSzO4Z1-1CwzoDUaVffgrThEBe2sl74kKG0/edit?usp=sharing"",""สุพรรณบุรี!Q420"")+IMPORTRANGE(""https://docs.google.com/spreadsheets/d/1BmIruG_sIrJLYao_Pdr7zVArWsf"&amp;"oBt2692TMi6x_854/edit?usp=sharing"",""อ่างทอง!Q420"")"),0)</f>
        <v>0</v>
      </c>
      <c r="R421" s="77">
        <f ca="1">IFERROR(__xludf.DUMMYFUNCTION("IMPORTRANGE(""https://docs.google.com/spreadsheets/d/13wPX838HrBrQMCywv1BsuMkt4PEKTChp52zj44s2izQ/edit?usp=sharing"",""กาญจนบุรี!R420"")+IMPORTRANGE(""https://docs.google.com/spreadsheets/d/1ddFKvqj1W1NEiWytbGlB1zMx_ykJDVtmfEQ-6-lIUBA/edit?usp=sharing"","&amp;"""จันทบุรี!R420"")+IMPORTRANGE(""https://docs.google.com/spreadsheets/d/1T1PQvRODqOBZk8BRht_U031fIS1beLA0Ub2CEytj2q0/edit?usp=sharing"",""ฉะเชิงเทรา!R420"")+IMPORTRANGE(""https://docs.google.com/spreadsheets/d/11tr1B-Bhyr79v2bkwVh5h_fR-PStkgjlZtkrZpYurG0/"&amp;"edit?usp=sharing"",""ชลบุรี!R420"")+IMPORTRANGE(""https://docs.google.com/spreadsheets/d/1hh-FVnSX0vozXhGluamEcS54Dw9_zqW0N7qJUWgJ0Sw/edit?usp=sharing"",""ชัยนาท!R420"")+IMPORTRANGE(""https://docs.google.com/spreadsheets/d/1jkqa6GXxSacMcY1eN8AHjMNJ_7dDXMJ"&amp;"VRLDlaFSOdPM/edit?usp=sharing"",""ตราด!R420"")+IMPORTRANGE(""https://docs.google.com/spreadsheets/d/18hSgUJ3VwClqi_qtULmmW3cLr0oe3OKaSYoKzdpTsYQ/edit?usp=sharing"",""นครนายก!R420"")+IMPORTRANGE(""https://docs.google.com/spreadsheets/d/1YTZo6WM2dQ6Ix6FSdnL"&amp;"5P7uVnVKu40sxZu975tgG10E/edit?usp=sharing"",""นครปฐม!R420"")+IMPORTRANGE(""https://docs.google.com/spreadsheets/d/1OYoGg4WDg5RIzwGeB10padOxJF9E_Vljuvvct_M7RDo/edit?usp=sharing"",""ปทุมธานี!R420"")+IMPORTRANGE(""https://docs.google.com/spreadsheets/d/1GbCI"&amp;"E4D4wk9FUozzqk7SxfDMxDVBwVmI5zcaVUSzKAc/edit?usp=sharing"",""ประจวบคีรีขันธ์!R420"")+IMPORTRANGE(""https://docs.google.com/spreadsheets/d/1vVf6wykvW_lAyu7Yo9L4hUTqHqIeP_qcVuxCtosJEbg/edit?usp=sharing"",""ปราจีนบุรี!R420"")+IMPORTRANGE(""https://docs.googl"&amp;"e.com/spreadsheets/d/1BIDqLLg5jk3v59G8NlR8rk5xfQDKne0sAvZHSj7TI6I/edit?usp=sharing"",""พระนครศรีอยุธยา!R420"")+IMPORTRANGE(""https://docs.google.com/spreadsheets/d/1YXvxf8Yu6_rV4hTBrwMqAcAnv6DfhUxh5emyM3CJp_w/edit?usp=sharing"",""เพชรบุรี!R420"")+IMPORTRA"&amp;"NGE(""https://docs.google.com/spreadsheets/d/19KBlQQs7uwvsao6t2n-KvW3Ax8J8uRRfZPq1zPbXgKc/edit?usp=sharing"",""ระยอง!R420"")+IMPORTRANGE(""https://docs.google.com/spreadsheets/d/1jQ6P4QcrGM89YfqcC_PxOHGCMq5ezhucwJd8ci-NHng/edit?usp=sharing"",""ราชบุรี!R42"&amp;"0"")+IMPORTRANGE(""https://docs.google.com/spreadsheets/d/1lufeA2cfFqM-elVq2hznhDzC6Pr7wkJ9ZG_sYNGCMCU/edit?usp=sharing"",""ลพบุรี!R420"")+IMPORTRANGE(""https://docs.google.com/spreadsheets/d/10oOiF7loTyfsTkbd4MpaIm0HQ9SwB7IYHdIUvt-U1Uc/edit?usp=sharing"""&amp;",""สระแก้ว!R420"")+IMPORTRANGE(""https://docs.google.com/spreadsheets/d/1xmPlrr1QbdSIKvl1dWUl9K4PjAfSL9oeMr_37QVzcxc/edit?usp=sharing"",""สระบุรี!R420"")+IMPORTRANGE(""https://docs.google.com/spreadsheets/d/1j51vR6CYVGhABJpv6tkstgok82RLpXieLzW1yOY5rHw/edi"&amp;"t?usp=sharing"",""สิงห์บุรี!R420"")+IMPORTRANGE(""https://docs.google.com/spreadsheets/d/1H1EalTWKUSzO4Z1-1CwzoDUaVffgrThEBe2sl74kKG0/edit?usp=sharing"",""สุพรรณบุรี!R420"")+IMPORTRANGE(""https://docs.google.com/spreadsheets/d/1BmIruG_sIrJLYao_Pdr7zVArWsf"&amp;"oBt2692TMi6x_854/edit?usp=sharing"",""อ่างทอง!R420"")"),0)</f>
        <v>0</v>
      </c>
      <c r="S421" s="77">
        <f ca="1">IFERROR(__xludf.DUMMYFUNCTION("IMPORTRANGE(""https://docs.google.com/spreadsheets/d/13wPX838HrBrQMCywv1BsuMkt4PEKTChp52zj44s2izQ/edit?usp=sharing"",""กาญจนบุรี!S420"")+IMPORTRANGE(""https://docs.google.com/spreadsheets/d/1ddFKvqj1W1NEiWytbGlB1zMx_ykJDVtmfEQ-6-lIUBA/edit?usp=sharing"","&amp;"""จันทบุรี!S420"")+IMPORTRANGE(""https://docs.google.com/spreadsheets/d/1T1PQvRODqOBZk8BRht_U031fIS1beLA0Ub2CEytj2q0/edit?usp=sharing"",""ฉะเชิงเทรา!S420"")+IMPORTRANGE(""https://docs.google.com/spreadsheets/d/11tr1B-Bhyr79v2bkwVh5h_fR-PStkgjlZtkrZpYurG0/"&amp;"edit?usp=sharing"",""ชลบุรี!S420"")+IMPORTRANGE(""https://docs.google.com/spreadsheets/d/1hh-FVnSX0vozXhGluamEcS54Dw9_zqW0N7qJUWgJ0Sw/edit?usp=sharing"",""ชัยนาท!S420"")+IMPORTRANGE(""https://docs.google.com/spreadsheets/d/1jkqa6GXxSacMcY1eN8AHjMNJ_7dDXMJ"&amp;"VRLDlaFSOdPM/edit?usp=sharing"",""ตราด!S420"")+IMPORTRANGE(""https://docs.google.com/spreadsheets/d/18hSgUJ3VwClqi_qtULmmW3cLr0oe3OKaSYoKzdpTsYQ/edit?usp=sharing"",""นครนายก!S420"")+IMPORTRANGE(""https://docs.google.com/spreadsheets/d/1YTZo6WM2dQ6Ix6FSdnL"&amp;"5P7uVnVKu40sxZu975tgG10E/edit?usp=sharing"",""นครปฐม!S420"")+IMPORTRANGE(""https://docs.google.com/spreadsheets/d/1OYoGg4WDg5RIzwGeB10padOxJF9E_Vljuvvct_M7RDo/edit?usp=sharing"",""ปทุมธานี!S420"")+IMPORTRANGE(""https://docs.google.com/spreadsheets/d/1GbCI"&amp;"E4D4wk9FUozzqk7SxfDMxDVBwVmI5zcaVUSzKAc/edit?usp=sharing"",""ประจวบคีรีขันธ์!S420"")+IMPORTRANGE(""https://docs.google.com/spreadsheets/d/1vVf6wykvW_lAyu7Yo9L4hUTqHqIeP_qcVuxCtosJEbg/edit?usp=sharing"",""ปราจีนบุรี!S420"")+IMPORTRANGE(""https://docs.googl"&amp;"e.com/spreadsheets/d/1BIDqLLg5jk3v59G8NlR8rk5xfQDKne0sAvZHSj7TI6I/edit?usp=sharing"",""พระนครศรีอยุธยา!S420"")+IMPORTRANGE(""https://docs.google.com/spreadsheets/d/1YXvxf8Yu6_rV4hTBrwMqAcAnv6DfhUxh5emyM3CJp_w/edit?usp=sharing"",""เพชรบุรี!S420"")+IMPORTRA"&amp;"NGE(""https://docs.google.com/spreadsheets/d/19KBlQQs7uwvsao6t2n-KvW3Ax8J8uRRfZPq1zPbXgKc/edit?usp=sharing"",""ระยอง!S420"")+IMPORTRANGE(""https://docs.google.com/spreadsheets/d/1jQ6P4QcrGM89YfqcC_PxOHGCMq5ezhucwJd8ci-NHng/edit?usp=sharing"",""ราชบุรี!S42"&amp;"0"")+IMPORTRANGE(""https://docs.google.com/spreadsheets/d/1lufeA2cfFqM-elVq2hznhDzC6Pr7wkJ9ZG_sYNGCMCU/edit?usp=sharing"",""ลพบุรี!S420"")+IMPORTRANGE(""https://docs.google.com/spreadsheets/d/10oOiF7loTyfsTkbd4MpaIm0HQ9SwB7IYHdIUvt-U1Uc/edit?usp=sharing"""&amp;",""สระแก้ว!S420"")+IMPORTRANGE(""https://docs.google.com/spreadsheets/d/1xmPlrr1QbdSIKvl1dWUl9K4PjAfSL9oeMr_37QVzcxc/edit?usp=sharing"",""สระบุรี!S420"")+IMPORTRANGE(""https://docs.google.com/spreadsheets/d/1j51vR6CYVGhABJpv6tkstgok82RLpXieLzW1yOY5rHw/edi"&amp;"t?usp=sharing"",""สิงห์บุรี!S420"")+IMPORTRANGE(""https://docs.google.com/spreadsheets/d/1H1EalTWKUSzO4Z1-1CwzoDUaVffgrThEBe2sl74kKG0/edit?usp=sharing"",""สุพรรณบุรี!S420"")+IMPORTRANGE(""https://docs.google.com/spreadsheets/d/1BmIruG_sIrJLYao_Pdr7zVArWsf"&amp;"oBt2692TMi6x_854/edit?usp=sharing"",""อ่างทอง!S420"")"),0)</f>
        <v>0</v>
      </c>
      <c r="T421" s="133">
        <f t="shared" ca="1" si="309"/>
        <v>0</v>
      </c>
      <c r="U421" s="133">
        <f t="shared" ca="1" si="310"/>
        <v>0</v>
      </c>
    </row>
    <row r="422" spans="1:21" ht="18.75" x14ac:dyDescent="0.25">
      <c r="A422" s="257"/>
      <c r="B422" s="269"/>
      <c r="C422" s="269"/>
      <c r="D422" s="269"/>
      <c r="E422" s="589" t="s">
        <v>21</v>
      </c>
      <c r="F422" s="269"/>
      <c r="G422" s="312"/>
      <c r="H422" s="268" t="s">
        <v>14</v>
      </c>
      <c r="I422" s="263"/>
      <c r="J422" s="263"/>
      <c r="K422" s="87"/>
      <c r="L422" s="74">
        <f ca="1">IFERROR(__xludf.DUMMYFUNCTION("IMPORTRANGE(""https://docs.google.com/spreadsheets/d/13wPX838HrBrQMCywv1BsuMkt4PEKTChp52zj44s2izQ/edit?usp=sharing"",""กาญจนบุรี!L421"")+IMPORTRANGE(""https://docs.google.com/spreadsheets/d/1ddFKvqj1W1NEiWytbGlB1zMx_ykJDVtmfEQ-6-lIUBA/edit?usp=sharing"","&amp;"""จันทบุรี!L421"")+IMPORTRANGE(""https://docs.google.com/spreadsheets/d/1T1PQvRODqOBZk8BRht_U031fIS1beLA0Ub2CEytj2q0/edit?usp=sharing"",""ฉะเชิงเทรา!L421"")+IMPORTRANGE(""https://docs.google.com/spreadsheets/d/11tr1B-Bhyr79v2bkwVh5h_fR-PStkgjlZtkrZpYurG0/"&amp;"edit?usp=sharing"",""ชลบุรี!L421"")+IMPORTRANGE(""https://docs.google.com/spreadsheets/d/1hh-FVnSX0vozXhGluamEcS54Dw9_zqW0N7qJUWgJ0Sw/edit?usp=sharing"",""ชัยนาท!L421"")+IMPORTRANGE(""https://docs.google.com/spreadsheets/d/1jkqa6GXxSacMcY1eN8AHjMNJ_7dDXMJ"&amp;"VRLDlaFSOdPM/edit?usp=sharing"",""ตราด!L421"")+IMPORTRANGE(""https://docs.google.com/spreadsheets/d/18hSgUJ3VwClqi_qtULmmW3cLr0oe3OKaSYoKzdpTsYQ/edit?usp=sharing"",""นครนายก!L421"")+IMPORTRANGE(""https://docs.google.com/spreadsheets/d/1YTZo6WM2dQ6Ix6FSdnL"&amp;"5P7uVnVKu40sxZu975tgG10E/edit?usp=sharing"",""นครปฐม!L421"")+IMPORTRANGE(""https://docs.google.com/spreadsheets/d/1OYoGg4WDg5RIzwGeB10padOxJF9E_Vljuvvct_M7RDo/edit?usp=sharing"",""ปทุมธานี!L421"")+IMPORTRANGE(""https://docs.google.com/spreadsheets/d/1GbCI"&amp;"E4D4wk9FUozzqk7SxfDMxDVBwVmI5zcaVUSzKAc/edit?usp=sharing"",""ประจวบคีรีขันธ์!L421"")+IMPORTRANGE(""https://docs.google.com/spreadsheets/d/1vVf6wykvW_lAyu7Yo9L4hUTqHqIeP_qcVuxCtosJEbg/edit?usp=sharing"",""ปราจีนบุรี!L421"")+IMPORTRANGE(""https://docs.googl"&amp;"e.com/spreadsheets/d/1BIDqLLg5jk3v59G8NlR8rk5xfQDKne0sAvZHSj7TI6I/edit?usp=sharing"",""พระนครศรีอยุธยา!L421"")+IMPORTRANGE(""https://docs.google.com/spreadsheets/d/1YXvxf8Yu6_rV4hTBrwMqAcAnv6DfhUxh5emyM3CJp_w/edit?usp=sharing"",""เพชรบุรี!L421"")+IMPORTRA"&amp;"NGE(""https://docs.google.com/spreadsheets/d/19KBlQQs7uwvsao6t2n-KvW3Ax8J8uRRfZPq1zPbXgKc/edit?usp=sharing"",""ระยอง!L421"")+IMPORTRANGE(""https://docs.google.com/spreadsheets/d/1jQ6P4QcrGM89YfqcC_PxOHGCMq5ezhucwJd8ci-NHng/edit?usp=sharing"",""ราชบุรี!L42"&amp;"1"")+IMPORTRANGE(""https://docs.google.com/spreadsheets/d/1lufeA2cfFqM-elVq2hznhDzC6Pr7wkJ9ZG_sYNGCMCU/edit?usp=sharing"",""ลพบุรี!L421"")+IMPORTRANGE(""https://docs.google.com/spreadsheets/d/10oOiF7loTyfsTkbd4MpaIm0HQ9SwB7IYHdIUvt-U1Uc/edit?usp=sharing"""&amp;",""สระแก้ว!L421"")+IMPORTRANGE(""https://docs.google.com/spreadsheets/d/1xmPlrr1QbdSIKvl1dWUl9K4PjAfSL9oeMr_37QVzcxc/edit?usp=sharing"",""สระบุรี!L421"")+IMPORTRANGE(""https://docs.google.com/spreadsheets/d/1j51vR6CYVGhABJpv6tkstgok82RLpXieLzW1yOY5rHw/edi"&amp;"t?usp=sharing"",""สิงห์บุรี!L421"")+IMPORTRANGE(""https://docs.google.com/spreadsheets/d/1H1EalTWKUSzO4Z1-1CwzoDUaVffgrThEBe2sl74kKG0/edit?usp=sharing"",""สุพรรณบุรี!L421"")+IMPORTRANGE(""https://docs.google.com/spreadsheets/d/1BmIruG_sIrJLYao_Pdr7zVArWsf"&amp;"oBt2692TMi6x_854/edit?usp=sharing"",""อ่างทอง!L421"")"),0)</f>
        <v>0</v>
      </c>
      <c r="M422" s="74">
        <f ca="1">IFERROR(__xludf.DUMMYFUNCTION("IMPORTRANGE(""https://docs.google.com/spreadsheets/d/13wPX838HrBrQMCywv1BsuMkt4PEKTChp52zj44s2izQ/edit?usp=sharing"",""กาญจนบุรี!M421"")+IMPORTRANGE(""https://docs.google.com/spreadsheets/d/1ddFKvqj1W1NEiWytbGlB1zMx_ykJDVtmfEQ-6-lIUBA/edit?usp=sharing"","&amp;"""จันทบุรี!M421"")+IMPORTRANGE(""https://docs.google.com/spreadsheets/d/1T1PQvRODqOBZk8BRht_U031fIS1beLA0Ub2CEytj2q0/edit?usp=sharing"",""ฉะเชิงเทรา!M421"")+IMPORTRANGE(""https://docs.google.com/spreadsheets/d/11tr1B-Bhyr79v2bkwVh5h_fR-PStkgjlZtkrZpYurG0/"&amp;"edit?usp=sharing"",""ชลบุรี!M421"")+IMPORTRANGE(""https://docs.google.com/spreadsheets/d/1hh-FVnSX0vozXhGluamEcS54Dw9_zqW0N7qJUWgJ0Sw/edit?usp=sharing"",""ชัยนาท!M421"")+IMPORTRANGE(""https://docs.google.com/spreadsheets/d/1jkqa6GXxSacMcY1eN8AHjMNJ_7dDXMJ"&amp;"VRLDlaFSOdPM/edit?usp=sharing"",""ตราด!M421"")+IMPORTRANGE(""https://docs.google.com/spreadsheets/d/18hSgUJ3VwClqi_qtULmmW3cLr0oe3OKaSYoKzdpTsYQ/edit?usp=sharing"",""นครนายก!M421"")+IMPORTRANGE(""https://docs.google.com/spreadsheets/d/1YTZo6WM2dQ6Ix6FSdnL"&amp;"5P7uVnVKu40sxZu975tgG10E/edit?usp=sharing"",""นครปฐม!M421"")+IMPORTRANGE(""https://docs.google.com/spreadsheets/d/1OYoGg4WDg5RIzwGeB10padOxJF9E_Vljuvvct_M7RDo/edit?usp=sharing"",""ปทุมธานี!M421"")+IMPORTRANGE(""https://docs.google.com/spreadsheets/d/1GbCI"&amp;"E4D4wk9FUozzqk7SxfDMxDVBwVmI5zcaVUSzKAc/edit?usp=sharing"",""ประจวบคีรีขันธ์!M421"")+IMPORTRANGE(""https://docs.google.com/spreadsheets/d/1vVf6wykvW_lAyu7Yo9L4hUTqHqIeP_qcVuxCtosJEbg/edit?usp=sharing"",""ปราจีนบุรี!M421"")+IMPORTRANGE(""https://docs.googl"&amp;"e.com/spreadsheets/d/1BIDqLLg5jk3v59G8NlR8rk5xfQDKne0sAvZHSj7TI6I/edit?usp=sharing"",""พระนครศรีอยุธยา!M421"")+IMPORTRANGE(""https://docs.google.com/spreadsheets/d/1YXvxf8Yu6_rV4hTBrwMqAcAnv6DfhUxh5emyM3CJp_w/edit?usp=sharing"",""เพชรบุรี!M421"")+IMPORTRA"&amp;"NGE(""https://docs.google.com/spreadsheets/d/19KBlQQs7uwvsao6t2n-KvW3Ax8J8uRRfZPq1zPbXgKc/edit?usp=sharing"",""ระยอง!M421"")+IMPORTRANGE(""https://docs.google.com/spreadsheets/d/1jQ6P4QcrGM89YfqcC_PxOHGCMq5ezhucwJd8ci-NHng/edit?usp=sharing"",""ราชบุรี!M42"&amp;"1"")+IMPORTRANGE(""https://docs.google.com/spreadsheets/d/1lufeA2cfFqM-elVq2hznhDzC6Pr7wkJ9ZG_sYNGCMCU/edit?usp=sharing"",""ลพบุรี!M421"")+IMPORTRANGE(""https://docs.google.com/spreadsheets/d/10oOiF7loTyfsTkbd4MpaIm0HQ9SwB7IYHdIUvt-U1Uc/edit?usp=sharing"""&amp;",""สระแก้ว!M421"")+IMPORTRANGE(""https://docs.google.com/spreadsheets/d/1xmPlrr1QbdSIKvl1dWUl9K4PjAfSL9oeMr_37QVzcxc/edit?usp=sharing"",""สระบุรี!M421"")+IMPORTRANGE(""https://docs.google.com/spreadsheets/d/1j51vR6CYVGhABJpv6tkstgok82RLpXieLzW1yOY5rHw/edi"&amp;"t?usp=sharing"",""สิงห์บุรี!M421"")+IMPORTRANGE(""https://docs.google.com/spreadsheets/d/1H1EalTWKUSzO4Z1-1CwzoDUaVffgrThEBe2sl74kKG0/edit?usp=sharing"",""สุพรรณบุรี!M421"")+IMPORTRANGE(""https://docs.google.com/spreadsheets/d/1BmIruG_sIrJLYao_Pdr7zVArWsf"&amp;"oBt2692TMi6x_854/edit?usp=sharing"",""อ่างทอง!M421"")"),0)</f>
        <v>0</v>
      </c>
      <c r="N422" s="74">
        <f ca="1">IFERROR(__xludf.DUMMYFUNCTION("IMPORTRANGE(""https://docs.google.com/spreadsheets/d/13wPX838HrBrQMCywv1BsuMkt4PEKTChp52zj44s2izQ/edit?usp=sharing"",""กาญจนบุรี!N421"")+IMPORTRANGE(""https://docs.google.com/spreadsheets/d/1ddFKvqj1W1NEiWytbGlB1zMx_ykJDVtmfEQ-6-lIUBA/edit?usp=sharing"","&amp;"""จันทบุรี!N421"")+IMPORTRANGE(""https://docs.google.com/spreadsheets/d/1T1PQvRODqOBZk8BRht_U031fIS1beLA0Ub2CEytj2q0/edit?usp=sharing"",""ฉะเชิงเทรา!N421"")+IMPORTRANGE(""https://docs.google.com/spreadsheets/d/11tr1B-Bhyr79v2bkwVh5h_fR-PStkgjlZtkrZpYurG0/"&amp;"edit?usp=sharing"",""ชลบุรี!N421"")+IMPORTRANGE(""https://docs.google.com/spreadsheets/d/1hh-FVnSX0vozXhGluamEcS54Dw9_zqW0N7qJUWgJ0Sw/edit?usp=sharing"",""ชัยนาท!N421"")+IMPORTRANGE(""https://docs.google.com/spreadsheets/d/1jkqa6GXxSacMcY1eN8AHjMNJ_7dDXMJ"&amp;"VRLDlaFSOdPM/edit?usp=sharing"",""ตราด!N421"")+IMPORTRANGE(""https://docs.google.com/spreadsheets/d/18hSgUJ3VwClqi_qtULmmW3cLr0oe3OKaSYoKzdpTsYQ/edit?usp=sharing"",""นครนายก!N421"")+IMPORTRANGE(""https://docs.google.com/spreadsheets/d/1YTZo6WM2dQ6Ix6FSdnL"&amp;"5P7uVnVKu40sxZu975tgG10E/edit?usp=sharing"",""นครปฐม!N421"")+IMPORTRANGE(""https://docs.google.com/spreadsheets/d/1OYoGg4WDg5RIzwGeB10padOxJF9E_Vljuvvct_M7RDo/edit?usp=sharing"",""ปทุมธานี!N421"")+IMPORTRANGE(""https://docs.google.com/spreadsheets/d/1GbCI"&amp;"E4D4wk9FUozzqk7SxfDMxDVBwVmI5zcaVUSzKAc/edit?usp=sharing"",""ประจวบคีรีขันธ์!N421"")+IMPORTRANGE(""https://docs.google.com/spreadsheets/d/1vVf6wykvW_lAyu7Yo9L4hUTqHqIeP_qcVuxCtosJEbg/edit?usp=sharing"",""ปราจีนบุรี!N421"")+IMPORTRANGE(""https://docs.googl"&amp;"e.com/spreadsheets/d/1BIDqLLg5jk3v59G8NlR8rk5xfQDKne0sAvZHSj7TI6I/edit?usp=sharing"",""พระนครศรีอยุธยา!N421"")+IMPORTRANGE(""https://docs.google.com/spreadsheets/d/1YXvxf8Yu6_rV4hTBrwMqAcAnv6DfhUxh5emyM3CJp_w/edit?usp=sharing"",""เพชรบุรี!N421"")+IMPORTRA"&amp;"NGE(""https://docs.google.com/spreadsheets/d/19KBlQQs7uwvsao6t2n-KvW3Ax8J8uRRfZPq1zPbXgKc/edit?usp=sharing"",""ระยอง!N421"")+IMPORTRANGE(""https://docs.google.com/spreadsheets/d/1jQ6P4QcrGM89YfqcC_PxOHGCMq5ezhucwJd8ci-NHng/edit?usp=sharing"",""ราชบุรี!N42"&amp;"1"")+IMPORTRANGE(""https://docs.google.com/spreadsheets/d/1lufeA2cfFqM-elVq2hznhDzC6Pr7wkJ9ZG_sYNGCMCU/edit?usp=sharing"",""ลพบุรี!N421"")+IMPORTRANGE(""https://docs.google.com/spreadsheets/d/10oOiF7loTyfsTkbd4MpaIm0HQ9SwB7IYHdIUvt-U1Uc/edit?usp=sharing"""&amp;",""สระแก้ว!N421"")+IMPORTRANGE(""https://docs.google.com/spreadsheets/d/1xmPlrr1QbdSIKvl1dWUl9K4PjAfSL9oeMr_37QVzcxc/edit?usp=sharing"",""สระบุรี!N421"")+IMPORTRANGE(""https://docs.google.com/spreadsheets/d/1j51vR6CYVGhABJpv6tkstgok82RLpXieLzW1yOY5rHw/edi"&amp;"t?usp=sharing"",""สิงห์บุรี!N421"")+IMPORTRANGE(""https://docs.google.com/spreadsheets/d/1H1EalTWKUSzO4Z1-1CwzoDUaVffgrThEBe2sl74kKG0/edit?usp=sharing"",""สุพรรณบุรี!N421"")+IMPORTRANGE(""https://docs.google.com/spreadsheets/d/1BmIruG_sIrJLYao_Pdr7zVArWsf"&amp;"oBt2692TMi6x_854/edit?usp=sharing"",""อ่างทอง!N421"")"),0)</f>
        <v>0</v>
      </c>
      <c r="O422" s="74">
        <f t="shared" ca="1" si="306"/>
        <v>0</v>
      </c>
      <c r="P422" s="74">
        <f t="shared" ca="1" si="307"/>
        <v>0</v>
      </c>
      <c r="Q422" s="73">
        <f ca="1">IFERROR(__xludf.DUMMYFUNCTION("IMPORTRANGE(""https://docs.google.com/spreadsheets/d/13wPX838HrBrQMCywv1BsuMkt4PEKTChp52zj44s2izQ/edit?usp=sharing"",""กาญจนบุรี!Q421"")+IMPORTRANGE(""https://docs.google.com/spreadsheets/d/1ddFKvqj1W1NEiWytbGlB1zMx_ykJDVtmfEQ-6-lIUBA/edit?usp=sharing"","&amp;"""จันทบุรี!Q421"")+IMPORTRANGE(""https://docs.google.com/spreadsheets/d/1T1PQvRODqOBZk8BRht_U031fIS1beLA0Ub2CEytj2q0/edit?usp=sharing"",""ฉะเชิงเทรา!Q421"")+IMPORTRANGE(""https://docs.google.com/spreadsheets/d/11tr1B-Bhyr79v2bkwVh5h_fR-PStkgjlZtkrZpYurG0/"&amp;"edit?usp=sharing"",""ชลบุรี!Q421"")+IMPORTRANGE(""https://docs.google.com/spreadsheets/d/1hh-FVnSX0vozXhGluamEcS54Dw9_zqW0N7qJUWgJ0Sw/edit?usp=sharing"",""ชัยนาท!Q421"")+IMPORTRANGE(""https://docs.google.com/spreadsheets/d/1jkqa6GXxSacMcY1eN8AHjMNJ_7dDXMJ"&amp;"VRLDlaFSOdPM/edit?usp=sharing"",""ตราด!Q421"")+IMPORTRANGE(""https://docs.google.com/spreadsheets/d/18hSgUJ3VwClqi_qtULmmW3cLr0oe3OKaSYoKzdpTsYQ/edit?usp=sharing"",""นครนายก!Q421"")+IMPORTRANGE(""https://docs.google.com/spreadsheets/d/1YTZo6WM2dQ6Ix6FSdnL"&amp;"5P7uVnVKu40sxZu975tgG10E/edit?usp=sharing"",""นครปฐม!Q421"")+IMPORTRANGE(""https://docs.google.com/spreadsheets/d/1OYoGg4WDg5RIzwGeB10padOxJF9E_Vljuvvct_M7RDo/edit?usp=sharing"",""ปทุมธานี!Q421"")+IMPORTRANGE(""https://docs.google.com/spreadsheets/d/1GbCI"&amp;"E4D4wk9FUozzqk7SxfDMxDVBwVmI5zcaVUSzKAc/edit?usp=sharing"",""ประจวบคีรีขันธ์!Q421"")+IMPORTRANGE(""https://docs.google.com/spreadsheets/d/1vVf6wykvW_lAyu7Yo9L4hUTqHqIeP_qcVuxCtosJEbg/edit?usp=sharing"",""ปราจีนบุรี!Q421"")+IMPORTRANGE(""https://docs.googl"&amp;"e.com/spreadsheets/d/1BIDqLLg5jk3v59G8NlR8rk5xfQDKne0sAvZHSj7TI6I/edit?usp=sharing"",""พระนครศรีอยุธยา!Q421"")+IMPORTRANGE(""https://docs.google.com/spreadsheets/d/1YXvxf8Yu6_rV4hTBrwMqAcAnv6DfhUxh5emyM3CJp_w/edit?usp=sharing"",""เพชรบุรี!Q421"")+IMPORTRA"&amp;"NGE(""https://docs.google.com/spreadsheets/d/19KBlQQs7uwvsao6t2n-KvW3Ax8J8uRRfZPq1zPbXgKc/edit?usp=sharing"",""ระยอง!Q421"")+IMPORTRANGE(""https://docs.google.com/spreadsheets/d/1jQ6P4QcrGM89YfqcC_PxOHGCMq5ezhucwJd8ci-NHng/edit?usp=sharing"",""ราชบุรี!Q42"&amp;"1"")+IMPORTRANGE(""https://docs.google.com/spreadsheets/d/1lufeA2cfFqM-elVq2hznhDzC6Pr7wkJ9ZG_sYNGCMCU/edit?usp=sharing"",""ลพบุรี!Q421"")+IMPORTRANGE(""https://docs.google.com/spreadsheets/d/10oOiF7loTyfsTkbd4MpaIm0HQ9SwB7IYHdIUvt-U1Uc/edit?usp=sharing"""&amp;",""สระแก้ว!Q421"")+IMPORTRANGE(""https://docs.google.com/spreadsheets/d/1xmPlrr1QbdSIKvl1dWUl9K4PjAfSL9oeMr_37QVzcxc/edit?usp=sharing"",""สระบุรี!Q421"")+IMPORTRANGE(""https://docs.google.com/spreadsheets/d/1j51vR6CYVGhABJpv6tkstgok82RLpXieLzW1yOY5rHw/edi"&amp;"t?usp=sharing"",""สิงห์บุรี!Q421"")+IMPORTRANGE(""https://docs.google.com/spreadsheets/d/1H1EalTWKUSzO4Z1-1CwzoDUaVffgrThEBe2sl74kKG0/edit?usp=sharing"",""สุพรรณบุรี!Q421"")+IMPORTRANGE(""https://docs.google.com/spreadsheets/d/1BmIruG_sIrJLYao_Pdr7zVArWsf"&amp;"oBt2692TMi6x_854/edit?usp=sharing"",""อ่างทอง!Q421"")"),0)</f>
        <v>0</v>
      </c>
      <c r="R422" s="74">
        <f ca="1">IFERROR(__xludf.DUMMYFUNCTION("IMPORTRANGE(""https://docs.google.com/spreadsheets/d/13wPX838HrBrQMCywv1BsuMkt4PEKTChp52zj44s2izQ/edit?usp=sharing"",""กาญจนบุรี!R421"")+IMPORTRANGE(""https://docs.google.com/spreadsheets/d/1ddFKvqj1W1NEiWytbGlB1zMx_ykJDVtmfEQ-6-lIUBA/edit?usp=sharing"","&amp;"""จันทบุรี!R421"")+IMPORTRANGE(""https://docs.google.com/spreadsheets/d/1T1PQvRODqOBZk8BRht_U031fIS1beLA0Ub2CEytj2q0/edit?usp=sharing"",""ฉะเชิงเทรา!R421"")+IMPORTRANGE(""https://docs.google.com/spreadsheets/d/11tr1B-Bhyr79v2bkwVh5h_fR-PStkgjlZtkrZpYurG0/"&amp;"edit?usp=sharing"",""ชลบุรี!R421"")+IMPORTRANGE(""https://docs.google.com/spreadsheets/d/1hh-FVnSX0vozXhGluamEcS54Dw9_zqW0N7qJUWgJ0Sw/edit?usp=sharing"",""ชัยนาท!R421"")+IMPORTRANGE(""https://docs.google.com/spreadsheets/d/1jkqa6GXxSacMcY1eN8AHjMNJ_7dDXMJ"&amp;"VRLDlaFSOdPM/edit?usp=sharing"",""ตราด!R421"")+IMPORTRANGE(""https://docs.google.com/spreadsheets/d/18hSgUJ3VwClqi_qtULmmW3cLr0oe3OKaSYoKzdpTsYQ/edit?usp=sharing"",""นครนายก!R421"")+IMPORTRANGE(""https://docs.google.com/spreadsheets/d/1YTZo6WM2dQ6Ix6FSdnL"&amp;"5P7uVnVKu40sxZu975tgG10E/edit?usp=sharing"",""นครปฐม!R421"")+IMPORTRANGE(""https://docs.google.com/spreadsheets/d/1OYoGg4WDg5RIzwGeB10padOxJF9E_Vljuvvct_M7RDo/edit?usp=sharing"",""ปทุมธานี!R421"")+IMPORTRANGE(""https://docs.google.com/spreadsheets/d/1GbCI"&amp;"E4D4wk9FUozzqk7SxfDMxDVBwVmI5zcaVUSzKAc/edit?usp=sharing"",""ประจวบคีรีขันธ์!R421"")+IMPORTRANGE(""https://docs.google.com/spreadsheets/d/1vVf6wykvW_lAyu7Yo9L4hUTqHqIeP_qcVuxCtosJEbg/edit?usp=sharing"",""ปราจีนบุรี!R421"")+IMPORTRANGE(""https://docs.googl"&amp;"e.com/spreadsheets/d/1BIDqLLg5jk3v59G8NlR8rk5xfQDKne0sAvZHSj7TI6I/edit?usp=sharing"",""พระนครศรีอยุธยา!R421"")+IMPORTRANGE(""https://docs.google.com/spreadsheets/d/1YXvxf8Yu6_rV4hTBrwMqAcAnv6DfhUxh5emyM3CJp_w/edit?usp=sharing"",""เพชรบุรี!R421"")+IMPORTRA"&amp;"NGE(""https://docs.google.com/spreadsheets/d/19KBlQQs7uwvsao6t2n-KvW3Ax8J8uRRfZPq1zPbXgKc/edit?usp=sharing"",""ระยอง!R421"")+IMPORTRANGE(""https://docs.google.com/spreadsheets/d/1jQ6P4QcrGM89YfqcC_PxOHGCMq5ezhucwJd8ci-NHng/edit?usp=sharing"",""ราชบุรี!R42"&amp;"1"")+IMPORTRANGE(""https://docs.google.com/spreadsheets/d/1lufeA2cfFqM-elVq2hznhDzC6Pr7wkJ9ZG_sYNGCMCU/edit?usp=sharing"",""ลพบุรี!R421"")+IMPORTRANGE(""https://docs.google.com/spreadsheets/d/10oOiF7loTyfsTkbd4MpaIm0HQ9SwB7IYHdIUvt-U1Uc/edit?usp=sharing"""&amp;",""สระแก้ว!R421"")+IMPORTRANGE(""https://docs.google.com/spreadsheets/d/1xmPlrr1QbdSIKvl1dWUl9K4PjAfSL9oeMr_37QVzcxc/edit?usp=sharing"",""สระบุรี!R421"")+IMPORTRANGE(""https://docs.google.com/spreadsheets/d/1j51vR6CYVGhABJpv6tkstgok82RLpXieLzW1yOY5rHw/edi"&amp;"t?usp=sharing"",""สิงห์บุรี!R421"")+IMPORTRANGE(""https://docs.google.com/spreadsheets/d/1H1EalTWKUSzO4Z1-1CwzoDUaVffgrThEBe2sl74kKG0/edit?usp=sharing"",""สุพรรณบุรี!R421"")+IMPORTRANGE(""https://docs.google.com/spreadsheets/d/1BmIruG_sIrJLYao_Pdr7zVArWsf"&amp;"oBt2692TMi6x_854/edit?usp=sharing"",""อ่างทอง!R421"")"),0)</f>
        <v>0</v>
      </c>
      <c r="S422" s="74">
        <f ca="1">IFERROR(__xludf.DUMMYFUNCTION("IMPORTRANGE(""https://docs.google.com/spreadsheets/d/13wPX838HrBrQMCywv1BsuMkt4PEKTChp52zj44s2izQ/edit?usp=sharing"",""กาญจนบุรี!S421"")+IMPORTRANGE(""https://docs.google.com/spreadsheets/d/1ddFKvqj1W1NEiWytbGlB1zMx_ykJDVtmfEQ-6-lIUBA/edit?usp=sharing"","&amp;"""จันทบุรี!S421"")+IMPORTRANGE(""https://docs.google.com/spreadsheets/d/1T1PQvRODqOBZk8BRht_U031fIS1beLA0Ub2CEytj2q0/edit?usp=sharing"",""ฉะเชิงเทรา!S421"")+IMPORTRANGE(""https://docs.google.com/spreadsheets/d/11tr1B-Bhyr79v2bkwVh5h_fR-PStkgjlZtkrZpYurG0/"&amp;"edit?usp=sharing"",""ชลบุรี!S421"")+IMPORTRANGE(""https://docs.google.com/spreadsheets/d/1hh-FVnSX0vozXhGluamEcS54Dw9_zqW0N7qJUWgJ0Sw/edit?usp=sharing"",""ชัยนาท!S421"")+IMPORTRANGE(""https://docs.google.com/spreadsheets/d/1jkqa6GXxSacMcY1eN8AHjMNJ_7dDXMJ"&amp;"VRLDlaFSOdPM/edit?usp=sharing"",""ตราด!S421"")+IMPORTRANGE(""https://docs.google.com/spreadsheets/d/18hSgUJ3VwClqi_qtULmmW3cLr0oe3OKaSYoKzdpTsYQ/edit?usp=sharing"",""นครนายก!S421"")+IMPORTRANGE(""https://docs.google.com/spreadsheets/d/1YTZo6WM2dQ6Ix6FSdnL"&amp;"5P7uVnVKu40sxZu975tgG10E/edit?usp=sharing"",""นครปฐม!S421"")+IMPORTRANGE(""https://docs.google.com/spreadsheets/d/1OYoGg4WDg5RIzwGeB10padOxJF9E_Vljuvvct_M7RDo/edit?usp=sharing"",""ปทุมธานี!S421"")+IMPORTRANGE(""https://docs.google.com/spreadsheets/d/1GbCI"&amp;"E4D4wk9FUozzqk7SxfDMxDVBwVmI5zcaVUSzKAc/edit?usp=sharing"",""ประจวบคีรีขันธ์!S421"")+IMPORTRANGE(""https://docs.google.com/spreadsheets/d/1vVf6wykvW_lAyu7Yo9L4hUTqHqIeP_qcVuxCtosJEbg/edit?usp=sharing"",""ปราจีนบุรี!S421"")+IMPORTRANGE(""https://docs.googl"&amp;"e.com/spreadsheets/d/1BIDqLLg5jk3v59G8NlR8rk5xfQDKne0sAvZHSj7TI6I/edit?usp=sharing"",""พระนครศรีอยุธยา!S421"")+IMPORTRANGE(""https://docs.google.com/spreadsheets/d/1YXvxf8Yu6_rV4hTBrwMqAcAnv6DfhUxh5emyM3CJp_w/edit?usp=sharing"",""เพชรบุรี!S421"")+IMPORTRA"&amp;"NGE(""https://docs.google.com/spreadsheets/d/19KBlQQs7uwvsao6t2n-KvW3Ax8J8uRRfZPq1zPbXgKc/edit?usp=sharing"",""ระยอง!S421"")+IMPORTRANGE(""https://docs.google.com/spreadsheets/d/1jQ6P4QcrGM89YfqcC_PxOHGCMq5ezhucwJd8ci-NHng/edit?usp=sharing"",""ราชบุรี!S42"&amp;"1"")+IMPORTRANGE(""https://docs.google.com/spreadsheets/d/1lufeA2cfFqM-elVq2hznhDzC6Pr7wkJ9ZG_sYNGCMCU/edit?usp=sharing"",""ลพบุรี!S421"")+IMPORTRANGE(""https://docs.google.com/spreadsheets/d/10oOiF7loTyfsTkbd4MpaIm0HQ9SwB7IYHdIUvt-U1Uc/edit?usp=sharing"""&amp;",""สระแก้ว!S421"")+IMPORTRANGE(""https://docs.google.com/spreadsheets/d/1xmPlrr1QbdSIKvl1dWUl9K4PjAfSL9oeMr_37QVzcxc/edit?usp=sharing"",""สระบุรี!S421"")+IMPORTRANGE(""https://docs.google.com/spreadsheets/d/1j51vR6CYVGhABJpv6tkstgok82RLpXieLzW1yOY5rHw/edi"&amp;"t?usp=sharing"",""สิงห์บุรี!S421"")+IMPORTRANGE(""https://docs.google.com/spreadsheets/d/1H1EalTWKUSzO4Z1-1CwzoDUaVffgrThEBe2sl74kKG0/edit?usp=sharing"",""สุพรรณบุรี!S421"")+IMPORTRANGE(""https://docs.google.com/spreadsheets/d/1BmIruG_sIrJLYao_Pdr7zVArWsf"&amp;"oBt2692TMi6x_854/edit?usp=sharing"",""อ่างทอง!S421"")"),0)</f>
        <v>0</v>
      </c>
      <c r="T422" s="132">
        <f t="shared" ca="1" si="309"/>
        <v>0</v>
      </c>
      <c r="U422" s="132">
        <f t="shared" ca="1" si="310"/>
        <v>0</v>
      </c>
    </row>
    <row r="423" spans="1:21" ht="19.5" x14ac:dyDescent="0.3">
      <c r="A423" s="550"/>
      <c r="B423" s="269"/>
      <c r="C423" s="618" t="s">
        <v>18</v>
      </c>
      <c r="D423" s="620" t="s">
        <v>38</v>
      </c>
      <c r="E423" s="269"/>
      <c r="F423" s="269"/>
      <c r="G423" s="312"/>
      <c r="H423" s="312"/>
      <c r="I423" s="263"/>
      <c r="J423" s="263"/>
      <c r="K423" s="87"/>
      <c r="L423" s="87"/>
      <c r="M423" s="87"/>
      <c r="N423" s="87"/>
      <c r="O423" s="87"/>
      <c r="P423" s="87"/>
      <c r="Q423" s="86"/>
      <c r="R423" s="87"/>
      <c r="S423" s="87"/>
      <c r="T423" s="87"/>
      <c r="U423" s="87"/>
    </row>
    <row r="424" spans="1:21" ht="19.5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319">I441</f>
        <v>0</v>
      </c>
      <c r="J424" s="622">
        <f t="shared" ca="1" si="319"/>
        <v>0</v>
      </c>
      <c r="K424" s="264">
        <f t="shared" ref="K424:K426" ca="1" si="320">IF(I424&gt;0,J424*100/I424,0)</f>
        <v>0</v>
      </c>
      <c r="L424" s="87"/>
      <c r="M424" s="87"/>
      <c r="N424" s="87"/>
      <c r="O424" s="87"/>
      <c r="P424" s="87"/>
      <c r="Q424" s="86"/>
      <c r="R424" s="87"/>
      <c r="S424" s="87"/>
      <c r="T424" s="87"/>
      <c r="U424" s="87"/>
    </row>
    <row r="425" spans="1:21" ht="19.5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IFERROR(__xludf.DUMMYFUNCTION("IMPORTRANGE(""https://docs.google.com/spreadsheets/d/1eHaY18a8A9IcSdp1K8H6x8fbOy06t2VsZHhMHf-1x7Y/edit?usp=sharing"",""แผน!HJ55"")"),0)</f>
        <v>0</v>
      </c>
      <c r="J425" s="622">
        <f t="shared" ref="J425:J426" ca="1" si="321">J427+J429+J431</f>
        <v>0</v>
      </c>
      <c r="K425" s="264">
        <f t="shared" ca="1" si="320"/>
        <v>0</v>
      </c>
      <c r="L425" s="87"/>
      <c r="M425" s="87"/>
      <c r="N425" s="87"/>
      <c r="O425" s="87"/>
      <c r="P425" s="87"/>
      <c r="Q425" s="86"/>
      <c r="R425" s="87"/>
      <c r="S425" s="87"/>
      <c r="T425" s="87"/>
      <c r="U425" s="87"/>
    </row>
    <row r="426" spans="1:21" ht="19.5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IFERROR(__xludf.DUMMYFUNCTION("IMPORTRANGE(""https://docs.google.com/spreadsheets/d/1eHaY18a8A9IcSdp1K8H6x8fbOy06t2VsZHhMHf-1x7Y/edit?usp=sharing"",""แผน!HK55"")"),0)</f>
        <v>0</v>
      </c>
      <c r="J426" s="622">
        <f t="shared" ca="1" si="321"/>
        <v>0</v>
      </c>
      <c r="K426" s="264">
        <f t="shared" ca="1" si="320"/>
        <v>0</v>
      </c>
      <c r="L426" s="87"/>
      <c r="M426" s="87"/>
      <c r="N426" s="87"/>
      <c r="O426" s="87"/>
      <c r="P426" s="87"/>
      <c r="Q426" s="86"/>
      <c r="R426" s="87"/>
      <c r="S426" s="87"/>
      <c r="T426" s="87"/>
      <c r="U426" s="87"/>
    </row>
    <row r="427" spans="1:21" ht="18.75" x14ac:dyDescent="0.25">
      <c r="A427" s="550"/>
      <c r="B427" s="269"/>
      <c r="C427" s="269"/>
      <c r="D427" s="589" t="s">
        <v>162</v>
      </c>
      <c r="E427" s="269"/>
      <c r="F427" s="269"/>
      <c r="G427" s="312"/>
      <c r="H427" s="268" t="s">
        <v>46</v>
      </c>
      <c r="I427" s="263"/>
      <c r="J427" s="623">
        <f ca="1">IFERROR(__xludf.DUMMYFUNCTION("IMPORTRANGE(""https://docs.google.com/spreadsheets/d/13wPX838HrBrQMCywv1BsuMkt4PEKTChp52zj44s2izQ/edit?usp=sharing"",""กาญจนบุรี!J426"")+IMPORTRANGE(""https://docs.google.com/spreadsheets/d/1ddFKvqj1W1NEiWytbGlB1zMx_ykJDVtmfEQ-6-lIUBA/edit?usp=sharing"","&amp;"""จันทบุรี!J426"")+IMPORTRANGE(""https://docs.google.com/spreadsheets/d/1T1PQvRODqOBZk8BRht_U031fIS1beLA0Ub2CEytj2q0/edit?usp=sharing"",""ฉะเชิงเทรา!J426"")+IMPORTRANGE(""https://docs.google.com/spreadsheets/d/11tr1B-Bhyr79v2bkwVh5h_fR-PStkgjlZtkrZpYurG0/"&amp;"edit?usp=sharing"",""ชลบุรี!J426"")+IMPORTRANGE(""https://docs.google.com/spreadsheets/d/1hh-FVnSX0vozXhGluamEcS54Dw9_zqW0N7qJUWgJ0Sw/edit?usp=sharing"",""ชัยนาท!J426"")+IMPORTRANGE(""https://docs.google.com/spreadsheets/d/1jkqa6GXxSacMcY1eN8AHjMNJ_7dDXMJ"&amp;"VRLDlaFSOdPM/edit?usp=sharing"",""ตราด!J426"")+IMPORTRANGE(""https://docs.google.com/spreadsheets/d/18hSgUJ3VwClqi_qtULmmW3cLr0oe3OKaSYoKzdpTsYQ/edit?usp=sharing"",""นครนายก!J426"")+IMPORTRANGE(""https://docs.google.com/spreadsheets/d/1YTZo6WM2dQ6Ix6FSdnL"&amp;"5P7uVnVKu40sxZu975tgG10E/edit?usp=sharing"",""นครปฐม!J426"")+IMPORTRANGE(""https://docs.google.com/spreadsheets/d/1OYoGg4WDg5RIzwGeB10padOxJF9E_Vljuvvct_M7RDo/edit?usp=sharing"",""ปทุมธานี!J426"")+IMPORTRANGE(""https://docs.google.com/spreadsheets/d/1GbCI"&amp;"E4D4wk9FUozzqk7SxfDMxDVBwVmI5zcaVUSzKAc/edit?usp=sharing"",""ประจวบคีรีขันธ์!J426"")+IMPORTRANGE(""https://docs.google.com/spreadsheets/d/1vVf6wykvW_lAyu7Yo9L4hUTqHqIeP_qcVuxCtosJEbg/edit?usp=sharing"",""ปราจีนบุรี!J426"")+IMPORTRANGE(""https://docs.googl"&amp;"e.com/spreadsheets/d/1BIDqLLg5jk3v59G8NlR8rk5xfQDKne0sAvZHSj7TI6I/edit?usp=sharing"",""พระนครศรีอยุธยา!J426"")+IMPORTRANGE(""https://docs.google.com/spreadsheets/d/1YXvxf8Yu6_rV4hTBrwMqAcAnv6DfhUxh5emyM3CJp_w/edit?usp=sharing"",""เพชรบุรี!J426"")+IMPORTRA"&amp;"NGE(""https://docs.google.com/spreadsheets/d/19KBlQQs7uwvsao6t2n-KvW3Ax8J8uRRfZPq1zPbXgKc/edit?usp=sharing"",""ระยอง!J426"")+IMPORTRANGE(""https://docs.google.com/spreadsheets/d/1jQ6P4QcrGM89YfqcC_PxOHGCMq5ezhucwJd8ci-NHng/edit?usp=sharing"",""ราชบุรี!J42"&amp;"6"")+IMPORTRANGE(""https://docs.google.com/spreadsheets/d/1lufeA2cfFqM-elVq2hznhDzC6Pr7wkJ9ZG_sYNGCMCU/edit?usp=sharing"",""ลพบุรี!J426"")+IMPORTRANGE(""https://docs.google.com/spreadsheets/d/10oOiF7loTyfsTkbd4MpaIm0HQ9SwB7IYHdIUvt-U1Uc/edit?usp=sharing"""&amp;",""สระแก้ว!J426"")+IMPORTRANGE(""https://docs.google.com/spreadsheets/d/1xmPlrr1QbdSIKvl1dWUl9K4PjAfSL9oeMr_37QVzcxc/edit?usp=sharing"",""สระบุรี!J426"")+IMPORTRANGE(""https://docs.google.com/spreadsheets/d/1j51vR6CYVGhABJpv6tkstgok82RLpXieLzW1yOY5rHw/edi"&amp;"t?usp=sharing"",""สิงห์บุรี!J426"")+IMPORTRANGE(""https://docs.google.com/spreadsheets/d/1H1EalTWKUSzO4Z1-1CwzoDUaVffgrThEBe2sl74kKG0/edit?usp=sharing"",""สุพรรณบุรี!J426"")+IMPORTRANGE(""https://docs.google.com/spreadsheets/d/1BmIruG_sIrJLYao_Pdr7zVArWsf"&amp;"oBt2692TMi6x_854/edit?usp=sharing"",""อ่างทอง!J426"")"),0)</f>
        <v>0</v>
      </c>
      <c r="K427" s="87"/>
      <c r="L427" s="87"/>
      <c r="M427" s="87"/>
      <c r="N427" s="87"/>
      <c r="O427" s="87"/>
      <c r="P427" s="87"/>
      <c r="Q427" s="86"/>
      <c r="R427" s="87"/>
      <c r="S427" s="87"/>
      <c r="T427" s="87"/>
      <c r="U427" s="87"/>
    </row>
    <row r="428" spans="1:21" ht="18.75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623">
        <f ca="1">IFERROR(__xludf.DUMMYFUNCTION("IMPORTRANGE(""https://docs.google.com/spreadsheets/d/13wPX838HrBrQMCywv1BsuMkt4PEKTChp52zj44s2izQ/edit?usp=sharing"",""กาญจนบุรี!J427"")+IMPORTRANGE(""https://docs.google.com/spreadsheets/d/1ddFKvqj1W1NEiWytbGlB1zMx_ykJDVtmfEQ-6-lIUBA/edit?usp=sharing"","&amp;"""จันทบุรี!J427"")+IMPORTRANGE(""https://docs.google.com/spreadsheets/d/1T1PQvRODqOBZk8BRht_U031fIS1beLA0Ub2CEytj2q0/edit?usp=sharing"",""ฉะเชิงเทรา!J427"")+IMPORTRANGE(""https://docs.google.com/spreadsheets/d/11tr1B-Bhyr79v2bkwVh5h_fR-PStkgjlZtkrZpYurG0/"&amp;"edit?usp=sharing"",""ชลบุรี!J427"")+IMPORTRANGE(""https://docs.google.com/spreadsheets/d/1hh-FVnSX0vozXhGluamEcS54Dw9_zqW0N7qJUWgJ0Sw/edit?usp=sharing"",""ชัยนาท!J427"")+IMPORTRANGE(""https://docs.google.com/spreadsheets/d/1jkqa6GXxSacMcY1eN8AHjMNJ_7dDXMJ"&amp;"VRLDlaFSOdPM/edit?usp=sharing"",""ตราด!J427"")+IMPORTRANGE(""https://docs.google.com/spreadsheets/d/18hSgUJ3VwClqi_qtULmmW3cLr0oe3OKaSYoKzdpTsYQ/edit?usp=sharing"",""นครนายก!J427"")+IMPORTRANGE(""https://docs.google.com/spreadsheets/d/1YTZo6WM2dQ6Ix6FSdnL"&amp;"5P7uVnVKu40sxZu975tgG10E/edit?usp=sharing"",""นครปฐม!J427"")+IMPORTRANGE(""https://docs.google.com/spreadsheets/d/1OYoGg4WDg5RIzwGeB10padOxJF9E_Vljuvvct_M7RDo/edit?usp=sharing"",""ปทุมธานี!J427"")+IMPORTRANGE(""https://docs.google.com/spreadsheets/d/1GbCI"&amp;"E4D4wk9FUozzqk7SxfDMxDVBwVmI5zcaVUSzKAc/edit?usp=sharing"",""ประจวบคีรีขันธ์!J427"")+IMPORTRANGE(""https://docs.google.com/spreadsheets/d/1vVf6wykvW_lAyu7Yo9L4hUTqHqIeP_qcVuxCtosJEbg/edit?usp=sharing"",""ปราจีนบุรี!J427"")+IMPORTRANGE(""https://docs.googl"&amp;"e.com/spreadsheets/d/1BIDqLLg5jk3v59G8NlR8rk5xfQDKne0sAvZHSj7TI6I/edit?usp=sharing"",""พระนครศรีอยุธยา!J427"")+IMPORTRANGE(""https://docs.google.com/spreadsheets/d/1YXvxf8Yu6_rV4hTBrwMqAcAnv6DfhUxh5emyM3CJp_w/edit?usp=sharing"",""เพชรบุรี!J427"")+IMPORTRA"&amp;"NGE(""https://docs.google.com/spreadsheets/d/19KBlQQs7uwvsao6t2n-KvW3Ax8J8uRRfZPq1zPbXgKc/edit?usp=sharing"",""ระยอง!J427"")+IMPORTRANGE(""https://docs.google.com/spreadsheets/d/1jQ6P4QcrGM89YfqcC_PxOHGCMq5ezhucwJd8ci-NHng/edit?usp=sharing"",""ราชบุรี!J42"&amp;"7"")+IMPORTRANGE(""https://docs.google.com/spreadsheets/d/1lufeA2cfFqM-elVq2hznhDzC6Pr7wkJ9ZG_sYNGCMCU/edit?usp=sharing"",""ลพบุรี!J427"")+IMPORTRANGE(""https://docs.google.com/spreadsheets/d/10oOiF7loTyfsTkbd4MpaIm0HQ9SwB7IYHdIUvt-U1Uc/edit?usp=sharing"""&amp;",""สระแก้ว!J427"")+IMPORTRANGE(""https://docs.google.com/spreadsheets/d/1xmPlrr1QbdSIKvl1dWUl9K4PjAfSL9oeMr_37QVzcxc/edit?usp=sharing"",""สระบุรี!J427"")+IMPORTRANGE(""https://docs.google.com/spreadsheets/d/1j51vR6CYVGhABJpv6tkstgok82RLpXieLzW1yOY5rHw/edi"&amp;"t?usp=sharing"",""สิงห์บุรี!J427"")+IMPORTRANGE(""https://docs.google.com/spreadsheets/d/1H1EalTWKUSzO4Z1-1CwzoDUaVffgrThEBe2sl74kKG0/edit?usp=sharing"",""สุพรรณบุรี!J427"")+IMPORTRANGE(""https://docs.google.com/spreadsheets/d/1BmIruG_sIrJLYao_Pdr7zVArWsf"&amp;"oBt2692TMi6x_854/edit?usp=sharing"",""อ่างทอง!J427"")"),0)</f>
        <v>0</v>
      </c>
      <c r="K428" s="87"/>
      <c r="L428" s="87"/>
      <c r="M428" s="87"/>
      <c r="N428" s="87"/>
      <c r="O428" s="87"/>
      <c r="P428" s="87"/>
      <c r="Q428" s="86"/>
      <c r="R428" s="87"/>
      <c r="S428" s="87"/>
      <c r="T428" s="87"/>
      <c r="U428" s="87"/>
    </row>
    <row r="429" spans="1:21" ht="18.75" x14ac:dyDescent="0.25">
      <c r="A429" s="550"/>
      <c r="B429" s="269"/>
      <c r="C429" s="269"/>
      <c r="D429" s="589" t="s">
        <v>163</v>
      </c>
      <c r="E429" s="269"/>
      <c r="F429" s="269"/>
      <c r="G429" s="312"/>
      <c r="H429" s="268" t="s">
        <v>46</v>
      </c>
      <c r="I429" s="263"/>
      <c r="J429" s="623">
        <f ca="1">IFERROR(__xludf.DUMMYFUNCTION("IMPORTRANGE(""https://docs.google.com/spreadsheets/d/13wPX838HrBrQMCywv1BsuMkt4PEKTChp52zj44s2izQ/edit?usp=sharing"",""กาญจนบุรี!J428"")+IMPORTRANGE(""https://docs.google.com/spreadsheets/d/1ddFKvqj1W1NEiWytbGlB1zMx_ykJDVtmfEQ-6-lIUBA/edit?usp=sharing"","&amp;"""จันทบุรี!J428"")+IMPORTRANGE(""https://docs.google.com/spreadsheets/d/1T1PQvRODqOBZk8BRht_U031fIS1beLA0Ub2CEytj2q0/edit?usp=sharing"",""ฉะเชิงเทรา!J428"")+IMPORTRANGE(""https://docs.google.com/spreadsheets/d/11tr1B-Bhyr79v2bkwVh5h_fR-PStkgjlZtkrZpYurG0/"&amp;"edit?usp=sharing"",""ชลบุรี!J428"")+IMPORTRANGE(""https://docs.google.com/spreadsheets/d/1hh-FVnSX0vozXhGluamEcS54Dw9_zqW0N7qJUWgJ0Sw/edit?usp=sharing"",""ชัยนาท!J428"")+IMPORTRANGE(""https://docs.google.com/spreadsheets/d/1jkqa6GXxSacMcY1eN8AHjMNJ_7dDXMJ"&amp;"VRLDlaFSOdPM/edit?usp=sharing"",""ตราด!J428"")+IMPORTRANGE(""https://docs.google.com/spreadsheets/d/18hSgUJ3VwClqi_qtULmmW3cLr0oe3OKaSYoKzdpTsYQ/edit?usp=sharing"",""นครนายก!J428"")+IMPORTRANGE(""https://docs.google.com/spreadsheets/d/1YTZo6WM2dQ6Ix6FSdnL"&amp;"5P7uVnVKu40sxZu975tgG10E/edit?usp=sharing"",""นครปฐม!J428"")+IMPORTRANGE(""https://docs.google.com/spreadsheets/d/1OYoGg4WDg5RIzwGeB10padOxJF9E_Vljuvvct_M7RDo/edit?usp=sharing"",""ปทุมธานี!J428"")+IMPORTRANGE(""https://docs.google.com/spreadsheets/d/1GbCI"&amp;"E4D4wk9FUozzqk7SxfDMxDVBwVmI5zcaVUSzKAc/edit?usp=sharing"",""ประจวบคีรีขันธ์!J428"")+IMPORTRANGE(""https://docs.google.com/spreadsheets/d/1vVf6wykvW_lAyu7Yo9L4hUTqHqIeP_qcVuxCtosJEbg/edit?usp=sharing"",""ปราจีนบุรี!J428"")+IMPORTRANGE(""https://docs.googl"&amp;"e.com/spreadsheets/d/1BIDqLLg5jk3v59G8NlR8rk5xfQDKne0sAvZHSj7TI6I/edit?usp=sharing"",""พระนครศรีอยุธยา!J428"")+IMPORTRANGE(""https://docs.google.com/spreadsheets/d/1YXvxf8Yu6_rV4hTBrwMqAcAnv6DfhUxh5emyM3CJp_w/edit?usp=sharing"",""เพชรบุรี!J428"")+IMPORTRA"&amp;"NGE(""https://docs.google.com/spreadsheets/d/19KBlQQs7uwvsao6t2n-KvW3Ax8J8uRRfZPq1zPbXgKc/edit?usp=sharing"",""ระยอง!J428"")+IMPORTRANGE(""https://docs.google.com/spreadsheets/d/1jQ6P4QcrGM89YfqcC_PxOHGCMq5ezhucwJd8ci-NHng/edit?usp=sharing"",""ราชบุรี!J42"&amp;"8"")+IMPORTRANGE(""https://docs.google.com/spreadsheets/d/1lufeA2cfFqM-elVq2hznhDzC6Pr7wkJ9ZG_sYNGCMCU/edit?usp=sharing"",""ลพบุรี!J428"")+IMPORTRANGE(""https://docs.google.com/spreadsheets/d/10oOiF7loTyfsTkbd4MpaIm0HQ9SwB7IYHdIUvt-U1Uc/edit?usp=sharing"""&amp;",""สระแก้ว!J428"")+IMPORTRANGE(""https://docs.google.com/spreadsheets/d/1xmPlrr1QbdSIKvl1dWUl9K4PjAfSL9oeMr_37QVzcxc/edit?usp=sharing"",""สระบุรี!J428"")+IMPORTRANGE(""https://docs.google.com/spreadsheets/d/1j51vR6CYVGhABJpv6tkstgok82RLpXieLzW1yOY5rHw/edi"&amp;"t?usp=sharing"",""สิงห์บุรี!J428"")+IMPORTRANGE(""https://docs.google.com/spreadsheets/d/1H1EalTWKUSzO4Z1-1CwzoDUaVffgrThEBe2sl74kKG0/edit?usp=sharing"",""สุพรรณบุรี!J428"")+IMPORTRANGE(""https://docs.google.com/spreadsheets/d/1BmIruG_sIrJLYao_Pdr7zVArWsf"&amp;"oBt2692TMi6x_854/edit?usp=sharing"",""อ่างทอง!J428"")"),0)</f>
        <v>0</v>
      </c>
      <c r="K429" s="87"/>
      <c r="L429" s="87"/>
      <c r="M429" s="87"/>
      <c r="N429" s="87"/>
      <c r="O429" s="87"/>
      <c r="P429" s="87"/>
      <c r="Q429" s="86"/>
      <c r="R429" s="87"/>
      <c r="S429" s="87"/>
      <c r="T429" s="87"/>
      <c r="U429" s="87"/>
    </row>
    <row r="430" spans="1:21" ht="18.75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623">
        <f ca="1">IFERROR(__xludf.DUMMYFUNCTION("IMPORTRANGE(""https://docs.google.com/spreadsheets/d/13wPX838HrBrQMCywv1BsuMkt4PEKTChp52zj44s2izQ/edit?usp=sharing"",""กาญจนบุรี!J429"")+IMPORTRANGE(""https://docs.google.com/spreadsheets/d/1ddFKvqj1W1NEiWytbGlB1zMx_ykJDVtmfEQ-6-lIUBA/edit?usp=sharing"","&amp;"""จันทบุรี!J429"")+IMPORTRANGE(""https://docs.google.com/spreadsheets/d/1T1PQvRODqOBZk8BRht_U031fIS1beLA0Ub2CEytj2q0/edit?usp=sharing"",""ฉะเชิงเทรา!J429"")+IMPORTRANGE(""https://docs.google.com/spreadsheets/d/11tr1B-Bhyr79v2bkwVh5h_fR-PStkgjlZtkrZpYurG0/"&amp;"edit?usp=sharing"",""ชลบุรี!J429"")+IMPORTRANGE(""https://docs.google.com/spreadsheets/d/1hh-FVnSX0vozXhGluamEcS54Dw9_zqW0N7qJUWgJ0Sw/edit?usp=sharing"",""ชัยนาท!J429"")+IMPORTRANGE(""https://docs.google.com/spreadsheets/d/1jkqa6GXxSacMcY1eN8AHjMNJ_7dDXMJ"&amp;"VRLDlaFSOdPM/edit?usp=sharing"",""ตราด!J429"")+IMPORTRANGE(""https://docs.google.com/spreadsheets/d/18hSgUJ3VwClqi_qtULmmW3cLr0oe3OKaSYoKzdpTsYQ/edit?usp=sharing"",""นครนายก!J429"")+IMPORTRANGE(""https://docs.google.com/spreadsheets/d/1YTZo6WM2dQ6Ix6FSdnL"&amp;"5P7uVnVKu40sxZu975tgG10E/edit?usp=sharing"",""นครปฐม!J429"")+IMPORTRANGE(""https://docs.google.com/spreadsheets/d/1OYoGg4WDg5RIzwGeB10padOxJF9E_Vljuvvct_M7RDo/edit?usp=sharing"",""ปทุมธานี!J429"")+IMPORTRANGE(""https://docs.google.com/spreadsheets/d/1GbCI"&amp;"E4D4wk9FUozzqk7SxfDMxDVBwVmI5zcaVUSzKAc/edit?usp=sharing"",""ประจวบคีรีขันธ์!J429"")+IMPORTRANGE(""https://docs.google.com/spreadsheets/d/1vVf6wykvW_lAyu7Yo9L4hUTqHqIeP_qcVuxCtosJEbg/edit?usp=sharing"",""ปราจีนบุรี!J429"")+IMPORTRANGE(""https://docs.googl"&amp;"e.com/spreadsheets/d/1BIDqLLg5jk3v59G8NlR8rk5xfQDKne0sAvZHSj7TI6I/edit?usp=sharing"",""พระนครศรีอยุธยา!J429"")+IMPORTRANGE(""https://docs.google.com/spreadsheets/d/1YXvxf8Yu6_rV4hTBrwMqAcAnv6DfhUxh5emyM3CJp_w/edit?usp=sharing"",""เพชรบุรี!J429"")+IMPORTRA"&amp;"NGE(""https://docs.google.com/spreadsheets/d/19KBlQQs7uwvsao6t2n-KvW3Ax8J8uRRfZPq1zPbXgKc/edit?usp=sharing"",""ระยอง!J429"")+IMPORTRANGE(""https://docs.google.com/spreadsheets/d/1jQ6P4QcrGM89YfqcC_PxOHGCMq5ezhucwJd8ci-NHng/edit?usp=sharing"",""ราชบุรี!J42"&amp;"9"")+IMPORTRANGE(""https://docs.google.com/spreadsheets/d/1lufeA2cfFqM-elVq2hznhDzC6Pr7wkJ9ZG_sYNGCMCU/edit?usp=sharing"",""ลพบุรี!J429"")+IMPORTRANGE(""https://docs.google.com/spreadsheets/d/10oOiF7loTyfsTkbd4MpaIm0HQ9SwB7IYHdIUvt-U1Uc/edit?usp=sharing"""&amp;",""สระแก้ว!J429"")+IMPORTRANGE(""https://docs.google.com/spreadsheets/d/1xmPlrr1QbdSIKvl1dWUl9K4PjAfSL9oeMr_37QVzcxc/edit?usp=sharing"",""สระบุรี!J429"")+IMPORTRANGE(""https://docs.google.com/spreadsheets/d/1j51vR6CYVGhABJpv6tkstgok82RLpXieLzW1yOY5rHw/edi"&amp;"t?usp=sharing"",""สิงห์บุรี!J429"")+IMPORTRANGE(""https://docs.google.com/spreadsheets/d/1H1EalTWKUSzO4Z1-1CwzoDUaVffgrThEBe2sl74kKG0/edit?usp=sharing"",""สุพรรณบุรี!J429"")+IMPORTRANGE(""https://docs.google.com/spreadsheets/d/1BmIruG_sIrJLYao_Pdr7zVArWsf"&amp;"oBt2692TMi6x_854/edit?usp=sharing"",""อ่างทอง!J429"")"),0)</f>
        <v>0</v>
      </c>
      <c r="K430" s="87"/>
      <c r="L430" s="87"/>
      <c r="M430" s="87"/>
      <c r="N430" s="87"/>
      <c r="O430" s="87"/>
      <c r="P430" s="87"/>
      <c r="Q430" s="86"/>
      <c r="R430" s="87"/>
      <c r="S430" s="87"/>
      <c r="T430" s="87"/>
      <c r="U430" s="87"/>
    </row>
    <row r="431" spans="1:21" ht="18.75" x14ac:dyDescent="0.25">
      <c r="A431" s="550"/>
      <c r="B431" s="269"/>
      <c r="C431" s="269"/>
      <c r="D431" s="589" t="s">
        <v>164</v>
      </c>
      <c r="E431" s="269"/>
      <c r="F431" s="269"/>
      <c r="G431" s="312"/>
      <c r="H431" s="268" t="s">
        <v>46</v>
      </c>
      <c r="I431" s="263"/>
      <c r="J431" s="623">
        <f ca="1">IFERROR(__xludf.DUMMYFUNCTION("IMPORTRANGE(""https://docs.google.com/spreadsheets/d/13wPX838HrBrQMCywv1BsuMkt4PEKTChp52zj44s2izQ/edit?usp=sharing"",""กาญจนบุรี!J430"")+IMPORTRANGE(""https://docs.google.com/spreadsheets/d/1ddFKvqj1W1NEiWytbGlB1zMx_ykJDVtmfEQ-6-lIUBA/edit?usp=sharing"","&amp;"""จันทบุรี!J430"")+IMPORTRANGE(""https://docs.google.com/spreadsheets/d/1T1PQvRODqOBZk8BRht_U031fIS1beLA0Ub2CEytj2q0/edit?usp=sharing"",""ฉะเชิงเทรา!J430"")+IMPORTRANGE(""https://docs.google.com/spreadsheets/d/11tr1B-Bhyr79v2bkwVh5h_fR-PStkgjlZtkrZpYurG0/"&amp;"edit?usp=sharing"",""ชลบุรี!J430"")+IMPORTRANGE(""https://docs.google.com/spreadsheets/d/1hh-FVnSX0vozXhGluamEcS54Dw9_zqW0N7qJUWgJ0Sw/edit?usp=sharing"",""ชัยนาท!J430"")+IMPORTRANGE(""https://docs.google.com/spreadsheets/d/1jkqa6GXxSacMcY1eN8AHjMNJ_7dDXMJ"&amp;"VRLDlaFSOdPM/edit?usp=sharing"",""ตราด!J430"")+IMPORTRANGE(""https://docs.google.com/spreadsheets/d/18hSgUJ3VwClqi_qtULmmW3cLr0oe3OKaSYoKzdpTsYQ/edit?usp=sharing"",""นครนายก!J430"")+IMPORTRANGE(""https://docs.google.com/spreadsheets/d/1YTZo6WM2dQ6Ix6FSdnL"&amp;"5P7uVnVKu40sxZu975tgG10E/edit?usp=sharing"",""นครปฐม!J430"")+IMPORTRANGE(""https://docs.google.com/spreadsheets/d/1OYoGg4WDg5RIzwGeB10padOxJF9E_Vljuvvct_M7RDo/edit?usp=sharing"",""ปทุมธานี!J430"")+IMPORTRANGE(""https://docs.google.com/spreadsheets/d/1GbCI"&amp;"E4D4wk9FUozzqk7SxfDMxDVBwVmI5zcaVUSzKAc/edit?usp=sharing"",""ประจวบคีรีขันธ์!J430"")+IMPORTRANGE(""https://docs.google.com/spreadsheets/d/1vVf6wykvW_lAyu7Yo9L4hUTqHqIeP_qcVuxCtosJEbg/edit?usp=sharing"",""ปราจีนบุรี!J430"")+IMPORTRANGE(""https://docs.googl"&amp;"e.com/spreadsheets/d/1BIDqLLg5jk3v59G8NlR8rk5xfQDKne0sAvZHSj7TI6I/edit?usp=sharing"",""พระนครศรีอยุธยา!J430"")+IMPORTRANGE(""https://docs.google.com/spreadsheets/d/1YXvxf8Yu6_rV4hTBrwMqAcAnv6DfhUxh5emyM3CJp_w/edit?usp=sharing"",""เพชรบุรี!J430"")+IMPORTRA"&amp;"NGE(""https://docs.google.com/spreadsheets/d/19KBlQQs7uwvsao6t2n-KvW3Ax8J8uRRfZPq1zPbXgKc/edit?usp=sharing"",""ระยอง!J430"")+IMPORTRANGE(""https://docs.google.com/spreadsheets/d/1jQ6P4QcrGM89YfqcC_PxOHGCMq5ezhucwJd8ci-NHng/edit?usp=sharing"",""ราชบุรี!J43"&amp;"0"")+IMPORTRANGE(""https://docs.google.com/spreadsheets/d/1lufeA2cfFqM-elVq2hznhDzC6Pr7wkJ9ZG_sYNGCMCU/edit?usp=sharing"",""ลพบุรี!J430"")+IMPORTRANGE(""https://docs.google.com/spreadsheets/d/10oOiF7loTyfsTkbd4MpaIm0HQ9SwB7IYHdIUvt-U1Uc/edit?usp=sharing"""&amp;",""สระแก้ว!J430"")+IMPORTRANGE(""https://docs.google.com/spreadsheets/d/1xmPlrr1QbdSIKvl1dWUl9K4PjAfSL9oeMr_37QVzcxc/edit?usp=sharing"",""สระบุรี!J430"")+IMPORTRANGE(""https://docs.google.com/spreadsheets/d/1j51vR6CYVGhABJpv6tkstgok82RLpXieLzW1yOY5rHw/edi"&amp;"t?usp=sharing"",""สิงห์บุรี!J430"")+IMPORTRANGE(""https://docs.google.com/spreadsheets/d/1H1EalTWKUSzO4Z1-1CwzoDUaVffgrThEBe2sl74kKG0/edit?usp=sharing"",""สุพรรณบุรี!J430"")+IMPORTRANGE(""https://docs.google.com/spreadsheets/d/1BmIruG_sIrJLYao_Pdr7zVArWsf"&amp;"oBt2692TMi6x_854/edit?usp=sharing"",""อ่างทอง!J430"")"),0)</f>
        <v>0</v>
      </c>
      <c r="K431" s="87"/>
      <c r="L431" s="87"/>
      <c r="M431" s="87"/>
      <c r="N431" s="87"/>
      <c r="O431" s="87"/>
      <c r="P431" s="87"/>
      <c r="Q431" s="86"/>
      <c r="R431" s="87"/>
      <c r="S431" s="87"/>
      <c r="T431" s="87"/>
      <c r="U431" s="87"/>
    </row>
    <row r="432" spans="1:21" ht="18.75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623">
        <f ca="1">IFERROR(__xludf.DUMMYFUNCTION("IMPORTRANGE(""https://docs.google.com/spreadsheets/d/13wPX838HrBrQMCywv1BsuMkt4PEKTChp52zj44s2izQ/edit?usp=sharing"",""กาญจนบุรี!J431"")+IMPORTRANGE(""https://docs.google.com/spreadsheets/d/1ddFKvqj1W1NEiWytbGlB1zMx_ykJDVtmfEQ-6-lIUBA/edit?usp=sharing"","&amp;"""จันทบุรี!J431"")+IMPORTRANGE(""https://docs.google.com/spreadsheets/d/1T1PQvRODqOBZk8BRht_U031fIS1beLA0Ub2CEytj2q0/edit?usp=sharing"",""ฉะเชิงเทรา!J431"")+IMPORTRANGE(""https://docs.google.com/spreadsheets/d/11tr1B-Bhyr79v2bkwVh5h_fR-PStkgjlZtkrZpYurG0/"&amp;"edit?usp=sharing"",""ชลบุรี!J431"")+IMPORTRANGE(""https://docs.google.com/spreadsheets/d/1hh-FVnSX0vozXhGluamEcS54Dw9_zqW0N7qJUWgJ0Sw/edit?usp=sharing"",""ชัยนาท!J431"")+IMPORTRANGE(""https://docs.google.com/spreadsheets/d/1jkqa6GXxSacMcY1eN8AHjMNJ_7dDXMJ"&amp;"VRLDlaFSOdPM/edit?usp=sharing"",""ตราด!J431"")+IMPORTRANGE(""https://docs.google.com/spreadsheets/d/18hSgUJ3VwClqi_qtULmmW3cLr0oe3OKaSYoKzdpTsYQ/edit?usp=sharing"",""นครนายก!J431"")+IMPORTRANGE(""https://docs.google.com/spreadsheets/d/1YTZo6WM2dQ6Ix6FSdnL"&amp;"5P7uVnVKu40sxZu975tgG10E/edit?usp=sharing"",""นครปฐม!J431"")+IMPORTRANGE(""https://docs.google.com/spreadsheets/d/1OYoGg4WDg5RIzwGeB10padOxJF9E_Vljuvvct_M7RDo/edit?usp=sharing"",""ปทุมธานี!J431"")+IMPORTRANGE(""https://docs.google.com/spreadsheets/d/1GbCI"&amp;"E4D4wk9FUozzqk7SxfDMxDVBwVmI5zcaVUSzKAc/edit?usp=sharing"",""ประจวบคีรีขันธ์!J431"")+IMPORTRANGE(""https://docs.google.com/spreadsheets/d/1vVf6wykvW_lAyu7Yo9L4hUTqHqIeP_qcVuxCtosJEbg/edit?usp=sharing"",""ปราจีนบุรี!J431"")+IMPORTRANGE(""https://docs.googl"&amp;"e.com/spreadsheets/d/1BIDqLLg5jk3v59G8NlR8rk5xfQDKne0sAvZHSj7TI6I/edit?usp=sharing"",""พระนครศรีอยุธยา!J431"")+IMPORTRANGE(""https://docs.google.com/spreadsheets/d/1YXvxf8Yu6_rV4hTBrwMqAcAnv6DfhUxh5emyM3CJp_w/edit?usp=sharing"",""เพชรบุรี!J431"")+IMPORTRA"&amp;"NGE(""https://docs.google.com/spreadsheets/d/19KBlQQs7uwvsao6t2n-KvW3Ax8J8uRRfZPq1zPbXgKc/edit?usp=sharing"",""ระยอง!J431"")+IMPORTRANGE(""https://docs.google.com/spreadsheets/d/1jQ6P4QcrGM89YfqcC_PxOHGCMq5ezhucwJd8ci-NHng/edit?usp=sharing"",""ราชบุรี!J43"&amp;"1"")+IMPORTRANGE(""https://docs.google.com/spreadsheets/d/1lufeA2cfFqM-elVq2hznhDzC6Pr7wkJ9ZG_sYNGCMCU/edit?usp=sharing"",""ลพบุรี!J431"")+IMPORTRANGE(""https://docs.google.com/spreadsheets/d/10oOiF7loTyfsTkbd4MpaIm0HQ9SwB7IYHdIUvt-U1Uc/edit?usp=sharing"""&amp;",""สระแก้ว!J431"")+IMPORTRANGE(""https://docs.google.com/spreadsheets/d/1xmPlrr1QbdSIKvl1dWUl9K4PjAfSL9oeMr_37QVzcxc/edit?usp=sharing"",""สระบุรี!J431"")+IMPORTRANGE(""https://docs.google.com/spreadsheets/d/1j51vR6CYVGhABJpv6tkstgok82RLpXieLzW1yOY5rHw/edi"&amp;"t?usp=sharing"",""สิงห์บุรี!J431"")+IMPORTRANGE(""https://docs.google.com/spreadsheets/d/1H1EalTWKUSzO4Z1-1CwzoDUaVffgrThEBe2sl74kKG0/edit?usp=sharing"",""สุพรรณบุรี!J431"")+IMPORTRANGE(""https://docs.google.com/spreadsheets/d/1BmIruG_sIrJLYao_Pdr7zVArWsf"&amp;"oBt2692TMi6x_854/edit?usp=sharing"",""อ่างทอง!J431"")"),0)</f>
        <v>0</v>
      </c>
      <c r="K432" s="87"/>
      <c r="L432" s="87"/>
      <c r="M432" s="87"/>
      <c r="N432" s="87"/>
      <c r="O432" s="87"/>
      <c r="P432" s="87"/>
      <c r="Q432" s="86"/>
      <c r="R432" s="87"/>
      <c r="S432" s="87"/>
      <c r="T432" s="87"/>
      <c r="U432" s="87"/>
    </row>
    <row r="433" spans="1:21" ht="19.5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IFERROR(__xludf.DUMMYFUNCTION("IMPORTRANGE(""https://docs.google.com/spreadsheets/d/1eHaY18a8A9IcSdp1K8H6x8fbOy06t2VsZHhMHf-1x7Y/edit?usp=sharing"",""แผน!HJ55"")"),0)</f>
        <v>0</v>
      </c>
      <c r="J433" s="622">
        <f t="shared" ref="J433:J434" ca="1" si="322">J435+J437+J439</f>
        <v>0</v>
      </c>
      <c r="K433" s="264">
        <f t="shared" ref="K433:K434" ca="1" si="323">IF(I433&gt;0,J433*100/I433,0)</f>
        <v>0</v>
      </c>
      <c r="L433" s="87"/>
      <c r="M433" s="87"/>
      <c r="N433" s="87"/>
      <c r="O433" s="87"/>
      <c r="P433" s="87"/>
      <c r="Q433" s="86"/>
      <c r="R433" s="87"/>
      <c r="S433" s="87"/>
      <c r="T433" s="87"/>
      <c r="U433" s="87"/>
    </row>
    <row r="434" spans="1:21" ht="19.5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IFERROR(__xludf.DUMMYFUNCTION("IMPORTRANGE(""https://docs.google.com/spreadsheets/d/1eHaY18a8A9IcSdp1K8H6x8fbOy06t2VsZHhMHf-1x7Y/edit?usp=sharing"",""แผน!HK55"")"),0)</f>
        <v>0</v>
      </c>
      <c r="J434" s="622">
        <f t="shared" ca="1" si="322"/>
        <v>0</v>
      </c>
      <c r="K434" s="264">
        <f t="shared" ca="1" si="323"/>
        <v>0</v>
      </c>
      <c r="L434" s="87"/>
      <c r="M434" s="87"/>
      <c r="N434" s="87"/>
      <c r="O434" s="87"/>
      <c r="P434" s="87"/>
      <c r="Q434" s="86"/>
      <c r="R434" s="87"/>
      <c r="S434" s="87"/>
      <c r="T434" s="87"/>
      <c r="U434" s="87"/>
    </row>
    <row r="435" spans="1:21" ht="18.75" x14ac:dyDescent="0.25">
      <c r="A435" s="550"/>
      <c r="B435" s="269"/>
      <c r="C435" s="269"/>
      <c r="D435" s="589" t="s">
        <v>166</v>
      </c>
      <c r="E435" s="269"/>
      <c r="F435" s="269"/>
      <c r="G435" s="312"/>
      <c r="H435" s="268" t="s">
        <v>46</v>
      </c>
      <c r="I435" s="263"/>
      <c r="J435" s="623">
        <f ca="1">IFERROR(__xludf.DUMMYFUNCTION("IMPORTRANGE(""https://docs.google.com/spreadsheets/d/13wPX838HrBrQMCywv1BsuMkt4PEKTChp52zj44s2izQ/edit?usp=sharing"",""กาญจนบุรี!J434"")+IMPORTRANGE(""https://docs.google.com/spreadsheets/d/1ddFKvqj1W1NEiWytbGlB1zMx_ykJDVtmfEQ-6-lIUBA/edit?usp=sharing"","&amp;"""จันทบุรี!J434"")+IMPORTRANGE(""https://docs.google.com/spreadsheets/d/1T1PQvRODqOBZk8BRht_U031fIS1beLA0Ub2CEytj2q0/edit?usp=sharing"",""ฉะเชิงเทรา!J434"")+IMPORTRANGE(""https://docs.google.com/spreadsheets/d/11tr1B-Bhyr79v2bkwVh5h_fR-PStkgjlZtkrZpYurG0/"&amp;"edit?usp=sharing"",""ชลบุรี!J434"")+IMPORTRANGE(""https://docs.google.com/spreadsheets/d/1hh-FVnSX0vozXhGluamEcS54Dw9_zqW0N7qJUWgJ0Sw/edit?usp=sharing"",""ชัยนาท!J434"")+IMPORTRANGE(""https://docs.google.com/spreadsheets/d/1jkqa6GXxSacMcY1eN8AHjMNJ_7dDXMJ"&amp;"VRLDlaFSOdPM/edit?usp=sharing"",""ตราด!J434"")+IMPORTRANGE(""https://docs.google.com/spreadsheets/d/18hSgUJ3VwClqi_qtULmmW3cLr0oe3OKaSYoKzdpTsYQ/edit?usp=sharing"",""นครนายก!J434"")+IMPORTRANGE(""https://docs.google.com/spreadsheets/d/1YTZo6WM2dQ6Ix6FSdnL"&amp;"5P7uVnVKu40sxZu975tgG10E/edit?usp=sharing"",""นครปฐม!J434"")+IMPORTRANGE(""https://docs.google.com/spreadsheets/d/1OYoGg4WDg5RIzwGeB10padOxJF9E_Vljuvvct_M7RDo/edit?usp=sharing"",""ปทุมธานี!J434"")+IMPORTRANGE(""https://docs.google.com/spreadsheets/d/1GbCI"&amp;"E4D4wk9FUozzqk7SxfDMxDVBwVmI5zcaVUSzKAc/edit?usp=sharing"",""ประจวบคีรีขันธ์!J434"")+IMPORTRANGE(""https://docs.google.com/spreadsheets/d/1vVf6wykvW_lAyu7Yo9L4hUTqHqIeP_qcVuxCtosJEbg/edit?usp=sharing"",""ปราจีนบุรี!J434"")+IMPORTRANGE(""https://docs.googl"&amp;"e.com/spreadsheets/d/1BIDqLLg5jk3v59G8NlR8rk5xfQDKne0sAvZHSj7TI6I/edit?usp=sharing"",""พระนครศรีอยุธยา!J434"")+IMPORTRANGE(""https://docs.google.com/spreadsheets/d/1YXvxf8Yu6_rV4hTBrwMqAcAnv6DfhUxh5emyM3CJp_w/edit?usp=sharing"",""เพชรบุรี!J434"")+IMPORTRA"&amp;"NGE(""https://docs.google.com/spreadsheets/d/19KBlQQs7uwvsao6t2n-KvW3Ax8J8uRRfZPq1zPbXgKc/edit?usp=sharing"",""ระยอง!J434"")+IMPORTRANGE(""https://docs.google.com/spreadsheets/d/1jQ6P4QcrGM89YfqcC_PxOHGCMq5ezhucwJd8ci-NHng/edit?usp=sharing"",""ราชบุรี!J43"&amp;"4"")+IMPORTRANGE(""https://docs.google.com/spreadsheets/d/1lufeA2cfFqM-elVq2hznhDzC6Pr7wkJ9ZG_sYNGCMCU/edit?usp=sharing"",""ลพบุรี!J434"")+IMPORTRANGE(""https://docs.google.com/spreadsheets/d/10oOiF7loTyfsTkbd4MpaIm0HQ9SwB7IYHdIUvt-U1Uc/edit?usp=sharing"""&amp;",""สระแก้ว!J434"")+IMPORTRANGE(""https://docs.google.com/spreadsheets/d/1xmPlrr1QbdSIKvl1dWUl9K4PjAfSL9oeMr_37QVzcxc/edit?usp=sharing"",""สระบุรี!J434"")+IMPORTRANGE(""https://docs.google.com/spreadsheets/d/1j51vR6CYVGhABJpv6tkstgok82RLpXieLzW1yOY5rHw/edi"&amp;"t?usp=sharing"",""สิงห์บุรี!J434"")+IMPORTRANGE(""https://docs.google.com/spreadsheets/d/1H1EalTWKUSzO4Z1-1CwzoDUaVffgrThEBe2sl74kKG0/edit?usp=sharing"",""สุพรรณบุรี!J434"")+IMPORTRANGE(""https://docs.google.com/spreadsheets/d/1BmIruG_sIrJLYao_Pdr7zVArWsf"&amp;"oBt2692TMi6x_854/edit?usp=sharing"",""อ่างทอง!J434"")"),0)</f>
        <v>0</v>
      </c>
      <c r="K435" s="87"/>
      <c r="L435" s="87"/>
      <c r="M435" s="87"/>
      <c r="N435" s="87"/>
      <c r="O435" s="87"/>
      <c r="P435" s="87"/>
      <c r="Q435" s="86"/>
      <c r="R435" s="87"/>
      <c r="S435" s="87"/>
      <c r="T435" s="87"/>
      <c r="U435" s="87"/>
    </row>
    <row r="436" spans="1:21" ht="18.75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623">
        <f ca="1">IFERROR(__xludf.DUMMYFUNCTION("IMPORTRANGE(""https://docs.google.com/spreadsheets/d/13wPX838HrBrQMCywv1BsuMkt4PEKTChp52zj44s2izQ/edit?usp=sharing"",""กาญจนบุรี!J435"")+IMPORTRANGE(""https://docs.google.com/spreadsheets/d/1ddFKvqj1W1NEiWytbGlB1zMx_ykJDVtmfEQ-6-lIUBA/edit?usp=sharing"","&amp;"""จันทบุรี!J435"")+IMPORTRANGE(""https://docs.google.com/spreadsheets/d/1T1PQvRODqOBZk8BRht_U031fIS1beLA0Ub2CEytj2q0/edit?usp=sharing"",""ฉะเชิงเทรา!J435"")+IMPORTRANGE(""https://docs.google.com/spreadsheets/d/11tr1B-Bhyr79v2bkwVh5h_fR-PStkgjlZtkrZpYurG0/"&amp;"edit?usp=sharing"",""ชลบุรี!J435"")+IMPORTRANGE(""https://docs.google.com/spreadsheets/d/1hh-FVnSX0vozXhGluamEcS54Dw9_zqW0N7qJUWgJ0Sw/edit?usp=sharing"",""ชัยนาท!J435"")+IMPORTRANGE(""https://docs.google.com/spreadsheets/d/1jkqa6GXxSacMcY1eN8AHjMNJ_7dDXMJ"&amp;"VRLDlaFSOdPM/edit?usp=sharing"",""ตราด!J435"")+IMPORTRANGE(""https://docs.google.com/spreadsheets/d/18hSgUJ3VwClqi_qtULmmW3cLr0oe3OKaSYoKzdpTsYQ/edit?usp=sharing"",""นครนายก!J435"")+IMPORTRANGE(""https://docs.google.com/spreadsheets/d/1YTZo6WM2dQ6Ix6FSdnL"&amp;"5P7uVnVKu40sxZu975tgG10E/edit?usp=sharing"",""นครปฐม!J435"")+IMPORTRANGE(""https://docs.google.com/spreadsheets/d/1OYoGg4WDg5RIzwGeB10padOxJF9E_Vljuvvct_M7RDo/edit?usp=sharing"",""ปทุมธานี!J435"")+IMPORTRANGE(""https://docs.google.com/spreadsheets/d/1GbCI"&amp;"E4D4wk9FUozzqk7SxfDMxDVBwVmI5zcaVUSzKAc/edit?usp=sharing"",""ประจวบคีรีขันธ์!J435"")+IMPORTRANGE(""https://docs.google.com/spreadsheets/d/1vVf6wykvW_lAyu7Yo9L4hUTqHqIeP_qcVuxCtosJEbg/edit?usp=sharing"",""ปราจีนบุรี!J435"")+IMPORTRANGE(""https://docs.googl"&amp;"e.com/spreadsheets/d/1BIDqLLg5jk3v59G8NlR8rk5xfQDKne0sAvZHSj7TI6I/edit?usp=sharing"",""พระนครศรีอยุธยา!J435"")+IMPORTRANGE(""https://docs.google.com/spreadsheets/d/1YXvxf8Yu6_rV4hTBrwMqAcAnv6DfhUxh5emyM3CJp_w/edit?usp=sharing"",""เพชรบุรี!J435"")+IMPORTRA"&amp;"NGE(""https://docs.google.com/spreadsheets/d/19KBlQQs7uwvsao6t2n-KvW3Ax8J8uRRfZPq1zPbXgKc/edit?usp=sharing"",""ระยอง!J435"")+IMPORTRANGE(""https://docs.google.com/spreadsheets/d/1jQ6P4QcrGM89YfqcC_PxOHGCMq5ezhucwJd8ci-NHng/edit?usp=sharing"",""ราชบุรี!J43"&amp;"5"")+IMPORTRANGE(""https://docs.google.com/spreadsheets/d/1lufeA2cfFqM-elVq2hznhDzC6Pr7wkJ9ZG_sYNGCMCU/edit?usp=sharing"",""ลพบุรี!J435"")+IMPORTRANGE(""https://docs.google.com/spreadsheets/d/10oOiF7loTyfsTkbd4MpaIm0HQ9SwB7IYHdIUvt-U1Uc/edit?usp=sharing"""&amp;",""สระแก้ว!J435"")+IMPORTRANGE(""https://docs.google.com/spreadsheets/d/1xmPlrr1QbdSIKvl1dWUl9K4PjAfSL9oeMr_37QVzcxc/edit?usp=sharing"",""สระบุรี!J435"")+IMPORTRANGE(""https://docs.google.com/spreadsheets/d/1j51vR6CYVGhABJpv6tkstgok82RLpXieLzW1yOY5rHw/edi"&amp;"t?usp=sharing"",""สิงห์บุรี!J435"")+IMPORTRANGE(""https://docs.google.com/spreadsheets/d/1H1EalTWKUSzO4Z1-1CwzoDUaVffgrThEBe2sl74kKG0/edit?usp=sharing"",""สุพรรณบุรี!J435"")+IMPORTRANGE(""https://docs.google.com/spreadsheets/d/1BmIruG_sIrJLYao_Pdr7zVArWsf"&amp;"oBt2692TMi6x_854/edit?usp=sharing"",""อ่างทอง!J435"")"),0)</f>
        <v>0</v>
      </c>
      <c r="K436" s="87"/>
      <c r="L436" s="87"/>
      <c r="M436" s="87"/>
      <c r="N436" s="87"/>
      <c r="O436" s="87"/>
      <c r="P436" s="87"/>
      <c r="Q436" s="86"/>
      <c r="R436" s="87"/>
      <c r="S436" s="87"/>
      <c r="T436" s="87"/>
      <c r="U436" s="87"/>
    </row>
    <row r="437" spans="1:21" ht="18.75" x14ac:dyDescent="0.25">
      <c r="A437" s="550"/>
      <c r="B437" s="269"/>
      <c r="C437" s="269"/>
      <c r="D437" s="589" t="s">
        <v>167</v>
      </c>
      <c r="E437" s="269"/>
      <c r="F437" s="269"/>
      <c r="G437" s="312"/>
      <c r="H437" s="268" t="s">
        <v>46</v>
      </c>
      <c r="I437" s="263"/>
      <c r="J437" s="623">
        <f ca="1">IFERROR(__xludf.DUMMYFUNCTION("IMPORTRANGE(""https://docs.google.com/spreadsheets/d/13wPX838HrBrQMCywv1BsuMkt4PEKTChp52zj44s2izQ/edit?usp=sharing"",""กาญจนบุรี!J436"")+IMPORTRANGE(""https://docs.google.com/spreadsheets/d/1ddFKvqj1W1NEiWytbGlB1zMx_ykJDVtmfEQ-6-lIUBA/edit?usp=sharing"","&amp;"""จันทบุรี!J436"")+IMPORTRANGE(""https://docs.google.com/spreadsheets/d/1T1PQvRODqOBZk8BRht_U031fIS1beLA0Ub2CEytj2q0/edit?usp=sharing"",""ฉะเชิงเทรา!J436"")+IMPORTRANGE(""https://docs.google.com/spreadsheets/d/11tr1B-Bhyr79v2bkwVh5h_fR-PStkgjlZtkrZpYurG0/"&amp;"edit?usp=sharing"",""ชลบุรี!J436"")+IMPORTRANGE(""https://docs.google.com/spreadsheets/d/1hh-FVnSX0vozXhGluamEcS54Dw9_zqW0N7qJUWgJ0Sw/edit?usp=sharing"",""ชัยนาท!J436"")+IMPORTRANGE(""https://docs.google.com/spreadsheets/d/1jkqa6GXxSacMcY1eN8AHjMNJ_7dDXMJ"&amp;"VRLDlaFSOdPM/edit?usp=sharing"",""ตราด!J436"")+IMPORTRANGE(""https://docs.google.com/spreadsheets/d/18hSgUJ3VwClqi_qtULmmW3cLr0oe3OKaSYoKzdpTsYQ/edit?usp=sharing"",""นครนายก!J436"")+IMPORTRANGE(""https://docs.google.com/spreadsheets/d/1YTZo6WM2dQ6Ix6FSdnL"&amp;"5P7uVnVKu40sxZu975tgG10E/edit?usp=sharing"",""นครปฐม!J436"")+IMPORTRANGE(""https://docs.google.com/spreadsheets/d/1OYoGg4WDg5RIzwGeB10padOxJF9E_Vljuvvct_M7RDo/edit?usp=sharing"",""ปทุมธานี!J436"")+IMPORTRANGE(""https://docs.google.com/spreadsheets/d/1GbCI"&amp;"E4D4wk9FUozzqk7SxfDMxDVBwVmI5zcaVUSzKAc/edit?usp=sharing"",""ประจวบคีรีขันธ์!J436"")+IMPORTRANGE(""https://docs.google.com/spreadsheets/d/1vVf6wykvW_lAyu7Yo9L4hUTqHqIeP_qcVuxCtosJEbg/edit?usp=sharing"",""ปราจีนบุรี!J436"")+IMPORTRANGE(""https://docs.googl"&amp;"e.com/spreadsheets/d/1BIDqLLg5jk3v59G8NlR8rk5xfQDKne0sAvZHSj7TI6I/edit?usp=sharing"",""พระนครศรีอยุธยา!J436"")+IMPORTRANGE(""https://docs.google.com/spreadsheets/d/1YXvxf8Yu6_rV4hTBrwMqAcAnv6DfhUxh5emyM3CJp_w/edit?usp=sharing"",""เพชรบุรี!J436"")+IMPORTRA"&amp;"NGE(""https://docs.google.com/spreadsheets/d/19KBlQQs7uwvsao6t2n-KvW3Ax8J8uRRfZPq1zPbXgKc/edit?usp=sharing"",""ระยอง!J436"")+IMPORTRANGE(""https://docs.google.com/spreadsheets/d/1jQ6P4QcrGM89YfqcC_PxOHGCMq5ezhucwJd8ci-NHng/edit?usp=sharing"",""ราชบุรี!J43"&amp;"6"")+IMPORTRANGE(""https://docs.google.com/spreadsheets/d/1lufeA2cfFqM-elVq2hznhDzC6Pr7wkJ9ZG_sYNGCMCU/edit?usp=sharing"",""ลพบุรี!J436"")+IMPORTRANGE(""https://docs.google.com/spreadsheets/d/10oOiF7loTyfsTkbd4MpaIm0HQ9SwB7IYHdIUvt-U1Uc/edit?usp=sharing"""&amp;",""สระแก้ว!J436"")+IMPORTRANGE(""https://docs.google.com/spreadsheets/d/1xmPlrr1QbdSIKvl1dWUl9K4PjAfSL9oeMr_37QVzcxc/edit?usp=sharing"",""สระบุรี!J436"")+IMPORTRANGE(""https://docs.google.com/spreadsheets/d/1j51vR6CYVGhABJpv6tkstgok82RLpXieLzW1yOY5rHw/edi"&amp;"t?usp=sharing"",""สิงห์บุรี!J436"")+IMPORTRANGE(""https://docs.google.com/spreadsheets/d/1H1EalTWKUSzO4Z1-1CwzoDUaVffgrThEBe2sl74kKG0/edit?usp=sharing"",""สุพรรณบุรี!J436"")+IMPORTRANGE(""https://docs.google.com/spreadsheets/d/1BmIruG_sIrJLYao_Pdr7zVArWsf"&amp;"oBt2692TMi6x_854/edit?usp=sharing"",""อ่างทอง!J436"")"),0)</f>
        <v>0</v>
      </c>
      <c r="K437" s="87"/>
      <c r="L437" s="87"/>
      <c r="M437" s="87"/>
      <c r="N437" s="87"/>
      <c r="O437" s="87"/>
      <c r="P437" s="87"/>
      <c r="Q437" s="86"/>
      <c r="R437" s="87"/>
      <c r="S437" s="87"/>
      <c r="T437" s="87"/>
      <c r="U437" s="87"/>
    </row>
    <row r="438" spans="1:21" ht="18.75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623">
        <f ca="1">IFERROR(__xludf.DUMMYFUNCTION("IMPORTRANGE(""https://docs.google.com/spreadsheets/d/13wPX838HrBrQMCywv1BsuMkt4PEKTChp52zj44s2izQ/edit?usp=sharing"",""กาญจนบุรี!J437"")+IMPORTRANGE(""https://docs.google.com/spreadsheets/d/1ddFKvqj1W1NEiWytbGlB1zMx_ykJDVtmfEQ-6-lIUBA/edit?usp=sharing"","&amp;"""จันทบุรี!J437"")+IMPORTRANGE(""https://docs.google.com/spreadsheets/d/1T1PQvRODqOBZk8BRht_U031fIS1beLA0Ub2CEytj2q0/edit?usp=sharing"",""ฉะเชิงเทรา!J437"")+IMPORTRANGE(""https://docs.google.com/spreadsheets/d/11tr1B-Bhyr79v2bkwVh5h_fR-PStkgjlZtkrZpYurG0/"&amp;"edit?usp=sharing"",""ชลบุรี!J437"")+IMPORTRANGE(""https://docs.google.com/spreadsheets/d/1hh-FVnSX0vozXhGluamEcS54Dw9_zqW0N7qJUWgJ0Sw/edit?usp=sharing"",""ชัยนาท!J437"")+IMPORTRANGE(""https://docs.google.com/spreadsheets/d/1jkqa6GXxSacMcY1eN8AHjMNJ_7dDXMJ"&amp;"VRLDlaFSOdPM/edit?usp=sharing"",""ตราด!J437"")+IMPORTRANGE(""https://docs.google.com/spreadsheets/d/18hSgUJ3VwClqi_qtULmmW3cLr0oe3OKaSYoKzdpTsYQ/edit?usp=sharing"",""นครนายก!J437"")+IMPORTRANGE(""https://docs.google.com/spreadsheets/d/1YTZo6WM2dQ6Ix6FSdnL"&amp;"5P7uVnVKu40sxZu975tgG10E/edit?usp=sharing"",""นครปฐม!J437"")+IMPORTRANGE(""https://docs.google.com/spreadsheets/d/1OYoGg4WDg5RIzwGeB10padOxJF9E_Vljuvvct_M7RDo/edit?usp=sharing"",""ปทุมธานี!J437"")+IMPORTRANGE(""https://docs.google.com/spreadsheets/d/1GbCI"&amp;"E4D4wk9FUozzqk7SxfDMxDVBwVmI5zcaVUSzKAc/edit?usp=sharing"",""ประจวบคีรีขันธ์!J437"")+IMPORTRANGE(""https://docs.google.com/spreadsheets/d/1vVf6wykvW_lAyu7Yo9L4hUTqHqIeP_qcVuxCtosJEbg/edit?usp=sharing"",""ปราจีนบุรี!J437"")+IMPORTRANGE(""https://docs.googl"&amp;"e.com/spreadsheets/d/1BIDqLLg5jk3v59G8NlR8rk5xfQDKne0sAvZHSj7TI6I/edit?usp=sharing"",""พระนครศรีอยุธยา!J437"")+IMPORTRANGE(""https://docs.google.com/spreadsheets/d/1YXvxf8Yu6_rV4hTBrwMqAcAnv6DfhUxh5emyM3CJp_w/edit?usp=sharing"",""เพชรบุรี!J437"")+IMPORTRA"&amp;"NGE(""https://docs.google.com/spreadsheets/d/19KBlQQs7uwvsao6t2n-KvW3Ax8J8uRRfZPq1zPbXgKc/edit?usp=sharing"",""ระยอง!J437"")+IMPORTRANGE(""https://docs.google.com/spreadsheets/d/1jQ6P4QcrGM89YfqcC_PxOHGCMq5ezhucwJd8ci-NHng/edit?usp=sharing"",""ราชบุรี!J43"&amp;"7"")+IMPORTRANGE(""https://docs.google.com/spreadsheets/d/1lufeA2cfFqM-elVq2hznhDzC6Pr7wkJ9ZG_sYNGCMCU/edit?usp=sharing"",""ลพบุรี!J437"")+IMPORTRANGE(""https://docs.google.com/spreadsheets/d/10oOiF7loTyfsTkbd4MpaIm0HQ9SwB7IYHdIUvt-U1Uc/edit?usp=sharing"""&amp;",""สระแก้ว!J437"")+IMPORTRANGE(""https://docs.google.com/spreadsheets/d/1xmPlrr1QbdSIKvl1dWUl9K4PjAfSL9oeMr_37QVzcxc/edit?usp=sharing"",""สระบุรี!J437"")+IMPORTRANGE(""https://docs.google.com/spreadsheets/d/1j51vR6CYVGhABJpv6tkstgok82RLpXieLzW1yOY5rHw/edi"&amp;"t?usp=sharing"",""สิงห์บุรี!J437"")+IMPORTRANGE(""https://docs.google.com/spreadsheets/d/1H1EalTWKUSzO4Z1-1CwzoDUaVffgrThEBe2sl74kKG0/edit?usp=sharing"",""สุพรรณบุรี!J437"")+IMPORTRANGE(""https://docs.google.com/spreadsheets/d/1BmIruG_sIrJLYao_Pdr7zVArWsf"&amp;"oBt2692TMi6x_854/edit?usp=sharing"",""อ่างทอง!J437"")"),0)</f>
        <v>0</v>
      </c>
      <c r="K438" s="87"/>
      <c r="L438" s="87"/>
      <c r="M438" s="87"/>
      <c r="N438" s="87"/>
      <c r="O438" s="87"/>
      <c r="P438" s="87"/>
      <c r="Q438" s="86"/>
      <c r="R438" s="87"/>
      <c r="S438" s="87"/>
      <c r="T438" s="87"/>
      <c r="U438" s="87"/>
    </row>
    <row r="439" spans="1:21" ht="18.75" x14ac:dyDescent="0.25">
      <c r="A439" s="550"/>
      <c r="B439" s="269"/>
      <c r="C439" s="269"/>
      <c r="D439" s="589" t="s">
        <v>168</v>
      </c>
      <c r="E439" s="269"/>
      <c r="F439" s="269"/>
      <c r="G439" s="312"/>
      <c r="H439" s="268" t="s">
        <v>46</v>
      </c>
      <c r="I439" s="263"/>
      <c r="J439" s="623">
        <f ca="1">IFERROR(__xludf.DUMMYFUNCTION("IMPORTRANGE(""https://docs.google.com/spreadsheets/d/13wPX838HrBrQMCywv1BsuMkt4PEKTChp52zj44s2izQ/edit?usp=sharing"",""กาญจนบุรี!J438"")+IMPORTRANGE(""https://docs.google.com/spreadsheets/d/1ddFKvqj1W1NEiWytbGlB1zMx_ykJDVtmfEQ-6-lIUBA/edit?usp=sharing"","&amp;"""จันทบุรี!J438"")+IMPORTRANGE(""https://docs.google.com/spreadsheets/d/1T1PQvRODqOBZk8BRht_U031fIS1beLA0Ub2CEytj2q0/edit?usp=sharing"",""ฉะเชิงเทรา!J438"")+IMPORTRANGE(""https://docs.google.com/spreadsheets/d/11tr1B-Bhyr79v2bkwVh5h_fR-PStkgjlZtkrZpYurG0/"&amp;"edit?usp=sharing"",""ชลบุรี!J438"")+IMPORTRANGE(""https://docs.google.com/spreadsheets/d/1hh-FVnSX0vozXhGluamEcS54Dw9_zqW0N7qJUWgJ0Sw/edit?usp=sharing"",""ชัยนาท!J438"")+IMPORTRANGE(""https://docs.google.com/spreadsheets/d/1jkqa6GXxSacMcY1eN8AHjMNJ_7dDXMJ"&amp;"VRLDlaFSOdPM/edit?usp=sharing"",""ตราด!J438"")+IMPORTRANGE(""https://docs.google.com/spreadsheets/d/18hSgUJ3VwClqi_qtULmmW3cLr0oe3OKaSYoKzdpTsYQ/edit?usp=sharing"",""นครนายก!J438"")+IMPORTRANGE(""https://docs.google.com/spreadsheets/d/1YTZo6WM2dQ6Ix6FSdnL"&amp;"5P7uVnVKu40sxZu975tgG10E/edit?usp=sharing"",""นครปฐม!J438"")+IMPORTRANGE(""https://docs.google.com/spreadsheets/d/1OYoGg4WDg5RIzwGeB10padOxJF9E_Vljuvvct_M7RDo/edit?usp=sharing"",""ปทุมธานี!J438"")+IMPORTRANGE(""https://docs.google.com/spreadsheets/d/1GbCI"&amp;"E4D4wk9FUozzqk7SxfDMxDVBwVmI5zcaVUSzKAc/edit?usp=sharing"",""ประจวบคีรีขันธ์!J438"")+IMPORTRANGE(""https://docs.google.com/spreadsheets/d/1vVf6wykvW_lAyu7Yo9L4hUTqHqIeP_qcVuxCtosJEbg/edit?usp=sharing"",""ปราจีนบุรี!J438"")+IMPORTRANGE(""https://docs.googl"&amp;"e.com/spreadsheets/d/1BIDqLLg5jk3v59G8NlR8rk5xfQDKne0sAvZHSj7TI6I/edit?usp=sharing"",""พระนครศรีอยุธยา!J438"")+IMPORTRANGE(""https://docs.google.com/spreadsheets/d/1YXvxf8Yu6_rV4hTBrwMqAcAnv6DfhUxh5emyM3CJp_w/edit?usp=sharing"",""เพชรบุรี!J438"")+IMPORTRA"&amp;"NGE(""https://docs.google.com/spreadsheets/d/19KBlQQs7uwvsao6t2n-KvW3Ax8J8uRRfZPq1zPbXgKc/edit?usp=sharing"",""ระยอง!J438"")+IMPORTRANGE(""https://docs.google.com/spreadsheets/d/1jQ6P4QcrGM89YfqcC_PxOHGCMq5ezhucwJd8ci-NHng/edit?usp=sharing"",""ราชบุรี!J43"&amp;"8"")+IMPORTRANGE(""https://docs.google.com/spreadsheets/d/1lufeA2cfFqM-elVq2hznhDzC6Pr7wkJ9ZG_sYNGCMCU/edit?usp=sharing"",""ลพบุรี!J438"")+IMPORTRANGE(""https://docs.google.com/spreadsheets/d/10oOiF7loTyfsTkbd4MpaIm0HQ9SwB7IYHdIUvt-U1Uc/edit?usp=sharing"""&amp;",""สระแก้ว!J438"")+IMPORTRANGE(""https://docs.google.com/spreadsheets/d/1xmPlrr1QbdSIKvl1dWUl9K4PjAfSL9oeMr_37QVzcxc/edit?usp=sharing"",""สระบุรี!J438"")+IMPORTRANGE(""https://docs.google.com/spreadsheets/d/1j51vR6CYVGhABJpv6tkstgok82RLpXieLzW1yOY5rHw/edi"&amp;"t?usp=sharing"",""สิงห์บุรี!J438"")+IMPORTRANGE(""https://docs.google.com/spreadsheets/d/1H1EalTWKUSzO4Z1-1CwzoDUaVffgrThEBe2sl74kKG0/edit?usp=sharing"",""สุพรรณบุรี!J438"")+IMPORTRANGE(""https://docs.google.com/spreadsheets/d/1BmIruG_sIrJLYao_Pdr7zVArWsf"&amp;"oBt2692TMi6x_854/edit?usp=sharing"",""อ่างทอง!J438"")"),0)</f>
        <v>0</v>
      </c>
      <c r="K439" s="87"/>
      <c r="L439" s="87"/>
      <c r="M439" s="87"/>
      <c r="N439" s="87"/>
      <c r="O439" s="87"/>
      <c r="P439" s="87"/>
      <c r="Q439" s="86"/>
      <c r="R439" s="87"/>
      <c r="S439" s="87"/>
      <c r="T439" s="87"/>
      <c r="U439" s="87"/>
    </row>
    <row r="440" spans="1:21" ht="18.75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623">
        <f ca="1">IFERROR(__xludf.DUMMYFUNCTION("IMPORTRANGE(""https://docs.google.com/spreadsheets/d/13wPX838HrBrQMCywv1BsuMkt4PEKTChp52zj44s2izQ/edit?usp=sharing"",""กาญจนบุรี!J439"")+IMPORTRANGE(""https://docs.google.com/spreadsheets/d/1ddFKvqj1W1NEiWytbGlB1zMx_ykJDVtmfEQ-6-lIUBA/edit?usp=sharing"","&amp;"""จันทบุรี!J439"")+IMPORTRANGE(""https://docs.google.com/spreadsheets/d/1T1PQvRODqOBZk8BRht_U031fIS1beLA0Ub2CEytj2q0/edit?usp=sharing"",""ฉะเชิงเทรา!J439"")+IMPORTRANGE(""https://docs.google.com/spreadsheets/d/11tr1B-Bhyr79v2bkwVh5h_fR-PStkgjlZtkrZpYurG0/"&amp;"edit?usp=sharing"",""ชลบุรี!J439"")+IMPORTRANGE(""https://docs.google.com/spreadsheets/d/1hh-FVnSX0vozXhGluamEcS54Dw9_zqW0N7qJUWgJ0Sw/edit?usp=sharing"",""ชัยนาท!J439"")+IMPORTRANGE(""https://docs.google.com/spreadsheets/d/1jkqa6GXxSacMcY1eN8AHjMNJ_7dDXMJ"&amp;"VRLDlaFSOdPM/edit?usp=sharing"",""ตราด!J439"")+IMPORTRANGE(""https://docs.google.com/spreadsheets/d/18hSgUJ3VwClqi_qtULmmW3cLr0oe3OKaSYoKzdpTsYQ/edit?usp=sharing"",""นครนายก!J439"")+IMPORTRANGE(""https://docs.google.com/spreadsheets/d/1YTZo6WM2dQ6Ix6FSdnL"&amp;"5P7uVnVKu40sxZu975tgG10E/edit?usp=sharing"",""นครปฐม!J439"")+IMPORTRANGE(""https://docs.google.com/spreadsheets/d/1OYoGg4WDg5RIzwGeB10padOxJF9E_Vljuvvct_M7RDo/edit?usp=sharing"",""ปทุมธานี!J439"")+IMPORTRANGE(""https://docs.google.com/spreadsheets/d/1GbCI"&amp;"E4D4wk9FUozzqk7SxfDMxDVBwVmI5zcaVUSzKAc/edit?usp=sharing"",""ประจวบคีรีขันธ์!J439"")+IMPORTRANGE(""https://docs.google.com/spreadsheets/d/1vVf6wykvW_lAyu7Yo9L4hUTqHqIeP_qcVuxCtosJEbg/edit?usp=sharing"",""ปราจีนบุรี!J439"")+IMPORTRANGE(""https://docs.googl"&amp;"e.com/spreadsheets/d/1BIDqLLg5jk3v59G8NlR8rk5xfQDKne0sAvZHSj7TI6I/edit?usp=sharing"",""พระนครศรีอยุธยา!J439"")+IMPORTRANGE(""https://docs.google.com/spreadsheets/d/1YXvxf8Yu6_rV4hTBrwMqAcAnv6DfhUxh5emyM3CJp_w/edit?usp=sharing"",""เพชรบุรี!J439"")+IMPORTRA"&amp;"NGE(""https://docs.google.com/spreadsheets/d/19KBlQQs7uwvsao6t2n-KvW3Ax8J8uRRfZPq1zPbXgKc/edit?usp=sharing"",""ระยอง!J439"")+IMPORTRANGE(""https://docs.google.com/spreadsheets/d/1jQ6P4QcrGM89YfqcC_PxOHGCMq5ezhucwJd8ci-NHng/edit?usp=sharing"",""ราชบุรี!J43"&amp;"9"")+IMPORTRANGE(""https://docs.google.com/spreadsheets/d/1lufeA2cfFqM-elVq2hznhDzC6Pr7wkJ9ZG_sYNGCMCU/edit?usp=sharing"",""ลพบุรี!J439"")+IMPORTRANGE(""https://docs.google.com/spreadsheets/d/10oOiF7loTyfsTkbd4MpaIm0HQ9SwB7IYHdIUvt-U1Uc/edit?usp=sharing"""&amp;",""สระแก้ว!J439"")+IMPORTRANGE(""https://docs.google.com/spreadsheets/d/1xmPlrr1QbdSIKvl1dWUl9K4PjAfSL9oeMr_37QVzcxc/edit?usp=sharing"",""สระบุรี!J439"")+IMPORTRANGE(""https://docs.google.com/spreadsheets/d/1j51vR6CYVGhABJpv6tkstgok82RLpXieLzW1yOY5rHw/edi"&amp;"t?usp=sharing"",""สิงห์บุรี!J439"")+IMPORTRANGE(""https://docs.google.com/spreadsheets/d/1H1EalTWKUSzO4Z1-1CwzoDUaVffgrThEBe2sl74kKG0/edit?usp=sharing"",""สุพรรณบุรี!J439"")+IMPORTRANGE(""https://docs.google.com/spreadsheets/d/1BmIruG_sIrJLYao_Pdr7zVArWsf"&amp;"oBt2692TMi6x_854/edit?usp=sharing"",""อ่างทอง!J439"")"),0)</f>
        <v>0</v>
      </c>
      <c r="K440" s="87"/>
      <c r="L440" s="87"/>
      <c r="M440" s="87"/>
      <c r="N440" s="87"/>
      <c r="O440" s="87"/>
      <c r="P440" s="87"/>
      <c r="Q440" s="86"/>
      <c r="R440" s="87"/>
      <c r="S440" s="87"/>
      <c r="T440" s="87"/>
      <c r="U440" s="87"/>
    </row>
    <row r="441" spans="1:21" ht="19.5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IFERROR(__xludf.DUMMYFUNCTION("IMPORTRANGE(""https://docs.google.com/spreadsheets/d/1eHaY18a8A9IcSdp1K8H6x8fbOy06t2VsZHhMHf-1x7Y/edit?usp=sharing"",""แผน!HJ55"")"),0)</f>
        <v>0</v>
      </c>
      <c r="J441" s="622">
        <f t="shared" ref="J441:J442" ca="1" si="324">J443+J445+J447+J453+J455</f>
        <v>0</v>
      </c>
      <c r="K441" s="264">
        <f t="shared" ref="K441:K442" ca="1" si="325">IF(I441&gt;0,J441*100/I441,0)</f>
        <v>0</v>
      </c>
      <c r="L441" s="87"/>
      <c r="M441" s="87"/>
      <c r="N441" s="87"/>
      <c r="O441" s="87"/>
      <c r="P441" s="87"/>
      <c r="Q441" s="86"/>
      <c r="R441" s="87"/>
      <c r="S441" s="87"/>
      <c r="T441" s="87"/>
      <c r="U441" s="87"/>
    </row>
    <row r="442" spans="1:21" ht="19.5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IFERROR(__xludf.DUMMYFUNCTION("IMPORTRANGE(""https://docs.google.com/spreadsheets/d/1eHaY18a8A9IcSdp1K8H6x8fbOy06t2VsZHhMHf-1x7Y/edit?usp=sharing"",""แผน!HK55"")"),0)</f>
        <v>0</v>
      </c>
      <c r="J442" s="622">
        <f t="shared" ca="1" si="324"/>
        <v>0</v>
      </c>
      <c r="K442" s="264">
        <f t="shared" ca="1" si="325"/>
        <v>0</v>
      </c>
      <c r="L442" s="87"/>
      <c r="M442" s="87"/>
      <c r="N442" s="87"/>
      <c r="O442" s="87"/>
      <c r="P442" s="87"/>
      <c r="Q442" s="86"/>
      <c r="R442" s="87"/>
      <c r="S442" s="87"/>
      <c r="T442" s="87"/>
      <c r="U442" s="87"/>
    </row>
    <row r="443" spans="1:21" ht="18.75" x14ac:dyDescent="0.25">
      <c r="A443" s="550"/>
      <c r="B443" s="269"/>
      <c r="C443" s="269"/>
      <c r="D443" s="589" t="s">
        <v>170</v>
      </c>
      <c r="E443" s="269"/>
      <c r="F443" s="269"/>
      <c r="G443" s="312"/>
      <c r="H443" s="268" t="s">
        <v>46</v>
      </c>
      <c r="I443" s="263"/>
      <c r="J443" s="623">
        <f ca="1">IFERROR(__xludf.DUMMYFUNCTION("IMPORTRANGE(""https://docs.google.com/spreadsheets/d/13wPX838HrBrQMCywv1BsuMkt4PEKTChp52zj44s2izQ/edit?usp=sharing"",""กาญจนบุรี!J442"")+IMPORTRANGE(""https://docs.google.com/spreadsheets/d/1ddFKvqj1W1NEiWytbGlB1zMx_ykJDVtmfEQ-6-lIUBA/edit?usp=sharing"","&amp;"""จันทบุรี!J442"")+IMPORTRANGE(""https://docs.google.com/spreadsheets/d/1T1PQvRODqOBZk8BRht_U031fIS1beLA0Ub2CEytj2q0/edit?usp=sharing"",""ฉะเชิงเทรา!J442"")+IMPORTRANGE(""https://docs.google.com/spreadsheets/d/11tr1B-Bhyr79v2bkwVh5h_fR-PStkgjlZtkrZpYurG0/"&amp;"edit?usp=sharing"",""ชลบุรี!J442"")+IMPORTRANGE(""https://docs.google.com/spreadsheets/d/1hh-FVnSX0vozXhGluamEcS54Dw9_zqW0N7qJUWgJ0Sw/edit?usp=sharing"",""ชัยนาท!J442"")+IMPORTRANGE(""https://docs.google.com/spreadsheets/d/1jkqa6GXxSacMcY1eN8AHjMNJ_7dDXMJ"&amp;"VRLDlaFSOdPM/edit?usp=sharing"",""ตราด!J442"")+IMPORTRANGE(""https://docs.google.com/spreadsheets/d/18hSgUJ3VwClqi_qtULmmW3cLr0oe3OKaSYoKzdpTsYQ/edit?usp=sharing"",""นครนายก!J442"")+IMPORTRANGE(""https://docs.google.com/spreadsheets/d/1YTZo6WM2dQ6Ix6FSdnL"&amp;"5P7uVnVKu40sxZu975tgG10E/edit?usp=sharing"",""นครปฐม!J442"")+IMPORTRANGE(""https://docs.google.com/spreadsheets/d/1OYoGg4WDg5RIzwGeB10padOxJF9E_Vljuvvct_M7RDo/edit?usp=sharing"",""ปทุมธานี!J442"")+IMPORTRANGE(""https://docs.google.com/spreadsheets/d/1GbCI"&amp;"E4D4wk9FUozzqk7SxfDMxDVBwVmI5zcaVUSzKAc/edit?usp=sharing"",""ประจวบคีรีขันธ์!J442"")+IMPORTRANGE(""https://docs.google.com/spreadsheets/d/1vVf6wykvW_lAyu7Yo9L4hUTqHqIeP_qcVuxCtosJEbg/edit?usp=sharing"",""ปราจีนบุรี!J442"")+IMPORTRANGE(""https://docs.googl"&amp;"e.com/spreadsheets/d/1BIDqLLg5jk3v59G8NlR8rk5xfQDKne0sAvZHSj7TI6I/edit?usp=sharing"",""พระนครศรีอยุธยา!J442"")+IMPORTRANGE(""https://docs.google.com/spreadsheets/d/1YXvxf8Yu6_rV4hTBrwMqAcAnv6DfhUxh5emyM3CJp_w/edit?usp=sharing"",""เพชรบุรี!J442"")+IMPORTRA"&amp;"NGE(""https://docs.google.com/spreadsheets/d/19KBlQQs7uwvsao6t2n-KvW3Ax8J8uRRfZPq1zPbXgKc/edit?usp=sharing"",""ระยอง!J442"")+IMPORTRANGE(""https://docs.google.com/spreadsheets/d/1jQ6P4QcrGM89YfqcC_PxOHGCMq5ezhucwJd8ci-NHng/edit?usp=sharing"",""ราชบุรี!J44"&amp;"2"")+IMPORTRANGE(""https://docs.google.com/spreadsheets/d/1lufeA2cfFqM-elVq2hznhDzC6Pr7wkJ9ZG_sYNGCMCU/edit?usp=sharing"",""ลพบุรี!J442"")+IMPORTRANGE(""https://docs.google.com/spreadsheets/d/10oOiF7loTyfsTkbd4MpaIm0HQ9SwB7IYHdIUvt-U1Uc/edit?usp=sharing"""&amp;",""สระแก้ว!J442"")+IMPORTRANGE(""https://docs.google.com/spreadsheets/d/1xmPlrr1QbdSIKvl1dWUl9K4PjAfSL9oeMr_37QVzcxc/edit?usp=sharing"",""สระบุรี!J442"")+IMPORTRANGE(""https://docs.google.com/spreadsheets/d/1j51vR6CYVGhABJpv6tkstgok82RLpXieLzW1yOY5rHw/edi"&amp;"t?usp=sharing"",""สิงห์บุรี!J442"")+IMPORTRANGE(""https://docs.google.com/spreadsheets/d/1H1EalTWKUSzO4Z1-1CwzoDUaVffgrThEBe2sl74kKG0/edit?usp=sharing"",""สุพรรณบุรี!J442"")+IMPORTRANGE(""https://docs.google.com/spreadsheets/d/1BmIruG_sIrJLYao_Pdr7zVArWsf"&amp;"oBt2692TMi6x_854/edit?usp=sharing"",""อ่างทอง!J442"")"),0)</f>
        <v>0</v>
      </c>
      <c r="K443" s="87"/>
      <c r="L443" s="87"/>
      <c r="M443" s="87"/>
      <c r="N443" s="87"/>
      <c r="O443" s="87"/>
      <c r="P443" s="87"/>
      <c r="Q443" s="86"/>
      <c r="R443" s="87"/>
      <c r="S443" s="87"/>
      <c r="T443" s="87"/>
      <c r="U443" s="87"/>
    </row>
    <row r="444" spans="1:21" ht="18.75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623">
        <f ca="1">IFERROR(__xludf.DUMMYFUNCTION("IMPORTRANGE(""https://docs.google.com/spreadsheets/d/13wPX838HrBrQMCywv1BsuMkt4PEKTChp52zj44s2izQ/edit?usp=sharing"",""กาญจนบุรี!J443"")+IMPORTRANGE(""https://docs.google.com/spreadsheets/d/1ddFKvqj1W1NEiWytbGlB1zMx_ykJDVtmfEQ-6-lIUBA/edit?usp=sharing"","&amp;"""จันทบุรี!J443"")+IMPORTRANGE(""https://docs.google.com/spreadsheets/d/1T1PQvRODqOBZk8BRht_U031fIS1beLA0Ub2CEytj2q0/edit?usp=sharing"",""ฉะเชิงเทรา!J443"")+IMPORTRANGE(""https://docs.google.com/spreadsheets/d/11tr1B-Bhyr79v2bkwVh5h_fR-PStkgjlZtkrZpYurG0/"&amp;"edit?usp=sharing"",""ชลบุรี!J443"")+IMPORTRANGE(""https://docs.google.com/spreadsheets/d/1hh-FVnSX0vozXhGluamEcS54Dw9_zqW0N7qJUWgJ0Sw/edit?usp=sharing"",""ชัยนาท!J443"")+IMPORTRANGE(""https://docs.google.com/spreadsheets/d/1jkqa6GXxSacMcY1eN8AHjMNJ_7dDXMJ"&amp;"VRLDlaFSOdPM/edit?usp=sharing"",""ตราด!J443"")+IMPORTRANGE(""https://docs.google.com/spreadsheets/d/18hSgUJ3VwClqi_qtULmmW3cLr0oe3OKaSYoKzdpTsYQ/edit?usp=sharing"",""นครนายก!J443"")+IMPORTRANGE(""https://docs.google.com/spreadsheets/d/1YTZo6WM2dQ6Ix6FSdnL"&amp;"5P7uVnVKu40sxZu975tgG10E/edit?usp=sharing"",""นครปฐม!J443"")+IMPORTRANGE(""https://docs.google.com/spreadsheets/d/1OYoGg4WDg5RIzwGeB10padOxJF9E_Vljuvvct_M7RDo/edit?usp=sharing"",""ปทุมธานี!J443"")+IMPORTRANGE(""https://docs.google.com/spreadsheets/d/1GbCI"&amp;"E4D4wk9FUozzqk7SxfDMxDVBwVmI5zcaVUSzKAc/edit?usp=sharing"",""ประจวบคีรีขันธ์!J443"")+IMPORTRANGE(""https://docs.google.com/spreadsheets/d/1vVf6wykvW_lAyu7Yo9L4hUTqHqIeP_qcVuxCtosJEbg/edit?usp=sharing"",""ปราจีนบุรี!J443"")+IMPORTRANGE(""https://docs.googl"&amp;"e.com/spreadsheets/d/1BIDqLLg5jk3v59G8NlR8rk5xfQDKne0sAvZHSj7TI6I/edit?usp=sharing"",""พระนครศรีอยุธยา!J443"")+IMPORTRANGE(""https://docs.google.com/spreadsheets/d/1YXvxf8Yu6_rV4hTBrwMqAcAnv6DfhUxh5emyM3CJp_w/edit?usp=sharing"",""เพชรบุรี!J443"")+IMPORTRA"&amp;"NGE(""https://docs.google.com/spreadsheets/d/19KBlQQs7uwvsao6t2n-KvW3Ax8J8uRRfZPq1zPbXgKc/edit?usp=sharing"",""ระยอง!J443"")+IMPORTRANGE(""https://docs.google.com/spreadsheets/d/1jQ6P4QcrGM89YfqcC_PxOHGCMq5ezhucwJd8ci-NHng/edit?usp=sharing"",""ราชบุรี!J44"&amp;"3"")+IMPORTRANGE(""https://docs.google.com/spreadsheets/d/1lufeA2cfFqM-elVq2hznhDzC6Pr7wkJ9ZG_sYNGCMCU/edit?usp=sharing"",""ลพบุรี!J443"")+IMPORTRANGE(""https://docs.google.com/spreadsheets/d/10oOiF7loTyfsTkbd4MpaIm0HQ9SwB7IYHdIUvt-U1Uc/edit?usp=sharing"""&amp;",""สระแก้ว!J443"")+IMPORTRANGE(""https://docs.google.com/spreadsheets/d/1xmPlrr1QbdSIKvl1dWUl9K4PjAfSL9oeMr_37QVzcxc/edit?usp=sharing"",""สระบุรี!J443"")+IMPORTRANGE(""https://docs.google.com/spreadsheets/d/1j51vR6CYVGhABJpv6tkstgok82RLpXieLzW1yOY5rHw/edi"&amp;"t?usp=sharing"",""สิงห์บุรี!J443"")+IMPORTRANGE(""https://docs.google.com/spreadsheets/d/1H1EalTWKUSzO4Z1-1CwzoDUaVffgrThEBe2sl74kKG0/edit?usp=sharing"",""สุพรรณบุรี!J443"")+IMPORTRANGE(""https://docs.google.com/spreadsheets/d/1BmIruG_sIrJLYao_Pdr7zVArWsf"&amp;"oBt2692TMi6x_854/edit?usp=sharing"",""อ่างทอง!J443"")"),0)</f>
        <v>0</v>
      </c>
      <c r="K444" s="87"/>
      <c r="L444" s="87"/>
      <c r="M444" s="87"/>
      <c r="N444" s="87"/>
      <c r="O444" s="87"/>
      <c r="P444" s="87"/>
      <c r="Q444" s="86"/>
      <c r="R444" s="87"/>
      <c r="S444" s="87"/>
      <c r="T444" s="87"/>
      <c r="U444" s="87"/>
    </row>
    <row r="445" spans="1:21" ht="18.75" x14ac:dyDescent="0.25">
      <c r="A445" s="550"/>
      <c r="B445" s="269"/>
      <c r="C445" s="269"/>
      <c r="D445" s="589" t="s">
        <v>171</v>
      </c>
      <c r="E445" s="269"/>
      <c r="F445" s="269"/>
      <c r="G445" s="312"/>
      <c r="H445" s="268" t="s">
        <v>46</v>
      </c>
      <c r="I445" s="263"/>
      <c r="J445" s="623">
        <f ca="1">IFERROR(__xludf.DUMMYFUNCTION("IMPORTRANGE(""https://docs.google.com/spreadsheets/d/13wPX838HrBrQMCywv1BsuMkt4PEKTChp52zj44s2izQ/edit?usp=sharing"",""กาญจนบุรี!J444"")+IMPORTRANGE(""https://docs.google.com/spreadsheets/d/1ddFKvqj1W1NEiWytbGlB1zMx_ykJDVtmfEQ-6-lIUBA/edit?usp=sharing"","&amp;"""จันทบุรี!J444"")+IMPORTRANGE(""https://docs.google.com/spreadsheets/d/1T1PQvRODqOBZk8BRht_U031fIS1beLA0Ub2CEytj2q0/edit?usp=sharing"",""ฉะเชิงเทรา!J444"")+IMPORTRANGE(""https://docs.google.com/spreadsheets/d/11tr1B-Bhyr79v2bkwVh5h_fR-PStkgjlZtkrZpYurG0/"&amp;"edit?usp=sharing"",""ชลบุรี!J444"")+IMPORTRANGE(""https://docs.google.com/spreadsheets/d/1hh-FVnSX0vozXhGluamEcS54Dw9_zqW0N7qJUWgJ0Sw/edit?usp=sharing"",""ชัยนาท!J444"")+IMPORTRANGE(""https://docs.google.com/spreadsheets/d/1jkqa6GXxSacMcY1eN8AHjMNJ_7dDXMJ"&amp;"VRLDlaFSOdPM/edit?usp=sharing"",""ตราด!J444"")+IMPORTRANGE(""https://docs.google.com/spreadsheets/d/18hSgUJ3VwClqi_qtULmmW3cLr0oe3OKaSYoKzdpTsYQ/edit?usp=sharing"",""นครนายก!J444"")+IMPORTRANGE(""https://docs.google.com/spreadsheets/d/1YTZo6WM2dQ6Ix6FSdnL"&amp;"5P7uVnVKu40sxZu975tgG10E/edit?usp=sharing"",""นครปฐม!J444"")+IMPORTRANGE(""https://docs.google.com/spreadsheets/d/1OYoGg4WDg5RIzwGeB10padOxJF9E_Vljuvvct_M7RDo/edit?usp=sharing"",""ปทุมธานี!J444"")+IMPORTRANGE(""https://docs.google.com/spreadsheets/d/1GbCI"&amp;"E4D4wk9FUozzqk7SxfDMxDVBwVmI5zcaVUSzKAc/edit?usp=sharing"",""ประจวบคีรีขันธ์!J444"")+IMPORTRANGE(""https://docs.google.com/spreadsheets/d/1vVf6wykvW_lAyu7Yo9L4hUTqHqIeP_qcVuxCtosJEbg/edit?usp=sharing"",""ปราจีนบุรี!J444"")+IMPORTRANGE(""https://docs.googl"&amp;"e.com/spreadsheets/d/1BIDqLLg5jk3v59G8NlR8rk5xfQDKne0sAvZHSj7TI6I/edit?usp=sharing"",""พระนครศรีอยุธยา!J444"")+IMPORTRANGE(""https://docs.google.com/spreadsheets/d/1YXvxf8Yu6_rV4hTBrwMqAcAnv6DfhUxh5emyM3CJp_w/edit?usp=sharing"",""เพชรบุรี!J444"")+IMPORTRA"&amp;"NGE(""https://docs.google.com/spreadsheets/d/19KBlQQs7uwvsao6t2n-KvW3Ax8J8uRRfZPq1zPbXgKc/edit?usp=sharing"",""ระยอง!J444"")+IMPORTRANGE(""https://docs.google.com/spreadsheets/d/1jQ6P4QcrGM89YfqcC_PxOHGCMq5ezhucwJd8ci-NHng/edit?usp=sharing"",""ราชบุรี!J44"&amp;"4"")+IMPORTRANGE(""https://docs.google.com/spreadsheets/d/1lufeA2cfFqM-elVq2hznhDzC6Pr7wkJ9ZG_sYNGCMCU/edit?usp=sharing"",""ลพบุรี!J444"")+IMPORTRANGE(""https://docs.google.com/spreadsheets/d/10oOiF7loTyfsTkbd4MpaIm0HQ9SwB7IYHdIUvt-U1Uc/edit?usp=sharing"""&amp;",""สระแก้ว!J444"")+IMPORTRANGE(""https://docs.google.com/spreadsheets/d/1xmPlrr1QbdSIKvl1dWUl9K4PjAfSL9oeMr_37QVzcxc/edit?usp=sharing"",""สระบุรี!J444"")+IMPORTRANGE(""https://docs.google.com/spreadsheets/d/1j51vR6CYVGhABJpv6tkstgok82RLpXieLzW1yOY5rHw/edi"&amp;"t?usp=sharing"",""สิงห์บุรี!J444"")+IMPORTRANGE(""https://docs.google.com/spreadsheets/d/1H1EalTWKUSzO4Z1-1CwzoDUaVffgrThEBe2sl74kKG0/edit?usp=sharing"",""สุพรรณบุรี!J444"")+IMPORTRANGE(""https://docs.google.com/spreadsheets/d/1BmIruG_sIrJLYao_Pdr7zVArWsf"&amp;"oBt2692TMi6x_854/edit?usp=sharing"",""อ่างทอง!J444"")"),0)</f>
        <v>0</v>
      </c>
      <c r="K445" s="87"/>
      <c r="L445" s="87"/>
      <c r="M445" s="87"/>
      <c r="N445" s="87"/>
      <c r="O445" s="87"/>
      <c r="P445" s="87"/>
      <c r="Q445" s="86"/>
      <c r="R445" s="87"/>
      <c r="S445" s="87"/>
      <c r="T445" s="87"/>
      <c r="U445" s="87"/>
    </row>
    <row r="446" spans="1:21" ht="18.75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623">
        <f ca="1">IFERROR(__xludf.DUMMYFUNCTION("IMPORTRANGE(""https://docs.google.com/spreadsheets/d/13wPX838HrBrQMCywv1BsuMkt4PEKTChp52zj44s2izQ/edit?usp=sharing"",""กาญจนบุรี!J445"")+IMPORTRANGE(""https://docs.google.com/spreadsheets/d/1ddFKvqj1W1NEiWytbGlB1zMx_ykJDVtmfEQ-6-lIUBA/edit?usp=sharing"","&amp;"""จันทบุรี!J445"")+IMPORTRANGE(""https://docs.google.com/spreadsheets/d/1T1PQvRODqOBZk8BRht_U031fIS1beLA0Ub2CEytj2q0/edit?usp=sharing"",""ฉะเชิงเทรา!J445"")+IMPORTRANGE(""https://docs.google.com/spreadsheets/d/11tr1B-Bhyr79v2bkwVh5h_fR-PStkgjlZtkrZpYurG0/"&amp;"edit?usp=sharing"",""ชลบุรี!J445"")+IMPORTRANGE(""https://docs.google.com/spreadsheets/d/1hh-FVnSX0vozXhGluamEcS54Dw9_zqW0N7qJUWgJ0Sw/edit?usp=sharing"",""ชัยนาท!J445"")+IMPORTRANGE(""https://docs.google.com/spreadsheets/d/1jkqa6GXxSacMcY1eN8AHjMNJ_7dDXMJ"&amp;"VRLDlaFSOdPM/edit?usp=sharing"",""ตราด!J445"")+IMPORTRANGE(""https://docs.google.com/spreadsheets/d/18hSgUJ3VwClqi_qtULmmW3cLr0oe3OKaSYoKzdpTsYQ/edit?usp=sharing"",""นครนายก!J445"")+IMPORTRANGE(""https://docs.google.com/spreadsheets/d/1YTZo6WM2dQ6Ix6FSdnL"&amp;"5P7uVnVKu40sxZu975tgG10E/edit?usp=sharing"",""นครปฐม!J445"")+IMPORTRANGE(""https://docs.google.com/spreadsheets/d/1OYoGg4WDg5RIzwGeB10padOxJF9E_Vljuvvct_M7RDo/edit?usp=sharing"",""ปทุมธานี!J445"")+IMPORTRANGE(""https://docs.google.com/spreadsheets/d/1GbCI"&amp;"E4D4wk9FUozzqk7SxfDMxDVBwVmI5zcaVUSzKAc/edit?usp=sharing"",""ประจวบคีรีขันธ์!J445"")+IMPORTRANGE(""https://docs.google.com/spreadsheets/d/1vVf6wykvW_lAyu7Yo9L4hUTqHqIeP_qcVuxCtosJEbg/edit?usp=sharing"",""ปราจีนบุรี!J445"")+IMPORTRANGE(""https://docs.googl"&amp;"e.com/spreadsheets/d/1BIDqLLg5jk3v59G8NlR8rk5xfQDKne0sAvZHSj7TI6I/edit?usp=sharing"",""พระนครศรีอยุธยา!J445"")+IMPORTRANGE(""https://docs.google.com/spreadsheets/d/1YXvxf8Yu6_rV4hTBrwMqAcAnv6DfhUxh5emyM3CJp_w/edit?usp=sharing"",""เพชรบุรี!J445"")+IMPORTRA"&amp;"NGE(""https://docs.google.com/spreadsheets/d/19KBlQQs7uwvsao6t2n-KvW3Ax8J8uRRfZPq1zPbXgKc/edit?usp=sharing"",""ระยอง!J445"")+IMPORTRANGE(""https://docs.google.com/spreadsheets/d/1jQ6P4QcrGM89YfqcC_PxOHGCMq5ezhucwJd8ci-NHng/edit?usp=sharing"",""ราชบุรี!J44"&amp;"5"")+IMPORTRANGE(""https://docs.google.com/spreadsheets/d/1lufeA2cfFqM-elVq2hznhDzC6Pr7wkJ9ZG_sYNGCMCU/edit?usp=sharing"",""ลพบุรี!J445"")+IMPORTRANGE(""https://docs.google.com/spreadsheets/d/10oOiF7loTyfsTkbd4MpaIm0HQ9SwB7IYHdIUvt-U1Uc/edit?usp=sharing"""&amp;",""สระแก้ว!J445"")+IMPORTRANGE(""https://docs.google.com/spreadsheets/d/1xmPlrr1QbdSIKvl1dWUl9K4PjAfSL9oeMr_37QVzcxc/edit?usp=sharing"",""สระบุรี!J445"")+IMPORTRANGE(""https://docs.google.com/spreadsheets/d/1j51vR6CYVGhABJpv6tkstgok82RLpXieLzW1yOY5rHw/edi"&amp;"t?usp=sharing"",""สิงห์บุรี!J445"")+IMPORTRANGE(""https://docs.google.com/spreadsheets/d/1H1EalTWKUSzO4Z1-1CwzoDUaVffgrThEBe2sl74kKG0/edit?usp=sharing"",""สุพรรณบุรี!J445"")+IMPORTRANGE(""https://docs.google.com/spreadsheets/d/1BmIruG_sIrJLYao_Pdr7zVArWsf"&amp;"oBt2692TMi6x_854/edit?usp=sharing"",""อ่างทอง!J445"")"),0)</f>
        <v>0</v>
      </c>
      <c r="K446" s="87"/>
      <c r="L446" s="87"/>
      <c r="M446" s="87"/>
      <c r="N446" s="87"/>
      <c r="O446" s="87"/>
      <c r="P446" s="87"/>
      <c r="Q446" s="86"/>
      <c r="R446" s="87"/>
      <c r="S446" s="87"/>
      <c r="T446" s="87"/>
      <c r="U446" s="87"/>
    </row>
    <row r="447" spans="1:21" ht="19.5" x14ac:dyDescent="0.3">
      <c r="A447" s="550"/>
      <c r="B447" s="269"/>
      <c r="C447" s="269"/>
      <c r="D447" s="589" t="s">
        <v>172</v>
      </c>
      <c r="E447" s="269"/>
      <c r="F447" s="269"/>
      <c r="G447" s="312"/>
      <c r="H447" s="268" t="s">
        <v>46</v>
      </c>
      <c r="I447" s="263"/>
      <c r="J447" s="622">
        <f t="shared" ref="J447:J448" ca="1" si="326">J449+J451</f>
        <v>0</v>
      </c>
      <c r="K447" s="87"/>
      <c r="L447" s="87"/>
      <c r="M447" s="87"/>
      <c r="N447" s="87"/>
      <c r="O447" s="87"/>
      <c r="P447" s="87"/>
      <c r="Q447" s="86"/>
      <c r="R447" s="87"/>
      <c r="S447" s="87"/>
      <c r="T447" s="87"/>
      <c r="U447" s="87"/>
    </row>
    <row r="448" spans="1:21" ht="19.5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ca="1" si="326"/>
        <v>0</v>
      </c>
      <c r="K448" s="87"/>
      <c r="L448" s="87"/>
      <c r="M448" s="87"/>
      <c r="N448" s="87"/>
      <c r="O448" s="87"/>
      <c r="P448" s="87"/>
      <c r="Q448" s="86"/>
      <c r="R448" s="87"/>
      <c r="S448" s="87"/>
      <c r="T448" s="87"/>
      <c r="U448" s="87"/>
    </row>
    <row r="449" spans="1:21" ht="18.75" x14ac:dyDescent="0.25">
      <c r="A449" s="550"/>
      <c r="B449" s="269"/>
      <c r="C449" s="269"/>
      <c r="D449" s="269"/>
      <c r="E449" s="589" t="s">
        <v>173</v>
      </c>
      <c r="F449" s="269"/>
      <c r="G449" s="312"/>
      <c r="H449" s="268" t="s">
        <v>46</v>
      </c>
      <c r="I449" s="263"/>
      <c r="J449" s="623">
        <f ca="1">IFERROR(__xludf.DUMMYFUNCTION("IMPORTRANGE(""https://docs.google.com/spreadsheets/d/13wPX838HrBrQMCywv1BsuMkt4PEKTChp52zj44s2izQ/edit?usp=sharing"",""กาญจนบุรี!J448"")+IMPORTRANGE(""https://docs.google.com/spreadsheets/d/1ddFKvqj1W1NEiWytbGlB1zMx_ykJDVtmfEQ-6-lIUBA/edit?usp=sharing"","&amp;"""จันทบุรี!J448"")+IMPORTRANGE(""https://docs.google.com/spreadsheets/d/1T1PQvRODqOBZk8BRht_U031fIS1beLA0Ub2CEytj2q0/edit?usp=sharing"",""ฉะเชิงเทรา!J448"")+IMPORTRANGE(""https://docs.google.com/spreadsheets/d/11tr1B-Bhyr79v2bkwVh5h_fR-PStkgjlZtkrZpYurG0/"&amp;"edit?usp=sharing"",""ชลบุรี!J448"")+IMPORTRANGE(""https://docs.google.com/spreadsheets/d/1hh-FVnSX0vozXhGluamEcS54Dw9_zqW0N7qJUWgJ0Sw/edit?usp=sharing"",""ชัยนาท!J448"")+IMPORTRANGE(""https://docs.google.com/spreadsheets/d/1jkqa6GXxSacMcY1eN8AHjMNJ_7dDXMJ"&amp;"VRLDlaFSOdPM/edit?usp=sharing"",""ตราด!J448"")+IMPORTRANGE(""https://docs.google.com/spreadsheets/d/18hSgUJ3VwClqi_qtULmmW3cLr0oe3OKaSYoKzdpTsYQ/edit?usp=sharing"",""นครนายก!J448"")+IMPORTRANGE(""https://docs.google.com/spreadsheets/d/1YTZo6WM2dQ6Ix6FSdnL"&amp;"5P7uVnVKu40sxZu975tgG10E/edit?usp=sharing"",""นครปฐม!J448"")+IMPORTRANGE(""https://docs.google.com/spreadsheets/d/1OYoGg4WDg5RIzwGeB10padOxJF9E_Vljuvvct_M7RDo/edit?usp=sharing"",""ปทุมธานี!J448"")+IMPORTRANGE(""https://docs.google.com/spreadsheets/d/1GbCI"&amp;"E4D4wk9FUozzqk7SxfDMxDVBwVmI5zcaVUSzKAc/edit?usp=sharing"",""ประจวบคีรีขันธ์!J448"")+IMPORTRANGE(""https://docs.google.com/spreadsheets/d/1vVf6wykvW_lAyu7Yo9L4hUTqHqIeP_qcVuxCtosJEbg/edit?usp=sharing"",""ปราจีนบุรี!J448"")+IMPORTRANGE(""https://docs.googl"&amp;"e.com/spreadsheets/d/1BIDqLLg5jk3v59G8NlR8rk5xfQDKne0sAvZHSj7TI6I/edit?usp=sharing"",""พระนครศรีอยุธยา!J448"")+IMPORTRANGE(""https://docs.google.com/spreadsheets/d/1YXvxf8Yu6_rV4hTBrwMqAcAnv6DfhUxh5emyM3CJp_w/edit?usp=sharing"",""เพชรบุรี!J448"")+IMPORTRA"&amp;"NGE(""https://docs.google.com/spreadsheets/d/19KBlQQs7uwvsao6t2n-KvW3Ax8J8uRRfZPq1zPbXgKc/edit?usp=sharing"",""ระยอง!J448"")+IMPORTRANGE(""https://docs.google.com/spreadsheets/d/1jQ6P4QcrGM89YfqcC_PxOHGCMq5ezhucwJd8ci-NHng/edit?usp=sharing"",""ราชบุรี!J44"&amp;"8"")+IMPORTRANGE(""https://docs.google.com/spreadsheets/d/1lufeA2cfFqM-elVq2hznhDzC6Pr7wkJ9ZG_sYNGCMCU/edit?usp=sharing"",""ลพบุรี!J448"")+IMPORTRANGE(""https://docs.google.com/spreadsheets/d/10oOiF7loTyfsTkbd4MpaIm0HQ9SwB7IYHdIUvt-U1Uc/edit?usp=sharing"""&amp;",""สระแก้ว!J448"")+IMPORTRANGE(""https://docs.google.com/spreadsheets/d/1xmPlrr1QbdSIKvl1dWUl9K4PjAfSL9oeMr_37QVzcxc/edit?usp=sharing"",""สระบุรี!J448"")+IMPORTRANGE(""https://docs.google.com/spreadsheets/d/1j51vR6CYVGhABJpv6tkstgok82RLpXieLzW1yOY5rHw/edi"&amp;"t?usp=sharing"",""สิงห์บุรี!J448"")+IMPORTRANGE(""https://docs.google.com/spreadsheets/d/1H1EalTWKUSzO4Z1-1CwzoDUaVffgrThEBe2sl74kKG0/edit?usp=sharing"",""สุพรรณบุรี!J448"")+IMPORTRANGE(""https://docs.google.com/spreadsheets/d/1BmIruG_sIrJLYao_Pdr7zVArWsf"&amp;"oBt2692TMi6x_854/edit?usp=sharing"",""อ่างทอง!J448"")"),0)</f>
        <v>0</v>
      </c>
      <c r="K449" s="87"/>
      <c r="L449" s="87"/>
      <c r="M449" s="87"/>
      <c r="N449" s="87"/>
      <c r="O449" s="87"/>
      <c r="P449" s="87"/>
      <c r="Q449" s="86"/>
      <c r="R449" s="87"/>
      <c r="S449" s="87"/>
      <c r="T449" s="87"/>
      <c r="U449" s="87"/>
    </row>
    <row r="450" spans="1:21" ht="18.75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623">
        <f ca="1">IFERROR(__xludf.DUMMYFUNCTION("IMPORTRANGE(""https://docs.google.com/spreadsheets/d/13wPX838HrBrQMCywv1BsuMkt4PEKTChp52zj44s2izQ/edit?usp=sharing"",""กาญจนบุรี!J449"")+IMPORTRANGE(""https://docs.google.com/spreadsheets/d/1ddFKvqj1W1NEiWytbGlB1zMx_ykJDVtmfEQ-6-lIUBA/edit?usp=sharing"","&amp;"""จันทบุรี!J449"")+IMPORTRANGE(""https://docs.google.com/spreadsheets/d/1T1PQvRODqOBZk8BRht_U031fIS1beLA0Ub2CEytj2q0/edit?usp=sharing"",""ฉะเชิงเทรา!J449"")+IMPORTRANGE(""https://docs.google.com/spreadsheets/d/11tr1B-Bhyr79v2bkwVh5h_fR-PStkgjlZtkrZpYurG0/"&amp;"edit?usp=sharing"",""ชลบุรี!J449"")+IMPORTRANGE(""https://docs.google.com/spreadsheets/d/1hh-FVnSX0vozXhGluamEcS54Dw9_zqW0N7qJUWgJ0Sw/edit?usp=sharing"",""ชัยนาท!J449"")+IMPORTRANGE(""https://docs.google.com/spreadsheets/d/1jkqa6GXxSacMcY1eN8AHjMNJ_7dDXMJ"&amp;"VRLDlaFSOdPM/edit?usp=sharing"",""ตราด!J449"")+IMPORTRANGE(""https://docs.google.com/spreadsheets/d/18hSgUJ3VwClqi_qtULmmW3cLr0oe3OKaSYoKzdpTsYQ/edit?usp=sharing"",""นครนายก!J449"")+IMPORTRANGE(""https://docs.google.com/spreadsheets/d/1YTZo6WM2dQ6Ix6FSdnL"&amp;"5P7uVnVKu40sxZu975tgG10E/edit?usp=sharing"",""นครปฐม!J449"")+IMPORTRANGE(""https://docs.google.com/spreadsheets/d/1OYoGg4WDg5RIzwGeB10padOxJF9E_Vljuvvct_M7RDo/edit?usp=sharing"",""ปทุมธานี!J449"")+IMPORTRANGE(""https://docs.google.com/spreadsheets/d/1GbCI"&amp;"E4D4wk9FUozzqk7SxfDMxDVBwVmI5zcaVUSzKAc/edit?usp=sharing"",""ประจวบคีรีขันธ์!J449"")+IMPORTRANGE(""https://docs.google.com/spreadsheets/d/1vVf6wykvW_lAyu7Yo9L4hUTqHqIeP_qcVuxCtosJEbg/edit?usp=sharing"",""ปราจีนบุรี!J449"")+IMPORTRANGE(""https://docs.googl"&amp;"e.com/spreadsheets/d/1BIDqLLg5jk3v59G8NlR8rk5xfQDKne0sAvZHSj7TI6I/edit?usp=sharing"",""พระนครศรีอยุธยา!J449"")+IMPORTRANGE(""https://docs.google.com/spreadsheets/d/1YXvxf8Yu6_rV4hTBrwMqAcAnv6DfhUxh5emyM3CJp_w/edit?usp=sharing"",""เพชรบุรี!J449"")+IMPORTRA"&amp;"NGE(""https://docs.google.com/spreadsheets/d/19KBlQQs7uwvsao6t2n-KvW3Ax8J8uRRfZPq1zPbXgKc/edit?usp=sharing"",""ระยอง!J449"")+IMPORTRANGE(""https://docs.google.com/spreadsheets/d/1jQ6P4QcrGM89YfqcC_PxOHGCMq5ezhucwJd8ci-NHng/edit?usp=sharing"",""ราชบุรี!J44"&amp;"9"")+IMPORTRANGE(""https://docs.google.com/spreadsheets/d/1lufeA2cfFqM-elVq2hznhDzC6Pr7wkJ9ZG_sYNGCMCU/edit?usp=sharing"",""ลพบุรี!J449"")+IMPORTRANGE(""https://docs.google.com/spreadsheets/d/10oOiF7loTyfsTkbd4MpaIm0HQ9SwB7IYHdIUvt-U1Uc/edit?usp=sharing"""&amp;",""สระแก้ว!J449"")+IMPORTRANGE(""https://docs.google.com/spreadsheets/d/1xmPlrr1QbdSIKvl1dWUl9K4PjAfSL9oeMr_37QVzcxc/edit?usp=sharing"",""สระบุรี!J449"")+IMPORTRANGE(""https://docs.google.com/spreadsheets/d/1j51vR6CYVGhABJpv6tkstgok82RLpXieLzW1yOY5rHw/edi"&amp;"t?usp=sharing"",""สิงห์บุรี!J449"")+IMPORTRANGE(""https://docs.google.com/spreadsheets/d/1H1EalTWKUSzO4Z1-1CwzoDUaVffgrThEBe2sl74kKG0/edit?usp=sharing"",""สุพรรณบุรี!J449"")+IMPORTRANGE(""https://docs.google.com/spreadsheets/d/1BmIruG_sIrJLYao_Pdr7zVArWsf"&amp;"oBt2692TMi6x_854/edit?usp=sharing"",""อ่างทอง!J449"")"),0)</f>
        <v>0</v>
      </c>
      <c r="K450" s="87"/>
      <c r="L450" s="87"/>
      <c r="M450" s="87"/>
      <c r="N450" s="87"/>
      <c r="O450" s="87"/>
      <c r="P450" s="87"/>
      <c r="Q450" s="86"/>
      <c r="R450" s="87"/>
      <c r="S450" s="87"/>
      <c r="T450" s="87"/>
      <c r="U450" s="87"/>
    </row>
    <row r="451" spans="1:21" ht="18.75" x14ac:dyDescent="0.25">
      <c r="A451" s="550"/>
      <c r="B451" s="269"/>
      <c r="C451" s="269"/>
      <c r="D451" s="269"/>
      <c r="E451" s="589" t="s">
        <v>174</v>
      </c>
      <c r="F451" s="269"/>
      <c r="G451" s="312"/>
      <c r="H451" s="268" t="s">
        <v>46</v>
      </c>
      <c r="I451" s="263"/>
      <c r="J451" s="623">
        <f ca="1">IFERROR(__xludf.DUMMYFUNCTION("IMPORTRANGE(""https://docs.google.com/spreadsheets/d/13wPX838HrBrQMCywv1BsuMkt4PEKTChp52zj44s2izQ/edit?usp=sharing"",""กาญจนบุรี!J450"")+IMPORTRANGE(""https://docs.google.com/spreadsheets/d/1ddFKvqj1W1NEiWytbGlB1zMx_ykJDVtmfEQ-6-lIUBA/edit?usp=sharing"","&amp;"""จันทบุรี!J450"")+IMPORTRANGE(""https://docs.google.com/spreadsheets/d/1T1PQvRODqOBZk8BRht_U031fIS1beLA0Ub2CEytj2q0/edit?usp=sharing"",""ฉะเชิงเทรา!J450"")+IMPORTRANGE(""https://docs.google.com/spreadsheets/d/11tr1B-Bhyr79v2bkwVh5h_fR-PStkgjlZtkrZpYurG0/"&amp;"edit?usp=sharing"",""ชลบุรี!J450"")+IMPORTRANGE(""https://docs.google.com/spreadsheets/d/1hh-FVnSX0vozXhGluamEcS54Dw9_zqW0N7qJUWgJ0Sw/edit?usp=sharing"",""ชัยนาท!J450"")+IMPORTRANGE(""https://docs.google.com/spreadsheets/d/1jkqa6GXxSacMcY1eN8AHjMNJ_7dDXMJ"&amp;"VRLDlaFSOdPM/edit?usp=sharing"",""ตราด!J450"")+IMPORTRANGE(""https://docs.google.com/spreadsheets/d/18hSgUJ3VwClqi_qtULmmW3cLr0oe3OKaSYoKzdpTsYQ/edit?usp=sharing"",""นครนายก!J450"")+IMPORTRANGE(""https://docs.google.com/spreadsheets/d/1YTZo6WM2dQ6Ix6FSdnL"&amp;"5P7uVnVKu40sxZu975tgG10E/edit?usp=sharing"",""นครปฐม!J450"")+IMPORTRANGE(""https://docs.google.com/spreadsheets/d/1OYoGg4WDg5RIzwGeB10padOxJF9E_Vljuvvct_M7RDo/edit?usp=sharing"",""ปทุมธานี!J450"")+IMPORTRANGE(""https://docs.google.com/spreadsheets/d/1GbCI"&amp;"E4D4wk9FUozzqk7SxfDMxDVBwVmI5zcaVUSzKAc/edit?usp=sharing"",""ประจวบคีรีขันธ์!J450"")+IMPORTRANGE(""https://docs.google.com/spreadsheets/d/1vVf6wykvW_lAyu7Yo9L4hUTqHqIeP_qcVuxCtosJEbg/edit?usp=sharing"",""ปราจีนบุรี!J450"")+IMPORTRANGE(""https://docs.googl"&amp;"e.com/spreadsheets/d/1BIDqLLg5jk3v59G8NlR8rk5xfQDKne0sAvZHSj7TI6I/edit?usp=sharing"",""พระนครศรีอยุธยา!J450"")+IMPORTRANGE(""https://docs.google.com/spreadsheets/d/1YXvxf8Yu6_rV4hTBrwMqAcAnv6DfhUxh5emyM3CJp_w/edit?usp=sharing"",""เพชรบุรี!J450"")+IMPORTRA"&amp;"NGE(""https://docs.google.com/spreadsheets/d/19KBlQQs7uwvsao6t2n-KvW3Ax8J8uRRfZPq1zPbXgKc/edit?usp=sharing"",""ระยอง!J450"")+IMPORTRANGE(""https://docs.google.com/spreadsheets/d/1jQ6P4QcrGM89YfqcC_PxOHGCMq5ezhucwJd8ci-NHng/edit?usp=sharing"",""ราชบุรี!J45"&amp;"0"")+IMPORTRANGE(""https://docs.google.com/spreadsheets/d/1lufeA2cfFqM-elVq2hznhDzC6Pr7wkJ9ZG_sYNGCMCU/edit?usp=sharing"",""ลพบุรี!J450"")+IMPORTRANGE(""https://docs.google.com/spreadsheets/d/10oOiF7loTyfsTkbd4MpaIm0HQ9SwB7IYHdIUvt-U1Uc/edit?usp=sharing"""&amp;",""สระแก้ว!J450"")+IMPORTRANGE(""https://docs.google.com/spreadsheets/d/1xmPlrr1QbdSIKvl1dWUl9K4PjAfSL9oeMr_37QVzcxc/edit?usp=sharing"",""สระบุรี!J450"")+IMPORTRANGE(""https://docs.google.com/spreadsheets/d/1j51vR6CYVGhABJpv6tkstgok82RLpXieLzW1yOY5rHw/edi"&amp;"t?usp=sharing"",""สิงห์บุรี!J450"")+IMPORTRANGE(""https://docs.google.com/spreadsheets/d/1H1EalTWKUSzO4Z1-1CwzoDUaVffgrThEBe2sl74kKG0/edit?usp=sharing"",""สุพรรณบุรี!J450"")+IMPORTRANGE(""https://docs.google.com/spreadsheets/d/1BmIruG_sIrJLYao_Pdr7zVArWsf"&amp;"oBt2692TMi6x_854/edit?usp=sharing"",""อ่างทอง!J450"")"),0)</f>
        <v>0</v>
      </c>
      <c r="K451" s="87"/>
      <c r="L451" s="87"/>
      <c r="M451" s="87"/>
      <c r="N451" s="87"/>
      <c r="O451" s="87"/>
      <c r="P451" s="87"/>
      <c r="Q451" s="86"/>
      <c r="R451" s="87"/>
      <c r="S451" s="87"/>
      <c r="T451" s="87"/>
      <c r="U451" s="87"/>
    </row>
    <row r="452" spans="1:21" ht="18.75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623">
        <f ca="1">IFERROR(__xludf.DUMMYFUNCTION("IMPORTRANGE(""https://docs.google.com/spreadsheets/d/13wPX838HrBrQMCywv1BsuMkt4PEKTChp52zj44s2izQ/edit?usp=sharing"",""กาญจนบุรี!J451"")+IMPORTRANGE(""https://docs.google.com/spreadsheets/d/1ddFKvqj1W1NEiWytbGlB1zMx_ykJDVtmfEQ-6-lIUBA/edit?usp=sharing"","&amp;"""จันทบุรี!J451"")+IMPORTRANGE(""https://docs.google.com/spreadsheets/d/1T1PQvRODqOBZk8BRht_U031fIS1beLA0Ub2CEytj2q0/edit?usp=sharing"",""ฉะเชิงเทรา!J451"")+IMPORTRANGE(""https://docs.google.com/spreadsheets/d/11tr1B-Bhyr79v2bkwVh5h_fR-PStkgjlZtkrZpYurG0/"&amp;"edit?usp=sharing"",""ชลบุรี!J451"")+IMPORTRANGE(""https://docs.google.com/spreadsheets/d/1hh-FVnSX0vozXhGluamEcS54Dw9_zqW0N7qJUWgJ0Sw/edit?usp=sharing"",""ชัยนาท!J451"")+IMPORTRANGE(""https://docs.google.com/spreadsheets/d/1jkqa6GXxSacMcY1eN8AHjMNJ_7dDXMJ"&amp;"VRLDlaFSOdPM/edit?usp=sharing"",""ตราด!J451"")+IMPORTRANGE(""https://docs.google.com/spreadsheets/d/18hSgUJ3VwClqi_qtULmmW3cLr0oe3OKaSYoKzdpTsYQ/edit?usp=sharing"",""นครนายก!J451"")+IMPORTRANGE(""https://docs.google.com/spreadsheets/d/1YTZo6WM2dQ6Ix6FSdnL"&amp;"5P7uVnVKu40sxZu975tgG10E/edit?usp=sharing"",""นครปฐม!J451"")+IMPORTRANGE(""https://docs.google.com/spreadsheets/d/1OYoGg4WDg5RIzwGeB10padOxJF9E_Vljuvvct_M7RDo/edit?usp=sharing"",""ปทุมธานี!J451"")+IMPORTRANGE(""https://docs.google.com/spreadsheets/d/1GbCI"&amp;"E4D4wk9FUozzqk7SxfDMxDVBwVmI5zcaVUSzKAc/edit?usp=sharing"",""ประจวบคีรีขันธ์!J451"")+IMPORTRANGE(""https://docs.google.com/spreadsheets/d/1vVf6wykvW_lAyu7Yo9L4hUTqHqIeP_qcVuxCtosJEbg/edit?usp=sharing"",""ปราจีนบุรี!J451"")+IMPORTRANGE(""https://docs.googl"&amp;"e.com/spreadsheets/d/1BIDqLLg5jk3v59G8NlR8rk5xfQDKne0sAvZHSj7TI6I/edit?usp=sharing"",""พระนครศรีอยุธยา!J451"")+IMPORTRANGE(""https://docs.google.com/spreadsheets/d/1YXvxf8Yu6_rV4hTBrwMqAcAnv6DfhUxh5emyM3CJp_w/edit?usp=sharing"",""เพชรบุรี!J451"")+IMPORTRA"&amp;"NGE(""https://docs.google.com/spreadsheets/d/19KBlQQs7uwvsao6t2n-KvW3Ax8J8uRRfZPq1zPbXgKc/edit?usp=sharing"",""ระยอง!J451"")+IMPORTRANGE(""https://docs.google.com/spreadsheets/d/1jQ6P4QcrGM89YfqcC_PxOHGCMq5ezhucwJd8ci-NHng/edit?usp=sharing"",""ราชบุรี!J45"&amp;"1"")+IMPORTRANGE(""https://docs.google.com/spreadsheets/d/1lufeA2cfFqM-elVq2hznhDzC6Pr7wkJ9ZG_sYNGCMCU/edit?usp=sharing"",""ลพบุรี!J451"")+IMPORTRANGE(""https://docs.google.com/spreadsheets/d/10oOiF7loTyfsTkbd4MpaIm0HQ9SwB7IYHdIUvt-U1Uc/edit?usp=sharing"""&amp;",""สระแก้ว!J451"")+IMPORTRANGE(""https://docs.google.com/spreadsheets/d/1xmPlrr1QbdSIKvl1dWUl9K4PjAfSL9oeMr_37QVzcxc/edit?usp=sharing"",""สระบุรี!J451"")+IMPORTRANGE(""https://docs.google.com/spreadsheets/d/1j51vR6CYVGhABJpv6tkstgok82RLpXieLzW1yOY5rHw/edi"&amp;"t?usp=sharing"",""สิงห์บุรี!J451"")+IMPORTRANGE(""https://docs.google.com/spreadsheets/d/1H1EalTWKUSzO4Z1-1CwzoDUaVffgrThEBe2sl74kKG0/edit?usp=sharing"",""สุพรรณบุรี!J451"")+IMPORTRANGE(""https://docs.google.com/spreadsheets/d/1BmIruG_sIrJLYao_Pdr7zVArWsf"&amp;"oBt2692TMi6x_854/edit?usp=sharing"",""อ่างทอง!J451"")"),0)</f>
        <v>0</v>
      </c>
      <c r="K452" s="87"/>
      <c r="L452" s="87"/>
      <c r="M452" s="87"/>
      <c r="N452" s="87"/>
      <c r="O452" s="87"/>
      <c r="P452" s="87"/>
      <c r="Q452" s="86"/>
      <c r="R452" s="87"/>
      <c r="S452" s="87"/>
      <c r="T452" s="87"/>
      <c r="U452" s="87"/>
    </row>
    <row r="453" spans="1:21" ht="18.75" x14ac:dyDescent="0.25">
      <c r="A453" s="550"/>
      <c r="B453" s="269"/>
      <c r="C453" s="269"/>
      <c r="D453" s="589" t="s">
        <v>175</v>
      </c>
      <c r="E453" s="269"/>
      <c r="F453" s="269"/>
      <c r="G453" s="312"/>
      <c r="H453" s="268" t="s">
        <v>46</v>
      </c>
      <c r="I453" s="263"/>
      <c r="J453" s="623">
        <f ca="1">IFERROR(__xludf.DUMMYFUNCTION("IMPORTRANGE(""https://docs.google.com/spreadsheets/d/13wPX838HrBrQMCywv1BsuMkt4PEKTChp52zj44s2izQ/edit?usp=sharing"",""กาญจนบุรี!J452"")+IMPORTRANGE(""https://docs.google.com/spreadsheets/d/1ddFKvqj1W1NEiWytbGlB1zMx_ykJDVtmfEQ-6-lIUBA/edit?usp=sharing"","&amp;"""จันทบุรี!J452"")+IMPORTRANGE(""https://docs.google.com/spreadsheets/d/1T1PQvRODqOBZk8BRht_U031fIS1beLA0Ub2CEytj2q0/edit?usp=sharing"",""ฉะเชิงเทรา!J452"")+IMPORTRANGE(""https://docs.google.com/spreadsheets/d/11tr1B-Bhyr79v2bkwVh5h_fR-PStkgjlZtkrZpYurG0/"&amp;"edit?usp=sharing"",""ชลบุรี!J452"")+IMPORTRANGE(""https://docs.google.com/spreadsheets/d/1hh-FVnSX0vozXhGluamEcS54Dw9_zqW0N7qJUWgJ0Sw/edit?usp=sharing"",""ชัยนาท!J452"")+IMPORTRANGE(""https://docs.google.com/spreadsheets/d/1jkqa6GXxSacMcY1eN8AHjMNJ_7dDXMJ"&amp;"VRLDlaFSOdPM/edit?usp=sharing"",""ตราด!J452"")+IMPORTRANGE(""https://docs.google.com/spreadsheets/d/18hSgUJ3VwClqi_qtULmmW3cLr0oe3OKaSYoKzdpTsYQ/edit?usp=sharing"",""นครนายก!J452"")+IMPORTRANGE(""https://docs.google.com/spreadsheets/d/1YTZo6WM2dQ6Ix6FSdnL"&amp;"5P7uVnVKu40sxZu975tgG10E/edit?usp=sharing"",""นครปฐม!J452"")+IMPORTRANGE(""https://docs.google.com/spreadsheets/d/1OYoGg4WDg5RIzwGeB10padOxJF9E_Vljuvvct_M7RDo/edit?usp=sharing"",""ปทุมธานี!J452"")+IMPORTRANGE(""https://docs.google.com/spreadsheets/d/1GbCI"&amp;"E4D4wk9FUozzqk7SxfDMxDVBwVmI5zcaVUSzKAc/edit?usp=sharing"",""ประจวบคีรีขันธ์!J452"")+IMPORTRANGE(""https://docs.google.com/spreadsheets/d/1vVf6wykvW_lAyu7Yo9L4hUTqHqIeP_qcVuxCtosJEbg/edit?usp=sharing"",""ปราจีนบุรี!J452"")+IMPORTRANGE(""https://docs.googl"&amp;"e.com/spreadsheets/d/1BIDqLLg5jk3v59G8NlR8rk5xfQDKne0sAvZHSj7TI6I/edit?usp=sharing"",""พระนครศรีอยุธยา!J452"")+IMPORTRANGE(""https://docs.google.com/spreadsheets/d/1YXvxf8Yu6_rV4hTBrwMqAcAnv6DfhUxh5emyM3CJp_w/edit?usp=sharing"",""เพชรบุรี!J452"")+IMPORTRA"&amp;"NGE(""https://docs.google.com/spreadsheets/d/19KBlQQs7uwvsao6t2n-KvW3Ax8J8uRRfZPq1zPbXgKc/edit?usp=sharing"",""ระยอง!J452"")+IMPORTRANGE(""https://docs.google.com/spreadsheets/d/1jQ6P4QcrGM89YfqcC_PxOHGCMq5ezhucwJd8ci-NHng/edit?usp=sharing"",""ราชบุรี!J45"&amp;"2"")+IMPORTRANGE(""https://docs.google.com/spreadsheets/d/1lufeA2cfFqM-elVq2hznhDzC6Pr7wkJ9ZG_sYNGCMCU/edit?usp=sharing"",""ลพบุรี!J452"")+IMPORTRANGE(""https://docs.google.com/spreadsheets/d/10oOiF7loTyfsTkbd4MpaIm0HQ9SwB7IYHdIUvt-U1Uc/edit?usp=sharing"""&amp;",""สระแก้ว!J452"")+IMPORTRANGE(""https://docs.google.com/spreadsheets/d/1xmPlrr1QbdSIKvl1dWUl9K4PjAfSL9oeMr_37QVzcxc/edit?usp=sharing"",""สระบุรี!J452"")+IMPORTRANGE(""https://docs.google.com/spreadsheets/d/1j51vR6CYVGhABJpv6tkstgok82RLpXieLzW1yOY5rHw/edi"&amp;"t?usp=sharing"",""สิงห์บุรี!J452"")+IMPORTRANGE(""https://docs.google.com/spreadsheets/d/1H1EalTWKUSzO4Z1-1CwzoDUaVffgrThEBe2sl74kKG0/edit?usp=sharing"",""สุพรรณบุรี!J452"")+IMPORTRANGE(""https://docs.google.com/spreadsheets/d/1BmIruG_sIrJLYao_Pdr7zVArWsf"&amp;"oBt2692TMi6x_854/edit?usp=sharing"",""อ่างทอง!J452"")"),0)</f>
        <v>0</v>
      </c>
      <c r="K453" s="87"/>
      <c r="L453" s="87"/>
      <c r="M453" s="87"/>
      <c r="N453" s="87"/>
      <c r="O453" s="87"/>
      <c r="P453" s="87"/>
      <c r="Q453" s="86"/>
      <c r="R453" s="87"/>
      <c r="S453" s="87"/>
      <c r="T453" s="87"/>
      <c r="U453" s="87"/>
    </row>
    <row r="454" spans="1:21" ht="18.75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623">
        <f ca="1">IFERROR(__xludf.DUMMYFUNCTION("IMPORTRANGE(""https://docs.google.com/spreadsheets/d/13wPX838HrBrQMCywv1BsuMkt4PEKTChp52zj44s2izQ/edit?usp=sharing"",""กาญจนบุรี!J453"")+IMPORTRANGE(""https://docs.google.com/spreadsheets/d/1ddFKvqj1W1NEiWytbGlB1zMx_ykJDVtmfEQ-6-lIUBA/edit?usp=sharing"","&amp;"""จันทบุรี!J453"")+IMPORTRANGE(""https://docs.google.com/spreadsheets/d/1T1PQvRODqOBZk8BRht_U031fIS1beLA0Ub2CEytj2q0/edit?usp=sharing"",""ฉะเชิงเทรา!J453"")+IMPORTRANGE(""https://docs.google.com/spreadsheets/d/11tr1B-Bhyr79v2bkwVh5h_fR-PStkgjlZtkrZpYurG0/"&amp;"edit?usp=sharing"",""ชลบุรี!J453"")+IMPORTRANGE(""https://docs.google.com/spreadsheets/d/1hh-FVnSX0vozXhGluamEcS54Dw9_zqW0N7qJUWgJ0Sw/edit?usp=sharing"",""ชัยนาท!J453"")+IMPORTRANGE(""https://docs.google.com/spreadsheets/d/1jkqa6GXxSacMcY1eN8AHjMNJ_7dDXMJ"&amp;"VRLDlaFSOdPM/edit?usp=sharing"",""ตราด!J453"")+IMPORTRANGE(""https://docs.google.com/spreadsheets/d/18hSgUJ3VwClqi_qtULmmW3cLr0oe3OKaSYoKzdpTsYQ/edit?usp=sharing"",""นครนายก!J453"")+IMPORTRANGE(""https://docs.google.com/spreadsheets/d/1YTZo6WM2dQ6Ix6FSdnL"&amp;"5P7uVnVKu40sxZu975tgG10E/edit?usp=sharing"",""นครปฐม!J453"")+IMPORTRANGE(""https://docs.google.com/spreadsheets/d/1OYoGg4WDg5RIzwGeB10padOxJF9E_Vljuvvct_M7RDo/edit?usp=sharing"",""ปทุมธานี!J453"")+IMPORTRANGE(""https://docs.google.com/spreadsheets/d/1GbCI"&amp;"E4D4wk9FUozzqk7SxfDMxDVBwVmI5zcaVUSzKAc/edit?usp=sharing"",""ประจวบคีรีขันธ์!J453"")+IMPORTRANGE(""https://docs.google.com/spreadsheets/d/1vVf6wykvW_lAyu7Yo9L4hUTqHqIeP_qcVuxCtosJEbg/edit?usp=sharing"",""ปราจีนบุรี!J453"")+IMPORTRANGE(""https://docs.googl"&amp;"e.com/spreadsheets/d/1BIDqLLg5jk3v59G8NlR8rk5xfQDKne0sAvZHSj7TI6I/edit?usp=sharing"",""พระนครศรีอยุธยา!J453"")+IMPORTRANGE(""https://docs.google.com/spreadsheets/d/1YXvxf8Yu6_rV4hTBrwMqAcAnv6DfhUxh5emyM3CJp_w/edit?usp=sharing"",""เพชรบุรี!J453"")+IMPORTRA"&amp;"NGE(""https://docs.google.com/spreadsheets/d/19KBlQQs7uwvsao6t2n-KvW3Ax8J8uRRfZPq1zPbXgKc/edit?usp=sharing"",""ระยอง!J453"")+IMPORTRANGE(""https://docs.google.com/spreadsheets/d/1jQ6P4QcrGM89YfqcC_PxOHGCMq5ezhucwJd8ci-NHng/edit?usp=sharing"",""ราชบุรี!J45"&amp;"3"")+IMPORTRANGE(""https://docs.google.com/spreadsheets/d/1lufeA2cfFqM-elVq2hznhDzC6Pr7wkJ9ZG_sYNGCMCU/edit?usp=sharing"",""ลพบุรี!J453"")+IMPORTRANGE(""https://docs.google.com/spreadsheets/d/10oOiF7loTyfsTkbd4MpaIm0HQ9SwB7IYHdIUvt-U1Uc/edit?usp=sharing"""&amp;",""สระแก้ว!J453"")+IMPORTRANGE(""https://docs.google.com/spreadsheets/d/1xmPlrr1QbdSIKvl1dWUl9K4PjAfSL9oeMr_37QVzcxc/edit?usp=sharing"",""สระบุรี!J453"")+IMPORTRANGE(""https://docs.google.com/spreadsheets/d/1j51vR6CYVGhABJpv6tkstgok82RLpXieLzW1yOY5rHw/edi"&amp;"t?usp=sharing"",""สิงห์บุรี!J453"")+IMPORTRANGE(""https://docs.google.com/spreadsheets/d/1H1EalTWKUSzO4Z1-1CwzoDUaVffgrThEBe2sl74kKG0/edit?usp=sharing"",""สุพรรณบุรี!J453"")+IMPORTRANGE(""https://docs.google.com/spreadsheets/d/1BmIruG_sIrJLYao_Pdr7zVArWsf"&amp;"oBt2692TMi6x_854/edit?usp=sharing"",""อ่างทอง!J453"")"),0)</f>
        <v>0</v>
      </c>
      <c r="K454" s="87"/>
      <c r="L454" s="87"/>
      <c r="M454" s="87"/>
      <c r="N454" s="87"/>
      <c r="O454" s="87"/>
      <c r="P454" s="87"/>
      <c r="Q454" s="86"/>
      <c r="R454" s="87"/>
      <c r="S454" s="87"/>
      <c r="T454" s="87"/>
      <c r="U454" s="87"/>
    </row>
    <row r="455" spans="1:21" ht="18.75" x14ac:dyDescent="0.25">
      <c r="A455" s="550"/>
      <c r="B455" s="269"/>
      <c r="C455" s="269"/>
      <c r="D455" s="589" t="s">
        <v>176</v>
      </c>
      <c r="E455" s="269"/>
      <c r="F455" s="269"/>
      <c r="G455" s="312"/>
      <c r="H455" s="268" t="s">
        <v>46</v>
      </c>
      <c r="I455" s="263"/>
      <c r="J455" s="624">
        <f ca="1">IFERROR(__xludf.DUMMYFUNCTION("IMPORTRANGE(""https://docs.google.com/spreadsheets/d/13wPX838HrBrQMCywv1BsuMkt4PEKTChp52zj44s2izQ/edit?usp=sharing"",""กาญจนบุรี!J454"")+IMPORTRANGE(""https://docs.google.com/spreadsheets/d/1ddFKvqj1W1NEiWytbGlB1zMx_ykJDVtmfEQ-6-lIUBA/edit?usp=sharing"","&amp;"""จันทบุรี!J454"")+IMPORTRANGE(""https://docs.google.com/spreadsheets/d/1T1PQvRODqOBZk8BRht_U031fIS1beLA0Ub2CEytj2q0/edit?usp=sharing"",""ฉะเชิงเทรา!J454"")+IMPORTRANGE(""https://docs.google.com/spreadsheets/d/11tr1B-Bhyr79v2bkwVh5h_fR-PStkgjlZtkrZpYurG0/"&amp;"edit?usp=sharing"",""ชลบุรี!J454"")+IMPORTRANGE(""https://docs.google.com/spreadsheets/d/1hh-FVnSX0vozXhGluamEcS54Dw9_zqW0N7qJUWgJ0Sw/edit?usp=sharing"",""ชัยนาท!J454"")+IMPORTRANGE(""https://docs.google.com/spreadsheets/d/1jkqa6GXxSacMcY1eN8AHjMNJ_7dDXMJ"&amp;"VRLDlaFSOdPM/edit?usp=sharing"",""ตราด!J454"")+IMPORTRANGE(""https://docs.google.com/spreadsheets/d/18hSgUJ3VwClqi_qtULmmW3cLr0oe3OKaSYoKzdpTsYQ/edit?usp=sharing"",""นครนายก!J454"")+IMPORTRANGE(""https://docs.google.com/spreadsheets/d/1YTZo6WM2dQ6Ix6FSdnL"&amp;"5P7uVnVKu40sxZu975tgG10E/edit?usp=sharing"",""นครปฐม!J454"")+IMPORTRANGE(""https://docs.google.com/spreadsheets/d/1OYoGg4WDg5RIzwGeB10padOxJF9E_Vljuvvct_M7RDo/edit?usp=sharing"",""ปทุมธานี!J454"")+IMPORTRANGE(""https://docs.google.com/spreadsheets/d/1GbCI"&amp;"E4D4wk9FUozzqk7SxfDMxDVBwVmI5zcaVUSzKAc/edit?usp=sharing"",""ประจวบคีรีขันธ์!J454"")+IMPORTRANGE(""https://docs.google.com/spreadsheets/d/1vVf6wykvW_lAyu7Yo9L4hUTqHqIeP_qcVuxCtosJEbg/edit?usp=sharing"",""ปราจีนบุรี!J454"")+IMPORTRANGE(""https://docs.googl"&amp;"e.com/spreadsheets/d/1BIDqLLg5jk3v59G8NlR8rk5xfQDKne0sAvZHSj7TI6I/edit?usp=sharing"",""พระนครศรีอยุธยา!J454"")+IMPORTRANGE(""https://docs.google.com/spreadsheets/d/1YXvxf8Yu6_rV4hTBrwMqAcAnv6DfhUxh5emyM3CJp_w/edit?usp=sharing"",""เพชรบุรี!J454"")+IMPORTRA"&amp;"NGE(""https://docs.google.com/spreadsheets/d/19KBlQQs7uwvsao6t2n-KvW3Ax8J8uRRfZPq1zPbXgKc/edit?usp=sharing"",""ระยอง!J454"")+IMPORTRANGE(""https://docs.google.com/spreadsheets/d/1jQ6P4QcrGM89YfqcC_PxOHGCMq5ezhucwJd8ci-NHng/edit?usp=sharing"",""ราชบุรี!J45"&amp;"4"")+IMPORTRANGE(""https://docs.google.com/spreadsheets/d/1lufeA2cfFqM-elVq2hznhDzC6Pr7wkJ9ZG_sYNGCMCU/edit?usp=sharing"",""ลพบุรี!J454"")+IMPORTRANGE(""https://docs.google.com/spreadsheets/d/10oOiF7loTyfsTkbd4MpaIm0HQ9SwB7IYHdIUvt-U1Uc/edit?usp=sharing"""&amp;",""สระแก้ว!J454"")+IMPORTRANGE(""https://docs.google.com/spreadsheets/d/1xmPlrr1QbdSIKvl1dWUl9K4PjAfSL9oeMr_37QVzcxc/edit?usp=sharing"",""สระบุรี!J454"")+IMPORTRANGE(""https://docs.google.com/spreadsheets/d/1j51vR6CYVGhABJpv6tkstgok82RLpXieLzW1yOY5rHw/edi"&amp;"t?usp=sharing"",""สิงห์บุรี!J454"")+IMPORTRANGE(""https://docs.google.com/spreadsheets/d/1H1EalTWKUSzO4Z1-1CwzoDUaVffgrThEBe2sl74kKG0/edit?usp=sharing"",""สุพรรณบุรี!J454"")+IMPORTRANGE(""https://docs.google.com/spreadsheets/d/1BmIruG_sIrJLYao_Pdr7zVArWsf"&amp;"oBt2692TMi6x_854/edit?usp=sharing"",""อ่างทอง!J454"")"),0)</f>
        <v>0</v>
      </c>
      <c r="K455" s="87"/>
      <c r="L455" s="87"/>
      <c r="M455" s="87"/>
      <c r="N455" s="87"/>
      <c r="O455" s="87"/>
      <c r="P455" s="87"/>
      <c r="Q455" s="86"/>
      <c r="R455" s="87"/>
      <c r="S455" s="87"/>
      <c r="T455" s="87"/>
      <c r="U455" s="87"/>
    </row>
    <row r="456" spans="1:21" ht="18.75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623">
        <f ca="1">IFERROR(__xludf.DUMMYFUNCTION("IMPORTRANGE(""https://docs.google.com/spreadsheets/d/13wPX838HrBrQMCywv1BsuMkt4PEKTChp52zj44s2izQ/edit?usp=sharing"",""กาญจนบุรี!J455"")+IMPORTRANGE(""https://docs.google.com/spreadsheets/d/1ddFKvqj1W1NEiWytbGlB1zMx_ykJDVtmfEQ-6-lIUBA/edit?usp=sharing"","&amp;"""จันทบุรี!J455"")+IMPORTRANGE(""https://docs.google.com/spreadsheets/d/1T1PQvRODqOBZk8BRht_U031fIS1beLA0Ub2CEytj2q0/edit?usp=sharing"",""ฉะเชิงเทรา!J455"")+IMPORTRANGE(""https://docs.google.com/spreadsheets/d/11tr1B-Bhyr79v2bkwVh5h_fR-PStkgjlZtkrZpYurG0/"&amp;"edit?usp=sharing"",""ชลบุรี!J455"")+IMPORTRANGE(""https://docs.google.com/spreadsheets/d/1hh-FVnSX0vozXhGluamEcS54Dw9_zqW0N7qJUWgJ0Sw/edit?usp=sharing"",""ชัยนาท!J455"")+IMPORTRANGE(""https://docs.google.com/spreadsheets/d/1jkqa6GXxSacMcY1eN8AHjMNJ_7dDXMJ"&amp;"VRLDlaFSOdPM/edit?usp=sharing"",""ตราด!J455"")+IMPORTRANGE(""https://docs.google.com/spreadsheets/d/18hSgUJ3VwClqi_qtULmmW3cLr0oe3OKaSYoKzdpTsYQ/edit?usp=sharing"",""นครนายก!J455"")+IMPORTRANGE(""https://docs.google.com/spreadsheets/d/1YTZo6WM2dQ6Ix6FSdnL"&amp;"5P7uVnVKu40sxZu975tgG10E/edit?usp=sharing"",""นครปฐม!J455"")+IMPORTRANGE(""https://docs.google.com/spreadsheets/d/1OYoGg4WDg5RIzwGeB10padOxJF9E_Vljuvvct_M7RDo/edit?usp=sharing"",""ปทุมธานี!J455"")+IMPORTRANGE(""https://docs.google.com/spreadsheets/d/1GbCI"&amp;"E4D4wk9FUozzqk7SxfDMxDVBwVmI5zcaVUSzKAc/edit?usp=sharing"",""ประจวบคีรีขันธ์!J455"")+IMPORTRANGE(""https://docs.google.com/spreadsheets/d/1vVf6wykvW_lAyu7Yo9L4hUTqHqIeP_qcVuxCtosJEbg/edit?usp=sharing"",""ปราจีนบุรี!J455"")+IMPORTRANGE(""https://docs.googl"&amp;"e.com/spreadsheets/d/1BIDqLLg5jk3v59G8NlR8rk5xfQDKne0sAvZHSj7TI6I/edit?usp=sharing"",""พระนครศรีอยุธยา!J455"")+IMPORTRANGE(""https://docs.google.com/spreadsheets/d/1YXvxf8Yu6_rV4hTBrwMqAcAnv6DfhUxh5emyM3CJp_w/edit?usp=sharing"",""เพชรบุรี!J455"")+IMPORTRA"&amp;"NGE(""https://docs.google.com/spreadsheets/d/19KBlQQs7uwvsao6t2n-KvW3Ax8J8uRRfZPq1zPbXgKc/edit?usp=sharing"",""ระยอง!J455"")+IMPORTRANGE(""https://docs.google.com/spreadsheets/d/1jQ6P4QcrGM89YfqcC_PxOHGCMq5ezhucwJd8ci-NHng/edit?usp=sharing"",""ราชบุรี!J45"&amp;"5"")+IMPORTRANGE(""https://docs.google.com/spreadsheets/d/1lufeA2cfFqM-elVq2hznhDzC6Pr7wkJ9ZG_sYNGCMCU/edit?usp=sharing"",""ลพบุรี!J455"")+IMPORTRANGE(""https://docs.google.com/spreadsheets/d/10oOiF7loTyfsTkbd4MpaIm0HQ9SwB7IYHdIUvt-U1Uc/edit?usp=sharing"""&amp;",""สระแก้ว!J455"")+IMPORTRANGE(""https://docs.google.com/spreadsheets/d/1xmPlrr1QbdSIKvl1dWUl9K4PjAfSL9oeMr_37QVzcxc/edit?usp=sharing"",""สระบุรี!J455"")+IMPORTRANGE(""https://docs.google.com/spreadsheets/d/1j51vR6CYVGhABJpv6tkstgok82RLpXieLzW1yOY5rHw/edi"&amp;"t?usp=sharing"",""สิงห์บุรี!J455"")+IMPORTRANGE(""https://docs.google.com/spreadsheets/d/1H1EalTWKUSzO4Z1-1CwzoDUaVffgrThEBe2sl74kKG0/edit?usp=sharing"",""สุพรรณบุรี!J455"")+IMPORTRANGE(""https://docs.google.com/spreadsheets/d/1BmIruG_sIrJLYao_Pdr7zVArWsf"&amp;"oBt2692TMi6x_854/edit?usp=sharing"",""อ่างทอง!J455"")"),0)</f>
        <v>0</v>
      </c>
      <c r="K456" s="87"/>
      <c r="L456" s="87"/>
      <c r="M456" s="87"/>
      <c r="N456" s="87"/>
      <c r="O456" s="87"/>
      <c r="P456" s="87"/>
      <c r="Q456" s="86"/>
      <c r="R456" s="87"/>
      <c r="S456" s="87"/>
      <c r="T456" s="87"/>
      <c r="U456" s="87"/>
    </row>
    <row r="457" spans="1:21" ht="19.5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327">I458</f>
        <v>0</v>
      </c>
      <c r="J457" s="622">
        <f t="shared" ca="1" si="327"/>
        <v>0</v>
      </c>
      <c r="K457" s="264">
        <f t="shared" ref="K457:K459" ca="1" si="328">IF(I457&gt;0,J457*100/I457,0)</f>
        <v>0</v>
      </c>
      <c r="L457" s="87"/>
      <c r="M457" s="87"/>
      <c r="N457" s="87"/>
      <c r="O457" s="87"/>
      <c r="P457" s="87"/>
      <c r="Q457" s="86"/>
      <c r="R457" s="87"/>
      <c r="S457" s="87"/>
      <c r="T457" s="87"/>
      <c r="U457" s="87"/>
    </row>
    <row r="458" spans="1:21" ht="19.5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13wPX838HrBrQMCywv1BsuMkt4PEKTChp52zj44s2izQ/edit?usp=sharing"",""กาญจนบุรี!I457"")+IMPORTRANGE(""https://docs.google.com/spreadsheets/d/1ddFKvqj1W1NEiWytbGlB1zMx_ykJDVtmfEQ-6-lIUBA/edit?usp=sharing"","&amp;"""จันทบุรี!I457"")+IMPORTRANGE(""https://docs.google.com/spreadsheets/d/1T1PQvRODqOBZk8BRht_U031fIS1beLA0Ub2CEytj2q0/edit?usp=sharing"",""ฉะเชิงเทรา!I457"")+IMPORTRANGE(""https://docs.google.com/spreadsheets/d/11tr1B-Bhyr79v2bkwVh5h_fR-PStkgjlZtkrZpYurG0/"&amp;"edit?usp=sharing"",""ชลบุรี!I457"")+IMPORTRANGE(""https://docs.google.com/spreadsheets/d/1hh-FVnSX0vozXhGluamEcS54Dw9_zqW0N7qJUWgJ0Sw/edit?usp=sharing"",""ชัยนาท!I457"")+IMPORTRANGE(""https://docs.google.com/spreadsheets/d/1jkqa6GXxSacMcY1eN8AHjMNJ_7dDXMJ"&amp;"VRLDlaFSOdPM/edit?usp=sharing"",""ตราด!I457"")+IMPORTRANGE(""https://docs.google.com/spreadsheets/d/18hSgUJ3VwClqi_qtULmmW3cLr0oe3OKaSYoKzdpTsYQ/edit?usp=sharing"",""นครนายก!I457"")+IMPORTRANGE(""https://docs.google.com/spreadsheets/d/1YTZo6WM2dQ6Ix6FSdnL"&amp;"5P7uVnVKu40sxZu975tgG10E/edit?usp=sharing"",""นครปฐม!I457"")+IMPORTRANGE(""https://docs.google.com/spreadsheets/d/1OYoGg4WDg5RIzwGeB10padOxJF9E_Vljuvvct_M7RDo/edit?usp=sharing"",""ปทุมธานี!I457"")+IMPORTRANGE(""https://docs.google.com/spreadsheets/d/1GbCI"&amp;"E4D4wk9FUozzqk7SxfDMxDVBwVmI5zcaVUSzKAc/edit?usp=sharing"",""ประจวบคีรีขันธ์!I457"")+IMPORTRANGE(""https://docs.google.com/spreadsheets/d/1vVf6wykvW_lAyu7Yo9L4hUTqHqIeP_qcVuxCtosJEbg/edit?usp=sharing"",""ปราจีนบุรี!I457"")+IMPORTRANGE(""https://docs.googl"&amp;"e.com/spreadsheets/d/1BIDqLLg5jk3v59G8NlR8rk5xfQDKne0sAvZHSj7TI6I/edit?usp=sharing"",""พระนครศรีอยุธยา!I457"")+IMPORTRANGE(""https://docs.google.com/spreadsheets/d/1YXvxf8Yu6_rV4hTBrwMqAcAnv6DfhUxh5emyM3CJp_w/edit?usp=sharing"",""เพชรบุรี!I457"")+IMPORTRA"&amp;"NGE(""https://docs.google.com/spreadsheets/d/19KBlQQs7uwvsao6t2n-KvW3Ax8J8uRRfZPq1zPbXgKc/edit?usp=sharing"",""ระยอง!I457"")+IMPORTRANGE(""https://docs.google.com/spreadsheets/d/1jQ6P4QcrGM89YfqcC_PxOHGCMq5ezhucwJd8ci-NHng/edit?usp=sharing"",""ราชบุรี!I45"&amp;"7"")+IMPORTRANGE(""https://docs.google.com/spreadsheets/d/1lufeA2cfFqM-elVq2hznhDzC6Pr7wkJ9ZG_sYNGCMCU/edit?usp=sharing"",""ลพบุรี!I457"")+IMPORTRANGE(""https://docs.google.com/spreadsheets/d/10oOiF7loTyfsTkbd4MpaIm0HQ9SwB7IYHdIUvt-U1Uc/edit?usp=sharing"""&amp;",""สระแก้ว!I457"")+IMPORTRANGE(""https://docs.google.com/spreadsheets/d/1xmPlrr1QbdSIKvl1dWUl9K4PjAfSL9oeMr_37QVzcxc/edit?usp=sharing"",""สระบุรี!I457"")+IMPORTRANGE(""https://docs.google.com/spreadsheets/d/1j51vR6CYVGhABJpv6tkstgok82RLpXieLzW1yOY5rHw/edi"&amp;"t?usp=sharing"",""สิงห์บุรี!I457"")+IMPORTRANGE(""https://docs.google.com/spreadsheets/d/1H1EalTWKUSzO4Z1-1CwzoDUaVffgrThEBe2sl74kKG0/edit?usp=sharing"",""สุพรรณบุรี!I457"")+IMPORTRANGE(""https://docs.google.com/spreadsheets/d/1BmIruG_sIrJLYao_Pdr7zVArWsf"&amp;"oBt2692TMi6x_854/edit?usp=sharing"",""อ่างทอง!I457"")"),0)</f>
        <v>0</v>
      </c>
      <c r="J458" s="622">
        <f t="shared" ref="J458:J459" ca="1" si="329">J460+J468+J474</f>
        <v>0</v>
      </c>
      <c r="K458" s="264">
        <f t="shared" ca="1" si="328"/>
        <v>0</v>
      </c>
      <c r="L458" s="87"/>
      <c r="M458" s="87"/>
      <c r="N458" s="87"/>
      <c r="O458" s="87"/>
      <c r="P458" s="87"/>
      <c r="Q458" s="86"/>
      <c r="R458" s="87"/>
      <c r="S458" s="87"/>
      <c r="T458" s="87"/>
      <c r="U458" s="87"/>
    </row>
    <row r="459" spans="1:21" ht="19.5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13wPX838HrBrQMCywv1BsuMkt4PEKTChp52zj44s2izQ/edit?usp=sharing"",""กาญจนบุรี!I458"")+IMPORTRANGE(""https://docs.google.com/spreadsheets/d/1ddFKvqj1W1NEiWytbGlB1zMx_ykJDVtmfEQ-6-lIUBA/edit?usp=sharing"","&amp;"""จันทบุรี!I458"")+IMPORTRANGE(""https://docs.google.com/spreadsheets/d/1T1PQvRODqOBZk8BRht_U031fIS1beLA0Ub2CEytj2q0/edit?usp=sharing"",""ฉะเชิงเทรา!I458"")+IMPORTRANGE(""https://docs.google.com/spreadsheets/d/11tr1B-Bhyr79v2bkwVh5h_fR-PStkgjlZtkrZpYurG0/"&amp;"edit?usp=sharing"",""ชลบุรี!I458"")+IMPORTRANGE(""https://docs.google.com/spreadsheets/d/1hh-FVnSX0vozXhGluamEcS54Dw9_zqW0N7qJUWgJ0Sw/edit?usp=sharing"",""ชัยนาท!I458"")+IMPORTRANGE(""https://docs.google.com/spreadsheets/d/1jkqa6GXxSacMcY1eN8AHjMNJ_7dDXMJ"&amp;"VRLDlaFSOdPM/edit?usp=sharing"",""ตราด!I458"")+IMPORTRANGE(""https://docs.google.com/spreadsheets/d/18hSgUJ3VwClqi_qtULmmW3cLr0oe3OKaSYoKzdpTsYQ/edit?usp=sharing"",""นครนายก!I458"")+IMPORTRANGE(""https://docs.google.com/spreadsheets/d/1YTZo6WM2dQ6Ix6FSdnL"&amp;"5P7uVnVKu40sxZu975tgG10E/edit?usp=sharing"",""นครปฐม!I458"")+IMPORTRANGE(""https://docs.google.com/spreadsheets/d/1OYoGg4WDg5RIzwGeB10padOxJF9E_Vljuvvct_M7RDo/edit?usp=sharing"",""ปทุมธานี!I458"")+IMPORTRANGE(""https://docs.google.com/spreadsheets/d/1GbCI"&amp;"E4D4wk9FUozzqk7SxfDMxDVBwVmI5zcaVUSzKAc/edit?usp=sharing"",""ประจวบคีรีขันธ์!I458"")+IMPORTRANGE(""https://docs.google.com/spreadsheets/d/1vVf6wykvW_lAyu7Yo9L4hUTqHqIeP_qcVuxCtosJEbg/edit?usp=sharing"",""ปราจีนบุรี!I458"")+IMPORTRANGE(""https://docs.googl"&amp;"e.com/spreadsheets/d/1BIDqLLg5jk3v59G8NlR8rk5xfQDKne0sAvZHSj7TI6I/edit?usp=sharing"",""พระนครศรีอยุธยา!I458"")+IMPORTRANGE(""https://docs.google.com/spreadsheets/d/1YXvxf8Yu6_rV4hTBrwMqAcAnv6DfhUxh5emyM3CJp_w/edit?usp=sharing"",""เพชรบุรี!I458"")+IMPORTRA"&amp;"NGE(""https://docs.google.com/spreadsheets/d/19KBlQQs7uwvsao6t2n-KvW3Ax8J8uRRfZPq1zPbXgKc/edit?usp=sharing"",""ระยอง!I458"")+IMPORTRANGE(""https://docs.google.com/spreadsheets/d/1jQ6P4QcrGM89YfqcC_PxOHGCMq5ezhucwJd8ci-NHng/edit?usp=sharing"",""ราชบุรี!I45"&amp;"8"")+IMPORTRANGE(""https://docs.google.com/spreadsheets/d/1lufeA2cfFqM-elVq2hznhDzC6Pr7wkJ9ZG_sYNGCMCU/edit?usp=sharing"",""ลพบุรี!I458"")+IMPORTRANGE(""https://docs.google.com/spreadsheets/d/10oOiF7loTyfsTkbd4MpaIm0HQ9SwB7IYHdIUvt-U1Uc/edit?usp=sharing"""&amp;",""สระแก้ว!I458"")+IMPORTRANGE(""https://docs.google.com/spreadsheets/d/1xmPlrr1QbdSIKvl1dWUl9K4PjAfSL9oeMr_37QVzcxc/edit?usp=sharing"",""สระบุรี!I458"")+IMPORTRANGE(""https://docs.google.com/spreadsheets/d/1j51vR6CYVGhABJpv6tkstgok82RLpXieLzW1yOY5rHw/edi"&amp;"t?usp=sharing"",""สิงห์บุรี!I458"")+IMPORTRANGE(""https://docs.google.com/spreadsheets/d/1H1EalTWKUSzO4Z1-1CwzoDUaVffgrThEBe2sl74kKG0/edit?usp=sharing"",""สุพรรณบุรี!I458"")+IMPORTRANGE(""https://docs.google.com/spreadsheets/d/1BmIruG_sIrJLYao_Pdr7zVArWsf"&amp;"oBt2692TMi6x_854/edit?usp=sharing"",""อ่างทอง!I458"")"),0)</f>
        <v>0</v>
      </c>
      <c r="J459" s="622">
        <f t="shared" ca="1" si="329"/>
        <v>0</v>
      </c>
      <c r="K459" s="264">
        <f t="shared" ca="1" si="328"/>
        <v>0</v>
      </c>
      <c r="L459" s="87"/>
      <c r="M459" s="87"/>
      <c r="N459" s="87"/>
      <c r="O459" s="87"/>
      <c r="P459" s="87"/>
      <c r="Q459" s="86"/>
      <c r="R459" s="87"/>
      <c r="S459" s="87"/>
      <c r="T459" s="87"/>
      <c r="U459" s="87"/>
    </row>
    <row r="460" spans="1:21" ht="18.75" x14ac:dyDescent="0.25">
      <c r="A460" s="550"/>
      <c r="B460" s="269"/>
      <c r="C460" s="58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ca="1" si="330">J462+J464</f>
        <v>0</v>
      </c>
      <c r="K460" s="87"/>
      <c r="L460" s="87"/>
      <c r="M460" s="87"/>
      <c r="N460" s="87"/>
      <c r="O460" s="87"/>
      <c r="P460" s="87"/>
      <c r="Q460" s="86"/>
      <c r="R460" s="87"/>
      <c r="S460" s="87"/>
      <c r="T460" s="87"/>
      <c r="U460" s="87"/>
    </row>
    <row r="461" spans="1:21" ht="18.75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ca="1" si="330"/>
        <v>0</v>
      </c>
      <c r="K461" s="87"/>
      <c r="L461" s="87"/>
      <c r="M461" s="87"/>
      <c r="N461" s="87"/>
      <c r="O461" s="87"/>
      <c r="P461" s="87"/>
      <c r="Q461" s="86"/>
      <c r="R461" s="87"/>
      <c r="S461" s="87"/>
      <c r="T461" s="87"/>
      <c r="U461" s="87"/>
    </row>
    <row r="462" spans="1:21" ht="18.75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623">
        <f ca="1">IFERROR(__xludf.DUMMYFUNCTION("IMPORTRANGE(""https://docs.google.com/spreadsheets/d/13wPX838HrBrQMCywv1BsuMkt4PEKTChp52zj44s2izQ/edit?usp=sharing"",""กาญจนบุรี!J461"")+IMPORTRANGE(""https://docs.google.com/spreadsheets/d/1ddFKvqj1W1NEiWytbGlB1zMx_ykJDVtmfEQ-6-lIUBA/edit?usp=sharing"","&amp;"""จันทบุรี!J461"")+IMPORTRANGE(""https://docs.google.com/spreadsheets/d/1T1PQvRODqOBZk8BRht_U031fIS1beLA0Ub2CEytj2q0/edit?usp=sharing"",""ฉะเชิงเทรา!J461"")+IMPORTRANGE(""https://docs.google.com/spreadsheets/d/11tr1B-Bhyr79v2bkwVh5h_fR-PStkgjlZtkrZpYurG0/"&amp;"edit?usp=sharing"",""ชลบุรี!J461"")+IMPORTRANGE(""https://docs.google.com/spreadsheets/d/1hh-FVnSX0vozXhGluamEcS54Dw9_zqW0N7qJUWgJ0Sw/edit?usp=sharing"",""ชัยนาท!J461"")+IMPORTRANGE(""https://docs.google.com/spreadsheets/d/1jkqa6GXxSacMcY1eN8AHjMNJ_7dDXMJ"&amp;"VRLDlaFSOdPM/edit?usp=sharing"",""ตราด!J461"")+IMPORTRANGE(""https://docs.google.com/spreadsheets/d/18hSgUJ3VwClqi_qtULmmW3cLr0oe3OKaSYoKzdpTsYQ/edit?usp=sharing"",""นครนายก!J461"")+IMPORTRANGE(""https://docs.google.com/spreadsheets/d/1YTZo6WM2dQ6Ix6FSdnL"&amp;"5P7uVnVKu40sxZu975tgG10E/edit?usp=sharing"",""นครปฐม!J461"")+IMPORTRANGE(""https://docs.google.com/spreadsheets/d/1OYoGg4WDg5RIzwGeB10padOxJF9E_Vljuvvct_M7RDo/edit?usp=sharing"",""ปทุมธานี!J461"")+IMPORTRANGE(""https://docs.google.com/spreadsheets/d/1GbCI"&amp;"E4D4wk9FUozzqk7SxfDMxDVBwVmI5zcaVUSzKAc/edit?usp=sharing"",""ประจวบคีรีขันธ์!J461"")+IMPORTRANGE(""https://docs.google.com/spreadsheets/d/1vVf6wykvW_lAyu7Yo9L4hUTqHqIeP_qcVuxCtosJEbg/edit?usp=sharing"",""ปราจีนบุรี!J461"")+IMPORTRANGE(""https://docs.googl"&amp;"e.com/spreadsheets/d/1BIDqLLg5jk3v59G8NlR8rk5xfQDKne0sAvZHSj7TI6I/edit?usp=sharing"",""พระนครศรีอยุธยา!J461"")+IMPORTRANGE(""https://docs.google.com/spreadsheets/d/1YXvxf8Yu6_rV4hTBrwMqAcAnv6DfhUxh5emyM3CJp_w/edit?usp=sharing"",""เพชรบุรี!J461"")+IMPORTRA"&amp;"NGE(""https://docs.google.com/spreadsheets/d/19KBlQQs7uwvsao6t2n-KvW3Ax8J8uRRfZPq1zPbXgKc/edit?usp=sharing"",""ระยอง!J461"")+IMPORTRANGE(""https://docs.google.com/spreadsheets/d/1jQ6P4QcrGM89YfqcC_PxOHGCMq5ezhucwJd8ci-NHng/edit?usp=sharing"",""ราชบุรี!J46"&amp;"1"")+IMPORTRANGE(""https://docs.google.com/spreadsheets/d/1lufeA2cfFqM-elVq2hznhDzC6Pr7wkJ9ZG_sYNGCMCU/edit?usp=sharing"",""ลพบุรี!J461"")+IMPORTRANGE(""https://docs.google.com/spreadsheets/d/10oOiF7loTyfsTkbd4MpaIm0HQ9SwB7IYHdIUvt-U1Uc/edit?usp=sharing"""&amp;",""สระแก้ว!J461"")+IMPORTRANGE(""https://docs.google.com/spreadsheets/d/1xmPlrr1QbdSIKvl1dWUl9K4PjAfSL9oeMr_37QVzcxc/edit?usp=sharing"",""สระบุรี!J461"")+IMPORTRANGE(""https://docs.google.com/spreadsheets/d/1j51vR6CYVGhABJpv6tkstgok82RLpXieLzW1yOY5rHw/edi"&amp;"t?usp=sharing"",""สิงห์บุรี!J461"")+IMPORTRANGE(""https://docs.google.com/spreadsheets/d/1H1EalTWKUSzO4Z1-1CwzoDUaVffgrThEBe2sl74kKG0/edit?usp=sharing"",""สุพรรณบุรี!J461"")+IMPORTRANGE(""https://docs.google.com/spreadsheets/d/1BmIruG_sIrJLYao_Pdr7zVArWsf"&amp;"oBt2692TMi6x_854/edit?usp=sharing"",""อ่างทอง!J461"")"),0)</f>
        <v>0</v>
      </c>
      <c r="K462" s="87"/>
      <c r="L462" s="87"/>
      <c r="M462" s="87"/>
      <c r="N462" s="87"/>
      <c r="O462" s="87"/>
      <c r="P462" s="87"/>
      <c r="Q462" s="86"/>
      <c r="R462" s="87"/>
      <c r="S462" s="87"/>
      <c r="T462" s="87"/>
      <c r="U462" s="87"/>
    </row>
    <row r="463" spans="1:21" ht="18.75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623">
        <f ca="1">IFERROR(__xludf.DUMMYFUNCTION("IMPORTRANGE(""https://docs.google.com/spreadsheets/d/13wPX838HrBrQMCywv1BsuMkt4PEKTChp52zj44s2izQ/edit?usp=sharing"",""กาญจนบุรี!J462"")+IMPORTRANGE(""https://docs.google.com/spreadsheets/d/1ddFKvqj1W1NEiWytbGlB1zMx_ykJDVtmfEQ-6-lIUBA/edit?usp=sharing"","&amp;"""จันทบุรี!J462"")+IMPORTRANGE(""https://docs.google.com/spreadsheets/d/1T1PQvRODqOBZk8BRht_U031fIS1beLA0Ub2CEytj2q0/edit?usp=sharing"",""ฉะเชิงเทรา!J462"")+IMPORTRANGE(""https://docs.google.com/spreadsheets/d/11tr1B-Bhyr79v2bkwVh5h_fR-PStkgjlZtkrZpYurG0/"&amp;"edit?usp=sharing"",""ชลบุรี!J462"")+IMPORTRANGE(""https://docs.google.com/spreadsheets/d/1hh-FVnSX0vozXhGluamEcS54Dw9_zqW0N7qJUWgJ0Sw/edit?usp=sharing"",""ชัยนาท!J462"")+IMPORTRANGE(""https://docs.google.com/spreadsheets/d/1jkqa6GXxSacMcY1eN8AHjMNJ_7dDXMJ"&amp;"VRLDlaFSOdPM/edit?usp=sharing"",""ตราด!J462"")+IMPORTRANGE(""https://docs.google.com/spreadsheets/d/18hSgUJ3VwClqi_qtULmmW3cLr0oe3OKaSYoKzdpTsYQ/edit?usp=sharing"",""นครนายก!J462"")+IMPORTRANGE(""https://docs.google.com/spreadsheets/d/1YTZo6WM2dQ6Ix6FSdnL"&amp;"5P7uVnVKu40sxZu975tgG10E/edit?usp=sharing"",""นครปฐม!J462"")+IMPORTRANGE(""https://docs.google.com/spreadsheets/d/1OYoGg4WDg5RIzwGeB10padOxJF9E_Vljuvvct_M7RDo/edit?usp=sharing"",""ปทุมธานี!J462"")+IMPORTRANGE(""https://docs.google.com/spreadsheets/d/1GbCI"&amp;"E4D4wk9FUozzqk7SxfDMxDVBwVmI5zcaVUSzKAc/edit?usp=sharing"",""ประจวบคีรีขันธ์!J462"")+IMPORTRANGE(""https://docs.google.com/spreadsheets/d/1vVf6wykvW_lAyu7Yo9L4hUTqHqIeP_qcVuxCtosJEbg/edit?usp=sharing"",""ปราจีนบุรี!J462"")+IMPORTRANGE(""https://docs.googl"&amp;"e.com/spreadsheets/d/1BIDqLLg5jk3v59G8NlR8rk5xfQDKne0sAvZHSj7TI6I/edit?usp=sharing"",""พระนครศรีอยุธยา!J462"")+IMPORTRANGE(""https://docs.google.com/spreadsheets/d/1YXvxf8Yu6_rV4hTBrwMqAcAnv6DfhUxh5emyM3CJp_w/edit?usp=sharing"",""เพชรบุรี!J462"")+IMPORTRA"&amp;"NGE(""https://docs.google.com/spreadsheets/d/19KBlQQs7uwvsao6t2n-KvW3Ax8J8uRRfZPq1zPbXgKc/edit?usp=sharing"",""ระยอง!J462"")+IMPORTRANGE(""https://docs.google.com/spreadsheets/d/1jQ6P4QcrGM89YfqcC_PxOHGCMq5ezhucwJd8ci-NHng/edit?usp=sharing"",""ราชบุรี!J46"&amp;"2"")+IMPORTRANGE(""https://docs.google.com/spreadsheets/d/1lufeA2cfFqM-elVq2hznhDzC6Pr7wkJ9ZG_sYNGCMCU/edit?usp=sharing"",""ลพบุรี!J462"")+IMPORTRANGE(""https://docs.google.com/spreadsheets/d/10oOiF7loTyfsTkbd4MpaIm0HQ9SwB7IYHdIUvt-U1Uc/edit?usp=sharing"""&amp;",""สระแก้ว!J462"")+IMPORTRANGE(""https://docs.google.com/spreadsheets/d/1xmPlrr1QbdSIKvl1dWUl9K4PjAfSL9oeMr_37QVzcxc/edit?usp=sharing"",""สระบุรี!J462"")+IMPORTRANGE(""https://docs.google.com/spreadsheets/d/1j51vR6CYVGhABJpv6tkstgok82RLpXieLzW1yOY5rHw/edi"&amp;"t?usp=sharing"",""สิงห์บุรี!J462"")+IMPORTRANGE(""https://docs.google.com/spreadsheets/d/1H1EalTWKUSzO4Z1-1CwzoDUaVffgrThEBe2sl74kKG0/edit?usp=sharing"",""สุพรรณบุรี!J462"")+IMPORTRANGE(""https://docs.google.com/spreadsheets/d/1BmIruG_sIrJLYao_Pdr7zVArWsf"&amp;"oBt2692TMi6x_854/edit?usp=sharing"",""อ่างทอง!J462"")"),0)</f>
        <v>0</v>
      </c>
      <c r="K463" s="87"/>
      <c r="L463" s="87"/>
      <c r="M463" s="87"/>
      <c r="N463" s="87"/>
      <c r="O463" s="87"/>
      <c r="P463" s="87"/>
      <c r="Q463" s="86"/>
      <c r="R463" s="87"/>
      <c r="S463" s="87"/>
      <c r="T463" s="87"/>
      <c r="U463" s="87"/>
    </row>
    <row r="464" spans="1:21" ht="18.75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623">
        <f ca="1">IFERROR(__xludf.DUMMYFUNCTION("IMPORTRANGE(""https://docs.google.com/spreadsheets/d/13wPX838HrBrQMCywv1BsuMkt4PEKTChp52zj44s2izQ/edit?usp=sharing"",""กาญจนบุรี!J463"")+IMPORTRANGE(""https://docs.google.com/spreadsheets/d/1ddFKvqj1W1NEiWytbGlB1zMx_ykJDVtmfEQ-6-lIUBA/edit?usp=sharing"","&amp;"""จันทบุรี!J463"")+IMPORTRANGE(""https://docs.google.com/spreadsheets/d/1T1PQvRODqOBZk8BRht_U031fIS1beLA0Ub2CEytj2q0/edit?usp=sharing"",""ฉะเชิงเทรา!J463"")+IMPORTRANGE(""https://docs.google.com/spreadsheets/d/11tr1B-Bhyr79v2bkwVh5h_fR-PStkgjlZtkrZpYurG0/"&amp;"edit?usp=sharing"",""ชลบุรี!J463"")+IMPORTRANGE(""https://docs.google.com/spreadsheets/d/1hh-FVnSX0vozXhGluamEcS54Dw9_zqW0N7qJUWgJ0Sw/edit?usp=sharing"",""ชัยนาท!J463"")+IMPORTRANGE(""https://docs.google.com/spreadsheets/d/1jkqa6GXxSacMcY1eN8AHjMNJ_7dDXMJ"&amp;"VRLDlaFSOdPM/edit?usp=sharing"",""ตราด!J463"")+IMPORTRANGE(""https://docs.google.com/spreadsheets/d/18hSgUJ3VwClqi_qtULmmW3cLr0oe3OKaSYoKzdpTsYQ/edit?usp=sharing"",""นครนายก!J463"")+IMPORTRANGE(""https://docs.google.com/spreadsheets/d/1YTZo6WM2dQ6Ix6FSdnL"&amp;"5P7uVnVKu40sxZu975tgG10E/edit?usp=sharing"",""นครปฐม!J463"")+IMPORTRANGE(""https://docs.google.com/spreadsheets/d/1OYoGg4WDg5RIzwGeB10padOxJF9E_Vljuvvct_M7RDo/edit?usp=sharing"",""ปทุมธานี!J463"")+IMPORTRANGE(""https://docs.google.com/spreadsheets/d/1GbCI"&amp;"E4D4wk9FUozzqk7SxfDMxDVBwVmI5zcaVUSzKAc/edit?usp=sharing"",""ประจวบคีรีขันธ์!J463"")+IMPORTRANGE(""https://docs.google.com/spreadsheets/d/1vVf6wykvW_lAyu7Yo9L4hUTqHqIeP_qcVuxCtosJEbg/edit?usp=sharing"",""ปราจีนบุรี!J463"")+IMPORTRANGE(""https://docs.googl"&amp;"e.com/spreadsheets/d/1BIDqLLg5jk3v59G8NlR8rk5xfQDKne0sAvZHSj7TI6I/edit?usp=sharing"",""พระนครศรีอยุธยา!J463"")+IMPORTRANGE(""https://docs.google.com/spreadsheets/d/1YXvxf8Yu6_rV4hTBrwMqAcAnv6DfhUxh5emyM3CJp_w/edit?usp=sharing"",""เพชรบุรี!J463"")+IMPORTRA"&amp;"NGE(""https://docs.google.com/spreadsheets/d/19KBlQQs7uwvsao6t2n-KvW3Ax8J8uRRfZPq1zPbXgKc/edit?usp=sharing"",""ระยอง!J463"")+IMPORTRANGE(""https://docs.google.com/spreadsheets/d/1jQ6P4QcrGM89YfqcC_PxOHGCMq5ezhucwJd8ci-NHng/edit?usp=sharing"",""ราชบุรี!J46"&amp;"3"")+IMPORTRANGE(""https://docs.google.com/spreadsheets/d/1lufeA2cfFqM-elVq2hznhDzC6Pr7wkJ9ZG_sYNGCMCU/edit?usp=sharing"",""ลพบุรี!J463"")+IMPORTRANGE(""https://docs.google.com/spreadsheets/d/10oOiF7loTyfsTkbd4MpaIm0HQ9SwB7IYHdIUvt-U1Uc/edit?usp=sharing"""&amp;",""สระแก้ว!J463"")+IMPORTRANGE(""https://docs.google.com/spreadsheets/d/1xmPlrr1QbdSIKvl1dWUl9K4PjAfSL9oeMr_37QVzcxc/edit?usp=sharing"",""สระบุรี!J463"")+IMPORTRANGE(""https://docs.google.com/spreadsheets/d/1j51vR6CYVGhABJpv6tkstgok82RLpXieLzW1yOY5rHw/edi"&amp;"t?usp=sharing"",""สิงห์บุรี!J463"")+IMPORTRANGE(""https://docs.google.com/spreadsheets/d/1H1EalTWKUSzO4Z1-1CwzoDUaVffgrThEBe2sl74kKG0/edit?usp=sharing"",""สุพรรณบุรี!J463"")+IMPORTRANGE(""https://docs.google.com/spreadsheets/d/1BmIruG_sIrJLYao_Pdr7zVArWsf"&amp;"oBt2692TMi6x_854/edit?usp=sharing"",""อ่างทอง!J463"")"),0)</f>
        <v>0</v>
      </c>
      <c r="K464" s="87"/>
      <c r="L464" s="87"/>
      <c r="M464" s="87"/>
      <c r="N464" s="87"/>
      <c r="O464" s="87"/>
      <c r="P464" s="87"/>
      <c r="Q464" s="86"/>
      <c r="R464" s="87"/>
      <c r="S464" s="87"/>
      <c r="T464" s="87"/>
      <c r="U464" s="87"/>
    </row>
    <row r="465" spans="1:21" ht="18.75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623">
        <f ca="1">IFERROR(__xludf.DUMMYFUNCTION("IMPORTRANGE(""https://docs.google.com/spreadsheets/d/13wPX838HrBrQMCywv1BsuMkt4PEKTChp52zj44s2izQ/edit?usp=sharing"",""กาญจนบุรี!J464"")+IMPORTRANGE(""https://docs.google.com/spreadsheets/d/1ddFKvqj1W1NEiWytbGlB1zMx_ykJDVtmfEQ-6-lIUBA/edit?usp=sharing"","&amp;"""จันทบุรี!J464"")+IMPORTRANGE(""https://docs.google.com/spreadsheets/d/1T1PQvRODqOBZk8BRht_U031fIS1beLA0Ub2CEytj2q0/edit?usp=sharing"",""ฉะเชิงเทรา!J464"")+IMPORTRANGE(""https://docs.google.com/spreadsheets/d/11tr1B-Bhyr79v2bkwVh5h_fR-PStkgjlZtkrZpYurG0/"&amp;"edit?usp=sharing"",""ชลบุรี!J464"")+IMPORTRANGE(""https://docs.google.com/spreadsheets/d/1hh-FVnSX0vozXhGluamEcS54Dw9_zqW0N7qJUWgJ0Sw/edit?usp=sharing"",""ชัยนาท!J464"")+IMPORTRANGE(""https://docs.google.com/spreadsheets/d/1jkqa6GXxSacMcY1eN8AHjMNJ_7dDXMJ"&amp;"VRLDlaFSOdPM/edit?usp=sharing"",""ตราด!J464"")+IMPORTRANGE(""https://docs.google.com/spreadsheets/d/18hSgUJ3VwClqi_qtULmmW3cLr0oe3OKaSYoKzdpTsYQ/edit?usp=sharing"",""นครนายก!J464"")+IMPORTRANGE(""https://docs.google.com/spreadsheets/d/1YTZo6WM2dQ6Ix6FSdnL"&amp;"5P7uVnVKu40sxZu975tgG10E/edit?usp=sharing"",""นครปฐม!J464"")+IMPORTRANGE(""https://docs.google.com/spreadsheets/d/1OYoGg4WDg5RIzwGeB10padOxJF9E_Vljuvvct_M7RDo/edit?usp=sharing"",""ปทุมธานี!J464"")+IMPORTRANGE(""https://docs.google.com/spreadsheets/d/1GbCI"&amp;"E4D4wk9FUozzqk7SxfDMxDVBwVmI5zcaVUSzKAc/edit?usp=sharing"",""ประจวบคีรีขันธ์!J464"")+IMPORTRANGE(""https://docs.google.com/spreadsheets/d/1vVf6wykvW_lAyu7Yo9L4hUTqHqIeP_qcVuxCtosJEbg/edit?usp=sharing"",""ปราจีนบุรี!J464"")+IMPORTRANGE(""https://docs.googl"&amp;"e.com/spreadsheets/d/1BIDqLLg5jk3v59G8NlR8rk5xfQDKne0sAvZHSj7TI6I/edit?usp=sharing"",""พระนครศรีอยุธยา!J464"")+IMPORTRANGE(""https://docs.google.com/spreadsheets/d/1YXvxf8Yu6_rV4hTBrwMqAcAnv6DfhUxh5emyM3CJp_w/edit?usp=sharing"",""เพชรบุรี!J464"")+IMPORTRA"&amp;"NGE(""https://docs.google.com/spreadsheets/d/19KBlQQs7uwvsao6t2n-KvW3Ax8J8uRRfZPq1zPbXgKc/edit?usp=sharing"",""ระยอง!J464"")+IMPORTRANGE(""https://docs.google.com/spreadsheets/d/1jQ6P4QcrGM89YfqcC_PxOHGCMq5ezhucwJd8ci-NHng/edit?usp=sharing"",""ราชบุรี!J46"&amp;"4"")+IMPORTRANGE(""https://docs.google.com/spreadsheets/d/1lufeA2cfFqM-elVq2hznhDzC6Pr7wkJ9ZG_sYNGCMCU/edit?usp=sharing"",""ลพบุรี!J464"")+IMPORTRANGE(""https://docs.google.com/spreadsheets/d/10oOiF7loTyfsTkbd4MpaIm0HQ9SwB7IYHdIUvt-U1Uc/edit?usp=sharing"""&amp;",""สระแก้ว!J464"")+IMPORTRANGE(""https://docs.google.com/spreadsheets/d/1xmPlrr1QbdSIKvl1dWUl9K4PjAfSL9oeMr_37QVzcxc/edit?usp=sharing"",""สระบุรี!J464"")+IMPORTRANGE(""https://docs.google.com/spreadsheets/d/1j51vR6CYVGhABJpv6tkstgok82RLpXieLzW1yOY5rHw/edi"&amp;"t?usp=sharing"",""สิงห์บุรี!J464"")+IMPORTRANGE(""https://docs.google.com/spreadsheets/d/1H1EalTWKUSzO4Z1-1CwzoDUaVffgrThEBe2sl74kKG0/edit?usp=sharing"",""สุพรรณบุรี!J464"")+IMPORTRANGE(""https://docs.google.com/spreadsheets/d/1BmIruG_sIrJLYao_Pdr7zVArWsf"&amp;"oBt2692TMi6x_854/edit?usp=sharing"",""อ่างทอง!J464"")"),0)</f>
        <v>0</v>
      </c>
      <c r="K465" s="87"/>
      <c r="L465" s="87"/>
      <c r="M465" s="87"/>
      <c r="N465" s="87"/>
      <c r="O465" s="87"/>
      <c r="P465" s="87"/>
      <c r="Q465" s="86"/>
      <c r="R465" s="87"/>
      <c r="S465" s="87"/>
      <c r="T465" s="87"/>
      <c r="U465" s="87"/>
    </row>
    <row r="466" spans="1:21" ht="18.75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623">
        <f ca="1">IFERROR(__xludf.DUMMYFUNCTION("IMPORTRANGE(""https://docs.google.com/spreadsheets/d/13wPX838HrBrQMCywv1BsuMkt4PEKTChp52zj44s2izQ/edit?usp=sharing"",""กาญจนบุรี!J465"")+IMPORTRANGE(""https://docs.google.com/spreadsheets/d/1ddFKvqj1W1NEiWytbGlB1zMx_ykJDVtmfEQ-6-lIUBA/edit?usp=sharing"","&amp;"""จันทบุรี!J465"")+IMPORTRANGE(""https://docs.google.com/spreadsheets/d/1T1PQvRODqOBZk8BRht_U031fIS1beLA0Ub2CEytj2q0/edit?usp=sharing"",""ฉะเชิงเทรา!J465"")+IMPORTRANGE(""https://docs.google.com/spreadsheets/d/11tr1B-Bhyr79v2bkwVh5h_fR-PStkgjlZtkrZpYurG0/"&amp;"edit?usp=sharing"",""ชลบุรี!J465"")+IMPORTRANGE(""https://docs.google.com/spreadsheets/d/1hh-FVnSX0vozXhGluamEcS54Dw9_zqW0N7qJUWgJ0Sw/edit?usp=sharing"",""ชัยนาท!J465"")+IMPORTRANGE(""https://docs.google.com/spreadsheets/d/1jkqa6GXxSacMcY1eN8AHjMNJ_7dDXMJ"&amp;"VRLDlaFSOdPM/edit?usp=sharing"",""ตราด!J465"")+IMPORTRANGE(""https://docs.google.com/spreadsheets/d/18hSgUJ3VwClqi_qtULmmW3cLr0oe3OKaSYoKzdpTsYQ/edit?usp=sharing"",""นครนายก!J465"")+IMPORTRANGE(""https://docs.google.com/spreadsheets/d/1YTZo6WM2dQ6Ix6FSdnL"&amp;"5P7uVnVKu40sxZu975tgG10E/edit?usp=sharing"",""นครปฐม!J465"")+IMPORTRANGE(""https://docs.google.com/spreadsheets/d/1OYoGg4WDg5RIzwGeB10padOxJF9E_Vljuvvct_M7RDo/edit?usp=sharing"",""ปทุมธานี!J465"")+IMPORTRANGE(""https://docs.google.com/spreadsheets/d/1GbCI"&amp;"E4D4wk9FUozzqk7SxfDMxDVBwVmI5zcaVUSzKAc/edit?usp=sharing"",""ประจวบคีรีขันธ์!J465"")+IMPORTRANGE(""https://docs.google.com/spreadsheets/d/1vVf6wykvW_lAyu7Yo9L4hUTqHqIeP_qcVuxCtosJEbg/edit?usp=sharing"",""ปราจีนบุรี!J465"")+IMPORTRANGE(""https://docs.googl"&amp;"e.com/spreadsheets/d/1BIDqLLg5jk3v59G8NlR8rk5xfQDKne0sAvZHSj7TI6I/edit?usp=sharing"",""พระนครศรีอยุธยา!J465"")+IMPORTRANGE(""https://docs.google.com/spreadsheets/d/1YXvxf8Yu6_rV4hTBrwMqAcAnv6DfhUxh5emyM3CJp_w/edit?usp=sharing"",""เพชรบุรี!J465"")+IMPORTRA"&amp;"NGE(""https://docs.google.com/spreadsheets/d/19KBlQQs7uwvsao6t2n-KvW3Ax8J8uRRfZPq1zPbXgKc/edit?usp=sharing"",""ระยอง!J465"")+IMPORTRANGE(""https://docs.google.com/spreadsheets/d/1jQ6P4QcrGM89YfqcC_PxOHGCMq5ezhucwJd8ci-NHng/edit?usp=sharing"",""ราชบุรี!J46"&amp;"5"")+IMPORTRANGE(""https://docs.google.com/spreadsheets/d/1lufeA2cfFqM-elVq2hznhDzC6Pr7wkJ9ZG_sYNGCMCU/edit?usp=sharing"",""ลพบุรี!J465"")+IMPORTRANGE(""https://docs.google.com/spreadsheets/d/10oOiF7loTyfsTkbd4MpaIm0HQ9SwB7IYHdIUvt-U1Uc/edit?usp=sharing"""&amp;",""สระแก้ว!J465"")+IMPORTRANGE(""https://docs.google.com/spreadsheets/d/1xmPlrr1QbdSIKvl1dWUl9K4PjAfSL9oeMr_37QVzcxc/edit?usp=sharing"",""สระบุรี!J465"")+IMPORTRANGE(""https://docs.google.com/spreadsheets/d/1j51vR6CYVGhABJpv6tkstgok82RLpXieLzW1yOY5rHw/edi"&amp;"t?usp=sharing"",""สิงห์บุรี!J465"")+IMPORTRANGE(""https://docs.google.com/spreadsheets/d/1H1EalTWKUSzO4Z1-1CwzoDUaVffgrThEBe2sl74kKG0/edit?usp=sharing"",""สุพรรณบุรี!J465"")+IMPORTRANGE(""https://docs.google.com/spreadsheets/d/1BmIruG_sIrJLYao_Pdr7zVArWsf"&amp;"oBt2692TMi6x_854/edit?usp=sharing"",""อ่างทอง!J465"")"),0)</f>
        <v>0</v>
      </c>
      <c r="K466" s="87"/>
      <c r="L466" s="87"/>
      <c r="M466" s="87"/>
      <c r="N466" s="87"/>
      <c r="O466" s="87"/>
      <c r="P466" s="87"/>
      <c r="Q466" s="86"/>
      <c r="R466" s="87"/>
      <c r="S466" s="87"/>
      <c r="T466" s="87"/>
      <c r="U466" s="87"/>
    </row>
    <row r="467" spans="1:21" ht="18.75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623">
        <f ca="1">IFERROR(__xludf.DUMMYFUNCTION("IMPORTRANGE(""https://docs.google.com/spreadsheets/d/13wPX838HrBrQMCywv1BsuMkt4PEKTChp52zj44s2izQ/edit?usp=sharing"",""กาญจนบุรี!J466"")+IMPORTRANGE(""https://docs.google.com/spreadsheets/d/1ddFKvqj1W1NEiWytbGlB1zMx_ykJDVtmfEQ-6-lIUBA/edit?usp=sharing"","&amp;"""จันทบุรี!J466"")+IMPORTRANGE(""https://docs.google.com/spreadsheets/d/1T1PQvRODqOBZk8BRht_U031fIS1beLA0Ub2CEytj2q0/edit?usp=sharing"",""ฉะเชิงเทรา!J466"")+IMPORTRANGE(""https://docs.google.com/spreadsheets/d/11tr1B-Bhyr79v2bkwVh5h_fR-PStkgjlZtkrZpYurG0/"&amp;"edit?usp=sharing"",""ชลบุรี!J466"")+IMPORTRANGE(""https://docs.google.com/spreadsheets/d/1hh-FVnSX0vozXhGluamEcS54Dw9_zqW0N7qJUWgJ0Sw/edit?usp=sharing"",""ชัยนาท!J466"")+IMPORTRANGE(""https://docs.google.com/spreadsheets/d/1jkqa6GXxSacMcY1eN8AHjMNJ_7dDXMJ"&amp;"VRLDlaFSOdPM/edit?usp=sharing"",""ตราด!J466"")+IMPORTRANGE(""https://docs.google.com/spreadsheets/d/18hSgUJ3VwClqi_qtULmmW3cLr0oe3OKaSYoKzdpTsYQ/edit?usp=sharing"",""นครนายก!J466"")+IMPORTRANGE(""https://docs.google.com/spreadsheets/d/1YTZo6WM2dQ6Ix6FSdnL"&amp;"5P7uVnVKu40sxZu975tgG10E/edit?usp=sharing"",""นครปฐม!J466"")+IMPORTRANGE(""https://docs.google.com/spreadsheets/d/1OYoGg4WDg5RIzwGeB10padOxJF9E_Vljuvvct_M7RDo/edit?usp=sharing"",""ปทุมธานี!J466"")+IMPORTRANGE(""https://docs.google.com/spreadsheets/d/1GbCI"&amp;"E4D4wk9FUozzqk7SxfDMxDVBwVmI5zcaVUSzKAc/edit?usp=sharing"",""ประจวบคีรีขันธ์!J466"")+IMPORTRANGE(""https://docs.google.com/spreadsheets/d/1vVf6wykvW_lAyu7Yo9L4hUTqHqIeP_qcVuxCtosJEbg/edit?usp=sharing"",""ปราจีนบุรี!J466"")+IMPORTRANGE(""https://docs.googl"&amp;"e.com/spreadsheets/d/1BIDqLLg5jk3v59G8NlR8rk5xfQDKne0sAvZHSj7TI6I/edit?usp=sharing"",""พระนครศรีอยุธยา!J466"")+IMPORTRANGE(""https://docs.google.com/spreadsheets/d/1YXvxf8Yu6_rV4hTBrwMqAcAnv6DfhUxh5emyM3CJp_w/edit?usp=sharing"",""เพชรบุรี!J466"")+IMPORTRA"&amp;"NGE(""https://docs.google.com/spreadsheets/d/19KBlQQs7uwvsao6t2n-KvW3Ax8J8uRRfZPq1zPbXgKc/edit?usp=sharing"",""ระยอง!J466"")+IMPORTRANGE(""https://docs.google.com/spreadsheets/d/1jQ6P4QcrGM89YfqcC_PxOHGCMq5ezhucwJd8ci-NHng/edit?usp=sharing"",""ราชบุรี!J46"&amp;"6"")+IMPORTRANGE(""https://docs.google.com/spreadsheets/d/1lufeA2cfFqM-elVq2hznhDzC6Pr7wkJ9ZG_sYNGCMCU/edit?usp=sharing"",""ลพบุรี!J466"")+IMPORTRANGE(""https://docs.google.com/spreadsheets/d/10oOiF7loTyfsTkbd4MpaIm0HQ9SwB7IYHdIUvt-U1Uc/edit?usp=sharing"""&amp;",""สระแก้ว!J466"")+IMPORTRANGE(""https://docs.google.com/spreadsheets/d/1xmPlrr1QbdSIKvl1dWUl9K4PjAfSL9oeMr_37QVzcxc/edit?usp=sharing"",""สระบุรี!J466"")+IMPORTRANGE(""https://docs.google.com/spreadsheets/d/1j51vR6CYVGhABJpv6tkstgok82RLpXieLzW1yOY5rHw/edi"&amp;"t?usp=sharing"",""สิงห์บุรี!J466"")+IMPORTRANGE(""https://docs.google.com/spreadsheets/d/1H1EalTWKUSzO4Z1-1CwzoDUaVffgrThEBe2sl74kKG0/edit?usp=sharing"",""สุพรรณบุรี!J466"")+IMPORTRANGE(""https://docs.google.com/spreadsheets/d/1BmIruG_sIrJLYao_Pdr7zVArWsf"&amp;"oBt2692TMi6x_854/edit?usp=sharing"",""อ่างทอง!J466"")"),0)</f>
        <v>0</v>
      </c>
      <c r="K467" s="87"/>
      <c r="L467" s="87"/>
      <c r="M467" s="87"/>
      <c r="N467" s="87"/>
      <c r="O467" s="87"/>
      <c r="P467" s="87"/>
      <c r="Q467" s="86"/>
      <c r="R467" s="87"/>
      <c r="S467" s="87"/>
      <c r="T467" s="87"/>
      <c r="U467" s="87"/>
    </row>
    <row r="468" spans="1:21" ht="18.75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ca="1" si="331">J470+J472</f>
        <v>0</v>
      </c>
      <c r="K468" s="87"/>
      <c r="L468" s="87"/>
      <c r="M468" s="87"/>
      <c r="N468" s="87"/>
      <c r="O468" s="87"/>
      <c r="P468" s="87"/>
      <c r="Q468" s="86"/>
      <c r="R468" s="87"/>
      <c r="S468" s="87"/>
      <c r="T468" s="87"/>
      <c r="U468" s="87"/>
    </row>
    <row r="469" spans="1:21" ht="18.75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ca="1" si="331"/>
        <v>0</v>
      </c>
      <c r="K469" s="87"/>
      <c r="L469" s="87"/>
      <c r="M469" s="87"/>
      <c r="N469" s="87"/>
      <c r="O469" s="87"/>
      <c r="P469" s="87"/>
      <c r="Q469" s="86"/>
      <c r="R469" s="87"/>
      <c r="S469" s="87"/>
      <c r="T469" s="87"/>
      <c r="U469" s="87"/>
    </row>
    <row r="470" spans="1:21" ht="18.75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623">
        <f ca="1">IFERROR(__xludf.DUMMYFUNCTION("IMPORTRANGE(""https://docs.google.com/spreadsheets/d/13wPX838HrBrQMCywv1BsuMkt4PEKTChp52zj44s2izQ/edit?usp=sharing"",""กาญจนบุรี!J469"")+IMPORTRANGE(""https://docs.google.com/spreadsheets/d/1ddFKvqj1W1NEiWytbGlB1zMx_ykJDVtmfEQ-6-lIUBA/edit?usp=sharing"","&amp;"""จันทบุรี!J469"")+IMPORTRANGE(""https://docs.google.com/spreadsheets/d/1T1PQvRODqOBZk8BRht_U031fIS1beLA0Ub2CEytj2q0/edit?usp=sharing"",""ฉะเชิงเทรา!J469"")+IMPORTRANGE(""https://docs.google.com/spreadsheets/d/11tr1B-Bhyr79v2bkwVh5h_fR-PStkgjlZtkrZpYurG0/"&amp;"edit?usp=sharing"",""ชลบุรี!J469"")+IMPORTRANGE(""https://docs.google.com/spreadsheets/d/1hh-FVnSX0vozXhGluamEcS54Dw9_zqW0N7qJUWgJ0Sw/edit?usp=sharing"",""ชัยนาท!J469"")+IMPORTRANGE(""https://docs.google.com/spreadsheets/d/1jkqa6GXxSacMcY1eN8AHjMNJ_7dDXMJ"&amp;"VRLDlaFSOdPM/edit?usp=sharing"",""ตราด!J469"")+IMPORTRANGE(""https://docs.google.com/spreadsheets/d/18hSgUJ3VwClqi_qtULmmW3cLr0oe3OKaSYoKzdpTsYQ/edit?usp=sharing"",""นครนายก!J469"")+IMPORTRANGE(""https://docs.google.com/spreadsheets/d/1YTZo6WM2dQ6Ix6FSdnL"&amp;"5P7uVnVKu40sxZu975tgG10E/edit?usp=sharing"",""นครปฐม!J469"")+IMPORTRANGE(""https://docs.google.com/spreadsheets/d/1OYoGg4WDg5RIzwGeB10padOxJF9E_Vljuvvct_M7RDo/edit?usp=sharing"",""ปทุมธานี!J469"")+IMPORTRANGE(""https://docs.google.com/spreadsheets/d/1GbCI"&amp;"E4D4wk9FUozzqk7SxfDMxDVBwVmI5zcaVUSzKAc/edit?usp=sharing"",""ประจวบคีรีขันธ์!J469"")+IMPORTRANGE(""https://docs.google.com/spreadsheets/d/1vVf6wykvW_lAyu7Yo9L4hUTqHqIeP_qcVuxCtosJEbg/edit?usp=sharing"",""ปราจีนบุรี!J469"")+IMPORTRANGE(""https://docs.googl"&amp;"e.com/spreadsheets/d/1BIDqLLg5jk3v59G8NlR8rk5xfQDKne0sAvZHSj7TI6I/edit?usp=sharing"",""พระนครศรีอยุธยา!J469"")+IMPORTRANGE(""https://docs.google.com/spreadsheets/d/1YXvxf8Yu6_rV4hTBrwMqAcAnv6DfhUxh5emyM3CJp_w/edit?usp=sharing"",""เพชรบุรี!J469"")+IMPORTRA"&amp;"NGE(""https://docs.google.com/spreadsheets/d/19KBlQQs7uwvsao6t2n-KvW3Ax8J8uRRfZPq1zPbXgKc/edit?usp=sharing"",""ระยอง!J469"")+IMPORTRANGE(""https://docs.google.com/spreadsheets/d/1jQ6P4QcrGM89YfqcC_PxOHGCMq5ezhucwJd8ci-NHng/edit?usp=sharing"",""ราชบุรี!J46"&amp;"9"")+IMPORTRANGE(""https://docs.google.com/spreadsheets/d/1lufeA2cfFqM-elVq2hznhDzC6Pr7wkJ9ZG_sYNGCMCU/edit?usp=sharing"",""ลพบุรี!J469"")+IMPORTRANGE(""https://docs.google.com/spreadsheets/d/10oOiF7loTyfsTkbd4MpaIm0HQ9SwB7IYHdIUvt-U1Uc/edit?usp=sharing"""&amp;",""สระแก้ว!J469"")+IMPORTRANGE(""https://docs.google.com/spreadsheets/d/1xmPlrr1QbdSIKvl1dWUl9K4PjAfSL9oeMr_37QVzcxc/edit?usp=sharing"",""สระบุรี!J469"")+IMPORTRANGE(""https://docs.google.com/spreadsheets/d/1j51vR6CYVGhABJpv6tkstgok82RLpXieLzW1yOY5rHw/edi"&amp;"t?usp=sharing"",""สิงห์บุรี!J469"")+IMPORTRANGE(""https://docs.google.com/spreadsheets/d/1H1EalTWKUSzO4Z1-1CwzoDUaVffgrThEBe2sl74kKG0/edit?usp=sharing"",""สุพรรณบุรี!J469"")+IMPORTRANGE(""https://docs.google.com/spreadsheets/d/1BmIruG_sIrJLYao_Pdr7zVArWsf"&amp;"oBt2692TMi6x_854/edit?usp=sharing"",""อ่างทอง!J469"")"),0)</f>
        <v>0</v>
      </c>
      <c r="K470" s="87"/>
      <c r="L470" s="87"/>
      <c r="M470" s="87"/>
      <c r="N470" s="87"/>
      <c r="O470" s="87"/>
      <c r="P470" s="87"/>
      <c r="Q470" s="86"/>
      <c r="R470" s="87"/>
      <c r="S470" s="87"/>
      <c r="T470" s="87"/>
      <c r="U470" s="87"/>
    </row>
    <row r="471" spans="1:21" ht="18.75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623">
        <f ca="1">IFERROR(__xludf.DUMMYFUNCTION("IMPORTRANGE(""https://docs.google.com/spreadsheets/d/13wPX838HrBrQMCywv1BsuMkt4PEKTChp52zj44s2izQ/edit?usp=sharing"",""กาญจนบุรี!J470"")+IMPORTRANGE(""https://docs.google.com/spreadsheets/d/1ddFKvqj1W1NEiWytbGlB1zMx_ykJDVtmfEQ-6-lIUBA/edit?usp=sharing"","&amp;"""จันทบุรี!J470"")+IMPORTRANGE(""https://docs.google.com/spreadsheets/d/1T1PQvRODqOBZk8BRht_U031fIS1beLA0Ub2CEytj2q0/edit?usp=sharing"",""ฉะเชิงเทรา!J470"")+IMPORTRANGE(""https://docs.google.com/spreadsheets/d/11tr1B-Bhyr79v2bkwVh5h_fR-PStkgjlZtkrZpYurG0/"&amp;"edit?usp=sharing"",""ชลบุรี!J470"")+IMPORTRANGE(""https://docs.google.com/spreadsheets/d/1hh-FVnSX0vozXhGluamEcS54Dw9_zqW0N7qJUWgJ0Sw/edit?usp=sharing"",""ชัยนาท!J470"")+IMPORTRANGE(""https://docs.google.com/spreadsheets/d/1jkqa6GXxSacMcY1eN8AHjMNJ_7dDXMJ"&amp;"VRLDlaFSOdPM/edit?usp=sharing"",""ตราด!J470"")+IMPORTRANGE(""https://docs.google.com/spreadsheets/d/18hSgUJ3VwClqi_qtULmmW3cLr0oe3OKaSYoKzdpTsYQ/edit?usp=sharing"",""นครนายก!J470"")+IMPORTRANGE(""https://docs.google.com/spreadsheets/d/1YTZo6WM2dQ6Ix6FSdnL"&amp;"5P7uVnVKu40sxZu975tgG10E/edit?usp=sharing"",""นครปฐม!J470"")+IMPORTRANGE(""https://docs.google.com/spreadsheets/d/1OYoGg4WDg5RIzwGeB10padOxJF9E_Vljuvvct_M7RDo/edit?usp=sharing"",""ปทุมธานี!J470"")+IMPORTRANGE(""https://docs.google.com/spreadsheets/d/1GbCI"&amp;"E4D4wk9FUozzqk7SxfDMxDVBwVmI5zcaVUSzKAc/edit?usp=sharing"",""ประจวบคีรีขันธ์!J470"")+IMPORTRANGE(""https://docs.google.com/spreadsheets/d/1vVf6wykvW_lAyu7Yo9L4hUTqHqIeP_qcVuxCtosJEbg/edit?usp=sharing"",""ปราจีนบุรี!J470"")+IMPORTRANGE(""https://docs.googl"&amp;"e.com/spreadsheets/d/1BIDqLLg5jk3v59G8NlR8rk5xfQDKne0sAvZHSj7TI6I/edit?usp=sharing"",""พระนครศรีอยุธยา!J470"")+IMPORTRANGE(""https://docs.google.com/spreadsheets/d/1YXvxf8Yu6_rV4hTBrwMqAcAnv6DfhUxh5emyM3CJp_w/edit?usp=sharing"",""เพชรบุรี!J470"")+IMPORTRA"&amp;"NGE(""https://docs.google.com/spreadsheets/d/19KBlQQs7uwvsao6t2n-KvW3Ax8J8uRRfZPq1zPbXgKc/edit?usp=sharing"",""ระยอง!J470"")+IMPORTRANGE(""https://docs.google.com/spreadsheets/d/1jQ6P4QcrGM89YfqcC_PxOHGCMq5ezhucwJd8ci-NHng/edit?usp=sharing"",""ราชบุรี!J47"&amp;"0"")+IMPORTRANGE(""https://docs.google.com/spreadsheets/d/1lufeA2cfFqM-elVq2hznhDzC6Pr7wkJ9ZG_sYNGCMCU/edit?usp=sharing"",""ลพบุรี!J470"")+IMPORTRANGE(""https://docs.google.com/spreadsheets/d/10oOiF7loTyfsTkbd4MpaIm0HQ9SwB7IYHdIUvt-U1Uc/edit?usp=sharing"""&amp;",""สระแก้ว!J470"")+IMPORTRANGE(""https://docs.google.com/spreadsheets/d/1xmPlrr1QbdSIKvl1dWUl9K4PjAfSL9oeMr_37QVzcxc/edit?usp=sharing"",""สระบุรี!J470"")+IMPORTRANGE(""https://docs.google.com/spreadsheets/d/1j51vR6CYVGhABJpv6tkstgok82RLpXieLzW1yOY5rHw/edi"&amp;"t?usp=sharing"",""สิงห์บุรี!J470"")+IMPORTRANGE(""https://docs.google.com/spreadsheets/d/1H1EalTWKUSzO4Z1-1CwzoDUaVffgrThEBe2sl74kKG0/edit?usp=sharing"",""สุพรรณบุรี!J470"")+IMPORTRANGE(""https://docs.google.com/spreadsheets/d/1BmIruG_sIrJLYao_Pdr7zVArWsf"&amp;"oBt2692TMi6x_854/edit?usp=sharing"",""อ่างทอง!J470"")"),0)</f>
        <v>0</v>
      </c>
      <c r="K471" s="87"/>
      <c r="L471" s="87"/>
      <c r="M471" s="87"/>
      <c r="N471" s="87"/>
      <c r="O471" s="87"/>
      <c r="P471" s="87"/>
      <c r="Q471" s="86"/>
      <c r="R471" s="87"/>
      <c r="S471" s="87"/>
      <c r="T471" s="87"/>
      <c r="U471" s="87"/>
    </row>
    <row r="472" spans="1:21" ht="18.75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623">
        <f ca="1">IFERROR(__xludf.DUMMYFUNCTION("IMPORTRANGE(""https://docs.google.com/spreadsheets/d/13wPX838HrBrQMCywv1BsuMkt4PEKTChp52zj44s2izQ/edit?usp=sharing"",""กาญจนบุรี!J471"")+IMPORTRANGE(""https://docs.google.com/spreadsheets/d/1ddFKvqj1W1NEiWytbGlB1zMx_ykJDVtmfEQ-6-lIUBA/edit?usp=sharing"","&amp;"""จันทบุรี!J471"")+IMPORTRANGE(""https://docs.google.com/spreadsheets/d/1T1PQvRODqOBZk8BRht_U031fIS1beLA0Ub2CEytj2q0/edit?usp=sharing"",""ฉะเชิงเทรา!J471"")+IMPORTRANGE(""https://docs.google.com/spreadsheets/d/11tr1B-Bhyr79v2bkwVh5h_fR-PStkgjlZtkrZpYurG0/"&amp;"edit?usp=sharing"",""ชลบุรี!J471"")+IMPORTRANGE(""https://docs.google.com/spreadsheets/d/1hh-FVnSX0vozXhGluamEcS54Dw9_zqW0N7qJUWgJ0Sw/edit?usp=sharing"",""ชัยนาท!J471"")+IMPORTRANGE(""https://docs.google.com/spreadsheets/d/1jkqa6GXxSacMcY1eN8AHjMNJ_7dDXMJ"&amp;"VRLDlaFSOdPM/edit?usp=sharing"",""ตราด!J471"")+IMPORTRANGE(""https://docs.google.com/spreadsheets/d/18hSgUJ3VwClqi_qtULmmW3cLr0oe3OKaSYoKzdpTsYQ/edit?usp=sharing"",""นครนายก!J471"")+IMPORTRANGE(""https://docs.google.com/spreadsheets/d/1YTZo6WM2dQ6Ix6FSdnL"&amp;"5P7uVnVKu40sxZu975tgG10E/edit?usp=sharing"",""นครปฐม!J471"")+IMPORTRANGE(""https://docs.google.com/spreadsheets/d/1OYoGg4WDg5RIzwGeB10padOxJF9E_Vljuvvct_M7RDo/edit?usp=sharing"",""ปทุมธานี!J471"")+IMPORTRANGE(""https://docs.google.com/spreadsheets/d/1GbCI"&amp;"E4D4wk9FUozzqk7SxfDMxDVBwVmI5zcaVUSzKAc/edit?usp=sharing"",""ประจวบคีรีขันธ์!J471"")+IMPORTRANGE(""https://docs.google.com/spreadsheets/d/1vVf6wykvW_lAyu7Yo9L4hUTqHqIeP_qcVuxCtosJEbg/edit?usp=sharing"",""ปราจีนบุรี!J471"")+IMPORTRANGE(""https://docs.googl"&amp;"e.com/spreadsheets/d/1BIDqLLg5jk3v59G8NlR8rk5xfQDKne0sAvZHSj7TI6I/edit?usp=sharing"",""พระนครศรีอยุธยา!J471"")+IMPORTRANGE(""https://docs.google.com/spreadsheets/d/1YXvxf8Yu6_rV4hTBrwMqAcAnv6DfhUxh5emyM3CJp_w/edit?usp=sharing"",""เพชรบุรี!J471"")+IMPORTRA"&amp;"NGE(""https://docs.google.com/spreadsheets/d/19KBlQQs7uwvsao6t2n-KvW3Ax8J8uRRfZPq1zPbXgKc/edit?usp=sharing"",""ระยอง!J471"")+IMPORTRANGE(""https://docs.google.com/spreadsheets/d/1jQ6P4QcrGM89YfqcC_PxOHGCMq5ezhucwJd8ci-NHng/edit?usp=sharing"",""ราชบุรี!J47"&amp;"1"")+IMPORTRANGE(""https://docs.google.com/spreadsheets/d/1lufeA2cfFqM-elVq2hznhDzC6Pr7wkJ9ZG_sYNGCMCU/edit?usp=sharing"",""ลพบุรี!J471"")+IMPORTRANGE(""https://docs.google.com/spreadsheets/d/10oOiF7loTyfsTkbd4MpaIm0HQ9SwB7IYHdIUvt-U1Uc/edit?usp=sharing"""&amp;",""สระแก้ว!J471"")+IMPORTRANGE(""https://docs.google.com/spreadsheets/d/1xmPlrr1QbdSIKvl1dWUl9K4PjAfSL9oeMr_37QVzcxc/edit?usp=sharing"",""สระบุรี!J471"")+IMPORTRANGE(""https://docs.google.com/spreadsheets/d/1j51vR6CYVGhABJpv6tkstgok82RLpXieLzW1yOY5rHw/edi"&amp;"t?usp=sharing"",""สิงห์บุรี!J471"")+IMPORTRANGE(""https://docs.google.com/spreadsheets/d/1H1EalTWKUSzO4Z1-1CwzoDUaVffgrThEBe2sl74kKG0/edit?usp=sharing"",""สุพรรณบุรี!J471"")+IMPORTRANGE(""https://docs.google.com/spreadsheets/d/1BmIruG_sIrJLYao_Pdr7zVArWsf"&amp;"oBt2692TMi6x_854/edit?usp=sharing"",""อ่างทอง!J471"")"),0)</f>
        <v>0</v>
      </c>
      <c r="K472" s="87"/>
      <c r="L472" s="87"/>
      <c r="M472" s="87"/>
      <c r="N472" s="87"/>
      <c r="O472" s="87"/>
      <c r="P472" s="87"/>
      <c r="Q472" s="86"/>
      <c r="R472" s="87"/>
      <c r="S472" s="87"/>
      <c r="T472" s="87"/>
      <c r="U472" s="87"/>
    </row>
    <row r="473" spans="1:21" ht="18.75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623">
        <f ca="1">IFERROR(__xludf.DUMMYFUNCTION("IMPORTRANGE(""https://docs.google.com/spreadsheets/d/13wPX838HrBrQMCywv1BsuMkt4PEKTChp52zj44s2izQ/edit?usp=sharing"",""กาญจนบุรี!J472"")+IMPORTRANGE(""https://docs.google.com/spreadsheets/d/1ddFKvqj1W1NEiWytbGlB1zMx_ykJDVtmfEQ-6-lIUBA/edit?usp=sharing"","&amp;"""จันทบุรี!J472"")+IMPORTRANGE(""https://docs.google.com/spreadsheets/d/1T1PQvRODqOBZk8BRht_U031fIS1beLA0Ub2CEytj2q0/edit?usp=sharing"",""ฉะเชิงเทรา!J472"")+IMPORTRANGE(""https://docs.google.com/spreadsheets/d/11tr1B-Bhyr79v2bkwVh5h_fR-PStkgjlZtkrZpYurG0/"&amp;"edit?usp=sharing"",""ชลบุรี!J472"")+IMPORTRANGE(""https://docs.google.com/spreadsheets/d/1hh-FVnSX0vozXhGluamEcS54Dw9_zqW0N7qJUWgJ0Sw/edit?usp=sharing"",""ชัยนาท!J472"")+IMPORTRANGE(""https://docs.google.com/spreadsheets/d/1jkqa6GXxSacMcY1eN8AHjMNJ_7dDXMJ"&amp;"VRLDlaFSOdPM/edit?usp=sharing"",""ตราด!J472"")+IMPORTRANGE(""https://docs.google.com/spreadsheets/d/18hSgUJ3VwClqi_qtULmmW3cLr0oe3OKaSYoKzdpTsYQ/edit?usp=sharing"",""นครนายก!J472"")+IMPORTRANGE(""https://docs.google.com/spreadsheets/d/1YTZo6WM2dQ6Ix6FSdnL"&amp;"5P7uVnVKu40sxZu975tgG10E/edit?usp=sharing"",""นครปฐม!J472"")+IMPORTRANGE(""https://docs.google.com/spreadsheets/d/1OYoGg4WDg5RIzwGeB10padOxJF9E_Vljuvvct_M7RDo/edit?usp=sharing"",""ปทุมธานี!J472"")+IMPORTRANGE(""https://docs.google.com/spreadsheets/d/1GbCI"&amp;"E4D4wk9FUozzqk7SxfDMxDVBwVmI5zcaVUSzKAc/edit?usp=sharing"",""ประจวบคีรีขันธ์!J472"")+IMPORTRANGE(""https://docs.google.com/spreadsheets/d/1vVf6wykvW_lAyu7Yo9L4hUTqHqIeP_qcVuxCtosJEbg/edit?usp=sharing"",""ปราจีนบุรี!J472"")+IMPORTRANGE(""https://docs.googl"&amp;"e.com/spreadsheets/d/1BIDqLLg5jk3v59G8NlR8rk5xfQDKne0sAvZHSj7TI6I/edit?usp=sharing"",""พระนครศรีอยุธยา!J472"")+IMPORTRANGE(""https://docs.google.com/spreadsheets/d/1YXvxf8Yu6_rV4hTBrwMqAcAnv6DfhUxh5emyM3CJp_w/edit?usp=sharing"",""เพชรบุรี!J472"")+IMPORTRA"&amp;"NGE(""https://docs.google.com/spreadsheets/d/19KBlQQs7uwvsao6t2n-KvW3Ax8J8uRRfZPq1zPbXgKc/edit?usp=sharing"",""ระยอง!J472"")+IMPORTRANGE(""https://docs.google.com/spreadsheets/d/1jQ6P4QcrGM89YfqcC_PxOHGCMq5ezhucwJd8ci-NHng/edit?usp=sharing"",""ราชบุรี!J47"&amp;"2"")+IMPORTRANGE(""https://docs.google.com/spreadsheets/d/1lufeA2cfFqM-elVq2hznhDzC6Pr7wkJ9ZG_sYNGCMCU/edit?usp=sharing"",""ลพบุรี!J472"")+IMPORTRANGE(""https://docs.google.com/spreadsheets/d/10oOiF7loTyfsTkbd4MpaIm0HQ9SwB7IYHdIUvt-U1Uc/edit?usp=sharing"""&amp;",""สระแก้ว!J472"")+IMPORTRANGE(""https://docs.google.com/spreadsheets/d/1xmPlrr1QbdSIKvl1dWUl9K4PjAfSL9oeMr_37QVzcxc/edit?usp=sharing"",""สระบุรี!J472"")+IMPORTRANGE(""https://docs.google.com/spreadsheets/d/1j51vR6CYVGhABJpv6tkstgok82RLpXieLzW1yOY5rHw/edi"&amp;"t?usp=sharing"",""สิงห์บุรี!J472"")+IMPORTRANGE(""https://docs.google.com/spreadsheets/d/1H1EalTWKUSzO4Z1-1CwzoDUaVffgrThEBe2sl74kKG0/edit?usp=sharing"",""สุพรรณบุรี!J472"")+IMPORTRANGE(""https://docs.google.com/spreadsheets/d/1BmIruG_sIrJLYao_Pdr7zVArWsf"&amp;"oBt2692TMi6x_854/edit?usp=sharing"",""อ่างทอง!J472"")"),0)</f>
        <v>0</v>
      </c>
      <c r="K473" s="87"/>
      <c r="L473" s="87"/>
      <c r="M473" s="87"/>
      <c r="N473" s="87"/>
      <c r="O473" s="87"/>
      <c r="P473" s="87"/>
      <c r="Q473" s="86"/>
      <c r="R473" s="87"/>
      <c r="S473" s="87"/>
      <c r="T473" s="87"/>
      <c r="U473" s="87"/>
    </row>
    <row r="474" spans="1:21" ht="18.75" x14ac:dyDescent="0.25">
      <c r="A474" s="550"/>
      <c r="B474" s="269"/>
      <c r="C474" s="589" t="s">
        <v>186</v>
      </c>
      <c r="D474" s="269"/>
      <c r="E474" s="269"/>
      <c r="F474" s="269"/>
      <c r="G474" s="312"/>
      <c r="H474" s="268" t="s">
        <v>46</v>
      </c>
      <c r="I474" s="263"/>
      <c r="J474" s="623">
        <f ca="1">IFERROR(__xludf.DUMMYFUNCTION("IMPORTRANGE(""https://docs.google.com/spreadsheets/d/13wPX838HrBrQMCywv1BsuMkt4PEKTChp52zj44s2izQ/edit?usp=sharing"",""กาญจนบุรี!J473"")+IMPORTRANGE(""https://docs.google.com/spreadsheets/d/1ddFKvqj1W1NEiWytbGlB1zMx_ykJDVtmfEQ-6-lIUBA/edit?usp=sharing"","&amp;"""จันทบุรี!J473"")+IMPORTRANGE(""https://docs.google.com/spreadsheets/d/1T1PQvRODqOBZk8BRht_U031fIS1beLA0Ub2CEytj2q0/edit?usp=sharing"",""ฉะเชิงเทรา!J473"")+IMPORTRANGE(""https://docs.google.com/spreadsheets/d/11tr1B-Bhyr79v2bkwVh5h_fR-PStkgjlZtkrZpYurG0/"&amp;"edit?usp=sharing"",""ชลบุรี!J473"")+IMPORTRANGE(""https://docs.google.com/spreadsheets/d/1hh-FVnSX0vozXhGluamEcS54Dw9_zqW0N7qJUWgJ0Sw/edit?usp=sharing"",""ชัยนาท!J473"")+IMPORTRANGE(""https://docs.google.com/spreadsheets/d/1jkqa6GXxSacMcY1eN8AHjMNJ_7dDXMJ"&amp;"VRLDlaFSOdPM/edit?usp=sharing"",""ตราด!J473"")+IMPORTRANGE(""https://docs.google.com/spreadsheets/d/18hSgUJ3VwClqi_qtULmmW3cLr0oe3OKaSYoKzdpTsYQ/edit?usp=sharing"",""นครนายก!J473"")+IMPORTRANGE(""https://docs.google.com/spreadsheets/d/1YTZo6WM2dQ6Ix6FSdnL"&amp;"5P7uVnVKu40sxZu975tgG10E/edit?usp=sharing"",""นครปฐม!J473"")+IMPORTRANGE(""https://docs.google.com/spreadsheets/d/1OYoGg4WDg5RIzwGeB10padOxJF9E_Vljuvvct_M7RDo/edit?usp=sharing"",""ปทุมธานี!J473"")+IMPORTRANGE(""https://docs.google.com/spreadsheets/d/1GbCI"&amp;"E4D4wk9FUozzqk7SxfDMxDVBwVmI5zcaVUSzKAc/edit?usp=sharing"",""ประจวบคีรีขันธ์!J473"")+IMPORTRANGE(""https://docs.google.com/spreadsheets/d/1vVf6wykvW_lAyu7Yo9L4hUTqHqIeP_qcVuxCtosJEbg/edit?usp=sharing"",""ปราจีนบุรี!J473"")+IMPORTRANGE(""https://docs.googl"&amp;"e.com/spreadsheets/d/1BIDqLLg5jk3v59G8NlR8rk5xfQDKne0sAvZHSj7TI6I/edit?usp=sharing"",""พระนครศรีอยุธยา!J473"")+IMPORTRANGE(""https://docs.google.com/spreadsheets/d/1YXvxf8Yu6_rV4hTBrwMqAcAnv6DfhUxh5emyM3CJp_w/edit?usp=sharing"",""เพชรบุรี!J473"")+IMPORTRA"&amp;"NGE(""https://docs.google.com/spreadsheets/d/19KBlQQs7uwvsao6t2n-KvW3Ax8J8uRRfZPq1zPbXgKc/edit?usp=sharing"",""ระยอง!J473"")+IMPORTRANGE(""https://docs.google.com/spreadsheets/d/1jQ6P4QcrGM89YfqcC_PxOHGCMq5ezhucwJd8ci-NHng/edit?usp=sharing"",""ราชบุรี!J47"&amp;"3"")+IMPORTRANGE(""https://docs.google.com/spreadsheets/d/1lufeA2cfFqM-elVq2hznhDzC6Pr7wkJ9ZG_sYNGCMCU/edit?usp=sharing"",""ลพบุรี!J473"")+IMPORTRANGE(""https://docs.google.com/spreadsheets/d/10oOiF7loTyfsTkbd4MpaIm0HQ9SwB7IYHdIUvt-U1Uc/edit?usp=sharing"""&amp;",""สระแก้ว!J473"")+IMPORTRANGE(""https://docs.google.com/spreadsheets/d/1xmPlrr1QbdSIKvl1dWUl9K4PjAfSL9oeMr_37QVzcxc/edit?usp=sharing"",""สระบุรี!J473"")+IMPORTRANGE(""https://docs.google.com/spreadsheets/d/1j51vR6CYVGhABJpv6tkstgok82RLpXieLzW1yOY5rHw/edi"&amp;"t?usp=sharing"",""สิงห์บุรี!J473"")+IMPORTRANGE(""https://docs.google.com/spreadsheets/d/1H1EalTWKUSzO4Z1-1CwzoDUaVffgrThEBe2sl74kKG0/edit?usp=sharing"",""สุพรรณบุรี!J473"")+IMPORTRANGE(""https://docs.google.com/spreadsheets/d/1BmIruG_sIrJLYao_Pdr7zVArWsf"&amp;"oBt2692TMi6x_854/edit?usp=sharing"",""อ่างทอง!J473"")"),0)</f>
        <v>0</v>
      </c>
      <c r="K474" s="87"/>
      <c r="L474" s="87"/>
      <c r="M474" s="87"/>
      <c r="N474" s="87"/>
      <c r="O474" s="87"/>
      <c r="P474" s="87"/>
      <c r="Q474" s="86"/>
      <c r="R474" s="87"/>
      <c r="S474" s="87"/>
      <c r="T474" s="87"/>
      <c r="U474" s="87"/>
    </row>
    <row r="475" spans="1:21" ht="18.75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623">
        <f ca="1">IFERROR(__xludf.DUMMYFUNCTION("IMPORTRANGE(""https://docs.google.com/spreadsheets/d/13wPX838HrBrQMCywv1BsuMkt4PEKTChp52zj44s2izQ/edit?usp=sharing"",""กาญจนบุรี!J474"")+IMPORTRANGE(""https://docs.google.com/spreadsheets/d/1ddFKvqj1W1NEiWytbGlB1zMx_ykJDVtmfEQ-6-lIUBA/edit?usp=sharing"","&amp;"""จันทบุรี!J474"")+IMPORTRANGE(""https://docs.google.com/spreadsheets/d/1T1PQvRODqOBZk8BRht_U031fIS1beLA0Ub2CEytj2q0/edit?usp=sharing"",""ฉะเชิงเทรา!J474"")+IMPORTRANGE(""https://docs.google.com/spreadsheets/d/11tr1B-Bhyr79v2bkwVh5h_fR-PStkgjlZtkrZpYurG0/"&amp;"edit?usp=sharing"",""ชลบุรี!J474"")+IMPORTRANGE(""https://docs.google.com/spreadsheets/d/1hh-FVnSX0vozXhGluamEcS54Dw9_zqW0N7qJUWgJ0Sw/edit?usp=sharing"",""ชัยนาท!J474"")+IMPORTRANGE(""https://docs.google.com/spreadsheets/d/1jkqa6GXxSacMcY1eN8AHjMNJ_7dDXMJ"&amp;"VRLDlaFSOdPM/edit?usp=sharing"",""ตราด!J474"")+IMPORTRANGE(""https://docs.google.com/spreadsheets/d/18hSgUJ3VwClqi_qtULmmW3cLr0oe3OKaSYoKzdpTsYQ/edit?usp=sharing"",""นครนายก!J474"")+IMPORTRANGE(""https://docs.google.com/spreadsheets/d/1YTZo6WM2dQ6Ix6FSdnL"&amp;"5P7uVnVKu40sxZu975tgG10E/edit?usp=sharing"",""นครปฐม!J474"")+IMPORTRANGE(""https://docs.google.com/spreadsheets/d/1OYoGg4WDg5RIzwGeB10padOxJF9E_Vljuvvct_M7RDo/edit?usp=sharing"",""ปทุมธานี!J474"")+IMPORTRANGE(""https://docs.google.com/spreadsheets/d/1GbCI"&amp;"E4D4wk9FUozzqk7SxfDMxDVBwVmI5zcaVUSzKAc/edit?usp=sharing"",""ประจวบคีรีขันธ์!J474"")+IMPORTRANGE(""https://docs.google.com/spreadsheets/d/1vVf6wykvW_lAyu7Yo9L4hUTqHqIeP_qcVuxCtosJEbg/edit?usp=sharing"",""ปราจีนบุรี!J474"")+IMPORTRANGE(""https://docs.googl"&amp;"e.com/spreadsheets/d/1BIDqLLg5jk3v59G8NlR8rk5xfQDKne0sAvZHSj7TI6I/edit?usp=sharing"",""พระนครศรีอยุธยา!J474"")+IMPORTRANGE(""https://docs.google.com/spreadsheets/d/1YXvxf8Yu6_rV4hTBrwMqAcAnv6DfhUxh5emyM3CJp_w/edit?usp=sharing"",""เพชรบุรี!J474"")+IMPORTRA"&amp;"NGE(""https://docs.google.com/spreadsheets/d/19KBlQQs7uwvsao6t2n-KvW3Ax8J8uRRfZPq1zPbXgKc/edit?usp=sharing"",""ระยอง!J474"")+IMPORTRANGE(""https://docs.google.com/spreadsheets/d/1jQ6P4QcrGM89YfqcC_PxOHGCMq5ezhucwJd8ci-NHng/edit?usp=sharing"",""ราชบุรี!J47"&amp;"4"")+IMPORTRANGE(""https://docs.google.com/spreadsheets/d/1lufeA2cfFqM-elVq2hznhDzC6Pr7wkJ9ZG_sYNGCMCU/edit?usp=sharing"",""ลพบุรี!J474"")+IMPORTRANGE(""https://docs.google.com/spreadsheets/d/10oOiF7loTyfsTkbd4MpaIm0HQ9SwB7IYHdIUvt-U1Uc/edit?usp=sharing"""&amp;",""สระแก้ว!J474"")+IMPORTRANGE(""https://docs.google.com/spreadsheets/d/1xmPlrr1QbdSIKvl1dWUl9K4PjAfSL9oeMr_37QVzcxc/edit?usp=sharing"",""สระบุรี!J474"")+IMPORTRANGE(""https://docs.google.com/spreadsheets/d/1j51vR6CYVGhABJpv6tkstgok82RLpXieLzW1yOY5rHw/edi"&amp;"t?usp=sharing"",""สิงห์บุรี!J474"")+IMPORTRANGE(""https://docs.google.com/spreadsheets/d/1H1EalTWKUSzO4Z1-1CwzoDUaVffgrThEBe2sl74kKG0/edit?usp=sharing"",""สุพรรณบุรี!J474"")+IMPORTRANGE(""https://docs.google.com/spreadsheets/d/1BmIruG_sIrJLYao_Pdr7zVArWsf"&amp;"oBt2692TMi6x_854/edit?usp=sharing"",""อ่างทอง!J474"")"),0)</f>
        <v>0</v>
      </c>
      <c r="K475" s="87"/>
      <c r="L475" s="87"/>
      <c r="M475" s="87"/>
      <c r="N475" s="87"/>
      <c r="O475" s="87"/>
      <c r="P475" s="87"/>
      <c r="Q475" s="86"/>
      <c r="R475" s="87"/>
      <c r="S475" s="87"/>
      <c r="T475" s="87"/>
      <c r="U475" s="87"/>
    </row>
    <row r="476" spans="1:21" ht="19.5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 ca="1">J479+J481</f>
        <v>0</v>
      </c>
      <c r="K476" s="264">
        <f t="shared" ref="K476:K478" si="332">IF(I476&gt;0,J476*100/I476,0)</f>
        <v>0</v>
      </c>
      <c r="L476" s="87"/>
      <c r="M476" s="87"/>
      <c r="N476" s="87"/>
      <c r="O476" s="87"/>
      <c r="P476" s="87"/>
      <c r="Q476" s="86"/>
      <c r="R476" s="87"/>
      <c r="S476" s="87"/>
      <c r="T476" s="87"/>
      <c r="U476" s="87"/>
    </row>
    <row r="477" spans="1:21" ht="19.5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ca="1" si="333">J479+J481</f>
        <v>0</v>
      </c>
      <c r="K477" s="264">
        <f t="shared" si="332"/>
        <v>0</v>
      </c>
      <c r="L477" s="87"/>
      <c r="M477" s="87"/>
      <c r="N477" s="87"/>
      <c r="O477" s="87"/>
      <c r="P477" s="87"/>
      <c r="Q477" s="86"/>
      <c r="R477" s="87"/>
      <c r="S477" s="87"/>
      <c r="T477" s="87"/>
      <c r="U477" s="87"/>
    </row>
    <row r="478" spans="1:21" ht="19.5" x14ac:dyDescent="0.3">
      <c r="A478" s="550"/>
      <c r="B478" s="269"/>
      <c r="C478" s="58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ca="1" si="333"/>
        <v>0</v>
      </c>
      <c r="K478" s="264">
        <f t="shared" si="332"/>
        <v>0</v>
      </c>
      <c r="L478" s="87"/>
      <c r="M478" s="87"/>
      <c r="N478" s="87"/>
      <c r="O478" s="87"/>
      <c r="P478" s="87"/>
      <c r="Q478" s="86"/>
      <c r="R478" s="87"/>
      <c r="S478" s="87"/>
      <c r="T478" s="87"/>
      <c r="U478" s="87"/>
    </row>
    <row r="479" spans="1:21" ht="18.75" x14ac:dyDescent="0.25">
      <c r="A479" s="550"/>
      <c r="B479" s="269"/>
      <c r="C479" s="269"/>
      <c r="D479" s="589" t="s">
        <v>190</v>
      </c>
      <c r="E479" s="269"/>
      <c r="F479" s="269"/>
      <c r="G479" s="312"/>
      <c r="H479" s="268" t="s">
        <v>46</v>
      </c>
      <c r="I479" s="263"/>
      <c r="J479" s="623">
        <f ca="1">IFERROR(__xludf.DUMMYFUNCTION("IMPORTRANGE(""https://docs.google.com/spreadsheets/d/13wPX838HrBrQMCywv1BsuMkt4PEKTChp52zj44s2izQ/edit?usp=sharing"",""กาญจนบุรี!J478"")+IMPORTRANGE(""https://docs.google.com/spreadsheets/d/1ddFKvqj1W1NEiWytbGlB1zMx_ykJDVtmfEQ-6-lIUBA/edit?usp=sharing"","&amp;"""จันทบุรี!J478"")+IMPORTRANGE(""https://docs.google.com/spreadsheets/d/1T1PQvRODqOBZk8BRht_U031fIS1beLA0Ub2CEytj2q0/edit?usp=sharing"",""ฉะเชิงเทรา!J478"")+IMPORTRANGE(""https://docs.google.com/spreadsheets/d/11tr1B-Bhyr79v2bkwVh5h_fR-PStkgjlZtkrZpYurG0/"&amp;"edit?usp=sharing"",""ชลบุรี!J478"")+IMPORTRANGE(""https://docs.google.com/spreadsheets/d/1hh-FVnSX0vozXhGluamEcS54Dw9_zqW0N7qJUWgJ0Sw/edit?usp=sharing"",""ชัยนาท!J478"")+IMPORTRANGE(""https://docs.google.com/spreadsheets/d/1jkqa6GXxSacMcY1eN8AHjMNJ_7dDXMJ"&amp;"VRLDlaFSOdPM/edit?usp=sharing"",""ตราด!J478"")+IMPORTRANGE(""https://docs.google.com/spreadsheets/d/18hSgUJ3VwClqi_qtULmmW3cLr0oe3OKaSYoKzdpTsYQ/edit?usp=sharing"",""นครนายก!J478"")+IMPORTRANGE(""https://docs.google.com/spreadsheets/d/1YTZo6WM2dQ6Ix6FSdnL"&amp;"5P7uVnVKu40sxZu975tgG10E/edit?usp=sharing"",""นครปฐม!J478"")+IMPORTRANGE(""https://docs.google.com/spreadsheets/d/1OYoGg4WDg5RIzwGeB10padOxJF9E_Vljuvvct_M7RDo/edit?usp=sharing"",""ปทุมธานี!J478"")+IMPORTRANGE(""https://docs.google.com/spreadsheets/d/1GbCI"&amp;"E4D4wk9FUozzqk7SxfDMxDVBwVmI5zcaVUSzKAc/edit?usp=sharing"",""ประจวบคีรีขันธ์!J478"")+IMPORTRANGE(""https://docs.google.com/spreadsheets/d/1vVf6wykvW_lAyu7Yo9L4hUTqHqIeP_qcVuxCtosJEbg/edit?usp=sharing"",""ปราจีนบุรี!J478"")+IMPORTRANGE(""https://docs.googl"&amp;"e.com/spreadsheets/d/1BIDqLLg5jk3v59G8NlR8rk5xfQDKne0sAvZHSj7TI6I/edit?usp=sharing"",""พระนครศรีอยุธยา!J478"")+IMPORTRANGE(""https://docs.google.com/spreadsheets/d/1YXvxf8Yu6_rV4hTBrwMqAcAnv6DfhUxh5emyM3CJp_w/edit?usp=sharing"",""เพชรบุรี!J478"")+IMPORTRA"&amp;"NGE(""https://docs.google.com/spreadsheets/d/19KBlQQs7uwvsao6t2n-KvW3Ax8J8uRRfZPq1zPbXgKc/edit?usp=sharing"",""ระยอง!J478"")+IMPORTRANGE(""https://docs.google.com/spreadsheets/d/1jQ6P4QcrGM89YfqcC_PxOHGCMq5ezhucwJd8ci-NHng/edit?usp=sharing"",""ราชบุรี!J47"&amp;"8"")+IMPORTRANGE(""https://docs.google.com/spreadsheets/d/1lufeA2cfFqM-elVq2hznhDzC6Pr7wkJ9ZG_sYNGCMCU/edit?usp=sharing"",""ลพบุรี!J478"")+IMPORTRANGE(""https://docs.google.com/spreadsheets/d/10oOiF7loTyfsTkbd4MpaIm0HQ9SwB7IYHdIUvt-U1Uc/edit?usp=sharing"""&amp;",""สระแก้ว!J478"")+IMPORTRANGE(""https://docs.google.com/spreadsheets/d/1xmPlrr1QbdSIKvl1dWUl9K4PjAfSL9oeMr_37QVzcxc/edit?usp=sharing"",""สระบุรี!J478"")+IMPORTRANGE(""https://docs.google.com/spreadsheets/d/1j51vR6CYVGhABJpv6tkstgok82RLpXieLzW1yOY5rHw/edi"&amp;"t?usp=sharing"",""สิงห์บุรี!J478"")+IMPORTRANGE(""https://docs.google.com/spreadsheets/d/1H1EalTWKUSzO4Z1-1CwzoDUaVffgrThEBe2sl74kKG0/edit?usp=sharing"",""สุพรรณบุรี!J478"")+IMPORTRANGE(""https://docs.google.com/spreadsheets/d/1BmIruG_sIrJLYao_Pdr7zVArWsf"&amp;"oBt2692TMi6x_854/edit?usp=sharing"",""อ่างทอง!J478"")"),0)</f>
        <v>0</v>
      </c>
      <c r="K479" s="87"/>
      <c r="L479" s="87"/>
      <c r="M479" s="87"/>
      <c r="N479" s="87"/>
      <c r="O479" s="87"/>
      <c r="P479" s="87"/>
      <c r="Q479" s="86"/>
      <c r="R479" s="87"/>
      <c r="S479" s="87"/>
      <c r="T479" s="87"/>
      <c r="U479" s="87"/>
    </row>
    <row r="480" spans="1:21" ht="18.75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623">
        <f ca="1">IFERROR(__xludf.DUMMYFUNCTION("IMPORTRANGE(""https://docs.google.com/spreadsheets/d/13wPX838HrBrQMCywv1BsuMkt4PEKTChp52zj44s2izQ/edit?usp=sharing"",""กาญจนบุรี!J479"")+IMPORTRANGE(""https://docs.google.com/spreadsheets/d/1ddFKvqj1W1NEiWytbGlB1zMx_ykJDVtmfEQ-6-lIUBA/edit?usp=sharing"","&amp;"""จันทบุรี!J479"")+IMPORTRANGE(""https://docs.google.com/spreadsheets/d/1T1PQvRODqOBZk8BRht_U031fIS1beLA0Ub2CEytj2q0/edit?usp=sharing"",""ฉะเชิงเทรา!J479"")+IMPORTRANGE(""https://docs.google.com/spreadsheets/d/11tr1B-Bhyr79v2bkwVh5h_fR-PStkgjlZtkrZpYurG0/"&amp;"edit?usp=sharing"",""ชลบุรี!J479"")+IMPORTRANGE(""https://docs.google.com/spreadsheets/d/1hh-FVnSX0vozXhGluamEcS54Dw9_zqW0N7qJUWgJ0Sw/edit?usp=sharing"",""ชัยนาท!J479"")+IMPORTRANGE(""https://docs.google.com/spreadsheets/d/1jkqa6GXxSacMcY1eN8AHjMNJ_7dDXMJ"&amp;"VRLDlaFSOdPM/edit?usp=sharing"",""ตราด!J479"")+IMPORTRANGE(""https://docs.google.com/spreadsheets/d/18hSgUJ3VwClqi_qtULmmW3cLr0oe3OKaSYoKzdpTsYQ/edit?usp=sharing"",""นครนายก!J479"")+IMPORTRANGE(""https://docs.google.com/spreadsheets/d/1YTZo6WM2dQ6Ix6FSdnL"&amp;"5P7uVnVKu40sxZu975tgG10E/edit?usp=sharing"",""นครปฐม!J479"")+IMPORTRANGE(""https://docs.google.com/spreadsheets/d/1OYoGg4WDg5RIzwGeB10padOxJF9E_Vljuvvct_M7RDo/edit?usp=sharing"",""ปทุมธานี!J479"")+IMPORTRANGE(""https://docs.google.com/spreadsheets/d/1GbCI"&amp;"E4D4wk9FUozzqk7SxfDMxDVBwVmI5zcaVUSzKAc/edit?usp=sharing"",""ประจวบคีรีขันธ์!J479"")+IMPORTRANGE(""https://docs.google.com/spreadsheets/d/1vVf6wykvW_lAyu7Yo9L4hUTqHqIeP_qcVuxCtosJEbg/edit?usp=sharing"",""ปราจีนบุรี!J479"")+IMPORTRANGE(""https://docs.googl"&amp;"e.com/spreadsheets/d/1BIDqLLg5jk3v59G8NlR8rk5xfQDKne0sAvZHSj7TI6I/edit?usp=sharing"",""พระนครศรีอยุธยา!J479"")+IMPORTRANGE(""https://docs.google.com/spreadsheets/d/1YXvxf8Yu6_rV4hTBrwMqAcAnv6DfhUxh5emyM3CJp_w/edit?usp=sharing"",""เพชรบุรี!J479"")+IMPORTRA"&amp;"NGE(""https://docs.google.com/spreadsheets/d/19KBlQQs7uwvsao6t2n-KvW3Ax8J8uRRfZPq1zPbXgKc/edit?usp=sharing"",""ระยอง!J479"")+IMPORTRANGE(""https://docs.google.com/spreadsheets/d/1jQ6P4QcrGM89YfqcC_PxOHGCMq5ezhucwJd8ci-NHng/edit?usp=sharing"",""ราชบุรี!J47"&amp;"9"")+IMPORTRANGE(""https://docs.google.com/spreadsheets/d/1lufeA2cfFqM-elVq2hznhDzC6Pr7wkJ9ZG_sYNGCMCU/edit?usp=sharing"",""ลพบุรี!J479"")+IMPORTRANGE(""https://docs.google.com/spreadsheets/d/10oOiF7loTyfsTkbd4MpaIm0HQ9SwB7IYHdIUvt-U1Uc/edit?usp=sharing"""&amp;",""สระแก้ว!J479"")+IMPORTRANGE(""https://docs.google.com/spreadsheets/d/1xmPlrr1QbdSIKvl1dWUl9K4PjAfSL9oeMr_37QVzcxc/edit?usp=sharing"",""สระบุรี!J479"")+IMPORTRANGE(""https://docs.google.com/spreadsheets/d/1j51vR6CYVGhABJpv6tkstgok82RLpXieLzW1yOY5rHw/edi"&amp;"t?usp=sharing"",""สิงห์บุรี!J479"")+IMPORTRANGE(""https://docs.google.com/spreadsheets/d/1H1EalTWKUSzO4Z1-1CwzoDUaVffgrThEBe2sl74kKG0/edit?usp=sharing"",""สุพรรณบุรี!J479"")+IMPORTRANGE(""https://docs.google.com/spreadsheets/d/1BmIruG_sIrJLYao_Pdr7zVArWsf"&amp;"oBt2692TMi6x_854/edit?usp=sharing"",""อ่างทอง!J479"")"),0)</f>
        <v>0</v>
      </c>
      <c r="K480" s="87"/>
      <c r="L480" s="87"/>
      <c r="M480" s="87"/>
      <c r="N480" s="87"/>
      <c r="O480" s="87"/>
      <c r="P480" s="87"/>
      <c r="Q480" s="86"/>
      <c r="R480" s="87"/>
      <c r="S480" s="87"/>
      <c r="T480" s="87"/>
      <c r="U480" s="87"/>
    </row>
    <row r="481" spans="1:21" ht="18.75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623">
        <f ca="1">IFERROR(__xludf.DUMMYFUNCTION("IMPORTRANGE(""https://docs.google.com/spreadsheets/d/13wPX838HrBrQMCywv1BsuMkt4PEKTChp52zj44s2izQ/edit?usp=sharing"",""กาญจนบุรี!J480"")+IMPORTRANGE(""https://docs.google.com/spreadsheets/d/1ddFKvqj1W1NEiWytbGlB1zMx_ykJDVtmfEQ-6-lIUBA/edit?usp=sharing"","&amp;"""จันทบุรี!J480"")+IMPORTRANGE(""https://docs.google.com/spreadsheets/d/1T1PQvRODqOBZk8BRht_U031fIS1beLA0Ub2CEytj2q0/edit?usp=sharing"",""ฉะเชิงเทรา!J480"")+IMPORTRANGE(""https://docs.google.com/spreadsheets/d/11tr1B-Bhyr79v2bkwVh5h_fR-PStkgjlZtkrZpYurG0/"&amp;"edit?usp=sharing"",""ชลบุรี!J480"")+IMPORTRANGE(""https://docs.google.com/spreadsheets/d/1hh-FVnSX0vozXhGluamEcS54Dw9_zqW0N7qJUWgJ0Sw/edit?usp=sharing"",""ชัยนาท!J480"")+IMPORTRANGE(""https://docs.google.com/spreadsheets/d/1jkqa6GXxSacMcY1eN8AHjMNJ_7dDXMJ"&amp;"VRLDlaFSOdPM/edit?usp=sharing"",""ตราด!J480"")+IMPORTRANGE(""https://docs.google.com/spreadsheets/d/18hSgUJ3VwClqi_qtULmmW3cLr0oe3OKaSYoKzdpTsYQ/edit?usp=sharing"",""นครนายก!J480"")+IMPORTRANGE(""https://docs.google.com/spreadsheets/d/1YTZo6WM2dQ6Ix6FSdnL"&amp;"5P7uVnVKu40sxZu975tgG10E/edit?usp=sharing"",""นครปฐม!J480"")+IMPORTRANGE(""https://docs.google.com/spreadsheets/d/1OYoGg4WDg5RIzwGeB10padOxJF9E_Vljuvvct_M7RDo/edit?usp=sharing"",""ปทุมธานี!J480"")+IMPORTRANGE(""https://docs.google.com/spreadsheets/d/1GbCI"&amp;"E4D4wk9FUozzqk7SxfDMxDVBwVmI5zcaVUSzKAc/edit?usp=sharing"",""ประจวบคีรีขันธ์!J480"")+IMPORTRANGE(""https://docs.google.com/spreadsheets/d/1vVf6wykvW_lAyu7Yo9L4hUTqHqIeP_qcVuxCtosJEbg/edit?usp=sharing"",""ปราจีนบุรี!J480"")+IMPORTRANGE(""https://docs.googl"&amp;"e.com/spreadsheets/d/1BIDqLLg5jk3v59G8NlR8rk5xfQDKne0sAvZHSj7TI6I/edit?usp=sharing"",""พระนครศรีอยุธยา!J480"")+IMPORTRANGE(""https://docs.google.com/spreadsheets/d/1YXvxf8Yu6_rV4hTBrwMqAcAnv6DfhUxh5emyM3CJp_w/edit?usp=sharing"",""เพชรบุรี!J480"")+IMPORTRA"&amp;"NGE(""https://docs.google.com/spreadsheets/d/19KBlQQs7uwvsao6t2n-KvW3Ax8J8uRRfZPq1zPbXgKc/edit?usp=sharing"",""ระยอง!J480"")+IMPORTRANGE(""https://docs.google.com/spreadsheets/d/1jQ6P4QcrGM89YfqcC_PxOHGCMq5ezhucwJd8ci-NHng/edit?usp=sharing"",""ราชบุรี!J48"&amp;"0"")+IMPORTRANGE(""https://docs.google.com/spreadsheets/d/1lufeA2cfFqM-elVq2hznhDzC6Pr7wkJ9ZG_sYNGCMCU/edit?usp=sharing"",""ลพบุรี!J480"")+IMPORTRANGE(""https://docs.google.com/spreadsheets/d/10oOiF7loTyfsTkbd4MpaIm0HQ9SwB7IYHdIUvt-U1Uc/edit?usp=sharing"""&amp;",""สระแก้ว!J480"")+IMPORTRANGE(""https://docs.google.com/spreadsheets/d/1xmPlrr1QbdSIKvl1dWUl9K4PjAfSL9oeMr_37QVzcxc/edit?usp=sharing"",""สระบุรี!J480"")+IMPORTRANGE(""https://docs.google.com/spreadsheets/d/1j51vR6CYVGhABJpv6tkstgok82RLpXieLzW1yOY5rHw/edi"&amp;"t?usp=sharing"",""สิงห์บุรี!J480"")+IMPORTRANGE(""https://docs.google.com/spreadsheets/d/1H1EalTWKUSzO4Z1-1CwzoDUaVffgrThEBe2sl74kKG0/edit?usp=sharing"",""สุพรรณบุรี!J480"")+IMPORTRANGE(""https://docs.google.com/spreadsheets/d/1BmIruG_sIrJLYao_Pdr7zVArWsf"&amp;"oBt2692TMi6x_854/edit?usp=sharing"",""อ่างทอง!J480"")"),0)</f>
        <v>0</v>
      </c>
      <c r="K481" s="87"/>
      <c r="L481" s="87"/>
      <c r="M481" s="87"/>
      <c r="N481" s="87"/>
      <c r="O481" s="87"/>
      <c r="P481" s="87"/>
      <c r="Q481" s="86"/>
      <c r="R481" s="87"/>
      <c r="S481" s="87"/>
      <c r="T481" s="87"/>
      <c r="U481" s="87"/>
    </row>
    <row r="482" spans="1:21" ht="18.75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623">
        <f ca="1">IFERROR(__xludf.DUMMYFUNCTION("IMPORTRANGE(""https://docs.google.com/spreadsheets/d/13wPX838HrBrQMCywv1BsuMkt4PEKTChp52zj44s2izQ/edit?usp=sharing"",""กาญจนบุรี!J481"")+IMPORTRANGE(""https://docs.google.com/spreadsheets/d/1ddFKvqj1W1NEiWytbGlB1zMx_ykJDVtmfEQ-6-lIUBA/edit?usp=sharing"","&amp;"""จันทบุรี!J481"")+IMPORTRANGE(""https://docs.google.com/spreadsheets/d/1T1PQvRODqOBZk8BRht_U031fIS1beLA0Ub2CEytj2q0/edit?usp=sharing"",""ฉะเชิงเทรา!J481"")+IMPORTRANGE(""https://docs.google.com/spreadsheets/d/11tr1B-Bhyr79v2bkwVh5h_fR-PStkgjlZtkrZpYurG0/"&amp;"edit?usp=sharing"",""ชลบุรี!J481"")+IMPORTRANGE(""https://docs.google.com/spreadsheets/d/1hh-FVnSX0vozXhGluamEcS54Dw9_zqW0N7qJUWgJ0Sw/edit?usp=sharing"",""ชัยนาท!J481"")+IMPORTRANGE(""https://docs.google.com/spreadsheets/d/1jkqa6GXxSacMcY1eN8AHjMNJ_7dDXMJ"&amp;"VRLDlaFSOdPM/edit?usp=sharing"",""ตราด!J481"")+IMPORTRANGE(""https://docs.google.com/spreadsheets/d/18hSgUJ3VwClqi_qtULmmW3cLr0oe3OKaSYoKzdpTsYQ/edit?usp=sharing"",""นครนายก!J481"")+IMPORTRANGE(""https://docs.google.com/spreadsheets/d/1YTZo6WM2dQ6Ix6FSdnL"&amp;"5P7uVnVKu40sxZu975tgG10E/edit?usp=sharing"",""นครปฐม!J481"")+IMPORTRANGE(""https://docs.google.com/spreadsheets/d/1OYoGg4WDg5RIzwGeB10padOxJF9E_Vljuvvct_M7RDo/edit?usp=sharing"",""ปทุมธานี!J481"")+IMPORTRANGE(""https://docs.google.com/spreadsheets/d/1GbCI"&amp;"E4D4wk9FUozzqk7SxfDMxDVBwVmI5zcaVUSzKAc/edit?usp=sharing"",""ประจวบคีรีขันธ์!J481"")+IMPORTRANGE(""https://docs.google.com/spreadsheets/d/1vVf6wykvW_lAyu7Yo9L4hUTqHqIeP_qcVuxCtosJEbg/edit?usp=sharing"",""ปราจีนบุรี!J481"")+IMPORTRANGE(""https://docs.googl"&amp;"e.com/spreadsheets/d/1BIDqLLg5jk3v59G8NlR8rk5xfQDKne0sAvZHSj7TI6I/edit?usp=sharing"",""พระนครศรีอยุธยา!J481"")+IMPORTRANGE(""https://docs.google.com/spreadsheets/d/1YXvxf8Yu6_rV4hTBrwMqAcAnv6DfhUxh5emyM3CJp_w/edit?usp=sharing"",""เพชรบุรี!J481"")+IMPORTRA"&amp;"NGE(""https://docs.google.com/spreadsheets/d/19KBlQQs7uwvsao6t2n-KvW3Ax8J8uRRfZPq1zPbXgKc/edit?usp=sharing"",""ระยอง!J481"")+IMPORTRANGE(""https://docs.google.com/spreadsheets/d/1jQ6P4QcrGM89YfqcC_PxOHGCMq5ezhucwJd8ci-NHng/edit?usp=sharing"",""ราชบุรี!J48"&amp;"1"")+IMPORTRANGE(""https://docs.google.com/spreadsheets/d/1lufeA2cfFqM-elVq2hznhDzC6Pr7wkJ9ZG_sYNGCMCU/edit?usp=sharing"",""ลพบุรี!J481"")+IMPORTRANGE(""https://docs.google.com/spreadsheets/d/10oOiF7loTyfsTkbd4MpaIm0HQ9SwB7IYHdIUvt-U1Uc/edit?usp=sharing"""&amp;",""สระแก้ว!J481"")+IMPORTRANGE(""https://docs.google.com/spreadsheets/d/1xmPlrr1QbdSIKvl1dWUl9K4PjAfSL9oeMr_37QVzcxc/edit?usp=sharing"",""สระบุรี!J481"")+IMPORTRANGE(""https://docs.google.com/spreadsheets/d/1j51vR6CYVGhABJpv6tkstgok82RLpXieLzW1yOY5rHw/edi"&amp;"t?usp=sharing"",""สิงห์บุรี!J481"")+IMPORTRANGE(""https://docs.google.com/spreadsheets/d/1H1EalTWKUSzO4Z1-1CwzoDUaVffgrThEBe2sl74kKG0/edit?usp=sharing"",""สุพรรณบุรี!J481"")+IMPORTRANGE(""https://docs.google.com/spreadsheets/d/1BmIruG_sIrJLYao_Pdr7zVArWsf"&amp;"oBt2692TMi6x_854/edit?usp=sharing"",""อ่างทอง!J481"")"),0)</f>
        <v>0</v>
      </c>
      <c r="K482" s="87"/>
      <c r="L482" s="87"/>
      <c r="M482" s="87"/>
      <c r="N482" s="87"/>
      <c r="O482" s="87"/>
      <c r="P482" s="87"/>
      <c r="Q482" s="86"/>
      <c r="R482" s="87"/>
      <c r="S482" s="87"/>
      <c r="T482" s="87"/>
      <c r="U482" s="87"/>
    </row>
    <row r="483" spans="1:21" ht="18.75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13wPX838HrBrQMCywv1BsuMkt4PEKTChp52zj44s2izQ/edit?usp=sharing"",""กาญจนบุรี!J482"")+IMPORTRANGE(""https://docs.google.com/spreadsheets/d/1ddFKvqj1W1NEiWytbGlB1zMx_ykJDVtmfEQ-6-lIUBA/edit?usp=sharing"","&amp;"""จันทบุรี!J482"")+IMPORTRANGE(""https://docs.google.com/spreadsheets/d/1T1PQvRODqOBZk8BRht_U031fIS1beLA0Ub2CEytj2q0/edit?usp=sharing"",""ฉะเชิงเทรา!J482"")+IMPORTRANGE(""https://docs.google.com/spreadsheets/d/11tr1B-Bhyr79v2bkwVh5h_fR-PStkgjlZtkrZpYurG0/"&amp;"edit?usp=sharing"",""ชลบุรี!J482"")+IMPORTRANGE(""https://docs.google.com/spreadsheets/d/1hh-FVnSX0vozXhGluamEcS54Dw9_zqW0N7qJUWgJ0Sw/edit?usp=sharing"",""ชัยนาท!J482"")+IMPORTRANGE(""https://docs.google.com/spreadsheets/d/1jkqa6GXxSacMcY1eN8AHjMNJ_7dDXMJ"&amp;"VRLDlaFSOdPM/edit?usp=sharing"",""ตราด!J482"")+IMPORTRANGE(""https://docs.google.com/spreadsheets/d/18hSgUJ3VwClqi_qtULmmW3cLr0oe3OKaSYoKzdpTsYQ/edit?usp=sharing"",""นครนายก!J482"")+IMPORTRANGE(""https://docs.google.com/spreadsheets/d/1YTZo6WM2dQ6Ix6FSdnL"&amp;"5P7uVnVKu40sxZu975tgG10E/edit?usp=sharing"",""นครปฐม!J482"")+IMPORTRANGE(""https://docs.google.com/spreadsheets/d/1OYoGg4WDg5RIzwGeB10padOxJF9E_Vljuvvct_M7RDo/edit?usp=sharing"",""ปทุมธานี!J482"")+IMPORTRANGE(""https://docs.google.com/spreadsheets/d/1GbCI"&amp;"E4D4wk9FUozzqk7SxfDMxDVBwVmI5zcaVUSzKAc/edit?usp=sharing"",""ประจวบคีรีขันธ์!J482"")+IMPORTRANGE(""https://docs.google.com/spreadsheets/d/1vVf6wykvW_lAyu7Yo9L4hUTqHqIeP_qcVuxCtosJEbg/edit?usp=sharing"",""ปราจีนบุรี!J482"")+IMPORTRANGE(""https://docs.googl"&amp;"e.com/spreadsheets/d/1BIDqLLg5jk3v59G8NlR8rk5xfQDKne0sAvZHSj7TI6I/edit?usp=sharing"",""พระนครศรีอยุธยา!J482"")+IMPORTRANGE(""https://docs.google.com/spreadsheets/d/1YXvxf8Yu6_rV4hTBrwMqAcAnv6DfhUxh5emyM3CJp_w/edit?usp=sharing"",""เพชรบุรี!J482"")+IMPORTRA"&amp;"NGE(""https://docs.google.com/spreadsheets/d/19KBlQQs7uwvsao6t2n-KvW3Ax8J8uRRfZPq1zPbXgKc/edit?usp=sharing"",""ระยอง!J482"")+IMPORTRANGE(""https://docs.google.com/spreadsheets/d/1jQ6P4QcrGM89YfqcC_PxOHGCMq5ezhucwJd8ci-NHng/edit?usp=sharing"",""ราชบุรี!J48"&amp;"2"")+IMPORTRANGE(""https://docs.google.com/spreadsheets/d/1lufeA2cfFqM-elVq2hznhDzC6Pr7wkJ9ZG_sYNGCMCU/edit?usp=sharing"",""ลพบุรี!J482"")+IMPORTRANGE(""https://docs.google.com/spreadsheets/d/10oOiF7loTyfsTkbd4MpaIm0HQ9SwB7IYHdIUvt-U1Uc/edit?usp=sharing"""&amp;",""สระแก้ว!J482"")+IMPORTRANGE(""https://docs.google.com/spreadsheets/d/1xmPlrr1QbdSIKvl1dWUl9K4PjAfSL9oeMr_37QVzcxc/edit?usp=sharing"",""สระบุรี!J482"")+IMPORTRANGE(""https://docs.google.com/spreadsheets/d/1j51vR6CYVGhABJpv6tkstgok82RLpXieLzW1yOY5rHw/edi"&amp;"t?usp=sharing"",""สิงห์บุรี!J482"")+IMPORTRANGE(""https://docs.google.com/spreadsheets/d/1H1EalTWKUSzO4Z1-1CwzoDUaVffgrThEBe2sl74kKG0/edit?usp=sharing"",""สุพรรณบุรี!J482"")+IMPORTRANGE(""https://docs.google.com/spreadsheets/d/1BmIruG_sIrJLYao_Pdr7zVArWsf"&amp;"oBt2692TMi6x_854/edit?usp=sharing"",""อ่างทอง!J482"")"),0)</f>
        <v>0</v>
      </c>
      <c r="K483" s="87"/>
      <c r="L483" s="87"/>
      <c r="M483" s="87"/>
      <c r="N483" s="87"/>
      <c r="O483" s="87"/>
      <c r="P483" s="87"/>
      <c r="Q483" s="86"/>
      <c r="R483" s="87"/>
      <c r="S483" s="87"/>
      <c r="T483" s="87"/>
      <c r="U483" s="87"/>
    </row>
    <row r="484" spans="1:21" ht="18.75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13wPX838HrBrQMCywv1BsuMkt4PEKTChp52zj44s2izQ/edit?usp=sharing"",""กาญจนบุรี!J483"")+IMPORTRANGE(""https://docs.google.com/spreadsheets/d/1ddFKvqj1W1NEiWytbGlB1zMx_ykJDVtmfEQ-6-lIUBA/edit?usp=sharing"","&amp;"""จันทบุรี!J483"")+IMPORTRANGE(""https://docs.google.com/spreadsheets/d/1T1PQvRODqOBZk8BRht_U031fIS1beLA0Ub2CEytj2q0/edit?usp=sharing"",""ฉะเชิงเทรา!J483"")+IMPORTRANGE(""https://docs.google.com/spreadsheets/d/11tr1B-Bhyr79v2bkwVh5h_fR-PStkgjlZtkrZpYurG0/"&amp;"edit?usp=sharing"",""ชลบุรี!J483"")+IMPORTRANGE(""https://docs.google.com/spreadsheets/d/1hh-FVnSX0vozXhGluamEcS54Dw9_zqW0N7qJUWgJ0Sw/edit?usp=sharing"",""ชัยนาท!J483"")+IMPORTRANGE(""https://docs.google.com/spreadsheets/d/1jkqa6GXxSacMcY1eN8AHjMNJ_7dDXMJ"&amp;"VRLDlaFSOdPM/edit?usp=sharing"",""ตราด!J483"")+IMPORTRANGE(""https://docs.google.com/spreadsheets/d/18hSgUJ3VwClqi_qtULmmW3cLr0oe3OKaSYoKzdpTsYQ/edit?usp=sharing"",""นครนายก!J483"")+IMPORTRANGE(""https://docs.google.com/spreadsheets/d/1YTZo6WM2dQ6Ix6FSdnL"&amp;"5P7uVnVKu40sxZu975tgG10E/edit?usp=sharing"",""นครปฐม!J483"")+IMPORTRANGE(""https://docs.google.com/spreadsheets/d/1OYoGg4WDg5RIzwGeB10padOxJF9E_Vljuvvct_M7RDo/edit?usp=sharing"",""ปทุมธานี!J483"")+IMPORTRANGE(""https://docs.google.com/spreadsheets/d/1GbCI"&amp;"E4D4wk9FUozzqk7SxfDMxDVBwVmI5zcaVUSzKAc/edit?usp=sharing"",""ประจวบคีรีขันธ์!J483"")+IMPORTRANGE(""https://docs.google.com/spreadsheets/d/1vVf6wykvW_lAyu7Yo9L4hUTqHqIeP_qcVuxCtosJEbg/edit?usp=sharing"",""ปราจีนบุรี!J483"")+IMPORTRANGE(""https://docs.googl"&amp;"e.com/spreadsheets/d/1BIDqLLg5jk3v59G8NlR8rk5xfQDKne0sAvZHSj7TI6I/edit?usp=sharing"",""พระนครศรีอยุธยา!J483"")+IMPORTRANGE(""https://docs.google.com/spreadsheets/d/1YXvxf8Yu6_rV4hTBrwMqAcAnv6DfhUxh5emyM3CJp_w/edit?usp=sharing"",""เพชรบุรี!J483"")+IMPORTRA"&amp;"NGE(""https://docs.google.com/spreadsheets/d/19KBlQQs7uwvsao6t2n-KvW3Ax8J8uRRfZPq1zPbXgKc/edit?usp=sharing"",""ระยอง!J483"")+IMPORTRANGE(""https://docs.google.com/spreadsheets/d/1jQ6P4QcrGM89YfqcC_PxOHGCMq5ezhucwJd8ci-NHng/edit?usp=sharing"",""ราชบุรี!J48"&amp;"3"")+IMPORTRANGE(""https://docs.google.com/spreadsheets/d/1lufeA2cfFqM-elVq2hznhDzC6Pr7wkJ9ZG_sYNGCMCU/edit?usp=sharing"",""ลพบุรี!J483"")+IMPORTRANGE(""https://docs.google.com/spreadsheets/d/10oOiF7loTyfsTkbd4MpaIm0HQ9SwB7IYHdIUvt-U1Uc/edit?usp=sharing"""&amp;",""สระแก้ว!J483"")+IMPORTRANGE(""https://docs.google.com/spreadsheets/d/1xmPlrr1QbdSIKvl1dWUl9K4PjAfSL9oeMr_37QVzcxc/edit?usp=sharing"",""สระบุรี!J483"")+IMPORTRANGE(""https://docs.google.com/spreadsheets/d/1j51vR6CYVGhABJpv6tkstgok82RLpXieLzW1yOY5rHw/edi"&amp;"t?usp=sharing"",""สิงห์บุรี!J483"")+IMPORTRANGE(""https://docs.google.com/spreadsheets/d/1H1EalTWKUSzO4Z1-1CwzoDUaVffgrThEBe2sl74kKG0/edit?usp=sharing"",""สุพรรณบุรี!J483"")+IMPORTRANGE(""https://docs.google.com/spreadsheets/d/1BmIruG_sIrJLYao_Pdr7zVArWsf"&amp;"oBt2692TMi6x_854/edit?usp=sharing"",""อ่างทอง!J483"")"),0)</f>
        <v>0</v>
      </c>
      <c r="K484" s="87"/>
      <c r="L484" s="87"/>
      <c r="M484" s="87"/>
      <c r="N484" s="87"/>
      <c r="O484" s="87"/>
      <c r="P484" s="87"/>
      <c r="Q484" s="86"/>
      <c r="R484" s="87"/>
      <c r="S484" s="87"/>
      <c r="T484" s="87"/>
      <c r="U484" s="87"/>
    </row>
    <row r="485" spans="1:21" ht="19.5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623">
        <f t="shared" ref="I485:I486" ca="1" si="334">J481</f>
        <v>0</v>
      </c>
      <c r="J485" s="622">
        <f t="shared" ref="J485:J486" ca="1" si="335">J487+J489+J491</f>
        <v>0</v>
      </c>
      <c r="K485" s="264">
        <f t="shared" ref="K485:K486" ca="1" si="336">IF(I485&gt;0,J485*100/I485,0)</f>
        <v>0</v>
      </c>
      <c r="L485" s="87"/>
      <c r="M485" s="87"/>
      <c r="N485" s="87"/>
      <c r="O485" s="87"/>
      <c r="P485" s="87"/>
      <c r="Q485" s="86"/>
      <c r="R485" s="87"/>
      <c r="S485" s="87"/>
      <c r="T485" s="87"/>
      <c r="U485" s="87"/>
    </row>
    <row r="486" spans="1:21" ht="19.5" x14ac:dyDescent="0.3">
      <c r="A486" s="550"/>
      <c r="B486" s="269"/>
      <c r="C486" s="589" t="s">
        <v>194</v>
      </c>
      <c r="D486" s="269"/>
      <c r="E486" s="269"/>
      <c r="F486" s="269"/>
      <c r="G486" s="312"/>
      <c r="H486" s="262" t="s">
        <v>34</v>
      </c>
      <c r="I486" s="623">
        <f t="shared" ca="1" si="334"/>
        <v>0</v>
      </c>
      <c r="J486" s="622">
        <f t="shared" ca="1" si="335"/>
        <v>0</v>
      </c>
      <c r="K486" s="264">
        <f t="shared" ca="1" si="336"/>
        <v>0</v>
      </c>
      <c r="L486" s="87"/>
      <c r="M486" s="87"/>
      <c r="N486" s="87"/>
      <c r="O486" s="87"/>
      <c r="P486" s="87"/>
      <c r="Q486" s="86"/>
      <c r="R486" s="87"/>
      <c r="S486" s="87"/>
      <c r="T486" s="87"/>
      <c r="U486" s="87"/>
    </row>
    <row r="487" spans="1:21" ht="18.75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623">
        <f ca="1">IFERROR(__xludf.DUMMYFUNCTION("IMPORTRANGE(""https://docs.google.com/spreadsheets/d/13wPX838HrBrQMCywv1BsuMkt4PEKTChp52zj44s2izQ/edit?usp=sharing"",""กาญจนบุรี!J486"")+IMPORTRANGE(""https://docs.google.com/spreadsheets/d/1ddFKvqj1W1NEiWytbGlB1zMx_ykJDVtmfEQ-6-lIUBA/edit?usp=sharing"","&amp;"""จันทบุรี!J486"")+IMPORTRANGE(""https://docs.google.com/spreadsheets/d/1T1PQvRODqOBZk8BRht_U031fIS1beLA0Ub2CEytj2q0/edit?usp=sharing"",""ฉะเชิงเทรา!J486"")+IMPORTRANGE(""https://docs.google.com/spreadsheets/d/11tr1B-Bhyr79v2bkwVh5h_fR-PStkgjlZtkrZpYurG0/"&amp;"edit?usp=sharing"",""ชลบุรี!J486"")+IMPORTRANGE(""https://docs.google.com/spreadsheets/d/1hh-FVnSX0vozXhGluamEcS54Dw9_zqW0N7qJUWgJ0Sw/edit?usp=sharing"",""ชัยนาท!J486"")+IMPORTRANGE(""https://docs.google.com/spreadsheets/d/1jkqa6GXxSacMcY1eN8AHjMNJ_7dDXMJ"&amp;"VRLDlaFSOdPM/edit?usp=sharing"",""ตราด!J486"")+IMPORTRANGE(""https://docs.google.com/spreadsheets/d/18hSgUJ3VwClqi_qtULmmW3cLr0oe3OKaSYoKzdpTsYQ/edit?usp=sharing"",""นครนายก!J486"")+IMPORTRANGE(""https://docs.google.com/spreadsheets/d/1YTZo6WM2dQ6Ix6FSdnL"&amp;"5P7uVnVKu40sxZu975tgG10E/edit?usp=sharing"",""นครปฐม!J486"")+IMPORTRANGE(""https://docs.google.com/spreadsheets/d/1OYoGg4WDg5RIzwGeB10padOxJF9E_Vljuvvct_M7RDo/edit?usp=sharing"",""ปทุมธานี!J486"")+IMPORTRANGE(""https://docs.google.com/spreadsheets/d/1GbCI"&amp;"E4D4wk9FUozzqk7SxfDMxDVBwVmI5zcaVUSzKAc/edit?usp=sharing"",""ประจวบคีรีขันธ์!J486"")+IMPORTRANGE(""https://docs.google.com/spreadsheets/d/1vVf6wykvW_lAyu7Yo9L4hUTqHqIeP_qcVuxCtosJEbg/edit?usp=sharing"",""ปราจีนบุรี!J486"")+IMPORTRANGE(""https://docs.googl"&amp;"e.com/spreadsheets/d/1BIDqLLg5jk3v59G8NlR8rk5xfQDKne0sAvZHSj7TI6I/edit?usp=sharing"",""พระนครศรีอยุธยา!J486"")+IMPORTRANGE(""https://docs.google.com/spreadsheets/d/1YXvxf8Yu6_rV4hTBrwMqAcAnv6DfhUxh5emyM3CJp_w/edit?usp=sharing"",""เพชรบุรี!J486"")+IMPORTRA"&amp;"NGE(""https://docs.google.com/spreadsheets/d/19KBlQQs7uwvsao6t2n-KvW3Ax8J8uRRfZPq1zPbXgKc/edit?usp=sharing"",""ระยอง!J486"")+IMPORTRANGE(""https://docs.google.com/spreadsheets/d/1jQ6P4QcrGM89YfqcC_PxOHGCMq5ezhucwJd8ci-NHng/edit?usp=sharing"",""ราชบุรี!J48"&amp;"6"")+IMPORTRANGE(""https://docs.google.com/spreadsheets/d/1lufeA2cfFqM-elVq2hznhDzC6Pr7wkJ9ZG_sYNGCMCU/edit?usp=sharing"",""ลพบุรี!J486"")+IMPORTRANGE(""https://docs.google.com/spreadsheets/d/10oOiF7loTyfsTkbd4MpaIm0HQ9SwB7IYHdIUvt-U1Uc/edit?usp=sharing"""&amp;",""สระแก้ว!J486"")+IMPORTRANGE(""https://docs.google.com/spreadsheets/d/1xmPlrr1QbdSIKvl1dWUl9K4PjAfSL9oeMr_37QVzcxc/edit?usp=sharing"",""สระบุรี!J486"")+IMPORTRANGE(""https://docs.google.com/spreadsheets/d/1j51vR6CYVGhABJpv6tkstgok82RLpXieLzW1yOY5rHw/edi"&amp;"t?usp=sharing"",""สิงห์บุรี!J486"")+IMPORTRANGE(""https://docs.google.com/spreadsheets/d/1H1EalTWKUSzO4Z1-1CwzoDUaVffgrThEBe2sl74kKG0/edit?usp=sharing"",""สุพรรณบุรี!J486"")+IMPORTRANGE(""https://docs.google.com/spreadsheets/d/1BmIruG_sIrJLYao_Pdr7zVArWsf"&amp;"oBt2692TMi6x_854/edit?usp=sharing"",""อ่างทอง!J486"")"),0)</f>
        <v>0</v>
      </c>
      <c r="K487" s="87"/>
      <c r="L487" s="87"/>
      <c r="M487" s="87"/>
      <c r="N487" s="87"/>
      <c r="O487" s="87"/>
      <c r="P487" s="87"/>
      <c r="Q487" s="86"/>
      <c r="R487" s="87"/>
      <c r="S487" s="87"/>
      <c r="T487" s="87"/>
      <c r="U487" s="87"/>
    </row>
    <row r="488" spans="1:21" ht="18.75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623">
        <f ca="1">IFERROR(__xludf.DUMMYFUNCTION("IMPORTRANGE(""https://docs.google.com/spreadsheets/d/13wPX838HrBrQMCywv1BsuMkt4PEKTChp52zj44s2izQ/edit?usp=sharing"",""กาญจนบุรี!J487"")+IMPORTRANGE(""https://docs.google.com/spreadsheets/d/1ddFKvqj1W1NEiWytbGlB1zMx_ykJDVtmfEQ-6-lIUBA/edit?usp=sharing"","&amp;"""จันทบุรี!J487"")+IMPORTRANGE(""https://docs.google.com/spreadsheets/d/1T1PQvRODqOBZk8BRht_U031fIS1beLA0Ub2CEytj2q0/edit?usp=sharing"",""ฉะเชิงเทรา!J487"")+IMPORTRANGE(""https://docs.google.com/spreadsheets/d/11tr1B-Bhyr79v2bkwVh5h_fR-PStkgjlZtkrZpYurG0/"&amp;"edit?usp=sharing"",""ชลบุรี!J487"")+IMPORTRANGE(""https://docs.google.com/spreadsheets/d/1hh-FVnSX0vozXhGluamEcS54Dw9_zqW0N7qJUWgJ0Sw/edit?usp=sharing"",""ชัยนาท!J487"")+IMPORTRANGE(""https://docs.google.com/spreadsheets/d/1jkqa6GXxSacMcY1eN8AHjMNJ_7dDXMJ"&amp;"VRLDlaFSOdPM/edit?usp=sharing"",""ตราด!J487"")+IMPORTRANGE(""https://docs.google.com/spreadsheets/d/18hSgUJ3VwClqi_qtULmmW3cLr0oe3OKaSYoKzdpTsYQ/edit?usp=sharing"",""นครนายก!J487"")+IMPORTRANGE(""https://docs.google.com/spreadsheets/d/1YTZo6WM2dQ6Ix6FSdnL"&amp;"5P7uVnVKu40sxZu975tgG10E/edit?usp=sharing"",""นครปฐม!J487"")+IMPORTRANGE(""https://docs.google.com/spreadsheets/d/1OYoGg4WDg5RIzwGeB10padOxJF9E_Vljuvvct_M7RDo/edit?usp=sharing"",""ปทุมธานี!J487"")+IMPORTRANGE(""https://docs.google.com/spreadsheets/d/1GbCI"&amp;"E4D4wk9FUozzqk7SxfDMxDVBwVmI5zcaVUSzKAc/edit?usp=sharing"",""ประจวบคีรีขันธ์!J487"")+IMPORTRANGE(""https://docs.google.com/spreadsheets/d/1vVf6wykvW_lAyu7Yo9L4hUTqHqIeP_qcVuxCtosJEbg/edit?usp=sharing"",""ปราจีนบุรี!J487"")+IMPORTRANGE(""https://docs.googl"&amp;"e.com/spreadsheets/d/1BIDqLLg5jk3v59G8NlR8rk5xfQDKne0sAvZHSj7TI6I/edit?usp=sharing"",""พระนครศรีอยุธยา!J487"")+IMPORTRANGE(""https://docs.google.com/spreadsheets/d/1YXvxf8Yu6_rV4hTBrwMqAcAnv6DfhUxh5emyM3CJp_w/edit?usp=sharing"",""เพชรบุรี!J487"")+IMPORTRA"&amp;"NGE(""https://docs.google.com/spreadsheets/d/19KBlQQs7uwvsao6t2n-KvW3Ax8J8uRRfZPq1zPbXgKc/edit?usp=sharing"",""ระยอง!J487"")+IMPORTRANGE(""https://docs.google.com/spreadsheets/d/1jQ6P4QcrGM89YfqcC_PxOHGCMq5ezhucwJd8ci-NHng/edit?usp=sharing"",""ราชบุรี!J48"&amp;"7"")+IMPORTRANGE(""https://docs.google.com/spreadsheets/d/1lufeA2cfFqM-elVq2hznhDzC6Pr7wkJ9ZG_sYNGCMCU/edit?usp=sharing"",""ลพบุรี!J487"")+IMPORTRANGE(""https://docs.google.com/spreadsheets/d/10oOiF7loTyfsTkbd4MpaIm0HQ9SwB7IYHdIUvt-U1Uc/edit?usp=sharing"""&amp;",""สระแก้ว!J487"")+IMPORTRANGE(""https://docs.google.com/spreadsheets/d/1xmPlrr1QbdSIKvl1dWUl9K4PjAfSL9oeMr_37QVzcxc/edit?usp=sharing"",""สระบุรี!J487"")+IMPORTRANGE(""https://docs.google.com/spreadsheets/d/1j51vR6CYVGhABJpv6tkstgok82RLpXieLzW1yOY5rHw/edi"&amp;"t?usp=sharing"",""สิงห์บุรี!J487"")+IMPORTRANGE(""https://docs.google.com/spreadsheets/d/1H1EalTWKUSzO4Z1-1CwzoDUaVffgrThEBe2sl74kKG0/edit?usp=sharing"",""สุพรรณบุรี!J487"")+IMPORTRANGE(""https://docs.google.com/spreadsheets/d/1BmIruG_sIrJLYao_Pdr7zVArWsf"&amp;"oBt2692TMi6x_854/edit?usp=sharing"",""อ่างทอง!J487"")"),0)</f>
        <v>0</v>
      </c>
      <c r="K488" s="87"/>
      <c r="L488" s="87"/>
      <c r="M488" s="87"/>
      <c r="N488" s="87"/>
      <c r="O488" s="87"/>
      <c r="P488" s="87"/>
      <c r="Q488" s="86"/>
      <c r="R488" s="87"/>
      <c r="S488" s="87"/>
      <c r="T488" s="87"/>
      <c r="U488" s="87"/>
    </row>
    <row r="489" spans="1:21" ht="18.75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623">
        <f ca="1">IFERROR(__xludf.DUMMYFUNCTION("IMPORTRANGE(""https://docs.google.com/spreadsheets/d/13wPX838HrBrQMCywv1BsuMkt4PEKTChp52zj44s2izQ/edit?usp=sharing"",""กาญจนบุรี!J488"")+IMPORTRANGE(""https://docs.google.com/spreadsheets/d/1ddFKvqj1W1NEiWytbGlB1zMx_ykJDVtmfEQ-6-lIUBA/edit?usp=sharing"","&amp;"""จันทบุรี!J488"")+IMPORTRANGE(""https://docs.google.com/spreadsheets/d/1T1PQvRODqOBZk8BRht_U031fIS1beLA0Ub2CEytj2q0/edit?usp=sharing"",""ฉะเชิงเทรา!J488"")+IMPORTRANGE(""https://docs.google.com/spreadsheets/d/11tr1B-Bhyr79v2bkwVh5h_fR-PStkgjlZtkrZpYurG0/"&amp;"edit?usp=sharing"",""ชลบุรี!J488"")+IMPORTRANGE(""https://docs.google.com/spreadsheets/d/1hh-FVnSX0vozXhGluamEcS54Dw9_zqW0N7qJUWgJ0Sw/edit?usp=sharing"",""ชัยนาท!J488"")+IMPORTRANGE(""https://docs.google.com/spreadsheets/d/1jkqa6GXxSacMcY1eN8AHjMNJ_7dDXMJ"&amp;"VRLDlaFSOdPM/edit?usp=sharing"",""ตราด!J488"")+IMPORTRANGE(""https://docs.google.com/spreadsheets/d/18hSgUJ3VwClqi_qtULmmW3cLr0oe3OKaSYoKzdpTsYQ/edit?usp=sharing"",""นครนายก!J488"")+IMPORTRANGE(""https://docs.google.com/spreadsheets/d/1YTZo6WM2dQ6Ix6FSdnL"&amp;"5P7uVnVKu40sxZu975tgG10E/edit?usp=sharing"",""นครปฐม!J488"")+IMPORTRANGE(""https://docs.google.com/spreadsheets/d/1OYoGg4WDg5RIzwGeB10padOxJF9E_Vljuvvct_M7RDo/edit?usp=sharing"",""ปทุมธานี!J488"")+IMPORTRANGE(""https://docs.google.com/spreadsheets/d/1GbCI"&amp;"E4D4wk9FUozzqk7SxfDMxDVBwVmI5zcaVUSzKAc/edit?usp=sharing"",""ประจวบคีรีขันธ์!J488"")+IMPORTRANGE(""https://docs.google.com/spreadsheets/d/1vVf6wykvW_lAyu7Yo9L4hUTqHqIeP_qcVuxCtosJEbg/edit?usp=sharing"",""ปราจีนบุรี!J488"")+IMPORTRANGE(""https://docs.googl"&amp;"e.com/spreadsheets/d/1BIDqLLg5jk3v59G8NlR8rk5xfQDKne0sAvZHSj7TI6I/edit?usp=sharing"",""พระนครศรีอยุธยา!J488"")+IMPORTRANGE(""https://docs.google.com/spreadsheets/d/1YXvxf8Yu6_rV4hTBrwMqAcAnv6DfhUxh5emyM3CJp_w/edit?usp=sharing"",""เพชรบุรี!J488"")+IMPORTRA"&amp;"NGE(""https://docs.google.com/spreadsheets/d/19KBlQQs7uwvsao6t2n-KvW3Ax8J8uRRfZPq1zPbXgKc/edit?usp=sharing"",""ระยอง!J488"")+IMPORTRANGE(""https://docs.google.com/spreadsheets/d/1jQ6P4QcrGM89YfqcC_PxOHGCMq5ezhucwJd8ci-NHng/edit?usp=sharing"",""ราชบุรี!J48"&amp;"8"")+IMPORTRANGE(""https://docs.google.com/spreadsheets/d/1lufeA2cfFqM-elVq2hznhDzC6Pr7wkJ9ZG_sYNGCMCU/edit?usp=sharing"",""ลพบุรี!J488"")+IMPORTRANGE(""https://docs.google.com/spreadsheets/d/10oOiF7loTyfsTkbd4MpaIm0HQ9SwB7IYHdIUvt-U1Uc/edit?usp=sharing"""&amp;",""สระแก้ว!J488"")+IMPORTRANGE(""https://docs.google.com/spreadsheets/d/1xmPlrr1QbdSIKvl1dWUl9K4PjAfSL9oeMr_37QVzcxc/edit?usp=sharing"",""สระบุรี!J488"")+IMPORTRANGE(""https://docs.google.com/spreadsheets/d/1j51vR6CYVGhABJpv6tkstgok82RLpXieLzW1yOY5rHw/edi"&amp;"t?usp=sharing"",""สิงห์บุรี!J488"")+IMPORTRANGE(""https://docs.google.com/spreadsheets/d/1H1EalTWKUSzO4Z1-1CwzoDUaVffgrThEBe2sl74kKG0/edit?usp=sharing"",""สุพรรณบุรี!J488"")+IMPORTRANGE(""https://docs.google.com/spreadsheets/d/1BmIruG_sIrJLYao_Pdr7zVArWsf"&amp;"oBt2692TMi6x_854/edit?usp=sharing"",""อ่างทอง!J488"")"),0)</f>
        <v>0</v>
      </c>
      <c r="K489" s="87"/>
      <c r="L489" s="87"/>
      <c r="M489" s="87"/>
      <c r="N489" s="87"/>
      <c r="O489" s="87"/>
      <c r="P489" s="87"/>
      <c r="Q489" s="86"/>
      <c r="R489" s="87"/>
      <c r="S489" s="87"/>
      <c r="T489" s="87"/>
      <c r="U489" s="87"/>
    </row>
    <row r="490" spans="1:21" ht="18.75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623">
        <f ca="1">IFERROR(__xludf.DUMMYFUNCTION("IMPORTRANGE(""https://docs.google.com/spreadsheets/d/13wPX838HrBrQMCywv1BsuMkt4PEKTChp52zj44s2izQ/edit?usp=sharing"",""กาญจนบุรี!J489"")+IMPORTRANGE(""https://docs.google.com/spreadsheets/d/1ddFKvqj1W1NEiWytbGlB1zMx_ykJDVtmfEQ-6-lIUBA/edit?usp=sharing"","&amp;"""จันทบุรี!J489"")+IMPORTRANGE(""https://docs.google.com/spreadsheets/d/1T1PQvRODqOBZk8BRht_U031fIS1beLA0Ub2CEytj2q0/edit?usp=sharing"",""ฉะเชิงเทรา!J489"")+IMPORTRANGE(""https://docs.google.com/spreadsheets/d/11tr1B-Bhyr79v2bkwVh5h_fR-PStkgjlZtkrZpYurG0/"&amp;"edit?usp=sharing"",""ชลบุรี!J489"")+IMPORTRANGE(""https://docs.google.com/spreadsheets/d/1hh-FVnSX0vozXhGluamEcS54Dw9_zqW0N7qJUWgJ0Sw/edit?usp=sharing"",""ชัยนาท!J489"")+IMPORTRANGE(""https://docs.google.com/spreadsheets/d/1jkqa6GXxSacMcY1eN8AHjMNJ_7dDXMJ"&amp;"VRLDlaFSOdPM/edit?usp=sharing"",""ตราด!J489"")+IMPORTRANGE(""https://docs.google.com/spreadsheets/d/18hSgUJ3VwClqi_qtULmmW3cLr0oe3OKaSYoKzdpTsYQ/edit?usp=sharing"",""นครนายก!J489"")+IMPORTRANGE(""https://docs.google.com/spreadsheets/d/1YTZo6WM2dQ6Ix6FSdnL"&amp;"5P7uVnVKu40sxZu975tgG10E/edit?usp=sharing"",""นครปฐม!J489"")+IMPORTRANGE(""https://docs.google.com/spreadsheets/d/1OYoGg4WDg5RIzwGeB10padOxJF9E_Vljuvvct_M7RDo/edit?usp=sharing"",""ปทุมธานี!J489"")+IMPORTRANGE(""https://docs.google.com/spreadsheets/d/1GbCI"&amp;"E4D4wk9FUozzqk7SxfDMxDVBwVmI5zcaVUSzKAc/edit?usp=sharing"",""ประจวบคีรีขันธ์!J489"")+IMPORTRANGE(""https://docs.google.com/spreadsheets/d/1vVf6wykvW_lAyu7Yo9L4hUTqHqIeP_qcVuxCtosJEbg/edit?usp=sharing"",""ปราจีนบุรี!J489"")+IMPORTRANGE(""https://docs.googl"&amp;"e.com/spreadsheets/d/1BIDqLLg5jk3v59G8NlR8rk5xfQDKne0sAvZHSj7TI6I/edit?usp=sharing"",""พระนครศรีอยุธยา!J489"")+IMPORTRANGE(""https://docs.google.com/spreadsheets/d/1YXvxf8Yu6_rV4hTBrwMqAcAnv6DfhUxh5emyM3CJp_w/edit?usp=sharing"",""เพชรบุรี!J489"")+IMPORTRA"&amp;"NGE(""https://docs.google.com/spreadsheets/d/19KBlQQs7uwvsao6t2n-KvW3Ax8J8uRRfZPq1zPbXgKc/edit?usp=sharing"",""ระยอง!J489"")+IMPORTRANGE(""https://docs.google.com/spreadsheets/d/1jQ6P4QcrGM89YfqcC_PxOHGCMq5ezhucwJd8ci-NHng/edit?usp=sharing"",""ราชบุรี!J48"&amp;"9"")+IMPORTRANGE(""https://docs.google.com/spreadsheets/d/1lufeA2cfFqM-elVq2hznhDzC6Pr7wkJ9ZG_sYNGCMCU/edit?usp=sharing"",""ลพบุรี!J489"")+IMPORTRANGE(""https://docs.google.com/spreadsheets/d/10oOiF7loTyfsTkbd4MpaIm0HQ9SwB7IYHdIUvt-U1Uc/edit?usp=sharing"""&amp;",""สระแก้ว!J489"")+IMPORTRANGE(""https://docs.google.com/spreadsheets/d/1xmPlrr1QbdSIKvl1dWUl9K4PjAfSL9oeMr_37QVzcxc/edit?usp=sharing"",""สระบุรี!J489"")+IMPORTRANGE(""https://docs.google.com/spreadsheets/d/1j51vR6CYVGhABJpv6tkstgok82RLpXieLzW1yOY5rHw/edi"&amp;"t?usp=sharing"",""สิงห์บุรี!J489"")+IMPORTRANGE(""https://docs.google.com/spreadsheets/d/1H1EalTWKUSzO4Z1-1CwzoDUaVffgrThEBe2sl74kKG0/edit?usp=sharing"",""สุพรรณบุรี!J489"")+IMPORTRANGE(""https://docs.google.com/spreadsheets/d/1BmIruG_sIrJLYao_Pdr7zVArWsf"&amp;"oBt2692TMi6x_854/edit?usp=sharing"",""อ่างทอง!J489"")"),0)</f>
        <v>0</v>
      </c>
      <c r="K490" s="87"/>
      <c r="L490" s="87"/>
      <c r="M490" s="87"/>
      <c r="N490" s="87"/>
      <c r="O490" s="87"/>
      <c r="P490" s="87"/>
      <c r="Q490" s="86"/>
      <c r="R490" s="87"/>
      <c r="S490" s="87"/>
      <c r="T490" s="87"/>
      <c r="U490" s="87"/>
    </row>
    <row r="491" spans="1:21" ht="18.75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623">
        <f ca="1">IFERROR(__xludf.DUMMYFUNCTION("IMPORTRANGE(""https://docs.google.com/spreadsheets/d/13wPX838HrBrQMCywv1BsuMkt4PEKTChp52zj44s2izQ/edit?usp=sharing"",""กาญจนบุรี!J490"")+IMPORTRANGE(""https://docs.google.com/spreadsheets/d/1ddFKvqj1W1NEiWytbGlB1zMx_ykJDVtmfEQ-6-lIUBA/edit?usp=sharing"","&amp;"""จันทบุรี!J490"")+IMPORTRANGE(""https://docs.google.com/spreadsheets/d/1T1PQvRODqOBZk8BRht_U031fIS1beLA0Ub2CEytj2q0/edit?usp=sharing"",""ฉะเชิงเทรา!J490"")+IMPORTRANGE(""https://docs.google.com/spreadsheets/d/11tr1B-Bhyr79v2bkwVh5h_fR-PStkgjlZtkrZpYurG0/"&amp;"edit?usp=sharing"",""ชลบุรี!J490"")+IMPORTRANGE(""https://docs.google.com/spreadsheets/d/1hh-FVnSX0vozXhGluamEcS54Dw9_zqW0N7qJUWgJ0Sw/edit?usp=sharing"",""ชัยนาท!J490"")+IMPORTRANGE(""https://docs.google.com/spreadsheets/d/1jkqa6GXxSacMcY1eN8AHjMNJ_7dDXMJ"&amp;"VRLDlaFSOdPM/edit?usp=sharing"",""ตราด!J490"")+IMPORTRANGE(""https://docs.google.com/spreadsheets/d/18hSgUJ3VwClqi_qtULmmW3cLr0oe3OKaSYoKzdpTsYQ/edit?usp=sharing"",""นครนายก!J490"")+IMPORTRANGE(""https://docs.google.com/spreadsheets/d/1YTZo6WM2dQ6Ix6FSdnL"&amp;"5P7uVnVKu40sxZu975tgG10E/edit?usp=sharing"",""นครปฐม!J490"")+IMPORTRANGE(""https://docs.google.com/spreadsheets/d/1OYoGg4WDg5RIzwGeB10padOxJF9E_Vljuvvct_M7RDo/edit?usp=sharing"",""ปทุมธานี!J490"")+IMPORTRANGE(""https://docs.google.com/spreadsheets/d/1GbCI"&amp;"E4D4wk9FUozzqk7SxfDMxDVBwVmI5zcaVUSzKAc/edit?usp=sharing"",""ประจวบคีรีขันธ์!J490"")+IMPORTRANGE(""https://docs.google.com/spreadsheets/d/1vVf6wykvW_lAyu7Yo9L4hUTqHqIeP_qcVuxCtosJEbg/edit?usp=sharing"",""ปราจีนบุรี!J490"")+IMPORTRANGE(""https://docs.googl"&amp;"e.com/spreadsheets/d/1BIDqLLg5jk3v59G8NlR8rk5xfQDKne0sAvZHSj7TI6I/edit?usp=sharing"",""พระนครศรีอยุธยา!J490"")+IMPORTRANGE(""https://docs.google.com/spreadsheets/d/1YXvxf8Yu6_rV4hTBrwMqAcAnv6DfhUxh5emyM3CJp_w/edit?usp=sharing"",""เพชรบุรี!J490"")+IMPORTRA"&amp;"NGE(""https://docs.google.com/spreadsheets/d/19KBlQQs7uwvsao6t2n-KvW3Ax8J8uRRfZPq1zPbXgKc/edit?usp=sharing"",""ระยอง!J490"")+IMPORTRANGE(""https://docs.google.com/spreadsheets/d/1jQ6P4QcrGM89YfqcC_PxOHGCMq5ezhucwJd8ci-NHng/edit?usp=sharing"",""ราชบุรี!J49"&amp;"0"")+IMPORTRANGE(""https://docs.google.com/spreadsheets/d/1lufeA2cfFqM-elVq2hznhDzC6Pr7wkJ9ZG_sYNGCMCU/edit?usp=sharing"",""ลพบุรี!J490"")+IMPORTRANGE(""https://docs.google.com/spreadsheets/d/10oOiF7loTyfsTkbd4MpaIm0HQ9SwB7IYHdIUvt-U1Uc/edit?usp=sharing"""&amp;",""สระแก้ว!J490"")+IMPORTRANGE(""https://docs.google.com/spreadsheets/d/1xmPlrr1QbdSIKvl1dWUl9K4PjAfSL9oeMr_37QVzcxc/edit?usp=sharing"",""สระบุรี!J490"")+IMPORTRANGE(""https://docs.google.com/spreadsheets/d/1j51vR6CYVGhABJpv6tkstgok82RLpXieLzW1yOY5rHw/edi"&amp;"t?usp=sharing"",""สิงห์บุรี!J490"")+IMPORTRANGE(""https://docs.google.com/spreadsheets/d/1H1EalTWKUSzO4Z1-1CwzoDUaVffgrThEBe2sl74kKG0/edit?usp=sharing"",""สุพรรณบุรี!J490"")+IMPORTRANGE(""https://docs.google.com/spreadsheets/d/1BmIruG_sIrJLYao_Pdr7zVArWsf"&amp;"oBt2692TMi6x_854/edit?usp=sharing"",""อ่างทอง!J490"")"),0)</f>
        <v>0</v>
      </c>
      <c r="K491" s="87"/>
      <c r="L491" s="87"/>
      <c r="M491" s="87"/>
      <c r="N491" s="87"/>
      <c r="O491" s="87"/>
      <c r="P491" s="87"/>
      <c r="Q491" s="86"/>
      <c r="R491" s="87"/>
      <c r="S491" s="87"/>
      <c r="T491" s="87"/>
      <c r="U491" s="87"/>
    </row>
    <row r="492" spans="1:21" ht="18.75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2">
        <f ca="1">IFERROR(__xludf.DUMMYFUNCTION("IMPORTRANGE(""https://docs.google.com/spreadsheets/d/13wPX838HrBrQMCywv1BsuMkt4PEKTChp52zj44s2izQ/edit?usp=sharing"",""กาญจนบุรี!J491"")+IMPORTRANGE(""https://docs.google.com/spreadsheets/d/1ddFKvqj1W1NEiWytbGlB1zMx_ykJDVtmfEQ-6-lIUBA/edit?usp=sharing"","&amp;"""จันทบุรี!J491"")+IMPORTRANGE(""https://docs.google.com/spreadsheets/d/1T1PQvRODqOBZk8BRht_U031fIS1beLA0Ub2CEytj2q0/edit?usp=sharing"",""ฉะเชิงเทรา!J491"")+IMPORTRANGE(""https://docs.google.com/spreadsheets/d/11tr1B-Bhyr79v2bkwVh5h_fR-PStkgjlZtkrZpYurG0/"&amp;"edit?usp=sharing"",""ชลบุรี!J491"")+IMPORTRANGE(""https://docs.google.com/spreadsheets/d/1hh-FVnSX0vozXhGluamEcS54Dw9_zqW0N7qJUWgJ0Sw/edit?usp=sharing"",""ชัยนาท!J491"")+IMPORTRANGE(""https://docs.google.com/spreadsheets/d/1jkqa6GXxSacMcY1eN8AHjMNJ_7dDXMJ"&amp;"VRLDlaFSOdPM/edit?usp=sharing"",""ตราด!J491"")+IMPORTRANGE(""https://docs.google.com/spreadsheets/d/18hSgUJ3VwClqi_qtULmmW3cLr0oe3OKaSYoKzdpTsYQ/edit?usp=sharing"",""นครนายก!J491"")+IMPORTRANGE(""https://docs.google.com/spreadsheets/d/1YTZo6WM2dQ6Ix6FSdnL"&amp;"5P7uVnVKu40sxZu975tgG10E/edit?usp=sharing"",""นครปฐม!J491"")+IMPORTRANGE(""https://docs.google.com/spreadsheets/d/1OYoGg4WDg5RIzwGeB10padOxJF9E_Vljuvvct_M7RDo/edit?usp=sharing"",""ปทุมธานี!J491"")+IMPORTRANGE(""https://docs.google.com/spreadsheets/d/1GbCI"&amp;"E4D4wk9FUozzqk7SxfDMxDVBwVmI5zcaVUSzKAc/edit?usp=sharing"",""ประจวบคีรีขันธ์!J491"")+IMPORTRANGE(""https://docs.google.com/spreadsheets/d/1vVf6wykvW_lAyu7Yo9L4hUTqHqIeP_qcVuxCtosJEbg/edit?usp=sharing"",""ปราจีนบุรี!J491"")+IMPORTRANGE(""https://docs.googl"&amp;"e.com/spreadsheets/d/1BIDqLLg5jk3v59G8NlR8rk5xfQDKne0sAvZHSj7TI6I/edit?usp=sharing"",""พระนครศรีอยุธยา!J491"")+IMPORTRANGE(""https://docs.google.com/spreadsheets/d/1YXvxf8Yu6_rV4hTBrwMqAcAnv6DfhUxh5emyM3CJp_w/edit?usp=sharing"",""เพชรบุรี!J491"")+IMPORTRA"&amp;"NGE(""https://docs.google.com/spreadsheets/d/19KBlQQs7uwvsao6t2n-KvW3Ax8J8uRRfZPq1zPbXgKc/edit?usp=sharing"",""ระยอง!J491"")+IMPORTRANGE(""https://docs.google.com/spreadsheets/d/1jQ6P4QcrGM89YfqcC_PxOHGCMq5ezhucwJd8ci-NHng/edit?usp=sharing"",""ราชบุรี!J49"&amp;"1"")+IMPORTRANGE(""https://docs.google.com/spreadsheets/d/1lufeA2cfFqM-elVq2hznhDzC6Pr7wkJ9ZG_sYNGCMCU/edit?usp=sharing"",""ลพบุรี!J491"")+IMPORTRANGE(""https://docs.google.com/spreadsheets/d/10oOiF7loTyfsTkbd4MpaIm0HQ9SwB7IYHdIUvt-U1Uc/edit?usp=sharing"""&amp;",""สระแก้ว!J491"")+IMPORTRANGE(""https://docs.google.com/spreadsheets/d/1xmPlrr1QbdSIKvl1dWUl9K4PjAfSL9oeMr_37QVzcxc/edit?usp=sharing"",""สระบุรี!J491"")+IMPORTRANGE(""https://docs.google.com/spreadsheets/d/1j51vR6CYVGhABJpv6tkstgok82RLpXieLzW1yOY5rHw/edi"&amp;"t?usp=sharing"",""สิงห์บุรี!J491"")+IMPORTRANGE(""https://docs.google.com/spreadsheets/d/1H1EalTWKUSzO4Z1-1CwzoDUaVffgrThEBe2sl74kKG0/edit?usp=sharing"",""สุพรรณบุรี!J491"")+IMPORTRANGE(""https://docs.google.com/spreadsheets/d/1BmIruG_sIrJLYao_Pdr7zVArWsf"&amp;"oBt2692TMi6x_854/edit?usp=sharing"",""อ่างทอง!J491"")"),0)</f>
        <v>0</v>
      </c>
      <c r="K492" s="98"/>
      <c r="L492" s="98"/>
      <c r="M492" s="98"/>
      <c r="N492" s="98"/>
      <c r="O492" s="98"/>
      <c r="P492" s="98"/>
      <c r="Q492" s="97"/>
      <c r="R492" s="98"/>
      <c r="S492" s="98"/>
      <c r="T492" s="98"/>
      <c r="U492" s="98"/>
    </row>
    <row r="493" spans="1:21" ht="19.5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37">I504</f>
        <v>160</v>
      </c>
      <c r="J493" s="617">
        <f t="shared" ca="1" si="337"/>
        <v>0</v>
      </c>
      <c r="K493" s="611">
        <f ca="1">IF(I493&gt;0,J493*100/I493,0)</f>
        <v>0</v>
      </c>
      <c r="L493" s="530"/>
      <c r="M493" s="530"/>
      <c r="N493" s="530"/>
      <c r="O493" s="530"/>
      <c r="P493" s="530"/>
      <c r="Q493" s="529"/>
      <c r="R493" s="530"/>
      <c r="S493" s="530"/>
      <c r="T493" s="530"/>
      <c r="U493" s="530"/>
    </row>
    <row r="494" spans="1:21" ht="19.5" x14ac:dyDescent="0.3">
      <c r="A494" s="257"/>
      <c r="B494" s="269"/>
      <c r="C494" s="309" t="s">
        <v>18</v>
      </c>
      <c r="D494" s="1355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264">
        <f t="shared" ref="L494:N494" ca="1" si="338">L495+L496</f>
        <v>0</v>
      </c>
      <c r="M494" s="264">
        <f t="shared" ca="1" si="338"/>
        <v>0</v>
      </c>
      <c r="N494" s="264">
        <f t="shared" ca="1" si="338"/>
        <v>0</v>
      </c>
      <c r="O494" s="264">
        <f t="shared" ref="O494:O502" ca="1" si="339">IF(L494&gt;0,N494*100/L494,0)</f>
        <v>0</v>
      </c>
      <c r="P494" s="264">
        <f t="shared" ref="P494:P502" ca="1" si="340">IF(M494&gt;0,N494*100/M494,0)</f>
        <v>0</v>
      </c>
      <c r="Q494" s="214">
        <f t="shared" ref="Q494:S494" ca="1" si="341">Q495+Q496</f>
        <v>2234495</v>
      </c>
      <c r="R494" s="215">
        <f t="shared" ca="1" si="341"/>
        <v>2234495</v>
      </c>
      <c r="S494" s="215">
        <f t="shared" ca="1" si="341"/>
        <v>12671.72</v>
      </c>
      <c r="T494" s="215">
        <f t="shared" ref="T494:T502" ca="1" si="342">IF(Q494&gt;0,S494*100/Q494,0)</f>
        <v>0.56709547347387212</v>
      </c>
      <c r="U494" s="215">
        <f t="shared" ref="U494:U502" ca="1" si="343">IF(R494&gt;0,S494*100/R494,0)</f>
        <v>0.56709547347387212</v>
      </c>
    </row>
    <row r="495" spans="1:21" ht="18.75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7">
        <f t="shared" ref="L495:N495" ca="1" si="344">L498+L501</f>
        <v>0</v>
      </c>
      <c r="M495" s="77">
        <f t="shared" ca="1" si="344"/>
        <v>0</v>
      </c>
      <c r="N495" s="77">
        <f t="shared" ca="1" si="344"/>
        <v>0</v>
      </c>
      <c r="O495" s="77">
        <f t="shared" ca="1" si="339"/>
        <v>0</v>
      </c>
      <c r="P495" s="77">
        <f t="shared" ca="1" si="340"/>
        <v>0</v>
      </c>
      <c r="Q495" s="217">
        <f t="shared" ref="Q495:S495" ca="1" si="345">Q498+Q501</f>
        <v>0</v>
      </c>
      <c r="R495" s="133">
        <f t="shared" ca="1" si="345"/>
        <v>0</v>
      </c>
      <c r="S495" s="133">
        <f t="shared" ca="1" si="345"/>
        <v>0</v>
      </c>
      <c r="T495" s="133">
        <f t="shared" ca="1" si="342"/>
        <v>0</v>
      </c>
      <c r="U495" s="133">
        <f t="shared" ca="1" si="343"/>
        <v>0</v>
      </c>
    </row>
    <row r="496" spans="1:21" ht="18.75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4">
        <f t="shared" ref="L496:N496" ca="1" si="346">L499+L502</f>
        <v>0</v>
      </c>
      <c r="M496" s="74">
        <f t="shared" ca="1" si="346"/>
        <v>0</v>
      </c>
      <c r="N496" s="74">
        <f t="shared" ca="1" si="346"/>
        <v>0</v>
      </c>
      <c r="O496" s="74">
        <f t="shared" ca="1" si="339"/>
        <v>0</v>
      </c>
      <c r="P496" s="74">
        <f t="shared" ca="1" si="340"/>
        <v>0</v>
      </c>
      <c r="Q496" s="131">
        <f t="shared" ref="Q496:S496" ca="1" si="347">Q499+Q502</f>
        <v>2234495</v>
      </c>
      <c r="R496" s="132">
        <f t="shared" ca="1" si="347"/>
        <v>2234495</v>
      </c>
      <c r="S496" s="132">
        <f t="shared" ca="1" si="347"/>
        <v>12671.72</v>
      </c>
      <c r="T496" s="132">
        <f t="shared" ca="1" si="342"/>
        <v>0.56709547347387212</v>
      </c>
      <c r="U496" s="132">
        <f t="shared" ca="1" si="343"/>
        <v>0.56709547347387212</v>
      </c>
    </row>
    <row r="497" spans="1:21" ht="18.75" x14ac:dyDescent="0.25">
      <c r="A497" s="257"/>
      <c r="B497" s="269"/>
      <c r="C497" s="269"/>
      <c r="D497" s="274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4">
        <f t="shared" ref="L497:N497" ca="1" si="348">L498+L499</f>
        <v>0</v>
      </c>
      <c r="M497" s="74">
        <f t="shared" ca="1" si="348"/>
        <v>0</v>
      </c>
      <c r="N497" s="74">
        <f t="shared" ca="1" si="348"/>
        <v>0</v>
      </c>
      <c r="O497" s="74">
        <f t="shared" ca="1" si="339"/>
        <v>0</v>
      </c>
      <c r="P497" s="74">
        <f t="shared" ca="1" si="340"/>
        <v>0</v>
      </c>
      <c r="Q497" s="131">
        <f t="shared" ref="Q497:S497" ca="1" si="349">Q498+Q499</f>
        <v>2234495</v>
      </c>
      <c r="R497" s="132">
        <f t="shared" ca="1" si="349"/>
        <v>2234495</v>
      </c>
      <c r="S497" s="132">
        <f t="shared" ca="1" si="349"/>
        <v>12671.72</v>
      </c>
      <c r="T497" s="132">
        <f t="shared" ca="1" si="342"/>
        <v>0.56709547347387212</v>
      </c>
      <c r="U497" s="132">
        <f t="shared" ca="1" si="343"/>
        <v>0.56709547347387212</v>
      </c>
    </row>
    <row r="498" spans="1:21" ht="18.75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7">
        <f ca="1">IFERROR(__xludf.DUMMYFUNCTION("IMPORTRANGE(""https://docs.google.com/spreadsheets/d/13wPX838HrBrQMCywv1BsuMkt4PEKTChp52zj44s2izQ/edit?usp=sharing"",""กาญจนบุรี!L497"")+IMPORTRANGE(""https://docs.google.com/spreadsheets/d/1ddFKvqj1W1NEiWytbGlB1zMx_ykJDVtmfEQ-6-lIUBA/edit?usp=sharing"","&amp;"""จันทบุรี!L497"")+IMPORTRANGE(""https://docs.google.com/spreadsheets/d/1T1PQvRODqOBZk8BRht_U031fIS1beLA0Ub2CEytj2q0/edit?usp=sharing"",""ฉะเชิงเทรา!L497"")+IMPORTRANGE(""https://docs.google.com/spreadsheets/d/11tr1B-Bhyr79v2bkwVh5h_fR-PStkgjlZtkrZpYurG0/"&amp;"edit?usp=sharing"",""ชลบุรี!L497"")+IMPORTRANGE(""https://docs.google.com/spreadsheets/d/1hh-FVnSX0vozXhGluamEcS54Dw9_zqW0N7qJUWgJ0Sw/edit?usp=sharing"",""ชัยนาท!L497"")+IMPORTRANGE(""https://docs.google.com/spreadsheets/d/1jkqa6GXxSacMcY1eN8AHjMNJ_7dDXMJ"&amp;"VRLDlaFSOdPM/edit?usp=sharing"",""ตราด!L497"")+IMPORTRANGE(""https://docs.google.com/spreadsheets/d/18hSgUJ3VwClqi_qtULmmW3cLr0oe3OKaSYoKzdpTsYQ/edit?usp=sharing"",""นครนายก!L497"")+IMPORTRANGE(""https://docs.google.com/spreadsheets/d/1YTZo6WM2dQ6Ix6FSdnL"&amp;"5P7uVnVKu40sxZu975tgG10E/edit?usp=sharing"",""นครปฐม!L497"")+IMPORTRANGE(""https://docs.google.com/spreadsheets/d/1OYoGg4WDg5RIzwGeB10padOxJF9E_Vljuvvct_M7RDo/edit?usp=sharing"",""ปทุมธานี!L497"")+IMPORTRANGE(""https://docs.google.com/spreadsheets/d/1GbCI"&amp;"E4D4wk9FUozzqk7SxfDMxDVBwVmI5zcaVUSzKAc/edit?usp=sharing"",""ประจวบคีรีขันธ์!L497"")+IMPORTRANGE(""https://docs.google.com/spreadsheets/d/1vVf6wykvW_lAyu7Yo9L4hUTqHqIeP_qcVuxCtosJEbg/edit?usp=sharing"",""ปราจีนบุรี!L497"")+IMPORTRANGE(""https://docs.googl"&amp;"e.com/spreadsheets/d/1BIDqLLg5jk3v59G8NlR8rk5xfQDKne0sAvZHSj7TI6I/edit?usp=sharing"",""พระนครศรีอยุธยา!L497"")+IMPORTRANGE(""https://docs.google.com/spreadsheets/d/1YXvxf8Yu6_rV4hTBrwMqAcAnv6DfhUxh5emyM3CJp_w/edit?usp=sharing"",""เพชรบุรี!L497"")+IMPORTRA"&amp;"NGE(""https://docs.google.com/spreadsheets/d/19KBlQQs7uwvsao6t2n-KvW3Ax8J8uRRfZPq1zPbXgKc/edit?usp=sharing"",""ระยอง!L497"")+IMPORTRANGE(""https://docs.google.com/spreadsheets/d/1jQ6P4QcrGM89YfqcC_PxOHGCMq5ezhucwJd8ci-NHng/edit?usp=sharing"",""ราชบุรี!L49"&amp;"7"")+IMPORTRANGE(""https://docs.google.com/spreadsheets/d/1lufeA2cfFqM-elVq2hznhDzC6Pr7wkJ9ZG_sYNGCMCU/edit?usp=sharing"",""ลพบุรี!L497"")+IMPORTRANGE(""https://docs.google.com/spreadsheets/d/10oOiF7loTyfsTkbd4MpaIm0HQ9SwB7IYHdIUvt-U1Uc/edit?usp=sharing"""&amp;",""สระแก้ว!L497"")+IMPORTRANGE(""https://docs.google.com/spreadsheets/d/1xmPlrr1QbdSIKvl1dWUl9K4PjAfSL9oeMr_37QVzcxc/edit?usp=sharing"",""สระบุรี!L497"")+IMPORTRANGE(""https://docs.google.com/spreadsheets/d/1j51vR6CYVGhABJpv6tkstgok82RLpXieLzW1yOY5rHw/edi"&amp;"t?usp=sharing"",""สิงห์บุรี!L497"")+IMPORTRANGE(""https://docs.google.com/spreadsheets/d/1H1EalTWKUSzO4Z1-1CwzoDUaVffgrThEBe2sl74kKG0/edit?usp=sharing"",""สุพรรณบุรี!L497"")+IMPORTRANGE(""https://docs.google.com/spreadsheets/d/1BmIruG_sIrJLYao_Pdr7zVArWsf"&amp;"oBt2692TMi6x_854/edit?usp=sharing"",""อ่างทอง!L497"")"),0)</f>
        <v>0</v>
      </c>
      <c r="M498" s="77">
        <f ca="1">IFERROR(__xludf.DUMMYFUNCTION("IMPORTRANGE(""https://docs.google.com/spreadsheets/d/13wPX838HrBrQMCywv1BsuMkt4PEKTChp52zj44s2izQ/edit?usp=sharing"",""กาญจนบุรี!M497"")+IMPORTRANGE(""https://docs.google.com/spreadsheets/d/1ddFKvqj1W1NEiWytbGlB1zMx_ykJDVtmfEQ-6-lIUBA/edit?usp=sharing"","&amp;"""จันทบุรี!M497"")+IMPORTRANGE(""https://docs.google.com/spreadsheets/d/1T1PQvRODqOBZk8BRht_U031fIS1beLA0Ub2CEytj2q0/edit?usp=sharing"",""ฉะเชิงเทรา!M497"")+IMPORTRANGE(""https://docs.google.com/spreadsheets/d/11tr1B-Bhyr79v2bkwVh5h_fR-PStkgjlZtkrZpYurG0/"&amp;"edit?usp=sharing"",""ชลบุรี!M497"")+IMPORTRANGE(""https://docs.google.com/spreadsheets/d/1hh-FVnSX0vozXhGluamEcS54Dw9_zqW0N7qJUWgJ0Sw/edit?usp=sharing"",""ชัยนาท!M497"")+IMPORTRANGE(""https://docs.google.com/spreadsheets/d/1jkqa6GXxSacMcY1eN8AHjMNJ_7dDXMJ"&amp;"VRLDlaFSOdPM/edit?usp=sharing"",""ตราด!M497"")+IMPORTRANGE(""https://docs.google.com/spreadsheets/d/18hSgUJ3VwClqi_qtULmmW3cLr0oe3OKaSYoKzdpTsYQ/edit?usp=sharing"",""นครนายก!M497"")+IMPORTRANGE(""https://docs.google.com/spreadsheets/d/1YTZo6WM2dQ6Ix6FSdnL"&amp;"5P7uVnVKu40sxZu975tgG10E/edit?usp=sharing"",""นครปฐม!M497"")+IMPORTRANGE(""https://docs.google.com/spreadsheets/d/1OYoGg4WDg5RIzwGeB10padOxJF9E_Vljuvvct_M7RDo/edit?usp=sharing"",""ปทุมธานี!M497"")+IMPORTRANGE(""https://docs.google.com/spreadsheets/d/1GbCI"&amp;"E4D4wk9FUozzqk7SxfDMxDVBwVmI5zcaVUSzKAc/edit?usp=sharing"",""ประจวบคีรีขันธ์!M497"")+IMPORTRANGE(""https://docs.google.com/spreadsheets/d/1vVf6wykvW_lAyu7Yo9L4hUTqHqIeP_qcVuxCtosJEbg/edit?usp=sharing"",""ปราจีนบุรี!M497"")+IMPORTRANGE(""https://docs.googl"&amp;"e.com/spreadsheets/d/1BIDqLLg5jk3v59G8NlR8rk5xfQDKne0sAvZHSj7TI6I/edit?usp=sharing"",""พระนครศรีอยุธยา!M497"")+IMPORTRANGE(""https://docs.google.com/spreadsheets/d/1YXvxf8Yu6_rV4hTBrwMqAcAnv6DfhUxh5emyM3CJp_w/edit?usp=sharing"",""เพชรบุรี!M497"")+IMPORTRA"&amp;"NGE(""https://docs.google.com/spreadsheets/d/19KBlQQs7uwvsao6t2n-KvW3Ax8J8uRRfZPq1zPbXgKc/edit?usp=sharing"",""ระยอง!M497"")+IMPORTRANGE(""https://docs.google.com/spreadsheets/d/1jQ6P4QcrGM89YfqcC_PxOHGCMq5ezhucwJd8ci-NHng/edit?usp=sharing"",""ราชบุรี!M49"&amp;"7"")+IMPORTRANGE(""https://docs.google.com/spreadsheets/d/1lufeA2cfFqM-elVq2hznhDzC6Pr7wkJ9ZG_sYNGCMCU/edit?usp=sharing"",""ลพบุรี!M497"")+IMPORTRANGE(""https://docs.google.com/spreadsheets/d/10oOiF7loTyfsTkbd4MpaIm0HQ9SwB7IYHdIUvt-U1Uc/edit?usp=sharing"""&amp;",""สระแก้ว!M497"")+IMPORTRANGE(""https://docs.google.com/spreadsheets/d/1xmPlrr1QbdSIKvl1dWUl9K4PjAfSL9oeMr_37QVzcxc/edit?usp=sharing"",""สระบุรี!M497"")+IMPORTRANGE(""https://docs.google.com/spreadsheets/d/1j51vR6CYVGhABJpv6tkstgok82RLpXieLzW1yOY5rHw/edi"&amp;"t?usp=sharing"",""สิงห์บุรี!M497"")+IMPORTRANGE(""https://docs.google.com/spreadsheets/d/1H1EalTWKUSzO4Z1-1CwzoDUaVffgrThEBe2sl74kKG0/edit?usp=sharing"",""สุพรรณบุรี!M497"")+IMPORTRANGE(""https://docs.google.com/spreadsheets/d/1BmIruG_sIrJLYao_Pdr7zVArWsf"&amp;"oBt2692TMi6x_854/edit?usp=sharing"",""อ่างทอง!M497"")"),0)</f>
        <v>0</v>
      </c>
      <c r="N498" s="77">
        <f ca="1">IFERROR(__xludf.DUMMYFUNCTION("IMPORTRANGE(""https://docs.google.com/spreadsheets/d/13wPX838HrBrQMCywv1BsuMkt4PEKTChp52zj44s2izQ/edit?usp=sharing"",""กาญจนบุรี!N497"")+IMPORTRANGE(""https://docs.google.com/spreadsheets/d/1ddFKvqj1W1NEiWytbGlB1zMx_ykJDVtmfEQ-6-lIUBA/edit?usp=sharing"","&amp;"""จันทบุรี!N497"")+IMPORTRANGE(""https://docs.google.com/spreadsheets/d/1T1PQvRODqOBZk8BRht_U031fIS1beLA0Ub2CEytj2q0/edit?usp=sharing"",""ฉะเชิงเทรา!N497"")+IMPORTRANGE(""https://docs.google.com/spreadsheets/d/11tr1B-Bhyr79v2bkwVh5h_fR-PStkgjlZtkrZpYurG0/"&amp;"edit?usp=sharing"",""ชลบุรี!N497"")+IMPORTRANGE(""https://docs.google.com/spreadsheets/d/1hh-FVnSX0vozXhGluamEcS54Dw9_zqW0N7qJUWgJ0Sw/edit?usp=sharing"",""ชัยนาท!N497"")+IMPORTRANGE(""https://docs.google.com/spreadsheets/d/1jkqa6GXxSacMcY1eN8AHjMNJ_7dDXMJ"&amp;"VRLDlaFSOdPM/edit?usp=sharing"",""ตราด!N497"")+IMPORTRANGE(""https://docs.google.com/spreadsheets/d/18hSgUJ3VwClqi_qtULmmW3cLr0oe3OKaSYoKzdpTsYQ/edit?usp=sharing"",""นครนายก!N497"")+IMPORTRANGE(""https://docs.google.com/spreadsheets/d/1YTZo6WM2dQ6Ix6FSdnL"&amp;"5P7uVnVKu40sxZu975tgG10E/edit?usp=sharing"",""นครปฐม!N497"")+IMPORTRANGE(""https://docs.google.com/spreadsheets/d/1OYoGg4WDg5RIzwGeB10padOxJF9E_Vljuvvct_M7RDo/edit?usp=sharing"",""ปทุมธานี!N497"")+IMPORTRANGE(""https://docs.google.com/spreadsheets/d/1GbCI"&amp;"E4D4wk9FUozzqk7SxfDMxDVBwVmI5zcaVUSzKAc/edit?usp=sharing"",""ประจวบคีรีขันธ์!N497"")+IMPORTRANGE(""https://docs.google.com/spreadsheets/d/1vVf6wykvW_lAyu7Yo9L4hUTqHqIeP_qcVuxCtosJEbg/edit?usp=sharing"",""ปราจีนบุรี!N497"")+IMPORTRANGE(""https://docs.googl"&amp;"e.com/spreadsheets/d/1BIDqLLg5jk3v59G8NlR8rk5xfQDKne0sAvZHSj7TI6I/edit?usp=sharing"",""พระนครศรีอยุธยา!N497"")+IMPORTRANGE(""https://docs.google.com/spreadsheets/d/1YXvxf8Yu6_rV4hTBrwMqAcAnv6DfhUxh5emyM3CJp_w/edit?usp=sharing"",""เพชรบุรี!N497"")+IMPORTRA"&amp;"NGE(""https://docs.google.com/spreadsheets/d/19KBlQQs7uwvsao6t2n-KvW3Ax8J8uRRfZPq1zPbXgKc/edit?usp=sharing"",""ระยอง!N497"")+IMPORTRANGE(""https://docs.google.com/spreadsheets/d/1jQ6P4QcrGM89YfqcC_PxOHGCMq5ezhucwJd8ci-NHng/edit?usp=sharing"",""ราชบุรี!N49"&amp;"7"")+IMPORTRANGE(""https://docs.google.com/spreadsheets/d/1lufeA2cfFqM-elVq2hznhDzC6Pr7wkJ9ZG_sYNGCMCU/edit?usp=sharing"",""ลพบุรี!N497"")+IMPORTRANGE(""https://docs.google.com/spreadsheets/d/10oOiF7loTyfsTkbd4MpaIm0HQ9SwB7IYHdIUvt-U1Uc/edit?usp=sharing"""&amp;",""สระแก้ว!N497"")+IMPORTRANGE(""https://docs.google.com/spreadsheets/d/1xmPlrr1QbdSIKvl1dWUl9K4PjAfSL9oeMr_37QVzcxc/edit?usp=sharing"",""สระบุรี!N497"")+IMPORTRANGE(""https://docs.google.com/spreadsheets/d/1j51vR6CYVGhABJpv6tkstgok82RLpXieLzW1yOY5rHw/edi"&amp;"t?usp=sharing"",""สิงห์บุรี!N497"")+IMPORTRANGE(""https://docs.google.com/spreadsheets/d/1H1EalTWKUSzO4Z1-1CwzoDUaVffgrThEBe2sl74kKG0/edit?usp=sharing"",""สุพรรณบุรี!N497"")+IMPORTRANGE(""https://docs.google.com/spreadsheets/d/1BmIruG_sIrJLYao_Pdr7zVArWsf"&amp;"oBt2692TMi6x_854/edit?usp=sharing"",""อ่างทอง!N497"")"),0)</f>
        <v>0</v>
      </c>
      <c r="O498" s="77">
        <f t="shared" ca="1" si="339"/>
        <v>0</v>
      </c>
      <c r="P498" s="77">
        <f t="shared" ca="1" si="340"/>
        <v>0</v>
      </c>
      <c r="Q498" s="76">
        <f ca="1">IFERROR(__xludf.DUMMYFUNCTION("IMPORTRANGE(""https://docs.google.com/spreadsheets/d/13wPX838HrBrQMCywv1BsuMkt4PEKTChp52zj44s2izQ/edit?usp=sharing"",""กาญจนบุรี!Q497"")+IMPORTRANGE(""https://docs.google.com/spreadsheets/d/1ddFKvqj1W1NEiWytbGlB1zMx_ykJDVtmfEQ-6-lIUBA/edit?usp=sharing"","&amp;"""จันทบุรี!Q497"")+IMPORTRANGE(""https://docs.google.com/spreadsheets/d/1T1PQvRODqOBZk8BRht_U031fIS1beLA0Ub2CEytj2q0/edit?usp=sharing"",""ฉะเชิงเทรา!Q497"")+IMPORTRANGE(""https://docs.google.com/spreadsheets/d/11tr1B-Bhyr79v2bkwVh5h_fR-PStkgjlZtkrZpYurG0/"&amp;"edit?usp=sharing"",""ชลบุรี!Q497"")+IMPORTRANGE(""https://docs.google.com/spreadsheets/d/1hh-FVnSX0vozXhGluamEcS54Dw9_zqW0N7qJUWgJ0Sw/edit?usp=sharing"",""ชัยนาท!Q497"")+IMPORTRANGE(""https://docs.google.com/spreadsheets/d/1jkqa6GXxSacMcY1eN8AHjMNJ_7dDXMJ"&amp;"VRLDlaFSOdPM/edit?usp=sharing"",""ตราด!Q497"")+IMPORTRANGE(""https://docs.google.com/spreadsheets/d/18hSgUJ3VwClqi_qtULmmW3cLr0oe3OKaSYoKzdpTsYQ/edit?usp=sharing"",""นครนายก!Q497"")+IMPORTRANGE(""https://docs.google.com/spreadsheets/d/1YTZo6WM2dQ6Ix6FSdnL"&amp;"5P7uVnVKu40sxZu975tgG10E/edit?usp=sharing"",""นครปฐม!Q497"")+IMPORTRANGE(""https://docs.google.com/spreadsheets/d/1OYoGg4WDg5RIzwGeB10padOxJF9E_Vljuvvct_M7RDo/edit?usp=sharing"",""ปทุมธานี!Q497"")+IMPORTRANGE(""https://docs.google.com/spreadsheets/d/1GbCI"&amp;"E4D4wk9FUozzqk7SxfDMxDVBwVmI5zcaVUSzKAc/edit?usp=sharing"",""ประจวบคีรีขันธ์!Q497"")+IMPORTRANGE(""https://docs.google.com/spreadsheets/d/1vVf6wykvW_lAyu7Yo9L4hUTqHqIeP_qcVuxCtosJEbg/edit?usp=sharing"",""ปราจีนบุรี!Q497"")+IMPORTRANGE(""https://docs.googl"&amp;"e.com/spreadsheets/d/1BIDqLLg5jk3v59G8NlR8rk5xfQDKne0sAvZHSj7TI6I/edit?usp=sharing"",""พระนครศรีอยุธยา!Q497"")+IMPORTRANGE(""https://docs.google.com/spreadsheets/d/1YXvxf8Yu6_rV4hTBrwMqAcAnv6DfhUxh5emyM3CJp_w/edit?usp=sharing"",""เพชรบุรี!Q497"")+IMPORTRA"&amp;"NGE(""https://docs.google.com/spreadsheets/d/19KBlQQs7uwvsao6t2n-KvW3Ax8J8uRRfZPq1zPbXgKc/edit?usp=sharing"",""ระยอง!Q497"")+IMPORTRANGE(""https://docs.google.com/spreadsheets/d/1jQ6P4QcrGM89YfqcC_PxOHGCMq5ezhucwJd8ci-NHng/edit?usp=sharing"",""ราชบุรี!Q49"&amp;"7"")+IMPORTRANGE(""https://docs.google.com/spreadsheets/d/1lufeA2cfFqM-elVq2hznhDzC6Pr7wkJ9ZG_sYNGCMCU/edit?usp=sharing"",""ลพบุรี!Q497"")+IMPORTRANGE(""https://docs.google.com/spreadsheets/d/10oOiF7loTyfsTkbd4MpaIm0HQ9SwB7IYHdIUvt-U1Uc/edit?usp=sharing"""&amp;",""สระแก้ว!Q497"")+IMPORTRANGE(""https://docs.google.com/spreadsheets/d/1xmPlrr1QbdSIKvl1dWUl9K4PjAfSL9oeMr_37QVzcxc/edit?usp=sharing"",""สระบุรี!Q497"")+IMPORTRANGE(""https://docs.google.com/spreadsheets/d/1j51vR6CYVGhABJpv6tkstgok82RLpXieLzW1yOY5rHw/edi"&amp;"t?usp=sharing"",""สิงห์บุรี!Q497"")+IMPORTRANGE(""https://docs.google.com/spreadsheets/d/1H1EalTWKUSzO4Z1-1CwzoDUaVffgrThEBe2sl74kKG0/edit?usp=sharing"",""สุพรรณบุรี!Q497"")+IMPORTRANGE(""https://docs.google.com/spreadsheets/d/1BmIruG_sIrJLYao_Pdr7zVArWsf"&amp;"oBt2692TMi6x_854/edit?usp=sharing"",""อ่างทอง!Q497"")"),0)</f>
        <v>0</v>
      </c>
      <c r="R498" s="77">
        <f ca="1">IFERROR(__xludf.DUMMYFUNCTION("IMPORTRANGE(""https://docs.google.com/spreadsheets/d/13wPX838HrBrQMCywv1BsuMkt4PEKTChp52zj44s2izQ/edit?usp=sharing"",""กาญจนบุรี!R497"")+IMPORTRANGE(""https://docs.google.com/spreadsheets/d/1ddFKvqj1W1NEiWytbGlB1zMx_ykJDVtmfEQ-6-lIUBA/edit?usp=sharing"","&amp;"""จันทบุรี!R497"")+IMPORTRANGE(""https://docs.google.com/spreadsheets/d/1T1PQvRODqOBZk8BRht_U031fIS1beLA0Ub2CEytj2q0/edit?usp=sharing"",""ฉะเชิงเทรา!R497"")+IMPORTRANGE(""https://docs.google.com/spreadsheets/d/11tr1B-Bhyr79v2bkwVh5h_fR-PStkgjlZtkrZpYurG0/"&amp;"edit?usp=sharing"",""ชลบุรี!R497"")+IMPORTRANGE(""https://docs.google.com/spreadsheets/d/1hh-FVnSX0vozXhGluamEcS54Dw9_zqW0N7qJUWgJ0Sw/edit?usp=sharing"",""ชัยนาท!R497"")+IMPORTRANGE(""https://docs.google.com/spreadsheets/d/1jkqa6GXxSacMcY1eN8AHjMNJ_7dDXMJ"&amp;"VRLDlaFSOdPM/edit?usp=sharing"",""ตราด!R497"")+IMPORTRANGE(""https://docs.google.com/spreadsheets/d/18hSgUJ3VwClqi_qtULmmW3cLr0oe3OKaSYoKzdpTsYQ/edit?usp=sharing"",""นครนายก!R497"")+IMPORTRANGE(""https://docs.google.com/spreadsheets/d/1YTZo6WM2dQ6Ix6FSdnL"&amp;"5P7uVnVKu40sxZu975tgG10E/edit?usp=sharing"",""นครปฐม!R497"")+IMPORTRANGE(""https://docs.google.com/spreadsheets/d/1OYoGg4WDg5RIzwGeB10padOxJF9E_Vljuvvct_M7RDo/edit?usp=sharing"",""ปทุมธานี!R497"")+IMPORTRANGE(""https://docs.google.com/spreadsheets/d/1GbCI"&amp;"E4D4wk9FUozzqk7SxfDMxDVBwVmI5zcaVUSzKAc/edit?usp=sharing"",""ประจวบคีรีขันธ์!R497"")+IMPORTRANGE(""https://docs.google.com/spreadsheets/d/1vVf6wykvW_lAyu7Yo9L4hUTqHqIeP_qcVuxCtosJEbg/edit?usp=sharing"",""ปราจีนบุรี!R497"")+IMPORTRANGE(""https://docs.googl"&amp;"e.com/spreadsheets/d/1BIDqLLg5jk3v59G8NlR8rk5xfQDKne0sAvZHSj7TI6I/edit?usp=sharing"",""พระนครศรีอยุธยา!R497"")+IMPORTRANGE(""https://docs.google.com/spreadsheets/d/1YXvxf8Yu6_rV4hTBrwMqAcAnv6DfhUxh5emyM3CJp_w/edit?usp=sharing"",""เพชรบุรี!R497"")+IMPORTRA"&amp;"NGE(""https://docs.google.com/spreadsheets/d/19KBlQQs7uwvsao6t2n-KvW3Ax8J8uRRfZPq1zPbXgKc/edit?usp=sharing"",""ระยอง!R497"")+IMPORTRANGE(""https://docs.google.com/spreadsheets/d/1jQ6P4QcrGM89YfqcC_PxOHGCMq5ezhucwJd8ci-NHng/edit?usp=sharing"",""ราชบุรี!R49"&amp;"7"")+IMPORTRANGE(""https://docs.google.com/spreadsheets/d/1lufeA2cfFqM-elVq2hznhDzC6Pr7wkJ9ZG_sYNGCMCU/edit?usp=sharing"",""ลพบุรี!R497"")+IMPORTRANGE(""https://docs.google.com/spreadsheets/d/10oOiF7loTyfsTkbd4MpaIm0HQ9SwB7IYHdIUvt-U1Uc/edit?usp=sharing"""&amp;",""สระแก้ว!R497"")+IMPORTRANGE(""https://docs.google.com/spreadsheets/d/1xmPlrr1QbdSIKvl1dWUl9K4PjAfSL9oeMr_37QVzcxc/edit?usp=sharing"",""สระบุรี!R497"")+IMPORTRANGE(""https://docs.google.com/spreadsheets/d/1j51vR6CYVGhABJpv6tkstgok82RLpXieLzW1yOY5rHw/edi"&amp;"t?usp=sharing"",""สิงห์บุรี!R497"")+IMPORTRANGE(""https://docs.google.com/spreadsheets/d/1H1EalTWKUSzO4Z1-1CwzoDUaVffgrThEBe2sl74kKG0/edit?usp=sharing"",""สุพรรณบุรี!R497"")+IMPORTRANGE(""https://docs.google.com/spreadsheets/d/1BmIruG_sIrJLYao_Pdr7zVArWsf"&amp;"oBt2692TMi6x_854/edit?usp=sharing"",""อ่างทอง!R497"")"),0)</f>
        <v>0</v>
      </c>
      <c r="S498" s="77">
        <f ca="1">IFERROR(__xludf.DUMMYFUNCTION("IMPORTRANGE(""https://docs.google.com/spreadsheets/d/13wPX838HrBrQMCywv1BsuMkt4PEKTChp52zj44s2izQ/edit?usp=sharing"",""กาญจนบุรี!S497"")+IMPORTRANGE(""https://docs.google.com/spreadsheets/d/1ddFKvqj1W1NEiWytbGlB1zMx_ykJDVtmfEQ-6-lIUBA/edit?usp=sharing"","&amp;"""จันทบุรี!S497"")+IMPORTRANGE(""https://docs.google.com/spreadsheets/d/1T1PQvRODqOBZk8BRht_U031fIS1beLA0Ub2CEytj2q0/edit?usp=sharing"",""ฉะเชิงเทรา!S497"")+IMPORTRANGE(""https://docs.google.com/spreadsheets/d/11tr1B-Bhyr79v2bkwVh5h_fR-PStkgjlZtkrZpYurG0/"&amp;"edit?usp=sharing"",""ชลบุรี!S497"")+IMPORTRANGE(""https://docs.google.com/spreadsheets/d/1hh-FVnSX0vozXhGluamEcS54Dw9_zqW0N7qJUWgJ0Sw/edit?usp=sharing"",""ชัยนาท!S497"")+IMPORTRANGE(""https://docs.google.com/spreadsheets/d/1jkqa6GXxSacMcY1eN8AHjMNJ_7dDXMJ"&amp;"VRLDlaFSOdPM/edit?usp=sharing"",""ตราด!S497"")+IMPORTRANGE(""https://docs.google.com/spreadsheets/d/18hSgUJ3VwClqi_qtULmmW3cLr0oe3OKaSYoKzdpTsYQ/edit?usp=sharing"",""นครนายก!S497"")+IMPORTRANGE(""https://docs.google.com/spreadsheets/d/1YTZo6WM2dQ6Ix6FSdnL"&amp;"5P7uVnVKu40sxZu975tgG10E/edit?usp=sharing"",""นครปฐม!S497"")+IMPORTRANGE(""https://docs.google.com/spreadsheets/d/1OYoGg4WDg5RIzwGeB10padOxJF9E_Vljuvvct_M7RDo/edit?usp=sharing"",""ปทุมธานี!S497"")+IMPORTRANGE(""https://docs.google.com/spreadsheets/d/1GbCI"&amp;"E4D4wk9FUozzqk7SxfDMxDVBwVmI5zcaVUSzKAc/edit?usp=sharing"",""ประจวบคีรีขันธ์!S497"")+IMPORTRANGE(""https://docs.google.com/spreadsheets/d/1vVf6wykvW_lAyu7Yo9L4hUTqHqIeP_qcVuxCtosJEbg/edit?usp=sharing"",""ปราจีนบุรี!S497"")+IMPORTRANGE(""https://docs.googl"&amp;"e.com/spreadsheets/d/1BIDqLLg5jk3v59G8NlR8rk5xfQDKne0sAvZHSj7TI6I/edit?usp=sharing"",""พระนครศรีอยุธยา!S497"")+IMPORTRANGE(""https://docs.google.com/spreadsheets/d/1YXvxf8Yu6_rV4hTBrwMqAcAnv6DfhUxh5emyM3CJp_w/edit?usp=sharing"",""เพชรบุรี!S497"")+IMPORTRA"&amp;"NGE(""https://docs.google.com/spreadsheets/d/19KBlQQs7uwvsao6t2n-KvW3Ax8J8uRRfZPq1zPbXgKc/edit?usp=sharing"",""ระยอง!S497"")+IMPORTRANGE(""https://docs.google.com/spreadsheets/d/1jQ6P4QcrGM89YfqcC_PxOHGCMq5ezhucwJd8ci-NHng/edit?usp=sharing"",""ราชบุรี!S49"&amp;"7"")+IMPORTRANGE(""https://docs.google.com/spreadsheets/d/1lufeA2cfFqM-elVq2hznhDzC6Pr7wkJ9ZG_sYNGCMCU/edit?usp=sharing"",""ลพบุรี!S497"")+IMPORTRANGE(""https://docs.google.com/spreadsheets/d/10oOiF7loTyfsTkbd4MpaIm0HQ9SwB7IYHdIUvt-U1Uc/edit?usp=sharing"""&amp;",""สระแก้ว!S497"")+IMPORTRANGE(""https://docs.google.com/spreadsheets/d/1xmPlrr1QbdSIKvl1dWUl9K4PjAfSL9oeMr_37QVzcxc/edit?usp=sharing"",""สระบุรี!S497"")+IMPORTRANGE(""https://docs.google.com/spreadsheets/d/1j51vR6CYVGhABJpv6tkstgok82RLpXieLzW1yOY5rHw/edi"&amp;"t?usp=sharing"",""สิงห์บุรี!S497"")+IMPORTRANGE(""https://docs.google.com/spreadsheets/d/1H1EalTWKUSzO4Z1-1CwzoDUaVffgrThEBe2sl74kKG0/edit?usp=sharing"",""สุพรรณบุรี!S497"")+IMPORTRANGE(""https://docs.google.com/spreadsheets/d/1BmIruG_sIrJLYao_Pdr7zVArWsf"&amp;"oBt2692TMi6x_854/edit?usp=sharing"",""อ่างทอง!S497"")"),0)</f>
        <v>0</v>
      </c>
      <c r="T498" s="133">
        <f t="shared" ca="1" si="342"/>
        <v>0</v>
      </c>
      <c r="U498" s="133">
        <f t="shared" ca="1" si="343"/>
        <v>0</v>
      </c>
    </row>
    <row r="499" spans="1:21" ht="18.75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4">
        <f ca="1">IFERROR(__xludf.DUMMYFUNCTION("IMPORTRANGE(""https://docs.google.com/spreadsheets/d/13wPX838HrBrQMCywv1BsuMkt4PEKTChp52zj44s2izQ/edit?usp=sharing"",""กาญจนบุรี!L498"")+IMPORTRANGE(""https://docs.google.com/spreadsheets/d/1ddFKvqj1W1NEiWytbGlB1zMx_ykJDVtmfEQ-6-lIUBA/edit?usp=sharing"","&amp;"""จันทบุรี!L498"")+IMPORTRANGE(""https://docs.google.com/spreadsheets/d/1T1PQvRODqOBZk8BRht_U031fIS1beLA0Ub2CEytj2q0/edit?usp=sharing"",""ฉะเชิงเทรา!L498"")+IMPORTRANGE(""https://docs.google.com/spreadsheets/d/11tr1B-Bhyr79v2bkwVh5h_fR-PStkgjlZtkrZpYurG0/"&amp;"edit?usp=sharing"",""ชลบุรี!L498"")+IMPORTRANGE(""https://docs.google.com/spreadsheets/d/1hh-FVnSX0vozXhGluamEcS54Dw9_zqW0N7qJUWgJ0Sw/edit?usp=sharing"",""ชัยนาท!L498"")+IMPORTRANGE(""https://docs.google.com/spreadsheets/d/1jkqa6GXxSacMcY1eN8AHjMNJ_7dDXMJ"&amp;"VRLDlaFSOdPM/edit?usp=sharing"",""ตราด!L498"")+IMPORTRANGE(""https://docs.google.com/spreadsheets/d/18hSgUJ3VwClqi_qtULmmW3cLr0oe3OKaSYoKzdpTsYQ/edit?usp=sharing"",""นครนายก!L498"")+IMPORTRANGE(""https://docs.google.com/spreadsheets/d/1YTZo6WM2dQ6Ix6FSdnL"&amp;"5P7uVnVKu40sxZu975tgG10E/edit?usp=sharing"",""นครปฐม!L498"")+IMPORTRANGE(""https://docs.google.com/spreadsheets/d/1OYoGg4WDg5RIzwGeB10padOxJF9E_Vljuvvct_M7RDo/edit?usp=sharing"",""ปทุมธานี!L498"")+IMPORTRANGE(""https://docs.google.com/spreadsheets/d/1GbCI"&amp;"E4D4wk9FUozzqk7SxfDMxDVBwVmI5zcaVUSzKAc/edit?usp=sharing"",""ประจวบคีรีขันธ์!L498"")+IMPORTRANGE(""https://docs.google.com/spreadsheets/d/1vVf6wykvW_lAyu7Yo9L4hUTqHqIeP_qcVuxCtosJEbg/edit?usp=sharing"",""ปราจีนบุรี!L498"")+IMPORTRANGE(""https://docs.googl"&amp;"e.com/spreadsheets/d/1BIDqLLg5jk3v59G8NlR8rk5xfQDKne0sAvZHSj7TI6I/edit?usp=sharing"",""พระนครศรีอยุธยา!L498"")+IMPORTRANGE(""https://docs.google.com/spreadsheets/d/1YXvxf8Yu6_rV4hTBrwMqAcAnv6DfhUxh5emyM3CJp_w/edit?usp=sharing"",""เพชรบุรี!L498"")+IMPORTRA"&amp;"NGE(""https://docs.google.com/spreadsheets/d/19KBlQQs7uwvsao6t2n-KvW3Ax8J8uRRfZPq1zPbXgKc/edit?usp=sharing"",""ระยอง!L498"")+IMPORTRANGE(""https://docs.google.com/spreadsheets/d/1jQ6P4QcrGM89YfqcC_PxOHGCMq5ezhucwJd8ci-NHng/edit?usp=sharing"",""ราชบุรี!L49"&amp;"8"")+IMPORTRANGE(""https://docs.google.com/spreadsheets/d/1lufeA2cfFqM-elVq2hznhDzC6Pr7wkJ9ZG_sYNGCMCU/edit?usp=sharing"",""ลพบุรี!L498"")+IMPORTRANGE(""https://docs.google.com/spreadsheets/d/10oOiF7loTyfsTkbd4MpaIm0HQ9SwB7IYHdIUvt-U1Uc/edit?usp=sharing"""&amp;",""สระแก้ว!L498"")+IMPORTRANGE(""https://docs.google.com/spreadsheets/d/1xmPlrr1QbdSIKvl1dWUl9K4PjAfSL9oeMr_37QVzcxc/edit?usp=sharing"",""สระบุรี!L498"")+IMPORTRANGE(""https://docs.google.com/spreadsheets/d/1j51vR6CYVGhABJpv6tkstgok82RLpXieLzW1yOY5rHw/edi"&amp;"t?usp=sharing"",""สิงห์บุรี!L498"")+IMPORTRANGE(""https://docs.google.com/spreadsheets/d/1H1EalTWKUSzO4Z1-1CwzoDUaVffgrThEBe2sl74kKG0/edit?usp=sharing"",""สุพรรณบุรี!L498"")+IMPORTRANGE(""https://docs.google.com/spreadsheets/d/1BmIruG_sIrJLYao_Pdr7zVArWsf"&amp;"oBt2692TMi6x_854/edit?usp=sharing"",""อ่างทอง!L498"")"),0)</f>
        <v>0</v>
      </c>
      <c r="M499" s="74">
        <f ca="1">IFERROR(__xludf.DUMMYFUNCTION("IMPORTRANGE(""https://docs.google.com/spreadsheets/d/13wPX838HrBrQMCywv1BsuMkt4PEKTChp52zj44s2izQ/edit?usp=sharing"",""กาญจนบุรี!M498"")+IMPORTRANGE(""https://docs.google.com/spreadsheets/d/1ddFKvqj1W1NEiWytbGlB1zMx_ykJDVtmfEQ-6-lIUBA/edit?usp=sharing"","&amp;"""จันทบุรี!M498"")+IMPORTRANGE(""https://docs.google.com/spreadsheets/d/1T1PQvRODqOBZk8BRht_U031fIS1beLA0Ub2CEytj2q0/edit?usp=sharing"",""ฉะเชิงเทรา!M498"")+IMPORTRANGE(""https://docs.google.com/spreadsheets/d/11tr1B-Bhyr79v2bkwVh5h_fR-PStkgjlZtkrZpYurG0/"&amp;"edit?usp=sharing"",""ชลบุรี!M498"")+IMPORTRANGE(""https://docs.google.com/spreadsheets/d/1hh-FVnSX0vozXhGluamEcS54Dw9_zqW0N7qJUWgJ0Sw/edit?usp=sharing"",""ชัยนาท!M498"")+IMPORTRANGE(""https://docs.google.com/spreadsheets/d/1jkqa6GXxSacMcY1eN8AHjMNJ_7dDXMJ"&amp;"VRLDlaFSOdPM/edit?usp=sharing"",""ตราด!M498"")+IMPORTRANGE(""https://docs.google.com/spreadsheets/d/18hSgUJ3VwClqi_qtULmmW3cLr0oe3OKaSYoKzdpTsYQ/edit?usp=sharing"",""นครนายก!M498"")+IMPORTRANGE(""https://docs.google.com/spreadsheets/d/1YTZo6WM2dQ6Ix6FSdnL"&amp;"5P7uVnVKu40sxZu975tgG10E/edit?usp=sharing"",""นครปฐม!M498"")+IMPORTRANGE(""https://docs.google.com/spreadsheets/d/1OYoGg4WDg5RIzwGeB10padOxJF9E_Vljuvvct_M7RDo/edit?usp=sharing"",""ปทุมธานี!M498"")+IMPORTRANGE(""https://docs.google.com/spreadsheets/d/1GbCI"&amp;"E4D4wk9FUozzqk7SxfDMxDVBwVmI5zcaVUSzKAc/edit?usp=sharing"",""ประจวบคีรีขันธ์!M498"")+IMPORTRANGE(""https://docs.google.com/spreadsheets/d/1vVf6wykvW_lAyu7Yo9L4hUTqHqIeP_qcVuxCtosJEbg/edit?usp=sharing"",""ปราจีนบุรี!M498"")+IMPORTRANGE(""https://docs.googl"&amp;"e.com/spreadsheets/d/1BIDqLLg5jk3v59G8NlR8rk5xfQDKne0sAvZHSj7TI6I/edit?usp=sharing"",""พระนครศรีอยุธยา!M498"")+IMPORTRANGE(""https://docs.google.com/spreadsheets/d/1YXvxf8Yu6_rV4hTBrwMqAcAnv6DfhUxh5emyM3CJp_w/edit?usp=sharing"",""เพชรบุรี!M498"")+IMPORTRA"&amp;"NGE(""https://docs.google.com/spreadsheets/d/19KBlQQs7uwvsao6t2n-KvW3Ax8J8uRRfZPq1zPbXgKc/edit?usp=sharing"",""ระยอง!M498"")+IMPORTRANGE(""https://docs.google.com/spreadsheets/d/1jQ6P4QcrGM89YfqcC_PxOHGCMq5ezhucwJd8ci-NHng/edit?usp=sharing"",""ราชบุรี!M49"&amp;"8"")+IMPORTRANGE(""https://docs.google.com/spreadsheets/d/1lufeA2cfFqM-elVq2hznhDzC6Pr7wkJ9ZG_sYNGCMCU/edit?usp=sharing"",""ลพบุรี!M498"")+IMPORTRANGE(""https://docs.google.com/spreadsheets/d/10oOiF7loTyfsTkbd4MpaIm0HQ9SwB7IYHdIUvt-U1Uc/edit?usp=sharing"""&amp;",""สระแก้ว!M498"")+IMPORTRANGE(""https://docs.google.com/spreadsheets/d/1xmPlrr1QbdSIKvl1dWUl9K4PjAfSL9oeMr_37QVzcxc/edit?usp=sharing"",""สระบุรี!M498"")+IMPORTRANGE(""https://docs.google.com/spreadsheets/d/1j51vR6CYVGhABJpv6tkstgok82RLpXieLzW1yOY5rHw/edi"&amp;"t?usp=sharing"",""สิงห์บุรี!M498"")+IMPORTRANGE(""https://docs.google.com/spreadsheets/d/1H1EalTWKUSzO4Z1-1CwzoDUaVffgrThEBe2sl74kKG0/edit?usp=sharing"",""สุพรรณบุรี!M498"")+IMPORTRANGE(""https://docs.google.com/spreadsheets/d/1BmIruG_sIrJLYao_Pdr7zVArWsf"&amp;"oBt2692TMi6x_854/edit?usp=sharing"",""อ่างทอง!M498"")"),0)</f>
        <v>0</v>
      </c>
      <c r="N499" s="74">
        <f ca="1">IFERROR(__xludf.DUMMYFUNCTION("IMPORTRANGE(""https://docs.google.com/spreadsheets/d/13wPX838HrBrQMCywv1BsuMkt4PEKTChp52zj44s2izQ/edit?usp=sharing"",""กาญจนบุรี!N498"")+IMPORTRANGE(""https://docs.google.com/spreadsheets/d/1ddFKvqj1W1NEiWytbGlB1zMx_ykJDVtmfEQ-6-lIUBA/edit?usp=sharing"","&amp;"""จันทบุรี!N498"")+IMPORTRANGE(""https://docs.google.com/spreadsheets/d/1T1PQvRODqOBZk8BRht_U031fIS1beLA0Ub2CEytj2q0/edit?usp=sharing"",""ฉะเชิงเทรา!N498"")+IMPORTRANGE(""https://docs.google.com/spreadsheets/d/11tr1B-Bhyr79v2bkwVh5h_fR-PStkgjlZtkrZpYurG0/"&amp;"edit?usp=sharing"",""ชลบุรี!N498"")+IMPORTRANGE(""https://docs.google.com/spreadsheets/d/1hh-FVnSX0vozXhGluamEcS54Dw9_zqW0N7qJUWgJ0Sw/edit?usp=sharing"",""ชัยนาท!N498"")+IMPORTRANGE(""https://docs.google.com/spreadsheets/d/1jkqa6GXxSacMcY1eN8AHjMNJ_7dDXMJ"&amp;"VRLDlaFSOdPM/edit?usp=sharing"",""ตราด!N498"")+IMPORTRANGE(""https://docs.google.com/spreadsheets/d/18hSgUJ3VwClqi_qtULmmW3cLr0oe3OKaSYoKzdpTsYQ/edit?usp=sharing"",""นครนายก!N498"")+IMPORTRANGE(""https://docs.google.com/spreadsheets/d/1YTZo6WM2dQ6Ix6FSdnL"&amp;"5P7uVnVKu40sxZu975tgG10E/edit?usp=sharing"",""นครปฐม!N498"")+IMPORTRANGE(""https://docs.google.com/spreadsheets/d/1OYoGg4WDg5RIzwGeB10padOxJF9E_Vljuvvct_M7RDo/edit?usp=sharing"",""ปทุมธานี!N498"")+IMPORTRANGE(""https://docs.google.com/spreadsheets/d/1GbCI"&amp;"E4D4wk9FUozzqk7SxfDMxDVBwVmI5zcaVUSzKAc/edit?usp=sharing"",""ประจวบคีรีขันธ์!N498"")+IMPORTRANGE(""https://docs.google.com/spreadsheets/d/1vVf6wykvW_lAyu7Yo9L4hUTqHqIeP_qcVuxCtosJEbg/edit?usp=sharing"",""ปราจีนบุรี!N498"")+IMPORTRANGE(""https://docs.googl"&amp;"e.com/spreadsheets/d/1BIDqLLg5jk3v59G8NlR8rk5xfQDKne0sAvZHSj7TI6I/edit?usp=sharing"",""พระนครศรีอยุธยา!N498"")+IMPORTRANGE(""https://docs.google.com/spreadsheets/d/1YXvxf8Yu6_rV4hTBrwMqAcAnv6DfhUxh5emyM3CJp_w/edit?usp=sharing"",""เพชรบุรี!N498"")+IMPORTRA"&amp;"NGE(""https://docs.google.com/spreadsheets/d/19KBlQQs7uwvsao6t2n-KvW3Ax8J8uRRfZPq1zPbXgKc/edit?usp=sharing"",""ระยอง!N498"")+IMPORTRANGE(""https://docs.google.com/spreadsheets/d/1jQ6P4QcrGM89YfqcC_PxOHGCMq5ezhucwJd8ci-NHng/edit?usp=sharing"",""ราชบุรี!N49"&amp;"8"")+IMPORTRANGE(""https://docs.google.com/spreadsheets/d/1lufeA2cfFqM-elVq2hznhDzC6Pr7wkJ9ZG_sYNGCMCU/edit?usp=sharing"",""ลพบุรี!N498"")+IMPORTRANGE(""https://docs.google.com/spreadsheets/d/10oOiF7loTyfsTkbd4MpaIm0HQ9SwB7IYHdIUvt-U1Uc/edit?usp=sharing"""&amp;",""สระแก้ว!N498"")+IMPORTRANGE(""https://docs.google.com/spreadsheets/d/1xmPlrr1QbdSIKvl1dWUl9K4PjAfSL9oeMr_37QVzcxc/edit?usp=sharing"",""สระบุรี!N498"")+IMPORTRANGE(""https://docs.google.com/spreadsheets/d/1j51vR6CYVGhABJpv6tkstgok82RLpXieLzW1yOY5rHw/edi"&amp;"t?usp=sharing"",""สิงห์บุรี!N498"")+IMPORTRANGE(""https://docs.google.com/spreadsheets/d/1H1EalTWKUSzO4Z1-1CwzoDUaVffgrThEBe2sl74kKG0/edit?usp=sharing"",""สุพรรณบุรี!N498"")+IMPORTRANGE(""https://docs.google.com/spreadsheets/d/1BmIruG_sIrJLYao_Pdr7zVArWsf"&amp;"oBt2692TMi6x_854/edit?usp=sharing"",""อ่างทอง!N498"")"),0)</f>
        <v>0</v>
      </c>
      <c r="O499" s="74">
        <f t="shared" ca="1" si="339"/>
        <v>0</v>
      </c>
      <c r="P499" s="74">
        <f t="shared" ca="1" si="340"/>
        <v>0</v>
      </c>
      <c r="Q499" s="131">
        <f ca="1">IFERROR(__xludf.DUMMYFUNCTION("IMPORTRANGE(""https://docs.google.com/spreadsheets/d/13wPX838HrBrQMCywv1BsuMkt4PEKTChp52zj44s2izQ/edit?usp=sharing"",""กาญจนบุรี!Q498"")+IMPORTRANGE(""https://docs.google.com/spreadsheets/d/1ddFKvqj1W1NEiWytbGlB1zMx_ykJDVtmfEQ-6-lIUBA/edit?usp=sharing"","&amp;"""จันทบุรี!Q498"")+IMPORTRANGE(""https://docs.google.com/spreadsheets/d/1T1PQvRODqOBZk8BRht_U031fIS1beLA0Ub2CEytj2q0/edit?usp=sharing"",""ฉะเชิงเทรา!Q498"")+IMPORTRANGE(""https://docs.google.com/spreadsheets/d/11tr1B-Bhyr79v2bkwVh5h_fR-PStkgjlZtkrZpYurG0/"&amp;"edit?usp=sharing"",""ชลบุรี!Q498"")+IMPORTRANGE(""https://docs.google.com/spreadsheets/d/1hh-FVnSX0vozXhGluamEcS54Dw9_zqW0N7qJUWgJ0Sw/edit?usp=sharing"",""ชัยนาท!Q498"")+IMPORTRANGE(""https://docs.google.com/spreadsheets/d/1jkqa6GXxSacMcY1eN8AHjMNJ_7dDXMJ"&amp;"VRLDlaFSOdPM/edit?usp=sharing"",""ตราด!Q498"")+IMPORTRANGE(""https://docs.google.com/spreadsheets/d/18hSgUJ3VwClqi_qtULmmW3cLr0oe3OKaSYoKzdpTsYQ/edit?usp=sharing"",""นครนายก!Q498"")+IMPORTRANGE(""https://docs.google.com/spreadsheets/d/1YTZo6WM2dQ6Ix6FSdnL"&amp;"5P7uVnVKu40sxZu975tgG10E/edit?usp=sharing"",""นครปฐม!Q498"")+IMPORTRANGE(""https://docs.google.com/spreadsheets/d/1OYoGg4WDg5RIzwGeB10padOxJF9E_Vljuvvct_M7RDo/edit?usp=sharing"",""ปทุมธานี!Q498"")+IMPORTRANGE(""https://docs.google.com/spreadsheets/d/1GbCI"&amp;"E4D4wk9FUozzqk7SxfDMxDVBwVmI5zcaVUSzKAc/edit?usp=sharing"",""ประจวบคีรีขันธ์!Q498"")+IMPORTRANGE(""https://docs.google.com/spreadsheets/d/1vVf6wykvW_lAyu7Yo9L4hUTqHqIeP_qcVuxCtosJEbg/edit?usp=sharing"",""ปราจีนบุรี!Q498"")+IMPORTRANGE(""https://docs.googl"&amp;"e.com/spreadsheets/d/1BIDqLLg5jk3v59G8NlR8rk5xfQDKne0sAvZHSj7TI6I/edit?usp=sharing"",""พระนครศรีอยุธยา!Q498"")+IMPORTRANGE(""https://docs.google.com/spreadsheets/d/1YXvxf8Yu6_rV4hTBrwMqAcAnv6DfhUxh5emyM3CJp_w/edit?usp=sharing"",""เพชรบุรี!Q498"")+IMPORTRA"&amp;"NGE(""https://docs.google.com/spreadsheets/d/19KBlQQs7uwvsao6t2n-KvW3Ax8J8uRRfZPq1zPbXgKc/edit?usp=sharing"",""ระยอง!Q498"")+IMPORTRANGE(""https://docs.google.com/spreadsheets/d/1jQ6P4QcrGM89YfqcC_PxOHGCMq5ezhucwJd8ci-NHng/edit?usp=sharing"",""ราชบุรี!Q49"&amp;"8"")+IMPORTRANGE(""https://docs.google.com/spreadsheets/d/1lufeA2cfFqM-elVq2hznhDzC6Pr7wkJ9ZG_sYNGCMCU/edit?usp=sharing"",""ลพบุรี!Q498"")+IMPORTRANGE(""https://docs.google.com/spreadsheets/d/10oOiF7loTyfsTkbd4MpaIm0HQ9SwB7IYHdIUvt-U1Uc/edit?usp=sharing"""&amp;",""สระแก้ว!Q498"")+IMPORTRANGE(""https://docs.google.com/spreadsheets/d/1xmPlrr1QbdSIKvl1dWUl9K4PjAfSL9oeMr_37QVzcxc/edit?usp=sharing"",""สระบุรี!Q498"")+IMPORTRANGE(""https://docs.google.com/spreadsheets/d/1j51vR6CYVGhABJpv6tkstgok82RLpXieLzW1yOY5rHw/edi"&amp;"t?usp=sharing"",""สิงห์บุรี!Q498"")+IMPORTRANGE(""https://docs.google.com/spreadsheets/d/1H1EalTWKUSzO4Z1-1CwzoDUaVffgrThEBe2sl74kKG0/edit?usp=sharing"",""สุพรรณบุรี!Q498"")+IMPORTRANGE(""https://docs.google.com/spreadsheets/d/1BmIruG_sIrJLYao_Pdr7zVArWsf"&amp;"oBt2692TMi6x_854/edit?usp=sharing"",""อ่างทอง!Q498"")"),2234495)</f>
        <v>2234495</v>
      </c>
      <c r="R499" s="132">
        <f ca="1">IFERROR(__xludf.DUMMYFUNCTION("IMPORTRANGE(""https://docs.google.com/spreadsheets/d/13wPX838HrBrQMCywv1BsuMkt4PEKTChp52zj44s2izQ/edit?usp=sharing"",""กาญจนบุรี!R498"")+IMPORTRANGE(""https://docs.google.com/spreadsheets/d/1ddFKvqj1W1NEiWytbGlB1zMx_ykJDVtmfEQ-6-lIUBA/edit?usp=sharing"","&amp;"""จันทบุรี!R498"")+IMPORTRANGE(""https://docs.google.com/spreadsheets/d/1T1PQvRODqOBZk8BRht_U031fIS1beLA0Ub2CEytj2q0/edit?usp=sharing"",""ฉะเชิงเทรา!R498"")+IMPORTRANGE(""https://docs.google.com/spreadsheets/d/11tr1B-Bhyr79v2bkwVh5h_fR-PStkgjlZtkrZpYurG0/"&amp;"edit?usp=sharing"",""ชลบุรี!R498"")+IMPORTRANGE(""https://docs.google.com/spreadsheets/d/1hh-FVnSX0vozXhGluamEcS54Dw9_zqW0N7qJUWgJ0Sw/edit?usp=sharing"",""ชัยนาท!R498"")+IMPORTRANGE(""https://docs.google.com/spreadsheets/d/1jkqa6GXxSacMcY1eN8AHjMNJ_7dDXMJ"&amp;"VRLDlaFSOdPM/edit?usp=sharing"",""ตราด!R498"")+IMPORTRANGE(""https://docs.google.com/spreadsheets/d/18hSgUJ3VwClqi_qtULmmW3cLr0oe3OKaSYoKzdpTsYQ/edit?usp=sharing"",""นครนายก!R498"")+IMPORTRANGE(""https://docs.google.com/spreadsheets/d/1YTZo6WM2dQ6Ix6FSdnL"&amp;"5P7uVnVKu40sxZu975tgG10E/edit?usp=sharing"",""นครปฐม!R498"")+IMPORTRANGE(""https://docs.google.com/spreadsheets/d/1OYoGg4WDg5RIzwGeB10padOxJF9E_Vljuvvct_M7RDo/edit?usp=sharing"",""ปทุมธานี!R498"")+IMPORTRANGE(""https://docs.google.com/spreadsheets/d/1GbCI"&amp;"E4D4wk9FUozzqk7SxfDMxDVBwVmI5zcaVUSzKAc/edit?usp=sharing"",""ประจวบคีรีขันธ์!R498"")+IMPORTRANGE(""https://docs.google.com/spreadsheets/d/1vVf6wykvW_lAyu7Yo9L4hUTqHqIeP_qcVuxCtosJEbg/edit?usp=sharing"",""ปราจีนบุรี!R498"")+IMPORTRANGE(""https://docs.googl"&amp;"e.com/spreadsheets/d/1BIDqLLg5jk3v59G8NlR8rk5xfQDKne0sAvZHSj7TI6I/edit?usp=sharing"",""พระนครศรีอยุธยา!R498"")+IMPORTRANGE(""https://docs.google.com/spreadsheets/d/1YXvxf8Yu6_rV4hTBrwMqAcAnv6DfhUxh5emyM3CJp_w/edit?usp=sharing"",""เพชรบุรี!R498"")+IMPORTRA"&amp;"NGE(""https://docs.google.com/spreadsheets/d/19KBlQQs7uwvsao6t2n-KvW3Ax8J8uRRfZPq1zPbXgKc/edit?usp=sharing"",""ระยอง!R498"")+IMPORTRANGE(""https://docs.google.com/spreadsheets/d/1jQ6P4QcrGM89YfqcC_PxOHGCMq5ezhucwJd8ci-NHng/edit?usp=sharing"",""ราชบุรี!R49"&amp;"8"")+IMPORTRANGE(""https://docs.google.com/spreadsheets/d/1lufeA2cfFqM-elVq2hznhDzC6Pr7wkJ9ZG_sYNGCMCU/edit?usp=sharing"",""ลพบุรี!R498"")+IMPORTRANGE(""https://docs.google.com/spreadsheets/d/10oOiF7loTyfsTkbd4MpaIm0HQ9SwB7IYHdIUvt-U1Uc/edit?usp=sharing"""&amp;",""สระแก้ว!R498"")+IMPORTRANGE(""https://docs.google.com/spreadsheets/d/1xmPlrr1QbdSIKvl1dWUl9K4PjAfSL9oeMr_37QVzcxc/edit?usp=sharing"",""สระบุรี!R498"")+IMPORTRANGE(""https://docs.google.com/spreadsheets/d/1j51vR6CYVGhABJpv6tkstgok82RLpXieLzW1yOY5rHw/edi"&amp;"t?usp=sharing"",""สิงห์บุรี!R498"")+IMPORTRANGE(""https://docs.google.com/spreadsheets/d/1H1EalTWKUSzO4Z1-1CwzoDUaVffgrThEBe2sl74kKG0/edit?usp=sharing"",""สุพรรณบุรี!R498"")+IMPORTRANGE(""https://docs.google.com/spreadsheets/d/1BmIruG_sIrJLYao_Pdr7zVArWsf"&amp;"oBt2692TMi6x_854/edit?usp=sharing"",""อ่างทอง!R498"")"),2234495)</f>
        <v>2234495</v>
      </c>
      <c r="S499" s="132">
        <f ca="1">IFERROR(__xludf.DUMMYFUNCTION("IMPORTRANGE(""https://docs.google.com/spreadsheets/d/13wPX838HrBrQMCywv1BsuMkt4PEKTChp52zj44s2izQ/edit?usp=sharing"",""กาญจนบุรี!S498"")+IMPORTRANGE(""https://docs.google.com/spreadsheets/d/1ddFKvqj1W1NEiWytbGlB1zMx_ykJDVtmfEQ-6-lIUBA/edit?usp=sharing"","&amp;"""จันทบุรี!S498"")+IMPORTRANGE(""https://docs.google.com/spreadsheets/d/1T1PQvRODqOBZk8BRht_U031fIS1beLA0Ub2CEytj2q0/edit?usp=sharing"",""ฉะเชิงเทรา!S498"")+IMPORTRANGE(""https://docs.google.com/spreadsheets/d/11tr1B-Bhyr79v2bkwVh5h_fR-PStkgjlZtkrZpYurG0/"&amp;"edit?usp=sharing"",""ชลบุรี!S498"")+IMPORTRANGE(""https://docs.google.com/spreadsheets/d/1hh-FVnSX0vozXhGluamEcS54Dw9_zqW0N7qJUWgJ0Sw/edit?usp=sharing"",""ชัยนาท!S498"")+IMPORTRANGE(""https://docs.google.com/spreadsheets/d/1jkqa6GXxSacMcY1eN8AHjMNJ_7dDXMJ"&amp;"VRLDlaFSOdPM/edit?usp=sharing"",""ตราด!S498"")+IMPORTRANGE(""https://docs.google.com/spreadsheets/d/18hSgUJ3VwClqi_qtULmmW3cLr0oe3OKaSYoKzdpTsYQ/edit?usp=sharing"",""นครนายก!S498"")+IMPORTRANGE(""https://docs.google.com/spreadsheets/d/1YTZo6WM2dQ6Ix6FSdnL"&amp;"5P7uVnVKu40sxZu975tgG10E/edit?usp=sharing"",""นครปฐม!S498"")+IMPORTRANGE(""https://docs.google.com/spreadsheets/d/1OYoGg4WDg5RIzwGeB10padOxJF9E_Vljuvvct_M7RDo/edit?usp=sharing"",""ปทุมธานี!S498"")+IMPORTRANGE(""https://docs.google.com/spreadsheets/d/1GbCI"&amp;"E4D4wk9FUozzqk7SxfDMxDVBwVmI5zcaVUSzKAc/edit?usp=sharing"",""ประจวบคีรีขันธ์!S498"")+IMPORTRANGE(""https://docs.google.com/spreadsheets/d/1vVf6wykvW_lAyu7Yo9L4hUTqHqIeP_qcVuxCtosJEbg/edit?usp=sharing"",""ปราจีนบุรี!S498"")+IMPORTRANGE(""https://docs.googl"&amp;"e.com/spreadsheets/d/1BIDqLLg5jk3v59G8NlR8rk5xfQDKne0sAvZHSj7TI6I/edit?usp=sharing"",""พระนครศรีอยุธยา!S498"")+IMPORTRANGE(""https://docs.google.com/spreadsheets/d/1YXvxf8Yu6_rV4hTBrwMqAcAnv6DfhUxh5emyM3CJp_w/edit?usp=sharing"",""เพชรบุรี!S498"")+IMPORTRA"&amp;"NGE(""https://docs.google.com/spreadsheets/d/19KBlQQs7uwvsao6t2n-KvW3Ax8J8uRRfZPq1zPbXgKc/edit?usp=sharing"",""ระยอง!S498"")+IMPORTRANGE(""https://docs.google.com/spreadsheets/d/1jQ6P4QcrGM89YfqcC_PxOHGCMq5ezhucwJd8ci-NHng/edit?usp=sharing"",""ราชบุรี!S49"&amp;"8"")+IMPORTRANGE(""https://docs.google.com/spreadsheets/d/1lufeA2cfFqM-elVq2hznhDzC6Pr7wkJ9ZG_sYNGCMCU/edit?usp=sharing"",""ลพบุรี!S498"")+IMPORTRANGE(""https://docs.google.com/spreadsheets/d/10oOiF7loTyfsTkbd4MpaIm0HQ9SwB7IYHdIUvt-U1Uc/edit?usp=sharing"""&amp;",""สระแก้ว!S498"")+IMPORTRANGE(""https://docs.google.com/spreadsheets/d/1xmPlrr1QbdSIKvl1dWUl9K4PjAfSL9oeMr_37QVzcxc/edit?usp=sharing"",""สระบุรี!S498"")+IMPORTRANGE(""https://docs.google.com/spreadsheets/d/1j51vR6CYVGhABJpv6tkstgok82RLpXieLzW1yOY5rHw/edi"&amp;"t?usp=sharing"",""สิงห์บุรี!S498"")+IMPORTRANGE(""https://docs.google.com/spreadsheets/d/1H1EalTWKUSzO4Z1-1CwzoDUaVffgrThEBe2sl74kKG0/edit?usp=sharing"",""สุพรรณบุรี!S498"")+IMPORTRANGE(""https://docs.google.com/spreadsheets/d/1BmIruG_sIrJLYao_Pdr7zVArWsf"&amp;"oBt2692TMi6x_854/edit?usp=sharing"",""อ่างทอง!S498"")"),12671.72)</f>
        <v>12671.72</v>
      </c>
      <c r="T499" s="132">
        <f t="shared" ca="1" si="342"/>
        <v>0.56709547347387212</v>
      </c>
      <c r="U499" s="132">
        <f t="shared" ca="1" si="343"/>
        <v>0.56709547347387212</v>
      </c>
    </row>
    <row r="500" spans="1:21" ht="18.75" x14ac:dyDescent="0.25">
      <c r="A500" s="257"/>
      <c r="B500" s="269"/>
      <c r="C500" s="269"/>
      <c r="D500" s="274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4">
        <f t="shared" ref="L500:N500" ca="1" si="350">L501+L502</f>
        <v>0</v>
      </c>
      <c r="M500" s="74">
        <f t="shared" ca="1" si="350"/>
        <v>0</v>
      </c>
      <c r="N500" s="74">
        <f t="shared" ca="1" si="350"/>
        <v>0</v>
      </c>
      <c r="O500" s="74">
        <f t="shared" ca="1" si="339"/>
        <v>0</v>
      </c>
      <c r="P500" s="74">
        <f t="shared" ca="1" si="340"/>
        <v>0</v>
      </c>
      <c r="Q500" s="131">
        <f t="shared" ref="Q500:S500" ca="1" si="351">Q501+Q502</f>
        <v>0</v>
      </c>
      <c r="R500" s="132">
        <f t="shared" ca="1" si="351"/>
        <v>0</v>
      </c>
      <c r="S500" s="132">
        <f t="shared" ca="1" si="351"/>
        <v>0</v>
      </c>
      <c r="T500" s="132">
        <f t="shared" ca="1" si="342"/>
        <v>0</v>
      </c>
      <c r="U500" s="132">
        <f t="shared" ca="1" si="343"/>
        <v>0</v>
      </c>
    </row>
    <row r="501" spans="1:21" ht="18.75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7">
        <f ca="1">IFERROR(__xludf.DUMMYFUNCTION("IMPORTRANGE(""https://docs.google.com/spreadsheets/d/13wPX838HrBrQMCywv1BsuMkt4PEKTChp52zj44s2izQ/edit?usp=sharing"",""กาญจนบุรี!L500"")+IMPORTRANGE(""https://docs.google.com/spreadsheets/d/1ddFKvqj1W1NEiWytbGlB1zMx_ykJDVtmfEQ-6-lIUBA/edit?usp=sharing"","&amp;"""จันทบุรี!L500"")+IMPORTRANGE(""https://docs.google.com/spreadsheets/d/1T1PQvRODqOBZk8BRht_U031fIS1beLA0Ub2CEytj2q0/edit?usp=sharing"",""ฉะเชิงเทรา!L500"")+IMPORTRANGE(""https://docs.google.com/spreadsheets/d/11tr1B-Bhyr79v2bkwVh5h_fR-PStkgjlZtkrZpYurG0/"&amp;"edit?usp=sharing"",""ชลบุรี!L500"")+IMPORTRANGE(""https://docs.google.com/spreadsheets/d/1hh-FVnSX0vozXhGluamEcS54Dw9_zqW0N7qJUWgJ0Sw/edit?usp=sharing"",""ชัยนาท!L500"")+IMPORTRANGE(""https://docs.google.com/spreadsheets/d/1jkqa6GXxSacMcY1eN8AHjMNJ_7dDXMJ"&amp;"VRLDlaFSOdPM/edit?usp=sharing"",""ตราด!L500"")+IMPORTRANGE(""https://docs.google.com/spreadsheets/d/18hSgUJ3VwClqi_qtULmmW3cLr0oe3OKaSYoKzdpTsYQ/edit?usp=sharing"",""นครนายก!L500"")+IMPORTRANGE(""https://docs.google.com/spreadsheets/d/1YTZo6WM2dQ6Ix6FSdnL"&amp;"5P7uVnVKu40sxZu975tgG10E/edit?usp=sharing"",""นครปฐม!L500"")+IMPORTRANGE(""https://docs.google.com/spreadsheets/d/1OYoGg4WDg5RIzwGeB10padOxJF9E_Vljuvvct_M7RDo/edit?usp=sharing"",""ปทุมธานี!L500"")+IMPORTRANGE(""https://docs.google.com/spreadsheets/d/1GbCI"&amp;"E4D4wk9FUozzqk7SxfDMxDVBwVmI5zcaVUSzKAc/edit?usp=sharing"",""ประจวบคีรีขันธ์!L500"")+IMPORTRANGE(""https://docs.google.com/spreadsheets/d/1vVf6wykvW_lAyu7Yo9L4hUTqHqIeP_qcVuxCtosJEbg/edit?usp=sharing"",""ปราจีนบุรี!L500"")+IMPORTRANGE(""https://docs.googl"&amp;"e.com/spreadsheets/d/1BIDqLLg5jk3v59G8NlR8rk5xfQDKne0sAvZHSj7TI6I/edit?usp=sharing"",""พระนครศรีอยุธยา!L500"")+IMPORTRANGE(""https://docs.google.com/spreadsheets/d/1YXvxf8Yu6_rV4hTBrwMqAcAnv6DfhUxh5emyM3CJp_w/edit?usp=sharing"",""เพชรบุรี!L500"")+IMPORTRA"&amp;"NGE(""https://docs.google.com/spreadsheets/d/19KBlQQs7uwvsao6t2n-KvW3Ax8J8uRRfZPq1zPbXgKc/edit?usp=sharing"",""ระยอง!L500"")+IMPORTRANGE(""https://docs.google.com/spreadsheets/d/1jQ6P4QcrGM89YfqcC_PxOHGCMq5ezhucwJd8ci-NHng/edit?usp=sharing"",""ราชบุรี!L50"&amp;"0"")+IMPORTRANGE(""https://docs.google.com/spreadsheets/d/1lufeA2cfFqM-elVq2hznhDzC6Pr7wkJ9ZG_sYNGCMCU/edit?usp=sharing"",""ลพบุรี!L500"")+IMPORTRANGE(""https://docs.google.com/spreadsheets/d/10oOiF7loTyfsTkbd4MpaIm0HQ9SwB7IYHdIUvt-U1Uc/edit?usp=sharing"""&amp;",""สระแก้ว!L500"")+IMPORTRANGE(""https://docs.google.com/spreadsheets/d/1xmPlrr1QbdSIKvl1dWUl9K4PjAfSL9oeMr_37QVzcxc/edit?usp=sharing"",""สระบุรี!L500"")+IMPORTRANGE(""https://docs.google.com/spreadsheets/d/1j51vR6CYVGhABJpv6tkstgok82RLpXieLzW1yOY5rHw/edi"&amp;"t?usp=sharing"",""สิงห์บุรี!L500"")+IMPORTRANGE(""https://docs.google.com/spreadsheets/d/1H1EalTWKUSzO4Z1-1CwzoDUaVffgrThEBe2sl74kKG0/edit?usp=sharing"",""สุพรรณบุรี!L500"")+IMPORTRANGE(""https://docs.google.com/spreadsheets/d/1BmIruG_sIrJLYao_Pdr7zVArWsf"&amp;"oBt2692TMi6x_854/edit?usp=sharing"",""อ่างทอง!L500"")"),0)</f>
        <v>0</v>
      </c>
      <c r="M501" s="77">
        <f ca="1">IFERROR(__xludf.DUMMYFUNCTION("IMPORTRANGE(""https://docs.google.com/spreadsheets/d/13wPX838HrBrQMCywv1BsuMkt4PEKTChp52zj44s2izQ/edit?usp=sharing"",""กาญจนบุรี!M500"")+IMPORTRANGE(""https://docs.google.com/spreadsheets/d/1ddFKvqj1W1NEiWytbGlB1zMx_ykJDVtmfEQ-6-lIUBA/edit?usp=sharing"","&amp;"""จันทบุรี!M500"")+IMPORTRANGE(""https://docs.google.com/spreadsheets/d/1T1PQvRODqOBZk8BRht_U031fIS1beLA0Ub2CEytj2q0/edit?usp=sharing"",""ฉะเชิงเทรา!M500"")+IMPORTRANGE(""https://docs.google.com/spreadsheets/d/11tr1B-Bhyr79v2bkwVh5h_fR-PStkgjlZtkrZpYurG0/"&amp;"edit?usp=sharing"",""ชลบุรี!M500"")+IMPORTRANGE(""https://docs.google.com/spreadsheets/d/1hh-FVnSX0vozXhGluamEcS54Dw9_zqW0N7qJUWgJ0Sw/edit?usp=sharing"",""ชัยนาท!M500"")+IMPORTRANGE(""https://docs.google.com/spreadsheets/d/1jkqa6GXxSacMcY1eN8AHjMNJ_7dDXMJ"&amp;"VRLDlaFSOdPM/edit?usp=sharing"",""ตราด!M500"")+IMPORTRANGE(""https://docs.google.com/spreadsheets/d/18hSgUJ3VwClqi_qtULmmW3cLr0oe3OKaSYoKzdpTsYQ/edit?usp=sharing"",""นครนายก!M500"")+IMPORTRANGE(""https://docs.google.com/spreadsheets/d/1YTZo6WM2dQ6Ix6FSdnL"&amp;"5P7uVnVKu40sxZu975tgG10E/edit?usp=sharing"",""นครปฐม!M500"")+IMPORTRANGE(""https://docs.google.com/spreadsheets/d/1OYoGg4WDg5RIzwGeB10padOxJF9E_Vljuvvct_M7RDo/edit?usp=sharing"",""ปทุมธานี!M500"")+IMPORTRANGE(""https://docs.google.com/spreadsheets/d/1GbCI"&amp;"E4D4wk9FUozzqk7SxfDMxDVBwVmI5zcaVUSzKAc/edit?usp=sharing"",""ประจวบคีรีขันธ์!M500"")+IMPORTRANGE(""https://docs.google.com/spreadsheets/d/1vVf6wykvW_lAyu7Yo9L4hUTqHqIeP_qcVuxCtosJEbg/edit?usp=sharing"",""ปราจีนบุรี!M500"")+IMPORTRANGE(""https://docs.googl"&amp;"e.com/spreadsheets/d/1BIDqLLg5jk3v59G8NlR8rk5xfQDKne0sAvZHSj7TI6I/edit?usp=sharing"",""พระนครศรีอยุธยา!M500"")+IMPORTRANGE(""https://docs.google.com/spreadsheets/d/1YXvxf8Yu6_rV4hTBrwMqAcAnv6DfhUxh5emyM3CJp_w/edit?usp=sharing"",""เพชรบุรี!M500"")+IMPORTRA"&amp;"NGE(""https://docs.google.com/spreadsheets/d/19KBlQQs7uwvsao6t2n-KvW3Ax8J8uRRfZPq1zPbXgKc/edit?usp=sharing"",""ระยอง!M500"")+IMPORTRANGE(""https://docs.google.com/spreadsheets/d/1jQ6P4QcrGM89YfqcC_PxOHGCMq5ezhucwJd8ci-NHng/edit?usp=sharing"",""ราชบุรี!M50"&amp;"0"")+IMPORTRANGE(""https://docs.google.com/spreadsheets/d/1lufeA2cfFqM-elVq2hznhDzC6Pr7wkJ9ZG_sYNGCMCU/edit?usp=sharing"",""ลพบุรี!M500"")+IMPORTRANGE(""https://docs.google.com/spreadsheets/d/10oOiF7loTyfsTkbd4MpaIm0HQ9SwB7IYHdIUvt-U1Uc/edit?usp=sharing"""&amp;",""สระแก้ว!M500"")+IMPORTRANGE(""https://docs.google.com/spreadsheets/d/1xmPlrr1QbdSIKvl1dWUl9K4PjAfSL9oeMr_37QVzcxc/edit?usp=sharing"",""สระบุรี!M500"")+IMPORTRANGE(""https://docs.google.com/spreadsheets/d/1j51vR6CYVGhABJpv6tkstgok82RLpXieLzW1yOY5rHw/edi"&amp;"t?usp=sharing"",""สิงห์บุรี!M500"")+IMPORTRANGE(""https://docs.google.com/spreadsheets/d/1H1EalTWKUSzO4Z1-1CwzoDUaVffgrThEBe2sl74kKG0/edit?usp=sharing"",""สุพรรณบุรี!M500"")+IMPORTRANGE(""https://docs.google.com/spreadsheets/d/1BmIruG_sIrJLYao_Pdr7zVArWsf"&amp;"oBt2692TMi6x_854/edit?usp=sharing"",""อ่างทอง!M500"")"),0)</f>
        <v>0</v>
      </c>
      <c r="N501" s="77">
        <f ca="1">IFERROR(__xludf.DUMMYFUNCTION("IMPORTRANGE(""https://docs.google.com/spreadsheets/d/13wPX838HrBrQMCywv1BsuMkt4PEKTChp52zj44s2izQ/edit?usp=sharing"",""กาญจนบุรี!N500"")+IMPORTRANGE(""https://docs.google.com/spreadsheets/d/1ddFKvqj1W1NEiWytbGlB1zMx_ykJDVtmfEQ-6-lIUBA/edit?usp=sharing"","&amp;"""จันทบุรี!N500"")+IMPORTRANGE(""https://docs.google.com/spreadsheets/d/1T1PQvRODqOBZk8BRht_U031fIS1beLA0Ub2CEytj2q0/edit?usp=sharing"",""ฉะเชิงเทรา!N500"")+IMPORTRANGE(""https://docs.google.com/spreadsheets/d/11tr1B-Bhyr79v2bkwVh5h_fR-PStkgjlZtkrZpYurG0/"&amp;"edit?usp=sharing"",""ชลบุรี!N500"")+IMPORTRANGE(""https://docs.google.com/spreadsheets/d/1hh-FVnSX0vozXhGluamEcS54Dw9_zqW0N7qJUWgJ0Sw/edit?usp=sharing"",""ชัยนาท!N500"")+IMPORTRANGE(""https://docs.google.com/spreadsheets/d/1jkqa6GXxSacMcY1eN8AHjMNJ_7dDXMJ"&amp;"VRLDlaFSOdPM/edit?usp=sharing"",""ตราด!N500"")+IMPORTRANGE(""https://docs.google.com/spreadsheets/d/18hSgUJ3VwClqi_qtULmmW3cLr0oe3OKaSYoKzdpTsYQ/edit?usp=sharing"",""นครนายก!N500"")+IMPORTRANGE(""https://docs.google.com/spreadsheets/d/1YTZo6WM2dQ6Ix6FSdnL"&amp;"5P7uVnVKu40sxZu975tgG10E/edit?usp=sharing"",""นครปฐม!N500"")+IMPORTRANGE(""https://docs.google.com/spreadsheets/d/1OYoGg4WDg5RIzwGeB10padOxJF9E_Vljuvvct_M7RDo/edit?usp=sharing"",""ปทุมธานี!N500"")+IMPORTRANGE(""https://docs.google.com/spreadsheets/d/1GbCI"&amp;"E4D4wk9FUozzqk7SxfDMxDVBwVmI5zcaVUSzKAc/edit?usp=sharing"",""ประจวบคีรีขันธ์!N500"")+IMPORTRANGE(""https://docs.google.com/spreadsheets/d/1vVf6wykvW_lAyu7Yo9L4hUTqHqIeP_qcVuxCtosJEbg/edit?usp=sharing"",""ปราจีนบุรี!N500"")+IMPORTRANGE(""https://docs.googl"&amp;"e.com/spreadsheets/d/1BIDqLLg5jk3v59G8NlR8rk5xfQDKne0sAvZHSj7TI6I/edit?usp=sharing"",""พระนครศรีอยุธยา!N500"")+IMPORTRANGE(""https://docs.google.com/spreadsheets/d/1YXvxf8Yu6_rV4hTBrwMqAcAnv6DfhUxh5emyM3CJp_w/edit?usp=sharing"",""เพชรบุรี!N500"")+IMPORTRA"&amp;"NGE(""https://docs.google.com/spreadsheets/d/19KBlQQs7uwvsao6t2n-KvW3Ax8J8uRRfZPq1zPbXgKc/edit?usp=sharing"",""ระยอง!N500"")+IMPORTRANGE(""https://docs.google.com/spreadsheets/d/1jQ6P4QcrGM89YfqcC_PxOHGCMq5ezhucwJd8ci-NHng/edit?usp=sharing"",""ราชบุรี!N50"&amp;"0"")+IMPORTRANGE(""https://docs.google.com/spreadsheets/d/1lufeA2cfFqM-elVq2hznhDzC6Pr7wkJ9ZG_sYNGCMCU/edit?usp=sharing"",""ลพบุรี!N500"")+IMPORTRANGE(""https://docs.google.com/spreadsheets/d/10oOiF7loTyfsTkbd4MpaIm0HQ9SwB7IYHdIUvt-U1Uc/edit?usp=sharing"""&amp;",""สระแก้ว!N500"")+IMPORTRANGE(""https://docs.google.com/spreadsheets/d/1xmPlrr1QbdSIKvl1dWUl9K4PjAfSL9oeMr_37QVzcxc/edit?usp=sharing"",""สระบุรี!N500"")+IMPORTRANGE(""https://docs.google.com/spreadsheets/d/1j51vR6CYVGhABJpv6tkstgok82RLpXieLzW1yOY5rHw/edi"&amp;"t?usp=sharing"",""สิงห์บุรี!N500"")+IMPORTRANGE(""https://docs.google.com/spreadsheets/d/1H1EalTWKUSzO4Z1-1CwzoDUaVffgrThEBe2sl74kKG0/edit?usp=sharing"",""สุพรรณบุรี!N500"")+IMPORTRANGE(""https://docs.google.com/spreadsheets/d/1BmIruG_sIrJLYao_Pdr7zVArWsf"&amp;"oBt2692TMi6x_854/edit?usp=sharing"",""อ่างทอง!N500"")"),0)</f>
        <v>0</v>
      </c>
      <c r="O501" s="77">
        <f t="shared" ca="1" si="339"/>
        <v>0</v>
      </c>
      <c r="P501" s="77">
        <f t="shared" ca="1" si="340"/>
        <v>0</v>
      </c>
      <c r="Q501" s="76">
        <f ca="1">IFERROR(__xludf.DUMMYFUNCTION("IMPORTRANGE(""https://docs.google.com/spreadsheets/d/13wPX838HrBrQMCywv1BsuMkt4PEKTChp52zj44s2izQ/edit?usp=sharing"",""กาญจนบุรี!Q500"")+IMPORTRANGE(""https://docs.google.com/spreadsheets/d/1ddFKvqj1W1NEiWytbGlB1zMx_ykJDVtmfEQ-6-lIUBA/edit?usp=sharing"","&amp;"""จันทบุรี!Q500"")+IMPORTRANGE(""https://docs.google.com/spreadsheets/d/1T1PQvRODqOBZk8BRht_U031fIS1beLA0Ub2CEytj2q0/edit?usp=sharing"",""ฉะเชิงเทรา!Q500"")+IMPORTRANGE(""https://docs.google.com/spreadsheets/d/11tr1B-Bhyr79v2bkwVh5h_fR-PStkgjlZtkrZpYurG0/"&amp;"edit?usp=sharing"",""ชลบุรี!Q500"")+IMPORTRANGE(""https://docs.google.com/spreadsheets/d/1hh-FVnSX0vozXhGluamEcS54Dw9_zqW0N7qJUWgJ0Sw/edit?usp=sharing"",""ชัยนาท!Q500"")+IMPORTRANGE(""https://docs.google.com/spreadsheets/d/1jkqa6GXxSacMcY1eN8AHjMNJ_7dDXMJ"&amp;"VRLDlaFSOdPM/edit?usp=sharing"",""ตราด!Q500"")+IMPORTRANGE(""https://docs.google.com/spreadsheets/d/18hSgUJ3VwClqi_qtULmmW3cLr0oe3OKaSYoKzdpTsYQ/edit?usp=sharing"",""นครนายก!Q500"")+IMPORTRANGE(""https://docs.google.com/spreadsheets/d/1YTZo6WM2dQ6Ix6FSdnL"&amp;"5P7uVnVKu40sxZu975tgG10E/edit?usp=sharing"",""นครปฐม!Q500"")+IMPORTRANGE(""https://docs.google.com/spreadsheets/d/1OYoGg4WDg5RIzwGeB10padOxJF9E_Vljuvvct_M7RDo/edit?usp=sharing"",""ปทุมธานี!Q500"")+IMPORTRANGE(""https://docs.google.com/spreadsheets/d/1GbCI"&amp;"E4D4wk9FUozzqk7SxfDMxDVBwVmI5zcaVUSzKAc/edit?usp=sharing"",""ประจวบคีรีขันธ์!Q500"")+IMPORTRANGE(""https://docs.google.com/spreadsheets/d/1vVf6wykvW_lAyu7Yo9L4hUTqHqIeP_qcVuxCtosJEbg/edit?usp=sharing"",""ปราจีนบุรี!Q500"")+IMPORTRANGE(""https://docs.googl"&amp;"e.com/spreadsheets/d/1BIDqLLg5jk3v59G8NlR8rk5xfQDKne0sAvZHSj7TI6I/edit?usp=sharing"",""พระนครศรีอยุธยา!Q500"")+IMPORTRANGE(""https://docs.google.com/spreadsheets/d/1YXvxf8Yu6_rV4hTBrwMqAcAnv6DfhUxh5emyM3CJp_w/edit?usp=sharing"",""เพชรบุรี!Q500"")+IMPORTRA"&amp;"NGE(""https://docs.google.com/spreadsheets/d/19KBlQQs7uwvsao6t2n-KvW3Ax8J8uRRfZPq1zPbXgKc/edit?usp=sharing"",""ระยอง!Q500"")+IMPORTRANGE(""https://docs.google.com/spreadsheets/d/1jQ6P4QcrGM89YfqcC_PxOHGCMq5ezhucwJd8ci-NHng/edit?usp=sharing"",""ราชบุรี!Q50"&amp;"0"")+IMPORTRANGE(""https://docs.google.com/spreadsheets/d/1lufeA2cfFqM-elVq2hznhDzC6Pr7wkJ9ZG_sYNGCMCU/edit?usp=sharing"",""ลพบุรี!Q500"")+IMPORTRANGE(""https://docs.google.com/spreadsheets/d/10oOiF7loTyfsTkbd4MpaIm0HQ9SwB7IYHdIUvt-U1Uc/edit?usp=sharing"""&amp;",""สระแก้ว!Q500"")+IMPORTRANGE(""https://docs.google.com/spreadsheets/d/1xmPlrr1QbdSIKvl1dWUl9K4PjAfSL9oeMr_37QVzcxc/edit?usp=sharing"",""สระบุรี!Q500"")+IMPORTRANGE(""https://docs.google.com/spreadsheets/d/1j51vR6CYVGhABJpv6tkstgok82RLpXieLzW1yOY5rHw/edi"&amp;"t?usp=sharing"",""สิงห์บุรี!Q500"")+IMPORTRANGE(""https://docs.google.com/spreadsheets/d/1H1EalTWKUSzO4Z1-1CwzoDUaVffgrThEBe2sl74kKG0/edit?usp=sharing"",""สุพรรณบุรี!Q500"")+IMPORTRANGE(""https://docs.google.com/spreadsheets/d/1BmIruG_sIrJLYao_Pdr7zVArWsf"&amp;"oBt2692TMi6x_854/edit?usp=sharing"",""อ่างทอง!Q500"")"),0)</f>
        <v>0</v>
      </c>
      <c r="R501" s="77">
        <f ca="1">IFERROR(__xludf.DUMMYFUNCTION("IMPORTRANGE(""https://docs.google.com/spreadsheets/d/13wPX838HrBrQMCywv1BsuMkt4PEKTChp52zj44s2izQ/edit?usp=sharing"",""กาญจนบุรี!R500"")+IMPORTRANGE(""https://docs.google.com/spreadsheets/d/1ddFKvqj1W1NEiWytbGlB1zMx_ykJDVtmfEQ-6-lIUBA/edit?usp=sharing"","&amp;"""จันทบุรี!R500"")+IMPORTRANGE(""https://docs.google.com/spreadsheets/d/1T1PQvRODqOBZk8BRht_U031fIS1beLA0Ub2CEytj2q0/edit?usp=sharing"",""ฉะเชิงเทรา!R500"")+IMPORTRANGE(""https://docs.google.com/spreadsheets/d/11tr1B-Bhyr79v2bkwVh5h_fR-PStkgjlZtkrZpYurG0/"&amp;"edit?usp=sharing"",""ชลบุรี!R500"")+IMPORTRANGE(""https://docs.google.com/spreadsheets/d/1hh-FVnSX0vozXhGluamEcS54Dw9_zqW0N7qJUWgJ0Sw/edit?usp=sharing"",""ชัยนาท!R500"")+IMPORTRANGE(""https://docs.google.com/spreadsheets/d/1jkqa6GXxSacMcY1eN8AHjMNJ_7dDXMJ"&amp;"VRLDlaFSOdPM/edit?usp=sharing"",""ตราด!R500"")+IMPORTRANGE(""https://docs.google.com/spreadsheets/d/18hSgUJ3VwClqi_qtULmmW3cLr0oe3OKaSYoKzdpTsYQ/edit?usp=sharing"",""นครนายก!R500"")+IMPORTRANGE(""https://docs.google.com/spreadsheets/d/1YTZo6WM2dQ6Ix6FSdnL"&amp;"5P7uVnVKu40sxZu975tgG10E/edit?usp=sharing"",""นครปฐม!R500"")+IMPORTRANGE(""https://docs.google.com/spreadsheets/d/1OYoGg4WDg5RIzwGeB10padOxJF9E_Vljuvvct_M7RDo/edit?usp=sharing"",""ปทุมธานี!R500"")+IMPORTRANGE(""https://docs.google.com/spreadsheets/d/1GbCI"&amp;"E4D4wk9FUozzqk7SxfDMxDVBwVmI5zcaVUSzKAc/edit?usp=sharing"",""ประจวบคีรีขันธ์!R500"")+IMPORTRANGE(""https://docs.google.com/spreadsheets/d/1vVf6wykvW_lAyu7Yo9L4hUTqHqIeP_qcVuxCtosJEbg/edit?usp=sharing"",""ปราจีนบุรี!R500"")+IMPORTRANGE(""https://docs.googl"&amp;"e.com/spreadsheets/d/1BIDqLLg5jk3v59G8NlR8rk5xfQDKne0sAvZHSj7TI6I/edit?usp=sharing"",""พระนครศรีอยุธยา!R500"")+IMPORTRANGE(""https://docs.google.com/spreadsheets/d/1YXvxf8Yu6_rV4hTBrwMqAcAnv6DfhUxh5emyM3CJp_w/edit?usp=sharing"",""เพชรบุรี!R500"")+IMPORTRA"&amp;"NGE(""https://docs.google.com/spreadsheets/d/19KBlQQs7uwvsao6t2n-KvW3Ax8J8uRRfZPq1zPbXgKc/edit?usp=sharing"",""ระยอง!R500"")+IMPORTRANGE(""https://docs.google.com/spreadsheets/d/1jQ6P4QcrGM89YfqcC_PxOHGCMq5ezhucwJd8ci-NHng/edit?usp=sharing"",""ราชบุรี!R50"&amp;"0"")+IMPORTRANGE(""https://docs.google.com/spreadsheets/d/1lufeA2cfFqM-elVq2hznhDzC6Pr7wkJ9ZG_sYNGCMCU/edit?usp=sharing"",""ลพบุรี!R500"")+IMPORTRANGE(""https://docs.google.com/spreadsheets/d/10oOiF7loTyfsTkbd4MpaIm0HQ9SwB7IYHdIUvt-U1Uc/edit?usp=sharing"""&amp;",""สระแก้ว!R500"")+IMPORTRANGE(""https://docs.google.com/spreadsheets/d/1xmPlrr1QbdSIKvl1dWUl9K4PjAfSL9oeMr_37QVzcxc/edit?usp=sharing"",""สระบุรี!R500"")+IMPORTRANGE(""https://docs.google.com/spreadsheets/d/1j51vR6CYVGhABJpv6tkstgok82RLpXieLzW1yOY5rHw/edi"&amp;"t?usp=sharing"",""สิงห์บุรี!R500"")+IMPORTRANGE(""https://docs.google.com/spreadsheets/d/1H1EalTWKUSzO4Z1-1CwzoDUaVffgrThEBe2sl74kKG0/edit?usp=sharing"",""สุพรรณบุรี!R500"")+IMPORTRANGE(""https://docs.google.com/spreadsheets/d/1BmIruG_sIrJLYao_Pdr7zVArWsf"&amp;"oBt2692TMi6x_854/edit?usp=sharing"",""อ่างทอง!R500"")"),0)</f>
        <v>0</v>
      </c>
      <c r="S501" s="77">
        <f ca="1">IFERROR(__xludf.DUMMYFUNCTION("IMPORTRANGE(""https://docs.google.com/spreadsheets/d/13wPX838HrBrQMCywv1BsuMkt4PEKTChp52zj44s2izQ/edit?usp=sharing"",""กาญจนบุรี!S500"")+IMPORTRANGE(""https://docs.google.com/spreadsheets/d/1ddFKvqj1W1NEiWytbGlB1zMx_ykJDVtmfEQ-6-lIUBA/edit?usp=sharing"","&amp;"""จันทบุรี!S500"")+IMPORTRANGE(""https://docs.google.com/spreadsheets/d/1T1PQvRODqOBZk8BRht_U031fIS1beLA0Ub2CEytj2q0/edit?usp=sharing"",""ฉะเชิงเทรา!S500"")+IMPORTRANGE(""https://docs.google.com/spreadsheets/d/11tr1B-Bhyr79v2bkwVh5h_fR-PStkgjlZtkrZpYurG0/"&amp;"edit?usp=sharing"",""ชลบุรี!S500"")+IMPORTRANGE(""https://docs.google.com/spreadsheets/d/1hh-FVnSX0vozXhGluamEcS54Dw9_zqW0N7qJUWgJ0Sw/edit?usp=sharing"",""ชัยนาท!S500"")+IMPORTRANGE(""https://docs.google.com/spreadsheets/d/1jkqa6GXxSacMcY1eN8AHjMNJ_7dDXMJ"&amp;"VRLDlaFSOdPM/edit?usp=sharing"",""ตราด!S500"")+IMPORTRANGE(""https://docs.google.com/spreadsheets/d/18hSgUJ3VwClqi_qtULmmW3cLr0oe3OKaSYoKzdpTsYQ/edit?usp=sharing"",""นครนายก!S500"")+IMPORTRANGE(""https://docs.google.com/spreadsheets/d/1YTZo6WM2dQ6Ix6FSdnL"&amp;"5P7uVnVKu40sxZu975tgG10E/edit?usp=sharing"",""นครปฐม!S500"")+IMPORTRANGE(""https://docs.google.com/spreadsheets/d/1OYoGg4WDg5RIzwGeB10padOxJF9E_Vljuvvct_M7RDo/edit?usp=sharing"",""ปทุมธานี!S500"")+IMPORTRANGE(""https://docs.google.com/spreadsheets/d/1GbCI"&amp;"E4D4wk9FUozzqk7SxfDMxDVBwVmI5zcaVUSzKAc/edit?usp=sharing"",""ประจวบคีรีขันธ์!S500"")+IMPORTRANGE(""https://docs.google.com/spreadsheets/d/1vVf6wykvW_lAyu7Yo9L4hUTqHqIeP_qcVuxCtosJEbg/edit?usp=sharing"",""ปราจีนบุรี!S500"")+IMPORTRANGE(""https://docs.googl"&amp;"e.com/spreadsheets/d/1BIDqLLg5jk3v59G8NlR8rk5xfQDKne0sAvZHSj7TI6I/edit?usp=sharing"",""พระนครศรีอยุธยา!S500"")+IMPORTRANGE(""https://docs.google.com/spreadsheets/d/1YXvxf8Yu6_rV4hTBrwMqAcAnv6DfhUxh5emyM3CJp_w/edit?usp=sharing"",""เพชรบุรี!S500"")+IMPORTRA"&amp;"NGE(""https://docs.google.com/spreadsheets/d/19KBlQQs7uwvsao6t2n-KvW3Ax8J8uRRfZPq1zPbXgKc/edit?usp=sharing"",""ระยอง!S500"")+IMPORTRANGE(""https://docs.google.com/spreadsheets/d/1jQ6P4QcrGM89YfqcC_PxOHGCMq5ezhucwJd8ci-NHng/edit?usp=sharing"",""ราชบุรี!S50"&amp;"0"")+IMPORTRANGE(""https://docs.google.com/spreadsheets/d/1lufeA2cfFqM-elVq2hznhDzC6Pr7wkJ9ZG_sYNGCMCU/edit?usp=sharing"",""ลพบุรี!S500"")+IMPORTRANGE(""https://docs.google.com/spreadsheets/d/10oOiF7loTyfsTkbd4MpaIm0HQ9SwB7IYHdIUvt-U1Uc/edit?usp=sharing"""&amp;",""สระแก้ว!S500"")+IMPORTRANGE(""https://docs.google.com/spreadsheets/d/1xmPlrr1QbdSIKvl1dWUl9K4PjAfSL9oeMr_37QVzcxc/edit?usp=sharing"",""สระบุรี!S500"")+IMPORTRANGE(""https://docs.google.com/spreadsheets/d/1j51vR6CYVGhABJpv6tkstgok82RLpXieLzW1yOY5rHw/edi"&amp;"t?usp=sharing"",""สิงห์บุรี!S500"")+IMPORTRANGE(""https://docs.google.com/spreadsheets/d/1H1EalTWKUSzO4Z1-1CwzoDUaVffgrThEBe2sl74kKG0/edit?usp=sharing"",""สุพรรณบุรี!S500"")+IMPORTRANGE(""https://docs.google.com/spreadsheets/d/1BmIruG_sIrJLYao_Pdr7zVArWsf"&amp;"oBt2692TMi6x_854/edit?usp=sharing"",""อ่างทอง!S500"")"),0)</f>
        <v>0</v>
      </c>
      <c r="T501" s="133">
        <f t="shared" ca="1" si="342"/>
        <v>0</v>
      </c>
      <c r="U501" s="133">
        <f t="shared" ca="1" si="343"/>
        <v>0</v>
      </c>
    </row>
    <row r="502" spans="1:21" ht="18.75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4">
        <f ca="1">IFERROR(__xludf.DUMMYFUNCTION("IMPORTRANGE(""https://docs.google.com/spreadsheets/d/13wPX838HrBrQMCywv1BsuMkt4PEKTChp52zj44s2izQ/edit?usp=sharing"",""กาญจนบุรี!L501"")+IMPORTRANGE(""https://docs.google.com/spreadsheets/d/1ddFKvqj1W1NEiWytbGlB1zMx_ykJDVtmfEQ-6-lIUBA/edit?usp=sharing"","&amp;"""จันทบุรี!L501"")+IMPORTRANGE(""https://docs.google.com/spreadsheets/d/1T1PQvRODqOBZk8BRht_U031fIS1beLA0Ub2CEytj2q0/edit?usp=sharing"",""ฉะเชิงเทรา!L501"")+IMPORTRANGE(""https://docs.google.com/spreadsheets/d/11tr1B-Bhyr79v2bkwVh5h_fR-PStkgjlZtkrZpYurG0/"&amp;"edit?usp=sharing"",""ชลบุรี!L501"")+IMPORTRANGE(""https://docs.google.com/spreadsheets/d/1hh-FVnSX0vozXhGluamEcS54Dw9_zqW0N7qJUWgJ0Sw/edit?usp=sharing"",""ชัยนาท!L501"")+IMPORTRANGE(""https://docs.google.com/spreadsheets/d/1jkqa6GXxSacMcY1eN8AHjMNJ_7dDXMJ"&amp;"VRLDlaFSOdPM/edit?usp=sharing"",""ตราด!L501"")+IMPORTRANGE(""https://docs.google.com/spreadsheets/d/18hSgUJ3VwClqi_qtULmmW3cLr0oe3OKaSYoKzdpTsYQ/edit?usp=sharing"",""นครนายก!L501"")+IMPORTRANGE(""https://docs.google.com/spreadsheets/d/1YTZo6WM2dQ6Ix6FSdnL"&amp;"5P7uVnVKu40sxZu975tgG10E/edit?usp=sharing"",""นครปฐม!L501"")+IMPORTRANGE(""https://docs.google.com/spreadsheets/d/1OYoGg4WDg5RIzwGeB10padOxJF9E_Vljuvvct_M7RDo/edit?usp=sharing"",""ปทุมธานี!L501"")+IMPORTRANGE(""https://docs.google.com/spreadsheets/d/1GbCI"&amp;"E4D4wk9FUozzqk7SxfDMxDVBwVmI5zcaVUSzKAc/edit?usp=sharing"",""ประจวบคีรีขันธ์!L501"")+IMPORTRANGE(""https://docs.google.com/spreadsheets/d/1vVf6wykvW_lAyu7Yo9L4hUTqHqIeP_qcVuxCtosJEbg/edit?usp=sharing"",""ปราจีนบุรี!L501"")+IMPORTRANGE(""https://docs.googl"&amp;"e.com/spreadsheets/d/1BIDqLLg5jk3v59G8NlR8rk5xfQDKne0sAvZHSj7TI6I/edit?usp=sharing"",""พระนครศรีอยุธยา!L501"")+IMPORTRANGE(""https://docs.google.com/spreadsheets/d/1YXvxf8Yu6_rV4hTBrwMqAcAnv6DfhUxh5emyM3CJp_w/edit?usp=sharing"",""เพชรบุรี!L501"")+IMPORTRA"&amp;"NGE(""https://docs.google.com/spreadsheets/d/19KBlQQs7uwvsao6t2n-KvW3Ax8J8uRRfZPq1zPbXgKc/edit?usp=sharing"",""ระยอง!L501"")+IMPORTRANGE(""https://docs.google.com/spreadsheets/d/1jQ6P4QcrGM89YfqcC_PxOHGCMq5ezhucwJd8ci-NHng/edit?usp=sharing"",""ราชบุรี!L50"&amp;"1"")+IMPORTRANGE(""https://docs.google.com/spreadsheets/d/1lufeA2cfFqM-elVq2hznhDzC6Pr7wkJ9ZG_sYNGCMCU/edit?usp=sharing"",""ลพบุรี!L501"")+IMPORTRANGE(""https://docs.google.com/spreadsheets/d/10oOiF7loTyfsTkbd4MpaIm0HQ9SwB7IYHdIUvt-U1Uc/edit?usp=sharing"""&amp;",""สระแก้ว!L501"")+IMPORTRANGE(""https://docs.google.com/spreadsheets/d/1xmPlrr1QbdSIKvl1dWUl9K4PjAfSL9oeMr_37QVzcxc/edit?usp=sharing"",""สระบุรี!L501"")+IMPORTRANGE(""https://docs.google.com/spreadsheets/d/1j51vR6CYVGhABJpv6tkstgok82RLpXieLzW1yOY5rHw/edi"&amp;"t?usp=sharing"",""สิงห์บุรี!L501"")+IMPORTRANGE(""https://docs.google.com/spreadsheets/d/1H1EalTWKUSzO4Z1-1CwzoDUaVffgrThEBe2sl74kKG0/edit?usp=sharing"",""สุพรรณบุรี!L501"")+IMPORTRANGE(""https://docs.google.com/spreadsheets/d/1BmIruG_sIrJLYao_Pdr7zVArWsf"&amp;"oBt2692TMi6x_854/edit?usp=sharing"",""อ่างทอง!L501"")"),0)</f>
        <v>0</v>
      </c>
      <c r="M502" s="74">
        <f ca="1">IFERROR(__xludf.DUMMYFUNCTION("IMPORTRANGE(""https://docs.google.com/spreadsheets/d/13wPX838HrBrQMCywv1BsuMkt4PEKTChp52zj44s2izQ/edit?usp=sharing"",""กาญจนบุรี!M501"")+IMPORTRANGE(""https://docs.google.com/spreadsheets/d/1ddFKvqj1W1NEiWytbGlB1zMx_ykJDVtmfEQ-6-lIUBA/edit?usp=sharing"","&amp;"""จันทบุรี!M501"")+IMPORTRANGE(""https://docs.google.com/spreadsheets/d/1T1PQvRODqOBZk8BRht_U031fIS1beLA0Ub2CEytj2q0/edit?usp=sharing"",""ฉะเชิงเทรา!M501"")+IMPORTRANGE(""https://docs.google.com/spreadsheets/d/11tr1B-Bhyr79v2bkwVh5h_fR-PStkgjlZtkrZpYurG0/"&amp;"edit?usp=sharing"",""ชลบุรี!M501"")+IMPORTRANGE(""https://docs.google.com/spreadsheets/d/1hh-FVnSX0vozXhGluamEcS54Dw9_zqW0N7qJUWgJ0Sw/edit?usp=sharing"",""ชัยนาท!M501"")+IMPORTRANGE(""https://docs.google.com/spreadsheets/d/1jkqa6GXxSacMcY1eN8AHjMNJ_7dDXMJ"&amp;"VRLDlaFSOdPM/edit?usp=sharing"",""ตราด!M501"")+IMPORTRANGE(""https://docs.google.com/spreadsheets/d/18hSgUJ3VwClqi_qtULmmW3cLr0oe3OKaSYoKzdpTsYQ/edit?usp=sharing"",""นครนายก!M501"")+IMPORTRANGE(""https://docs.google.com/spreadsheets/d/1YTZo6WM2dQ6Ix6FSdnL"&amp;"5P7uVnVKu40sxZu975tgG10E/edit?usp=sharing"",""นครปฐม!M501"")+IMPORTRANGE(""https://docs.google.com/spreadsheets/d/1OYoGg4WDg5RIzwGeB10padOxJF9E_Vljuvvct_M7RDo/edit?usp=sharing"",""ปทุมธานี!M501"")+IMPORTRANGE(""https://docs.google.com/spreadsheets/d/1GbCI"&amp;"E4D4wk9FUozzqk7SxfDMxDVBwVmI5zcaVUSzKAc/edit?usp=sharing"",""ประจวบคีรีขันธ์!M501"")+IMPORTRANGE(""https://docs.google.com/spreadsheets/d/1vVf6wykvW_lAyu7Yo9L4hUTqHqIeP_qcVuxCtosJEbg/edit?usp=sharing"",""ปราจีนบุรี!M501"")+IMPORTRANGE(""https://docs.googl"&amp;"e.com/spreadsheets/d/1BIDqLLg5jk3v59G8NlR8rk5xfQDKne0sAvZHSj7TI6I/edit?usp=sharing"",""พระนครศรีอยุธยา!M501"")+IMPORTRANGE(""https://docs.google.com/spreadsheets/d/1YXvxf8Yu6_rV4hTBrwMqAcAnv6DfhUxh5emyM3CJp_w/edit?usp=sharing"",""เพชรบุรี!M501"")+IMPORTRA"&amp;"NGE(""https://docs.google.com/spreadsheets/d/19KBlQQs7uwvsao6t2n-KvW3Ax8J8uRRfZPq1zPbXgKc/edit?usp=sharing"",""ระยอง!M501"")+IMPORTRANGE(""https://docs.google.com/spreadsheets/d/1jQ6P4QcrGM89YfqcC_PxOHGCMq5ezhucwJd8ci-NHng/edit?usp=sharing"",""ราชบุรี!M50"&amp;"1"")+IMPORTRANGE(""https://docs.google.com/spreadsheets/d/1lufeA2cfFqM-elVq2hznhDzC6Pr7wkJ9ZG_sYNGCMCU/edit?usp=sharing"",""ลพบุรี!M501"")+IMPORTRANGE(""https://docs.google.com/spreadsheets/d/10oOiF7loTyfsTkbd4MpaIm0HQ9SwB7IYHdIUvt-U1Uc/edit?usp=sharing"""&amp;",""สระแก้ว!M501"")+IMPORTRANGE(""https://docs.google.com/spreadsheets/d/1xmPlrr1QbdSIKvl1dWUl9K4PjAfSL9oeMr_37QVzcxc/edit?usp=sharing"",""สระบุรี!M501"")+IMPORTRANGE(""https://docs.google.com/spreadsheets/d/1j51vR6CYVGhABJpv6tkstgok82RLpXieLzW1yOY5rHw/edi"&amp;"t?usp=sharing"",""สิงห์บุรี!M501"")+IMPORTRANGE(""https://docs.google.com/spreadsheets/d/1H1EalTWKUSzO4Z1-1CwzoDUaVffgrThEBe2sl74kKG0/edit?usp=sharing"",""สุพรรณบุรี!M501"")+IMPORTRANGE(""https://docs.google.com/spreadsheets/d/1BmIruG_sIrJLYao_Pdr7zVArWsf"&amp;"oBt2692TMi6x_854/edit?usp=sharing"",""อ่างทอง!M501"")"),0)</f>
        <v>0</v>
      </c>
      <c r="N502" s="74">
        <f ca="1">IFERROR(__xludf.DUMMYFUNCTION("IMPORTRANGE(""https://docs.google.com/spreadsheets/d/13wPX838HrBrQMCywv1BsuMkt4PEKTChp52zj44s2izQ/edit?usp=sharing"",""กาญจนบุรี!N501"")+IMPORTRANGE(""https://docs.google.com/spreadsheets/d/1ddFKvqj1W1NEiWytbGlB1zMx_ykJDVtmfEQ-6-lIUBA/edit?usp=sharing"","&amp;"""จันทบุรี!N501"")+IMPORTRANGE(""https://docs.google.com/spreadsheets/d/1T1PQvRODqOBZk8BRht_U031fIS1beLA0Ub2CEytj2q0/edit?usp=sharing"",""ฉะเชิงเทรา!N501"")+IMPORTRANGE(""https://docs.google.com/spreadsheets/d/11tr1B-Bhyr79v2bkwVh5h_fR-PStkgjlZtkrZpYurG0/"&amp;"edit?usp=sharing"",""ชลบุรี!N501"")+IMPORTRANGE(""https://docs.google.com/spreadsheets/d/1hh-FVnSX0vozXhGluamEcS54Dw9_zqW0N7qJUWgJ0Sw/edit?usp=sharing"",""ชัยนาท!N501"")+IMPORTRANGE(""https://docs.google.com/spreadsheets/d/1jkqa6GXxSacMcY1eN8AHjMNJ_7dDXMJ"&amp;"VRLDlaFSOdPM/edit?usp=sharing"",""ตราด!N501"")+IMPORTRANGE(""https://docs.google.com/spreadsheets/d/18hSgUJ3VwClqi_qtULmmW3cLr0oe3OKaSYoKzdpTsYQ/edit?usp=sharing"",""นครนายก!N501"")+IMPORTRANGE(""https://docs.google.com/spreadsheets/d/1YTZo6WM2dQ6Ix6FSdnL"&amp;"5P7uVnVKu40sxZu975tgG10E/edit?usp=sharing"",""นครปฐม!N501"")+IMPORTRANGE(""https://docs.google.com/spreadsheets/d/1OYoGg4WDg5RIzwGeB10padOxJF9E_Vljuvvct_M7RDo/edit?usp=sharing"",""ปทุมธานี!N501"")+IMPORTRANGE(""https://docs.google.com/spreadsheets/d/1GbCI"&amp;"E4D4wk9FUozzqk7SxfDMxDVBwVmI5zcaVUSzKAc/edit?usp=sharing"",""ประจวบคีรีขันธ์!N501"")+IMPORTRANGE(""https://docs.google.com/spreadsheets/d/1vVf6wykvW_lAyu7Yo9L4hUTqHqIeP_qcVuxCtosJEbg/edit?usp=sharing"",""ปราจีนบุรี!N501"")+IMPORTRANGE(""https://docs.googl"&amp;"e.com/spreadsheets/d/1BIDqLLg5jk3v59G8NlR8rk5xfQDKne0sAvZHSj7TI6I/edit?usp=sharing"",""พระนครศรีอยุธยา!N501"")+IMPORTRANGE(""https://docs.google.com/spreadsheets/d/1YXvxf8Yu6_rV4hTBrwMqAcAnv6DfhUxh5emyM3CJp_w/edit?usp=sharing"",""เพชรบุรี!N501"")+IMPORTRA"&amp;"NGE(""https://docs.google.com/spreadsheets/d/19KBlQQs7uwvsao6t2n-KvW3Ax8J8uRRfZPq1zPbXgKc/edit?usp=sharing"",""ระยอง!N501"")+IMPORTRANGE(""https://docs.google.com/spreadsheets/d/1jQ6P4QcrGM89YfqcC_PxOHGCMq5ezhucwJd8ci-NHng/edit?usp=sharing"",""ราชบุรี!N50"&amp;"1"")+IMPORTRANGE(""https://docs.google.com/spreadsheets/d/1lufeA2cfFqM-elVq2hznhDzC6Pr7wkJ9ZG_sYNGCMCU/edit?usp=sharing"",""ลพบุรี!N501"")+IMPORTRANGE(""https://docs.google.com/spreadsheets/d/10oOiF7loTyfsTkbd4MpaIm0HQ9SwB7IYHdIUvt-U1Uc/edit?usp=sharing"""&amp;",""สระแก้ว!N501"")+IMPORTRANGE(""https://docs.google.com/spreadsheets/d/1xmPlrr1QbdSIKvl1dWUl9K4PjAfSL9oeMr_37QVzcxc/edit?usp=sharing"",""สระบุรี!N501"")+IMPORTRANGE(""https://docs.google.com/spreadsheets/d/1j51vR6CYVGhABJpv6tkstgok82RLpXieLzW1yOY5rHw/edi"&amp;"t?usp=sharing"",""สิงห์บุรี!N501"")+IMPORTRANGE(""https://docs.google.com/spreadsheets/d/1H1EalTWKUSzO4Z1-1CwzoDUaVffgrThEBe2sl74kKG0/edit?usp=sharing"",""สุพรรณบุรี!N501"")+IMPORTRANGE(""https://docs.google.com/spreadsheets/d/1BmIruG_sIrJLYao_Pdr7zVArWsf"&amp;"oBt2692TMi6x_854/edit?usp=sharing"",""อ่างทอง!N501"")"),0)</f>
        <v>0</v>
      </c>
      <c r="O502" s="74">
        <f t="shared" ca="1" si="339"/>
        <v>0</v>
      </c>
      <c r="P502" s="74">
        <f t="shared" ca="1" si="340"/>
        <v>0</v>
      </c>
      <c r="Q502" s="73">
        <f ca="1">IFERROR(__xludf.DUMMYFUNCTION("IMPORTRANGE(""https://docs.google.com/spreadsheets/d/13wPX838HrBrQMCywv1BsuMkt4PEKTChp52zj44s2izQ/edit?usp=sharing"",""กาญจนบุรี!Q501"")+IMPORTRANGE(""https://docs.google.com/spreadsheets/d/1ddFKvqj1W1NEiWytbGlB1zMx_ykJDVtmfEQ-6-lIUBA/edit?usp=sharing"","&amp;"""จันทบุรี!Q501"")+IMPORTRANGE(""https://docs.google.com/spreadsheets/d/1T1PQvRODqOBZk8BRht_U031fIS1beLA0Ub2CEytj2q0/edit?usp=sharing"",""ฉะเชิงเทรา!Q501"")+IMPORTRANGE(""https://docs.google.com/spreadsheets/d/11tr1B-Bhyr79v2bkwVh5h_fR-PStkgjlZtkrZpYurG0/"&amp;"edit?usp=sharing"",""ชลบุรี!Q501"")+IMPORTRANGE(""https://docs.google.com/spreadsheets/d/1hh-FVnSX0vozXhGluamEcS54Dw9_zqW0N7qJUWgJ0Sw/edit?usp=sharing"",""ชัยนาท!Q501"")+IMPORTRANGE(""https://docs.google.com/spreadsheets/d/1jkqa6GXxSacMcY1eN8AHjMNJ_7dDXMJ"&amp;"VRLDlaFSOdPM/edit?usp=sharing"",""ตราด!Q501"")+IMPORTRANGE(""https://docs.google.com/spreadsheets/d/18hSgUJ3VwClqi_qtULmmW3cLr0oe3OKaSYoKzdpTsYQ/edit?usp=sharing"",""นครนายก!Q501"")+IMPORTRANGE(""https://docs.google.com/spreadsheets/d/1YTZo6WM2dQ6Ix6FSdnL"&amp;"5P7uVnVKu40sxZu975tgG10E/edit?usp=sharing"",""นครปฐม!Q501"")+IMPORTRANGE(""https://docs.google.com/spreadsheets/d/1OYoGg4WDg5RIzwGeB10padOxJF9E_Vljuvvct_M7RDo/edit?usp=sharing"",""ปทุมธานี!Q501"")+IMPORTRANGE(""https://docs.google.com/spreadsheets/d/1GbCI"&amp;"E4D4wk9FUozzqk7SxfDMxDVBwVmI5zcaVUSzKAc/edit?usp=sharing"",""ประจวบคีรีขันธ์!Q501"")+IMPORTRANGE(""https://docs.google.com/spreadsheets/d/1vVf6wykvW_lAyu7Yo9L4hUTqHqIeP_qcVuxCtosJEbg/edit?usp=sharing"",""ปราจีนบุรี!Q501"")+IMPORTRANGE(""https://docs.googl"&amp;"e.com/spreadsheets/d/1BIDqLLg5jk3v59G8NlR8rk5xfQDKne0sAvZHSj7TI6I/edit?usp=sharing"",""พระนครศรีอยุธยา!Q501"")+IMPORTRANGE(""https://docs.google.com/spreadsheets/d/1YXvxf8Yu6_rV4hTBrwMqAcAnv6DfhUxh5emyM3CJp_w/edit?usp=sharing"",""เพชรบุรี!Q501"")+IMPORTRA"&amp;"NGE(""https://docs.google.com/spreadsheets/d/19KBlQQs7uwvsao6t2n-KvW3Ax8J8uRRfZPq1zPbXgKc/edit?usp=sharing"",""ระยอง!Q501"")+IMPORTRANGE(""https://docs.google.com/spreadsheets/d/1jQ6P4QcrGM89YfqcC_PxOHGCMq5ezhucwJd8ci-NHng/edit?usp=sharing"",""ราชบุรี!Q50"&amp;"1"")+IMPORTRANGE(""https://docs.google.com/spreadsheets/d/1lufeA2cfFqM-elVq2hznhDzC6Pr7wkJ9ZG_sYNGCMCU/edit?usp=sharing"",""ลพบุรี!Q501"")+IMPORTRANGE(""https://docs.google.com/spreadsheets/d/10oOiF7loTyfsTkbd4MpaIm0HQ9SwB7IYHdIUvt-U1Uc/edit?usp=sharing"""&amp;",""สระแก้ว!Q501"")+IMPORTRANGE(""https://docs.google.com/spreadsheets/d/1xmPlrr1QbdSIKvl1dWUl9K4PjAfSL9oeMr_37QVzcxc/edit?usp=sharing"",""สระบุรี!Q501"")+IMPORTRANGE(""https://docs.google.com/spreadsheets/d/1j51vR6CYVGhABJpv6tkstgok82RLpXieLzW1yOY5rHw/edi"&amp;"t?usp=sharing"",""สิงห์บุรี!Q501"")+IMPORTRANGE(""https://docs.google.com/spreadsheets/d/1H1EalTWKUSzO4Z1-1CwzoDUaVffgrThEBe2sl74kKG0/edit?usp=sharing"",""สุพรรณบุรี!Q501"")+IMPORTRANGE(""https://docs.google.com/spreadsheets/d/1BmIruG_sIrJLYao_Pdr7zVArWsf"&amp;"oBt2692TMi6x_854/edit?usp=sharing"",""อ่างทอง!Q501"")"),0)</f>
        <v>0</v>
      </c>
      <c r="R502" s="74">
        <f ca="1">IFERROR(__xludf.DUMMYFUNCTION("IMPORTRANGE(""https://docs.google.com/spreadsheets/d/13wPX838HrBrQMCywv1BsuMkt4PEKTChp52zj44s2izQ/edit?usp=sharing"",""กาญจนบุรี!R501"")+IMPORTRANGE(""https://docs.google.com/spreadsheets/d/1ddFKvqj1W1NEiWytbGlB1zMx_ykJDVtmfEQ-6-lIUBA/edit?usp=sharing"","&amp;"""จันทบุรี!R501"")+IMPORTRANGE(""https://docs.google.com/spreadsheets/d/1T1PQvRODqOBZk8BRht_U031fIS1beLA0Ub2CEytj2q0/edit?usp=sharing"",""ฉะเชิงเทรา!R501"")+IMPORTRANGE(""https://docs.google.com/spreadsheets/d/11tr1B-Bhyr79v2bkwVh5h_fR-PStkgjlZtkrZpYurG0/"&amp;"edit?usp=sharing"",""ชลบุรี!R501"")+IMPORTRANGE(""https://docs.google.com/spreadsheets/d/1hh-FVnSX0vozXhGluamEcS54Dw9_zqW0N7qJUWgJ0Sw/edit?usp=sharing"",""ชัยนาท!R501"")+IMPORTRANGE(""https://docs.google.com/spreadsheets/d/1jkqa6GXxSacMcY1eN8AHjMNJ_7dDXMJ"&amp;"VRLDlaFSOdPM/edit?usp=sharing"",""ตราด!R501"")+IMPORTRANGE(""https://docs.google.com/spreadsheets/d/18hSgUJ3VwClqi_qtULmmW3cLr0oe3OKaSYoKzdpTsYQ/edit?usp=sharing"",""นครนายก!R501"")+IMPORTRANGE(""https://docs.google.com/spreadsheets/d/1YTZo6WM2dQ6Ix6FSdnL"&amp;"5P7uVnVKu40sxZu975tgG10E/edit?usp=sharing"",""นครปฐม!R501"")+IMPORTRANGE(""https://docs.google.com/spreadsheets/d/1OYoGg4WDg5RIzwGeB10padOxJF9E_Vljuvvct_M7RDo/edit?usp=sharing"",""ปทุมธานี!R501"")+IMPORTRANGE(""https://docs.google.com/spreadsheets/d/1GbCI"&amp;"E4D4wk9FUozzqk7SxfDMxDVBwVmI5zcaVUSzKAc/edit?usp=sharing"",""ประจวบคีรีขันธ์!R501"")+IMPORTRANGE(""https://docs.google.com/spreadsheets/d/1vVf6wykvW_lAyu7Yo9L4hUTqHqIeP_qcVuxCtosJEbg/edit?usp=sharing"",""ปราจีนบุรี!R501"")+IMPORTRANGE(""https://docs.googl"&amp;"e.com/spreadsheets/d/1BIDqLLg5jk3v59G8NlR8rk5xfQDKne0sAvZHSj7TI6I/edit?usp=sharing"",""พระนครศรีอยุธยา!R501"")+IMPORTRANGE(""https://docs.google.com/spreadsheets/d/1YXvxf8Yu6_rV4hTBrwMqAcAnv6DfhUxh5emyM3CJp_w/edit?usp=sharing"",""เพชรบุรี!R501"")+IMPORTRA"&amp;"NGE(""https://docs.google.com/spreadsheets/d/19KBlQQs7uwvsao6t2n-KvW3Ax8J8uRRfZPq1zPbXgKc/edit?usp=sharing"",""ระยอง!R501"")+IMPORTRANGE(""https://docs.google.com/spreadsheets/d/1jQ6P4QcrGM89YfqcC_PxOHGCMq5ezhucwJd8ci-NHng/edit?usp=sharing"",""ราชบุรี!R50"&amp;"1"")+IMPORTRANGE(""https://docs.google.com/spreadsheets/d/1lufeA2cfFqM-elVq2hznhDzC6Pr7wkJ9ZG_sYNGCMCU/edit?usp=sharing"",""ลพบุรี!R501"")+IMPORTRANGE(""https://docs.google.com/spreadsheets/d/10oOiF7loTyfsTkbd4MpaIm0HQ9SwB7IYHdIUvt-U1Uc/edit?usp=sharing"""&amp;",""สระแก้ว!R501"")+IMPORTRANGE(""https://docs.google.com/spreadsheets/d/1xmPlrr1QbdSIKvl1dWUl9K4PjAfSL9oeMr_37QVzcxc/edit?usp=sharing"",""สระบุรี!R501"")+IMPORTRANGE(""https://docs.google.com/spreadsheets/d/1j51vR6CYVGhABJpv6tkstgok82RLpXieLzW1yOY5rHw/edi"&amp;"t?usp=sharing"",""สิงห์บุรี!R501"")+IMPORTRANGE(""https://docs.google.com/spreadsheets/d/1H1EalTWKUSzO4Z1-1CwzoDUaVffgrThEBe2sl74kKG0/edit?usp=sharing"",""สุพรรณบุรี!R501"")+IMPORTRANGE(""https://docs.google.com/spreadsheets/d/1BmIruG_sIrJLYao_Pdr7zVArWsf"&amp;"oBt2692TMi6x_854/edit?usp=sharing"",""อ่างทอง!R501"")"),0)</f>
        <v>0</v>
      </c>
      <c r="S502" s="74">
        <f ca="1">IFERROR(__xludf.DUMMYFUNCTION("IMPORTRANGE(""https://docs.google.com/spreadsheets/d/13wPX838HrBrQMCywv1BsuMkt4PEKTChp52zj44s2izQ/edit?usp=sharing"",""กาญจนบุรี!S501"")+IMPORTRANGE(""https://docs.google.com/spreadsheets/d/1ddFKvqj1W1NEiWytbGlB1zMx_ykJDVtmfEQ-6-lIUBA/edit?usp=sharing"","&amp;"""จันทบุรี!S501"")+IMPORTRANGE(""https://docs.google.com/spreadsheets/d/1T1PQvRODqOBZk8BRht_U031fIS1beLA0Ub2CEytj2q0/edit?usp=sharing"",""ฉะเชิงเทรา!S501"")+IMPORTRANGE(""https://docs.google.com/spreadsheets/d/11tr1B-Bhyr79v2bkwVh5h_fR-PStkgjlZtkrZpYurG0/"&amp;"edit?usp=sharing"",""ชลบุรี!S501"")+IMPORTRANGE(""https://docs.google.com/spreadsheets/d/1hh-FVnSX0vozXhGluamEcS54Dw9_zqW0N7qJUWgJ0Sw/edit?usp=sharing"",""ชัยนาท!S501"")+IMPORTRANGE(""https://docs.google.com/spreadsheets/d/1jkqa6GXxSacMcY1eN8AHjMNJ_7dDXMJ"&amp;"VRLDlaFSOdPM/edit?usp=sharing"",""ตราด!S501"")+IMPORTRANGE(""https://docs.google.com/spreadsheets/d/18hSgUJ3VwClqi_qtULmmW3cLr0oe3OKaSYoKzdpTsYQ/edit?usp=sharing"",""นครนายก!S501"")+IMPORTRANGE(""https://docs.google.com/spreadsheets/d/1YTZo6WM2dQ6Ix6FSdnL"&amp;"5P7uVnVKu40sxZu975tgG10E/edit?usp=sharing"",""นครปฐม!S501"")+IMPORTRANGE(""https://docs.google.com/spreadsheets/d/1OYoGg4WDg5RIzwGeB10padOxJF9E_Vljuvvct_M7RDo/edit?usp=sharing"",""ปทุมธานี!S501"")+IMPORTRANGE(""https://docs.google.com/spreadsheets/d/1GbCI"&amp;"E4D4wk9FUozzqk7SxfDMxDVBwVmI5zcaVUSzKAc/edit?usp=sharing"",""ประจวบคีรีขันธ์!S501"")+IMPORTRANGE(""https://docs.google.com/spreadsheets/d/1vVf6wykvW_lAyu7Yo9L4hUTqHqIeP_qcVuxCtosJEbg/edit?usp=sharing"",""ปราจีนบุรี!S501"")+IMPORTRANGE(""https://docs.googl"&amp;"e.com/spreadsheets/d/1BIDqLLg5jk3v59G8NlR8rk5xfQDKne0sAvZHSj7TI6I/edit?usp=sharing"",""พระนครศรีอยุธยา!S501"")+IMPORTRANGE(""https://docs.google.com/spreadsheets/d/1YXvxf8Yu6_rV4hTBrwMqAcAnv6DfhUxh5emyM3CJp_w/edit?usp=sharing"",""เพชรบุรี!S501"")+IMPORTRA"&amp;"NGE(""https://docs.google.com/spreadsheets/d/19KBlQQs7uwvsao6t2n-KvW3Ax8J8uRRfZPq1zPbXgKc/edit?usp=sharing"",""ระยอง!S501"")+IMPORTRANGE(""https://docs.google.com/spreadsheets/d/1jQ6P4QcrGM89YfqcC_PxOHGCMq5ezhucwJd8ci-NHng/edit?usp=sharing"",""ราชบุรี!S50"&amp;"1"")+IMPORTRANGE(""https://docs.google.com/spreadsheets/d/1lufeA2cfFqM-elVq2hznhDzC6Pr7wkJ9ZG_sYNGCMCU/edit?usp=sharing"",""ลพบุรี!S501"")+IMPORTRANGE(""https://docs.google.com/spreadsheets/d/10oOiF7loTyfsTkbd4MpaIm0HQ9SwB7IYHdIUvt-U1Uc/edit?usp=sharing"""&amp;",""สระแก้ว!S501"")+IMPORTRANGE(""https://docs.google.com/spreadsheets/d/1xmPlrr1QbdSIKvl1dWUl9K4PjAfSL9oeMr_37QVzcxc/edit?usp=sharing"",""สระบุรี!S501"")+IMPORTRANGE(""https://docs.google.com/spreadsheets/d/1j51vR6CYVGhABJpv6tkstgok82RLpXieLzW1yOY5rHw/edi"&amp;"t?usp=sharing"",""สิงห์บุรี!S501"")+IMPORTRANGE(""https://docs.google.com/spreadsheets/d/1H1EalTWKUSzO4Z1-1CwzoDUaVffgrThEBe2sl74kKG0/edit?usp=sharing"",""สุพรรณบุรี!S501"")+IMPORTRANGE(""https://docs.google.com/spreadsheets/d/1BmIruG_sIrJLYao_Pdr7zVArWsf"&amp;"oBt2692TMi6x_854/edit?usp=sharing"",""อ่างทอง!S501"")"),0)</f>
        <v>0</v>
      </c>
      <c r="T502" s="132">
        <f t="shared" ca="1" si="342"/>
        <v>0</v>
      </c>
      <c r="U502" s="132">
        <f t="shared" ca="1" si="343"/>
        <v>0</v>
      </c>
    </row>
    <row r="503" spans="1:21" ht="19.5" x14ac:dyDescent="0.3">
      <c r="A503" s="276"/>
      <c r="B503" s="277"/>
      <c r="C503" s="309" t="s">
        <v>18</v>
      </c>
      <c r="D503" s="590" t="s">
        <v>38</v>
      </c>
      <c r="E503" s="280"/>
      <c r="F503" s="280"/>
      <c r="G503" s="281"/>
      <c r="H503" s="310"/>
      <c r="I503" s="272"/>
      <c r="J503" s="272"/>
      <c r="K503" s="229"/>
      <c r="L503" s="229"/>
      <c r="M503" s="229"/>
      <c r="N503" s="229"/>
      <c r="O503" s="229"/>
      <c r="P503" s="229"/>
      <c r="Q503" s="228"/>
      <c r="R503" s="229"/>
      <c r="S503" s="229"/>
      <c r="T503" s="229"/>
      <c r="U503" s="229"/>
    </row>
    <row r="504" spans="1:21" ht="19.5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293">
        <f ca="1">IFERROR(__xludf.DUMMYFUNCTION("IMPORTRANGE(""https://docs.google.com/spreadsheets/d/13wPX838HrBrQMCywv1BsuMkt4PEKTChp52zj44s2izQ/edit?usp=sharing"",""กาญจนบุรี!I503"")+IMPORTRANGE(""https://docs.google.com/spreadsheets/d/1ddFKvqj1W1NEiWytbGlB1zMx_ykJDVtmfEQ-6-lIUBA/edit?usp=sharing"","&amp;"""จันทบุรี!I503"")+IMPORTRANGE(""https://docs.google.com/spreadsheets/d/1T1PQvRODqOBZk8BRht_U031fIS1beLA0Ub2CEytj2q0/edit?usp=sharing"",""ฉะเชิงเทรา!I503"")+IMPORTRANGE(""https://docs.google.com/spreadsheets/d/11tr1B-Bhyr79v2bkwVh5h_fR-PStkgjlZtkrZpYurG0/"&amp;"edit?usp=sharing"",""ชลบุรี!I503"")+IMPORTRANGE(""https://docs.google.com/spreadsheets/d/1hh-FVnSX0vozXhGluamEcS54Dw9_zqW0N7qJUWgJ0Sw/edit?usp=sharing"",""ชัยนาท!I503"")+IMPORTRANGE(""https://docs.google.com/spreadsheets/d/1jkqa6GXxSacMcY1eN8AHjMNJ_7dDXMJ"&amp;"VRLDlaFSOdPM/edit?usp=sharing"",""ตราด!I503"")+IMPORTRANGE(""https://docs.google.com/spreadsheets/d/18hSgUJ3VwClqi_qtULmmW3cLr0oe3OKaSYoKzdpTsYQ/edit?usp=sharing"",""นครนายก!I503"")+IMPORTRANGE(""https://docs.google.com/spreadsheets/d/1YTZo6WM2dQ6Ix6FSdnL"&amp;"5P7uVnVKu40sxZu975tgG10E/edit?usp=sharing"",""นครปฐม!I503"")+IMPORTRANGE(""https://docs.google.com/spreadsheets/d/1OYoGg4WDg5RIzwGeB10padOxJF9E_Vljuvvct_M7RDo/edit?usp=sharing"",""ปทุมธานี!I503"")+IMPORTRANGE(""https://docs.google.com/spreadsheets/d/1GbCI"&amp;"E4D4wk9FUozzqk7SxfDMxDVBwVmI5zcaVUSzKAc/edit?usp=sharing"",""ประจวบคีรีขันธ์!I503"")+IMPORTRANGE(""https://docs.google.com/spreadsheets/d/1vVf6wykvW_lAyu7Yo9L4hUTqHqIeP_qcVuxCtosJEbg/edit?usp=sharing"",""ปราจีนบุรี!I503"")+IMPORTRANGE(""https://docs.googl"&amp;"e.com/spreadsheets/d/1BIDqLLg5jk3v59G8NlR8rk5xfQDKne0sAvZHSj7TI6I/edit?usp=sharing"",""พระนครศรีอยุธยา!I503"")+IMPORTRANGE(""https://docs.google.com/spreadsheets/d/1YXvxf8Yu6_rV4hTBrwMqAcAnv6DfhUxh5emyM3CJp_w/edit?usp=sharing"",""เพชรบุรี!I503"")+IMPORTRA"&amp;"NGE(""https://docs.google.com/spreadsheets/d/19KBlQQs7uwvsao6t2n-KvW3Ax8J8uRRfZPq1zPbXgKc/edit?usp=sharing"",""ระยอง!I503"")+IMPORTRANGE(""https://docs.google.com/spreadsheets/d/1jQ6P4QcrGM89YfqcC_PxOHGCMq5ezhucwJd8ci-NHng/edit?usp=sharing"",""ราชบุรี!I50"&amp;"3"")+IMPORTRANGE(""https://docs.google.com/spreadsheets/d/1lufeA2cfFqM-elVq2hznhDzC6Pr7wkJ9ZG_sYNGCMCU/edit?usp=sharing"",""ลพบุรี!I503"")+IMPORTRANGE(""https://docs.google.com/spreadsheets/d/10oOiF7loTyfsTkbd4MpaIm0HQ9SwB7IYHdIUvt-U1Uc/edit?usp=sharing"""&amp;",""สระแก้ว!I503"")+IMPORTRANGE(""https://docs.google.com/spreadsheets/d/1xmPlrr1QbdSIKvl1dWUl9K4PjAfSL9oeMr_37QVzcxc/edit?usp=sharing"",""สระบุรี!I503"")+IMPORTRANGE(""https://docs.google.com/spreadsheets/d/1j51vR6CYVGhABJpv6tkstgok82RLpXieLzW1yOY5rHw/edi"&amp;"t?usp=sharing"",""สิงห์บุรี!I503"")+IMPORTRANGE(""https://docs.google.com/spreadsheets/d/1H1EalTWKUSzO4Z1-1CwzoDUaVffgrThEBe2sl74kKG0/edit?usp=sharing"",""สุพรรณบุรี!I503"")+IMPORTRANGE(""https://docs.google.com/spreadsheets/d/1BmIruG_sIrJLYao_Pdr7zVArWsf"&amp;"oBt2692TMi6x_854/edit?usp=sharing"",""อ่างทอง!I503"")"),160)</f>
        <v>160</v>
      </c>
      <c r="J504" s="293">
        <f ca="1">IFERROR(__xludf.DUMMYFUNCTION("IMPORTRANGE(""https://docs.google.com/spreadsheets/d/13wPX838HrBrQMCywv1BsuMkt4PEKTChp52zj44s2izQ/edit?usp=sharing"",""กาญจนบุรี!J503"")+IMPORTRANGE(""https://docs.google.com/spreadsheets/d/1ddFKvqj1W1NEiWytbGlB1zMx_ykJDVtmfEQ-6-lIUBA/edit?usp=sharing"","&amp;"""จันทบุรี!J503"")+IMPORTRANGE(""https://docs.google.com/spreadsheets/d/1T1PQvRODqOBZk8BRht_U031fIS1beLA0Ub2CEytj2q0/edit?usp=sharing"",""ฉะเชิงเทรา!J503"")+IMPORTRANGE(""https://docs.google.com/spreadsheets/d/11tr1B-Bhyr79v2bkwVh5h_fR-PStkgjlZtkrZpYurG0/"&amp;"edit?usp=sharing"",""ชลบุรี!J503"")+IMPORTRANGE(""https://docs.google.com/spreadsheets/d/1hh-FVnSX0vozXhGluamEcS54Dw9_zqW0N7qJUWgJ0Sw/edit?usp=sharing"",""ชัยนาท!J503"")+IMPORTRANGE(""https://docs.google.com/spreadsheets/d/1jkqa6GXxSacMcY1eN8AHjMNJ_7dDXMJ"&amp;"VRLDlaFSOdPM/edit?usp=sharing"",""ตราด!J503"")+IMPORTRANGE(""https://docs.google.com/spreadsheets/d/18hSgUJ3VwClqi_qtULmmW3cLr0oe3OKaSYoKzdpTsYQ/edit?usp=sharing"",""นครนายก!J503"")+IMPORTRANGE(""https://docs.google.com/spreadsheets/d/1YTZo6WM2dQ6Ix6FSdnL"&amp;"5P7uVnVKu40sxZu975tgG10E/edit?usp=sharing"",""นครปฐม!J503"")+IMPORTRANGE(""https://docs.google.com/spreadsheets/d/1OYoGg4WDg5RIzwGeB10padOxJF9E_Vljuvvct_M7RDo/edit?usp=sharing"",""ปทุมธานี!J503"")+IMPORTRANGE(""https://docs.google.com/spreadsheets/d/1GbCI"&amp;"E4D4wk9FUozzqk7SxfDMxDVBwVmI5zcaVUSzKAc/edit?usp=sharing"",""ประจวบคีรีขันธ์!J503"")+IMPORTRANGE(""https://docs.google.com/spreadsheets/d/1vVf6wykvW_lAyu7Yo9L4hUTqHqIeP_qcVuxCtosJEbg/edit?usp=sharing"",""ปราจีนบุรี!J503"")+IMPORTRANGE(""https://docs.googl"&amp;"e.com/spreadsheets/d/1BIDqLLg5jk3v59G8NlR8rk5xfQDKne0sAvZHSj7TI6I/edit?usp=sharing"",""พระนครศรีอยุธยา!J503"")+IMPORTRANGE(""https://docs.google.com/spreadsheets/d/1YXvxf8Yu6_rV4hTBrwMqAcAnv6DfhUxh5emyM3CJp_w/edit?usp=sharing"",""เพชรบุรี!J503"")+IMPORTRA"&amp;"NGE(""https://docs.google.com/spreadsheets/d/19KBlQQs7uwvsao6t2n-KvW3Ax8J8uRRfZPq1zPbXgKc/edit?usp=sharing"",""ระยอง!J503"")+IMPORTRANGE(""https://docs.google.com/spreadsheets/d/1jQ6P4QcrGM89YfqcC_PxOHGCMq5ezhucwJd8ci-NHng/edit?usp=sharing"",""ราชบุรี!J50"&amp;"3"")+IMPORTRANGE(""https://docs.google.com/spreadsheets/d/1lufeA2cfFqM-elVq2hznhDzC6Pr7wkJ9ZG_sYNGCMCU/edit?usp=sharing"",""ลพบุรี!J503"")+IMPORTRANGE(""https://docs.google.com/spreadsheets/d/10oOiF7loTyfsTkbd4MpaIm0HQ9SwB7IYHdIUvt-U1Uc/edit?usp=sharing"""&amp;",""สระแก้ว!J503"")+IMPORTRANGE(""https://docs.google.com/spreadsheets/d/1xmPlrr1QbdSIKvl1dWUl9K4PjAfSL9oeMr_37QVzcxc/edit?usp=sharing"",""สระบุรี!J503"")+IMPORTRANGE(""https://docs.google.com/spreadsheets/d/1j51vR6CYVGhABJpv6tkstgok82RLpXieLzW1yOY5rHw/edi"&amp;"t?usp=sharing"",""สิงห์บุรี!J503"")+IMPORTRANGE(""https://docs.google.com/spreadsheets/d/1H1EalTWKUSzO4Z1-1CwzoDUaVffgrThEBe2sl74kKG0/edit?usp=sharing"",""สุพรรณบุรี!J503"")+IMPORTRANGE(""https://docs.google.com/spreadsheets/d/1BmIruG_sIrJLYao_Pdr7zVArWsf"&amp;"oBt2692TMi6x_854/edit?usp=sharing"",""อ่างทอง!J503"")"),0)</f>
        <v>0</v>
      </c>
      <c r="K504" s="264">
        <f t="shared" ref="K504:K510" ca="1" si="352">IF(I504&gt;0,J504*100/I504,0)</f>
        <v>0</v>
      </c>
      <c r="L504" s="87"/>
      <c r="M504" s="87"/>
      <c r="N504" s="87"/>
      <c r="O504" s="87"/>
      <c r="P504" s="87"/>
      <c r="Q504" s="86"/>
      <c r="R504" s="87"/>
      <c r="S504" s="87"/>
      <c r="T504" s="87"/>
      <c r="U504" s="87"/>
    </row>
    <row r="505" spans="1:21" ht="18.75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13wPX838HrBrQMCywv1BsuMkt4PEKTChp52zj44s2izQ/edit?usp=sharing"",""กาญจนบุรี!I504"")+IMPORTRANGE(""https://docs.google.com/spreadsheets/d/1ddFKvqj1W1NEiWytbGlB1zMx_ykJDVtmfEQ-6-lIUBA/edit?usp=sharing"","&amp;"""จันทบุรี!I504"")+IMPORTRANGE(""https://docs.google.com/spreadsheets/d/1T1PQvRODqOBZk8BRht_U031fIS1beLA0Ub2CEytj2q0/edit?usp=sharing"",""ฉะเชิงเทรา!I504"")+IMPORTRANGE(""https://docs.google.com/spreadsheets/d/11tr1B-Bhyr79v2bkwVh5h_fR-PStkgjlZtkrZpYurG0/"&amp;"edit?usp=sharing"",""ชลบุรี!I504"")+IMPORTRANGE(""https://docs.google.com/spreadsheets/d/1hh-FVnSX0vozXhGluamEcS54Dw9_zqW0N7qJUWgJ0Sw/edit?usp=sharing"",""ชัยนาท!I504"")+IMPORTRANGE(""https://docs.google.com/spreadsheets/d/1jkqa6GXxSacMcY1eN8AHjMNJ_7dDXMJ"&amp;"VRLDlaFSOdPM/edit?usp=sharing"",""ตราด!I504"")+IMPORTRANGE(""https://docs.google.com/spreadsheets/d/18hSgUJ3VwClqi_qtULmmW3cLr0oe3OKaSYoKzdpTsYQ/edit?usp=sharing"",""นครนายก!I504"")+IMPORTRANGE(""https://docs.google.com/spreadsheets/d/1YTZo6WM2dQ6Ix6FSdnL"&amp;"5P7uVnVKu40sxZu975tgG10E/edit?usp=sharing"",""นครปฐม!I504"")+IMPORTRANGE(""https://docs.google.com/spreadsheets/d/1OYoGg4WDg5RIzwGeB10padOxJF9E_Vljuvvct_M7RDo/edit?usp=sharing"",""ปทุมธานี!I504"")+IMPORTRANGE(""https://docs.google.com/spreadsheets/d/1GbCI"&amp;"E4D4wk9FUozzqk7SxfDMxDVBwVmI5zcaVUSzKAc/edit?usp=sharing"",""ประจวบคีรีขันธ์!I504"")+IMPORTRANGE(""https://docs.google.com/spreadsheets/d/1vVf6wykvW_lAyu7Yo9L4hUTqHqIeP_qcVuxCtosJEbg/edit?usp=sharing"",""ปราจีนบุรี!I504"")+IMPORTRANGE(""https://docs.googl"&amp;"e.com/spreadsheets/d/1BIDqLLg5jk3v59G8NlR8rk5xfQDKne0sAvZHSj7TI6I/edit?usp=sharing"",""พระนครศรีอยุธยา!I504"")+IMPORTRANGE(""https://docs.google.com/spreadsheets/d/1YXvxf8Yu6_rV4hTBrwMqAcAnv6DfhUxh5emyM3CJp_w/edit?usp=sharing"",""เพชรบุรี!I504"")+IMPORTRA"&amp;"NGE(""https://docs.google.com/spreadsheets/d/19KBlQQs7uwvsao6t2n-KvW3Ax8J8uRRfZPq1zPbXgKc/edit?usp=sharing"",""ระยอง!I504"")+IMPORTRANGE(""https://docs.google.com/spreadsheets/d/1jQ6P4QcrGM89YfqcC_PxOHGCMq5ezhucwJd8ci-NHng/edit?usp=sharing"",""ราชบุรี!I50"&amp;"4"")+IMPORTRANGE(""https://docs.google.com/spreadsheets/d/1lufeA2cfFqM-elVq2hznhDzC6Pr7wkJ9ZG_sYNGCMCU/edit?usp=sharing"",""ลพบุรี!I504"")+IMPORTRANGE(""https://docs.google.com/spreadsheets/d/10oOiF7loTyfsTkbd4MpaIm0HQ9SwB7IYHdIUvt-U1Uc/edit?usp=sharing"""&amp;",""สระแก้ว!I504"")+IMPORTRANGE(""https://docs.google.com/spreadsheets/d/1xmPlrr1QbdSIKvl1dWUl9K4PjAfSL9oeMr_37QVzcxc/edit?usp=sharing"",""สระบุรี!I504"")+IMPORTRANGE(""https://docs.google.com/spreadsheets/d/1j51vR6CYVGhABJpv6tkstgok82RLpXieLzW1yOY5rHw/edi"&amp;"t?usp=sharing"",""สิงห์บุรี!I504"")+IMPORTRANGE(""https://docs.google.com/spreadsheets/d/1H1EalTWKUSzO4Z1-1CwzoDUaVffgrThEBe2sl74kKG0/edit?usp=sharing"",""สุพรรณบุรี!I504"")+IMPORTRANGE(""https://docs.google.com/spreadsheets/d/1BmIruG_sIrJLYao_Pdr7zVArWsf"&amp;"oBt2692TMi6x_854/edit?usp=sharing"",""อ่างทอง!I504"")"),0)</f>
        <v>0</v>
      </c>
      <c r="J505" s="294">
        <f ca="1">IFERROR(__xludf.DUMMYFUNCTION("IMPORTRANGE(""https://docs.google.com/spreadsheets/d/13wPX838HrBrQMCywv1BsuMkt4PEKTChp52zj44s2izQ/edit?usp=sharing"",""กาญจนบุรี!J504"")+IMPORTRANGE(""https://docs.google.com/spreadsheets/d/1ddFKvqj1W1NEiWytbGlB1zMx_ykJDVtmfEQ-6-lIUBA/edit?usp=sharing"","&amp;"""จันทบุรี!J504"")+IMPORTRANGE(""https://docs.google.com/spreadsheets/d/1T1PQvRODqOBZk8BRht_U031fIS1beLA0Ub2CEytj2q0/edit?usp=sharing"",""ฉะเชิงเทรา!J504"")+IMPORTRANGE(""https://docs.google.com/spreadsheets/d/11tr1B-Bhyr79v2bkwVh5h_fR-PStkgjlZtkrZpYurG0/"&amp;"edit?usp=sharing"",""ชลบุรี!J504"")+IMPORTRANGE(""https://docs.google.com/spreadsheets/d/1hh-FVnSX0vozXhGluamEcS54Dw9_zqW0N7qJUWgJ0Sw/edit?usp=sharing"",""ชัยนาท!J504"")+IMPORTRANGE(""https://docs.google.com/spreadsheets/d/1jkqa6GXxSacMcY1eN8AHjMNJ_7dDXMJ"&amp;"VRLDlaFSOdPM/edit?usp=sharing"",""ตราด!J504"")+IMPORTRANGE(""https://docs.google.com/spreadsheets/d/18hSgUJ3VwClqi_qtULmmW3cLr0oe3OKaSYoKzdpTsYQ/edit?usp=sharing"",""นครนายก!J504"")+IMPORTRANGE(""https://docs.google.com/spreadsheets/d/1YTZo6WM2dQ6Ix6FSdnL"&amp;"5P7uVnVKu40sxZu975tgG10E/edit?usp=sharing"",""นครปฐม!J504"")+IMPORTRANGE(""https://docs.google.com/spreadsheets/d/1OYoGg4WDg5RIzwGeB10padOxJF9E_Vljuvvct_M7RDo/edit?usp=sharing"",""ปทุมธานี!J504"")+IMPORTRANGE(""https://docs.google.com/spreadsheets/d/1GbCI"&amp;"E4D4wk9FUozzqk7SxfDMxDVBwVmI5zcaVUSzKAc/edit?usp=sharing"",""ประจวบคีรีขันธ์!J504"")+IMPORTRANGE(""https://docs.google.com/spreadsheets/d/1vVf6wykvW_lAyu7Yo9L4hUTqHqIeP_qcVuxCtosJEbg/edit?usp=sharing"",""ปราจีนบุรี!J504"")+IMPORTRANGE(""https://docs.googl"&amp;"e.com/spreadsheets/d/1BIDqLLg5jk3v59G8NlR8rk5xfQDKne0sAvZHSj7TI6I/edit?usp=sharing"",""พระนครศรีอยุธยา!J504"")+IMPORTRANGE(""https://docs.google.com/spreadsheets/d/1YXvxf8Yu6_rV4hTBrwMqAcAnv6DfhUxh5emyM3CJp_w/edit?usp=sharing"",""เพชรบุรี!J504"")+IMPORTRA"&amp;"NGE(""https://docs.google.com/spreadsheets/d/19KBlQQs7uwvsao6t2n-KvW3Ax8J8uRRfZPq1zPbXgKc/edit?usp=sharing"",""ระยอง!J504"")+IMPORTRANGE(""https://docs.google.com/spreadsheets/d/1jQ6P4QcrGM89YfqcC_PxOHGCMq5ezhucwJd8ci-NHng/edit?usp=sharing"",""ราชบุรี!J50"&amp;"4"")+IMPORTRANGE(""https://docs.google.com/spreadsheets/d/1lufeA2cfFqM-elVq2hznhDzC6Pr7wkJ9ZG_sYNGCMCU/edit?usp=sharing"",""ลพบุรี!J504"")+IMPORTRANGE(""https://docs.google.com/spreadsheets/d/10oOiF7loTyfsTkbd4MpaIm0HQ9SwB7IYHdIUvt-U1Uc/edit?usp=sharing"""&amp;",""สระแก้ว!J504"")+IMPORTRANGE(""https://docs.google.com/spreadsheets/d/1xmPlrr1QbdSIKvl1dWUl9K4PjAfSL9oeMr_37QVzcxc/edit?usp=sharing"",""สระบุรี!J504"")+IMPORTRANGE(""https://docs.google.com/spreadsheets/d/1j51vR6CYVGhABJpv6tkstgok82RLpXieLzW1yOY5rHw/edi"&amp;"t?usp=sharing"",""สิงห์บุรี!J504"")+IMPORTRANGE(""https://docs.google.com/spreadsheets/d/1H1EalTWKUSzO4Z1-1CwzoDUaVffgrThEBe2sl74kKG0/edit?usp=sharing"",""สุพรรณบุรี!J504"")+IMPORTRANGE(""https://docs.google.com/spreadsheets/d/1BmIruG_sIrJLYao_Pdr7zVArWsf"&amp;"oBt2692TMi6x_854/edit?usp=sharing"",""อ่างทอง!J504"")"),0)</f>
        <v>0</v>
      </c>
      <c r="K505" s="74">
        <f t="shared" ca="1" si="352"/>
        <v>0</v>
      </c>
      <c r="L505" s="87"/>
      <c r="M505" s="87"/>
      <c r="N505" s="87"/>
      <c r="O505" s="87"/>
      <c r="P505" s="87"/>
      <c r="Q505" s="86"/>
      <c r="R505" s="87"/>
      <c r="S505" s="87"/>
      <c r="T505" s="87"/>
      <c r="U505" s="87"/>
    </row>
    <row r="506" spans="1:21" ht="18.75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13wPX838HrBrQMCywv1BsuMkt4PEKTChp52zj44s2izQ/edit?usp=sharing"",""กาญจนบุรี!I505"")+IMPORTRANGE(""https://docs.google.com/spreadsheets/d/1ddFKvqj1W1NEiWytbGlB1zMx_ykJDVtmfEQ-6-lIUBA/edit?usp=sharing"","&amp;"""จันทบุรี!I505"")+IMPORTRANGE(""https://docs.google.com/spreadsheets/d/1T1PQvRODqOBZk8BRht_U031fIS1beLA0Ub2CEytj2q0/edit?usp=sharing"",""ฉะเชิงเทรา!I505"")+IMPORTRANGE(""https://docs.google.com/spreadsheets/d/11tr1B-Bhyr79v2bkwVh5h_fR-PStkgjlZtkrZpYurG0/"&amp;"edit?usp=sharing"",""ชลบุรี!I505"")+IMPORTRANGE(""https://docs.google.com/spreadsheets/d/1hh-FVnSX0vozXhGluamEcS54Dw9_zqW0N7qJUWgJ0Sw/edit?usp=sharing"",""ชัยนาท!I505"")+IMPORTRANGE(""https://docs.google.com/spreadsheets/d/1jkqa6GXxSacMcY1eN8AHjMNJ_7dDXMJ"&amp;"VRLDlaFSOdPM/edit?usp=sharing"",""ตราด!I505"")+IMPORTRANGE(""https://docs.google.com/spreadsheets/d/18hSgUJ3VwClqi_qtULmmW3cLr0oe3OKaSYoKzdpTsYQ/edit?usp=sharing"",""นครนายก!I505"")+IMPORTRANGE(""https://docs.google.com/spreadsheets/d/1YTZo6WM2dQ6Ix6FSdnL"&amp;"5P7uVnVKu40sxZu975tgG10E/edit?usp=sharing"",""นครปฐม!I505"")+IMPORTRANGE(""https://docs.google.com/spreadsheets/d/1OYoGg4WDg5RIzwGeB10padOxJF9E_Vljuvvct_M7RDo/edit?usp=sharing"",""ปทุมธานี!I505"")+IMPORTRANGE(""https://docs.google.com/spreadsheets/d/1GbCI"&amp;"E4D4wk9FUozzqk7SxfDMxDVBwVmI5zcaVUSzKAc/edit?usp=sharing"",""ประจวบคีรีขันธ์!I505"")+IMPORTRANGE(""https://docs.google.com/spreadsheets/d/1vVf6wykvW_lAyu7Yo9L4hUTqHqIeP_qcVuxCtosJEbg/edit?usp=sharing"",""ปราจีนบุรี!I505"")+IMPORTRANGE(""https://docs.googl"&amp;"e.com/spreadsheets/d/1BIDqLLg5jk3v59G8NlR8rk5xfQDKne0sAvZHSj7TI6I/edit?usp=sharing"",""พระนครศรีอยุธยา!I505"")+IMPORTRANGE(""https://docs.google.com/spreadsheets/d/1YXvxf8Yu6_rV4hTBrwMqAcAnv6DfhUxh5emyM3CJp_w/edit?usp=sharing"",""เพชรบุรี!I505"")+IMPORTRA"&amp;"NGE(""https://docs.google.com/spreadsheets/d/19KBlQQs7uwvsao6t2n-KvW3Ax8J8uRRfZPq1zPbXgKc/edit?usp=sharing"",""ระยอง!I505"")+IMPORTRANGE(""https://docs.google.com/spreadsheets/d/1jQ6P4QcrGM89YfqcC_PxOHGCMq5ezhucwJd8ci-NHng/edit?usp=sharing"",""ราชบุรี!I50"&amp;"5"")+IMPORTRANGE(""https://docs.google.com/spreadsheets/d/1lufeA2cfFqM-elVq2hznhDzC6Pr7wkJ9ZG_sYNGCMCU/edit?usp=sharing"",""ลพบุรี!I505"")+IMPORTRANGE(""https://docs.google.com/spreadsheets/d/10oOiF7loTyfsTkbd4MpaIm0HQ9SwB7IYHdIUvt-U1Uc/edit?usp=sharing"""&amp;",""สระแก้ว!I505"")+IMPORTRANGE(""https://docs.google.com/spreadsheets/d/1xmPlrr1QbdSIKvl1dWUl9K4PjAfSL9oeMr_37QVzcxc/edit?usp=sharing"",""สระบุรี!I505"")+IMPORTRANGE(""https://docs.google.com/spreadsheets/d/1j51vR6CYVGhABJpv6tkstgok82RLpXieLzW1yOY5rHw/edi"&amp;"t?usp=sharing"",""สิงห์บุรี!I505"")+IMPORTRANGE(""https://docs.google.com/spreadsheets/d/1H1EalTWKUSzO4Z1-1CwzoDUaVffgrThEBe2sl74kKG0/edit?usp=sharing"",""สุพรรณบุรี!I505"")+IMPORTRANGE(""https://docs.google.com/spreadsheets/d/1BmIruG_sIrJLYao_Pdr7zVArWsf"&amp;"oBt2692TMi6x_854/edit?usp=sharing"",""อ่างทอง!I505"")"),0)</f>
        <v>0</v>
      </c>
      <c r="J506" s="294">
        <f ca="1">IFERROR(__xludf.DUMMYFUNCTION("IMPORTRANGE(""https://docs.google.com/spreadsheets/d/13wPX838HrBrQMCywv1BsuMkt4PEKTChp52zj44s2izQ/edit?usp=sharing"",""กาญจนบุรี!J505"")+IMPORTRANGE(""https://docs.google.com/spreadsheets/d/1ddFKvqj1W1NEiWytbGlB1zMx_ykJDVtmfEQ-6-lIUBA/edit?usp=sharing"","&amp;"""จันทบุรี!J505"")+IMPORTRANGE(""https://docs.google.com/spreadsheets/d/1T1PQvRODqOBZk8BRht_U031fIS1beLA0Ub2CEytj2q0/edit?usp=sharing"",""ฉะเชิงเทรา!J505"")+IMPORTRANGE(""https://docs.google.com/spreadsheets/d/11tr1B-Bhyr79v2bkwVh5h_fR-PStkgjlZtkrZpYurG0/"&amp;"edit?usp=sharing"",""ชลบุรี!J505"")+IMPORTRANGE(""https://docs.google.com/spreadsheets/d/1hh-FVnSX0vozXhGluamEcS54Dw9_zqW0N7qJUWgJ0Sw/edit?usp=sharing"",""ชัยนาท!J505"")+IMPORTRANGE(""https://docs.google.com/spreadsheets/d/1jkqa6GXxSacMcY1eN8AHjMNJ_7dDXMJ"&amp;"VRLDlaFSOdPM/edit?usp=sharing"",""ตราด!J505"")+IMPORTRANGE(""https://docs.google.com/spreadsheets/d/18hSgUJ3VwClqi_qtULmmW3cLr0oe3OKaSYoKzdpTsYQ/edit?usp=sharing"",""นครนายก!J505"")+IMPORTRANGE(""https://docs.google.com/spreadsheets/d/1YTZo6WM2dQ6Ix6FSdnL"&amp;"5P7uVnVKu40sxZu975tgG10E/edit?usp=sharing"",""นครปฐม!J505"")+IMPORTRANGE(""https://docs.google.com/spreadsheets/d/1OYoGg4WDg5RIzwGeB10padOxJF9E_Vljuvvct_M7RDo/edit?usp=sharing"",""ปทุมธานี!J505"")+IMPORTRANGE(""https://docs.google.com/spreadsheets/d/1GbCI"&amp;"E4D4wk9FUozzqk7SxfDMxDVBwVmI5zcaVUSzKAc/edit?usp=sharing"",""ประจวบคีรีขันธ์!J505"")+IMPORTRANGE(""https://docs.google.com/spreadsheets/d/1vVf6wykvW_lAyu7Yo9L4hUTqHqIeP_qcVuxCtosJEbg/edit?usp=sharing"",""ปราจีนบุรี!J505"")+IMPORTRANGE(""https://docs.googl"&amp;"e.com/spreadsheets/d/1BIDqLLg5jk3v59G8NlR8rk5xfQDKne0sAvZHSj7TI6I/edit?usp=sharing"",""พระนครศรีอยุธยา!J505"")+IMPORTRANGE(""https://docs.google.com/spreadsheets/d/1YXvxf8Yu6_rV4hTBrwMqAcAnv6DfhUxh5emyM3CJp_w/edit?usp=sharing"",""เพชรบุรี!J505"")+IMPORTRA"&amp;"NGE(""https://docs.google.com/spreadsheets/d/19KBlQQs7uwvsao6t2n-KvW3Ax8J8uRRfZPq1zPbXgKc/edit?usp=sharing"",""ระยอง!J505"")+IMPORTRANGE(""https://docs.google.com/spreadsheets/d/1jQ6P4QcrGM89YfqcC_PxOHGCMq5ezhucwJd8ci-NHng/edit?usp=sharing"",""ราชบุรี!J50"&amp;"5"")+IMPORTRANGE(""https://docs.google.com/spreadsheets/d/1lufeA2cfFqM-elVq2hznhDzC6Pr7wkJ9ZG_sYNGCMCU/edit?usp=sharing"",""ลพบุรี!J505"")+IMPORTRANGE(""https://docs.google.com/spreadsheets/d/10oOiF7loTyfsTkbd4MpaIm0HQ9SwB7IYHdIUvt-U1Uc/edit?usp=sharing"""&amp;",""สระแก้ว!J505"")+IMPORTRANGE(""https://docs.google.com/spreadsheets/d/1xmPlrr1QbdSIKvl1dWUl9K4PjAfSL9oeMr_37QVzcxc/edit?usp=sharing"",""สระบุรี!J505"")+IMPORTRANGE(""https://docs.google.com/spreadsheets/d/1j51vR6CYVGhABJpv6tkstgok82RLpXieLzW1yOY5rHw/edi"&amp;"t?usp=sharing"",""สิงห์บุรี!J505"")+IMPORTRANGE(""https://docs.google.com/spreadsheets/d/1H1EalTWKUSzO4Z1-1CwzoDUaVffgrThEBe2sl74kKG0/edit?usp=sharing"",""สุพรรณบุรี!J505"")+IMPORTRANGE(""https://docs.google.com/spreadsheets/d/1BmIruG_sIrJLYao_Pdr7zVArWsf"&amp;"oBt2692TMi6x_854/edit?usp=sharing"",""อ่างทอง!J505"")"),0)</f>
        <v>0</v>
      </c>
      <c r="K506" s="74">
        <f t="shared" ca="1" si="352"/>
        <v>0</v>
      </c>
      <c r="L506" s="87"/>
      <c r="M506" s="87"/>
      <c r="N506" s="87"/>
      <c r="O506" s="87"/>
      <c r="P506" s="87"/>
      <c r="Q506" s="86"/>
      <c r="R506" s="87"/>
      <c r="S506" s="87"/>
      <c r="T506" s="87"/>
      <c r="U506" s="87"/>
    </row>
    <row r="507" spans="1:21" ht="18.75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13wPX838HrBrQMCywv1BsuMkt4PEKTChp52zj44s2izQ/edit?usp=sharing"",""กาญจนบุรี!I506"")+IMPORTRANGE(""https://docs.google.com/spreadsheets/d/1ddFKvqj1W1NEiWytbGlB1zMx_ykJDVtmfEQ-6-lIUBA/edit?usp=sharing"","&amp;"""จันทบุรี!I506"")+IMPORTRANGE(""https://docs.google.com/spreadsheets/d/1T1PQvRODqOBZk8BRht_U031fIS1beLA0Ub2CEytj2q0/edit?usp=sharing"",""ฉะเชิงเทรา!I506"")+IMPORTRANGE(""https://docs.google.com/spreadsheets/d/11tr1B-Bhyr79v2bkwVh5h_fR-PStkgjlZtkrZpYurG0/"&amp;"edit?usp=sharing"",""ชลบุรี!I506"")+IMPORTRANGE(""https://docs.google.com/spreadsheets/d/1hh-FVnSX0vozXhGluamEcS54Dw9_zqW0N7qJUWgJ0Sw/edit?usp=sharing"",""ชัยนาท!I506"")+IMPORTRANGE(""https://docs.google.com/spreadsheets/d/1jkqa6GXxSacMcY1eN8AHjMNJ_7dDXMJ"&amp;"VRLDlaFSOdPM/edit?usp=sharing"",""ตราด!I506"")+IMPORTRANGE(""https://docs.google.com/spreadsheets/d/18hSgUJ3VwClqi_qtULmmW3cLr0oe3OKaSYoKzdpTsYQ/edit?usp=sharing"",""นครนายก!I506"")+IMPORTRANGE(""https://docs.google.com/spreadsheets/d/1YTZo6WM2dQ6Ix6FSdnL"&amp;"5P7uVnVKu40sxZu975tgG10E/edit?usp=sharing"",""นครปฐม!I506"")+IMPORTRANGE(""https://docs.google.com/spreadsheets/d/1OYoGg4WDg5RIzwGeB10padOxJF9E_Vljuvvct_M7RDo/edit?usp=sharing"",""ปทุมธานี!I506"")+IMPORTRANGE(""https://docs.google.com/spreadsheets/d/1GbCI"&amp;"E4D4wk9FUozzqk7SxfDMxDVBwVmI5zcaVUSzKAc/edit?usp=sharing"",""ประจวบคีรีขันธ์!I506"")+IMPORTRANGE(""https://docs.google.com/spreadsheets/d/1vVf6wykvW_lAyu7Yo9L4hUTqHqIeP_qcVuxCtosJEbg/edit?usp=sharing"",""ปราจีนบุรี!I506"")+IMPORTRANGE(""https://docs.googl"&amp;"e.com/spreadsheets/d/1BIDqLLg5jk3v59G8NlR8rk5xfQDKne0sAvZHSj7TI6I/edit?usp=sharing"",""พระนครศรีอยุธยา!I506"")+IMPORTRANGE(""https://docs.google.com/spreadsheets/d/1YXvxf8Yu6_rV4hTBrwMqAcAnv6DfhUxh5emyM3CJp_w/edit?usp=sharing"",""เพชรบุรี!I506"")+IMPORTRA"&amp;"NGE(""https://docs.google.com/spreadsheets/d/19KBlQQs7uwvsao6t2n-KvW3Ax8J8uRRfZPq1zPbXgKc/edit?usp=sharing"",""ระยอง!I506"")+IMPORTRANGE(""https://docs.google.com/spreadsheets/d/1jQ6P4QcrGM89YfqcC_PxOHGCMq5ezhucwJd8ci-NHng/edit?usp=sharing"",""ราชบุรี!I50"&amp;"6"")+IMPORTRANGE(""https://docs.google.com/spreadsheets/d/1lufeA2cfFqM-elVq2hznhDzC6Pr7wkJ9ZG_sYNGCMCU/edit?usp=sharing"",""ลพบุรี!I506"")+IMPORTRANGE(""https://docs.google.com/spreadsheets/d/10oOiF7loTyfsTkbd4MpaIm0HQ9SwB7IYHdIUvt-U1Uc/edit?usp=sharing"""&amp;",""สระแก้ว!I506"")+IMPORTRANGE(""https://docs.google.com/spreadsheets/d/1xmPlrr1QbdSIKvl1dWUl9K4PjAfSL9oeMr_37QVzcxc/edit?usp=sharing"",""สระบุรี!I506"")+IMPORTRANGE(""https://docs.google.com/spreadsheets/d/1j51vR6CYVGhABJpv6tkstgok82RLpXieLzW1yOY5rHw/edi"&amp;"t?usp=sharing"",""สิงห์บุรี!I506"")+IMPORTRANGE(""https://docs.google.com/spreadsheets/d/1H1EalTWKUSzO4Z1-1CwzoDUaVffgrThEBe2sl74kKG0/edit?usp=sharing"",""สุพรรณบุรี!I506"")+IMPORTRANGE(""https://docs.google.com/spreadsheets/d/1BmIruG_sIrJLYao_Pdr7zVArWsf"&amp;"oBt2692TMi6x_854/edit?usp=sharing"",""อ่างทอง!I506"")"),0)</f>
        <v>0</v>
      </c>
      <c r="J507" s="294">
        <f ca="1">IFERROR(__xludf.DUMMYFUNCTION("IMPORTRANGE(""https://docs.google.com/spreadsheets/d/13wPX838HrBrQMCywv1BsuMkt4PEKTChp52zj44s2izQ/edit?usp=sharing"",""กาญจนบุรี!J506"")+IMPORTRANGE(""https://docs.google.com/spreadsheets/d/1ddFKvqj1W1NEiWytbGlB1zMx_ykJDVtmfEQ-6-lIUBA/edit?usp=sharing"","&amp;"""จันทบุรี!J506"")+IMPORTRANGE(""https://docs.google.com/spreadsheets/d/1T1PQvRODqOBZk8BRht_U031fIS1beLA0Ub2CEytj2q0/edit?usp=sharing"",""ฉะเชิงเทรา!J506"")+IMPORTRANGE(""https://docs.google.com/spreadsheets/d/11tr1B-Bhyr79v2bkwVh5h_fR-PStkgjlZtkrZpYurG0/"&amp;"edit?usp=sharing"",""ชลบุรี!J506"")+IMPORTRANGE(""https://docs.google.com/spreadsheets/d/1hh-FVnSX0vozXhGluamEcS54Dw9_zqW0N7qJUWgJ0Sw/edit?usp=sharing"",""ชัยนาท!J506"")+IMPORTRANGE(""https://docs.google.com/spreadsheets/d/1jkqa6GXxSacMcY1eN8AHjMNJ_7dDXMJ"&amp;"VRLDlaFSOdPM/edit?usp=sharing"",""ตราด!J506"")+IMPORTRANGE(""https://docs.google.com/spreadsheets/d/18hSgUJ3VwClqi_qtULmmW3cLr0oe3OKaSYoKzdpTsYQ/edit?usp=sharing"",""นครนายก!J506"")+IMPORTRANGE(""https://docs.google.com/spreadsheets/d/1YTZo6WM2dQ6Ix6FSdnL"&amp;"5P7uVnVKu40sxZu975tgG10E/edit?usp=sharing"",""นครปฐม!J506"")+IMPORTRANGE(""https://docs.google.com/spreadsheets/d/1OYoGg4WDg5RIzwGeB10padOxJF9E_Vljuvvct_M7RDo/edit?usp=sharing"",""ปทุมธานี!J506"")+IMPORTRANGE(""https://docs.google.com/spreadsheets/d/1GbCI"&amp;"E4D4wk9FUozzqk7SxfDMxDVBwVmI5zcaVUSzKAc/edit?usp=sharing"",""ประจวบคีรีขันธ์!J506"")+IMPORTRANGE(""https://docs.google.com/spreadsheets/d/1vVf6wykvW_lAyu7Yo9L4hUTqHqIeP_qcVuxCtosJEbg/edit?usp=sharing"",""ปราจีนบุรี!J506"")+IMPORTRANGE(""https://docs.googl"&amp;"e.com/spreadsheets/d/1BIDqLLg5jk3v59G8NlR8rk5xfQDKne0sAvZHSj7TI6I/edit?usp=sharing"",""พระนครศรีอยุธยา!J506"")+IMPORTRANGE(""https://docs.google.com/spreadsheets/d/1YXvxf8Yu6_rV4hTBrwMqAcAnv6DfhUxh5emyM3CJp_w/edit?usp=sharing"",""เพชรบุรี!J506"")+IMPORTRA"&amp;"NGE(""https://docs.google.com/spreadsheets/d/19KBlQQs7uwvsao6t2n-KvW3Ax8J8uRRfZPq1zPbXgKc/edit?usp=sharing"",""ระยอง!J506"")+IMPORTRANGE(""https://docs.google.com/spreadsheets/d/1jQ6P4QcrGM89YfqcC_PxOHGCMq5ezhucwJd8ci-NHng/edit?usp=sharing"",""ราชบุรี!J50"&amp;"6"")+IMPORTRANGE(""https://docs.google.com/spreadsheets/d/1lufeA2cfFqM-elVq2hznhDzC6Pr7wkJ9ZG_sYNGCMCU/edit?usp=sharing"",""ลพบุรี!J506"")+IMPORTRANGE(""https://docs.google.com/spreadsheets/d/10oOiF7loTyfsTkbd4MpaIm0HQ9SwB7IYHdIUvt-U1Uc/edit?usp=sharing"""&amp;",""สระแก้ว!J506"")+IMPORTRANGE(""https://docs.google.com/spreadsheets/d/1xmPlrr1QbdSIKvl1dWUl9K4PjAfSL9oeMr_37QVzcxc/edit?usp=sharing"",""สระบุรี!J506"")+IMPORTRANGE(""https://docs.google.com/spreadsheets/d/1j51vR6CYVGhABJpv6tkstgok82RLpXieLzW1yOY5rHw/edi"&amp;"t?usp=sharing"",""สิงห์บุรี!J506"")+IMPORTRANGE(""https://docs.google.com/spreadsheets/d/1H1EalTWKUSzO4Z1-1CwzoDUaVffgrThEBe2sl74kKG0/edit?usp=sharing"",""สุพรรณบุรี!J506"")+IMPORTRANGE(""https://docs.google.com/spreadsheets/d/1BmIruG_sIrJLYao_Pdr7zVArWsf"&amp;"oBt2692TMi6x_854/edit?usp=sharing"",""อ่างทอง!J506"")"),0)</f>
        <v>0</v>
      </c>
      <c r="K507" s="74">
        <f t="shared" ca="1" si="352"/>
        <v>0</v>
      </c>
      <c r="L507" s="87"/>
      <c r="M507" s="87"/>
      <c r="N507" s="87"/>
      <c r="O507" s="87"/>
      <c r="P507" s="87"/>
      <c r="Q507" s="86"/>
      <c r="R507" s="87"/>
      <c r="S507" s="87"/>
      <c r="T507" s="87"/>
      <c r="U507" s="87"/>
    </row>
    <row r="508" spans="1:21" ht="18.75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13wPX838HrBrQMCywv1BsuMkt4PEKTChp52zj44s2izQ/edit?usp=sharing"",""กาญจนบุรี!I507"")+IMPORTRANGE(""https://docs.google.com/spreadsheets/d/1ddFKvqj1W1NEiWytbGlB1zMx_ykJDVtmfEQ-6-lIUBA/edit?usp=sharing"","&amp;"""จันทบุรี!I507"")+IMPORTRANGE(""https://docs.google.com/spreadsheets/d/1T1PQvRODqOBZk8BRht_U031fIS1beLA0Ub2CEytj2q0/edit?usp=sharing"",""ฉะเชิงเทรา!I507"")+IMPORTRANGE(""https://docs.google.com/spreadsheets/d/11tr1B-Bhyr79v2bkwVh5h_fR-PStkgjlZtkrZpYurG0/"&amp;"edit?usp=sharing"",""ชลบุรี!I507"")+IMPORTRANGE(""https://docs.google.com/spreadsheets/d/1hh-FVnSX0vozXhGluamEcS54Dw9_zqW0N7qJUWgJ0Sw/edit?usp=sharing"",""ชัยนาท!I507"")+IMPORTRANGE(""https://docs.google.com/spreadsheets/d/1jkqa6GXxSacMcY1eN8AHjMNJ_7dDXMJ"&amp;"VRLDlaFSOdPM/edit?usp=sharing"",""ตราด!I507"")+IMPORTRANGE(""https://docs.google.com/spreadsheets/d/18hSgUJ3VwClqi_qtULmmW3cLr0oe3OKaSYoKzdpTsYQ/edit?usp=sharing"",""นครนายก!I507"")+IMPORTRANGE(""https://docs.google.com/spreadsheets/d/1YTZo6WM2dQ6Ix6FSdnL"&amp;"5P7uVnVKu40sxZu975tgG10E/edit?usp=sharing"",""นครปฐม!I507"")+IMPORTRANGE(""https://docs.google.com/spreadsheets/d/1OYoGg4WDg5RIzwGeB10padOxJF9E_Vljuvvct_M7RDo/edit?usp=sharing"",""ปทุมธานี!I507"")+IMPORTRANGE(""https://docs.google.com/spreadsheets/d/1GbCI"&amp;"E4D4wk9FUozzqk7SxfDMxDVBwVmI5zcaVUSzKAc/edit?usp=sharing"",""ประจวบคีรีขันธ์!I507"")+IMPORTRANGE(""https://docs.google.com/spreadsheets/d/1vVf6wykvW_lAyu7Yo9L4hUTqHqIeP_qcVuxCtosJEbg/edit?usp=sharing"",""ปราจีนบุรี!I507"")+IMPORTRANGE(""https://docs.googl"&amp;"e.com/spreadsheets/d/1BIDqLLg5jk3v59G8NlR8rk5xfQDKne0sAvZHSj7TI6I/edit?usp=sharing"",""พระนครศรีอยุธยา!I507"")+IMPORTRANGE(""https://docs.google.com/spreadsheets/d/1YXvxf8Yu6_rV4hTBrwMqAcAnv6DfhUxh5emyM3CJp_w/edit?usp=sharing"",""เพชรบุรี!I507"")+IMPORTRA"&amp;"NGE(""https://docs.google.com/spreadsheets/d/19KBlQQs7uwvsao6t2n-KvW3Ax8J8uRRfZPq1zPbXgKc/edit?usp=sharing"",""ระยอง!I507"")+IMPORTRANGE(""https://docs.google.com/spreadsheets/d/1jQ6P4QcrGM89YfqcC_PxOHGCMq5ezhucwJd8ci-NHng/edit?usp=sharing"",""ราชบุรี!I50"&amp;"7"")+IMPORTRANGE(""https://docs.google.com/spreadsheets/d/1lufeA2cfFqM-elVq2hznhDzC6Pr7wkJ9ZG_sYNGCMCU/edit?usp=sharing"",""ลพบุรี!I507"")+IMPORTRANGE(""https://docs.google.com/spreadsheets/d/10oOiF7loTyfsTkbd4MpaIm0HQ9SwB7IYHdIUvt-U1Uc/edit?usp=sharing"""&amp;",""สระแก้ว!I507"")+IMPORTRANGE(""https://docs.google.com/spreadsheets/d/1xmPlrr1QbdSIKvl1dWUl9K4PjAfSL9oeMr_37QVzcxc/edit?usp=sharing"",""สระบุรี!I507"")+IMPORTRANGE(""https://docs.google.com/spreadsheets/d/1j51vR6CYVGhABJpv6tkstgok82RLpXieLzW1yOY5rHw/edi"&amp;"t?usp=sharing"",""สิงห์บุรี!I507"")+IMPORTRANGE(""https://docs.google.com/spreadsheets/d/1H1EalTWKUSzO4Z1-1CwzoDUaVffgrThEBe2sl74kKG0/edit?usp=sharing"",""สุพรรณบุรี!I507"")+IMPORTRANGE(""https://docs.google.com/spreadsheets/d/1BmIruG_sIrJLYao_Pdr7zVArWsf"&amp;"oBt2692TMi6x_854/edit?usp=sharing"",""อ่างทอง!I507"")"),0)</f>
        <v>0</v>
      </c>
      <c r="J508" s="294">
        <f ca="1">IFERROR(__xludf.DUMMYFUNCTION("IMPORTRANGE(""https://docs.google.com/spreadsheets/d/13wPX838HrBrQMCywv1BsuMkt4PEKTChp52zj44s2izQ/edit?usp=sharing"",""กาญจนบุรี!J507"")+IMPORTRANGE(""https://docs.google.com/spreadsheets/d/1ddFKvqj1W1NEiWytbGlB1zMx_ykJDVtmfEQ-6-lIUBA/edit?usp=sharing"","&amp;"""จันทบุรี!J507"")+IMPORTRANGE(""https://docs.google.com/spreadsheets/d/1T1PQvRODqOBZk8BRht_U031fIS1beLA0Ub2CEytj2q0/edit?usp=sharing"",""ฉะเชิงเทรา!J507"")+IMPORTRANGE(""https://docs.google.com/spreadsheets/d/11tr1B-Bhyr79v2bkwVh5h_fR-PStkgjlZtkrZpYurG0/"&amp;"edit?usp=sharing"",""ชลบุรี!J507"")+IMPORTRANGE(""https://docs.google.com/spreadsheets/d/1hh-FVnSX0vozXhGluamEcS54Dw9_zqW0N7qJUWgJ0Sw/edit?usp=sharing"",""ชัยนาท!J507"")+IMPORTRANGE(""https://docs.google.com/spreadsheets/d/1jkqa6GXxSacMcY1eN8AHjMNJ_7dDXMJ"&amp;"VRLDlaFSOdPM/edit?usp=sharing"",""ตราด!J507"")+IMPORTRANGE(""https://docs.google.com/spreadsheets/d/18hSgUJ3VwClqi_qtULmmW3cLr0oe3OKaSYoKzdpTsYQ/edit?usp=sharing"",""นครนายก!J507"")+IMPORTRANGE(""https://docs.google.com/spreadsheets/d/1YTZo6WM2dQ6Ix6FSdnL"&amp;"5P7uVnVKu40sxZu975tgG10E/edit?usp=sharing"",""นครปฐม!J507"")+IMPORTRANGE(""https://docs.google.com/spreadsheets/d/1OYoGg4WDg5RIzwGeB10padOxJF9E_Vljuvvct_M7RDo/edit?usp=sharing"",""ปทุมธานี!J507"")+IMPORTRANGE(""https://docs.google.com/spreadsheets/d/1GbCI"&amp;"E4D4wk9FUozzqk7SxfDMxDVBwVmI5zcaVUSzKAc/edit?usp=sharing"",""ประจวบคีรีขันธ์!J507"")+IMPORTRANGE(""https://docs.google.com/spreadsheets/d/1vVf6wykvW_lAyu7Yo9L4hUTqHqIeP_qcVuxCtosJEbg/edit?usp=sharing"",""ปราจีนบุรี!J507"")+IMPORTRANGE(""https://docs.googl"&amp;"e.com/spreadsheets/d/1BIDqLLg5jk3v59G8NlR8rk5xfQDKne0sAvZHSj7TI6I/edit?usp=sharing"",""พระนครศรีอยุธยา!J507"")+IMPORTRANGE(""https://docs.google.com/spreadsheets/d/1YXvxf8Yu6_rV4hTBrwMqAcAnv6DfhUxh5emyM3CJp_w/edit?usp=sharing"",""เพชรบุรี!J507"")+IMPORTRA"&amp;"NGE(""https://docs.google.com/spreadsheets/d/19KBlQQs7uwvsao6t2n-KvW3Ax8J8uRRfZPq1zPbXgKc/edit?usp=sharing"",""ระยอง!J507"")+IMPORTRANGE(""https://docs.google.com/spreadsheets/d/1jQ6P4QcrGM89YfqcC_PxOHGCMq5ezhucwJd8ci-NHng/edit?usp=sharing"",""ราชบุรี!J50"&amp;"7"")+IMPORTRANGE(""https://docs.google.com/spreadsheets/d/1lufeA2cfFqM-elVq2hznhDzC6Pr7wkJ9ZG_sYNGCMCU/edit?usp=sharing"",""ลพบุรี!J507"")+IMPORTRANGE(""https://docs.google.com/spreadsheets/d/10oOiF7loTyfsTkbd4MpaIm0HQ9SwB7IYHdIUvt-U1Uc/edit?usp=sharing"""&amp;",""สระแก้ว!J507"")+IMPORTRANGE(""https://docs.google.com/spreadsheets/d/1xmPlrr1QbdSIKvl1dWUl9K4PjAfSL9oeMr_37QVzcxc/edit?usp=sharing"",""สระบุรี!J507"")+IMPORTRANGE(""https://docs.google.com/spreadsheets/d/1j51vR6CYVGhABJpv6tkstgok82RLpXieLzW1yOY5rHw/edi"&amp;"t?usp=sharing"",""สิงห์บุรี!J507"")+IMPORTRANGE(""https://docs.google.com/spreadsheets/d/1H1EalTWKUSzO4Z1-1CwzoDUaVffgrThEBe2sl74kKG0/edit?usp=sharing"",""สุพรรณบุรี!J507"")+IMPORTRANGE(""https://docs.google.com/spreadsheets/d/1BmIruG_sIrJLYao_Pdr7zVArWsf"&amp;"oBt2692TMi6x_854/edit?usp=sharing"",""อ่างทอง!J507"")"),0)</f>
        <v>0</v>
      </c>
      <c r="K508" s="74">
        <f t="shared" ca="1" si="352"/>
        <v>0</v>
      </c>
      <c r="L508" s="87"/>
      <c r="M508" s="87"/>
      <c r="N508" s="87"/>
      <c r="O508" s="87"/>
      <c r="P508" s="87"/>
      <c r="Q508" s="86"/>
      <c r="R508" s="87"/>
      <c r="S508" s="87"/>
      <c r="T508" s="87"/>
      <c r="U508" s="87"/>
    </row>
    <row r="509" spans="1:21" ht="18.75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52"/>
        <v>0</v>
      </c>
      <c r="L509" s="87"/>
      <c r="M509" s="87"/>
      <c r="N509" s="87"/>
      <c r="O509" s="87"/>
      <c r="P509" s="87"/>
      <c r="Q509" s="86"/>
      <c r="R509" s="87"/>
      <c r="S509" s="87"/>
      <c r="T509" s="87"/>
      <c r="U509" s="87"/>
    </row>
    <row r="510" spans="1:21" ht="19.5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293">
        <f ca="1">IFERROR(__xludf.DUMMYFUNCTION("IMPORTRANGE(""https://docs.google.com/spreadsheets/d/13wPX838HrBrQMCywv1BsuMkt4PEKTChp52zj44s2izQ/edit?usp=sharing"",""กาญจนบุรี!I509"")+IMPORTRANGE(""https://docs.google.com/spreadsheets/d/1ddFKvqj1W1NEiWytbGlB1zMx_ykJDVtmfEQ-6-lIUBA/edit?usp=sharing"","&amp;"""จันทบุรี!I509"")+IMPORTRANGE(""https://docs.google.com/spreadsheets/d/1T1PQvRODqOBZk8BRht_U031fIS1beLA0Ub2CEytj2q0/edit?usp=sharing"",""ฉะเชิงเทรา!I509"")+IMPORTRANGE(""https://docs.google.com/spreadsheets/d/11tr1B-Bhyr79v2bkwVh5h_fR-PStkgjlZtkrZpYurG0/"&amp;"edit?usp=sharing"",""ชลบุรี!I509"")+IMPORTRANGE(""https://docs.google.com/spreadsheets/d/1hh-FVnSX0vozXhGluamEcS54Dw9_zqW0N7qJUWgJ0Sw/edit?usp=sharing"",""ชัยนาท!I509"")+IMPORTRANGE(""https://docs.google.com/spreadsheets/d/1jkqa6GXxSacMcY1eN8AHjMNJ_7dDXMJ"&amp;"VRLDlaFSOdPM/edit?usp=sharing"",""ตราด!I509"")+IMPORTRANGE(""https://docs.google.com/spreadsheets/d/18hSgUJ3VwClqi_qtULmmW3cLr0oe3OKaSYoKzdpTsYQ/edit?usp=sharing"",""นครนายก!I509"")+IMPORTRANGE(""https://docs.google.com/spreadsheets/d/1YTZo6WM2dQ6Ix6FSdnL"&amp;"5P7uVnVKu40sxZu975tgG10E/edit?usp=sharing"",""นครปฐม!I509"")+IMPORTRANGE(""https://docs.google.com/spreadsheets/d/1OYoGg4WDg5RIzwGeB10padOxJF9E_Vljuvvct_M7RDo/edit?usp=sharing"",""ปทุมธานี!I509"")+IMPORTRANGE(""https://docs.google.com/spreadsheets/d/1GbCI"&amp;"E4D4wk9FUozzqk7SxfDMxDVBwVmI5zcaVUSzKAc/edit?usp=sharing"",""ประจวบคีรีขันธ์!I509"")+IMPORTRANGE(""https://docs.google.com/spreadsheets/d/1vVf6wykvW_lAyu7Yo9L4hUTqHqIeP_qcVuxCtosJEbg/edit?usp=sharing"",""ปราจีนบุรี!I509"")+IMPORTRANGE(""https://docs.googl"&amp;"e.com/spreadsheets/d/1BIDqLLg5jk3v59G8NlR8rk5xfQDKne0sAvZHSj7TI6I/edit?usp=sharing"",""พระนครศรีอยุธยา!I509"")+IMPORTRANGE(""https://docs.google.com/spreadsheets/d/1YXvxf8Yu6_rV4hTBrwMqAcAnv6DfhUxh5emyM3CJp_w/edit?usp=sharing"",""เพชรบุรี!I509"")+IMPORTRA"&amp;"NGE(""https://docs.google.com/spreadsheets/d/19KBlQQs7uwvsao6t2n-KvW3Ax8J8uRRfZPq1zPbXgKc/edit?usp=sharing"",""ระยอง!I509"")+IMPORTRANGE(""https://docs.google.com/spreadsheets/d/1jQ6P4QcrGM89YfqcC_PxOHGCMq5ezhucwJd8ci-NHng/edit?usp=sharing"",""ราชบุรี!I50"&amp;"9"")+IMPORTRANGE(""https://docs.google.com/spreadsheets/d/1lufeA2cfFqM-elVq2hznhDzC6Pr7wkJ9ZG_sYNGCMCU/edit?usp=sharing"",""ลพบุรี!I509"")+IMPORTRANGE(""https://docs.google.com/spreadsheets/d/10oOiF7loTyfsTkbd4MpaIm0HQ9SwB7IYHdIUvt-U1Uc/edit?usp=sharing"""&amp;",""สระแก้ว!I509"")+IMPORTRANGE(""https://docs.google.com/spreadsheets/d/1xmPlrr1QbdSIKvl1dWUl9K4PjAfSL9oeMr_37QVzcxc/edit?usp=sharing"",""สระบุรี!I509"")+IMPORTRANGE(""https://docs.google.com/spreadsheets/d/1j51vR6CYVGhABJpv6tkstgok82RLpXieLzW1yOY5rHw/edi"&amp;"t?usp=sharing"",""สิงห์บุรี!I509"")+IMPORTRANGE(""https://docs.google.com/spreadsheets/d/1H1EalTWKUSzO4Z1-1CwzoDUaVffgrThEBe2sl74kKG0/edit?usp=sharing"",""สุพรรณบุรี!I509"")+IMPORTRANGE(""https://docs.google.com/spreadsheets/d/1BmIruG_sIrJLYao_Pdr7zVArWsf"&amp;"oBt2692TMi6x_854/edit?usp=sharing"",""อ่างทอง!I509"")"),0)</f>
        <v>0</v>
      </c>
      <c r="J510" s="294">
        <f ca="1">IFERROR(__xludf.DUMMYFUNCTION("IMPORTRANGE(""https://docs.google.com/spreadsheets/d/13wPX838HrBrQMCywv1BsuMkt4PEKTChp52zj44s2izQ/edit?usp=sharing"",""กาญจนบุรี!J509"")+IMPORTRANGE(""https://docs.google.com/spreadsheets/d/1ddFKvqj1W1NEiWytbGlB1zMx_ykJDVtmfEQ-6-lIUBA/edit?usp=sharing"","&amp;"""จันทบุรี!J509"")+IMPORTRANGE(""https://docs.google.com/spreadsheets/d/1T1PQvRODqOBZk8BRht_U031fIS1beLA0Ub2CEytj2q0/edit?usp=sharing"",""ฉะเชิงเทรา!J509"")+IMPORTRANGE(""https://docs.google.com/spreadsheets/d/11tr1B-Bhyr79v2bkwVh5h_fR-PStkgjlZtkrZpYurG0/"&amp;"edit?usp=sharing"",""ชลบุรี!J509"")+IMPORTRANGE(""https://docs.google.com/spreadsheets/d/1hh-FVnSX0vozXhGluamEcS54Dw9_zqW0N7qJUWgJ0Sw/edit?usp=sharing"",""ชัยนาท!J509"")+IMPORTRANGE(""https://docs.google.com/spreadsheets/d/1jkqa6GXxSacMcY1eN8AHjMNJ_7dDXMJ"&amp;"VRLDlaFSOdPM/edit?usp=sharing"",""ตราด!J509"")+IMPORTRANGE(""https://docs.google.com/spreadsheets/d/18hSgUJ3VwClqi_qtULmmW3cLr0oe3OKaSYoKzdpTsYQ/edit?usp=sharing"",""นครนายก!J509"")+IMPORTRANGE(""https://docs.google.com/spreadsheets/d/1YTZo6WM2dQ6Ix6FSdnL"&amp;"5P7uVnVKu40sxZu975tgG10E/edit?usp=sharing"",""นครปฐม!J509"")+IMPORTRANGE(""https://docs.google.com/spreadsheets/d/1OYoGg4WDg5RIzwGeB10padOxJF9E_Vljuvvct_M7RDo/edit?usp=sharing"",""ปทุมธานี!J509"")+IMPORTRANGE(""https://docs.google.com/spreadsheets/d/1GbCI"&amp;"E4D4wk9FUozzqk7SxfDMxDVBwVmI5zcaVUSzKAc/edit?usp=sharing"",""ประจวบคีรีขันธ์!J509"")+IMPORTRANGE(""https://docs.google.com/spreadsheets/d/1vVf6wykvW_lAyu7Yo9L4hUTqHqIeP_qcVuxCtosJEbg/edit?usp=sharing"",""ปราจีนบุรี!J509"")+IMPORTRANGE(""https://docs.googl"&amp;"e.com/spreadsheets/d/1BIDqLLg5jk3v59G8NlR8rk5xfQDKne0sAvZHSj7TI6I/edit?usp=sharing"",""พระนครศรีอยุธยา!J509"")+IMPORTRANGE(""https://docs.google.com/spreadsheets/d/1YXvxf8Yu6_rV4hTBrwMqAcAnv6DfhUxh5emyM3CJp_w/edit?usp=sharing"",""เพชรบุรี!J509"")+IMPORTRA"&amp;"NGE(""https://docs.google.com/spreadsheets/d/19KBlQQs7uwvsao6t2n-KvW3Ax8J8uRRfZPq1zPbXgKc/edit?usp=sharing"",""ระยอง!J509"")+IMPORTRANGE(""https://docs.google.com/spreadsheets/d/1jQ6P4QcrGM89YfqcC_PxOHGCMq5ezhucwJd8ci-NHng/edit?usp=sharing"",""ราชบุรี!J50"&amp;"9"")+IMPORTRANGE(""https://docs.google.com/spreadsheets/d/1lufeA2cfFqM-elVq2hznhDzC6Pr7wkJ9ZG_sYNGCMCU/edit?usp=sharing"",""ลพบุรี!J509"")+IMPORTRANGE(""https://docs.google.com/spreadsheets/d/10oOiF7loTyfsTkbd4MpaIm0HQ9SwB7IYHdIUvt-U1Uc/edit?usp=sharing"""&amp;",""สระแก้ว!J509"")+IMPORTRANGE(""https://docs.google.com/spreadsheets/d/1xmPlrr1QbdSIKvl1dWUl9K4PjAfSL9oeMr_37QVzcxc/edit?usp=sharing"",""สระบุรี!J509"")+IMPORTRANGE(""https://docs.google.com/spreadsheets/d/1j51vR6CYVGhABJpv6tkstgok82RLpXieLzW1yOY5rHw/edi"&amp;"t?usp=sharing"",""สิงห์บุรี!J509"")+IMPORTRANGE(""https://docs.google.com/spreadsheets/d/1H1EalTWKUSzO4Z1-1CwzoDUaVffgrThEBe2sl74kKG0/edit?usp=sharing"",""สุพรรณบุรี!J509"")+IMPORTRANGE(""https://docs.google.com/spreadsheets/d/1BmIruG_sIrJLYao_Pdr7zVArWsf"&amp;"oBt2692TMi6x_854/edit?usp=sharing"",""อ่างทอง!J509"")"),0)</f>
        <v>0</v>
      </c>
      <c r="K510" s="182">
        <f t="shared" ca="1" si="352"/>
        <v>0</v>
      </c>
      <c r="L510" s="98"/>
      <c r="M510" s="98"/>
      <c r="N510" s="98"/>
      <c r="O510" s="98"/>
      <c r="P510" s="98"/>
      <c r="Q510" s="97"/>
      <c r="R510" s="98"/>
      <c r="S510" s="98"/>
      <c r="T510" s="98"/>
      <c r="U510" s="98"/>
    </row>
    <row r="511" spans="1:21" ht="19.5" hidden="1" x14ac:dyDescent="0.3">
      <c r="A511" s="638" t="s">
        <v>205</v>
      </c>
      <c r="B511" s="639"/>
      <c r="C511" s="639"/>
      <c r="D511" s="639"/>
      <c r="E511" s="640"/>
      <c r="F511" s="640"/>
      <c r="G511" s="640"/>
      <c r="H511" s="640"/>
      <c r="I511" s="641"/>
      <c r="J511" s="641"/>
      <c r="K511" s="642"/>
      <c r="L511" s="642"/>
      <c r="M511" s="642"/>
      <c r="N511" s="642"/>
      <c r="O511" s="642"/>
      <c r="P511" s="643"/>
      <c r="Q511" s="644"/>
      <c r="R511" s="645"/>
      <c r="S511" s="645"/>
      <c r="T511" s="645"/>
      <c r="U511" s="645"/>
    </row>
    <row r="512" spans="1:21" ht="19.5" hidden="1" x14ac:dyDescent="0.3">
      <c r="A512" s="646" t="s">
        <v>206</v>
      </c>
      <c r="B512" s="647"/>
      <c r="C512" s="647"/>
      <c r="D512" s="648"/>
      <c r="E512" s="647"/>
      <c r="F512" s="647"/>
      <c r="G512" s="647"/>
      <c r="H512" s="649"/>
      <c r="I512" s="650"/>
      <c r="J512" s="650"/>
      <c r="K512" s="651"/>
      <c r="L512" s="651"/>
      <c r="M512" s="651"/>
      <c r="N512" s="651"/>
      <c r="O512" s="651"/>
      <c r="P512" s="651"/>
      <c r="Q512" s="652"/>
      <c r="R512" s="653"/>
      <c r="S512" s="653"/>
      <c r="T512" s="653"/>
      <c r="U512" s="653"/>
    </row>
    <row r="513" spans="1:21" ht="19.5" hidden="1" x14ac:dyDescent="0.3">
      <c r="A513" s="654"/>
      <c r="B513" s="655" t="s">
        <v>207</v>
      </c>
      <c r="C513" s="656"/>
      <c r="D513" s="657"/>
      <c r="E513" s="657"/>
      <c r="F513" s="657"/>
      <c r="G513" s="658"/>
      <c r="H513" s="659" t="s">
        <v>61</v>
      </c>
      <c r="I513" s="660">
        <f t="shared" ref="I513:J513" si="353">I525</f>
        <v>0</v>
      </c>
      <c r="J513" s="660">
        <f t="shared" si="353"/>
        <v>0</v>
      </c>
      <c r="K513" s="661">
        <f>IF(I513&gt;0,J513*100/I513,0)</f>
        <v>0</v>
      </c>
      <c r="L513" s="662"/>
      <c r="M513" s="662"/>
      <c r="N513" s="662"/>
      <c r="O513" s="662"/>
      <c r="P513" s="662"/>
      <c r="Q513" s="663"/>
      <c r="R513" s="664"/>
      <c r="S513" s="664"/>
      <c r="T513" s="664"/>
      <c r="U513" s="664"/>
    </row>
    <row r="514" spans="1:21" ht="19.5" hidden="1" x14ac:dyDescent="0.3">
      <c r="A514" s="209"/>
      <c r="B514" s="67"/>
      <c r="C514" s="210" t="s">
        <v>18</v>
      </c>
      <c r="D514" s="211" t="s">
        <v>19</v>
      </c>
      <c r="E514" s="67"/>
      <c r="F514" s="67"/>
      <c r="G514" s="69"/>
      <c r="H514" s="212" t="s">
        <v>14</v>
      </c>
      <c r="I514" s="71"/>
      <c r="J514" s="71"/>
      <c r="K514" s="72"/>
      <c r="L514" s="213">
        <f t="shared" ref="L514:N514" ca="1" si="354">L515+L516</f>
        <v>0</v>
      </c>
      <c r="M514" s="213">
        <f t="shared" ca="1" si="354"/>
        <v>0</v>
      </c>
      <c r="N514" s="213">
        <f t="shared" ca="1" si="354"/>
        <v>0</v>
      </c>
      <c r="O514" s="213">
        <f t="shared" ref="O514:O522" ca="1" si="355">IF(L514&gt;0,N514*100/L514,0)</f>
        <v>0</v>
      </c>
      <c r="P514" s="213">
        <f t="shared" ref="P514:P522" ca="1" si="356">IF(M514&gt;0,N514*100/M514,0)</f>
        <v>0</v>
      </c>
      <c r="Q514" s="214">
        <f t="shared" ref="Q514:S514" ca="1" si="357">Q515+Q516</f>
        <v>0</v>
      </c>
      <c r="R514" s="215">
        <f t="shared" ca="1" si="357"/>
        <v>0</v>
      </c>
      <c r="S514" s="215">
        <f t="shared" ca="1" si="357"/>
        <v>0</v>
      </c>
      <c r="T514" s="215">
        <f t="shared" ref="T514:T522" ca="1" si="358">IF(Q514&gt;0,S514*100/Q514,0)</f>
        <v>0</v>
      </c>
      <c r="U514" s="215">
        <f t="shared" ref="U514:U522" ca="1" si="359">IF(R514&gt;0,S514*100/R514,0)</f>
        <v>0</v>
      </c>
    </row>
    <row r="515" spans="1:21" ht="18.75" hidden="1" x14ac:dyDescent="0.25">
      <c r="A515" s="209"/>
      <c r="B515" s="67"/>
      <c r="C515" s="67"/>
      <c r="D515" s="67"/>
      <c r="E515" s="75" t="s">
        <v>20</v>
      </c>
      <c r="F515" s="67"/>
      <c r="G515" s="69"/>
      <c r="H515" s="216" t="s">
        <v>14</v>
      </c>
      <c r="I515" s="71"/>
      <c r="J515" s="71"/>
      <c r="K515" s="72"/>
      <c r="L515" s="88">
        <f t="shared" ref="L515:N515" ca="1" si="360">L518+L521</f>
        <v>0</v>
      </c>
      <c r="M515" s="88">
        <f t="shared" ca="1" si="360"/>
        <v>0</v>
      </c>
      <c r="N515" s="88">
        <f t="shared" ca="1" si="360"/>
        <v>0</v>
      </c>
      <c r="O515" s="88">
        <f t="shared" ca="1" si="355"/>
        <v>0</v>
      </c>
      <c r="P515" s="88">
        <f t="shared" ca="1" si="356"/>
        <v>0</v>
      </c>
      <c r="Q515" s="217">
        <f t="shared" ref="Q515:S515" ca="1" si="361">Q518+Q521</f>
        <v>0</v>
      </c>
      <c r="R515" s="133">
        <f t="shared" ca="1" si="361"/>
        <v>0</v>
      </c>
      <c r="S515" s="133">
        <f t="shared" ca="1" si="361"/>
        <v>0</v>
      </c>
      <c r="T515" s="133">
        <f t="shared" ca="1" si="358"/>
        <v>0</v>
      </c>
      <c r="U515" s="133">
        <f t="shared" ca="1" si="359"/>
        <v>0</v>
      </c>
    </row>
    <row r="516" spans="1:21" ht="18.75" hidden="1" x14ac:dyDescent="0.25">
      <c r="A516" s="209"/>
      <c r="B516" s="67"/>
      <c r="C516" s="67"/>
      <c r="D516" s="67"/>
      <c r="E516" s="75" t="s">
        <v>21</v>
      </c>
      <c r="F516" s="67"/>
      <c r="G516" s="69"/>
      <c r="H516" s="216" t="s">
        <v>14</v>
      </c>
      <c r="I516" s="71"/>
      <c r="J516" s="71"/>
      <c r="K516" s="72"/>
      <c r="L516" s="88">
        <f t="shared" ref="L516:N516" ca="1" si="362">L519+L522</f>
        <v>0</v>
      </c>
      <c r="M516" s="88">
        <f t="shared" ca="1" si="362"/>
        <v>0</v>
      </c>
      <c r="N516" s="88">
        <f t="shared" ca="1" si="362"/>
        <v>0</v>
      </c>
      <c r="O516" s="88">
        <f t="shared" ca="1" si="355"/>
        <v>0</v>
      </c>
      <c r="P516" s="88">
        <f t="shared" ca="1" si="356"/>
        <v>0</v>
      </c>
      <c r="Q516" s="131">
        <f t="shared" ref="Q516:S516" ca="1" si="363">Q519+Q522</f>
        <v>0</v>
      </c>
      <c r="R516" s="132">
        <f t="shared" ca="1" si="363"/>
        <v>0</v>
      </c>
      <c r="S516" s="132">
        <f t="shared" ca="1" si="363"/>
        <v>0</v>
      </c>
      <c r="T516" s="132">
        <f t="shared" ca="1" si="358"/>
        <v>0</v>
      </c>
      <c r="U516" s="132">
        <f t="shared" ca="1" si="359"/>
        <v>0</v>
      </c>
    </row>
    <row r="517" spans="1:21" ht="18.75" hidden="1" x14ac:dyDescent="0.25">
      <c r="A517" s="209"/>
      <c r="B517" s="67"/>
      <c r="C517" s="67"/>
      <c r="D517" s="68" t="s">
        <v>22</v>
      </c>
      <c r="E517" s="67"/>
      <c r="F517" s="67"/>
      <c r="G517" s="69"/>
      <c r="H517" s="218" t="s">
        <v>14</v>
      </c>
      <c r="I517" s="219"/>
      <c r="J517" s="219"/>
      <c r="K517" s="220"/>
      <c r="L517" s="88">
        <f t="shared" ref="L517:N517" ca="1" si="364">L518+L519</f>
        <v>0</v>
      </c>
      <c r="M517" s="88">
        <f t="shared" ca="1" si="364"/>
        <v>0</v>
      </c>
      <c r="N517" s="88">
        <f t="shared" ca="1" si="364"/>
        <v>0</v>
      </c>
      <c r="O517" s="88">
        <f t="shared" ca="1" si="355"/>
        <v>0</v>
      </c>
      <c r="P517" s="88">
        <f t="shared" ca="1" si="356"/>
        <v>0</v>
      </c>
      <c r="Q517" s="131">
        <f t="shared" ref="Q517:S517" ca="1" si="365">Q518+Q519</f>
        <v>0</v>
      </c>
      <c r="R517" s="132">
        <f t="shared" ca="1" si="365"/>
        <v>0</v>
      </c>
      <c r="S517" s="132">
        <f t="shared" ca="1" si="365"/>
        <v>0</v>
      </c>
      <c r="T517" s="132">
        <f t="shared" ca="1" si="358"/>
        <v>0</v>
      </c>
      <c r="U517" s="132">
        <f t="shared" ca="1" si="359"/>
        <v>0</v>
      </c>
    </row>
    <row r="518" spans="1:21" ht="18.75" hidden="1" x14ac:dyDescent="0.25">
      <c r="A518" s="209"/>
      <c r="B518" s="67"/>
      <c r="C518" s="67"/>
      <c r="D518" s="67"/>
      <c r="E518" s="75" t="s">
        <v>36</v>
      </c>
      <c r="F518" s="67"/>
      <c r="G518" s="69"/>
      <c r="H518" s="218" t="s">
        <v>14</v>
      </c>
      <c r="I518" s="219"/>
      <c r="J518" s="219"/>
      <c r="K518" s="220"/>
      <c r="L518" s="88">
        <f ca="1">IFERROR(__xludf.DUMMYFUNCTION("IMPORTRANGE(""https://docs.google.com/spreadsheets/d/13wPX838HrBrQMCywv1BsuMkt4PEKTChp52zj44s2izQ/edit?usp=sharing"",""กาญจนบุรี!L517"")+IMPORTRANGE(""https://docs.google.com/spreadsheets/d/1ddFKvqj1W1NEiWytbGlB1zMx_ykJDVtmfEQ-6-lIUBA/edit?usp=sharing"","&amp;"""จันทบุรี!L517"")+IMPORTRANGE(""https://docs.google.com/spreadsheets/d/1T1PQvRODqOBZk8BRht_U031fIS1beLA0Ub2CEytj2q0/edit?usp=sharing"",""ฉะเชิงเทรา!L517"")+IMPORTRANGE(""https://docs.google.com/spreadsheets/d/11tr1B-Bhyr79v2bkwVh5h_fR-PStkgjlZtkrZpYurG0/"&amp;"edit?usp=sharing"",""ชลบุรี!L517"")+IMPORTRANGE(""https://docs.google.com/spreadsheets/d/1hh-FVnSX0vozXhGluamEcS54Dw9_zqW0N7qJUWgJ0Sw/edit?usp=sharing"",""ชัยนาท!L517"")+IMPORTRANGE(""https://docs.google.com/spreadsheets/d/1jkqa6GXxSacMcY1eN8AHjMNJ_7dDXMJ"&amp;"VRLDlaFSOdPM/edit?usp=sharing"",""ตราด!L517"")+IMPORTRANGE(""https://docs.google.com/spreadsheets/d/18hSgUJ3VwClqi_qtULmmW3cLr0oe3OKaSYoKzdpTsYQ/edit?usp=sharing"",""นครนายก!L517"")+IMPORTRANGE(""https://docs.google.com/spreadsheets/d/1YTZo6WM2dQ6Ix6FSdnL"&amp;"5P7uVnVKu40sxZu975tgG10E/edit?usp=sharing"",""นครปฐม!L517"")+IMPORTRANGE(""https://docs.google.com/spreadsheets/d/1OYoGg4WDg5RIzwGeB10padOxJF9E_Vljuvvct_M7RDo/edit?usp=sharing"",""ปทุมธานี!L517"")+IMPORTRANGE(""https://docs.google.com/spreadsheets/d/1GbCI"&amp;"E4D4wk9FUozzqk7SxfDMxDVBwVmI5zcaVUSzKAc/edit?usp=sharing"",""ประจวบคีรีขันธ์!L517"")+IMPORTRANGE(""https://docs.google.com/spreadsheets/d/1vVf6wykvW_lAyu7Yo9L4hUTqHqIeP_qcVuxCtosJEbg/edit?usp=sharing"",""ปราจีนบุรี!L517"")+IMPORTRANGE(""https://docs.googl"&amp;"e.com/spreadsheets/d/1BIDqLLg5jk3v59G8NlR8rk5xfQDKne0sAvZHSj7TI6I/edit?usp=sharing"",""พระนครศรีอยุธยา!L517"")+IMPORTRANGE(""https://docs.google.com/spreadsheets/d/1YXvxf8Yu6_rV4hTBrwMqAcAnv6DfhUxh5emyM3CJp_w/edit?usp=sharing"",""เพชรบุรี!L517"")+IMPORTRA"&amp;"NGE(""https://docs.google.com/spreadsheets/d/19KBlQQs7uwvsao6t2n-KvW3Ax8J8uRRfZPq1zPbXgKc/edit?usp=sharing"",""ระยอง!L517"")+IMPORTRANGE(""https://docs.google.com/spreadsheets/d/1jQ6P4QcrGM89YfqcC_PxOHGCMq5ezhucwJd8ci-NHng/edit?usp=sharing"",""ราชบุรี!L51"&amp;"7"")+IMPORTRANGE(""https://docs.google.com/spreadsheets/d/1lufeA2cfFqM-elVq2hznhDzC6Pr7wkJ9ZG_sYNGCMCU/edit?usp=sharing"",""ลพบุรี!L517"")+IMPORTRANGE(""https://docs.google.com/spreadsheets/d/10oOiF7loTyfsTkbd4MpaIm0HQ9SwB7IYHdIUvt-U1Uc/edit?usp=sharing"""&amp;",""สระแก้ว!L517"")+IMPORTRANGE(""https://docs.google.com/spreadsheets/d/1xmPlrr1QbdSIKvl1dWUl9K4PjAfSL9oeMr_37QVzcxc/edit?usp=sharing"",""สระบุรี!L517"")+IMPORTRANGE(""https://docs.google.com/spreadsheets/d/1j51vR6CYVGhABJpv6tkstgok82RLpXieLzW1yOY5rHw/edi"&amp;"t?usp=sharing"",""สิงห์บุรี!L517"")+IMPORTRANGE(""https://docs.google.com/spreadsheets/d/1H1EalTWKUSzO4Z1-1CwzoDUaVffgrThEBe2sl74kKG0/edit?usp=sharing"",""สุพรรณบุรี!L517"")+IMPORTRANGE(""https://docs.google.com/spreadsheets/d/1BmIruG_sIrJLYao_Pdr7zVArWsf"&amp;"oBt2692TMi6x_854/edit?usp=sharing"",""อ่างทอง!L517"")"),0)</f>
        <v>0</v>
      </c>
      <c r="M518" s="88">
        <f ca="1">IFERROR(__xludf.DUMMYFUNCTION("IMPORTRANGE(""https://docs.google.com/spreadsheets/d/13wPX838HrBrQMCywv1BsuMkt4PEKTChp52zj44s2izQ/edit?usp=sharing"",""กาญจนบุรี!M517"")+IMPORTRANGE(""https://docs.google.com/spreadsheets/d/1ddFKvqj1W1NEiWytbGlB1zMx_ykJDVtmfEQ-6-lIUBA/edit?usp=sharing"","&amp;"""จันทบุรี!M517"")+IMPORTRANGE(""https://docs.google.com/spreadsheets/d/1T1PQvRODqOBZk8BRht_U031fIS1beLA0Ub2CEytj2q0/edit?usp=sharing"",""ฉะเชิงเทรา!M517"")+IMPORTRANGE(""https://docs.google.com/spreadsheets/d/11tr1B-Bhyr79v2bkwVh5h_fR-PStkgjlZtkrZpYurG0/"&amp;"edit?usp=sharing"",""ชลบุรี!M517"")+IMPORTRANGE(""https://docs.google.com/spreadsheets/d/1hh-FVnSX0vozXhGluamEcS54Dw9_zqW0N7qJUWgJ0Sw/edit?usp=sharing"",""ชัยนาท!M517"")+IMPORTRANGE(""https://docs.google.com/spreadsheets/d/1jkqa6GXxSacMcY1eN8AHjMNJ_7dDXMJ"&amp;"VRLDlaFSOdPM/edit?usp=sharing"",""ตราด!M517"")+IMPORTRANGE(""https://docs.google.com/spreadsheets/d/18hSgUJ3VwClqi_qtULmmW3cLr0oe3OKaSYoKzdpTsYQ/edit?usp=sharing"",""นครนายก!M517"")+IMPORTRANGE(""https://docs.google.com/spreadsheets/d/1YTZo6WM2dQ6Ix6FSdnL"&amp;"5P7uVnVKu40sxZu975tgG10E/edit?usp=sharing"",""นครปฐม!M517"")+IMPORTRANGE(""https://docs.google.com/spreadsheets/d/1OYoGg4WDg5RIzwGeB10padOxJF9E_Vljuvvct_M7RDo/edit?usp=sharing"",""ปทุมธานี!M517"")+IMPORTRANGE(""https://docs.google.com/spreadsheets/d/1GbCI"&amp;"E4D4wk9FUozzqk7SxfDMxDVBwVmI5zcaVUSzKAc/edit?usp=sharing"",""ประจวบคีรีขันธ์!M517"")+IMPORTRANGE(""https://docs.google.com/spreadsheets/d/1vVf6wykvW_lAyu7Yo9L4hUTqHqIeP_qcVuxCtosJEbg/edit?usp=sharing"",""ปราจีนบุรี!M517"")+IMPORTRANGE(""https://docs.googl"&amp;"e.com/spreadsheets/d/1BIDqLLg5jk3v59G8NlR8rk5xfQDKne0sAvZHSj7TI6I/edit?usp=sharing"",""พระนครศรีอยุธยา!M517"")+IMPORTRANGE(""https://docs.google.com/spreadsheets/d/1YXvxf8Yu6_rV4hTBrwMqAcAnv6DfhUxh5emyM3CJp_w/edit?usp=sharing"",""เพชรบุรี!M517"")+IMPORTRA"&amp;"NGE(""https://docs.google.com/spreadsheets/d/19KBlQQs7uwvsao6t2n-KvW3Ax8J8uRRfZPq1zPbXgKc/edit?usp=sharing"",""ระยอง!M517"")+IMPORTRANGE(""https://docs.google.com/spreadsheets/d/1jQ6P4QcrGM89YfqcC_PxOHGCMq5ezhucwJd8ci-NHng/edit?usp=sharing"",""ราชบุรี!M51"&amp;"7"")+IMPORTRANGE(""https://docs.google.com/spreadsheets/d/1lufeA2cfFqM-elVq2hznhDzC6Pr7wkJ9ZG_sYNGCMCU/edit?usp=sharing"",""ลพบุรี!M517"")+IMPORTRANGE(""https://docs.google.com/spreadsheets/d/10oOiF7loTyfsTkbd4MpaIm0HQ9SwB7IYHdIUvt-U1Uc/edit?usp=sharing"""&amp;",""สระแก้ว!M517"")+IMPORTRANGE(""https://docs.google.com/spreadsheets/d/1xmPlrr1QbdSIKvl1dWUl9K4PjAfSL9oeMr_37QVzcxc/edit?usp=sharing"",""สระบุรี!M517"")+IMPORTRANGE(""https://docs.google.com/spreadsheets/d/1j51vR6CYVGhABJpv6tkstgok82RLpXieLzW1yOY5rHw/edi"&amp;"t?usp=sharing"",""สิงห์บุรี!M517"")+IMPORTRANGE(""https://docs.google.com/spreadsheets/d/1H1EalTWKUSzO4Z1-1CwzoDUaVffgrThEBe2sl74kKG0/edit?usp=sharing"",""สุพรรณบุรี!M517"")+IMPORTRANGE(""https://docs.google.com/spreadsheets/d/1BmIruG_sIrJLYao_Pdr7zVArWsf"&amp;"oBt2692TMi6x_854/edit?usp=sharing"",""อ่างทอง!M517"")"),0)</f>
        <v>0</v>
      </c>
      <c r="N518" s="88">
        <f ca="1">IFERROR(__xludf.DUMMYFUNCTION("IMPORTRANGE(""https://docs.google.com/spreadsheets/d/13wPX838HrBrQMCywv1BsuMkt4PEKTChp52zj44s2izQ/edit?usp=sharing"",""กาญจนบุรี!N517"")+IMPORTRANGE(""https://docs.google.com/spreadsheets/d/1ddFKvqj1W1NEiWytbGlB1zMx_ykJDVtmfEQ-6-lIUBA/edit?usp=sharing"","&amp;"""จันทบุรี!N517"")+IMPORTRANGE(""https://docs.google.com/spreadsheets/d/1T1PQvRODqOBZk8BRht_U031fIS1beLA0Ub2CEytj2q0/edit?usp=sharing"",""ฉะเชิงเทรา!N517"")+IMPORTRANGE(""https://docs.google.com/spreadsheets/d/11tr1B-Bhyr79v2bkwVh5h_fR-PStkgjlZtkrZpYurG0/"&amp;"edit?usp=sharing"",""ชลบุรี!N517"")+IMPORTRANGE(""https://docs.google.com/spreadsheets/d/1hh-FVnSX0vozXhGluamEcS54Dw9_zqW0N7qJUWgJ0Sw/edit?usp=sharing"",""ชัยนาท!N517"")+IMPORTRANGE(""https://docs.google.com/spreadsheets/d/1jkqa6GXxSacMcY1eN8AHjMNJ_7dDXMJ"&amp;"VRLDlaFSOdPM/edit?usp=sharing"",""ตราด!N517"")+IMPORTRANGE(""https://docs.google.com/spreadsheets/d/18hSgUJ3VwClqi_qtULmmW3cLr0oe3OKaSYoKzdpTsYQ/edit?usp=sharing"",""นครนายก!N517"")+IMPORTRANGE(""https://docs.google.com/spreadsheets/d/1YTZo6WM2dQ6Ix6FSdnL"&amp;"5P7uVnVKu40sxZu975tgG10E/edit?usp=sharing"",""นครปฐม!N517"")+IMPORTRANGE(""https://docs.google.com/spreadsheets/d/1OYoGg4WDg5RIzwGeB10padOxJF9E_Vljuvvct_M7RDo/edit?usp=sharing"",""ปทุมธานี!N517"")+IMPORTRANGE(""https://docs.google.com/spreadsheets/d/1GbCI"&amp;"E4D4wk9FUozzqk7SxfDMxDVBwVmI5zcaVUSzKAc/edit?usp=sharing"",""ประจวบคีรีขันธ์!N517"")+IMPORTRANGE(""https://docs.google.com/spreadsheets/d/1vVf6wykvW_lAyu7Yo9L4hUTqHqIeP_qcVuxCtosJEbg/edit?usp=sharing"",""ปราจีนบุรี!N517"")+IMPORTRANGE(""https://docs.googl"&amp;"e.com/spreadsheets/d/1BIDqLLg5jk3v59G8NlR8rk5xfQDKne0sAvZHSj7TI6I/edit?usp=sharing"",""พระนครศรีอยุธยา!N517"")+IMPORTRANGE(""https://docs.google.com/spreadsheets/d/1YXvxf8Yu6_rV4hTBrwMqAcAnv6DfhUxh5emyM3CJp_w/edit?usp=sharing"",""เพชรบุรี!N517"")+IMPORTRA"&amp;"NGE(""https://docs.google.com/spreadsheets/d/19KBlQQs7uwvsao6t2n-KvW3Ax8J8uRRfZPq1zPbXgKc/edit?usp=sharing"",""ระยอง!N517"")+IMPORTRANGE(""https://docs.google.com/spreadsheets/d/1jQ6P4QcrGM89YfqcC_PxOHGCMq5ezhucwJd8ci-NHng/edit?usp=sharing"",""ราชบุรี!N51"&amp;"7"")+IMPORTRANGE(""https://docs.google.com/spreadsheets/d/1lufeA2cfFqM-elVq2hznhDzC6Pr7wkJ9ZG_sYNGCMCU/edit?usp=sharing"",""ลพบุรี!N517"")+IMPORTRANGE(""https://docs.google.com/spreadsheets/d/10oOiF7loTyfsTkbd4MpaIm0HQ9SwB7IYHdIUvt-U1Uc/edit?usp=sharing"""&amp;",""สระแก้ว!N517"")+IMPORTRANGE(""https://docs.google.com/spreadsheets/d/1xmPlrr1QbdSIKvl1dWUl9K4PjAfSL9oeMr_37QVzcxc/edit?usp=sharing"",""สระบุรี!N517"")+IMPORTRANGE(""https://docs.google.com/spreadsheets/d/1j51vR6CYVGhABJpv6tkstgok82RLpXieLzW1yOY5rHw/edi"&amp;"t?usp=sharing"",""สิงห์บุรี!N517"")+IMPORTRANGE(""https://docs.google.com/spreadsheets/d/1H1EalTWKUSzO4Z1-1CwzoDUaVffgrThEBe2sl74kKG0/edit?usp=sharing"",""สุพรรณบุรี!N517"")+IMPORTRANGE(""https://docs.google.com/spreadsheets/d/1BmIruG_sIrJLYao_Pdr7zVArWsf"&amp;"oBt2692TMi6x_854/edit?usp=sharing"",""อ่างทอง!N517"")"),0)</f>
        <v>0</v>
      </c>
      <c r="O518" s="88">
        <f t="shared" ca="1" si="355"/>
        <v>0</v>
      </c>
      <c r="P518" s="88">
        <f t="shared" ca="1" si="356"/>
        <v>0</v>
      </c>
      <c r="Q518" s="76">
        <f ca="1">IFERROR(__xludf.DUMMYFUNCTION("IMPORTRANGE(""https://docs.google.com/spreadsheets/d/13wPX838HrBrQMCywv1BsuMkt4PEKTChp52zj44s2izQ/edit?usp=sharing"",""กาญจนบุรี!Q517"")+IMPORTRANGE(""https://docs.google.com/spreadsheets/d/1ddFKvqj1W1NEiWytbGlB1zMx_ykJDVtmfEQ-6-lIUBA/edit?usp=sharing"","&amp;"""จันทบุรี!Q517"")+IMPORTRANGE(""https://docs.google.com/spreadsheets/d/1T1PQvRODqOBZk8BRht_U031fIS1beLA0Ub2CEytj2q0/edit?usp=sharing"",""ฉะเชิงเทรา!Q517"")+IMPORTRANGE(""https://docs.google.com/spreadsheets/d/11tr1B-Bhyr79v2bkwVh5h_fR-PStkgjlZtkrZpYurG0/"&amp;"edit?usp=sharing"",""ชลบุรี!Q517"")+IMPORTRANGE(""https://docs.google.com/spreadsheets/d/1hh-FVnSX0vozXhGluamEcS54Dw9_zqW0N7qJUWgJ0Sw/edit?usp=sharing"",""ชัยนาท!Q517"")+IMPORTRANGE(""https://docs.google.com/spreadsheets/d/1jkqa6GXxSacMcY1eN8AHjMNJ_7dDXMJ"&amp;"VRLDlaFSOdPM/edit?usp=sharing"",""ตราด!Q517"")+IMPORTRANGE(""https://docs.google.com/spreadsheets/d/18hSgUJ3VwClqi_qtULmmW3cLr0oe3OKaSYoKzdpTsYQ/edit?usp=sharing"",""นครนายก!Q517"")+IMPORTRANGE(""https://docs.google.com/spreadsheets/d/1YTZo6WM2dQ6Ix6FSdnL"&amp;"5P7uVnVKu40sxZu975tgG10E/edit?usp=sharing"",""นครปฐม!Q517"")+IMPORTRANGE(""https://docs.google.com/spreadsheets/d/1OYoGg4WDg5RIzwGeB10padOxJF9E_Vljuvvct_M7RDo/edit?usp=sharing"",""ปทุมธานี!Q517"")+IMPORTRANGE(""https://docs.google.com/spreadsheets/d/1GbCI"&amp;"E4D4wk9FUozzqk7SxfDMxDVBwVmI5zcaVUSzKAc/edit?usp=sharing"",""ประจวบคีรีขันธ์!Q517"")+IMPORTRANGE(""https://docs.google.com/spreadsheets/d/1vVf6wykvW_lAyu7Yo9L4hUTqHqIeP_qcVuxCtosJEbg/edit?usp=sharing"",""ปราจีนบุรี!Q517"")+IMPORTRANGE(""https://docs.googl"&amp;"e.com/spreadsheets/d/1BIDqLLg5jk3v59G8NlR8rk5xfQDKne0sAvZHSj7TI6I/edit?usp=sharing"",""พระนครศรีอยุธยา!Q517"")+IMPORTRANGE(""https://docs.google.com/spreadsheets/d/1YXvxf8Yu6_rV4hTBrwMqAcAnv6DfhUxh5emyM3CJp_w/edit?usp=sharing"",""เพชรบุรี!Q517"")+IMPORTRA"&amp;"NGE(""https://docs.google.com/spreadsheets/d/19KBlQQs7uwvsao6t2n-KvW3Ax8J8uRRfZPq1zPbXgKc/edit?usp=sharing"",""ระยอง!Q517"")+IMPORTRANGE(""https://docs.google.com/spreadsheets/d/1jQ6P4QcrGM89YfqcC_PxOHGCMq5ezhucwJd8ci-NHng/edit?usp=sharing"",""ราชบุรี!Q51"&amp;"7"")+IMPORTRANGE(""https://docs.google.com/spreadsheets/d/1lufeA2cfFqM-elVq2hznhDzC6Pr7wkJ9ZG_sYNGCMCU/edit?usp=sharing"",""ลพบุรี!Q517"")+IMPORTRANGE(""https://docs.google.com/spreadsheets/d/10oOiF7loTyfsTkbd4MpaIm0HQ9SwB7IYHdIUvt-U1Uc/edit?usp=sharing"""&amp;",""สระแก้ว!Q517"")+IMPORTRANGE(""https://docs.google.com/spreadsheets/d/1xmPlrr1QbdSIKvl1dWUl9K4PjAfSL9oeMr_37QVzcxc/edit?usp=sharing"",""สระบุรี!Q517"")+IMPORTRANGE(""https://docs.google.com/spreadsheets/d/1j51vR6CYVGhABJpv6tkstgok82RLpXieLzW1yOY5rHw/edi"&amp;"t?usp=sharing"",""สิงห์บุรี!Q517"")+IMPORTRANGE(""https://docs.google.com/spreadsheets/d/1H1EalTWKUSzO4Z1-1CwzoDUaVffgrThEBe2sl74kKG0/edit?usp=sharing"",""สุพรรณบุรี!Q517"")+IMPORTRANGE(""https://docs.google.com/spreadsheets/d/1BmIruG_sIrJLYao_Pdr7zVArWsf"&amp;"oBt2692TMi6x_854/edit?usp=sharing"",""อ่างทอง!Q517"")"),0)</f>
        <v>0</v>
      </c>
      <c r="R518" s="77">
        <f ca="1">IFERROR(__xludf.DUMMYFUNCTION("IMPORTRANGE(""https://docs.google.com/spreadsheets/d/13wPX838HrBrQMCywv1BsuMkt4PEKTChp52zj44s2izQ/edit?usp=sharing"",""กาญจนบุรี!R517"")+IMPORTRANGE(""https://docs.google.com/spreadsheets/d/1ddFKvqj1W1NEiWytbGlB1zMx_ykJDVtmfEQ-6-lIUBA/edit?usp=sharing"","&amp;"""จันทบุรี!R517"")+IMPORTRANGE(""https://docs.google.com/spreadsheets/d/1T1PQvRODqOBZk8BRht_U031fIS1beLA0Ub2CEytj2q0/edit?usp=sharing"",""ฉะเชิงเทรา!R517"")+IMPORTRANGE(""https://docs.google.com/spreadsheets/d/11tr1B-Bhyr79v2bkwVh5h_fR-PStkgjlZtkrZpYurG0/"&amp;"edit?usp=sharing"",""ชลบุรี!R517"")+IMPORTRANGE(""https://docs.google.com/spreadsheets/d/1hh-FVnSX0vozXhGluamEcS54Dw9_zqW0N7qJUWgJ0Sw/edit?usp=sharing"",""ชัยนาท!R517"")+IMPORTRANGE(""https://docs.google.com/spreadsheets/d/1jkqa6GXxSacMcY1eN8AHjMNJ_7dDXMJ"&amp;"VRLDlaFSOdPM/edit?usp=sharing"",""ตราด!R517"")+IMPORTRANGE(""https://docs.google.com/spreadsheets/d/18hSgUJ3VwClqi_qtULmmW3cLr0oe3OKaSYoKzdpTsYQ/edit?usp=sharing"",""นครนายก!R517"")+IMPORTRANGE(""https://docs.google.com/spreadsheets/d/1YTZo6WM2dQ6Ix6FSdnL"&amp;"5P7uVnVKu40sxZu975tgG10E/edit?usp=sharing"",""นครปฐม!R517"")+IMPORTRANGE(""https://docs.google.com/spreadsheets/d/1OYoGg4WDg5RIzwGeB10padOxJF9E_Vljuvvct_M7RDo/edit?usp=sharing"",""ปทุมธานี!R517"")+IMPORTRANGE(""https://docs.google.com/spreadsheets/d/1GbCI"&amp;"E4D4wk9FUozzqk7SxfDMxDVBwVmI5zcaVUSzKAc/edit?usp=sharing"",""ประจวบคีรีขันธ์!R517"")+IMPORTRANGE(""https://docs.google.com/spreadsheets/d/1vVf6wykvW_lAyu7Yo9L4hUTqHqIeP_qcVuxCtosJEbg/edit?usp=sharing"",""ปราจีนบุรี!R517"")+IMPORTRANGE(""https://docs.googl"&amp;"e.com/spreadsheets/d/1BIDqLLg5jk3v59G8NlR8rk5xfQDKne0sAvZHSj7TI6I/edit?usp=sharing"",""พระนครศรีอยุธยา!R517"")+IMPORTRANGE(""https://docs.google.com/spreadsheets/d/1YXvxf8Yu6_rV4hTBrwMqAcAnv6DfhUxh5emyM3CJp_w/edit?usp=sharing"",""เพชรบุรี!R517"")+IMPORTRA"&amp;"NGE(""https://docs.google.com/spreadsheets/d/19KBlQQs7uwvsao6t2n-KvW3Ax8J8uRRfZPq1zPbXgKc/edit?usp=sharing"",""ระยอง!R517"")+IMPORTRANGE(""https://docs.google.com/spreadsheets/d/1jQ6P4QcrGM89YfqcC_PxOHGCMq5ezhucwJd8ci-NHng/edit?usp=sharing"",""ราชบุรี!R51"&amp;"7"")+IMPORTRANGE(""https://docs.google.com/spreadsheets/d/1lufeA2cfFqM-elVq2hznhDzC6Pr7wkJ9ZG_sYNGCMCU/edit?usp=sharing"",""ลพบุรี!R517"")+IMPORTRANGE(""https://docs.google.com/spreadsheets/d/10oOiF7loTyfsTkbd4MpaIm0HQ9SwB7IYHdIUvt-U1Uc/edit?usp=sharing"""&amp;",""สระแก้ว!R517"")+IMPORTRANGE(""https://docs.google.com/spreadsheets/d/1xmPlrr1QbdSIKvl1dWUl9K4PjAfSL9oeMr_37QVzcxc/edit?usp=sharing"",""สระบุรี!R517"")+IMPORTRANGE(""https://docs.google.com/spreadsheets/d/1j51vR6CYVGhABJpv6tkstgok82RLpXieLzW1yOY5rHw/edi"&amp;"t?usp=sharing"",""สิงห์บุรี!R517"")+IMPORTRANGE(""https://docs.google.com/spreadsheets/d/1H1EalTWKUSzO4Z1-1CwzoDUaVffgrThEBe2sl74kKG0/edit?usp=sharing"",""สุพรรณบุรี!R517"")+IMPORTRANGE(""https://docs.google.com/spreadsheets/d/1BmIruG_sIrJLYao_Pdr7zVArWsf"&amp;"oBt2692TMi6x_854/edit?usp=sharing"",""อ่างทอง!R517"")"),0)</f>
        <v>0</v>
      </c>
      <c r="S518" s="77">
        <f ca="1">IFERROR(__xludf.DUMMYFUNCTION("IMPORTRANGE(""https://docs.google.com/spreadsheets/d/13wPX838HrBrQMCywv1BsuMkt4PEKTChp52zj44s2izQ/edit?usp=sharing"",""กาญจนบุรี!S517"")+IMPORTRANGE(""https://docs.google.com/spreadsheets/d/1ddFKvqj1W1NEiWytbGlB1zMx_ykJDVtmfEQ-6-lIUBA/edit?usp=sharing"","&amp;"""จันทบุรี!S517"")+IMPORTRANGE(""https://docs.google.com/spreadsheets/d/1T1PQvRODqOBZk8BRht_U031fIS1beLA0Ub2CEytj2q0/edit?usp=sharing"",""ฉะเชิงเทรา!S517"")+IMPORTRANGE(""https://docs.google.com/spreadsheets/d/11tr1B-Bhyr79v2bkwVh5h_fR-PStkgjlZtkrZpYurG0/"&amp;"edit?usp=sharing"",""ชลบุรี!S517"")+IMPORTRANGE(""https://docs.google.com/spreadsheets/d/1hh-FVnSX0vozXhGluamEcS54Dw9_zqW0N7qJUWgJ0Sw/edit?usp=sharing"",""ชัยนาท!S517"")+IMPORTRANGE(""https://docs.google.com/spreadsheets/d/1jkqa6GXxSacMcY1eN8AHjMNJ_7dDXMJ"&amp;"VRLDlaFSOdPM/edit?usp=sharing"",""ตราด!S517"")+IMPORTRANGE(""https://docs.google.com/spreadsheets/d/18hSgUJ3VwClqi_qtULmmW3cLr0oe3OKaSYoKzdpTsYQ/edit?usp=sharing"",""นครนายก!S517"")+IMPORTRANGE(""https://docs.google.com/spreadsheets/d/1YTZo6WM2dQ6Ix6FSdnL"&amp;"5P7uVnVKu40sxZu975tgG10E/edit?usp=sharing"",""นครปฐม!S517"")+IMPORTRANGE(""https://docs.google.com/spreadsheets/d/1OYoGg4WDg5RIzwGeB10padOxJF9E_Vljuvvct_M7RDo/edit?usp=sharing"",""ปทุมธานี!S517"")+IMPORTRANGE(""https://docs.google.com/spreadsheets/d/1GbCI"&amp;"E4D4wk9FUozzqk7SxfDMxDVBwVmI5zcaVUSzKAc/edit?usp=sharing"",""ประจวบคีรีขันธ์!S517"")+IMPORTRANGE(""https://docs.google.com/spreadsheets/d/1vVf6wykvW_lAyu7Yo9L4hUTqHqIeP_qcVuxCtosJEbg/edit?usp=sharing"",""ปราจีนบุรี!S517"")+IMPORTRANGE(""https://docs.googl"&amp;"e.com/spreadsheets/d/1BIDqLLg5jk3v59G8NlR8rk5xfQDKne0sAvZHSj7TI6I/edit?usp=sharing"",""พระนครศรีอยุธยา!S517"")+IMPORTRANGE(""https://docs.google.com/spreadsheets/d/1YXvxf8Yu6_rV4hTBrwMqAcAnv6DfhUxh5emyM3CJp_w/edit?usp=sharing"",""เพชรบุรี!S517"")+IMPORTRA"&amp;"NGE(""https://docs.google.com/spreadsheets/d/19KBlQQs7uwvsao6t2n-KvW3Ax8J8uRRfZPq1zPbXgKc/edit?usp=sharing"",""ระยอง!S517"")+IMPORTRANGE(""https://docs.google.com/spreadsheets/d/1jQ6P4QcrGM89YfqcC_PxOHGCMq5ezhucwJd8ci-NHng/edit?usp=sharing"",""ราชบุรี!S51"&amp;"7"")+IMPORTRANGE(""https://docs.google.com/spreadsheets/d/1lufeA2cfFqM-elVq2hznhDzC6Pr7wkJ9ZG_sYNGCMCU/edit?usp=sharing"",""ลพบุรี!S517"")+IMPORTRANGE(""https://docs.google.com/spreadsheets/d/10oOiF7loTyfsTkbd4MpaIm0HQ9SwB7IYHdIUvt-U1Uc/edit?usp=sharing"""&amp;",""สระแก้ว!S517"")+IMPORTRANGE(""https://docs.google.com/spreadsheets/d/1xmPlrr1QbdSIKvl1dWUl9K4PjAfSL9oeMr_37QVzcxc/edit?usp=sharing"",""สระบุรี!S517"")+IMPORTRANGE(""https://docs.google.com/spreadsheets/d/1j51vR6CYVGhABJpv6tkstgok82RLpXieLzW1yOY5rHw/edi"&amp;"t?usp=sharing"",""สิงห์บุรี!S517"")+IMPORTRANGE(""https://docs.google.com/spreadsheets/d/1H1EalTWKUSzO4Z1-1CwzoDUaVffgrThEBe2sl74kKG0/edit?usp=sharing"",""สุพรรณบุรี!S517"")+IMPORTRANGE(""https://docs.google.com/spreadsheets/d/1BmIruG_sIrJLYao_Pdr7zVArWsf"&amp;"oBt2692TMi6x_854/edit?usp=sharing"",""อ่างทอง!S517"")"),0)</f>
        <v>0</v>
      </c>
      <c r="T518" s="133">
        <f t="shared" ca="1" si="358"/>
        <v>0</v>
      </c>
      <c r="U518" s="133">
        <f t="shared" ca="1" si="359"/>
        <v>0</v>
      </c>
    </row>
    <row r="519" spans="1:21" ht="18.75" hidden="1" x14ac:dyDescent="0.25">
      <c r="A519" s="209"/>
      <c r="B519" s="67"/>
      <c r="C519" s="67"/>
      <c r="D519" s="67"/>
      <c r="E519" s="75" t="s">
        <v>37</v>
      </c>
      <c r="F519" s="67"/>
      <c r="G519" s="69"/>
      <c r="H519" s="218" t="s">
        <v>14</v>
      </c>
      <c r="I519" s="219"/>
      <c r="J519" s="219"/>
      <c r="K519" s="220"/>
      <c r="L519" s="88">
        <f ca="1">IFERROR(__xludf.DUMMYFUNCTION("IMPORTRANGE(""https://docs.google.com/spreadsheets/d/13wPX838HrBrQMCywv1BsuMkt4PEKTChp52zj44s2izQ/edit?usp=sharing"",""กาญจนบุรี!L518"")+IMPORTRANGE(""https://docs.google.com/spreadsheets/d/1ddFKvqj1W1NEiWytbGlB1zMx_ykJDVtmfEQ-6-lIUBA/edit?usp=sharing"","&amp;"""จันทบุรี!L518"")+IMPORTRANGE(""https://docs.google.com/spreadsheets/d/1T1PQvRODqOBZk8BRht_U031fIS1beLA0Ub2CEytj2q0/edit?usp=sharing"",""ฉะเชิงเทรา!L518"")+IMPORTRANGE(""https://docs.google.com/spreadsheets/d/11tr1B-Bhyr79v2bkwVh5h_fR-PStkgjlZtkrZpYurG0/"&amp;"edit?usp=sharing"",""ชลบุรี!L518"")+IMPORTRANGE(""https://docs.google.com/spreadsheets/d/1hh-FVnSX0vozXhGluamEcS54Dw9_zqW0N7qJUWgJ0Sw/edit?usp=sharing"",""ชัยนาท!L518"")+IMPORTRANGE(""https://docs.google.com/spreadsheets/d/1jkqa6GXxSacMcY1eN8AHjMNJ_7dDXMJ"&amp;"VRLDlaFSOdPM/edit?usp=sharing"",""ตราด!L518"")+IMPORTRANGE(""https://docs.google.com/spreadsheets/d/18hSgUJ3VwClqi_qtULmmW3cLr0oe3OKaSYoKzdpTsYQ/edit?usp=sharing"",""นครนายก!L518"")+IMPORTRANGE(""https://docs.google.com/spreadsheets/d/1YTZo6WM2dQ6Ix6FSdnL"&amp;"5P7uVnVKu40sxZu975tgG10E/edit?usp=sharing"",""นครปฐม!L518"")+IMPORTRANGE(""https://docs.google.com/spreadsheets/d/1OYoGg4WDg5RIzwGeB10padOxJF9E_Vljuvvct_M7RDo/edit?usp=sharing"",""ปทุมธานี!L518"")+IMPORTRANGE(""https://docs.google.com/spreadsheets/d/1GbCI"&amp;"E4D4wk9FUozzqk7SxfDMxDVBwVmI5zcaVUSzKAc/edit?usp=sharing"",""ประจวบคีรีขันธ์!L518"")+IMPORTRANGE(""https://docs.google.com/spreadsheets/d/1vVf6wykvW_lAyu7Yo9L4hUTqHqIeP_qcVuxCtosJEbg/edit?usp=sharing"",""ปราจีนบุรี!L518"")+IMPORTRANGE(""https://docs.googl"&amp;"e.com/spreadsheets/d/1BIDqLLg5jk3v59G8NlR8rk5xfQDKne0sAvZHSj7TI6I/edit?usp=sharing"",""พระนครศรีอยุธยา!L518"")+IMPORTRANGE(""https://docs.google.com/spreadsheets/d/1YXvxf8Yu6_rV4hTBrwMqAcAnv6DfhUxh5emyM3CJp_w/edit?usp=sharing"",""เพชรบุรี!L518"")+IMPORTRA"&amp;"NGE(""https://docs.google.com/spreadsheets/d/19KBlQQs7uwvsao6t2n-KvW3Ax8J8uRRfZPq1zPbXgKc/edit?usp=sharing"",""ระยอง!L518"")+IMPORTRANGE(""https://docs.google.com/spreadsheets/d/1jQ6P4QcrGM89YfqcC_PxOHGCMq5ezhucwJd8ci-NHng/edit?usp=sharing"",""ราชบุรี!L51"&amp;"8"")+IMPORTRANGE(""https://docs.google.com/spreadsheets/d/1lufeA2cfFqM-elVq2hznhDzC6Pr7wkJ9ZG_sYNGCMCU/edit?usp=sharing"",""ลพบุรี!L518"")+IMPORTRANGE(""https://docs.google.com/spreadsheets/d/10oOiF7loTyfsTkbd4MpaIm0HQ9SwB7IYHdIUvt-U1Uc/edit?usp=sharing"""&amp;",""สระแก้ว!L518"")+IMPORTRANGE(""https://docs.google.com/spreadsheets/d/1xmPlrr1QbdSIKvl1dWUl9K4PjAfSL9oeMr_37QVzcxc/edit?usp=sharing"",""สระบุรี!L518"")+IMPORTRANGE(""https://docs.google.com/spreadsheets/d/1j51vR6CYVGhABJpv6tkstgok82RLpXieLzW1yOY5rHw/edi"&amp;"t?usp=sharing"",""สิงห์บุรี!L518"")+IMPORTRANGE(""https://docs.google.com/spreadsheets/d/1H1EalTWKUSzO4Z1-1CwzoDUaVffgrThEBe2sl74kKG0/edit?usp=sharing"",""สุพรรณบุรี!L518"")+IMPORTRANGE(""https://docs.google.com/spreadsheets/d/1BmIruG_sIrJLYao_Pdr7zVArWsf"&amp;"oBt2692TMi6x_854/edit?usp=sharing"",""อ่างทอง!L518"")"),0)</f>
        <v>0</v>
      </c>
      <c r="M519" s="88">
        <f ca="1">IFERROR(__xludf.DUMMYFUNCTION("IMPORTRANGE(""https://docs.google.com/spreadsheets/d/13wPX838HrBrQMCywv1BsuMkt4PEKTChp52zj44s2izQ/edit?usp=sharing"",""กาญจนบุรี!M518"")+IMPORTRANGE(""https://docs.google.com/spreadsheets/d/1ddFKvqj1W1NEiWytbGlB1zMx_ykJDVtmfEQ-6-lIUBA/edit?usp=sharing"","&amp;"""จันทบุรี!M518"")+IMPORTRANGE(""https://docs.google.com/spreadsheets/d/1T1PQvRODqOBZk8BRht_U031fIS1beLA0Ub2CEytj2q0/edit?usp=sharing"",""ฉะเชิงเทรา!M518"")+IMPORTRANGE(""https://docs.google.com/spreadsheets/d/11tr1B-Bhyr79v2bkwVh5h_fR-PStkgjlZtkrZpYurG0/"&amp;"edit?usp=sharing"",""ชลบุรี!M518"")+IMPORTRANGE(""https://docs.google.com/spreadsheets/d/1hh-FVnSX0vozXhGluamEcS54Dw9_zqW0N7qJUWgJ0Sw/edit?usp=sharing"",""ชัยนาท!M518"")+IMPORTRANGE(""https://docs.google.com/spreadsheets/d/1jkqa6GXxSacMcY1eN8AHjMNJ_7dDXMJ"&amp;"VRLDlaFSOdPM/edit?usp=sharing"",""ตราด!M518"")+IMPORTRANGE(""https://docs.google.com/spreadsheets/d/18hSgUJ3VwClqi_qtULmmW3cLr0oe3OKaSYoKzdpTsYQ/edit?usp=sharing"",""นครนายก!M518"")+IMPORTRANGE(""https://docs.google.com/spreadsheets/d/1YTZo6WM2dQ6Ix6FSdnL"&amp;"5P7uVnVKu40sxZu975tgG10E/edit?usp=sharing"",""นครปฐม!M518"")+IMPORTRANGE(""https://docs.google.com/spreadsheets/d/1OYoGg4WDg5RIzwGeB10padOxJF9E_Vljuvvct_M7RDo/edit?usp=sharing"",""ปทุมธานี!M518"")+IMPORTRANGE(""https://docs.google.com/spreadsheets/d/1GbCI"&amp;"E4D4wk9FUozzqk7SxfDMxDVBwVmI5zcaVUSzKAc/edit?usp=sharing"",""ประจวบคีรีขันธ์!M518"")+IMPORTRANGE(""https://docs.google.com/spreadsheets/d/1vVf6wykvW_lAyu7Yo9L4hUTqHqIeP_qcVuxCtosJEbg/edit?usp=sharing"",""ปราจีนบุรี!M518"")+IMPORTRANGE(""https://docs.googl"&amp;"e.com/spreadsheets/d/1BIDqLLg5jk3v59G8NlR8rk5xfQDKne0sAvZHSj7TI6I/edit?usp=sharing"",""พระนครศรีอยุธยา!M518"")+IMPORTRANGE(""https://docs.google.com/spreadsheets/d/1YXvxf8Yu6_rV4hTBrwMqAcAnv6DfhUxh5emyM3CJp_w/edit?usp=sharing"",""เพชรบุรี!M518"")+IMPORTRA"&amp;"NGE(""https://docs.google.com/spreadsheets/d/19KBlQQs7uwvsao6t2n-KvW3Ax8J8uRRfZPq1zPbXgKc/edit?usp=sharing"",""ระยอง!M518"")+IMPORTRANGE(""https://docs.google.com/spreadsheets/d/1jQ6P4QcrGM89YfqcC_PxOHGCMq5ezhucwJd8ci-NHng/edit?usp=sharing"",""ราชบุรี!M51"&amp;"8"")+IMPORTRANGE(""https://docs.google.com/spreadsheets/d/1lufeA2cfFqM-elVq2hznhDzC6Pr7wkJ9ZG_sYNGCMCU/edit?usp=sharing"",""ลพบุรี!M518"")+IMPORTRANGE(""https://docs.google.com/spreadsheets/d/10oOiF7loTyfsTkbd4MpaIm0HQ9SwB7IYHdIUvt-U1Uc/edit?usp=sharing"""&amp;",""สระแก้ว!M518"")+IMPORTRANGE(""https://docs.google.com/spreadsheets/d/1xmPlrr1QbdSIKvl1dWUl9K4PjAfSL9oeMr_37QVzcxc/edit?usp=sharing"",""สระบุรี!M518"")+IMPORTRANGE(""https://docs.google.com/spreadsheets/d/1j51vR6CYVGhABJpv6tkstgok82RLpXieLzW1yOY5rHw/edi"&amp;"t?usp=sharing"",""สิงห์บุรี!M518"")+IMPORTRANGE(""https://docs.google.com/spreadsheets/d/1H1EalTWKUSzO4Z1-1CwzoDUaVffgrThEBe2sl74kKG0/edit?usp=sharing"",""สุพรรณบุรี!M518"")+IMPORTRANGE(""https://docs.google.com/spreadsheets/d/1BmIruG_sIrJLYao_Pdr7zVArWsf"&amp;"oBt2692TMi6x_854/edit?usp=sharing"",""อ่างทอง!M518"")"),0)</f>
        <v>0</v>
      </c>
      <c r="N519" s="88">
        <f ca="1">IFERROR(__xludf.DUMMYFUNCTION("IMPORTRANGE(""https://docs.google.com/spreadsheets/d/13wPX838HrBrQMCywv1BsuMkt4PEKTChp52zj44s2izQ/edit?usp=sharing"",""กาญจนบุรี!N518"")+IMPORTRANGE(""https://docs.google.com/spreadsheets/d/1ddFKvqj1W1NEiWytbGlB1zMx_ykJDVtmfEQ-6-lIUBA/edit?usp=sharing"","&amp;"""จันทบุรี!N518"")+IMPORTRANGE(""https://docs.google.com/spreadsheets/d/1T1PQvRODqOBZk8BRht_U031fIS1beLA0Ub2CEytj2q0/edit?usp=sharing"",""ฉะเชิงเทรา!N518"")+IMPORTRANGE(""https://docs.google.com/spreadsheets/d/11tr1B-Bhyr79v2bkwVh5h_fR-PStkgjlZtkrZpYurG0/"&amp;"edit?usp=sharing"",""ชลบุรี!N518"")+IMPORTRANGE(""https://docs.google.com/spreadsheets/d/1hh-FVnSX0vozXhGluamEcS54Dw9_zqW0N7qJUWgJ0Sw/edit?usp=sharing"",""ชัยนาท!N518"")+IMPORTRANGE(""https://docs.google.com/spreadsheets/d/1jkqa6GXxSacMcY1eN8AHjMNJ_7dDXMJ"&amp;"VRLDlaFSOdPM/edit?usp=sharing"",""ตราด!N518"")+IMPORTRANGE(""https://docs.google.com/spreadsheets/d/18hSgUJ3VwClqi_qtULmmW3cLr0oe3OKaSYoKzdpTsYQ/edit?usp=sharing"",""นครนายก!N518"")+IMPORTRANGE(""https://docs.google.com/spreadsheets/d/1YTZo6WM2dQ6Ix6FSdnL"&amp;"5P7uVnVKu40sxZu975tgG10E/edit?usp=sharing"",""นครปฐม!N518"")+IMPORTRANGE(""https://docs.google.com/spreadsheets/d/1OYoGg4WDg5RIzwGeB10padOxJF9E_Vljuvvct_M7RDo/edit?usp=sharing"",""ปทุมธานี!N518"")+IMPORTRANGE(""https://docs.google.com/spreadsheets/d/1GbCI"&amp;"E4D4wk9FUozzqk7SxfDMxDVBwVmI5zcaVUSzKAc/edit?usp=sharing"",""ประจวบคีรีขันธ์!N518"")+IMPORTRANGE(""https://docs.google.com/spreadsheets/d/1vVf6wykvW_lAyu7Yo9L4hUTqHqIeP_qcVuxCtosJEbg/edit?usp=sharing"",""ปราจีนบุรี!N518"")+IMPORTRANGE(""https://docs.googl"&amp;"e.com/spreadsheets/d/1BIDqLLg5jk3v59G8NlR8rk5xfQDKne0sAvZHSj7TI6I/edit?usp=sharing"",""พระนครศรีอยุธยา!N518"")+IMPORTRANGE(""https://docs.google.com/spreadsheets/d/1YXvxf8Yu6_rV4hTBrwMqAcAnv6DfhUxh5emyM3CJp_w/edit?usp=sharing"",""เพชรบุรี!N518"")+IMPORTRA"&amp;"NGE(""https://docs.google.com/spreadsheets/d/19KBlQQs7uwvsao6t2n-KvW3Ax8J8uRRfZPq1zPbXgKc/edit?usp=sharing"",""ระยอง!N518"")+IMPORTRANGE(""https://docs.google.com/spreadsheets/d/1jQ6P4QcrGM89YfqcC_PxOHGCMq5ezhucwJd8ci-NHng/edit?usp=sharing"",""ราชบุรี!N51"&amp;"8"")+IMPORTRANGE(""https://docs.google.com/spreadsheets/d/1lufeA2cfFqM-elVq2hznhDzC6Pr7wkJ9ZG_sYNGCMCU/edit?usp=sharing"",""ลพบุรี!N518"")+IMPORTRANGE(""https://docs.google.com/spreadsheets/d/10oOiF7loTyfsTkbd4MpaIm0HQ9SwB7IYHdIUvt-U1Uc/edit?usp=sharing"""&amp;",""สระแก้ว!N518"")+IMPORTRANGE(""https://docs.google.com/spreadsheets/d/1xmPlrr1QbdSIKvl1dWUl9K4PjAfSL9oeMr_37QVzcxc/edit?usp=sharing"",""สระบุรี!N518"")+IMPORTRANGE(""https://docs.google.com/spreadsheets/d/1j51vR6CYVGhABJpv6tkstgok82RLpXieLzW1yOY5rHw/edi"&amp;"t?usp=sharing"",""สิงห์บุรี!N518"")+IMPORTRANGE(""https://docs.google.com/spreadsheets/d/1H1EalTWKUSzO4Z1-1CwzoDUaVffgrThEBe2sl74kKG0/edit?usp=sharing"",""สุพรรณบุรี!N518"")+IMPORTRANGE(""https://docs.google.com/spreadsheets/d/1BmIruG_sIrJLYao_Pdr7zVArWsf"&amp;"oBt2692TMi6x_854/edit?usp=sharing"",""อ่างทอง!N518"")"),0)</f>
        <v>0</v>
      </c>
      <c r="O519" s="88">
        <f t="shared" ca="1" si="355"/>
        <v>0</v>
      </c>
      <c r="P519" s="88">
        <f t="shared" ca="1" si="356"/>
        <v>0</v>
      </c>
      <c r="Q519" s="73">
        <f ca="1">IFERROR(__xludf.DUMMYFUNCTION("IMPORTRANGE(""https://docs.google.com/spreadsheets/d/13wPX838HrBrQMCywv1BsuMkt4PEKTChp52zj44s2izQ/edit?usp=sharing"",""กาญจนบุรี!Q518"")+IMPORTRANGE(""https://docs.google.com/spreadsheets/d/1ddFKvqj1W1NEiWytbGlB1zMx_ykJDVtmfEQ-6-lIUBA/edit?usp=sharing"","&amp;"""จันทบุรี!Q518"")+IMPORTRANGE(""https://docs.google.com/spreadsheets/d/1T1PQvRODqOBZk8BRht_U031fIS1beLA0Ub2CEytj2q0/edit?usp=sharing"",""ฉะเชิงเทรา!Q518"")+IMPORTRANGE(""https://docs.google.com/spreadsheets/d/11tr1B-Bhyr79v2bkwVh5h_fR-PStkgjlZtkrZpYurG0/"&amp;"edit?usp=sharing"",""ชลบุรี!Q518"")+IMPORTRANGE(""https://docs.google.com/spreadsheets/d/1hh-FVnSX0vozXhGluamEcS54Dw9_zqW0N7qJUWgJ0Sw/edit?usp=sharing"",""ชัยนาท!Q518"")+IMPORTRANGE(""https://docs.google.com/spreadsheets/d/1jkqa6GXxSacMcY1eN8AHjMNJ_7dDXMJ"&amp;"VRLDlaFSOdPM/edit?usp=sharing"",""ตราด!Q518"")+IMPORTRANGE(""https://docs.google.com/spreadsheets/d/18hSgUJ3VwClqi_qtULmmW3cLr0oe3OKaSYoKzdpTsYQ/edit?usp=sharing"",""นครนายก!Q518"")+IMPORTRANGE(""https://docs.google.com/spreadsheets/d/1YTZo6WM2dQ6Ix6FSdnL"&amp;"5P7uVnVKu40sxZu975tgG10E/edit?usp=sharing"",""นครปฐม!Q518"")+IMPORTRANGE(""https://docs.google.com/spreadsheets/d/1OYoGg4WDg5RIzwGeB10padOxJF9E_Vljuvvct_M7RDo/edit?usp=sharing"",""ปทุมธานี!Q518"")+IMPORTRANGE(""https://docs.google.com/spreadsheets/d/1GbCI"&amp;"E4D4wk9FUozzqk7SxfDMxDVBwVmI5zcaVUSzKAc/edit?usp=sharing"",""ประจวบคีรีขันธ์!Q518"")+IMPORTRANGE(""https://docs.google.com/spreadsheets/d/1vVf6wykvW_lAyu7Yo9L4hUTqHqIeP_qcVuxCtosJEbg/edit?usp=sharing"",""ปราจีนบุรี!Q518"")+IMPORTRANGE(""https://docs.googl"&amp;"e.com/spreadsheets/d/1BIDqLLg5jk3v59G8NlR8rk5xfQDKne0sAvZHSj7TI6I/edit?usp=sharing"",""พระนครศรีอยุธยา!Q518"")+IMPORTRANGE(""https://docs.google.com/spreadsheets/d/1YXvxf8Yu6_rV4hTBrwMqAcAnv6DfhUxh5emyM3CJp_w/edit?usp=sharing"",""เพชรบุรี!Q518"")+IMPORTRA"&amp;"NGE(""https://docs.google.com/spreadsheets/d/19KBlQQs7uwvsao6t2n-KvW3Ax8J8uRRfZPq1zPbXgKc/edit?usp=sharing"",""ระยอง!Q518"")+IMPORTRANGE(""https://docs.google.com/spreadsheets/d/1jQ6P4QcrGM89YfqcC_PxOHGCMq5ezhucwJd8ci-NHng/edit?usp=sharing"",""ราชบุรี!Q51"&amp;"8"")+IMPORTRANGE(""https://docs.google.com/spreadsheets/d/1lufeA2cfFqM-elVq2hznhDzC6Pr7wkJ9ZG_sYNGCMCU/edit?usp=sharing"",""ลพบุรี!Q518"")+IMPORTRANGE(""https://docs.google.com/spreadsheets/d/10oOiF7loTyfsTkbd4MpaIm0HQ9SwB7IYHdIUvt-U1Uc/edit?usp=sharing"""&amp;",""สระแก้ว!Q518"")+IMPORTRANGE(""https://docs.google.com/spreadsheets/d/1xmPlrr1QbdSIKvl1dWUl9K4PjAfSL9oeMr_37QVzcxc/edit?usp=sharing"",""สระบุรี!Q518"")+IMPORTRANGE(""https://docs.google.com/spreadsheets/d/1j51vR6CYVGhABJpv6tkstgok82RLpXieLzW1yOY5rHw/edi"&amp;"t?usp=sharing"",""สิงห์บุรี!Q518"")+IMPORTRANGE(""https://docs.google.com/spreadsheets/d/1H1EalTWKUSzO4Z1-1CwzoDUaVffgrThEBe2sl74kKG0/edit?usp=sharing"",""สุพรรณบุรี!Q518"")+IMPORTRANGE(""https://docs.google.com/spreadsheets/d/1BmIruG_sIrJLYao_Pdr7zVArWsf"&amp;"oBt2692TMi6x_854/edit?usp=sharing"",""อ่างทอง!Q518"")"),0)</f>
        <v>0</v>
      </c>
      <c r="R519" s="74">
        <f ca="1">IFERROR(__xludf.DUMMYFUNCTION("IMPORTRANGE(""https://docs.google.com/spreadsheets/d/13wPX838HrBrQMCywv1BsuMkt4PEKTChp52zj44s2izQ/edit?usp=sharing"",""กาญจนบุรี!R518"")+IMPORTRANGE(""https://docs.google.com/spreadsheets/d/1ddFKvqj1W1NEiWytbGlB1zMx_ykJDVtmfEQ-6-lIUBA/edit?usp=sharing"","&amp;"""จันทบุรี!R518"")+IMPORTRANGE(""https://docs.google.com/spreadsheets/d/1T1PQvRODqOBZk8BRht_U031fIS1beLA0Ub2CEytj2q0/edit?usp=sharing"",""ฉะเชิงเทรา!R518"")+IMPORTRANGE(""https://docs.google.com/spreadsheets/d/11tr1B-Bhyr79v2bkwVh5h_fR-PStkgjlZtkrZpYurG0/"&amp;"edit?usp=sharing"",""ชลบุรี!R518"")+IMPORTRANGE(""https://docs.google.com/spreadsheets/d/1hh-FVnSX0vozXhGluamEcS54Dw9_zqW0N7qJUWgJ0Sw/edit?usp=sharing"",""ชัยนาท!R518"")+IMPORTRANGE(""https://docs.google.com/spreadsheets/d/1jkqa6GXxSacMcY1eN8AHjMNJ_7dDXMJ"&amp;"VRLDlaFSOdPM/edit?usp=sharing"",""ตราด!R518"")+IMPORTRANGE(""https://docs.google.com/spreadsheets/d/18hSgUJ3VwClqi_qtULmmW3cLr0oe3OKaSYoKzdpTsYQ/edit?usp=sharing"",""นครนายก!R518"")+IMPORTRANGE(""https://docs.google.com/spreadsheets/d/1YTZo6WM2dQ6Ix6FSdnL"&amp;"5P7uVnVKu40sxZu975tgG10E/edit?usp=sharing"",""นครปฐม!R518"")+IMPORTRANGE(""https://docs.google.com/spreadsheets/d/1OYoGg4WDg5RIzwGeB10padOxJF9E_Vljuvvct_M7RDo/edit?usp=sharing"",""ปทุมธานี!R518"")+IMPORTRANGE(""https://docs.google.com/spreadsheets/d/1GbCI"&amp;"E4D4wk9FUozzqk7SxfDMxDVBwVmI5zcaVUSzKAc/edit?usp=sharing"",""ประจวบคีรีขันธ์!R518"")+IMPORTRANGE(""https://docs.google.com/spreadsheets/d/1vVf6wykvW_lAyu7Yo9L4hUTqHqIeP_qcVuxCtosJEbg/edit?usp=sharing"",""ปราจีนบุรี!R518"")+IMPORTRANGE(""https://docs.googl"&amp;"e.com/spreadsheets/d/1BIDqLLg5jk3v59G8NlR8rk5xfQDKne0sAvZHSj7TI6I/edit?usp=sharing"",""พระนครศรีอยุธยา!R518"")+IMPORTRANGE(""https://docs.google.com/spreadsheets/d/1YXvxf8Yu6_rV4hTBrwMqAcAnv6DfhUxh5emyM3CJp_w/edit?usp=sharing"",""เพชรบุรี!R518"")+IMPORTRA"&amp;"NGE(""https://docs.google.com/spreadsheets/d/19KBlQQs7uwvsao6t2n-KvW3Ax8J8uRRfZPq1zPbXgKc/edit?usp=sharing"",""ระยอง!R518"")+IMPORTRANGE(""https://docs.google.com/spreadsheets/d/1jQ6P4QcrGM89YfqcC_PxOHGCMq5ezhucwJd8ci-NHng/edit?usp=sharing"",""ราชบุรี!R51"&amp;"8"")+IMPORTRANGE(""https://docs.google.com/spreadsheets/d/1lufeA2cfFqM-elVq2hznhDzC6Pr7wkJ9ZG_sYNGCMCU/edit?usp=sharing"",""ลพบุรี!R518"")+IMPORTRANGE(""https://docs.google.com/spreadsheets/d/10oOiF7loTyfsTkbd4MpaIm0HQ9SwB7IYHdIUvt-U1Uc/edit?usp=sharing"""&amp;",""สระแก้ว!R518"")+IMPORTRANGE(""https://docs.google.com/spreadsheets/d/1xmPlrr1QbdSIKvl1dWUl9K4PjAfSL9oeMr_37QVzcxc/edit?usp=sharing"",""สระบุรี!R518"")+IMPORTRANGE(""https://docs.google.com/spreadsheets/d/1j51vR6CYVGhABJpv6tkstgok82RLpXieLzW1yOY5rHw/edi"&amp;"t?usp=sharing"",""สิงห์บุรี!R518"")+IMPORTRANGE(""https://docs.google.com/spreadsheets/d/1H1EalTWKUSzO4Z1-1CwzoDUaVffgrThEBe2sl74kKG0/edit?usp=sharing"",""สุพรรณบุรี!R518"")+IMPORTRANGE(""https://docs.google.com/spreadsheets/d/1BmIruG_sIrJLYao_Pdr7zVArWsf"&amp;"oBt2692TMi6x_854/edit?usp=sharing"",""อ่างทอง!R518"")"),0)</f>
        <v>0</v>
      </c>
      <c r="S519" s="74">
        <f ca="1">IFERROR(__xludf.DUMMYFUNCTION("IMPORTRANGE(""https://docs.google.com/spreadsheets/d/13wPX838HrBrQMCywv1BsuMkt4PEKTChp52zj44s2izQ/edit?usp=sharing"",""กาญจนบุรี!S518"")+IMPORTRANGE(""https://docs.google.com/spreadsheets/d/1ddFKvqj1W1NEiWytbGlB1zMx_ykJDVtmfEQ-6-lIUBA/edit?usp=sharing"","&amp;"""จันทบุรี!S518"")+IMPORTRANGE(""https://docs.google.com/spreadsheets/d/1T1PQvRODqOBZk8BRht_U031fIS1beLA0Ub2CEytj2q0/edit?usp=sharing"",""ฉะเชิงเทรา!S518"")+IMPORTRANGE(""https://docs.google.com/spreadsheets/d/11tr1B-Bhyr79v2bkwVh5h_fR-PStkgjlZtkrZpYurG0/"&amp;"edit?usp=sharing"",""ชลบุรี!S518"")+IMPORTRANGE(""https://docs.google.com/spreadsheets/d/1hh-FVnSX0vozXhGluamEcS54Dw9_zqW0N7qJUWgJ0Sw/edit?usp=sharing"",""ชัยนาท!S518"")+IMPORTRANGE(""https://docs.google.com/spreadsheets/d/1jkqa6GXxSacMcY1eN8AHjMNJ_7dDXMJ"&amp;"VRLDlaFSOdPM/edit?usp=sharing"",""ตราด!S518"")+IMPORTRANGE(""https://docs.google.com/spreadsheets/d/18hSgUJ3VwClqi_qtULmmW3cLr0oe3OKaSYoKzdpTsYQ/edit?usp=sharing"",""นครนายก!S518"")+IMPORTRANGE(""https://docs.google.com/spreadsheets/d/1YTZo6WM2dQ6Ix6FSdnL"&amp;"5P7uVnVKu40sxZu975tgG10E/edit?usp=sharing"",""นครปฐม!S518"")+IMPORTRANGE(""https://docs.google.com/spreadsheets/d/1OYoGg4WDg5RIzwGeB10padOxJF9E_Vljuvvct_M7RDo/edit?usp=sharing"",""ปทุมธานี!S518"")+IMPORTRANGE(""https://docs.google.com/spreadsheets/d/1GbCI"&amp;"E4D4wk9FUozzqk7SxfDMxDVBwVmI5zcaVUSzKAc/edit?usp=sharing"",""ประจวบคีรีขันธ์!S518"")+IMPORTRANGE(""https://docs.google.com/spreadsheets/d/1vVf6wykvW_lAyu7Yo9L4hUTqHqIeP_qcVuxCtosJEbg/edit?usp=sharing"",""ปราจีนบุรี!S518"")+IMPORTRANGE(""https://docs.googl"&amp;"e.com/spreadsheets/d/1BIDqLLg5jk3v59G8NlR8rk5xfQDKne0sAvZHSj7TI6I/edit?usp=sharing"",""พระนครศรีอยุธยา!S518"")+IMPORTRANGE(""https://docs.google.com/spreadsheets/d/1YXvxf8Yu6_rV4hTBrwMqAcAnv6DfhUxh5emyM3CJp_w/edit?usp=sharing"",""เพชรบุรี!S518"")+IMPORTRA"&amp;"NGE(""https://docs.google.com/spreadsheets/d/19KBlQQs7uwvsao6t2n-KvW3Ax8J8uRRfZPq1zPbXgKc/edit?usp=sharing"",""ระยอง!S518"")+IMPORTRANGE(""https://docs.google.com/spreadsheets/d/1jQ6P4QcrGM89YfqcC_PxOHGCMq5ezhucwJd8ci-NHng/edit?usp=sharing"",""ราชบุรี!S51"&amp;"8"")+IMPORTRANGE(""https://docs.google.com/spreadsheets/d/1lufeA2cfFqM-elVq2hznhDzC6Pr7wkJ9ZG_sYNGCMCU/edit?usp=sharing"",""ลพบุรี!S518"")+IMPORTRANGE(""https://docs.google.com/spreadsheets/d/10oOiF7loTyfsTkbd4MpaIm0HQ9SwB7IYHdIUvt-U1Uc/edit?usp=sharing"""&amp;",""สระแก้ว!S518"")+IMPORTRANGE(""https://docs.google.com/spreadsheets/d/1xmPlrr1QbdSIKvl1dWUl9K4PjAfSL9oeMr_37QVzcxc/edit?usp=sharing"",""สระบุรี!S518"")+IMPORTRANGE(""https://docs.google.com/spreadsheets/d/1j51vR6CYVGhABJpv6tkstgok82RLpXieLzW1yOY5rHw/edi"&amp;"t?usp=sharing"",""สิงห์บุรี!S518"")+IMPORTRANGE(""https://docs.google.com/spreadsheets/d/1H1EalTWKUSzO4Z1-1CwzoDUaVffgrThEBe2sl74kKG0/edit?usp=sharing"",""สุพรรณบุรี!S518"")+IMPORTRANGE(""https://docs.google.com/spreadsheets/d/1BmIruG_sIrJLYao_Pdr7zVArWsf"&amp;"oBt2692TMi6x_854/edit?usp=sharing"",""อ่างทอง!S518"")"),0)</f>
        <v>0</v>
      </c>
      <c r="T519" s="132">
        <f t="shared" ca="1" si="358"/>
        <v>0</v>
      </c>
      <c r="U519" s="132">
        <f t="shared" ca="1" si="359"/>
        <v>0</v>
      </c>
    </row>
    <row r="520" spans="1:21" ht="18.75" hidden="1" x14ac:dyDescent="0.25">
      <c r="A520" s="209"/>
      <c r="B520" s="67"/>
      <c r="C520" s="67"/>
      <c r="D520" s="68" t="s">
        <v>23</v>
      </c>
      <c r="E520" s="67"/>
      <c r="F520" s="67"/>
      <c r="G520" s="69"/>
      <c r="H520" s="221" t="s">
        <v>14</v>
      </c>
      <c r="I520" s="219"/>
      <c r="J520" s="219"/>
      <c r="K520" s="220"/>
      <c r="L520" s="88">
        <f t="shared" ref="L520:N520" ca="1" si="366">L521+L522</f>
        <v>0</v>
      </c>
      <c r="M520" s="88">
        <f t="shared" ca="1" si="366"/>
        <v>0</v>
      </c>
      <c r="N520" s="88">
        <f t="shared" ca="1" si="366"/>
        <v>0</v>
      </c>
      <c r="O520" s="88">
        <f t="shared" ca="1" si="355"/>
        <v>0</v>
      </c>
      <c r="P520" s="88">
        <f t="shared" ca="1" si="356"/>
        <v>0</v>
      </c>
      <c r="Q520" s="131">
        <f t="shared" ref="Q520:S520" ca="1" si="367">Q521+Q522</f>
        <v>0</v>
      </c>
      <c r="R520" s="132">
        <f t="shared" ca="1" si="367"/>
        <v>0</v>
      </c>
      <c r="S520" s="132">
        <f t="shared" ca="1" si="367"/>
        <v>0</v>
      </c>
      <c r="T520" s="132">
        <f t="shared" ca="1" si="358"/>
        <v>0</v>
      </c>
      <c r="U520" s="132">
        <f t="shared" ca="1" si="359"/>
        <v>0</v>
      </c>
    </row>
    <row r="521" spans="1:21" ht="18.75" hidden="1" x14ac:dyDescent="0.25">
      <c r="A521" s="209"/>
      <c r="B521" s="67"/>
      <c r="C521" s="67"/>
      <c r="D521" s="67"/>
      <c r="E521" s="75" t="s">
        <v>20</v>
      </c>
      <c r="F521" s="67"/>
      <c r="G521" s="69"/>
      <c r="H521" s="218" t="s">
        <v>14</v>
      </c>
      <c r="I521" s="219"/>
      <c r="J521" s="219"/>
      <c r="K521" s="220"/>
      <c r="L521" s="88">
        <f ca="1">IFERROR(__xludf.DUMMYFUNCTION("IMPORTRANGE(""https://docs.google.com/spreadsheets/d/13wPX838HrBrQMCywv1BsuMkt4PEKTChp52zj44s2izQ/edit?usp=sharing"",""กาญจนบุรี!L520"")+IMPORTRANGE(""https://docs.google.com/spreadsheets/d/1ddFKvqj1W1NEiWytbGlB1zMx_ykJDVtmfEQ-6-lIUBA/edit?usp=sharing"","&amp;"""จันทบุรี!L520"")+IMPORTRANGE(""https://docs.google.com/spreadsheets/d/1T1PQvRODqOBZk8BRht_U031fIS1beLA0Ub2CEytj2q0/edit?usp=sharing"",""ฉะเชิงเทรา!L520"")+IMPORTRANGE(""https://docs.google.com/spreadsheets/d/11tr1B-Bhyr79v2bkwVh5h_fR-PStkgjlZtkrZpYurG0/"&amp;"edit?usp=sharing"",""ชลบุรี!L520"")+IMPORTRANGE(""https://docs.google.com/spreadsheets/d/1hh-FVnSX0vozXhGluamEcS54Dw9_zqW0N7qJUWgJ0Sw/edit?usp=sharing"",""ชัยนาท!L520"")+IMPORTRANGE(""https://docs.google.com/spreadsheets/d/1jkqa6GXxSacMcY1eN8AHjMNJ_7dDXMJ"&amp;"VRLDlaFSOdPM/edit?usp=sharing"",""ตราด!L520"")+IMPORTRANGE(""https://docs.google.com/spreadsheets/d/18hSgUJ3VwClqi_qtULmmW3cLr0oe3OKaSYoKzdpTsYQ/edit?usp=sharing"",""นครนายก!L520"")+IMPORTRANGE(""https://docs.google.com/spreadsheets/d/1YTZo6WM2dQ6Ix6FSdnL"&amp;"5P7uVnVKu40sxZu975tgG10E/edit?usp=sharing"",""นครปฐม!L520"")+IMPORTRANGE(""https://docs.google.com/spreadsheets/d/1OYoGg4WDg5RIzwGeB10padOxJF9E_Vljuvvct_M7RDo/edit?usp=sharing"",""ปทุมธานี!L520"")+IMPORTRANGE(""https://docs.google.com/spreadsheets/d/1GbCI"&amp;"E4D4wk9FUozzqk7SxfDMxDVBwVmI5zcaVUSzKAc/edit?usp=sharing"",""ประจวบคีรีขันธ์!L520"")+IMPORTRANGE(""https://docs.google.com/spreadsheets/d/1vVf6wykvW_lAyu7Yo9L4hUTqHqIeP_qcVuxCtosJEbg/edit?usp=sharing"",""ปราจีนบุรี!L520"")+IMPORTRANGE(""https://docs.googl"&amp;"e.com/spreadsheets/d/1BIDqLLg5jk3v59G8NlR8rk5xfQDKne0sAvZHSj7TI6I/edit?usp=sharing"",""พระนครศรีอยุธยา!L520"")+IMPORTRANGE(""https://docs.google.com/spreadsheets/d/1YXvxf8Yu6_rV4hTBrwMqAcAnv6DfhUxh5emyM3CJp_w/edit?usp=sharing"",""เพชรบุรี!L520"")+IMPORTRA"&amp;"NGE(""https://docs.google.com/spreadsheets/d/19KBlQQs7uwvsao6t2n-KvW3Ax8J8uRRfZPq1zPbXgKc/edit?usp=sharing"",""ระยอง!L520"")+IMPORTRANGE(""https://docs.google.com/spreadsheets/d/1jQ6P4QcrGM89YfqcC_PxOHGCMq5ezhucwJd8ci-NHng/edit?usp=sharing"",""ราชบุรี!L52"&amp;"0"")+IMPORTRANGE(""https://docs.google.com/spreadsheets/d/1lufeA2cfFqM-elVq2hznhDzC6Pr7wkJ9ZG_sYNGCMCU/edit?usp=sharing"",""ลพบุรี!L520"")+IMPORTRANGE(""https://docs.google.com/spreadsheets/d/10oOiF7loTyfsTkbd4MpaIm0HQ9SwB7IYHdIUvt-U1Uc/edit?usp=sharing"""&amp;",""สระแก้ว!L520"")+IMPORTRANGE(""https://docs.google.com/spreadsheets/d/1xmPlrr1QbdSIKvl1dWUl9K4PjAfSL9oeMr_37QVzcxc/edit?usp=sharing"",""สระบุรี!L520"")+IMPORTRANGE(""https://docs.google.com/spreadsheets/d/1j51vR6CYVGhABJpv6tkstgok82RLpXieLzW1yOY5rHw/edi"&amp;"t?usp=sharing"",""สิงห์บุรี!L520"")+IMPORTRANGE(""https://docs.google.com/spreadsheets/d/1H1EalTWKUSzO4Z1-1CwzoDUaVffgrThEBe2sl74kKG0/edit?usp=sharing"",""สุพรรณบุรี!L520"")+IMPORTRANGE(""https://docs.google.com/spreadsheets/d/1BmIruG_sIrJLYao_Pdr7zVArWsf"&amp;"oBt2692TMi6x_854/edit?usp=sharing"",""อ่างทอง!L520"")"),0)</f>
        <v>0</v>
      </c>
      <c r="M521" s="88">
        <f ca="1">IFERROR(__xludf.DUMMYFUNCTION("IMPORTRANGE(""https://docs.google.com/spreadsheets/d/13wPX838HrBrQMCywv1BsuMkt4PEKTChp52zj44s2izQ/edit?usp=sharing"",""กาญจนบุรี!M520"")+IMPORTRANGE(""https://docs.google.com/spreadsheets/d/1ddFKvqj1W1NEiWytbGlB1zMx_ykJDVtmfEQ-6-lIUBA/edit?usp=sharing"","&amp;"""จันทบุรี!M520"")+IMPORTRANGE(""https://docs.google.com/spreadsheets/d/1T1PQvRODqOBZk8BRht_U031fIS1beLA0Ub2CEytj2q0/edit?usp=sharing"",""ฉะเชิงเทรา!M520"")+IMPORTRANGE(""https://docs.google.com/spreadsheets/d/11tr1B-Bhyr79v2bkwVh5h_fR-PStkgjlZtkrZpYurG0/"&amp;"edit?usp=sharing"",""ชลบุรี!M520"")+IMPORTRANGE(""https://docs.google.com/spreadsheets/d/1hh-FVnSX0vozXhGluamEcS54Dw9_zqW0N7qJUWgJ0Sw/edit?usp=sharing"",""ชัยนาท!M520"")+IMPORTRANGE(""https://docs.google.com/spreadsheets/d/1jkqa6GXxSacMcY1eN8AHjMNJ_7dDXMJ"&amp;"VRLDlaFSOdPM/edit?usp=sharing"",""ตราด!M520"")+IMPORTRANGE(""https://docs.google.com/spreadsheets/d/18hSgUJ3VwClqi_qtULmmW3cLr0oe3OKaSYoKzdpTsYQ/edit?usp=sharing"",""นครนายก!M520"")+IMPORTRANGE(""https://docs.google.com/spreadsheets/d/1YTZo6WM2dQ6Ix6FSdnL"&amp;"5P7uVnVKu40sxZu975tgG10E/edit?usp=sharing"",""นครปฐม!M520"")+IMPORTRANGE(""https://docs.google.com/spreadsheets/d/1OYoGg4WDg5RIzwGeB10padOxJF9E_Vljuvvct_M7RDo/edit?usp=sharing"",""ปทุมธานี!M520"")+IMPORTRANGE(""https://docs.google.com/spreadsheets/d/1GbCI"&amp;"E4D4wk9FUozzqk7SxfDMxDVBwVmI5zcaVUSzKAc/edit?usp=sharing"",""ประจวบคีรีขันธ์!M520"")+IMPORTRANGE(""https://docs.google.com/spreadsheets/d/1vVf6wykvW_lAyu7Yo9L4hUTqHqIeP_qcVuxCtosJEbg/edit?usp=sharing"",""ปราจีนบุรี!M520"")+IMPORTRANGE(""https://docs.googl"&amp;"e.com/spreadsheets/d/1BIDqLLg5jk3v59G8NlR8rk5xfQDKne0sAvZHSj7TI6I/edit?usp=sharing"",""พระนครศรีอยุธยา!M520"")+IMPORTRANGE(""https://docs.google.com/spreadsheets/d/1YXvxf8Yu6_rV4hTBrwMqAcAnv6DfhUxh5emyM3CJp_w/edit?usp=sharing"",""เพชรบุรี!M520"")+IMPORTRA"&amp;"NGE(""https://docs.google.com/spreadsheets/d/19KBlQQs7uwvsao6t2n-KvW3Ax8J8uRRfZPq1zPbXgKc/edit?usp=sharing"",""ระยอง!M520"")+IMPORTRANGE(""https://docs.google.com/spreadsheets/d/1jQ6P4QcrGM89YfqcC_PxOHGCMq5ezhucwJd8ci-NHng/edit?usp=sharing"",""ราชบุรี!M52"&amp;"0"")+IMPORTRANGE(""https://docs.google.com/spreadsheets/d/1lufeA2cfFqM-elVq2hznhDzC6Pr7wkJ9ZG_sYNGCMCU/edit?usp=sharing"",""ลพบุรี!M520"")+IMPORTRANGE(""https://docs.google.com/spreadsheets/d/10oOiF7loTyfsTkbd4MpaIm0HQ9SwB7IYHdIUvt-U1Uc/edit?usp=sharing"""&amp;",""สระแก้ว!M520"")+IMPORTRANGE(""https://docs.google.com/spreadsheets/d/1xmPlrr1QbdSIKvl1dWUl9K4PjAfSL9oeMr_37QVzcxc/edit?usp=sharing"",""สระบุรี!M520"")+IMPORTRANGE(""https://docs.google.com/spreadsheets/d/1j51vR6CYVGhABJpv6tkstgok82RLpXieLzW1yOY5rHw/edi"&amp;"t?usp=sharing"",""สิงห์บุรี!M520"")+IMPORTRANGE(""https://docs.google.com/spreadsheets/d/1H1EalTWKUSzO4Z1-1CwzoDUaVffgrThEBe2sl74kKG0/edit?usp=sharing"",""สุพรรณบุรี!M520"")+IMPORTRANGE(""https://docs.google.com/spreadsheets/d/1BmIruG_sIrJLYao_Pdr7zVArWsf"&amp;"oBt2692TMi6x_854/edit?usp=sharing"",""อ่างทอง!M520"")"),0)</f>
        <v>0</v>
      </c>
      <c r="N521" s="88">
        <f ca="1">IFERROR(__xludf.DUMMYFUNCTION("IMPORTRANGE(""https://docs.google.com/spreadsheets/d/13wPX838HrBrQMCywv1BsuMkt4PEKTChp52zj44s2izQ/edit?usp=sharing"",""กาญจนบุรี!N520"")+IMPORTRANGE(""https://docs.google.com/spreadsheets/d/1ddFKvqj1W1NEiWytbGlB1zMx_ykJDVtmfEQ-6-lIUBA/edit?usp=sharing"","&amp;"""จันทบุรี!N520"")+IMPORTRANGE(""https://docs.google.com/spreadsheets/d/1T1PQvRODqOBZk8BRht_U031fIS1beLA0Ub2CEytj2q0/edit?usp=sharing"",""ฉะเชิงเทรา!N520"")+IMPORTRANGE(""https://docs.google.com/spreadsheets/d/11tr1B-Bhyr79v2bkwVh5h_fR-PStkgjlZtkrZpYurG0/"&amp;"edit?usp=sharing"",""ชลบุรี!N520"")+IMPORTRANGE(""https://docs.google.com/spreadsheets/d/1hh-FVnSX0vozXhGluamEcS54Dw9_zqW0N7qJUWgJ0Sw/edit?usp=sharing"",""ชัยนาท!N520"")+IMPORTRANGE(""https://docs.google.com/spreadsheets/d/1jkqa6GXxSacMcY1eN8AHjMNJ_7dDXMJ"&amp;"VRLDlaFSOdPM/edit?usp=sharing"",""ตราด!N520"")+IMPORTRANGE(""https://docs.google.com/spreadsheets/d/18hSgUJ3VwClqi_qtULmmW3cLr0oe3OKaSYoKzdpTsYQ/edit?usp=sharing"",""นครนายก!N520"")+IMPORTRANGE(""https://docs.google.com/spreadsheets/d/1YTZo6WM2dQ6Ix6FSdnL"&amp;"5P7uVnVKu40sxZu975tgG10E/edit?usp=sharing"",""นครปฐม!N520"")+IMPORTRANGE(""https://docs.google.com/spreadsheets/d/1OYoGg4WDg5RIzwGeB10padOxJF9E_Vljuvvct_M7RDo/edit?usp=sharing"",""ปทุมธานี!N520"")+IMPORTRANGE(""https://docs.google.com/spreadsheets/d/1GbCI"&amp;"E4D4wk9FUozzqk7SxfDMxDVBwVmI5zcaVUSzKAc/edit?usp=sharing"",""ประจวบคีรีขันธ์!N520"")+IMPORTRANGE(""https://docs.google.com/spreadsheets/d/1vVf6wykvW_lAyu7Yo9L4hUTqHqIeP_qcVuxCtosJEbg/edit?usp=sharing"",""ปราจีนบุรี!N520"")+IMPORTRANGE(""https://docs.googl"&amp;"e.com/spreadsheets/d/1BIDqLLg5jk3v59G8NlR8rk5xfQDKne0sAvZHSj7TI6I/edit?usp=sharing"",""พระนครศรีอยุธยา!N520"")+IMPORTRANGE(""https://docs.google.com/spreadsheets/d/1YXvxf8Yu6_rV4hTBrwMqAcAnv6DfhUxh5emyM3CJp_w/edit?usp=sharing"",""เพชรบุรี!N520"")+IMPORTRA"&amp;"NGE(""https://docs.google.com/spreadsheets/d/19KBlQQs7uwvsao6t2n-KvW3Ax8J8uRRfZPq1zPbXgKc/edit?usp=sharing"",""ระยอง!N520"")+IMPORTRANGE(""https://docs.google.com/spreadsheets/d/1jQ6P4QcrGM89YfqcC_PxOHGCMq5ezhucwJd8ci-NHng/edit?usp=sharing"",""ราชบุรี!N52"&amp;"0"")+IMPORTRANGE(""https://docs.google.com/spreadsheets/d/1lufeA2cfFqM-elVq2hznhDzC6Pr7wkJ9ZG_sYNGCMCU/edit?usp=sharing"",""ลพบุรี!N520"")+IMPORTRANGE(""https://docs.google.com/spreadsheets/d/10oOiF7loTyfsTkbd4MpaIm0HQ9SwB7IYHdIUvt-U1Uc/edit?usp=sharing"""&amp;",""สระแก้ว!N520"")+IMPORTRANGE(""https://docs.google.com/spreadsheets/d/1xmPlrr1QbdSIKvl1dWUl9K4PjAfSL9oeMr_37QVzcxc/edit?usp=sharing"",""สระบุรี!N520"")+IMPORTRANGE(""https://docs.google.com/spreadsheets/d/1j51vR6CYVGhABJpv6tkstgok82RLpXieLzW1yOY5rHw/edi"&amp;"t?usp=sharing"",""สิงห์บุรี!N520"")+IMPORTRANGE(""https://docs.google.com/spreadsheets/d/1H1EalTWKUSzO4Z1-1CwzoDUaVffgrThEBe2sl74kKG0/edit?usp=sharing"",""สุพรรณบุรี!N520"")+IMPORTRANGE(""https://docs.google.com/spreadsheets/d/1BmIruG_sIrJLYao_Pdr7zVArWsf"&amp;"oBt2692TMi6x_854/edit?usp=sharing"",""อ่างทอง!N520"")"),0)</f>
        <v>0</v>
      </c>
      <c r="O521" s="88">
        <f t="shared" ca="1" si="355"/>
        <v>0</v>
      </c>
      <c r="P521" s="88">
        <f t="shared" ca="1" si="356"/>
        <v>0</v>
      </c>
      <c r="Q521" s="76">
        <f ca="1">IFERROR(__xludf.DUMMYFUNCTION("IMPORTRANGE(""https://docs.google.com/spreadsheets/d/13wPX838HrBrQMCywv1BsuMkt4PEKTChp52zj44s2izQ/edit?usp=sharing"",""กาญจนบุรี!Q520"")+IMPORTRANGE(""https://docs.google.com/spreadsheets/d/1ddFKvqj1W1NEiWytbGlB1zMx_ykJDVtmfEQ-6-lIUBA/edit?usp=sharing"","&amp;"""จันทบุรี!Q520"")+IMPORTRANGE(""https://docs.google.com/spreadsheets/d/1T1PQvRODqOBZk8BRht_U031fIS1beLA0Ub2CEytj2q0/edit?usp=sharing"",""ฉะเชิงเทรา!Q520"")+IMPORTRANGE(""https://docs.google.com/spreadsheets/d/11tr1B-Bhyr79v2bkwVh5h_fR-PStkgjlZtkrZpYurG0/"&amp;"edit?usp=sharing"",""ชลบุรี!Q520"")+IMPORTRANGE(""https://docs.google.com/spreadsheets/d/1hh-FVnSX0vozXhGluamEcS54Dw9_zqW0N7qJUWgJ0Sw/edit?usp=sharing"",""ชัยนาท!Q520"")+IMPORTRANGE(""https://docs.google.com/spreadsheets/d/1jkqa6GXxSacMcY1eN8AHjMNJ_7dDXMJ"&amp;"VRLDlaFSOdPM/edit?usp=sharing"",""ตราด!Q520"")+IMPORTRANGE(""https://docs.google.com/spreadsheets/d/18hSgUJ3VwClqi_qtULmmW3cLr0oe3OKaSYoKzdpTsYQ/edit?usp=sharing"",""นครนายก!Q520"")+IMPORTRANGE(""https://docs.google.com/spreadsheets/d/1YTZo6WM2dQ6Ix6FSdnL"&amp;"5P7uVnVKu40sxZu975tgG10E/edit?usp=sharing"",""นครปฐม!Q520"")+IMPORTRANGE(""https://docs.google.com/spreadsheets/d/1OYoGg4WDg5RIzwGeB10padOxJF9E_Vljuvvct_M7RDo/edit?usp=sharing"",""ปทุมธานี!Q520"")+IMPORTRANGE(""https://docs.google.com/spreadsheets/d/1GbCI"&amp;"E4D4wk9FUozzqk7SxfDMxDVBwVmI5zcaVUSzKAc/edit?usp=sharing"",""ประจวบคีรีขันธ์!Q520"")+IMPORTRANGE(""https://docs.google.com/spreadsheets/d/1vVf6wykvW_lAyu7Yo9L4hUTqHqIeP_qcVuxCtosJEbg/edit?usp=sharing"",""ปราจีนบุรี!Q520"")+IMPORTRANGE(""https://docs.googl"&amp;"e.com/spreadsheets/d/1BIDqLLg5jk3v59G8NlR8rk5xfQDKne0sAvZHSj7TI6I/edit?usp=sharing"",""พระนครศรีอยุธยา!Q520"")+IMPORTRANGE(""https://docs.google.com/spreadsheets/d/1YXvxf8Yu6_rV4hTBrwMqAcAnv6DfhUxh5emyM3CJp_w/edit?usp=sharing"",""เพชรบุรี!Q520"")+IMPORTRA"&amp;"NGE(""https://docs.google.com/spreadsheets/d/19KBlQQs7uwvsao6t2n-KvW3Ax8J8uRRfZPq1zPbXgKc/edit?usp=sharing"",""ระยอง!Q520"")+IMPORTRANGE(""https://docs.google.com/spreadsheets/d/1jQ6P4QcrGM89YfqcC_PxOHGCMq5ezhucwJd8ci-NHng/edit?usp=sharing"",""ราชบุรี!Q52"&amp;"0"")+IMPORTRANGE(""https://docs.google.com/spreadsheets/d/1lufeA2cfFqM-elVq2hznhDzC6Pr7wkJ9ZG_sYNGCMCU/edit?usp=sharing"",""ลพบุรี!Q520"")+IMPORTRANGE(""https://docs.google.com/spreadsheets/d/10oOiF7loTyfsTkbd4MpaIm0HQ9SwB7IYHdIUvt-U1Uc/edit?usp=sharing"""&amp;",""สระแก้ว!Q520"")+IMPORTRANGE(""https://docs.google.com/spreadsheets/d/1xmPlrr1QbdSIKvl1dWUl9K4PjAfSL9oeMr_37QVzcxc/edit?usp=sharing"",""สระบุรี!Q520"")+IMPORTRANGE(""https://docs.google.com/spreadsheets/d/1j51vR6CYVGhABJpv6tkstgok82RLpXieLzW1yOY5rHw/edi"&amp;"t?usp=sharing"",""สิงห์บุรี!Q520"")+IMPORTRANGE(""https://docs.google.com/spreadsheets/d/1H1EalTWKUSzO4Z1-1CwzoDUaVffgrThEBe2sl74kKG0/edit?usp=sharing"",""สุพรรณบุรี!Q520"")+IMPORTRANGE(""https://docs.google.com/spreadsheets/d/1BmIruG_sIrJLYao_Pdr7zVArWsf"&amp;"oBt2692TMi6x_854/edit?usp=sharing"",""อ่างทอง!Q520"")"),0)</f>
        <v>0</v>
      </c>
      <c r="R521" s="77">
        <f ca="1">IFERROR(__xludf.DUMMYFUNCTION("IMPORTRANGE(""https://docs.google.com/spreadsheets/d/13wPX838HrBrQMCywv1BsuMkt4PEKTChp52zj44s2izQ/edit?usp=sharing"",""กาญจนบุรี!R520"")+IMPORTRANGE(""https://docs.google.com/spreadsheets/d/1ddFKvqj1W1NEiWytbGlB1zMx_ykJDVtmfEQ-6-lIUBA/edit?usp=sharing"","&amp;"""จันทบุรี!R520"")+IMPORTRANGE(""https://docs.google.com/spreadsheets/d/1T1PQvRODqOBZk8BRht_U031fIS1beLA0Ub2CEytj2q0/edit?usp=sharing"",""ฉะเชิงเทรา!R520"")+IMPORTRANGE(""https://docs.google.com/spreadsheets/d/11tr1B-Bhyr79v2bkwVh5h_fR-PStkgjlZtkrZpYurG0/"&amp;"edit?usp=sharing"",""ชลบุรี!R520"")+IMPORTRANGE(""https://docs.google.com/spreadsheets/d/1hh-FVnSX0vozXhGluamEcS54Dw9_zqW0N7qJUWgJ0Sw/edit?usp=sharing"",""ชัยนาท!R520"")+IMPORTRANGE(""https://docs.google.com/spreadsheets/d/1jkqa6GXxSacMcY1eN8AHjMNJ_7dDXMJ"&amp;"VRLDlaFSOdPM/edit?usp=sharing"",""ตราด!R520"")+IMPORTRANGE(""https://docs.google.com/spreadsheets/d/18hSgUJ3VwClqi_qtULmmW3cLr0oe3OKaSYoKzdpTsYQ/edit?usp=sharing"",""นครนายก!R520"")+IMPORTRANGE(""https://docs.google.com/spreadsheets/d/1YTZo6WM2dQ6Ix6FSdnL"&amp;"5P7uVnVKu40sxZu975tgG10E/edit?usp=sharing"",""นครปฐม!R520"")+IMPORTRANGE(""https://docs.google.com/spreadsheets/d/1OYoGg4WDg5RIzwGeB10padOxJF9E_Vljuvvct_M7RDo/edit?usp=sharing"",""ปทุมธานี!R520"")+IMPORTRANGE(""https://docs.google.com/spreadsheets/d/1GbCI"&amp;"E4D4wk9FUozzqk7SxfDMxDVBwVmI5zcaVUSzKAc/edit?usp=sharing"",""ประจวบคีรีขันธ์!R520"")+IMPORTRANGE(""https://docs.google.com/spreadsheets/d/1vVf6wykvW_lAyu7Yo9L4hUTqHqIeP_qcVuxCtosJEbg/edit?usp=sharing"",""ปราจีนบุรี!R520"")+IMPORTRANGE(""https://docs.googl"&amp;"e.com/spreadsheets/d/1BIDqLLg5jk3v59G8NlR8rk5xfQDKne0sAvZHSj7TI6I/edit?usp=sharing"",""พระนครศรีอยุธยา!R520"")+IMPORTRANGE(""https://docs.google.com/spreadsheets/d/1YXvxf8Yu6_rV4hTBrwMqAcAnv6DfhUxh5emyM3CJp_w/edit?usp=sharing"",""เพชรบุรี!R520"")+IMPORTRA"&amp;"NGE(""https://docs.google.com/spreadsheets/d/19KBlQQs7uwvsao6t2n-KvW3Ax8J8uRRfZPq1zPbXgKc/edit?usp=sharing"",""ระยอง!R520"")+IMPORTRANGE(""https://docs.google.com/spreadsheets/d/1jQ6P4QcrGM89YfqcC_PxOHGCMq5ezhucwJd8ci-NHng/edit?usp=sharing"",""ราชบุรี!R52"&amp;"0"")+IMPORTRANGE(""https://docs.google.com/spreadsheets/d/1lufeA2cfFqM-elVq2hznhDzC6Pr7wkJ9ZG_sYNGCMCU/edit?usp=sharing"",""ลพบุรี!R520"")+IMPORTRANGE(""https://docs.google.com/spreadsheets/d/10oOiF7loTyfsTkbd4MpaIm0HQ9SwB7IYHdIUvt-U1Uc/edit?usp=sharing"""&amp;",""สระแก้ว!R520"")+IMPORTRANGE(""https://docs.google.com/spreadsheets/d/1xmPlrr1QbdSIKvl1dWUl9K4PjAfSL9oeMr_37QVzcxc/edit?usp=sharing"",""สระบุรี!R520"")+IMPORTRANGE(""https://docs.google.com/spreadsheets/d/1j51vR6CYVGhABJpv6tkstgok82RLpXieLzW1yOY5rHw/edi"&amp;"t?usp=sharing"",""สิงห์บุรี!R520"")+IMPORTRANGE(""https://docs.google.com/spreadsheets/d/1H1EalTWKUSzO4Z1-1CwzoDUaVffgrThEBe2sl74kKG0/edit?usp=sharing"",""สุพรรณบุรี!R520"")+IMPORTRANGE(""https://docs.google.com/spreadsheets/d/1BmIruG_sIrJLYao_Pdr7zVArWsf"&amp;"oBt2692TMi6x_854/edit?usp=sharing"",""อ่างทอง!R520"")"),0)</f>
        <v>0</v>
      </c>
      <c r="S521" s="77">
        <f ca="1">IFERROR(__xludf.DUMMYFUNCTION("IMPORTRANGE(""https://docs.google.com/spreadsheets/d/13wPX838HrBrQMCywv1BsuMkt4PEKTChp52zj44s2izQ/edit?usp=sharing"",""กาญจนบุรี!S520"")+IMPORTRANGE(""https://docs.google.com/spreadsheets/d/1ddFKvqj1W1NEiWytbGlB1zMx_ykJDVtmfEQ-6-lIUBA/edit?usp=sharing"","&amp;"""จันทบุรี!S520"")+IMPORTRANGE(""https://docs.google.com/spreadsheets/d/1T1PQvRODqOBZk8BRht_U031fIS1beLA0Ub2CEytj2q0/edit?usp=sharing"",""ฉะเชิงเทรา!S520"")+IMPORTRANGE(""https://docs.google.com/spreadsheets/d/11tr1B-Bhyr79v2bkwVh5h_fR-PStkgjlZtkrZpYurG0/"&amp;"edit?usp=sharing"",""ชลบุรี!S520"")+IMPORTRANGE(""https://docs.google.com/spreadsheets/d/1hh-FVnSX0vozXhGluamEcS54Dw9_zqW0N7qJUWgJ0Sw/edit?usp=sharing"",""ชัยนาท!S520"")+IMPORTRANGE(""https://docs.google.com/spreadsheets/d/1jkqa6GXxSacMcY1eN8AHjMNJ_7dDXMJ"&amp;"VRLDlaFSOdPM/edit?usp=sharing"",""ตราด!S520"")+IMPORTRANGE(""https://docs.google.com/spreadsheets/d/18hSgUJ3VwClqi_qtULmmW3cLr0oe3OKaSYoKzdpTsYQ/edit?usp=sharing"",""นครนายก!S520"")+IMPORTRANGE(""https://docs.google.com/spreadsheets/d/1YTZo6WM2dQ6Ix6FSdnL"&amp;"5P7uVnVKu40sxZu975tgG10E/edit?usp=sharing"",""นครปฐม!S520"")+IMPORTRANGE(""https://docs.google.com/spreadsheets/d/1OYoGg4WDg5RIzwGeB10padOxJF9E_Vljuvvct_M7RDo/edit?usp=sharing"",""ปทุมธานี!S520"")+IMPORTRANGE(""https://docs.google.com/spreadsheets/d/1GbCI"&amp;"E4D4wk9FUozzqk7SxfDMxDVBwVmI5zcaVUSzKAc/edit?usp=sharing"",""ประจวบคีรีขันธ์!S520"")+IMPORTRANGE(""https://docs.google.com/spreadsheets/d/1vVf6wykvW_lAyu7Yo9L4hUTqHqIeP_qcVuxCtosJEbg/edit?usp=sharing"",""ปราจีนบุรี!S520"")+IMPORTRANGE(""https://docs.googl"&amp;"e.com/spreadsheets/d/1BIDqLLg5jk3v59G8NlR8rk5xfQDKne0sAvZHSj7TI6I/edit?usp=sharing"",""พระนครศรีอยุธยา!S520"")+IMPORTRANGE(""https://docs.google.com/spreadsheets/d/1YXvxf8Yu6_rV4hTBrwMqAcAnv6DfhUxh5emyM3CJp_w/edit?usp=sharing"",""เพชรบุรี!S520"")+IMPORTRA"&amp;"NGE(""https://docs.google.com/spreadsheets/d/19KBlQQs7uwvsao6t2n-KvW3Ax8J8uRRfZPq1zPbXgKc/edit?usp=sharing"",""ระยอง!S520"")+IMPORTRANGE(""https://docs.google.com/spreadsheets/d/1jQ6P4QcrGM89YfqcC_PxOHGCMq5ezhucwJd8ci-NHng/edit?usp=sharing"",""ราชบุรี!S52"&amp;"0"")+IMPORTRANGE(""https://docs.google.com/spreadsheets/d/1lufeA2cfFqM-elVq2hznhDzC6Pr7wkJ9ZG_sYNGCMCU/edit?usp=sharing"",""ลพบุรี!S520"")+IMPORTRANGE(""https://docs.google.com/spreadsheets/d/10oOiF7loTyfsTkbd4MpaIm0HQ9SwB7IYHdIUvt-U1Uc/edit?usp=sharing"""&amp;",""สระแก้ว!S520"")+IMPORTRANGE(""https://docs.google.com/spreadsheets/d/1xmPlrr1QbdSIKvl1dWUl9K4PjAfSL9oeMr_37QVzcxc/edit?usp=sharing"",""สระบุรี!S520"")+IMPORTRANGE(""https://docs.google.com/spreadsheets/d/1j51vR6CYVGhABJpv6tkstgok82RLpXieLzW1yOY5rHw/edi"&amp;"t?usp=sharing"",""สิงห์บุรี!S520"")+IMPORTRANGE(""https://docs.google.com/spreadsheets/d/1H1EalTWKUSzO4Z1-1CwzoDUaVffgrThEBe2sl74kKG0/edit?usp=sharing"",""สุพรรณบุรี!S520"")+IMPORTRANGE(""https://docs.google.com/spreadsheets/d/1BmIruG_sIrJLYao_Pdr7zVArWsf"&amp;"oBt2692TMi6x_854/edit?usp=sharing"",""อ่างทอง!S520"")"),0)</f>
        <v>0</v>
      </c>
      <c r="T521" s="133">
        <f t="shared" ca="1" si="358"/>
        <v>0</v>
      </c>
      <c r="U521" s="133">
        <f t="shared" ca="1" si="359"/>
        <v>0</v>
      </c>
    </row>
    <row r="522" spans="1:21" ht="18.75" hidden="1" x14ac:dyDescent="0.25">
      <c r="A522" s="209"/>
      <c r="B522" s="67"/>
      <c r="C522" s="67"/>
      <c r="D522" s="67"/>
      <c r="E522" s="75" t="s">
        <v>21</v>
      </c>
      <c r="F522" s="67"/>
      <c r="G522" s="69"/>
      <c r="H522" s="221" t="s">
        <v>14</v>
      </c>
      <c r="I522" s="219"/>
      <c r="J522" s="219"/>
      <c r="K522" s="220"/>
      <c r="L522" s="88">
        <f ca="1">IFERROR(__xludf.DUMMYFUNCTION("IMPORTRANGE(""https://docs.google.com/spreadsheets/d/13wPX838HrBrQMCywv1BsuMkt4PEKTChp52zj44s2izQ/edit?usp=sharing"",""กาญจนบุรี!L521"")+IMPORTRANGE(""https://docs.google.com/spreadsheets/d/1ddFKvqj1W1NEiWytbGlB1zMx_ykJDVtmfEQ-6-lIUBA/edit?usp=sharing"","&amp;"""จันทบุรี!L521"")+IMPORTRANGE(""https://docs.google.com/spreadsheets/d/1T1PQvRODqOBZk8BRht_U031fIS1beLA0Ub2CEytj2q0/edit?usp=sharing"",""ฉะเชิงเทรา!L521"")+IMPORTRANGE(""https://docs.google.com/spreadsheets/d/11tr1B-Bhyr79v2bkwVh5h_fR-PStkgjlZtkrZpYurG0/"&amp;"edit?usp=sharing"",""ชลบุรี!L521"")+IMPORTRANGE(""https://docs.google.com/spreadsheets/d/1hh-FVnSX0vozXhGluamEcS54Dw9_zqW0N7qJUWgJ0Sw/edit?usp=sharing"",""ชัยนาท!L521"")+IMPORTRANGE(""https://docs.google.com/spreadsheets/d/1jkqa6GXxSacMcY1eN8AHjMNJ_7dDXMJ"&amp;"VRLDlaFSOdPM/edit?usp=sharing"",""ตราด!L521"")+IMPORTRANGE(""https://docs.google.com/spreadsheets/d/18hSgUJ3VwClqi_qtULmmW3cLr0oe3OKaSYoKzdpTsYQ/edit?usp=sharing"",""นครนายก!L521"")+IMPORTRANGE(""https://docs.google.com/spreadsheets/d/1YTZo6WM2dQ6Ix6FSdnL"&amp;"5P7uVnVKu40sxZu975tgG10E/edit?usp=sharing"",""นครปฐม!L521"")+IMPORTRANGE(""https://docs.google.com/spreadsheets/d/1OYoGg4WDg5RIzwGeB10padOxJF9E_Vljuvvct_M7RDo/edit?usp=sharing"",""ปทุมธานี!L521"")+IMPORTRANGE(""https://docs.google.com/spreadsheets/d/1GbCI"&amp;"E4D4wk9FUozzqk7SxfDMxDVBwVmI5zcaVUSzKAc/edit?usp=sharing"",""ประจวบคีรีขันธ์!L521"")+IMPORTRANGE(""https://docs.google.com/spreadsheets/d/1vVf6wykvW_lAyu7Yo9L4hUTqHqIeP_qcVuxCtosJEbg/edit?usp=sharing"",""ปราจีนบุรี!L521"")+IMPORTRANGE(""https://docs.googl"&amp;"e.com/spreadsheets/d/1BIDqLLg5jk3v59G8NlR8rk5xfQDKne0sAvZHSj7TI6I/edit?usp=sharing"",""พระนครศรีอยุธยา!L521"")+IMPORTRANGE(""https://docs.google.com/spreadsheets/d/1YXvxf8Yu6_rV4hTBrwMqAcAnv6DfhUxh5emyM3CJp_w/edit?usp=sharing"",""เพชรบุรี!L521"")+IMPORTRA"&amp;"NGE(""https://docs.google.com/spreadsheets/d/19KBlQQs7uwvsao6t2n-KvW3Ax8J8uRRfZPq1zPbXgKc/edit?usp=sharing"",""ระยอง!L521"")+IMPORTRANGE(""https://docs.google.com/spreadsheets/d/1jQ6P4QcrGM89YfqcC_PxOHGCMq5ezhucwJd8ci-NHng/edit?usp=sharing"",""ราชบุรี!L52"&amp;"1"")+IMPORTRANGE(""https://docs.google.com/spreadsheets/d/1lufeA2cfFqM-elVq2hznhDzC6Pr7wkJ9ZG_sYNGCMCU/edit?usp=sharing"",""ลพบุรี!L521"")+IMPORTRANGE(""https://docs.google.com/spreadsheets/d/10oOiF7loTyfsTkbd4MpaIm0HQ9SwB7IYHdIUvt-U1Uc/edit?usp=sharing"""&amp;",""สระแก้ว!L521"")+IMPORTRANGE(""https://docs.google.com/spreadsheets/d/1xmPlrr1QbdSIKvl1dWUl9K4PjAfSL9oeMr_37QVzcxc/edit?usp=sharing"",""สระบุรี!L521"")+IMPORTRANGE(""https://docs.google.com/spreadsheets/d/1j51vR6CYVGhABJpv6tkstgok82RLpXieLzW1yOY5rHw/edi"&amp;"t?usp=sharing"",""สิงห์บุรี!L521"")+IMPORTRANGE(""https://docs.google.com/spreadsheets/d/1H1EalTWKUSzO4Z1-1CwzoDUaVffgrThEBe2sl74kKG0/edit?usp=sharing"",""สุพรรณบุรี!L521"")+IMPORTRANGE(""https://docs.google.com/spreadsheets/d/1BmIruG_sIrJLYao_Pdr7zVArWsf"&amp;"oBt2692TMi6x_854/edit?usp=sharing"",""อ่างทอง!L521"")"),0)</f>
        <v>0</v>
      </c>
      <c r="M522" s="88">
        <f ca="1">IFERROR(__xludf.DUMMYFUNCTION("IMPORTRANGE(""https://docs.google.com/spreadsheets/d/13wPX838HrBrQMCywv1BsuMkt4PEKTChp52zj44s2izQ/edit?usp=sharing"",""กาญจนบุรี!M521"")+IMPORTRANGE(""https://docs.google.com/spreadsheets/d/1ddFKvqj1W1NEiWytbGlB1zMx_ykJDVtmfEQ-6-lIUBA/edit?usp=sharing"","&amp;"""จันทบุรี!M521"")+IMPORTRANGE(""https://docs.google.com/spreadsheets/d/1T1PQvRODqOBZk8BRht_U031fIS1beLA0Ub2CEytj2q0/edit?usp=sharing"",""ฉะเชิงเทรา!M521"")+IMPORTRANGE(""https://docs.google.com/spreadsheets/d/11tr1B-Bhyr79v2bkwVh5h_fR-PStkgjlZtkrZpYurG0/"&amp;"edit?usp=sharing"",""ชลบุรี!M521"")+IMPORTRANGE(""https://docs.google.com/spreadsheets/d/1hh-FVnSX0vozXhGluamEcS54Dw9_zqW0N7qJUWgJ0Sw/edit?usp=sharing"",""ชัยนาท!M521"")+IMPORTRANGE(""https://docs.google.com/spreadsheets/d/1jkqa6GXxSacMcY1eN8AHjMNJ_7dDXMJ"&amp;"VRLDlaFSOdPM/edit?usp=sharing"",""ตราด!M521"")+IMPORTRANGE(""https://docs.google.com/spreadsheets/d/18hSgUJ3VwClqi_qtULmmW3cLr0oe3OKaSYoKzdpTsYQ/edit?usp=sharing"",""นครนายก!M521"")+IMPORTRANGE(""https://docs.google.com/spreadsheets/d/1YTZo6WM2dQ6Ix6FSdnL"&amp;"5P7uVnVKu40sxZu975tgG10E/edit?usp=sharing"",""นครปฐม!M521"")+IMPORTRANGE(""https://docs.google.com/spreadsheets/d/1OYoGg4WDg5RIzwGeB10padOxJF9E_Vljuvvct_M7RDo/edit?usp=sharing"",""ปทุมธานี!M521"")+IMPORTRANGE(""https://docs.google.com/spreadsheets/d/1GbCI"&amp;"E4D4wk9FUozzqk7SxfDMxDVBwVmI5zcaVUSzKAc/edit?usp=sharing"",""ประจวบคีรีขันธ์!M521"")+IMPORTRANGE(""https://docs.google.com/spreadsheets/d/1vVf6wykvW_lAyu7Yo9L4hUTqHqIeP_qcVuxCtosJEbg/edit?usp=sharing"",""ปราจีนบุรี!M521"")+IMPORTRANGE(""https://docs.googl"&amp;"e.com/spreadsheets/d/1BIDqLLg5jk3v59G8NlR8rk5xfQDKne0sAvZHSj7TI6I/edit?usp=sharing"",""พระนครศรีอยุธยา!M521"")+IMPORTRANGE(""https://docs.google.com/spreadsheets/d/1YXvxf8Yu6_rV4hTBrwMqAcAnv6DfhUxh5emyM3CJp_w/edit?usp=sharing"",""เพชรบุรี!M521"")+IMPORTRA"&amp;"NGE(""https://docs.google.com/spreadsheets/d/19KBlQQs7uwvsao6t2n-KvW3Ax8J8uRRfZPq1zPbXgKc/edit?usp=sharing"",""ระยอง!M521"")+IMPORTRANGE(""https://docs.google.com/spreadsheets/d/1jQ6P4QcrGM89YfqcC_PxOHGCMq5ezhucwJd8ci-NHng/edit?usp=sharing"",""ราชบุรี!M52"&amp;"1"")+IMPORTRANGE(""https://docs.google.com/spreadsheets/d/1lufeA2cfFqM-elVq2hznhDzC6Pr7wkJ9ZG_sYNGCMCU/edit?usp=sharing"",""ลพบุรี!M521"")+IMPORTRANGE(""https://docs.google.com/spreadsheets/d/10oOiF7loTyfsTkbd4MpaIm0HQ9SwB7IYHdIUvt-U1Uc/edit?usp=sharing"""&amp;",""สระแก้ว!M521"")+IMPORTRANGE(""https://docs.google.com/spreadsheets/d/1xmPlrr1QbdSIKvl1dWUl9K4PjAfSL9oeMr_37QVzcxc/edit?usp=sharing"",""สระบุรี!M521"")+IMPORTRANGE(""https://docs.google.com/spreadsheets/d/1j51vR6CYVGhABJpv6tkstgok82RLpXieLzW1yOY5rHw/edi"&amp;"t?usp=sharing"",""สิงห์บุรี!M521"")+IMPORTRANGE(""https://docs.google.com/spreadsheets/d/1H1EalTWKUSzO4Z1-1CwzoDUaVffgrThEBe2sl74kKG0/edit?usp=sharing"",""สุพรรณบุรี!M521"")+IMPORTRANGE(""https://docs.google.com/spreadsheets/d/1BmIruG_sIrJLYao_Pdr7zVArWsf"&amp;"oBt2692TMi6x_854/edit?usp=sharing"",""อ่างทอง!M521"")"),0)</f>
        <v>0</v>
      </c>
      <c r="N522" s="88">
        <f ca="1">IFERROR(__xludf.DUMMYFUNCTION("IMPORTRANGE(""https://docs.google.com/spreadsheets/d/13wPX838HrBrQMCywv1BsuMkt4PEKTChp52zj44s2izQ/edit?usp=sharing"",""กาญจนบุรี!N521"")+IMPORTRANGE(""https://docs.google.com/spreadsheets/d/1ddFKvqj1W1NEiWytbGlB1zMx_ykJDVtmfEQ-6-lIUBA/edit?usp=sharing"","&amp;"""จันทบุรี!N521"")+IMPORTRANGE(""https://docs.google.com/spreadsheets/d/1T1PQvRODqOBZk8BRht_U031fIS1beLA0Ub2CEytj2q0/edit?usp=sharing"",""ฉะเชิงเทรา!N521"")+IMPORTRANGE(""https://docs.google.com/spreadsheets/d/11tr1B-Bhyr79v2bkwVh5h_fR-PStkgjlZtkrZpYurG0/"&amp;"edit?usp=sharing"",""ชลบุรี!N521"")+IMPORTRANGE(""https://docs.google.com/spreadsheets/d/1hh-FVnSX0vozXhGluamEcS54Dw9_zqW0N7qJUWgJ0Sw/edit?usp=sharing"",""ชัยนาท!N521"")+IMPORTRANGE(""https://docs.google.com/spreadsheets/d/1jkqa6GXxSacMcY1eN8AHjMNJ_7dDXMJ"&amp;"VRLDlaFSOdPM/edit?usp=sharing"",""ตราด!N521"")+IMPORTRANGE(""https://docs.google.com/spreadsheets/d/18hSgUJ3VwClqi_qtULmmW3cLr0oe3OKaSYoKzdpTsYQ/edit?usp=sharing"",""นครนายก!N521"")+IMPORTRANGE(""https://docs.google.com/spreadsheets/d/1YTZo6WM2dQ6Ix6FSdnL"&amp;"5P7uVnVKu40sxZu975tgG10E/edit?usp=sharing"",""นครปฐม!N521"")+IMPORTRANGE(""https://docs.google.com/spreadsheets/d/1OYoGg4WDg5RIzwGeB10padOxJF9E_Vljuvvct_M7RDo/edit?usp=sharing"",""ปทุมธานี!N521"")+IMPORTRANGE(""https://docs.google.com/spreadsheets/d/1GbCI"&amp;"E4D4wk9FUozzqk7SxfDMxDVBwVmI5zcaVUSzKAc/edit?usp=sharing"",""ประจวบคีรีขันธ์!N521"")+IMPORTRANGE(""https://docs.google.com/spreadsheets/d/1vVf6wykvW_lAyu7Yo9L4hUTqHqIeP_qcVuxCtosJEbg/edit?usp=sharing"",""ปราจีนบุรี!N521"")+IMPORTRANGE(""https://docs.googl"&amp;"e.com/spreadsheets/d/1BIDqLLg5jk3v59G8NlR8rk5xfQDKne0sAvZHSj7TI6I/edit?usp=sharing"",""พระนครศรีอยุธยา!N521"")+IMPORTRANGE(""https://docs.google.com/spreadsheets/d/1YXvxf8Yu6_rV4hTBrwMqAcAnv6DfhUxh5emyM3CJp_w/edit?usp=sharing"",""เพชรบุรี!N521"")+IMPORTRA"&amp;"NGE(""https://docs.google.com/spreadsheets/d/19KBlQQs7uwvsao6t2n-KvW3Ax8J8uRRfZPq1zPbXgKc/edit?usp=sharing"",""ระยอง!N521"")+IMPORTRANGE(""https://docs.google.com/spreadsheets/d/1jQ6P4QcrGM89YfqcC_PxOHGCMq5ezhucwJd8ci-NHng/edit?usp=sharing"",""ราชบุรี!N52"&amp;"1"")+IMPORTRANGE(""https://docs.google.com/spreadsheets/d/1lufeA2cfFqM-elVq2hznhDzC6Pr7wkJ9ZG_sYNGCMCU/edit?usp=sharing"",""ลพบุรี!N521"")+IMPORTRANGE(""https://docs.google.com/spreadsheets/d/10oOiF7loTyfsTkbd4MpaIm0HQ9SwB7IYHdIUvt-U1Uc/edit?usp=sharing"""&amp;",""สระแก้ว!N521"")+IMPORTRANGE(""https://docs.google.com/spreadsheets/d/1xmPlrr1QbdSIKvl1dWUl9K4PjAfSL9oeMr_37QVzcxc/edit?usp=sharing"",""สระบุรี!N521"")+IMPORTRANGE(""https://docs.google.com/spreadsheets/d/1j51vR6CYVGhABJpv6tkstgok82RLpXieLzW1yOY5rHw/edi"&amp;"t?usp=sharing"",""สิงห์บุรี!N521"")+IMPORTRANGE(""https://docs.google.com/spreadsheets/d/1H1EalTWKUSzO4Z1-1CwzoDUaVffgrThEBe2sl74kKG0/edit?usp=sharing"",""สุพรรณบุรี!N521"")+IMPORTRANGE(""https://docs.google.com/spreadsheets/d/1BmIruG_sIrJLYao_Pdr7zVArWsf"&amp;"oBt2692TMi6x_854/edit?usp=sharing"",""อ่างทอง!N521"")"),0)</f>
        <v>0</v>
      </c>
      <c r="O522" s="88">
        <f t="shared" ca="1" si="355"/>
        <v>0</v>
      </c>
      <c r="P522" s="88">
        <f t="shared" ca="1" si="356"/>
        <v>0</v>
      </c>
      <c r="Q522" s="73">
        <f ca="1">IFERROR(__xludf.DUMMYFUNCTION("IMPORTRANGE(""https://docs.google.com/spreadsheets/d/13wPX838HrBrQMCywv1BsuMkt4PEKTChp52zj44s2izQ/edit?usp=sharing"",""กาญจนบุรี!Q521"")+IMPORTRANGE(""https://docs.google.com/spreadsheets/d/1ddFKvqj1W1NEiWytbGlB1zMx_ykJDVtmfEQ-6-lIUBA/edit?usp=sharing"","&amp;"""จันทบุรี!Q521"")+IMPORTRANGE(""https://docs.google.com/spreadsheets/d/1T1PQvRODqOBZk8BRht_U031fIS1beLA0Ub2CEytj2q0/edit?usp=sharing"",""ฉะเชิงเทรา!Q521"")+IMPORTRANGE(""https://docs.google.com/spreadsheets/d/11tr1B-Bhyr79v2bkwVh5h_fR-PStkgjlZtkrZpYurG0/"&amp;"edit?usp=sharing"",""ชลบุรี!Q521"")+IMPORTRANGE(""https://docs.google.com/spreadsheets/d/1hh-FVnSX0vozXhGluamEcS54Dw9_zqW0N7qJUWgJ0Sw/edit?usp=sharing"",""ชัยนาท!Q521"")+IMPORTRANGE(""https://docs.google.com/spreadsheets/d/1jkqa6GXxSacMcY1eN8AHjMNJ_7dDXMJ"&amp;"VRLDlaFSOdPM/edit?usp=sharing"",""ตราด!Q521"")+IMPORTRANGE(""https://docs.google.com/spreadsheets/d/18hSgUJ3VwClqi_qtULmmW3cLr0oe3OKaSYoKzdpTsYQ/edit?usp=sharing"",""นครนายก!Q521"")+IMPORTRANGE(""https://docs.google.com/spreadsheets/d/1YTZo6WM2dQ6Ix6FSdnL"&amp;"5P7uVnVKu40sxZu975tgG10E/edit?usp=sharing"",""นครปฐม!Q521"")+IMPORTRANGE(""https://docs.google.com/spreadsheets/d/1OYoGg4WDg5RIzwGeB10padOxJF9E_Vljuvvct_M7RDo/edit?usp=sharing"",""ปทุมธานี!Q521"")+IMPORTRANGE(""https://docs.google.com/spreadsheets/d/1GbCI"&amp;"E4D4wk9FUozzqk7SxfDMxDVBwVmI5zcaVUSzKAc/edit?usp=sharing"",""ประจวบคีรีขันธ์!Q521"")+IMPORTRANGE(""https://docs.google.com/spreadsheets/d/1vVf6wykvW_lAyu7Yo9L4hUTqHqIeP_qcVuxCtosJEbg/edit?usp=sharing"",""ปราจีนบุรี!Q521"")+IMPORTRANGE(""https://docs.googl"&amp;"e.com/spreadsheets/d/1BIDqLLg5jk3v59G8NlR8rk5xfQDKne0sAvZHSj7TI6I/edit?usp=sharing"",""พระนครศรีอยุธยา!Q521"")+IMPORTRANGE(""https://docs.google.com/spreadsheets/d/1YXvxf8Yu6_rV4hTBrwMqAcAnv6DfhUxh5emyM3CJp_w/edit?usp=sharing"",""เพชรบุรี!Q521"")+IMPORTRA"&amp;"NGE(""https://docs.google.com/spreadsheets/d/19KBlQQs7uwvsao6t2n-KvW3Ax8J8uRRfZPq1zPbXgKc/edit?usp=sharing"",""ระยอง!Q521"")+IMPORTRANGE(""https://docs.google.com/spreadsheets/d/1jQ6P4QcrGM89YfqcC_PxOHGCMq5ezhucwJd8ci-NHng/edit?usp=sharing"",""ราชบุรี!Q52"&amp;"1"")+IMPORTRANGE(""https://docs.google.com/spreadsheets/d/1lufeA2cfFqM-elVq2hznhDzC6Pr7wkJ9ZG_sYNGCMCU/edit?usp=sharing"",""ลพบุรี!Q521"")+IMPORTRANGE(""https://docs.google.com/spreadsheets/d/10oOiF7loTyfsTkbd4MpaIm0HQ9SwB7IYHdIUvt-U1Uc/edit?usp=sharing"""&amp;",""สระแก้ว!Q521"")+IMPORTRANGE(""https://docs.google.com/spreadsheets/d/1xmPlrr1QbdSIKvl1dWUl9K4PjAfSL9oeMr_37QVzcxc/edit?usp=sharing"",""สระบุรี!Q521"")+IMPORTRANGE(""https://docs.google.com/spreadsheets/d/1j51vR6CYVGhABJpv6tkstgok82RLpXieLzW1yOY5rHw/edi"&amp;"t?usp=sharing"",""สิงห์บุรี!Q521"")+IMPORTRANGE(""https://docs.google.com/spreadsheets/d/1H1EalTWKUSzO4Z1-1CwzoDUaVffgrThEBe2sl74kKG0/edit?usp=sharing"",""สุพรรณบุรี!Q521"")+IMPORTRANGE(""https://docs.google.com/spreadsheets/d/1BmIruG_sIrJLYao_Pdr7zVArWsf"&amp;"oBt2692TMi6x_854/edit?usp=sharing"",""อ่างทอง!Q521"")"),0)</f>
        <v>0</v>
      </c>
      <c r="R522" s="74">
        <f ca="1">IFERROR(__xludf.DUMMYFUNCTION("IMPORTRANGE(""https://docs.google.com/spreadsheets/d/13wPX838HrBrQMCywv1BsuMkt4PEKTChp52zj44s2izQ/edit?usp=sharing"",""กาญจนบุรี!R521"")+IMPORTRANGE(""https://docs.google.com/spreadsheets/d/1ddFKvqj1W1NEiWytbGlB1zMx_ykJDVtmfEQ-6-lIUBA/edit?usp=sharing"","&amp;"""จันทบุรี!R521"")+IMPORTRANGE(""https://docs.google.com/spreadsheets/d/1T1PQvRODqOBZk8BRht_U031fIS1beLA0Ub2CEytj2q0/edit?usp=sharing"",""ฉะเชิงเทรา!R521"")+IMPORTRANGE(""https://docs.google.com/spreadsheets/d/11tr1B-Bhyr79v2bkwVh5h_fR-PStkgjlZtkrZpYurG0/"&amp;"edit?usp=sharing"",""ชลบุรี!R521"")+IMPORTRANGE(""https://docs.google.com/spreadsheets/d/1hh-FVnSX0vozXhGluamEcS54Dw9_zqW0N7qJUWgJ0Sw/edit?usp=sharing"",""ชัยนาท!R521"")+IMPORTRANGE(""https://docs.google.com/spreadsheets/d/1jkqa6GXxSacMcY1eN8AHjMNJ_7dDXMJ"&amp;"VRLDlaFSOdPM/edit?usp=sharing"",""ตราด!R521"")+IMPORTRANGE(""https://docs.google.com/spreadsheets/d/18hSgUJ3VwClqi_qtULmmW3cLr0oe3OKaSYoKzdpTsYQ/edit?usp=sharing"",""นครนายก!R521"")+IMPORTRANGE(""https://docs.google.com/spreadsheets/d/1YTZo6WM2dQ6Ix6FSdnL"&amp;"5P7uVnVKu40sxZu975tgG10E/edit?usp=sharing"",""นครปฐม!R521"")+IMPORTRANGE(""https://docs.google.com/spreadsheets/d/1OYoGg4WDg5RIzwGeB10padOxJF9E_Vljuvvct_M7RDo/edit?usp=sharing"",""ปทุมธานี!R521"")+IMPORTRANGE(""https://docs.google.com/spreadsheets/d/1GbCI"&amp;"E4D4wk9FUozzqk7SxfDMxDVBwVmI5zcaVUSzKAc/edit?usp=sharing"",""ประจวบคีรีขันธ์!R521"")+IMPORTRANGE(""https://docs.google.com/spreadsheets/d/1vVf6wykvW_lAyu7Yo9L4hUTqHqIeP_qcVuxCtosJEbg/edit?usp=sharing"",""ปราจีนบุรี!R521"")+IMPORTRANGE(""https://docs.googl"&amp;"e.com/spreadsheets/d/1BIDqLLg5jk3v59G8NlR8rk5xfQDKne0sAvZHSj7TI6I/edit?usp=sharing"",""พระนครศรีอยุธยา!R521"")+IMPORTRANGE(""https://docs.google.com/spreadsheets/d/1YXvxf8Yu6_rV4hTBrwMqAcAnv6DfhUxh5emyM3CJp_w/edit?usp=sharing"",""เพชรบุรี!R521"")+IMPORTRA"&amp;"NGE(""https://docs.google.com/spreadsheets/d/19KBlQQs7uwvsao6t2n-KvW3Ax8J8uRRfZPq1zPbXgKc/edit?usp=sharing"",""ระยอง!R521"")+IMPORTRANGE(""https://docs.google.com/spreadsheets/d/1jQ6P4QcrGM89YfqcC_PxOHGCMq5ezhucwJd8ci-NHng/edit?usp=sharing"",""ราชบุรี!R52"&amp;"1"")+IMPORTRANGE(""https://docs.google.com/spreadsheets/d/1lufeA2cfFqM-elVq2hznhDzC6Pr7wkJ9ZG_sYNGCMCU/edit?usp=sharing"",""ลพบุรี!R521"")+IMPORTRANGE(""https://docs.google.com/spreadsheets/d/10oOiF7loTyfsTkbd4MpaIm0HQ9SwB7IYHdIUvt-U1Uc/edit?usp=sharing"""&amp;",""สระแก้ว!R521"")+IMPORTRANGE(""https://docs.google.com/spreadsheets/d/1xmPlrr1QbdSIKvl1dWUl9K4PjAfSL9oeMr_37QVzcxc/edit?usp=sharing"",""สระบุรี!R521"")+IMPORTRANGE(""https://docs.google.com/spreadsheets/d/1j51vR6CYVGhABJpv6tkstgok82RLpXieLzW1yOY5rHw/edi"&amp;"t?usp=sharing"",""สิงห์บุรี!R521"")+IMPORTRANGE(""https://docs.google.com/spreadsheets/d/1H1EalTWKUSzO4Z1-1CwzoDUaVffgrThEBe2sl74kKG0/edit?usp=sharing"",""สุพรรณบุรี!R521"")+IMPORTRANGE(""https://docs.google.com/spreadsheets/d/1BmIruG_sIrJLYao_Pdr7zVArWsf"&amp;"oBt2692TMi6x_854/edit?usp=sharing"",""อ่างทอง!R521"")"),0)</f>
        <v>0</v>
      </c>
      <c r="S522" s="74">
        <f ca="1">IFERROR(__xludf.DUMMYFUNCTION("IMPORTRANGE(""https://docs.google.com/spreadsheets/d/13wPX838HrBrQMCywv1BsuMkt4PEKTChp52zj44s2izQ/edit?usp=sharing"",""กาญจนบุรี!S521"")+IMPORTRANGE(""https://docs.google.com/spreadsheets/d/1ddFKvqj1W1NEiWytbGlB1zMx_ykJDVtmfEQ-6-lIUBA/edit?usp=sharing"","&amp;"""จันทบุรี!S521"")+IMPORTRANGE(""https://docs.google.com/spreadsheets/d/1T1PQvRODqOBZk8BRht_U031fIS1beLA0Ub2CEytj2q0/edit?usp=sharing"",""ฉะเชิงเทรา!S521"")+IMPORTRANGE(""https://docs.google.com/spreadsheets/d/11tr1B-Bhyr79v2bkwVh5h_fR-PStkgjlZtkrZpYurG0/"&amp;"edit?usp=sharing"",""ชลบุรี!S521"")+IMPORTRANGE(""https://docs.google.com/spreadsheets/d/1hh-FVnSX0vozXhGluamEcS54Dw9_zqW0N7qJUWgJ0Sw/edit?usp=sharing"",""ชัยนาท!S521"")+IMPORTRANGE(""https://docs.google.com/spreadsheets/d/1jkqa6GXxSacMcY1eN8AHjMNJ_7dDXMJ"&amp;"VRLDlaFSOdPM/edit?usp=sharing"",""ตราด!S521"")+IMPORTRANGE(""https://docs.google.com/spreadsheets/d/18hSgUJ3VwClqi_qtULmmW3cLr0oe3OKaSYoKzdpTsYQ/edit?usp=sharing"",""นครนายก!S521"")+IMPORTRANGE(""https://docs.google.com/spreadsheets/d/1YTZo6WM2dQ6Ix6FSdnL"&amp;"5P7uVnVKu40sxZu975tgG10E/edit?usp=sharing"",""นครปฐม!S521"")+IMPORTRANGE(""https://docs.google.com/spreadsheets/d/1OYoGg4WDg5RIzwGeB10padOxJF9E_Vljuvvct_M7RDo/edit?usp=sharing"",""ปทุมธานี!S521"")+IMPORTRANGE(""https://docs.google.com/spreadsheets/d/1GbCI"&amp;"E4D4wk9FUozzqk7SxfDMxDVBwVmI5zcaVUSzKAc/edit?usp=sharing"",""ประจวบคีรีขันธ์!S521"")+IMPORTRANGE(""https://docs.google.com/spreadsheets/d/1vVf6wykvW_lAyu7Yo9L4hUTqHqIeP_qcVuxCtosJEbg/edit?usp=sharing"",""ปราจีนบุรี!S521"")+IMPORTRANGE(""https://docs.googl"&amp;"e.com/spreadsheets/d/1BIDqLLg5jk3v59G8NlR8rk5xfQDKne0sAvZHSj7TI6I/edit?usp=sharing"",""พระนครศรีอยุธยา!S521"")+IMPORTRANGE(""https://docs.google.com/spreadsheets/d/1YXvxf8Yu6_rV4hTBrwMqAcAnv6DfhUxh5emyM3CJp_w/edit?usp=sharing"",""เพชรบุรี!S521"")+IMPORTRA"&amp;"NGE(""https://docs.google.com/spreadsheets/d/19KBlQQs7uwvsao6t2n-KvW3Ax8J8uRRfZPq1zPbXgKc/edit?usp=sharing"",""ระยอง!S521"")+IMPORTRANGE(""https://docs.google.com/spreadsheets/d/1jQ6P4QcrGM89YfqcC_PxOHGCMq5ezhucwJd8ci-NHng/edit?usp=sharing"",""ราชบุรี!S52"&amp;"1"")+IMPORTRANGE(""https://docs.google.com/spreadsheets/d/1lufeA2cfFqM-elVq2hznhDzC6Pr7wkJ9ZG_sYNGCMCU/edit?usp=sharing"",""ลพบุรี!S521"")+IMPORTRANGE(""https://docs.google.com/spreadsheets/d/10oOiF7loTyfsTkbd4MpaIm0HQ9SwB7IYHdIUvt-U1Uc/edit?usp=sharing"""&amp;",""สระแก้ว!S521"")+IMPORTRANGE(""https://docs.google.com/spreadsheets/d/1xmPlrr1QbdSIKvl1dWUl9K4PjAfSL9oeMr_37QVzcxc/edit?usp=sharing"",""สระบุรี!S521"")+IMPORTRANGE(""https://docs.google.com/spreadsheets/d/1j51vR6CYVGhABJpv6tkstgok82RLpXieLzW1yOY5rHw/edi"&amp;"t?usp=sharing"",""สิงห์บุรี!S521"")+IMPORTRANGE(""https://docs.google.com/spreadsheets/d/1H1EalTWKUSzO4Z1-1CwzoDUaVffgrThEBe2sl74kKG0/edit?usp=sharing"",""สุพรรณบุรี!S521"")+IMPORTRANGE(""https://docs.google.com/spreadsheets/d/1BmIruG_sIrJLYao_Pdr7zVArWsf"&amp;"oBt2692TMi6x_854/edit?usp=sharing"",""อ่างทอง!S521"")"),0)</f>
        <v>0</v>
      </c>
      <c r="T522" s="132">
        <f t="shared" ca="1" si="358"/>
        <v>0</v>
      </c>
      <c r="U522" s="132">
        <f t="shared" ca="1" si="359"/>
        <v>0</v>
      </c>
    </row>
    <row r="523" spans="1:21" ht="19.5" hidden="1" x14ac:dyDescent="0.3">
      <c r="A523" s="222"/>
      <c r="B523" s="223"/>
      <c r="C523" s="210" t="s">
        <v>18</v>
      </c>
      <c r="D523" s="224" t="s">
        <v>38</v>
      </c>
      <c r="E523" s="225"/>
      <c r="F523" s="225"/>
      <c r="G523" s="226"/>
      <c r="H523" s="227"/>
      <c r="I523" s="219"/>
      <c r="J523" s="71"/>
      <c r="K523" s="72"/>
      <c r="L523" s="72"/>
      <c r="M523" s="72"/>
      <c r="N523" s="72"/>
      <c r="O523" s="220"/>
      <c r="P523" s="220"/>
      <c r="Q523" s="86"/>
      <c r="R523" s="87"/>
      <c r="S523" s="87"/>
      <c r="T523" s="229"/>
      <c r="U523" s="229"/>
    </row>
    <row r="524" spans="1:21" ht="18.75" hidden="1" x14ac:dyDescent="0.25">
      <c r="A524" s="377"/>
      <c r="B524" s="67"/>
      <c r="C524" s="381"/>
      <c r="D524" s="395" t="s">
        <v>208</v>
      </c>
      <c r="E524" s="223"/>
      <c r="F524" s="67"/>
      <c r="G524" s="69"/>
      <c r="H524" s="380" t="s">
        <v>11</v>
      </c>
      <c r="I524" s="321">
        <v>0</v>
      </c>
      <c r="J524" s="321">
        <v>0</v>
      </c>
      <c r="K524" s="88">
        <f t="shared" ref="K524:K525" si="368">IF(I524&gt;0,J524*100/I524,0)</f>
        <v>0</v>
      </c>
      <c r="L524" s="72"/>
      <c r="M524" s="72"/>
      <c r="N524" s="72"/>
      <c r="O524" s="72"/>
      <c r="P524" s="72"/>
      <c r="Q524" s="86"/>
      <c r="R524" s="87"/>
      <c r="S524" s="87"/>
      <c r="T524" s="87"/>
      <c r="U524" s="87"/>
    </row>
    <row r="525" spans="1:21" ht="18.75" hidden="1" x14ac:dyDescent="0.25">
      <c r="A525" s="665"/>
      <c r="B525" s="90"/>
      <c r="C525" s="666"/>
      <c r="D525" s="667" t="s">
        <v>209</v>
      </c>
      <c r="E525" s="668"/>
      <c r="F525" s="90"/>
      <c r="G525" s="92"/>
      <c r="H525" s="669" t="s">
        <v>61</v>
      </c>
      <c r="I525" s="670">
        <v>0</v>
      </c>
      <c r="J525" s="670">
        <v>0</v>
      </c>
      <c r="K525" s="96">
        <f t="shared" si="368"/>
        <v>0</v>
      </c>
      <c r="L525" s="95"/>
      <c r="M525" s="95"/>
      <c r="N525" s="95"/>
      <c r="O525" s="95"/>
      <c r="P525" s="95"/>
      <c r="Q525" s="86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677"/>
      <c r="M526" s="677"/>
      <c r="N526" s="677"/>
      <c r="O526" s="677"/>
      <c r="P526" s="677"/>
      <c r="Q526" s="597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6"/>
      <c r="M527" s="596"/>
      <c r="N527" s="596"/>
      <c r="O527" s="596"/>
      <c r="P527" s="596"/>
      <c r="Q527" s="597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6"/>
      <c r="M528" s="596"/>
      <c r="N528" s="596"/>
      <c r="O528" s="596"/>
      <c r="P528" s="596"/>
      <c r="Q528" s="597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6"/>
      <c r="M529" s="596"/>
      <c r="N529" s="596"/>
      <c r="O529" s="596"/>
      <c r="P529" s="596"/>
      <c r="Q529" s="597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6"/>
      <c r="M530" s="596"/>
      <c r="N530" s="596"/>
      <c r="O530" s="596"/>
      <c r="P530" s="596"/>
      <c r="Q530" s="597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6"/>
      <c r="M531" s="596"/>
      <c r="N531" s="596"/>
      <c r="O531" s="596"/>
      <c r="P531" s="596"/>
      <c r="Q531" s="597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6"/>
      <c r="M532" s="596"/>
      <c r="N532" s="596"/>
      <c r="O532" s="596"/>
      <c r="P532" s="596"/>
      <c r="Q532" s="597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1"/>
      <c r="M533" s="601"/>
      <c r="N533" s="601"/>
      <c r="O533" s="601"/>
      <c r="P533" s="601"/>
      <c r="Q533" s="602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687">
        <f t="shared" ref="I534:J534" si="369">I546</f>
        <v>0</v>
      </c>
      <c r="J534" s="687">
        <f t="shared" si="369"/>
        <v>0</v>
      </c>
      <c r="K534" s="688">
        <f>IF(I534&gt;0,J534*100/I534,0)</f>
        <v>0</v>
      </c>
      <c r="L534" s="664"/>
      <c r="M534" s="664"/>
      <c r="N534" s="664"/>
      <c r="O534" s="664"/>
      <c r="P534" s="664"/>
      <c r="Q534" s="663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264">
        <f t="shared" ref="L535:N535" ca="1" si="370">L536+L537</f>
        <v>0</v>
      </c>
      <c r="M535" s="264">
        <f t="shared" ca="1" si="370"/>
        <v>0</v>
      </c>
      <c r="N535" s="264">
        <f t="shared" ca="1" si="370"/>
        <v>0</v>
      </c>
      <c r="O535" s="264">
        <f t="shared" ref="O535:O543" ca="1" si="371">IF(L535&gt;0,N535*100/L535,0)</f>
        <v>0</v>
      </c>
      <c r="P535" s="264">
        <f t="shared" ref="P535:P543" ca="1" si="372">IF(M535&gt;0,N535*100/M535,0)</f>
        <v>0</v>
      </c>
      <c r="Q535" s="214">
        <f t="shared" ref="Q535:S535" ca="1" si="373">Q536+Q537</f>
        <v>0</v>
      </c>
      <c r="R535" s="215">
        <f t="shared" ca="1" si="373"/>
        <v>0</v>
      </c>
      <c r="S535" s="215">
        <f t="shared" ca="1" si="373"/>
        <v>0</v>
      </c>
      <c r="T535" s="215">
        <f t="shared" ref="T535:T543" ca="1" si="374">IF(Q535&gt;0,S535*100/Q535,0)</f>
        <v>0</v>
      </c>
      <c r="U535" s="215">
        <f t="shared" ref="U535:U543" ca="1" si="375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7">
        <f t="shared" ref="L536:N536" ca="1" si="376">L539+L542</f>
        <v>0</v>
      </c>
      <c r="M536" s="77">
        <f t="shared" ca="1" si="376"/>
        <v>0</v>
      </c>
      <c r="N536" s="77">
        <f t="shared" ca="1" si="376"/>
        <v>0</v>
      </c>
      <c r="O536" s="77">
        <f t="shared" ca="1" si="371"/>
        <v>0</v>
      </c>
      <c r="P536" s="77">
        <f t="shared" ca="1" si="372"/>
        <v>0</v>
      </c>
      <c r="Q536" s="217">
        <f t="shared" ref="Q536:S536" ca="1" si="377">Q539+Q542</f>
        <v>0</v>
      </c>
      <c r="R536" s="133">
        <f t="shared" ca="1" si="377"/>
        <v>0</v>
      </c>
      <c r="S536" s="133">
        <f t="shared" ca="1" si="377"/>
        <v>0</v>
      </c>
      <c r="T536" s="133">
        <f t="shared" ca="1" si="374"/>
        <v>0</v>
      </c>
      <c r="U536" s="133">
        <f t="shared" ca="1" si="375"/>
        <v>0</v>
      </c>
    </row>
    <row r="537" spans="1:21" ht="18.75" hidden="1" x14ac:dyDescent="0.25">
      <c r="A537" s="257"/>
      <c r="B537" s="258"/>
      <c r="C537" s="269"/>
      <c r="D537" s="258"/>
      <c r="E537" s="589" t="s">
        <v>21</v>
      </c>
      <c r="F537" s="258"/>
      <c r="G537" s="261"/>
      <c r="H537" s="268" t="s">
        <v>14</v>
      </c>
      <c r="I537" s="263"/>
      <c r="J537" s="263"/>
      <c r="K537" s="87"/>
      <c r="L537" s="74">
        <f t="shared" ref="L537:N537" ca="1" si="378">L540+L543</f>
        <v>0</v>
      </c>
      <c r="M537" s="74">
        <f t="shared" ca="1" si="378"/>
        <v>0</v>
      </c>
      <c r="N537" s="74">
        <f t="shared" ca="1" si="378"/>
        <v>0</v>
      </c>
      <c r="O537" s="74">
        <f t="shared" ca="1" si="371"/>
        <v>0</v>
      </c>
      <c r="P537" s="74">
        <f t="shared" ca="1" si="372"/>
        <v>0</v>
      </c>
      <c r="Q537" s="131">
        <f t="shared" ref="Q537:S537" ca="1" si="379">Q540+Q543</f>
        <v>0</v>
      </c>
      <c r="R537" s="132">
        <f t="shared" ca="1" si="379"/>
        <v>0</v>
      </c>
      <c r="S537" s="132">
        <f t="shared" ca="1" si="379"/>
        <v>0</v>
      </c>
      <c r="T537" s="132">
        <f t="shared" ca="1" si="374"/>
        <v>0</v>
      </c>
      <c r="U537" s="132">
        <f t="shared" ca="1" si="375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4">
        <f t="shared" ref="L538:N538" ca="1" si="380">L539+L540</f>
        <v>0</v>
      </c>
      <c r="M538" s="74">
        <f t="shared" ca="1" si="380"/>
        <v>0</v>
      </c>
      <c r="N538" s="74">
        <f t="shared" ca="1" si="380"/>
        <v>0</v>
      </c>
      <c r="O538" s="74">
        <f t="shared" ca="1" si="371"/>
        <v>0</v>
      </c>
      <c r="P538" s="74">
        <f t="shared" ca="1" si="372"/>
        <v>0</v>
      </c>
      <c r="Q538" s="131">
        <f t="shared" ref="Q538:S538" ca="1" si="381">Q539+Q540</f>
        <v>0</v>
      </c>
      <c r="R538" s="132">
        <f t="shared" ca="1" si="381"/>
        <v>0</v>
      </c>
      <c r="S538" s="132">
        <f t="shared" ca="1" si="381"/>
        <v>0</v>
      </c>
      <c r="T538" s="132">
        <f t="shared" ca="1" si="374"/>
        <v>0</v>
      </c>
      <c r="U538" s="132">
        <f t="shared" ca="1" si="375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7">
        <f ca="1">IFERROR(__xludf.DUMMYFUNCTION("IMPORTRANGE(""https://docs.google.com/spreadsheets/d/13wPX838HrBrQMCywv1BsuMkt4PEKTChp52zj44s2izQ/edit?usp=sharing"",""กาญจนบุรี!L538"")+IMPORTRANGE(""https://docs.google.com/spreadsheets/d/1ddFKvqj1W1NEiWytbGlB1zMx_ykJDVtmfEQ-6-lIUBA/edit?usp=sharing"","&amp;"""จันทบุรี!L538"")+IMPORTRANGE(""https://docs.google.com/spreadsheets/d/1T1PQvRODqOBZk8BRht_U031fIS1beLA0Ub2CEytj2q0/edit?usp=sharing"",""ฉะเชิงเทรา!L538"")+IMPORTRANGE(""https://docs.google.com/spreadsheets/d/11tr1B-Bhyr79v2bkwVh5h_fR-PStkgjlZtkrZpYurG0/"&amp;"edit?usp=sharing"",""ชลบุรี!L538"")+IMPORTRANGE(""https://docs.google.com/spreadsheets/d/1hh-FVnSX0vozXhGluamEcS54Dw9_zqW0N7qJUWgJ0Sw/edit?usp=sharing"",""ชัยนาท!L538"")+IMPORTRANGE(""https://docs.google.com/spreadsheets/d/1jkqa6GXxSacMcY1eN8AHjMNJ_7dDXMJ"&amp;"VRLDlaFSOdPM/edit?usp=sharing"",""ตราด!L538"")+IMPORTRANGE(""https://docs.google.com/spreadsheets/d/18hSgUJ3VwClqi_qtULmmW3cLr0oe3OKaSYoKzdpTsYQ/edit?usp=sharing"",""นครนายก!L538"")+IMPORTRANGE(""https://docs.google.com/spreadsheets/d/1YTZo6WM2dQ6Ix6FSdnL"&amp;"5P7uVnVKu40sxZu975tgG10E/edit?usp=sharing"",""นครปฐม!L538"")+IMPORTRANGE(""https://docs.google.com/spreadsheets/d/1OYoGg4WDg5RIzwGeB10padOxJF9E_Vljuvvct_M7RDo/edit?usp=sharing"",""ปทุมธานี!L538"")+IMPORTRANGE(""https://docs.google.com/spreadsheets/d/1GbCI"&amp;"E4D4wk9FUozzqk7SxfDMxDVBwVmI5zcaVUSzKAc/edit?usp=sharing"",""ประจวบคีรีขันธ์!L538"")+IMPORTRANGE(""https://docs.google.com/spreadsheets/d/1vVf6wykvW_lAyu7Yo9L4hUTqHqIeP_qcVuxCtosJEbg/edit?usp=sharing"",""ปราจีนบุรี!L538"")+IMPORTRANGE(""https://docs.googl"&amp;"e.com/spreadsheets/d/1BIDqLLg5jk3v59G8NlR8rk5xfQDKne0sAvZHSj7TI6I/edit?usp=sharing"",""พระนครศรีอยุธยา!L538"")+IMPORTRANGE(""https://docs.google.com/spreadsheets/d/1YXvxf8Yu6_rV4hTBrwMqAcAnv6DfhUxh5emyM3CJp_w/edit?usp=sharing"",""เพชรบุรี!L538"")+IMPORTRA"&amp;"NGE(""https://docs.google.com/spreadsheets/d/19KBlQQs7uwvsao6t2n-KvW3Ax8J8uRRfZPq1zPbXgKc/edit?usp=sharing"",""ระยอง!L538"")+IMPORTRANGE(""https://docs.google.com/spreadsheets/d/1jQ6P4QcrGM89YfqcC_PxOHGCMq5ezhucwJd8ci-NHng/edit?usp=sharing"",""ราชบุรี!L53"&amp;"8"")+IMPORTRANGE(""https://docs.google.com/spreadsheets/d/1lufeA2cfFqM-elVq2hznhDzC6Pr7wkJ9ZG_sYNGCMCU/edit?usp=sharing"",""ลพบุรี!L538"")+IMPORTRANGE(""https://docs.google.com/spreadsheets/d/10oOiF7loTyfsTkbd4MpaIm0HQ9SwB7IYHdIUvt-U1Uc/edit?usp=sharing"""&amp;",""สระแก้ว!L538"")+IMPORTRANGE(""https://docs.google.com/spreadsheets/d/1xmPlrr1QbdSIKvl1dWUl9K4PjAfSL9oeMr_37QVzcxc/edit?usp=sharing"",""สระบุรี!L538"")+IMPORTRANGE(""https://docs.google.com/spreadsheets/d/1j51vR6CYVGhABJpv6tkstgok82RLpXieLzW1yOY5rHw/edi"&amp;"t?usp=sharing"",""สิงห์บุรี!L538"")+IMPORTRANGE(""https://docs.google.com/spreadsheets/d/1H1EalTWKUSzO4Z1-1CwzoDUaVffgrThEBe2sl74kKG0/edit?usp=sharing"",""สุพรรณบุรี!L538"")+IMPORTRANGE(""https://docs.google.com/spreadsheets/d/1BmIruG_sIrJLYao_Pdr7zVArWsf"&amp;"oBt2692TMi6x_854/edit?usp=sharing"",""อ่างทอง!L538"")"),0)</f>
        <v>0</v>
      </c>
      <c r="M539" s="77">
        <f ca="1">IFERROR(__xludf.DUMMYFUNCTION("IMPORTRANGE(""https://docs.google.com/spreadsheets/d/13wPX838HrBrQMCywv1BsuMkt4PEKTChp52zj44s2izQ/edit?usp=sharing"",""กาญจนบุรี!M538"")+IMPORTRANGE(""https://docs.google.com/spreadsheets/d/1ddFKvqj1W1NEiWytbGlB1zMx_ykJDVtmfEQ-6-lIUBA/edit?usp=sharing"","&amp;"""จันทบุรี!M538"")+IMPORTRANGE(""https://docs.google.com/spreadsheets/d/1T1PQvRODqOBZk8BRht_U031fIS1beLA0Ub2CEytj2q0/edit?usp=sharing"",""ฉะเชิงเทรา!M538"")+IMPORTRANGE(""https://docs.google.com/spreadsheets/d/11tr1B-Bhyr79v2bkwVh5h_fR-PStkgjlZtkrZpYurG0/"&amp;"edit?usp=sharing"",""ชลบุรี!M538"")+IMPORTRANGE(""https://docs.google.com/spreadsheets/d/1hh-FVnSX0vozXhGluamEcS54Dw9_zqW0N7qJUWgJ0Sw/edit?usp=sharing"",""ชัยนาท!M538"")+IMPORTRANGE(""https://docs.google.com/spreadsheets/d/1jkqa6GXxSacMcY1eN8AHjMNJ_7dDXMJ"&amp;"VRLDlaFSOdPM/edit?usp=sharing"",""ตราด!M538"")+IMPORTRANGE(""https://docs.google.com/spreadsheets/d/18hSgUJ3VwClqi_qtULmmW3cLr0oe3OKaSYoKzdpTsYQ/edit?usp=sharing"",""นครนายก!M538"")+IMPORTRANGE(""https://docs.google.com/spreadsheets/d/1YTZo6WM2dQ6Ix6FSdnL"&amp;"5P7uVnVKu40sxZu975tgG10E/edit?usp=sharing"",""นครปฐม!M538"")+IMPORTRANGE(""https://docs.google.com/spreadsheets/d/1OYoGg4WDg5RIzwGeB10padOxJF9E_Vljuvvct_M7RDo/edit?usp=sharing"",""ปทุมธานี!M538"")+IMPORTRANGE(""https://docs.google.com/spreadsheets/d/1GbCI"&amp;"E4D4wk9FUozzqk7SxfDMxDVBwVmI5zcaVUSzKAc/edit?usp=sharing"",""ประจวบคีรีขันธ์!M538"")+IMPORTRANGE(""https://docs.google.com/spreadsheets/d/1vVf6wykvW_lAyu7Yo9L4hUTqHqIeP_qcVuxCtosJEbg/edit?usp=sharing"",""ปราจีนบุรี!M538"")+IMPORTRANGE(""https://docs.googl"&amp;"e.com/spreadsheets/d/1BIDqLLg5jk3v59G8NlR8rk5xfQDKne0sAvZHSj7TI6I/edit?usp=sharing"",""พระนครศรีอยุธยา!M538"")+IMPORTRANGE(""https://docs.google.com/spreadsheets/d/1YXvxf8Yu6_rV4hTBrwMqAcAnv6DfhUxh5emyM3CJp_w/edit?usp=sharing"",""เพชรบุรี!M538"")+IMPORTRA"&amp;"NGE(""https://docs.google.com/spreadsheets/d/19KBlQQs7uwvsao6t2n-KvW3Ax8J8uRRfZPq1zPbXgKc/edit?usp=sharing"",""ระยอง!M538"")+IMPORTRANGE(""https://docs.google.com/spreadsheets/d/1jQ6P4QcrGM89YfqcC_PxOHGCMq5ezhucwJd8ci-NHng/edit?usp=sharing"",""ราชบุรี!M53"&amp;"8"")+IMPORTRANGE(""https://docs.google.com/spreadsheets/d/1lufeA2cfFqM-elVq2hznhDzC6Pr7wkJ9ZG_sYNGCMCU/edit?usp=sharing"",""ลพบุรี!M538"")+IMPORTRANGE(""https://docs.google.com/spreadsheets/d/10oOiF7loTyfsTkbd4MpaIm0HQ9SwB7IYHdIUvt-U1Uc/edit?usp=sharing"""&amp;",""สระแก้ว!M538"")+IMPORTRANGE(""https://docs.google.com/spreadsheets/d/1xmPlrr1QbdSIKvl1dWUl9K4PjAfSL9oeMr_37QVzcxc/edit?usp=sharing"",""สระบุรี!M538"")+IMPORTRANGE(""https://docs.google.com/spreadsheets/d/1j51vR6CYVGhABJpv6tkstgok82RLpXieLzW1yOY5rHw/edi"&amp;"t?usp=sharing"",""สิงห์บุรี!M538"")+IMPORTRANGE(""https://docs.google.com/spreadsheets/d/1H1EalTWKUSzO4Z1-1CwzoDUaVffgrThEBe2sl74kKG0/edit?usp=sharing"",""สุพรรณบุรี!M538"")+IMPORTRANGE(""https://docs.google.com/spreadsheets/d/1BmIruG_sIrJLYao_Pdr7zVArWsf"&amp;"oBt2692TMi6x_854/edit?usp=sharing"",""อ่างทอง!M538"")"),0)</f>
        <v>0</v>
      </c>
      <c r="N539" s="77">
        <f ca="1">IFERROR(__xludf.DUMMYFUNCTION("IMPORTRANGE(""https://docs.google.com/spreadsheets/d/13wPX838HrBrQMCywv1BsuMkt4PEKTChp52zj44s2izQ/edit?usp=sharing"",""กาญจนบุรี!N538"")+IMPORTRANGE(""https://docs.google.com/spreadsheets/d/1ddFKvqj1W1NEiWytbGlB1zMx_ykJDVtmfEQ-6-lIUBA/edit?usp=sharing"","&amp;"""จันทบุรี!N538"")+IMPORTRANGE(""https://docs.google.com/spreadsheets/d/1T1PQvRODqOBZk8BRht_U031fIS1beLA0Ub2CEytj2q0/edit?usp=sharing"",""ฉะเชิงเทรา!N538"")+IMPORTRANGE(""https://docs.google.com/spreadsheets/d/11tr1B-Bhyr79v2bkwVh5h_fR-PStkgjlZtkrZpYurG0/"&amp;"edit?usp=sharing"",""ชลบุรี!N538"")+IMPORTRANGE(""https://docs.google.com/spreadsheets/d/1hh-FVnSX0vozXhGluamEcS54Dw9_zqW0N7qJUWgJ0Sw/edit?usp=sharing"",""ชัยนาท!N538"")+IMPORTRANGE(""https://docs.google.com/spreadsheets/d/1jkqa6GXxSacMcY1eN8AHjMNJ_7dDXMJ"&amp;"VRLDlaFSOdPM/edit?usp=sharing"",""ตราด!N538"")+IMPORTRANGE(""https://docs.google.com/spreadsheets/d/18hSgUJ3VwClqi_qtULmmW3cLr0oe3OKaSYoKzdpTsYQ/edit?usp=sharing"",""นครนายก!N538"")+IMPORTRANGE(""https://docs.google.com/spreadsheets/d/1YTZo6WM2dQ6Ix6FSdnL"&amp;"5P7uVnVKu40sxZu975tgG10E/edit?usp=sharing"",""นครปฐม!N538"")+IMPORTRANGE(""https://docs.google.com/spreadsheets/d/1OYoGg4WDg5RIzwGeB10padOxJF9E_Vljuvvct_M7RDo/edit?usp=sharing"",""ปทุมธานี!N538"")+IMPORTRANGE(""https://docs.google.com/spreadsheets/d/1GbCI"&amp;"E4D4wk9FUozzqk7SxfDMxDVBwVmI5zcaVUSzKAc/edit?usp=sharing"",""ประจวบคีรีขันธ์!N538"")+IMPORTRANGE(""https://docs.google.com/spreadsheets/d/1vVf6wykvW_lAyu7Yo9L4hUTqHqIeP_qcVuxCtosJEbg/edit?usp=sharing"",""ปราจีนบุรี!N538"")+IMPORTRANGE(""https://docs.googl"&amp;"e.com/spreadsheets/d/1BIDqLLg5jk3v59G8NlR8rk5xfQDKne0sAvZHSj7TI6I/edit?usp=sharing"",""พระนครศรีอยุธยา!N538"")+IMPORTRANGE(""https://docs.google.com/spreadsheets/d/1YXvxf8Yu6_rV4hTBrwMqAcAnv6DfhUxh5emyM3CJp_w/edit?usp=sharing"",""เพชรบุรี!N538"")+IMPORTRA"&amp;"NGE(""https://docs.google.com/spreadsheets/d/19KBlQQs7uwvsao6t2n-KvW3Ax8J8uRRfZPq1zPbXgKc/edit?usp=sharing"",""ระยอง!N538"")+IMPORTRANGE(""https://docs.google.com/spreadsheets/d/1jQ6P4QcrGM89YfqcC_PxOHGCMq5ezhucwJd8ci-NHng/edit?usp=sharing"",""ราชบุรี!N53"&amp;"8"")+IMPORTRANGE(""https://docs.google.com/spreadsheets/d/1lufeA2cfFqM-elVq2hznhDzC6Pr7wkJ9ZG_sYNGCMCU/edit?usp=sharing"",""ลพบุรี!N538"")+IMPORTRANGE(""https://docs.google.com/spreadsheets/d/10oOiF7loTyfsTkbd4MpaIm0HQ9SwB7IYHdIUvt-U1Uc/edit?usp=sharing"""&amp;",""สระแก้ว!N538"")+IMPORTRANGE(""https://docs.google.com/spreadsheets/d/1xmPlrr1QbdSIKvl1dWUl9K4PjAfSL9oeMr_37QVzcxc/edit?usp=sharing"",""สระบุรี!N538"")+IMPORTRANGE(""https://docs.google.com/spreadsheets/d/1j51vR6CYVGhABJpv6tkstgok82RLpXieLzW1yOY5rHw/edi"&amp;"t?usp=sharing"",""สิงห์บุรี!N538"")+IMPORTRANGE(""https://docs.google.com/spreadsheets/d/1H1EalTWKUSzO4Z1-1CwzoDUaVffgrThEBe2sl74kKG0/edit?usp=sharing"",""สุพรรณบุรี!N538"")+IMPORTRANGE(""https://docs.google.com/spreadsheets/d/1BmIruG_sIrJLYao_Pdr7zVArWsf"&amp;"oBt2692TMi6x_854/edit?usp=sharing"",""อ่างทอง!N538"")"),0)</f>
        <v>0</v>
      </c>
      <c r="O539" s="77">
        <f t="shared" ca="1" si="371"/>
        <v>0</v>
      </c>
      <c r="P539" s="77">
        <f t="shared" ca="1" si="372"/>
        <v>0</v>
      </c>
      <c r="Q539" s="76">
        <f ca="1">IFERROR(__xludf.DUMMYFUNCTION("IMPORTRANGE(""https://docs.google.com/spreadsheets/d/13wPX838HrBrQMCywv1BsuMkt4PEKTChp52zj44s2izQ/edit?usp=sharing"",""กาญจนบุรี!Q538"")+IMPORTRANGE(""https://docs.google.com/spreadsheets/d/1ddFKvqj1W1NEiWytbGlB1zMx_ykJDVtmfEQ-6-lIUBA/edit?usp=sharing"","&amp;"""จันทบุรี!Q538"")+IMPORTRANGE(""https://docs.google.com/spreadsheets/d/1T1PQvRODqOBZk8BRht_U031fIS1beLA0Ub2CEytj2q0/edit?usp=sharing"",""ฉะเชิงเทรา!Q538"")+IMPORTRANGE(""https://docs.google.com/spreadsheets/d/11tr1B-Bhyr79v2bkwVh5h_fR-PStkgjlZtkrZpYurG0/"&amp;"edit?usp=sharing"",""ชลบุรี!Q538"")+IMPORTRANGE(""https://docs.google.com/spreadsheets/d/1hh-FVnSX0vozXhGluamEcS54Dw9_zqW0N7qJUWgJ0Sw/edit?usp=sharing"",""ชัยนาท!Q538"")+IMPORTRANGE(""https://docs.google.com/spreadsheets/d/1jkqa6GXxSacMcY1eN8AHjMNJ_7dDXMJ"&amp;"VRLDlaFSOdPM/edit?usp=sharing"",""ตราด!Q538"")+IMPORTRANGE(""https://docs.google.com/spreadsheets/d/18hSgUJ3VwClqi_qtULmmW3cLr0oe3OKaSYoKzdpTsYQ/edit?usp=sharing"",""นครนายก!Q538"")+IMPORTRANGE(""https://docs.google.com/spreadsheets/d/1YTZo6WM2dQ6Ix6FSdnL"&amp;"5P7uVnVKu40sxZu975tgG10E/edit?usp=sharing"",""นครปฐม!Q538"")+IMPORTRANGE(""https://docs.google.com/spreadsheets/d/1OYoGg4WDg5RIzwGeB10padOxJF9E_Vljuvvct_M7RDo/edit?usp=sharing"",""ปทุมธานี!Q538"")+IMPORTRANGE(""https://docs.google.com/spreadsheets/d/1GbCI"&amp;"E4D4wk9FUozzqk7SxfDMxDVBwVmI5zcaVUSzKAc/edit?usp=sharing"",""ประจวบคีรีขันธ์!Q538"")+IMPORTRANGE(""https://docs.google.com/spreadsheets/d/1vVf6wykvW_lAyu7Yo9L4hUTqHqIeP_qcVuxCtosJEbg/edit?usp=sharing"",""ปราจีนบุรี!Q538"")+IMPORTRANGE(""https://docs.googl"&amp;"e.com/spreadsheets/d/1BIDqLLg5jk3v59G8NlR8rk5xfQDKne0sAvZHSj7TI6I/edit?usp=sharing"",""พระนครศรีอยุธยา!Q538"")+IMPORTRANGE(""https://docs.google.com/spreadsheets/d/1YXvxf8Yu6_rV4hTBrwMqAcAnv6DfhUxh5emyM3CJp_w/edit?usp=sharing"",""เพชรบุรี!Q538"")+IMPORTRA"&amp;"NGE(""https://docs.google.com/spreadsheets/d/19KBlQQs7uwvsao6t2n-KvW3Ax8J8uRRfZPq1zPbXgKc/edit?usp=sharing"",""ระยอง!Q538"")+IMPORTRANGE(""https://docs.google.com/spreadsheets/d/1jQ6P4QcrGM89YfqcC_PxOHGCMq5ezhucwJd8ci-NHng/edit?usp=sharing"",""ราชบุรี!Q53"&amp;"8"")+IMPORTRANGE(""https://docs.google.com/spreadsheets/d/1lufeA2cfFqM-elVq2hznhDzC6Pr7wkJ9ZG_sYNGCMCU/edit?usp=sharing"",""ลพบุรี!Q538"")+IMPORTRANGE(""https://docs.google.com/spreadsheets/d/10oOiF7loTyfsTkbd4MpaIm0HQ9SwB7IYHdIUvt-U1Uc/edit?usp=sharing"""&amp;",""สระแก้ว!Q538"")+IMPORTRANGE(""https://docs.google.com/spreadsheets/d/1xmPlrr1QbdSIKvl1dWUl9K4PjAfSL9oeMr_37QVzcxc/edit?usp=sharing"",""สระบุรี!Q538"")+IMPORTRANGE(""https://docs.google.com/spreadsheets/d/1j51vR6CYVGhABJpv6tkstgok82RLpXieLzW1yOY5rHw/edi"&amp;"t?usp=sharing"",""สิงห์บุรี!Q538"")+IMPORTRANGE(""https://docs.google.com/spreadsheets/d/1H1EalTWKUSzO4Z1-1CwzoDUaVffgrThEBe2sl74kKG0/edit?usp=sharing"",""สุพรรณบุรี!Q538"")+IMPORTRANGE(""https://docs.google.com/spreadsheets/d/1BmIruG_sIrJLYao_Pdr7zVArWsf"&amp;"oBt2692TMi6x_854/edit?usp=sharing"",""อ่างทอง!Q538"")"),0)</f>
        <v>0</v>
      </c>
      <c r="R539" s="77">
        <f ca="1">IFERROR(__xludf.DUMMYFUNCTION("IMPORTRANGE(""https://docs.google.com/spreadsheets/d/13wPX838HrBrQMCywv1BsuMkt4PEKTChp52zj44s2izQ/edit?usp=sharing"",""กาญจนบุรี!R538"")+IMPORTRANGE(""https://docs.google.com/spreadsheets/d/1ddFKvqj1W1NEiWytbGlB1zMx_ykJDVtmfEQ-6-lIUBA/edit?usp=sharing"","&amp;"""จันทบุรี!R538"")+IMPORTRANGE(""https://docs.google.com/spreadsheets/d/1T1PQvRODqOBZk8BRht_U031fIS1beLA0Ub2CEytj2q0/edit?usp=sharing"",""ฉะเชิงเทรา!R538"")+IMPORTRANGE(""https://docs.google.com/spreadsheets/d/11tr1B-Bhyr79v2bkwVh5h_fR-PStkgjlZtkrZpYurG0/"&amp;"edit?usp=sharing"",""ชลบุรี!R538"")+IMPORTRANGE(""https://docs.google.com/spreadsheets/d/1hh-FVnSX0vozXhGluamEcS54Dw9_zqW0N7qJUWgJ0Sw/edit?usp=sharing"",""ชัยนาท!R538"")+IMPORTRANGE(""https://docs.google.com/spreadsheets/d/1jkqa6GXxSacMcY1eN8AHjMNJ_7dDXMJ"&amp;"VRLDlaFSOdPM/edit?usp=sharing"",""ตราด!R538"")+IMPORTRANGE(""https://docs.google.com/spreadsheets/d/18hSgUJ3VwClqi_qtULmmW3cLr0oe3OKaSYoKzdpTsYQ/edit?usp=sharing"",""นครนายก!R538"")+IMPORTRANGE(""https://docs.google.com/spreadsheets/d/1YTZo6WM2dQ6Ix6FSdnL"&amp;"5P7uVnVKu40sxZu975tgG10E/edit?usp=sharing"",""นครปฐม!R538"")+IMPORTRANGE(""https://docs.google.com/spreadsheets/d/1OYoGg4WDg5RIzwGeB10padOxJF9E_Vljuvvct_M7RDo/edit?usp=sharing"",""ปทุมธานี!R538"")+IMPORTRANGE(""https://docs.google.com/spreadsheets/d/1GbCI"&amp;"E4D4wk9FUozzqk7SxfDMxDVBwVmI5zcaVUSzKAc/edit?usp=sharing"",""ประจวบคีรีขันธ์!R538"")+IMPORTRANGE(""https://docs.google.com/spreadsheets/d/1vVf6wykvW_lAyu7Yo9L4hUTqHqIeP_qcVuxCtosJEbg/edit?usp=sharing"",""ปราจีนบุรี!R538"")+IMPORTRANGE(""https://docs.googl"&amp;"e.com/spreadsheets/d/1BIDqLLg5jk3v59G8NlR8rk5xfQDKne0sAvZHSj7TI6I/edit?usp=sharing"",""พระนครศรีอยุธยา!R538"")+IMPORTRANGE(""https://docs.google.com/spreadsheets/d/1YXvxf8Yu6_rV4hTBrwMqAcAnv6DfhUxh5emyM3CJp_w/edit?usp=sharing"",""เพชรบุรี!R538"")+IMPORTRA"&amp;"NGE(""https://docs.google.com/spreadsheets/d/19KBlQQs7uwvsao6t2n-KvW3Ax8J8uRRfZPq1zPbXgKc/edit?usp=sharing"",""ระยอง!R538"")+IMPORTRANGE(""https://docs.google.com/spreadsheets/d/1jQ6P4QcrGM89YfqcC_PxOHGCMq5ezhucwJd8ci-NHng/edit?usp=sharing"",""ราชบุรี!R53"&amp;"8"")+IMPORTRANGE(""https://docs.google.com/spreadsheets/d/1lufeA2cfFqM-elVq2hznhDzC6Pr7wkJ9ZG_sYNGCMCU/edit?usp=sharing"",""ลพบุรี!R538"")+IMPORTRANGE(""https://docs.google.com/spreadsheets/d/10oOiF7loTyfsTkbd4MpaIm0HQ9SwB7IYHdIUvt-U1Uc/edit?usp=sharing"""&amp;",""สระแก้ว!R538"")+IMPORTRANGE(""https://docs.google.com/spreadsheets/d/1xmPlrr1QbdSIKvl1dWUl9K4PjAfSL9oeMr_37QVzcxc/edit?usp=sharing"",""สระบุรี!R538"")+IMPORTRANGE(""https://docs.google.com/spreadsheets/d/1j51vR6CYVGhABJpv6tkstgok82RLpXieLzW1yOY5rHw/edi"&amp;"t?usp=sharing"",""สิงห์บุรี!R538"")+IMPORTRANGE(""https://docs.google.com/spreadsheets/d/1H1EalTWKUSzO4Z1-1CwzoDUaVffgrThEBe2sl74kKG0/edit?usp=sharing"",""สุพรรณบุรี!R538"")+IMPORTRANGE(""https://docs.google.com/spreadsheets/d/1BmIruG_sIrJLYao_Pdr7zVArWsf"&amp;"oBt2692TMi6x_854/edit?usp=sharing"",""อ่างทอง!R538"")"),0)</f>
        <v>0</v>
      </c>
      <c r="S539" s="77">
        <f ca="1">IFERROR(__xludf.DUMMYFUNCTION("IMPORTRANGE(""https://docs.google.com/spreadsheets/d/13wPX838HrBrQMCywv1BsuMkt4PEKTChp52zj44s2izQ/edit?usp=sharing"",""กาญจนบุรี!S538"")+IMPORTRANGE(""https://docs.google.com/spreadsheets/d/1ddFKvqj1W1NEiWytbGlB1zMx_ykJDVtmfEQ-6-lIUBA/edit?usp=sharing"","&amp;"""จันทบุรี!S538"")+IMPORTRANGE(""https://docs.google.com/spreadsheets/d/1T1PQvRODqOBZk8BRht_U031fIS1beLA0Ub2CEytj2q0/edit?usp=sharing"",""ฉะเชิงเทรา!S538"")+IMPORTRANGE(""https://docs.google.com/spreadsheets/d/11tr1B-Bhyr79v2bkwVh5h_fR-PStkgjlZtkrZpYurG0/"&amp;"edit?usp=sharing"",""ชลบุรี!S538"")+IMPORTRANGE(""https://docs.google.com/spreadsheets/d/1hh-FVnSX0vozXhGluamEcS54Dw9_zqW0N7qJUWgJ0Sw/edit?usp=sharing"",""ชัยนาท!S538"")+IMPORTRANGE(""https://docs.google.com/spreadsheets/d/1jkqa6GXxSacMcY1eN8AHjMNJ_7dDXMJ"&amp;"VRLDlaFSOdPM/edit?usp=sharing"",""ตราด!S538"")+IMPORTRANGE(""https://docs.google.com/spreadsheets/d/18hSgUJ3VwClqi_qtULmmW3cLr0oe3OKaSYoKzdpTsYQ/edit?usp=sharing"",""นครนายก!S538"")+IMPORTRANGE(""https://docs.google.com/spreadsheets/d/1YTZo6WM2dQ6Ix6FSdnL"&amp;"5P7uVnVKu40sxZu975tgG10E/edit?usp=sharing"",""นครปฐม!S538"")+IMPORTRANGE(""https://docs.google.com/spreadsheets/d/1OYoGg4WDg5RIzwGeB10padOxJF9E_Vljuvvct_M7RDo/edit?usp=sharing"",""ปทุมธานี!S538"")+IMPORTRANGE(""https://docs.google.com/spreadsheets/d/1GbCI"&amp;"E4D4wk9FUozzqk7SxfDMxDVBwVmI5zcaVUSzKAc/edit?usp=sharing"",""ประจวบคีรีขันธ์!S538"")+IMPORTRANGE(""https://docs.google.com/spreadsheets/d/1vVf6wykvW_lAyu7Yo9L4hUTqHqIeP_qcVuxCtosJEbg/edit?usp=sharing"",""ปราจีนบุรี!S538"")+IMPORTRANGE(""https://docs.googl"&amp;"e.com/spreadsheets/d/1BIDqLLg5jk3v59G8NlR8rk5xfQDKne0sAvZHSj7TI6I/edit?usp=sharing"",""พระนครศรีอยุธยา!S538"")+IMPORTRANGE(""https://docs.google.com/spreadsheets/d/1YXvxf8Yu6_rV4hTBrwMqAcAnv6DfhUxh5emyM3CJp_w/edit?usp=sharing"",""เพชรบุรี!S538"")+IMPORTRA"&amp;"NGE(""https://docs.google.com/spreadsheets/d/19KBlQQs7uwvsao6t2n-KvW3Ax8J8uRRfZPq1zPbXgKc/edit?usp=sharing"",""ระยอง!S538"")+IMPORTRANGE(""https://docs.google.com/spreadsheets/d/1jQ6P4QcrGM89YfqcC_PxOHGCMq5ezhucwJd8ci-NHng/edit?usp=sharing"",""ราชบุรี!S53"&amp;"8"")+IMPORTRANGE(""https://docs.google.com/spreadsheets/d/1lufeA2cfFqM-elVq2hznhDzC6Pr7wkJ9ZG_sYNGCMCU/edit?usp=sharing"",""ลพบุรี!S538"")+IMPORTRANGE(""https://docs.google.com/spreadsheets/d/10oOiF7loTyfsTkbd4MpaIm0HQ9SwB7IYHdIUvt-U1Uc/edit?usp=sharing"""&amp;",""สระแก้ว!S538"")+IMPORTRANGE(""https://docs.google.com/spreadsheets/d/1xmPlrr1QbdSIKvl1dWUl9K4PjAfSL9oeMr_37QVzcxc/edit?usp=sharing"",""สระบุรี!S538"")+IMPORTRANGE(""https://docs.google.com/spreadsheets/d/1j51vR6CYVGhABJpv6tkstgok82RLpXieLzW1yOY5rHw/edi"&amp;"t?usp=sharing"",""สิงห์บุรี!S538"")+IMPORTRANGE(""https://docs.google.com/spreadsheets/d/1H1EalTWKUSzO4Z1-1CwzoDUaVffgrThEBe2sl74kKG0/edit?usp=sharing"",""สุพรรณบุรี!S538"")+IMPORTRANGE(""https://docs.google.com/spreadsheets/d/1BmIruG_sIrJLYao_Pdr7zVArWsf"&amp;"oBt2692TMi6x_854/edit?usp=sharing"",""อ่างทอง!S538"")"),0)</f>
        <v>0</v>
      </c>
      <c r="T539" s="133">
        <f t="shared" ca="1" si="374"/>
        <v>0</v>
      </c>
      <c r="U539" s="133">
        <f t="shared" ca="1" si="375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4">
        <f ca="1">IFERROR(__xludf.DUMMYFUNCTION("IMPORTRANGE(""https://docs.google.com/spreadsheets/d/13wPX838HrBrQMCywv1BsuMkt4PEKTChp52zj44s2izQ/edit?usp=sharing"",""กาญจนบุรี!L539"")+IMPORTRANGE(""https://docs.google.com/spreadsheets/d/1ddFKvqj1W1NEiWytbGlB1zMx_ykJDVtmfEQ-6-lIUBA/edit?usp=sharing"","&amp;"""จันทบุรี!L539"")+IMPORTRANGE(""https://docs.google.com/spreadsheets/d/1T1PQvRODqOBZk8BRht_U031fIS1beLA0Ub2CEytj2q0/edit?usp=sharing"",""ฉะเชิงเทรา!L539"")+IMPORTRANGE(""https://docs.google.com/spreadsheets/d/11tr1B-Bhyr79v2bkwVh5h_fR-PStkgjlZtkrZpYurG0/"&amp;"edit?usp=sharing"",""ชลบุรี!L539"")+IMPORTRANGE(""https://docs.google.com/spreadsheets/d/1hh-FVnSX0vozXhGluamEcS54Dw9_zqW0N7qJUWgJ0Sw/edit?usp=sharing"",""ชัยนาท!L539"")+IMPORTRANGE(""https://docs.google.com/spreadsheets/d/1jkqa6GXxSacMcY1eN8AHjMNJ_7dDXMJ"&amp;"VRLDlaFSOdPM/edit?usp=sharing"",""ตราด!L539"")+IMPORTRANGE(""https://docs.google.com/spreadsheets/d/18hSgUJ3VwClqi_qtULmmW3cLr0oe3OKaSYoKzdpTsYQ/edit?usp=sharing"",""นครนายก!L539"")+IMPORTRANGE(""https://docs.google.com/spreadsheets/d/1YTZo6WM2dQ6Ix6FSdnL"&amp;"5P7uVnVKu40sxZu975tgG10E/edit?usp=sharing"",""นครปฐม!L539"")+IMPORTRANGE(""https://docs.google.com/spreadsheets/d/1OYoGg4WDg5RIzwGeB10padOxJF9E_Vljuvvct_M7RDo/edit?usp=sharing"",""ปทุมธานี!L539"")+IMPORTRANGE(""https://docs.google.com/spreadsheets/d/1GbCI"&amp;"E4D4wk9FUozzqk7SxfDMxDVBwVmI5zcaVUSzKAc/edit?usp=sharing"",""ประจวบคีรีขันธ์!L539"")+IMPORTRANGE(""https://docs.google.com/spreadsheets/d/1vVf6wykvW_lAyu7Yo9L4hUTqHqIeP_qcVuxCtosJEbg/edit?usp=sharing"",""ปราจีนบุรี!L539"")+IMPORTRANGE(""https://docs.googl"&amp;"e.com/spreadsheets/d/1BIDqLLg5jk3v59G8NlR8rk5xfQDKne0sAvZHSj7TI6I/edit?usp=sharing"",""พระนครศรีอยุธยา!L539"")+IMPORTRANGE(""https://docs.google.com/spreadsheets/d/1YXvxf8Yu6_rV4hTBrwMqAcAnv6DfhUxh5emyM3CJp_w/edit?usp=sharing"",""เพชรบุรี!L539"")+IMPORTRA"&amp;"NGE(""https://docs.google.com/spreadsheets/d/19KBlQQs7uwvsao6t2n-KvW3Ax8J8uRRfZPq1zPbXgKc/edit?usp=sharing"",""ระยอง!L539"")+IMPORTRANGE(""https://docs.google.com/spreadsheets/d/1jQ6P4QcrGM89YfqcC_PxOHGCMq5ezhucwJd8ci-NHng/edit?usp=sharing"",""ราชบุรี!L53"&amp;"9"")+IMPORTRANGE(""https://docs.google.com/spreadsheets/d/1lufeA2cfFqM-elVq2hznhDzC6Pr7wkJ9ZG_sYNGCMCU/edit?usp=sharing"",""ลพบุรี!L539"")+IMPORTRANGE(""https://docs.google.com/spreadsheets/d/10oOiF7loTyfsTkbd4MpaIm0HQ9SwB7IYHdIUvt-U1Uc/edit?usp=sharing"""&amp;",""สระแก้ว!L539"")+IMPORTRANGE(""https://docs.google.com/spreadsheets/d/1xmPlrr1QbdSIKvl1dWUl9K4PjAfSL9oeMr_37QVzcxc/edit?usp=sharing"",""สระบุรี!L539"")+IMPORTRANGE(""https://docs.google.com/spreadsheets/d/1j51vR6CYVGhABJpv6tkstgok82RLpXieLzW1yOY5rHw/edi"&amp;"t?usp=sharing"",""สิงห์บุรี!L539"")+IMPORTRANGE(""https://docs.google.com/spreadsheets/d/1H1EalTWKUSzO4Z1-1CwzoDUaVffgrThEBe2sl74kKG0/edit?usp=sharing"",""สุพรรณบุรี!L539"")+IMPORTRANGE(""https://docs.google.com/spreadsheets/d/1BmIruG_sIrJLYao_Pdr7zVArWsf"&amp;"oBt2692TMi6x_854/edit?usp=sharing"",""อ่างทอง!L539"")"),0)</f>
        <v>0</v>
      </c>
      <c r="M540" s="74">
        <f ca="1">IFERROR(__xludf.DUMMYFUNCTION("IMPORTRANGE(""https://docs.google.com/spreadsheets/d/13wPX838HrBrQMCywv1BsuMkt4PEKTChp52zj44s2izQ/edit?usp=sharing"",""กาญจนบุรี!M539"")+IMPORTRANGE(""https://docs.google.com/spreadsheets/d/1ddFKvqj1W1NEiWytbGlB1zMx_ykJDVtmfEQ-6-lIUBA/edit?usp=sharing"","&amp;"""จันทบุรี!M539"")+IMPORTRANGE(""https://docs.google.com/spreadsheets/d/1T1PQvRODqOBZk8BRht_U031fIS1beLA0Ub2CEytj2q0/edit?usp=sharing"",""ฉะเชิงเทรา!M539"")+IMPORTRANGE(""https://docs.google.com/spreadsheets/d/11tr1B-Bhyr79v2bkwVh5h_fR-PStkgjlZtkrZpYurG0/"&amp;"edit?usp=sharing"",""ชลบุรี!M539"")+IMPORTRANGE(""https://docs.google.com/spreadsheets/d/1hh-FVnSX0vozXhGluamEcS54Dw9_zqW0N7qJUWgJ0Sw/edit?usp=sharing"",""ชัยนาท!M539"")+IMPORTRANGE(""https://docs.google.com/spreadsheets/d/1jkqa6GXxSacMcY1eN8AHjMNJ_7dDXMJ"&amp;"VRLDlaFSOdPM/edit?usp=sharing"",""ตราด!M539"")+IMPORTRANGE(""https://docs.google.com/spreadsheets/d/18hSgUJ3VwClqi_qtULmmW3cLr0oe3OKaSYoKzdpTsYQ/edit?usp=sharing"",""นครนายก!M539"")+IMPORTRANGE(""https://docs.google.com/spreadsheets/d/1YTZo6WM2dQ6Ix6FSdnL"&amp;"5P7uVnVKu40sxZu975tgG10E/edit?usp=sharing"",""นครปฐม!M539"")+IMPORTRANGE(""https://docs.google.com/spreadsheets/d/1OYoGg4WDg5RIzwGeB10padOxJF9E_Vljuvvct_M7RDo/edit?usp=sharing"",""ปทุมธานี!M539"")+IMPORTRANGE(""https://docs.google.com/spreadsheets/d/1GbCI"&amp;"E4D4wk9FUozzqk7SxfDMxDVBwVmI5zcaVUSzKAc/edit?usp=sharing"",""ประจวบคีรีขันธ์!M539"")+IMPORTRANGE(""https://docs.google.com/spreadsheets/d/1vVf6wykvW_lAyu7Yo9L4hUTqHqIeP_qcVuxCtosJEbg/edit?usp=sharing"",""ปราจีนบุรี!M539"")+IMPORTRANGE(""https://docs.googl"&amp;"e.com/spreadsheets/d/1BIDqLLg5jk3v59G8NlR8rk5xfQDKne0sAvZHSj7TI6I/edit?usp=sharing"",""พระนครศรีอยุธยา!M539"")+IMPORTRANGE(""https://docs.google.com/spreadsheets/d/1YXvxf8Yu6_rV4hTBrwMqAcAnv6DfhUxh5emyM3CJp_w/edit?usp=sharing"",""เพชรบุรี!M539"")+IMPORTRA"&amp;"NGE(""https://docs.google.com/spreadsheets/d/19KBlQQs7uwvsao6t2n-KvW3Ax8J8uRRfZPq1zPbXgKc/edit?usp=sharing"",""ระยอง!M539"")+IMPORTRANGE(""https://docs.google.com/spreadsheets/d/1jQ6P4QcrGM89YfqcC_PxOHGCMq5ezhucwJd8ci-NHng/edit?usp=sharing"",""ราชบุรี!M53"&amp;"9"")+IMPORTRANGE(""https://docs.google.com/spreadsheets/d/1lufeA2cfFqM-elVq2hznhDzC6Pr7wkJ9ZG_sYNGCMCU/edit?usp=sharing"",""ลพบุรี!M539"")+IMPORTRANGE(""https://docs.google.com/spreadsheets/d/10oOiF7loTyfsTkbd4MpaIm0HQ9SwB7IYHdIUvt-U1Uc/edit?usp=sharing"""&amp;",""สระแก้ว!M539"")+IMPORTRANGE(""https://docs.google.com/spreadsheets/d/1xmPlrr1QbdSIKvl1dWUl9K4PjAfSL9oeMr_37QVzcxc/edit?usp=sharing"",""สระบุรี!M539"")+IMPORTRANGE(""https://docs.google.com/spreadsheets/d/1j51vR6CYVGhABJpv6tkstgok82RLpXieLzW1yOY5rHw/edi"&amp;"t?usp=sharing"",""สิงห์บุรี!M539"")+IMPORTRANGE(""https://docs.google.com/spreadsheets/d/1H1EalTWKUSzO4Z1-1CwzoDUaVffgrThEBe2sl74kKG0/edit?usp=sharing"",""สุพรรณบุรี!M539"")+IMPORTRANGE(""https://docs.google.com/spreadsheets/d/1BmIruG_sIrJLYao_Pdr7zVArWsf"&amp;"oBt2692TMi6x_854/edit?usp=sharing"",""อ่างทอง!M539"")"),0)</f>
        <v>0</v>
      </c>
      <c r="N540" s="74">
        <f ca="1">IFERROR(__xludf.DUMMYFUNCTION("IMPORTRANGE(""https://docs.google.com/spreadsheets/d/13wPX838HrBrQMCywv1BsuMkt4PEKTChp52zj44s2izQ/edit?usp=sharing"",""กาญจนบุรี!N539"")+IMPORTRANGE(""https://docs.google.com/spreadsheets/d/1ddFKvqj1W1NEiWytbGlB1zMx_ykJDVtmfEQ-6-lIUBA/edit?usp=sharing"","&amp;"""จันทบุรี!N539"")+IMPORTRANGE(""https://docs.google.com/spreadsheets/d/1T1PQvRODqOBZk8BRht_U031fIS1beLA0Ub2CEytj2q0/edit?usp=sharing"",""ฉะเชิงเทรา!N539"")+IMPORTRANGE(""https://docs.google.com/spreadsheets/d/11tr1B-Bhyr79v2bkwVh5h_fR-PStkgjlZtkrZpYurG0/"&amp;"edit?usp=sharing"",""ชลบุรี!N539"")+IMPORTRANGE(""https://docs.google.com/spreadsheets/d/1hh-FVnSX0vozXhGluamEcS54Dw9_zqW0N7qJUWgJ0Sw/edit?usp=sharing"",""ชัยนาท!N539"")+IMPORTRANGE(""https://docs.google.com/spreadsheets/d/1jkqa6GXxSacMcY1eN8AHjMNJ_7dDXMJ"&amp;"VRLDlaFSOdPM/edit?usp=sharing"",""ตราด!N539"")+IMPORTRANGE(""https://docs.google.com/spreadsheets/d/18hSgUJ3VwClqi_qtULmmW3cLr0oe3OKaSYoKzdpTsYQ/edit?usp=sharing"",""นครนายก!N539"")+IMPORTRANGE(""https://docs.google.com/spreadsheets/d/1YTZo6WM2dQ6Ix6FSdnL"&amp;"5P7uVnVKu40sxZu975tgG10E/edit?usp=sharing"",""นครปฐม!N539"")+IMPORTRANGE(""https://docs.google.com/spreadsheets/d/1OYoGg4WDg5RIzwGeB10padOxJF9E_Vljuvvct_M7RDo/edit?usp=sharing"",""ปทุมธานี!N539"")+IMPORTRANGE(""https://docs.google.com/spreadsheets/d/1GbCI"&amp;"E4D4wk9FUozzqk7SxfDMxDVBwVmI5zcaVUSzKAc/edit?usp=sharing"",""ประจวบคีรีขันธ์!N539"")+IMPORTRANGE(""https://docs.google.com/spreadsheets/d/1vVf6wykvW_lAyu7Yo9L4hUTqHqIeP_qcVuxCtosJEbg/edit?usp=sharing"",""ปราจีนบุรี!N539"")+IMPORTRANGE(""https://docs.googl"&amp;"e.com/spreadsheets/d/1BIDqLLg5jk3v59G8NlR8rk5xfQDKne0sAvZHSj7TI6I/edit?usp=sharing"",""พระนครศรีอยุธยา!N539"")+IMPORTRANGE(""https://docs.google.com/spreadsheets/d/1YXvxf8Yu6_rV4hTBrwMqAcAnv6DfhUxh5emyM3CJp_w/edit?usp=sharing"",""เพชรบุรี!N539"")+IMPORTRA"&amp;"NGE(""https://docs.google.com/spreadsheets/d/19KBlQQs7uwvsao6t2n-KvW3Ax8J8uRRfZPq1zPbXgKc/edit?usp=sharing"",""ระยอง!N539"")+IMPORTRANGE(""https://docs.google.com/spreadsheets/d/1jQ6P4QcrGM89YfqcC_PxOHGCMq5ezhucwJd8ci-NHng/edit?usp=sharing"",""ราชบุรี!N53"&amp;"9"")+IMPORTRANGE(""https://docs.google.com/spreadsheets/d/1lufeA2cfFqM-elVq2hznhDzC6Pr7wkJ9ZG_sYNGCMCU/edit?usp=sharing"",""ลพบุรี!N539"")+IMPORTRANGE(""https://docs.google.com/spreadsheets/d/10oOiF7loTyfsTkbd4MpaIm0HQ9SwB7IYHdIUvt-U1Uc/edit?usp=sharing"""&amp;",""สระแก้ว!N539"")+IMPORTRANGE(""https://docs.google.com/spreadsheets/d/1xmPlrr1QbdSIKvl1dWUl9K4PjAfSL9oeMr_37QVzcxc/edit?usp=sharing"",""สระบุรี!N539"")+IMPORTRANGE(""https://docs.google.com/spreadsheets/d/1j51vR6CYVGhABJpv6tkstgok82RLpXieLzW1yOY5rHw/edi"&amp;"t?usp=sharing"",""สิงห์บุรี!N539"")+IMPORTRANGE(""https://docs.google.com/spreadsheets/d/1H1EalTWKUSzO4Z1-1CwzoDUaVffgrThEBe2sl74kKG0/edit?usp=sharing"",""สุพรรณบุรี!N539"")+IMPORTRANGE(""https://docs.google.com/spreadsheets/d/1BmIruG_sIrJLYao_Pdr7zVArWsf"&amp;"oBt2692TMi6x_854/edit?usp=sharing"",""อ่างทอง!N539"")"),0)</f>
        <v>0</v>
      </c>
      <c r="O540" s="74">
        <f t="shared" ca="1" si="371"/>
        <v>0</v>
      </c>
      <c r="P540" s="74">
        <f t="shared" ca="1" si="372"/>
        <v>0</v>
      </c>
      <c r="Q540" s="73">
        <f ca="1">IFERROR(__xludf.DUMMYFUNCTION("IMPORTRANGE(""https://docs.google.com/spreadsheets/d/13wPX838HrBrQMCywv1BsuMkt4PEKTChp52zj44s2izQ/edit?usp=sharing"",""กาญจนบุรี!Q539"")+IMPORTRANGE(""https://docs.google.com/spreadsheets/d/1ddFKvqj1W1NEiWytbGlB1zMx_ykJDVtmfEQ-6-lIUBA/edit?usp=sharing"","&amp;"""จันทบุรี!Q539"")+IMPORTRANGE(""https://docs.google.com/spreadsheets/d/1T1PQvRODqOBZk8BRht_U031fIS1beLA0Ub2CEytj2q0/edit?usp=sharing"",""ฉะเชิงเทรา!Q539"")+IMPORTRANGE(""https://docs.google.com/spreadsheets/d/11tr1B-Bhyr79v2bkwVh5h_fR-PStkgjlZtkrZpYurG0/"&amp;"edit?usp=sharing"",""ชลบุรี!Q539"")+IMPORTRANGE(""https://docs.google.com/spreadsheets/d/1hh-FVnSX0vozXhGluamEcS54Dw9_zqW0N7qJUWgJ0Sw/edit?usp=sharing"",""ชัยนาท!Q539"")+IMPORTRANGE(""https://docs.google.com/spreadsheets/d/1jkqa6GXxSacMcY1eN8AHjMNJ_7dDXMJ"&amp;"VRLDlaFSOdPM/edit?usp=sharing"",""ตราด!Q539"")+IMPORTRANGE(""https://docs.google.com/spreadsheets/d/18hSgUJ3VwClqi_qtULmmW3cLr0oe3OKaSYoKzdpTsYQ/edit?usp=sharing"",""นครนายก!Q539"")+IMPORTRANGE(""https://docs.google.com/spreadsheets/d/1YTZo6WM2dQ6Ix6FSdnL"&amp;"5P7uVnVKu40sxZu975tgG10E/edit?usp=sharing"",""นครปฐม!Q539"")+IMPORTRANGE(""https://docs.google.com/spreadsheets/d/1OYoGg4WDg5RIzwGeB10padOxJF9E_Vljuvvct_M7RDo/edit?usp=sharing"",""ปทุมธานี!Q539"")+IMPORTRANGE(""https://docs.google.com/spreadsheets/d/1GbCI"&amp;"E4D4wk9FUozzqk7SxfDMxDVBwVmI5zcaVUSzKAc/edit?usp=sharing"",""ประจวบคีรีขันธ์!Q539"")+IMPORTRANGE(""https://docs.google.com/spreadsheets/d/1vVf6wykvW_lAyu7Yo9L4hUTqHqIeP_qcVuxCtosJEbg/edit?usp=sharing"",""ปราจีนบุรี!Q539"")+IMPORTRANGE(""https://docs.googl"&amp;"e.com/spreadsheets/d/1BIDqLLg5jk3v59G8NlR8rk5xfQDKne0sAvZHSj7TI6I/edit?usp=sharing"",""พระนครศรีอยุธยา!Q539"")+IMPORTRANGE(""https://docs.google.com/spreadsheets/d/1YXvxf8Yu6_rV4hTBrwMqAcAnv6DfhUxh5emyM3CJp_w/edit?usp=sharing"",""เพชรบุรี!Q539"")+IMPORTRA"&amp;"NGE(""https://docs.google.com/spreadsheets/d/19KBlQQs7uwvsao6t2n-KvW3Ax8J8uRRfZPq1zPbXgKc/edit?usp=sharing"",""ระยอง!Q539"")+IMPORTRANGE(""https://docs.google.com/spreadsheets/d/1jQ6P4QcrGM89YfqcC_PxOHGCMq5ezhucwJd8ci-NHng/edit?usp=sharing"",""ราชบุรี!Q53"&amp;"9"")+IMPORTRANGE(""https://docs.google.com/spreadsheets/d/1lufeA2cfFqM-elVq2hznhDzC6Pr7wkJ9ZG_sYNGCMCU/edit?usp=sharing"",""ลพบุรี!Q539"")+IMPORTRANGE(""https://docs.google.com/spreadsheets/d/10oOiF7loTyfsTkbd4MpaIm0HQ9SwB7IYHdIUvt-U1Uc/edit?usp=sharing"""&amp;",""สระแก้ว!Q539"")+IMPORTRANGE(""https://docs.google.com/spreadsheets/d/1xmPlrr1QbdSIKvl1dWUl9K4PjAfSL9oeMr_37QVzcxc/edit?usp=sharing"",""สระบุรี!Q539"")+IMPORTRANGE(""https://docs.google.com/spreadsheets/d/1j51vR6CYVGhABJpv6tkstgok82RLpXieLzW1yOY5rHw/edi"&amp;"t?usp=sharing"",""สิงห์บุรี!Q539"")+IMPORTRANGE(""https://docs.google.com/spreadsheets/d/1H1EalTWKUSzO4Z1-1CwzoDUaVffgrThEBe2sl74kKG0/edit?usp=sharing"",""สุพรรณบุรี!Q539"")+IMPORTRANGE(""https://docs.google.com/spreadsheets/d/1BmIruG_sIrJLYao_Pdr7zVArWsf"&amp;"oBt2692TMi6x_854/edit?usp=sharing"",""อ่างทอง!Q539"")"),0)</f>
        <v>0</v>
      </c>
      <c r="R540" s="74">
        <f ca="1">IFERROR(__xludf.DUMMYFUNCTION("IMPORTRANGE(""https://docs.google.com/spreadsheets/d/13wPX838HrBrQMCywv1BsuMkt4PEKTChp52zj44s2izQ/edit?usp=sharing"",""กาญจนบุรี!R539"")+IMPORTRANGE(""https://docs.google.com/spreadsheets/d/1ddFKvqj1W1NEiWytbGlB1zMx_ykJDVtmfEQ-6-lIUBA/edit?usp=sharing"","&amp;"""จันทบุรี!R539"")+IMPORTRANGE(""https://docs.google.com/spreadsheets/d/1T1PQvRODqOBZk8BRht_U031fIS1beLA0Ub2CEytj2q0/edit?usp=sharing"",""ฉะเชิงเทรา!R539"")+IMPORTRANGE(""https://docs.google.com/spreadsheets/d/11tr1B-Bhyr79v2bkwVh5h_fR-PStkgjlZtkrZpYurG0/"&amp;"edit?usp=sharing"",""ชลบุรี!R539"")+IMPORTRANGE(""https://docs.google.com/spreadsheets/d/1hh-FVnSX0vozXhGluamEcS54Dw9_zqW0N7qJUWgJ0Sw/edit?usp=sharing"",""ชัยนาท!R539"")+IMPORTRANGE(""https://docs.google.com/spreadsheets/d/1jkqa6GXxSacMcY1eN8AHjMNJ_7dDXMJ"&amp;"VRLDlaFSOdPM/edit?usp=sharing"",""ตราด!R539"")+IMPORTRANGE(""https://docs.google.com/spreadsheets/d/18hSgUJ3VwClqi_qtULmmW3cLr0oe3OKaSYoKzdpTsYQ/edit?usp=sharing"",""นครนายก!R539"")+IMPORTRANGE(""https://docs.google.com/spreadsheets/d/1YTZo6WM2dQ6Ix6FSdnL"&amp;"5P7uVnVKu40sxZu975tgG10E/edit?usp=sharing"",""นครปฐม!R539"")+IMPORTRANGE(""https://docs.google.com/spreadsheets/d/1OYoGg4WDg5RIzwGeB10padOxJF9E_Vljuvvct_M7RDo/edit?usp=sharing"",""ปทุมธานี!R539"")+IMPORTRANGE(""https://docs.google.com/spreadsheets/d/1GbCI"&amp;"E4D4wk9FUozzqk7SxfDMxDVBwVmI5zcaVUSzKAc/edit?usp=sharing"",""ประจวบคีรีขันธ์!R539"")+IMPORTRANGE(""https://docs.google.com/spreadsheets/d/1vVf6wykvW_lAyu7Yo9L4hUTqHqIeP_qcVuxCtosJEbg/edit?usp=sharing"",""ปราจีนบุรี!R539"")+IMPORTRANGE(""https://docs.googl"&amp;"e.com/spreadsheets/d/1BIDqLLg5jk3v59G8NlR8rk5xfQDKne0sAvZHSj7TI6I/edit?usp=sharing"",""พระนครศรีอยุธยา!R539"")+IMPORTRANGE(""https://docs.google.com/spreadsheets/d/1YXvxf8Yu6_rV4hTBrwMqAcAnv6DfhUxh5emyM3CJp_w/edit?usp=sharing"",""เพชรบุรี!R539"")+IMPORTRA"&amp;"NGE(""https://docs.google.com/spreadsheets/d/19KBlQQs7uwvsao6t2n-KvW3Ax8J8uRRfZPq1zPbXgKc/edit?usp=sharing"",""ระยอง!R539"")+IMPORTRANGE(""https://docs.google.com/spreadsheets/d/1jQ6P4QcrGM89YfqcC_PxOHGCMq5ezhucwJd8ci-NHng/edit?usp=sharing"",""ราชบุรี!R53"&amp;"9"")+IMPORTRANGE(""https://docs.google.com/spreadsheets/d/1lufeA2cfFqM-elVq2hznhDzC6Pr7wkJ9ZG_sYNGCMCU/edit?usp=sharing"",""ลพบุรี!R539"")+IMPORTRANGE(""https://docs.google.com/spreadsheets/d/10oOiF7loTyfsTkbd4MpaIm0HQ9SwB7IYHdIUvt-U1Uc/edit?usp=sharing"""&amp;",""สระแก้ว!R539"")+IMPORTRANGE(""https://docs.google.com/spreadsheets/d/1xmPlrr1QbdSIKvl1dWUl9K4PjAfSL9oeMr_37QVzcxc/edit?usp=sharing"",""สระบุรี!R539"")+IMPORTRANGE(""https://docs.google.com/spreadsheets/d/1j51vR6CYVGhABJpv6tkstgok82RLpXieLzW1yOY5rHw/edi"&amp;"t?usp=sharing"",""สิงห์บุรี!R539"")+IMPORTRANGE(""https://docs.google.com/spreadsheets/d/1H1EalTWKUSzO4Z1-1CwzoDUaVffgrThEBe2sl74kKG0/edit?usp=sharing"",""สุพรรณบุรี!R539"")+IMPORTRANGE(""https://docs.google.com/spreadsheets/d/1BmIruG_sIrJLYao_Pdr7zVArWsf"&amp;"oBt2692TMi6x_854/edit?usp=sharing"",""อ่างทอง!R539"")"),0)</f>
        <v>0</v>
      </c>
      <c r="S540" s="74">
        <f ca="1">IFERROR(__xludf.DUMMYFUNCTION("IMPORTRANGE(""https://docs.google.com/spreadsheets/d/13wPX838HrBrQMCywv1BsuMkt4PEKTChp52zj44s2izQ/edit?usp=sharing"",""กาญจนบุรี!S539"")+IMPORTRANGE(""https://docs.google.com/spreadsheets/d/1ddFKvqj1W1NEiWytbGlB1zMx_ykJDVtmfEQ-6-lIUBA/edit?usp=sharing"","&amp;"""จันทบุรี!S539"")+IMPORTRANGE(""https://docs.google.com/spreadsheets/d/1T1PQvRODqOBZk8BRht_U031fIS1beLA0Ub2CEytj2q0/edit?usp=sharing"",""ฉะเชิงเทรา!S539"")+IMPORTRANGE(""https://docs.google.com/spreadsheets/d/11tr1B-Bhyr79v2bkwVh5h_fR-PStkgjlZtkrZpYurG0/"&amp;"edit?usp=sharing"",""ชลบุรี!S539"")+IMPORTRANGE(""https://docs.google.com/spreadsheets/d/1hh-FVnSX0vozXhGluamEcS54Dw9_zqW0N7qJUWgJ0Sw/edit?usp=sharing"",""ชัยนาท!S539"")+IMPORTRANGE(""https://docs.google.com/spreadsheets/d/1jkqa6GXxSacMcY1eN8AHjMNJ_7dDXMJ"&amp;"VRLDlaFSOdPM/edit?usp=sharing"",""ตราด!S539"")+IMPORTRANGE(""https://docs.google.com/spreadsheets/d/18hSgUJ3VwClqi_qtULmmW3cLr0oe3OKaSYoKzdpTsYQ/edit?usp=sharing"",""นครนายก!S539"")+IMPORTRANGE(""https://docs.google.com/spreadsheets/d/1YTZo6WM2dQ6Ix6FSdnL"&amp;"5P7uVnVKu40sxZu975tgG10E/edit?usp=sharing"",""นครปฐม!S539"")+IMPORTRANGE(""https://docs.google.com/spreadsheets/d/1OYoGg4WDg5RIzwGeB10padOxJF9E_Vljuvvct_M7RDo/edit?usp=sharing"",""ปทุมธานี!S539"")+IMPORTRANGE(""https://docs.google.com/spreadsheets/d/1GbCI"&amp;"E4D4wk9FUozzqk7SxfDMxDVBwVmI5zcaVUSzKAc/edit?usp=sharing"",""ประจวบคีรีขันธ์!S539"")+IMPORTRANGE(""https://docs.google.com/spreadsheets/d/1vVf6wykvW_lAyu7Yo9L4hUTqHqIeP_qcVuxCtosJEbg/edit?usp=sharing"",""ปราจีนบุรี!S539"")+IMPORTRANGE(""https://docs.googl"&amp;"e.com/spreadsheets/d/1BIDqLLg5jk3v59G8NlR8rk5xfQDKne0sAvZHSj7TI6I/edit?usp=sharing"",""พระนครศรีอยุธยา!S539"")+IMPORTRANGE(""https://docs.google.com/spreadsheets/d/1YXvxf8Yu6_rV4hTBrwMqAcAnv6DfhUxh5emyM3CJp_w/edit?usp=sharing"",""เพชรบุรี!S539"")+IMPORTRA"&amp;"NGE(""https://docs.google.com/spreadsheets/d/19KBlQQs7uwvsao6t2n-KvW3Ax8J8uRRfZPq1zPbXgKc/edit?usp=sharing"",""ระยอง!S539"")+IMPORTRANGE(""https://docs.google.com/spreadsheets/d/1jQ6P4QcrGM89YfqcC_PxOHGCMq5ezhucwJd8ci-NHng/edit?usp=sharing"",""ราชบุรี!S53"&amp;"9"")+IMPORTRANGE(""https://docs.google.com/spreadsheets/d/1lufeA2cfFqM-elVq2hznhDzC6Pr7wkJ9ZG_sYNGCMCU/edit?usp=sharing"",""ลพบุรี!S539"")+IMPORTRANGE(""https://docs.google.com/spreadsheets/d/10oOiF7loTyfsTkbd4MpaIm0HQ9SwB7IYHdIUvt-U1Uc/edit?usp=sharing"""&amp;",""สระแก้ว!S539"")+IMPORTRANGE(""https://docs.google.com/spreadsheets/d/1xmPlrr1QbdSIKvl1dWUl9K4PjAfSL9oeMr_37QVzcxc/edit?usp=sharing"",""สระบุรี!S539"")+IMPORTRANGE(""https://docs.google.com/spreadsheets/d/1j51vR6CYVGhABJpv6tkstgok82RLpXieLzW1yOY5rHw/edi"&amp;"t?usp=sharing"",""สิงห์บุรี!S539"")+IMPORTRANGE(""https://docs.google.com/spreadsheets/d/1H1EalTWKUSzO4Z1-1CwzoDUaVffgrThEBe2sl74kKG0/edit?usp=sharing"",""สุพรรณบุรี!S539"")+IMPORTRANGE(""https://docs.google.com/spreadsheets/d/1BmIruG_sIrJLYao_Pdr7zVArWsf"&amp;"oBt2692TMi6x_854/edit?usp=sharing"",""อ่างทอง!S539"")"),0)</f>
        <v>0</v>
      </c>
      <c r="T540" s="132">
        <f t="shared" ca="1" si="374"/>
        <v>0</v>
      </c>
      <c r="U540" s="132">
        <f t="shared" ca="1" si="375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4">
        <f t="shared" ref="L541:N541" ca="1" si="382">L542+L543</f>
        <v>0</v>
      </c>
      <c r="M541" s="74">
        <f t="shared" ca="1" si="382"/>
        <v>0</v>
      </c>
      <c r="N541" s="74">
        <f t="shared" ca="1" si="382"/>
        <v>0</v>
      </c>
      <c r="O541" s="74">
        <f t="shared" ca="1" si="371"/>
        <v>0</v>
      </c>
      <c r="P541" s="74">
        <f t="shared" ca="1" si="372"/>
        <v>0</v>
      </c>
      <c r="Q541" s="131">
        <f t="shared" ref="Q541:S541" ca="1" si="383">Q542+Q543</f>
        <v>0</v>
      </c>
      <c r="R541" s="132">
        <f t="shared" ca="1" si="383"/>
        <v>0</v>
      </c>
      <c r="S541" s="132">
        <f t="shared" ca="1" si="383"/>
        <v>0</v>
      </c>
      <c r="T541" s="132">
        <f t="shared" ca="1" si="374"/>
        <v>0</v>
      </c>
      <c r="U541" s="132">
        <f t="shared" ca="1" si="375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7">
        <f ca="1">IFERROR(__xludf.DUMMYFUNCTION("IMPORTRANGE(""https://docs.google.com/spreadsheets/d/13wPX838HrBrQMCywv1BsuMkt4PEKTChp52zj44s2izQ/edit?usp=sharing"",""กาญจนบุรี!L541"")+IMPORTRANGE(""https://docs.google.com/spreadsheets/d/1ddFKvqj1W1NEiWytbGlB1zMx_ykJDVtmfEQ-6-lIUBA/edit?usp=sharing"","&amp;"""จันทบุรี!L541"")+IMPORTRANGE(""https://docs.google.com/spreadsheets/d/1T1PQvRODqOBZk8BRht_U031fIS1beLA0Ub2CEytj2q0/edit?usp=sharing"",""ฉะเชิงเทรา!L541"")+IMPORTRANGE(""https://docs.google.com/spreadsheets/d/11tr1B-Bhyr79v2bkwVh5h_fR-PStkgjlZtkrZpYurG0/"&amp;"edit?usp=sharing"",""ชลบุรี!L541"")+IMPORTRANGE(""https://docs.google.com/spreadsheets/d/1hh-FVnSX0vozXhGluamEcS54Dw9_zqW0N7qJUWgJ0Sw/edit?usp=sharing"",""ชัยนาท!L541"")+IMPORTRANGE(""https://docs.google.com/spreadsheets/d/1jkqa6GXxSacMcY1eN8AHjMNJ_7dDXMJ"&amp;"VRLDlaFSOdPM/edit?usp=sharing"",""ตราด!L541"")+IMPORTRANGE(""https://docs.google.com/spreadsheets/d/18hSgUJ3VwClqi_qtULmmW3cLr0oe3OKaSYoKzdpTsYQ/edit?usp=sharing"",""นครนายก!L541"")+IMPORTRANGE(""https://docs.google.com/spreadsheets/d/1YTZo6WM2dQ6Ix6FSdnL"&amp;"5P7uVnVKu40sxZu975tgG10E/edit?usp=sharing"",""นครปฐม!L541"")+IMPORTRANGE(""https://docs.google.com/spreadsheets/d/1OYoGg4WDg5RIzwGeB10padOxJF9E_Vljuvvct_M7RDo/edit?usp=sharing"",""ปทุมธานี!L541"")+IMPORTRANGE(""https://docs.google.com/spreadsheets/d/1GbCI"&amp;"E4D4wk9FUozzqk7SxfDMxDVBwVmI5zcaVUSzKAc/edit?usp=sharing"",""ประจวบคีรีขันธ์!L541"")+IMPORTRANGE(""https://docs.google.com/spreadsheets/d/1vVf6wykvW_lAyu7Yo9L4hUTqHqIeP_qcVuxCtosJEbg/edit?usp=sharing"",""ปราจีนบุรี!L541"")+IMPORTRANGE(""https://docs.googl"&amp;"e.com/spreadsheets/d/1BIDqLLg5jk3v59G8NlR8rk5xfQDKne0sAvZHSj7TI6I/edit?usp=sharing"",""พระนครศรีอยุธยา!L541"")+IMPORTRANGE(""https://docs.google.com/spreadsheets/d/1YXvxf8Yu6_rV4hTBrwMqAcAnv6DfhUxh5emyM3CJp_w/edit?usp=sharing"",""เพชรบุรี!L541"")+IMPORTRA"&amp;"NGE(""https://docs.google.com/spreadsheets/d/19KBlQQs7uwvsao6t2n-KvW3Ax8J8uRRfZPq1zPbXgKc/edit?usp=sharing"",""ระยอง!L541"")+IMPORTRANGE(""https://docs.google.com/spreadsheets/d/1jQ6P4QcrGM89YfqcC_PxOHGCMq5ezhucwJd8ci-NHng/edit?usp=sharing"",""ราชบุรี!L54"&amp;"1"")+IMPORTRANGE(""https://docs.google.com/spreadsheets/d/1lufeA2cfFqM-elVq2hznhDzC6Pr7wkJ9ZG_sYNGCMCU/edit?usp=sharing"",""ลพบุรี!L541"")+IMPORTRANGE(""https://docs.google.com/spreadsheets/d/10oOiF7loTyfsTkbd4MpaIm0HQ9SwB7IYHdIUvt-U1Uc/edit?usp=sharing"""&amp;",""สระแก้ว!L541"")+IMPORTRANGE(""https://docs.google.com/spreadsheets/d/1xmPlrr1QbdSIKvl1dWUl9K4PjAfSL9oeMr_37QVzcxc/edit?usp=sharing"",""สระบุรี!L541"")+IMPORTRANGE(""https://docs.google.com/spreadsheets/d/1j51vR6CYVGhABJpv6tkstgok82RLpXieLzW1yOY5rHw/edi"&amp;"t?usp=sharing"",""สิงห์บุรี!L541"")+IMPORTRANGE(""https://docs.google.com/spreadsheets/d/1H1EalTWKUSzO4Z1-1CwzoDUaVffgrThEBe2sl74kKG0/edit?usp=sharing"",""สุพรรณบุรี!L541"")+IMPORTRANGE(""https://docs.google.com/spreadsheets/d/1BmIruG_sIrJLYao_Pdr7zVArWsf"&amp;"oBt2692TMi6x_854/edit?usp=sharing"",""อ่างทอง!L541"")"),0)</f>
        <v>0</v>
      </c>
      <c r="M542" s="77">
        <f ca="1">IFERROR(__xludf.DUMMYFUNCTION("IMPORTRANGE(""https://docs.google.com/spreadsheets/d/13wPX838HrBrQMCywv1BsuMkt4PEKTChp52zj44s2izQ/edit?usp=sharing"",""กาญจนบุรี!M541"")+IMPORTRANGE(""https://docs.google.com/spreadsheets/d/1ddFKvqj1W1NEiWytbGlB1zMx_ykJDVtmfEQ-6-lIUBA/edit?usp=sharing"","&amp;"""จันทบุรี!M541"")+IMPORTRANGE(""https://docs.google.com/spreadsheets/d/1T1PQvRODqOBZk8BRht_U031fIS1beLA0Ub2CEytj2q0/edit?usp=sharing"",""ฉะเชิงเทรา!M541"")+IMPORTRANGE(""https://docs.google.com/spreadsheets/d/11tr1B-Bhyr79v2bkwVh5h_fR-PStkgjlZtkrZpYurG0/"&amp;"edit?usp=sharing"",""ชลบุรี!M541"")+IMPORTRANGE(""https://docs.google.com/spreadsheets/d/1hh-FVnSX0vozXhGluamEcS54Dw9_zqW0N7qJUWgJ0Sw/edit?usp=sharing"",""ชัยนาท!M541"")+IMPORTRANGE(""https://docs.google.com/spreadsheets/d/1jkqa6GXxSacMcY1eN8AHjMNJ_7dDXMJ"&amp;"VRLDlaFSOdPM/edit?usp=sharing"",""ตราด!M541"")+IMPORTRANGE(""https://docs.google.com/spreadsheets/d/18hSgUJ3VwClqi_qtULmmW3cLr0oe3OKaSYoKzdpTsYQ/edit?usp=sharing"",""นครนายก!M541"")+IMPORTRANGE(""https://docs.google.com/spreadsheets/d/1YTZo6WM2dQ6Ix6FSdnL"&amp;"5P7uVnVKu40sxZu975tgG10E/edit?usp=sharing"",""นครปฐม!M541"")+IMPORTRANGE(""https://docs.google.com/spreadsheets/d/1OYoGg4WDg5RIzwGeB10padOxJF9E_Vljuvvct_M7RDo/edit?usp=sharing"",""ปทุมธานี!M541"")+IMPORTRANGE(""https://docs.google.com/spreadsheets/d/1GbCI"&amp;"E4D4wk9FUozzqk7SxfDMxDVBwVmI5zcaVUSzKAc/edit?usp=sharing"",""ประจวบคีรีขันธ์!M541"")+IMPORTRANGE(""https://docs.google.com/spreadsheets/d/1vVf6wykvW_lAyu7Yo9L4hUTqHqIeP_qcVuxCtosJEbg/edit?usp=sharing"",""ปราจีนบุรี!M541"")+IMPORTRANGE(""https://docs.googl"&amp;"e.com/spreadsheets/d/1BIDqLLg5jk3v59G8NlR8rk5xfQDKne0sAvZHSj7TI6I/edit?usp=sharing"",""พระนครศรีอยุธยา!M541"")+IMPORTRANGE(""https://docs.google.com/spreadsheets/d/1YXvxf8Yu6_rV4hTBrwMqAcAnv6DfhUxh5emyM3CJp_w/edit?usp=sharing"",""เพชรบุรี!M541"")+IMPORTRA"&amp;"NGE(""https://docs.google.com/spreadsheets/d/19KBlQQs7uwvsao6t2n-KvW3Ax8J8uRRfZPq1zPbXgKc/edit?usp=sharing"",""ระยอง!M541"")+IMPORTRANGE(""https://docs.google.com/spreadsheets/d/1jQ6P4QcrGM89YfqcC_PxOHGCMq5ezhucwJd8ci-NHng/edit?usp=sharing"",""ราชบุรี!M54"&amp;"1"")+IMPORTRANGE(""https://docs.google.com/spreadsheets/d/1lufeA2cfFqM-elVq2hznhDzC6Pr7wkJ9ZG_sYNGCMCU/edit?usp=sharing"",""ลพบุรี!M541"")+IMPORTRANGE(""https://docs.google.com/spreadsheets/d/10oOiF7loTyfsTkbd4MpaIm0HQ9SwB7IYHdIUvt-U1Uc/edit?usp=sharing"""&amp;",""สระแก้ว!M541"")+IMPORTRANGE(""https://docs.google.com/spreadsheets/d/1xmPlrr1QbdSIKvl1dWUl9K4PjAfSL9oeMr_37QVzcxc/edit?usp=sharing"",""สระบุรี!M541"")+IMPORTRANGE(""https://docs.google.com/spreadsheets/d/1j51vR6CYVGhABJpv6tkstgok82RLpXieLzW1yOY5rHw/edi"&amp;"t?usp=sharing"",""สิงห์บุรี!M541"")+IMPORTRANGE(""https://docs.google.com/spreadsheets/d/1H1EalTWKUSzO4Z1-1CwzoDUaVffgrThEBe2sl74kKG0/edit?usp=sharing"",""สุพรรณบุรี!M541"")+IMPORTRANGE(""https://docs.google.com/spreadsheets/d/1BmIruG_sIrJLYao_Pdr7zVArWsf"&amp;"oBt2692TMi6x_854/edit?usp=sharing"",""อ่างทอง!M541"")"),0)</f>
        <v>0</v>
      </c>
      <c r="N542" s="77">
        <f ca="1">IFERROR(__xludf.DUMMYFUNCTION("IMPORTRANGE(""https://docs.google.com/spreadsheets/d/13wPX838HrBrQMCywv1BsuMkt4PEKTChp52zj44s2izQ/edit?usp=sharing"",""กาญจนบุรี!N541"")+IMPORTRANGE(""https://docs.google.com/spreadsheets/d/1ddFKvqj1W1NEiWytbGlB1zMx_ykJDVtmfEQ-6-lIUBA/edit?usp=sharing"","&amp;"""จันทบุรี!N541"")+IMPORTRANGE(""https://docs.google.com/spreadsheets/d/1T1PQvRODqOBZk8BRht_U031fIS1beLA0Ub2CEytj2q0/edit?usp=sharing"",""ฉะเชิงเทรา!N541"")+IMPORTRANGE(""https://docs.google.com/spreadsheets/d/11tr1B-Bhyr79v2bkwVh5h_fR-PStkgjlZtkrZpYurG0/"&amp;"edit?usp=sharing"",""ชลบุรี!N541"")+IMPORTRANGE(""https://docs.google.com/spreadsheets/d/1hh-FVnSX0vozXhGluamEcS54Dw9_zqW0N7qJUWgJ0Sw/edit?usp=sharing"",""ชัยนาท!N541"")+IMPORTRANGE(""https://docs.google.com/spreadsheets/d/1jkqa6GXxSacMcY1eN8AHjMNJ_7dDXMJ"&amp;"VRLDlaFSOdPM/edit?usp=sharing"",""ตราด!N541"")+IMPORTRANGE(""https://docs.google.com/spreadsheets/d/18hSgUJ3VwClqi_qtULmmW3cLr0oe3OKaSYoKzdpTsYQ/edit?usp=sharing"",""นครนายก!N541"")+IMPORTRANGE(""https://docs.google.com/spreadsheets/d/1YTZo6WM2dQ6Ix6FSdnL"&amp;"5P7uVnVKu40sxZu975tgG10E/edit?usp=sharing"",""นครปฐม!N541"")+IMPORTRANGE(""https://docs.google.com/spreadsheets/d/1OYoGg4WDg5RIzwGeB10padOxJF9E_Vljuvvct_M7RDo/edit?usp=sharing"",""ปทุมธานี!N541"")+IMPORTRANGE(""https://docs.google.com/spreadsheets/d/1GbCI"&amp;"E4D4wk9FUozzqk7SxfDMxDVBwVmI5zcaVUSzKAc/edit?usp=sharing"",""ประจวบคีรีขันธ์!N541"")+IMPORTRANGE(""https://docs.google.com/spreadsheets/d/1vVf6wykvW_lAyu7Yo9L4hUTqHqIeP_qcVuxCtosJEbg/edit?usp=sharing"",""ปราจีนบุรี!N541"")+IMPORTRANGE(""https://docs.googl"&amp;"e.com/spreadsheets/d/1BIDqLLg5jk3v59G8NlR8rk5xfQDKne0sAvZHSj7TI6I/edit?usp=sharing"",""พระนครศรีอยุธยา!N541"")+IMPORTRANGE(""https://docs.google.com/spreadsheets/d/1YXvxf8Yu6_rV4hTBrwMqAcAnv6DfhUxh5emyM3CJp_w/edit?usp=sharing"",""เพชรบุรี!N541"")+IMPORTRA"&amp;"NGE(""https://docs.google.com/spreadsheets/d/19KBlQQs7uwvsao6t2n-KvW3Ax8J8uRRfZPq1zPbXgKc/edit?usp=sharing"",""ระยอง!N541"")+IMPORTRANGE(""https://docs.google.com/spreadsheets/d/1jQ6P4QcrGM89YfqcC_PxOHGCMq5ezhucwJd8ci-NHng/edit?usp=sharing"",""ราชบุรี!N54"&amp;"1"")+IMPORTRANGE(""https://docs.google.com/spreadsheets/d/1lufeA2cfFqM-elVq2hznhDzC6Pr7wkJ9ZG_sYNGCMCU/edit?usp=sharing"",""ลพบุรี!N541"")+IMPORTRANGE(""https://docs.google.com/spreadsheets/d/10oOiF7loTyfsTkbd4MpaIm0HQ9SwB7IYHdIUvt-U1Uc/edit?usp=sharing"""&amp;",""สระแก้ว!N541"")+IMPORTRANGE(""https://docs.google.com/spreadsheets/d/1xmPlrr1QbdSIKvl1dWUl9K4PjAfSL9oeMr_37QVzcxc/edit?usp=sharing"",""สระบุรี!N541"")+IMPORTRANGE(""https://docs.google.com/spreadsheets/d/1j51vR6CYVGhABJpv6tkstgok82RLpXieLzW1yOY5rHw/edi"&amp;"t?usp=sharing"",""สิงห์บุรี!N541"")+IMPORTRANGE(""https://docs.google.com/spreadsheets/d/1H1EalTWKUSzO4Z1-1CwzoDUaVffgrThEBe2sl74kKG0/edit?usp=sharing"",""สุพรรณบุรี!N541"")+IMPORTRANGE(""https://docs.google.com/spreadsheets/d/1BmIruG_sIrJLYao_Pdr7zVArWsf"&amp;"oBt2692TMi6x_854/edit?usp=sharing"",""อ่างทอง!N541"")"),0)</f>
        <v>0</v>
      </c>
      <c r="O542" s="77">
        <f t="shared" ca="1" si="371"/>
        <v>0</v>
      </c>
      <c r="P542" s="77">
        <f t="shared" ca="1" si="372"/>
        <v>0</v>
      </c>
      <c r="Q542" s="76">
        <f ca="1">IFERROR(__xludf.DUMMYFUNCTION("IMPORTRANGE(""https://docs.google.com/spreadsheets/d/13wPX838HrBrQMCywv1BsuMkt4PEKTChp52zj44s2izQ/edit?usp=sharing"",""กาญจนบุรี!Q541"")+IMPORTRANGE(""https://docs.google.com/spreadsheets/d/1ddFKvqj1W1NEiWytbGlB1zMx_ykJDVtmfEQ-6-lIUBA/edit?usp=sharing"","&amp;"""จันทบุรี!Q541"")+IMPORTRANGE(""https://docs.google.com/spreadsheets/d/1T1PQvRODqOBZk8BRht_U031fIS1beLA0Ub2CEytj2q0/edit?usp=sharing"",""ฉะเชิงเทรา!Q541"")+IMPORTRANGE(""https://docs.google.com/spreadsheets/d/11tr1B-Bhyr79v2bkwVh5h_fR-PStkgjlZtkrZpYurG0/"&amp;"edit?usp=sharing"",""ชลบุรี!Q541"")+IMPORTRANGE(""https://docs.google.com/spreadsheets/d/1hh-FVnSX0vozXhGluamEcS54Dw9_zqW0N7qJUWgJ0Sw/edit?usp=sharing"",""ชัยนาท!Q541"")+IMPORTRANGE(""https://docs.google.com/spreadsheets/d/1jkqa6GXxSacMcY1eN8AHjMNJ_7dDXMJ"&amp;"VRLDlaFSOdPM/edit?usp=sharing"",""ตราด!Q541"")+IMPORTRANGE(""https://docs.google.com/spreadsheets/d/18hSgUJ3VwClqi_qtULmmW3cLr0oe3OKaSYoKzdpTsYQ/edit?usp=sharing"",""นครนายก!Q541"")+IMPORTRANGE(""https://docs.google.com/spreadsheets/d/1YTZo6WM2dQ6Ix6FSdnL"&amp;"5P7uVnVKu40sxZu975tgG10E/edit?usp=sharing"",""นครปฐม!Q541"")+IMPORTRANGE(""https://docs.google.com/spreadsheets/d/1OYoGg4WDg5RIzwGeB10padOxJF9E_Vljuvvct_M7RDo/edit?usp=sharing"",""ปทุมธานี!Q541"")+IMPORTRANGE(""https://docs.google.com/spreadsheets/d/1GbCI"&amp;"E4D4wk9FUozzqk7SxfDMxDVBwVmI5zcaVUSzKAc/edit?usp=sharing"",""ประจวบคีรีขันธ์!Q541"")+IMPORTRANGE(""https://docs.google.com/spreadsheets/d/1vVf6wykvW_lAyu7Yo9L4hUTqHqIeP_qcVuxCtosJEbg/edit?usp=sharing"",""ปราจีนบุรี!Q541"")+IMPORTRANGE(""https://docs.googl"&amp;"e.com/spreadsheets/d/1BIDqLLg5jk3v59G8NlR8rk5xfQDKne0sAvZHSj7TI6I/edit?usp=sharing"",""พระนครศรีอยุธยา!Q541"")+IMPORTRANGE(""https://docs.google.com/spreadsheets/d/1YXvxf8Yu6_rV4hTBrwMqAcAnv6DfhUxh5emyM3CJp_w/edit?usp=sharing"",""เพชรบุรี!Q541"")+IMPORTRA"&amp;"NGE(""https://docs.google.com/spreadsheets/d/19KBlQQs7uwvsao6t2n-KvW3Ax8J8uRRfZPq1zPbXgKc/edit?usp=sharing"",""ระยอง!Q541"")+IMPORTRANGE(""https://docs.google.com/spreadsheets/d/1jQ6P4QcrGM89YfqcC_PxOHGCMq5ezhucwJd8ci-NHng/edit?usp=sharing"",""ราชบุรี!Q54"&amp;"1"")+IMPORTRANGE(""https://docs.google.com/spreadsheets/d/1lufeA2cfFqM-elVq2hznhDzC6Pr7wkJ9ZG_sYNGCMCU/edit?usp=sharing"",""ลพบุรี!Q541"")+IMPORTRANGE(""https://docs.google.com/spreadsheets/d/10oOiF7loTyfsTkbd4MpaIm0HQ9SwB7IYHdIUvt-U1Uc/edit?usp=sharing"""&amp;",""สระแก้ว!Q541"")+IMPORTRANGE(""https://docs.google.com/spreadsheets/d/1xmPlrr1QbdSIKvl1dWUl9K4PjAfSL9oeMr_37QVzcxc/edit?usp=sharing"",""สระบุรี!Q541"")+IMPORTRANGE(""https://docs.google.com/spreadsheets/d/1j51vR6CYVGhABJpv6tkstgok82RLpXieLzW1yOY5rHw/edi"&amp;"t?usp=sharing"",""สิงห์บุรี!Q541"")+IMPORTRANGE(""https://docs.google.com/spreadsheets/d/1H1EalTWKUSzO4Z1-1CwzoDUaVffgrThEBe2sl74kKG0/edit?usp=sharing"",""สุพรรณบุรี!Q541"")+IMPORTRANGE(""https://docs.google.com/spreadsheets/d/1BmIruG_sIrJLYao_Pdr7zVArWsf"&amp;"oBt2692TMi6x_854/edit?usp=sharing"",""อ่างทอง!Q541"")"),0)</f>
        <v>0</v>
      </c>
      <c r="R542" s="77">
        <f ca="1">IFERROR(__xludf.DUMMYFUNCTION("IMPORTRANGE(""https://docs.google.com/spreadsheets/d/13wPX838HrBrQMCywv1BsuMkt4PEKTChp52zj44s2izQ/edit?usp=sharing"",""กาญจนบุรี!R541"")+IMPORTRANGE(""https://docs.google.com/spreadsheets/d/1ddFKvqj1W1NEiWytbGlB1zMx_ykJDVtmfEQ-6-lIUBA/edit?usp=sharing"","&amp;"""จันทบุรี!R541"")+IMPORTRANGE(""https://docs.google.com/spreadsheets/d/1T1PQvRODqOBZk8BRht_U031fIS1beLA0Ub2CEytj2q0/edit?usp=sharing"",""ฉะเชิงเทรา!R541"")+IMPORTRANGE(""https://docs.google.com/spreadsheets/d/11tr1B-Bhyr79v2bkwVh5h_fR-PStkgjlZtkrZpYurG0/"&amp;"edit?usp=sharing"",""ชลบุรี!R541"")+IMPORTRANGE(""https://docs.google.com/spreadsheets/d/1hh-FVnSX0vozXhGluamEcS54Dw9_zqW0N7qJUWgJ0Sw/edit?usp=sharing"",""ชัยนาท!R541"")+IMPORTRANGE(""https://docs.google.com/spreadsheets/d/1jkqa6GXxSacMcY1eN8AHjMNJ_7dDXMJ"&amp;"VRLDlaFSOdPM/edit?usp=sharing"",""ตราด!R541"")+IMPORTRANGE(""https://docs.google.com/spreadsheets/d/18hSgUJ3VwClqi_qtULmmW3cLr0oe3OKaSYoKzdpTsYQ/edit?usp=sharing"",""นครนายก!R541"")+IMPORTRANGE(""https://docs.google.com/spreadsheets/d/1YTZo6WM2dQ6Ix6FSdnL"&amp;"5P7uVnVKu40sxZu975tgG10E/edit?usp=sharing"",""นครปฐม!R541"")+IMPORTRANGE(""https://docs.google.com/spreadsheets/d/1OYoGg4WDg5RIzwGeB10padOxJF9E_Vljuvvct_M7RDo/edit?usp=sharing"",""ปทุมธานี!R541"")+IMPORTRANGE(""https://docs.google.com/spreadsheets/d/1GbCI"&amp;"E4D4wk9FUozzqk7SxfDMxDVBwVmI5zcaVUSzKAc/edit?usp=sharing"",""ประจวบคีรีขันธ์!R541"")+IMPORTRANGE(""https://docs.google.com/spreadsheets/d/1vVf6wykvW_lAyu7Yo9L4hUTqHqIeP_qcVuxCtosJEbg/edit?usp=sharing"",""ปราจีนบุรี!R541"")+IMPORTRANGE(""https://docs.googl"&amp;"e.com/spreadsheets/d/1BIDqLLg5jk3v59G8NlR8rk5xfQDKne0sAvZHSj7TI6I/edit?usp=sharing"",""พระนครศรีอยุธยา!R541"")+IMPORTRANGE(""https://docs.google.com/spreadsheets/d/1YXvxf8Yu6_rV4hTBrwMqAcAnv6DfhUxh5emyM3CJp_w/edit?usp=sharing"",""เพชรบุรี!R541"")+IMPORTRA"&amp;"NGE(""https://docs.google.com/spreadsheets/d/19KBlQQs7uwvsao6t2n-KvW3Ax8J8uRRfZPq1zPbXgKc/edit?usp=sharing"",""ระยอง!R541"")+IMPORTRANGE(""https://docs.google.com/spreadsheets/d/1jQ6P4QcrGM89YfqcC_PxOHGCMq5ezhucwJd8ci-NHng/edit?usp=sharing"",""ราชบุรี!R54"&amp;"1"")+IMPORTRANGE(""https://docs.google.com/spreadsheets/d/1lufeA2cfFqM-elVq2hznhDzC6Pr7wkJ9ZG_sYNGCMCU/edit?usp=sharing"",""ลพบุรี!R541"")+IMPORTRANGE(""https://docs.google.com/spreadsheets/d/10oOiF7loTyfsTkbd4MpaIm0HQ9SwB7IYHdIUvt-U1Uc/edit?usp=sharing"""&amp;",""สระแก้ว!R541"")+IMPORTRANGE(""https://docs.google.com/spreadsheets/d/1xmPlrr1QbdSIKvl1dWUl9K4PjAfSL9oeMr_37QVzcxc/edit?usp=sharing"",""สระบุรี!R541"")+IMPORTRANGE(""https://docs.google.com/spreadsheets/d/1j51vR6CYVGhABJpv6tkstgok82RLpXieLzW1yOY5rHw/edi"&amp;"t?usp=sharing"",""สิงห์บุรี!R541"")+IMPORTRANGE(""https://docs.google.com/spreadsheets/d/1H1EalTWKUSzO4Z1-1CwzoDUaVffgrThEBe2sl74kKG0/edit?usp=sharing"",""สุพรรณบุรี!R541"")+IMPORTRANGE(""https://docs.google.com/spreadsheets/d/1BmIruG_sIrJLYao_Pdr7zVArWsf"&amp;"oBt2692TMi6x_854/edit?usp=sharing"",""อ่างทอง!R541"")"),0)</f>
        <v>0</v>
      </c>
      <c r="S542" s="77">
        <f ca="1">IFERROR(__xludf.DUMMYFUNCTION("IMPORTRANGE(""https://docs.google.com/spreadsheets/d/13wPX838HrBrQMCywv1BsuMkt4PEKTChp52zj44s2izQ/edit?usp=sharing"",""กาญจนบุรี!S541"")+IMPORTRANGE(""https://docs.google.com/spreadsheets/d/1ddFKvqj1W1NEiWytbGlB1zMx_ykJDVtmfEQ-6-lIUBA/edit?usp=sharing"","&amp;"""จันทบุรี!S541"")+IMPORTRANGE(""https://docs.google.com/spreadsheets/d/1T1PQvRODqOBZk8BRht_U031fIS1beLA0Ub2CEytj2q0/edit?usp=sharing"",""ฉะเชิงเทรา!S541"")+IMPORTRANGE(""https://docs.google.com/spreadsheets/d/11tr1B-Bhyr79v2bkwVh5h_fR-PStkgjlZtkrZpYurG0/"&amp;"edit?usp=sharing"",""ชลบุรี!S541"")+IMPORTRANGE(""https://docs.google.com/spreadsheets/d/1hh-FVnSX0vozXhGluamEcS54Dw9_zqW0N7qJUWgJ0Sw/edit?usp=sharing"",""ชัยนาท!S541"")+IMPORTRANGE(""https://docs.google.com/spreadsheets/d/1jkqa6GXxSacMcY1eN8AHjMNJ_7dDXMJ"&amp;"VRLDlaFSOdPM/edit?usp=sharing"",""ตราด!S541"")+IMPORTRANGE(""https://docs.google.com/spreadsheets/d/18hSgUJ3VwClqi_qtULmmW3cLr0oe3OKaSYoKzdpTsYQ/edit?usp=sharing"",""นครนายก!S541"")+IMPORTRANGE(""https://docs.google.com/spreadsheets/d/1YTZo6WM2dQ6Ix6FSdnL"&amp;"5P7uVnVKu40sxZu975tgG10E/edit?usp=sharing"",""นครปฐม!S541"")+IMPORTRANGE(""https://docs.google.com/spreadsheets/d/1OYoGg4WDg5RIzwGeB10padOxJF9E_Vljuvvct_M7RDo/edit?usp=sharing"",""ปทุมธานี!S541"")+IMPORTRANGE(""https://docs.google.com/spreadsheets/d/1GbCI"&amp;"E4D4wk9FUozzqk7SxfDMxDVBwVmI5zcaVUSzKAc/edit?usp=sharing"",""ประจวบคีรีขันธ์!S541"")+IMPORTRANGE(""https://docs.google.com/spreadsheets/d/1vVf6wykvW_lAyu7Yo9L4hUTqHqIeP_qcVuxCtosJEbg/edit?usp=sharing"",""ปราจีนบุรี!S541"")+IMPORTRANGE(""https://docs.googl"&amp;"e.com/spreadsheets/d/1BIDqLLg5jk3v59G8NlR8rk5xfQDKne0sAvZHSj7TI6I/edit?usp=sharing"",""พระนครศรีอยุธยา!S541"")+IMPORTRANGE(""https://docs.google.com/spreadsheets/d/1YXvxf8Yu6_rV4hTBrwMqAcAnv6DfhUxh5emyM3CJp_w/edit?usp=sharing"",""เพชรบุรี!S541"")+IMPORTRA"&amp;"NGE(""https://docs.google.com/spreadsheets/d/19KBlQQs7uwvsao6t2n-KvW3Ax8J8uRRfZPq1zPbXgKc/edit?usp=sharing"",""ระยอง!S541"")+IMPORTRANGE(""https://docs.google.com/spreadsheets/d/1jQ6P4QcrGM89YfqcC_PxOHGCMq5ezhucwJd8ci-NHng/edit?usp=sharing"",""ราชบุรี!S54"&amp;"1"")+IMPORTRANGE(""https://docs.google.com/spreadsheets/d/1lufeA2cfFqM-elVq2hznhDzC6Pr7wkJ9ZG_sYNGCMCU/edit?usp=sharing"",""ลพบุรี!S541"")+IMPORTRANGE(""https://docs.google.com/spreadsheets/d/10oOiF7loTyfsTkbd4MpaIm0HQ9SwB7IYHdIUvt-U1Uc/edit?usp=sharing"""&amp;",""สระแก้ว!S541"")+IMPORTRANGE(""https://docs.google.com/spreadsheets/d/1xmPlrr1QbdSIKvl1dWUl9K4PjAfSL9oeMr_37QVzcxc/edit?usp=sharing"",""สระบุรี!S541"")+IMPORTRANGE(""https://docs.google.com/spreadsheets/d/1j51vR6CYVGhABJpv6tkstgok82RLpXieLzW1yOY5rHw/edi"&amp;"t?usp=sharing"",""สิงห์บุรี!S541"")+IMPORTRANGE(""https://docs.google.com/spreadsheets/d/1H1EalTWKUSzO4Z1-1CwzoDUaVffgrThEBe2sl74kKG0/edit?usp=sharing"",""สุพรรณบุรี!S541"")+IMPORTRANGE(""https://docs.google.com/spreadsheets/d/1BmIruG_sIrJLYao_Pdr7zVArWsf"&amp;"oBt2692TMi6x_854/edit?usp=sharing"",""อ่างทอง!S541"")"),0)</f>
        <v>0</v>
      </c>
      <c r="T542" s="133">
        <f t="shared" ca="1" si="374"/>
        <v>0</v>
      </c>
      <c r="U542" s="133">
        <f t="shared" ca="1" si="375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4">
        <f ca="1">IFERROR(__xludf.DUMMYFUNCTION("IMPORTRANGE(""https://docs.google.com/spreadsheets/d/13wPX838HrBrQMCywv1BsuMkt4PEKTChp52zj44s2izQ/edit?usp=sharing"",""กาญจนบุรี!L542"")+IMPORTRANGE(""https://docs.google.com/spreadsheets/d/1ddFKvqj1W1NEiWytbGlB1zMx_ykJDVtmfEQ-6-lIUBA/edit?usp=sharing"","&amp;"""จันทบุรี!L542"")+IMPORTRANGE(""https://docs.google.com/spreadsheets/d/1T1PQvRODqOBZk8BRht_U031fIS1beLA0Ub2CEytj2q0/edit?usp=sharing"",""ฉะเชิงเทรา!L542"")+IMPORTRANGE(""https://docs.google.com/spreadsheets/d/11tr1B-Bhyr79v2bkwVh5h_fR-PStkgjlZtkrZpYurG0/"&amp;"edit?usp=sharing"",""ชลบุรี!L542"")+IMPORTRANGE(""https://docs.google.com/spreadsheets/d/1hh-FVnSX0vozXhGluamEcS54Dw9_zqW0N7qJUWgJ0Sw/edit?usp=sharing"",""ชัยนาท!L542"")+IMPORTRANGE(""https://docs.google.com/spreadsheets/d/1jkqa6GXxSacMcY1eN8AHjMNJ_7dDXMJ"&amp;"VRLDlaFSOdPM/edit?usp=sharing"",""ตราด!L542"")+IMPORTRANGE(""https://docs.google.com/spreadsheets/d/18hSgUJ3VwClqi_qtULmmW3cLr0oe3OKaSYoKzdpTsYQ/edit?usp=sharing"",""นครนายก!L542"")+IMPORTRANGE(""https://docs.google.com/spreadsheets/d/1YTZo6WM2dQ6Ix6FSdnL"&amp;"5P7uVnVKu40sxZu975tgG10E/edit?usp=sharing"",""นครปฐม!L542"")+IMPORTRANGE(""https://docs.google.com/spreadsheets/d/1OYoGg4WDg5RIzwGeB10padOxJF9E_Vljuvvct_M7RDo/edit?usp=sharing"",""ปทุมธานี!L542"")+IMPORTRANGE(""https://docs.google.com/spreadsheets/d/1GbCI"&amp;"E4D4wk9FUozzqk7SxfDMxDVBwVmI5zcaVUSzKAc/edit?usp=sharing"",""ประจวบคีรีขันธ์!L542"")+IMPORTRANGE(""https://docs.google.com/spreadsheets/d/1vVf6wykvW_lAyu7Yo9L4hUTqHqIeP_qcVuxCtosJEbg/edit?usp=sharing"",""ปราจีนบุรี!L542"")+IMPORTRANGE(""https://docs.googl"&amp;"e.com/spreadsheets/d/1BIDqLLg5jk3v59G8NlR8rk5xfQDKne0sAvZHSj7TI6I/edit?usp=sharing"",""พระนครศรีอยุธยา!L542"")+IMPORTRANGE(""https://docs.google.com/spreadsheets/d/1YXvxf8Yu6_rV4hTBrwMqAcAnv6DfhUxh5emyM3CJp_w/edit?usp=sharing"",""เพชรบุรี!L542"")+IMPORTRA"&amp;"NGE(""https://docs.google.com/spreadsheets/d/19KBlQQs7uwvsao6t2n-KvW3Ax8J8uRRfZPq1zPbXgKc/edit?usp=sharing"",""ระยอง!L542"")+IMPORTRANGE(""https://docs.google.com/spreadsheets/d/1jQ6P4QcrGM89YfqcC_PxOHGCMq5ezhucwJd8ci-NHng/edit?usp=sharing"",""ราชบุรี!L54"&amp;"2"")+IMPORTRANGE(""https://docs.google.com/spreadsheets/d/1lufeA2cfFqM-elVq2hznhDzC6Pr7wkJ9ZG_sYNGCMCU/edit?usp=sharing"",""ลพบุรี!L542"")+IMPORTRANGE(""https://docs.google.com/spreadsheets/d/10oOiF7loTyfsTkbd4MpaIm0HQ9SwB7IYHdIUvt-U1Uc/edit?usp=sharing"""&amp;",""สระแก้ว!L542"")+IMPORTRANGE(""https://docs.google.com/spreadsheets/d/1xmPlrr1QbdSIKvl1dWUl9K4PjAfSL9oeMr_37QVzcxc/edit?usp=sharing"",""สระบุรี!L542"")+IMPORTRANGE(""https://docs.google.com/spreadsheets/d/1j51vR6CYVGhABJpv6tkstgok82RLpXieLzW1yOY5rHw/edi"&amp;"t?usp=sharing"",""สิงห์บุรี!L542"")+IMPORTRANGE(""https://docs.google.com/spreadsheets/d/1H1EalTWKUSzO4Z1-1CwzoDUaVffgrThEBe2sl74kKG0/edit?usp=sharing"",""สุพรรณบุรี!L542"")+IMPORTRANGE(""https://docs.google.com/spreadsheets/d/1BmIruG_sIrJLYao_Pdr7zVArWsf"&amp;"oBt2692TMi6x_854/edit?usp=sharing"",""อ่างทอง!L542"")"),0)</f>
        <v>0</v>
      </c>
      <c r="M543" s="74">
        <f ca="1">IFERROR(__xludf.DUMMYFUNCTION("IMPORTRANGE(""https://docs.google.com/spreadsheets/d/13wPX838HrBrQMCywv1BsuMkt4PEKTChp52zj44s2izQ/edit?usp=sharing"",""กาญจนบุรี!M542"")+IMPORTRANGE(""https://docs.google.com/spreadsheets/d/1ddFKvqj1W1NEiWytbGlB1zMx_ykJDVtmfEQ-6-lIUBA/edit?usp=sharing"","&amp;"""จันทบุรี!M542"")+IMPORTRANGE(""https://docs.google.com/spreadsheets/d/1T1PQvRODqOBZk8BRht_U031fIS1beLA0Ub2CEytj2q0/edit?usp=sharing"",""ฉะเชิงเทรา!M542"")+IMPORTRANGE(""https://docs.google.com/spreadsheets/d/11tr1B-Bhyr79v2bkwVh5h_fR-PStkgjlZtkrZpYurG0/"&amp;"edit?usp=sharing"",""ชลบุรี!M542"")+IMPORTRANGE(""https://docs.google.com/spreadsheets/d/1hh-FVnSX0vozXhGluamEcS54Dw9_zqW0N7qJUWgJ0Sw/edit?usp=sharing"",""ชัยนาท!M542"")+IMPORTRANGE(""https://docs.google.com/spreadsheets/d/1jkqa6GXxSacMcY1eN8AHjMNJ_7dDXMJ"&amp;"VRLDlaFSOdPM/edit?usp=sharing"",""ตราด!M542"")+IMPORTRANGE(""https://docs.google.com/spreadsheets/d/18hSgUJ3VwClqi_qtULmmW3cLr0oe3OKaSYoKzdpTsYQ/edit?usp=sharing"",""นครนายก!M542"")+IMPORTRANGE(""https://docs.google.com/spreadsheets/d/1YTZo6WM2dQ6Ix6FSdnL"&amp;"5P7uVnVKu40sxZu975tgG10E/edit?usp=sharing"",""นครปฐม!M542"")+IMPORTRANGE(""https://docs.google.com/spreadsheets/d/1OYoGg4WDg5RIzwGeB10padOxJF9E_Vljuvvct_M7RDo/edit?usp=sharing"",""ปทุมธานี!M542"")+IMPORTRANGE(""https://docs.google.com/spreadsheets/d/1GbCI"&amp;"E4D4wk9FUozzqk7SxfDMxDVBwVmI5zcaVUSzKAc/edit?usp=sharing"",""ประจวบคีรีขันธ์!M542"")+IMPORTRANGE(""https://docs.google.com/spreadsheets/d/1vVf6wykvW_lAyu7Yo9L4hUTqHqIeP_qcVuxCtosJEbg/edit?usp=sharing"",""ปราจีนบุรี!M542"")+IMPORTRANGE(""https://docs.googl"&amp;"e.com/spreadsheets/d/1BIDqLLg5jk3v59G8NlR8rk5xfQDKne0sAvZHSj7TI6I/edit?usp=sharing"",""พระนครศรีอยุธยา!M542"")+IMPORTRANGE(""https://docs.google.com/spreadsheets/d/1YXvxf8Yu6_rV4hTBrwMqAcAnv6DfhUxh5emyM3CJp_w/edit?usp=sharing"",""เพชรบุรี!M542"")+IMPORTRA"&amp;"NGE(""https://docs.google.com/spreadsheets/d/19KBlQQs7uwvsao6t2n-KvW3Ax8J8uRRfZPq1zPbXgKc/edit?usp=sharing"",""ระยอง!M542"")+IMPORTRANGE(""https://docs.google.com/spreadsheets/d/1jQ6P4QcrGM89YfqcC_PxOHGCMq5ezhucwJd8ci-NHng/edit?usp=sharing"",""ราชบุรี!M54"&amp;"2"")+IMPORTRANGE(""https://docs.google.com/spreadsheets/d/1lufeA2cfFqM-elVq2hznhDzC6Pr7wkJ9ZG_sYNGCMCU/edit?usp=sharing"",""ลพบุรี!M542"")+IMPORTRANGE(""https://docs.google.com/spreadsheets/d/10oOiF7loTyfsTkbd4MpaIm0HQ9SwB7IYHdIUvt-U1Uc/edit?usp=sharing"""&amp;",""สระแก้ว!M542"")+IMPORTRANGE(""https://docs.google.com/spreadsheets/d/1xmPlrr1QbdSIKvl1dWUl9K4PjAfSL9oeMr_37QVzcxc/edit?usp=sharing"",""สระบุรี!M542"")+IMPORTRANGE(""https://docs.google.com/spreadsheets/d/1j51vR6CYVGhABJpv6tkstgok82RLpXieLzW1yOY5rHw/edi"&amp;"t?usp=sharing"",""สิงห์บุรี!M542"")+IMPORTRANGE(""https://docs.google.com/spreadsheets/d/1H1EalTWKUSzO4Z1-1CwzoDUaVffgrThEBe2sl74kKG0/edit?usp=sharing"",""สุพรรณบุรี!M542"")+IMPORTRANGE(""https://docs.google.com/spreadsheets/d/1BmIruG_sIrJLYao_Pdr7zVArWsf"&amp;"oBt2692TMi6x_854/edit?usp=sharing"",""อ่างทอง!M542"")"),0)</f>
        <v>0</v>
      </c>
      <c r="N543" s="74">
        <f ca="1">IFERROR(__xludf.DUMMYFUNCTION("IMPORTRANGE(""https://docs.google.com/spreadsheets/d/13wPX838HrBrQMCywv1BsuMkt4PEKTChp52zj44s2izQ/edit?usp=sharing"",""กาญจนบุรี!N542"")+IMPORTRANGE(""https://docs.google.com/spreadsheets/d/1ddFKvqj1W1NEiWytbGlB1zMx_ykJDVtmfEQ-6-lIUBA/edit?usp=sharing"","&amp;"""จันทบุรี!N542"")+IMPORTRANGE(""https://docs.google.com/spreadsheets/d/1T1PQvRODqOBZk8BRht_U031fIS1beLA0Ub2CEytj2q0/edit?usp=sharing"",""ฉะเชิงเทรา!N542"")+IMPORTRANGE(""https://docs.google.com/spreadsheets/d/11tr1B-Bhyr79v2bkwVh5h_fR-PStkgjlZtkrZpYurG0/"&amp;"edit?usp=sharing"",""ชลบุรี!N542"")+IMPORTRANGE(""https://docs.google.com/spreadsheets/d/1hh-FVnSX0vozXhGluamEcS54Dw9_zqW0N7qJUWgJ0Sw/edit?usp=sharing"",""ชัยนาท!N542"")+IMPORTRANGE(""https://docs.google.com/spreadsheets/d/1jkqa6GXxSacMcY1eN8AHjMNJ_7dDXMJ"&amp;"VRLDlaFSOdPM/edit?usp=sharing"",""ตราด!N542"")+IMPORTRANGE(""https://docs.google.com/spreadsheets/d/18hSgUJ3VwClqi_qtULmmW3cLr0oe3OKaSYoKzdpTsYQ/edit?usp=sharing"",""นครนายก!N542"")+IMPORTRANGE(""https://docs.google.com/spreadsheets/d/1YTZo6WM2dQ6Ix6FSdnL"&amp;"5P7uVnVKu40sxZu975tgG10E/edit?usp=sharing"",""นครปฐม!N542"")+IMPORTRANGE(""https://docs.google.com/spreadsheets/d/1OYoGg4WDg5RIzwGeB10padOxJF9E_Vljuvvct_M7RDo/edit?usp=sharing"",""ปทุมธานี!N542"")+IMPORTRANGE(""https://docs.google.com/spreadsheets/d/1GbCI"&amp;"E4D4wk9FUozzqk7SxfDMxDVBwVmI5zcaVUSzKAc/edit?usp=sharing"",""ประจวบคีรีขันธ์!N542"")+IMPORTRANGE(""https://docs.google.com/spreadsheets/d/1vVf6wykvW_lAyu7Yo9L4hUTqHqIeP_qcVuxCtosJEbg/edit?usp=sharing"",""ปราจีนบุรี!N542"")+IMPORTRANGE(""https://docs.googl"&amp;"e.com/spreadsheets/d/1BIDqLLg5jk3v59G8NlR8rk5xfQDKne0sAvZHSj7TI6I/edit?usp=sharing"",""พระนครศรีอยุธยา!N542"")+IMPORTRANGE(""https://docs.google.com/spreadsheets/d/1YXvxf8Yu6_rV4hTBrwMqAcAnv6DfhUxh5emyM3CJp_w/edit?usp=sharing"",""เพชรบุรี!N542"")+IMPORTRA"&amp;"NGE(""https://docs.google.com/spreadsheets/d/19KBlQQs7uwvsao6t2n-KvW3Ax8J8uRRfZPq1zPbXgKc/edit?usp=sharing"",""ระยอง!N542"")+IMPORTRANGE(""https://docs.google.com/spreadsheets/d/1jQ6P4QcrGM89YfqcC_PxOHGCMq5ezhucwJd8ci-NHng/edit?usp=sharing"",""ราชบุรี!N54"&amp;"2"")+IMPORTRANGE(""https://docs.google.com/spreadsheets/d/1lufeA2cfFqM-elVq2hznhDzC6Pr7wkJ9ZG_sYNGCMCU/edit?usp=sharing"",""ลพบุรี!N542"")+IMPORTRANGE(""https://docs.google.com/spreadsheets/d/10oOiF7loTyfsTkbd4MpaIm0HQ9SwB7IYHdIUvt-U1Uc/edit?usp=sharing"""&amp;",""สระแก้ว!N542"")+IMPORTRANGE(""https://docs.google.com/spreadsheets/d/1xmPlrr1QbdSIKvl1dWUl9K4PjAfSL9oeMr_37QVzcxc/edit?usp=sharing"",""สระบุรี!N542"")+IMPORTRANGE(""https://docs.google.com/spreadsheets/d/1j51vR6CYVGhABJpv6tkstgok82RLpXieLzW1yOY5rHw/edi"&amp;"t?usp=sharing"",""สิงห์บุรี!N542"")+IMPORTRANGE(""https://docs.google.com/spreadsheets/d/1H1EalTWKUSzO4Z1-1CwzoDUaVffgrThEBe2sl74kKG0/edit?usp=sharing"",""สุพรรณบุรี!N542"")+IMPORTRANGE(""https://docs.google.com/spreadsheets/d/1BmIruG_sIrJLYao_Pdr7zVArWsf"&amp;"oBt2692TMi6x_854/edit?usp=sharing"",""อ่างทอง!N542"")"),0)</f>
        <v>0</v>
      </c>
      <c r="O543" s="74">
        <f t="shared" ca="1" si="371"/>
        <v>0</v>
      </c>
      <c r="P543" s="74">
        <f t="shared" ca="1" si="372"/>
        <v>0</v>
      </c>
      <c r="Q543" s="73">
        <f ca="1">IFERROR(__xludf.DUMMYFUNCTION("IMPORTRANGE(""https://docs.google.com/spreadsheets/d/13wPX838HrBrQMCywv1BsuMkt4PEKTChp52zj44s2izQ/edit?usp=sharing"",""กาญจนบุรี!Q542"")+IMPORTRANGE(""https://docs.google.com/spreadsheets/d/1ddFKvqj1W1NEiWytbGlB1zMx_ykJDVtmfEQ-6-lIUBA/edit?usp=sharing"","&amp;"""จันทบุรี!Q542"")+IMPORTRANGE(""https://docs.google.com/spreadsheets/d/1T1PQvRODqOBZk8BRht_U031fIS1beLA0Ub2CEytj2q0/edit?usp=sharing"",""ฉะเชิงเทรา!Q542"")+IMPORTRANGE(""https://docs.google.com/spreadsheets/d/11tr1B-Bhyr79v2bkwVh5h_fR-PStkgjlZtkrZpYurG0/"&amp;"edit?usp=sharing"",""ชลบุรี!Q542"")+IMPORTRANGE(""https://docs.google.com/spreadsheets/d/1hh-FVnSX0vozXhGluamEcS54Dw9_zqW0N7qJUWgJ0Sw/edit?usp=sharing"",""ชัยนาท!Q542"")+IMPORTRANGE(""https://docs.google.com/spreadsheets/d/1jkqa6GXxSacMcY1eN8AHjMNJ_7dDXMJ"&amp;"VRLDlaFSOdPM/edit?usp=sharing"",""ตราด!Q542"")+IMPORTRANGE(""https://docs.google.com/spreadsheets/d/18hSgUJ3VwClqi_qtULmmW3cLr0oe3OKaSYoKzdpTsYQ/edit?usp=sharing"",""นครนายก!Q542"")+IMPORTRANGE(""https://docs.google.com/spreadsheets/d/1YTZo6WM2dQ6Ix6FSdnL"&amp;"5P7uVnVKu40sxZu975tgG10E/edit?usp=sharing"",""นครปฐม!Q542"")+IMPORTRANGE(""https://docs.google.com/spreadsheets/d/1OYoGg4WDg5RIzwGeB10padOxJF9E_Vljuvvct_M7RDo/edit?usp=sharing"",""ปทุมธานี!Q542"")+IMPORTRANGE(""https://docs.google.com/spreadsheets/d/1GbCI"&amp;"E4D4wk9FUozzqk7SxfDMxDVBwVmI5zcaVUSzKAc/edit?usp=sharing"",""ประจวบคีรีขันธ์!Q542"")+IMPORTRANGE(""https://docs.google.com/spreadsheets/d/1vVf6wykvW_lAyu7Yo9L4hUTqHqIeP_qcVuxCtosJEbg/edit?usp=sharing"",""ปราจีนบุรี!Q542"")+IMPORTRANGE(""https://docs.googl"&amp;"e.com/spreadsheets/d/1BIDqLLg5jk3v59G8NlR8rk5xfQDKne0sAvZHSj7TI6I/edit?usp=sharing"",""พระนครศรีอยุธยา!Q542"")+IMPORTRANGE(""https://docs.google.com/spreadsheets/d/1YXvxf8Yu6_rV4hTBrwMqAcAnv6DfhUxh5emyM3CJp_w/edit?usp=sharing"",""เพชรบุรี!Q542"")+IMPORTRA"&amp;"NGE(""https://docs.google.com/spreadsheets/d/19KBlQQs7uwvsao6t2n-KvW3Ax8J8uRRfZPq1zPbXgKc/edit?usp=sharing"",""ระยอง!Q542"")+IMPORTRANGE(""https://docs.google.com/spreadsheets/d/1jQ6P4QcrGM89YfqcC_PxOHGCMq5ezhucwJd8ci-NHng/edit?usp=sharing"",""ราชบุรี!Q54"&amp;"2"")+IMPORTRANGE(""https://docs.google.com/spreadsheets/d/1lufeA2cfFqM-elVq2hznhDzC6Pr7wkJ9ZG_sYNGCMCU/edit?usp=sharing"",""ลพบุรี!Q542"")+IMPORTRANGE(""https://docs.google.com/spreadsheets/d/10oOiF7loTyfsTkbd4MpaIm0HQ9SwB7IYHdIUvt-U1Uc/edit?usp=sharing"""&amp;",""สระแก้ว!Q542"")+IMPORTRANGE(""https://docs.google.com/spreadsheets/d/1xmPlrr1QbdSIKvl1dWUl9K4PjAfSL9oeMr_37QVzcxc/edit?usp=sharing"",""สระบุรี!Q542"")+IMPORTRANGE(""https://docs.google.com/spreadsheets/d/1j51vR6CYVGhABJpv6tkstgok82RLpXieLzW1yOY5rHw/edi"&amp;"t?usp=sharing"",""สิงห์บุรี!Q542"")+IMPORTRANGE(""https://docs.google.com/spreadsheets/d/1H1EalTWKUSzO4Z1-1CwzoDUaVffgrThEBe2sl74kKG0/edit?usp=sharing"",""สุพรรณบุรี!Q542"")+IMPORTRANGE(""https://docs.google.com/spreadsheets/d/1BmIruG_sIrJLYao_Pdr7zVArWsf"&amp;"oBt2692TMi6x_854/edit?usp=sharing"",""อ่างทอง!Q542"")"),0)</f>
        <v>0</v>
      </c>
      <c r="R543" s="74">
        <f ca="1">IFERROR(__xludf.DUMMYFUNCTION("IMPORTRANGE(""https://docs.google.com/spreadsheets/d/13wPX838HrBrQMCywv1BsuMkt4PEKTChp52zj44s2izQ/edit?usp=sharing"",""กาญจนบุรี!R542"")+IMPORTRANGE(""https://docs.google.com/spreadsheets/d/1ddFKvqj1W1NEiWytbGlB1zMx_ykJDVtmfEQ-6-lIUBA/edit?usp=sharing"","&amp;"""จันทบุรี!R542"")+IMPORTRANGE(""https://docs.google.com/spreadsheets/d/1T1PQvRODqOBZk8BRht_U031fIS1beLA0Ub2CEytj2q0/edit?usp=sharing"",""ฉะเชิงเทรา!R542"")+IMPORTRANGE(""https://docs.google.com/spreadsheets/d/11tr1B-Bhyr79v2bkwVh5h_fR-PStkgjlZtkrZpYurG0/"&amp;"edit?usp=sharing"",""ชลบุรี!R542"")+IMPORTRANGE(""https://docs.google.com/spreadsheets/d/1hh-FVnSX0vozXhGluamEcS54Dw9_zqW0N7qJUWgJ0Sw/edit?usp=sharing"",""ชัยนาท!R542"")+IMPORTRANGE(""https://docs.google.com/spreadsheets/d/1jkqa6GXxSacMcY1eN8AHjMNJ_7dDXMJ"&amp;"VRLDlaFSOdPM/edit?usp=sharing"",""ตราด!R542"")+IMPORTRANGE(""https://docs.google.com/spreadsheets/d/18hSgUJ3VwClqi_qtULmmW3cLr0oe3OKaSYoKzdpTsYQ/edit?usp=sharing"",""นครนายก!R542"")+IMPORTRANGE(""https://docs.google.com/spreadsheets/d/1YTZo6WM2dQ6Ix6FSdnL"&amp;"5P7uVnVKu40sxZu975tgG10E/edit?usp=sharing"",""นครปฐม!R542"")+IMPORTRANGE(""https://docs.google.com/spreadsheets/d/1OYoGg4WDg5RIzwGeB10padOxJF9E_Vljuvvct_M7RDo/edit?usp=sharing"",""ปทุมธานี!R542"")+IMPORTRANGE(""https://docs.google.com/spreadsheets/d/1GbCI"&amp;"E4D4wk9FUozzqk7SxfDMxDVBwVmI5zcaVUSzKAc/edit?usp=sharing"",""ประจวบคีรีขันธ์!R542"")+IMPORTRANGE(""https://docs.google.com/spreadsheets/d/1vVf6wykvW_lAyu7Yo9L4hUTqHqIeP_qcVuxCtosJEbg/edit?usp=sharing"",""ปราจีนบุรี!R542"")+IMPORTRANGE(""https://docs.googl"&amp;"e.com/spreadsheets/d/1BIDqLLg5jk3v59G8NlR8rk5xfQDKne0sAvZHSj7TI6I/edit?usp=sharing"",""พระนครศรีอยุธยา!R542"")+IMPORTRANGE(""https://docs.google.com/spreadsheets/d/1YXvxf8Yu6_rV4hTBrwMqAcAnv6DfhUxh5emyM3CJp_w/edit?usp=sharing"",""เพชรบุรี!R542"")+IMPORTRA"&amp;"NGE(""https://docs.google.com/spreadsheets/d/19KBlQQs7uwvsao6t2n-KvW3Ax8J8uRRfZPq1zPbXgKc/edit?usp=sharing"",""ระยอง!R542"")+IMPORTRANGE(""https://docs.google.com/spreadsheets/d/1jQ6P4QcrGM89YfqcC_PxOHGCMq5ezhucwJd8ci-NHng/edit?usp=sharing"",""ราชบุรี!R54"&amp;"2"")+IMPORTRANGE(""https://docs.google.com/spreadsheets/d/1lufeA2cfFqM-elVq2hznhDzC6Pr7wkJ9ZG_sYNGCMCU/edit?usp=sharing"",""ลพบุรี!R542"")+IMPORTRANGE(""https://docs.google.com/spreadsheets/d/10oOiF7loTyfsTkbd4MpaIm0HQ9SwB7IYHdIUvt-U1Uc/edit?usp=sharing"""&amp;",""สระแก้ว!R542"")+IMPORTRANGE(""https://docs.google.com/spreadsheets/d/1xmPlrr1QbdSIKvl1dWUl9K4PjAfSL9oeMr_37QVzcxc/edit?usp=sharing"",""สระบุรี!R542"")+IMPORTRANGE(""https://docs.google.com/spreadsheets/d/1j51vR6CYVGhABJpv6tkstgok82RLpXieLzW1yOY5rHw/edi"&amp;"t?usp=sharing"",""สิงห์บุรี!R542"")+IMPORTRANGE(""https://docs.google.com/spreadsheets/d/1H1EalTWKUSzO4Z1-1CwzoDUaVffgrThEBe2sl74kKG0/edit?usp=sharing"",""สุพรรณบุรี!R542"")+IMPORTRANGE(""https://docs.google.com/spreadsheets/d/1BmIruG_sIrJLYao_Pdr7zVArWsf"&amp;"oBt2692TMi6x_854/edit?usp=sharing"",""อ่างทอง!R542"")"),0)</f>
        <v>0</v>
      </c>
      <c r="S543" s="74">
        <f ca="1">IFERROR(__xludf.DUMMYFUNCTION("IMPORTRANGE(""https://docs.google.com/spreadsheets/d/13wPX838HrBrQMCywv1BsuMkt4PEKTChp52zj44s2izQ/edit?usp=sharing"",""กาญจนบุรี!S542"")+IMPORTRANGE(""https://docs.google.com/spreadsheets/d/1ddFKvqj1W1NEiWytbGlB1zMx_ykJDVtmfEQ-6-lIUBA/edit?usp=sharing"","&amp;"""จันทบุรี!S542"")+IMPORTRANGE(""https://docs.google.com/spreadsheets/d/1T1PQvRODqOBZk8BRht_U031fIS1beLA0Ub2CEytj2q0/edit?usp=sharing"",""ฉะเชิงเทรา!S542"")+IMPORTRANGE(""https://docs.google.com/spreadsheets/d/11tr1B-Bhyr79v2bkwVh5h_fR-PStkgjlZtkrZpYurG0/"&amp;"edit?usp=sharing"",""ชลบุรี!S542"")+IMPORTRANGE(""https://docs.google.com/spreadsheets/d/1hh-FVnSX0vozXhGluamEcS54Dw9_zqW0N7qJUWgJ0Sw/edit?usp=sharing"",""ชัยนาท!S542"")+IMPORTRANGE(""https://docs.google.com/spreadsheets/d/1jkqa6GXxSacMcY1eN8AHjMNJ_7dDXMJ"&amp;"VRLDlaFSOdPM/edit?usp=sharing"",""ตราด!S542"")+IMPORTRANGE(""https://docs.google.com/spreadsheets/d/18hSgUJ3VwClqi_qtULmmW3cLr0oe3OKaSYoKzdpTsYQ/edit?usp=sharing"",""นครนายก!S542"")+IMPORTRANGE(""https://docs.google.com/spreadsheets/d/1YTZo6WM2dQ6Ix6FSdnL"&amp;"5P7uVnVKu40sxZu975tgG10E/edit?usp=sharing"",""นครปฐม!S542"")+IMPORTRANGE(""https://docs.google.com/spreadsheets/d/1OYoGg4WDg5RIzwGeB10padOxJF9E_Vljuvvct_M7RDo/edit?usp=sharing"",""ปทุมธานี!S542"")+IMPORTRANGE(""https://docs.google.com/spreadsheets/d/1GbCI"&amp;"E4D4wk9FUozzqk7SxfDMxDVBwVmI5zcaVUSzKAc/edit?usp=sharing"",""ประจวบคีรีขันธ์!S542"")+IMPORTRANGE(""https://docs.google.com/spreadsheets/d/1vVf6wykvW_lAyu7Yo9L4hUTqHqIeP_qcVuxCtosJEbg/edit?usp=sharing"",""ปราจีนบุรี!S542"")+IMPORTRANGE(""https://docs.googl"&amp;"e.com/spreadsheets/d/1BIDqLLg5jk3v59G8NlR8rk5xfQDKne0sAvZHSj7TI6I/edit?usp=sharing"",""พระนครศรีอยุธยา!S542"")+IMPORTRANGE(""https://docs.google.com/spreadsheets/d/1YXvxf8Yu6_rV4hTBrwMqAcAnv6DfhUxh5emyM3CJp_w/edit?usp=sharing"",""เพชรบุรี!S542"")+IMPORTRA"&amp;"NGE(""https://docs.google.com/spreadsheets/d/19KBlQQs7uwvsao6t2n-KvW3Ax8J8uRRfZPq1zPbXgKc/edit?usp=sharing"",""ระยอง!S542"")+IMPORTRANGE(""https://docs.google.com/spreadsheets/d/1jQ6P4QcrGM89YfqcC_PxOHGCMq5ezhucwJd8ci-NHng/edit?usp=sharing"",""ราชบุรี!S54"&amp;"2"")+IMPORTRANGE(""https://docs.google.com/spreadsheets/d/1lufeA2cfFqM-elVq2hznhDzC6Pr7wkJ9ZG_sYNGCMCU/edit?usp=sharing"",""ลพบุรี!S542"")+IMPORTRANGE(""https://docs.google.com/spreadsheets/d/10oOiF7loTyfsTkbd4MpaIm0HQ9SwB7IYHdIUvt-U1Uc/edit?usp=sharing"""&amp;",""สระแก้ว!S542"")+IMPORTRANGE(""https://docs.google.com/spreadsheets/d/1xmPlrr1QbdSIKvl1dWUl9K4PjAfSL9oeMr_37QVzcxc/edit?usp=sharing"",""สระบุรี!S542"")+IMPORTRANGE(""https://docs.google.com/spreadsheets/d/1j51vR6CYVGhABJpv6tkstgok82RLpXieLzW1yOY5rHw/edi"&amp;"t?usp=sharing"",""สิงห์บุรี!S542"")+IMPORTRANGE(""https://docs.google.com/spreadsheets/d/1H1EalTWKUSzO4Z1-1CwzoDUaVffgrThEBe2sl74kKG0/edit?usp=sharing"",""สุพรรณบุรี!S542"")+IMPORTRANGE(""https://docs.google.com/spreadsheets/d/1BmIruG_sIrJLYao_Pdr7zVArWsf"&amp;"oBt2692TMi6x_854/edit?usp=sharing"",""อ่างทอง!S542"")"),0)</f>
        <v>0</v>
      </c>
      <c r="T543" s="132">
        <f t="shared" ca="1" si="374"/>
        <v>0</v>
      </c>
      <c r="U543" s="132">
        <f t="shared" ca="1" si="375"/>
        <v>0</v>
      </c>
    </row>
    <row r="544" spans="1:21" ht="19.5" hidden="1" x14ac:dyDescent="0.3">
      <c r="A544" s="276"/>
      <c r="B544" s="277"/>
      <c r="C544" s="689" t="s">
        <v>18</v>
      </c>
      <c r="D544" s="279" t="s">
        <v>38</v>
      </c>
      <c r="E544" s="280"/>
      <c r="F544" s="280"/>
      <c r="G544" s="281"/>
      <c r="H544" s="282"/>
      <c r="I544" s="272"/>
      <c r="J544" s="263"/>
      <c r="K544" s="87"/>
      <c r="L544" s="87"/>
      <c r="M544" s="87"/>
      <c r="N544" s="87"/>
      <c r="O544" s="229"/>
      <c r="P544" s="229"/>
      <c r="Q544" s="86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6"/>
      <c r="M545" s="596"/>
      <c r="N545" s="596"/>
      <c r="O545" s="596"/>
      <c r="P545" s="596"/>
      <c r="Q545" s="597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6"/>
      <c r="M546" s="596"/>
      <c r="N546" s="596"/>
      <c r="O546" s="596"/>
      <c r="P546" s="596"/>
      <c r="Q546" s="597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6"/>
      <c r="M547" s="596"/>
      <c r="N547" s="596"/>
      <c r="O547" s="596"/>
      <c r="P547" s="596"/>
      <c r="Q547" s="597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6"/>
      <c r="M548" s="596"/>
      <c r="N548" s="596"/>
      <c r="O548" s="596"/>
      <c r="P548" s="596"/>
      <c r="Q548" s="597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6"/>
      <c r="M549" s="596"/>
      <c r="N549" s="596"/>
      <c r="O549" s="596"/>
      <c r="P549" s="596"/>
      <c r="Q549" s="597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6"/>
      <c r="M550" s="596"/>
      <c r="N550" s="596"/>
      <c r="O550" s="596"/>
      <c r="P550" s="596"/>
      <c r="Q550" s="597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6"/>
      <c r="M551" s="596"/>
      <c r="N551" s="596"/>
      <c r="O551" s="596"/>
      <c r="P551" s="596"/>
      <c r="Q551" s="597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6"/>
      <c r="M552" s="596"/>
      <c r="N552" s="596"/>
      <c r="O552" s="596"/>
      <c r="P552" s="596"/>
      <c r="Q552" s="597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6"/>
      <c r="M553" s="596"/>
      <c r="N553" s="596"/>
      <c r="O553" s="596"/>
      <c r="P553" s="596"/>
      <c r="Q553" s="597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1"/>
      <c r="M554" s="601"/>
      <c r="N554" s="601"/>
      <c r="O554" s="601"/>
      <c r="P554" s="601"/>
      <c r="Q554" s="602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687">
        <f t="shared" ref="I555:J555" si="384">I567</f>
        <v>0</v>
      </c>
      <c r="J555" s="687">
        <f t="shared" si="384"/>
        <v>0</v>
      </c>
      <c r="K555" s="688">
        <f>IF(I555&gt;0,J555*100/I555,0)</f>
        <v>0</v>
      </c>
      <c r="L555" s="664"/>
      <c r="M555" s="664"/>
      <c r="N555" s="664"/>
      <c r="O555" s="664"/>
      <c r="P555" s="664"/>
      <c r="Q555" s="663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264">
        <f t="shared" ref="L556:N556" ca="1" si="385">L557+L558</f>
        <v>0</v>
      </c>
      <c r="M556" s="264">
        <f t="shared" ca="1" si="385"/>
        <v>0</v>
      </c>
      <c r="N556" s="264">
        <f t="shared" ca="1" si="385"/>
        <v>0</v>
      </c>
      <c r="O556" s="264">
        <f t="shared" ref="O556:O564" ca="1" si="386">IF(L556&gt;0,N556*100/L556,0)</f>
        <v>0</v>
      </c>
      <c r="P556" s="264">
        <f t="shared" ref="P556:P564" ca="1" si="387">IF(M556&gt;0,N556*100/M556,0)</f>
        <v>0</v>
      </c>
      <c r="Q556" s="214">
        <f t="shared" ref="Q556:S556" ca="1" si="388">Q557+Q558</f>
        <v>0</v>
      </c>
      <c r="R556" s="215">
        <f t="shared" ca="1" si="388"/>
        <v>0</v>
      </c>
      <c r="S556" s="215">
        <f t="shared" ca="1" si="388"/>
        <v>0</v>
      </c>
      <c r="T556" s="215">
        <f t="shared" ref="T556:T564" ca="1" si="389">IF(Q556&gt;0,S556*100/Q556,0)</f>
        <v>0</v>
      </c>
      <c r="U556" s="215">
        <f t="shared" ref="U556:U564" ca="1" si="390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7">
        <f t="shared" ref="L557:N557" ca="1" si="391">L560+L563</f>
        <v>0</v>
      </c>
      <c r="M557" s="77">
        <f t="shared" ca="1" si="391"/>
        <v>0</v>
      </c>
      <c r="N557" s="77">
        <f t="shared" ca="1" si="391"/>
        <v>0</v>
      </c>
      <c r="O557" s="77">
        <f t="shared" ca="1" si="386"/>
        <v>0</v>
      </c>
      <c r="P557" s="77">
        <f t="shared" ca="1" si="387"/>
        <v>0</v>
      </c>
      <c r="Q557" s="217">
        <f t="shared" ref="Q557:S557" ca="1" si="392">Q560+Q563</f>
        <v>0</v>
      </c>
      <c r="R557" s="133">
        <f t="shared" ca="1" si="392"/>
        <v>0</v>
      </c>
      <c r="S557" s="133">
        <f t="shared" ca="1" si="392"/>
        <v>0</v>
      </c>
      <c r="T557" s="133">
        <f t="shared" ca="1" si="389"/>
        <v>0</v>
      </c>
      <c r="U557" s="133">
        <f t="shared" ca="1" si="390"/>
        <v>0</v>
      </c>
    </row>
    <row r="558" spans="1:21" ht="18.75" hidden="1" x14ac:dyDescent="0.25">
      <c r="A558" s="257"/>
      <c r="B558" s="258"/>
      <c r="C558" s="269"/>
      <c r="D558" s="258"/>
      <c r="E558" s="589" t="s">
        <v>21</v>
      </c>
      <c r="F558" s="258"/>
      <c r="G558" s="261"/>
      <c r="H558" s="268" t="s">
        <v>14</v>
      </c>
      <c r="I558" s="263"/>
      <c r="J558" s="263"/>
      <c r="K558" s="87"/>
      <c r="L558" s="74">
        <f t="shared" ref="L558:N558" ca="1" si="393">L561+L564</f>
        <v>0</v>
      </c>
      <c r="M558" s="74">
        <f t="shared" ca="1" si="393"/>
        <v>0</v>
      </c>
      <c r="N558" s="74">
        <f t="shared" ca="1" si="393"/>
        <v>0</v>
      </c>
      <c r="O558" s="74">
        <f t="shared" ca="1" si="386"/>
        <v>0</v>
      </c>
      <c r="P558" s="74">
        <f t="shared" ca="1" si="387"/>
        <v>0</v>
      </c>
      <c r="Q558" s="131">
        <f t="shared" ref="Q558:S558" ca="1" si="394">Q561+Q564</f>
        <v>0</v>
      </c>
      <c r="R558" s="132">
        <f t="shared" ca="1" si="394"/>
        <v>0</v>
      </c>
      <c r="S558" s="132">
        <f t="shared" ca="1" si="394"/>
        <v>0</v>
      </c>
      <c r="T558" s="132">
        <f t="shared" ca="1" si="389"/>
        <v>0</v>
      </c>
      <c r="U558" s="132">
        <f t="shared" ca="1" si="390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4">
        <f t="shared" ref="L559:N559" ca="1" si="395">L560+L561</f>
        <v>0</v>
      </c>
      <c r="M559" s="74">
        <f t="shared" ca="1" si="395"/>
        <v>0</v>
      </c>
      <c r="N559" s="74">
        <f t="shared" ca="1" si="395"/>
        <v>0</v>
      </c>
      <c r="O559" s="74">
        <f t="shared" ca="1" si="386"/>
        <v>0</v>
      </c>
      <c r="P559" s="74">
        <f t="shared" ca="1" si="387"/>
        <v>0</v>
      </c>
      <c r="Q559" s="131">
        <f t="shared" ref="Q559:S559" ca="1" si="396">Q560+Q561</f>
        <v>0</v>
      </c>
      <c r="R559" s="132">
        <f t="shared" ca="1" si="396"/>
        <v>0</v>
      </c>
      <c r="S559" s="132">
        <f t="shared" ca="1" si="396"/>
        <v>0</v>
      </c>
      <c r="T559" s="132">
        <f t="shared" ca="1" si="389"/>
        <v>0</v>
      </c>
      <c r="U559" s="132">
        <f t="shared" ca="1" si="390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7">
        <f ca="1">IFERROR(__xludf.DUMMYFUNCTION("IMPORTRANGE(""https://docs.google.com/spreadsheets/d/13wPX838HrBrQMCywv1BsuMkt4PEKTChp52zj44s2izQ/edit?usp=sharing"",""กาญจนบุรี!L559"")+IMPORTRANGE(""https://docs.google.com/spreadsheets/d/1ddFKvqj1W1NEiWytbGlB1zMx_ykJDVtmfEQ-6-lIUBA/edit?usp=sharing"","&amp;"""จันทบุรี!L559"")+IMPORTRANGE(""https://docs.google.com/spreadsheets/d/1T1PQvRODqOBZk8BRht_U031fIS1beLA0Ub2CEytj2q0/edit?usp=sharing"",""ฉะเชิงเทรา!L559"")+IMPORTRANGE(""https://docs.google.com/spreadsheets/d/11tr1B-Bhyr79v2bkwVh5h_fR-PStkgjlZtkrZpYurG0/"&amp;"edit?usp=sharing"",""ชลบุรี!L559"")+IMPORTRANGE(""https://docs.google.com/spreadsheets/d/1hh-FVnSX0vozXhGluamEcS54Dw9_zqW0N7qJUWgJ0Sw/edit?usp=sharing"",""ชัยนาท!L559"")+IMPORTRANGE(""https://docs.google.com/spreadsheets/d/1jkqa6GXxSacMcY1eN8AHjMNJ_7dDXMJ"&amp;"VRLDlaFSOdPM/edit?usp=sharing"",""ตราด!L559"")+IMPORTRANGE(""https://docs.google.com/spreadsheets/d/18hSgUJ3VwClqi_qtULmmW3cLr0oe3OKaSYoKzdpTsYQ/edit?usp=sharing"",""นครนายก!L559"")+IMPORTRANGE(""https://docs.google.com/spreadsheets/d/1YTZo6WM2dQ6Ix6FSdnL"&amp;"5P7uVnVKu40sxZu975tgG10E/edit?usp=sharing"",""นครปฐม!L559"")+IMPORTRANGE(""https://docs.google.com/spreadsheets/d/1OYoGg4WDg5RIzwGeB10padOxJF9E_Vljuvvct_M7RDo/edit?usp=sharing"",""ปทุมธานี!L559"")+IMPORTRANGE(""https://docs.google.com/spreadsheets/d/1GbCI"&amp;"E4D4wk9FUozzqk7SxfDMxDVBwVmI5zcaVUSzKAc/edit?usp=sharing"",""ประจวบคีรีขันธ์!L559"")+IMPORTRANGE(""https://docs.google.com/spreadsheets/d/1vVf6wykvW_lAyu7Yo9L4hUTqHqIeP_qcVuxCtosJEbg/edit?usp=sharing"",""ปราจีนบุรี!L559"")+IMPORTRANGE(""https://docs.googl"&amp;"e.com/spreadsheets/d/1BIDqLLg5jk3v59G8NlR8rk5xfQDKne0sAvZHSj7TI6I/edit?usp=sharing"",""พระนครศรีอยุธยา!L559"")+IMPORTRANGE(""https://docs.google.com/spreadsheets/d/1YXvxf8Yu6_rV4hTBrwMqAcAnv6DfhUxh5emyM3CJp_w/edit?usp=sharing"",""เพชรบุรี!L559"")+IMPORTRA"&amp;"NGE(""https://docs.google.com/spreadsheets/d/19KBlQQs7uwvsao6t2n-KvW3Ax8J8uRRfZPq1zPbXgKc/edit?usp=sharing"",""ระยอง!L559"")+IMPORTRANGE(""https://docs.google.com/spreadsheets/d/1jQ6P4QcrGM89YfqcC_PxOHGCMq5ezhucwJd8ci-NHng/edit?usp=sharing"",""ราชบุรี!L55"&amp;"9"")+IMPORTRANGE(""https://docs.google.com/spreadsheets/d/1lufeA2cfFqM-elVq2hznhDzC6Pr7wkJ9ZG_sYNGCMCU/edit?usp=sharing"",""ลพบุรี!L559"")+IMPORTRANGE(""https://docs.google.com/spreadsheets/d/10oOiF7loTyfsTkbd4MpaIm0HQ9SwB7IYHdIUvt-U1Uc/edit?usp=sharing"""&amp;",""สระแก้ว!L559"")+IMPORTRANGE(""https://docs.google.com/spreadsheets/d/1xmPlrr1QbdSIKvl1dWUl9K4PjAfSL9oeMr_37QVzcxc/edit?usp=sharing"",""สระบุรี!L559"")+IMPORTRANGE(""https://docs.google.com/spreadsheets/d/1j51vR6CYVGhABJpv6tkstgok82RLpXieLzW1yOY5rHw/edi"&amp;"t?usp=sharing"",""สิงห์บุรี!L559"")+IMPORTRANGE(""https://docs.google.com/spreadsheets/d/1H1EalTWKUSzO4Z1-1CwzoDUaVffgrThEBe2sl74kKG0/edit?usp=sharing"",""สุพรรณบุรี!L559"")+IMPORTRANGE(""https://docs.google.com/spreadsheets/d/1BmIruG_sIrJLYao_Pdr7zVArWsf"&amp;"oBt2692TMi6x_854/edit?usp=sharing"",""อ่างทอง!L559"")"),0)</f>
        <v>0</v>
      </c>
      <c r="M560" s="77">
        <f ca="1">IFERROR(__xludf.DUMMYFUNCTION("IMPORTRANGE(""https://docs.google.com/spreadsheets/d/13wPX838HrBrQMCywv1BsuMkt4PEKTChp52zj44s2izQ/edit?usp=sharing"",""กาญจนบุรี!M559"")+IMPORTRANGE(""https://docs.google.com/spreadsheets/d/1ddFKvqj1W1NEiWytbGlB1zMx_ykJDVtmfEQ-6-lIUBA/edit?usp=sharing"","&amp;"""จันทบุรี!M559"")+IMPORTRANGE(""https://docs.google.com/spreadsheets/d/1T1PQvRODqOBZk8BRht_U031fIS1beLA0Ub2CEytj2q0/edit?usp=sharing"",""ฉะเชิงเทรา!M559"")+IMPORTRANGE(""https://docs.google.com/spreadsheets/d/11tr1B-Bhyr79v2bkwVh5h_fR-PStkgjlZtkrZpYurG0/"&amp;"edit?usp=sharing"",""ชลบุรี!M559"")+IMPORTRANGE(""https://docs.google.com/spreadsheets/d/1hh-FVnSX0vozXhGluamEcS54Dw9_zqW0N7qJUWgJ0Sw/edit?usp=sharing"",""ชัยนาท!M559"")+IMPORTRANGE(""https://docs.google.com/spreadsheets/d/1jkqa6GXxSacMcY1eN8AHjMNJ_7dDXMJ"&amp;"VRLDlaFSOdPM/edit?usp=sharing"",""ตราด!M559"")+IMPORTRANGE(""https://docs.google.com/spreadsheets/d/18hSgUJ3VwClqi_qtULmmW3cLr0oe3OKaSYoKzdpTsYQ/edit?usp=sharing"",""นครนายก!M559"")+IMPORTRANGE(""https://docs.google.com/spreadsheets/d/1YTZo6WM2dQ6Ix6FSdnL"&amp;"5P7uVnVKu40sxZu975tgG10E/edit?usp=sharing"",""นครปฐม!M559"")+IMPORTRANGE(""https://docs.google.com/spreadsheets/d/1OYoGg4WDg5RIzwGeB10padOxJF9E_Vljuvvct_M7RDo/edit?usp=sharing"",""ปทุมธานี!M559"")+IMPORTRANGE(""https://docs.google.com/spreadsheets/d/1GbCI"&amp;"E4D4wk9FUozzqk7SxfDMxDVBwVmI5zcaVUSzKAc/edit?usp=sharing"",""ประจวบคีรีขันธ์!M559"")+IMPORTRANGE(""https://docs.google.com/spreadsheets/d/1vVf6wykvW_lAyu7Yo9L4hUTqHqIeP_qcVuxCtosJEbg/edit?usp=sharing"",""ปราจีนบุรี!M559"")+IMPORTRANGE(""https://docs.googl"&amp;"e.com/spreadsheets/d/1BIDqLLg5jk3v59G8NlR8rk5xfQDKne0sAvZHSj7TI6I/edit?usp=sharing"",""พระนครศรีอยุธยา!M559"")+IMPORTRANGE(""https://docs.google.com/spreadsheets/d/1YXvxf8Yu6_rV4hTBrwMqAcAnv6DfhUxh5emyM3CJp_w/edit?usp=sharing"",""เพชรบุรี!M559"")+IMPORTRA"&amp;"NGE(""https://docs.google.com/spreadsheets/d/19KBlQQs7uwvsao6t2n-KvW3Ax8J8uRRfZPq1zPbXgKc/edit?usp=sharing"",""ระยอง!M559"")+IMPORTRANGE(""https://docs.google.com/spreadsheets/d/1jQ6P4QcrGM89YfqcC_PxOHGCMq5ezhucwJd8ci-NHng/edit?usp=sharing"",""ราชบุรี!M55"&amp;"9"")+IMPORTRANGE(""https://docs.google.com/spreadsheets/d/1lufeA2cfFqM-elVq2hznhDzC6Pr7wkJ9ZG_sYNGCMCU/edit?usp=sharing"",""ลพบุรี!M559"")+IMPORTRANGE(""https://docs.google.com/spreadsheets/d/10oOiF7loTyfsTkbd4MpaIm0HQ9SwB7IYHdIUvt-U1Uc/edit?usp=sharing"""&amp;",""สระแก้ว!M559"")+IMPORTRANGE(""https://docs.google.com/spreadsheets/d/1xmPlrr1QbdSIKvl1dWUl9K4PjAfSL9oeMr_37QVzcxc/edit?usp=sharing"",""สระบุรี!M559"")+IMPORTRANGE(""https://docs.google.com/spreadsheets/d/1j51vR6CYVGhABJpv6tkstgok82RLpXieLzW1yOY5rHw/edi"&amp;"t?usp=sharing"",""สิงห์บุรี!M559"")+IMPORTRANGE(""https://docs.google.com/spreadsheets/d/1H1EalTWKUSzO4Z1-1CwzoDUaVffgrThEBe2sl74kKG0/edit?usp=sharing"",""สุพรรณบุรี!M559"")+IMPORTRANGE(""https://docs.google.com/spreadsheets/d/1BmIruG_sIrJLYao_Pdr7zVArWsf"&amp;"oBt2692TMi6x_854/edit?usp=sharing"",""อ่างทอง!M559"")"),0)</f>
        <v>0</v>
      </c>
      <c r="N560" s="77">
        <f ca="1">IFERROR(__xludf.DUMMYFUNCTION("IMPORTRANGE(""https://docs.google.com/spreadsheets/d/13wPX838HrBrQMCywv1BsuMkt4PEKTChp52zj44s2izQ/edit?usp=sharing"",""กาญจนบุรี!N559"")+IMPORTRANGE(""https://docs.google.com/spreadsheets/d/1ddFKvqj1W1NEiWytbGlB1zMx_ykJDVtmfEQ-6-lIUBA/edit?usp=sharing"","&amp;"""จันทบุรี!N559"")+IMPORTRANGE(""https://docs.google.com/spreadsheets/d/1T1PQvRODqOBZk8BRht_U031fIS1beLA0Ub2CEytj2q0/edit?usp=sharing"",""ฉะเชิงเทรา!N559"")+IMPORTRANGE(""https://docs.google.com/spreadsheets/d/11tr1B-Bhyr79v2bkwVh5h_fR-PStkgjlZtkrZpYurG0/"&amp;"edit?usp=sharing"",""ชลบุรี!N559"")+IMPORTRANGE(""https://docs.google.com/spreadsheets/d/1hh-FVnSX0vozXhGluamEcS54Dw9_zqW0N7qJUWgJ0Sw/edit?usp=sharing"",""ชัยนาท!N559"")+IMPORTRANGE(""https://docs.google.com/spreadsheets/d/1jkqa6GXxSacMcY1eN8AHjMNJ_7dDXMJ"&amp;"VRLDlaFSOdPM/edit?usp=sharing"",""ตราด!N559"")+IMPORTRANGE(""https://docs.google.com/spreadsheets/d/18hSgUJ3VwClqi_qtULmmW3cLr0oe3OKaSYoKzdpTsYQ/edit?usp=sharing"",""นครนายก!N559"")+IMPORTRANGE(""https://docs.google.com/spreadsheets/d/1YTZo6WM2dQ6Ix6FSdnL"&amp;"5P7uVnVKu40sxZu975tgG10E/edit?usp=sharing"",""นครปฐม!N559"")+IMPORTRANGE(""https://docs.google.com/spreadsheets/d/1OYoGg4WDg5RIzwGeB10padOxJF9E_Vljuvvct_M7RDo/edit?usp=sharing"",""ปทุมธานี!N559"")+IMPORTRANGE(""https://docs.google.com/spreadsheets/d/1GbCI"&amp;"E4D4wk9FUozzqk7SxfDMxDVBwVmI5zcaVUSzKAc/edit?usp=sharing"",""ประจวบคีรีขันธ์!N559"")+IMPORTRANGE(""https://docs.google.com/spreadsheets/d/1vVf6wykvW_lAyu7Yo9L4hUTqHqIeP_qcVuxCtosJEbg/edit?usp=sharing"",""ปราจีนบุรี!N559"")+IMPORTRANGE(""https://docs.googl"&amp;"e.com/spreadsheets/d/1BIDqLLg5jk3v59G8NlR8rk5xfQDKne0sAvZHSj7TI6I/edit?usp=sharing"",""พระนครศรีอยุธยา!N559"")+IMPORTRANGE(""https://docs.google.com/spreadsheets/d/1YXvxf8Yu6_rV4hTBrwMqAcAnv6DfhUxh5emyM3CJp_w/edit?usp=sharing"",""เพชรบุรี!N559"")+IMPORTRA"&amp;"NGE(""https://docs.google.com/spreadsheets/d/19KBlQQs7uwvsao6t2n-KvW3Ax8J8uRRfZPq1zPbXgKc/edit?usp=sharing"",""ระยอง!N559"")+IMPORTRANGE(""https://docs.google.com/spreadsheets/d/1jQ6P4QcrGM89YfqcC_PxOHGCMq5ezhucwJd8ci-NHng/edit?usp=sharing"",""ราชบุรี!N55"&amp;"9"")+IMPORTRANGE(""https://docs.google.com/spreadsheets/d/1lufeA2cfFqM-elVq2hznhDzC6Pr7wkJ9ZG_sYNGCMCU/edit?usp=sharing"",""ลพบุรี!N559"")+IMPORTRANGE(""https://docs.google.com/spreadsheets/d/10oOiF7loTyfsTkbd4MpaIm0HQ9SwB7IYHdIUvt-U1Uc/edit?usp=sharing"""&amp;",""สระแก้ว!N559"")+IMPORTRANGE(""https://docs.google.com/spreadsheets/d/1xmPlrr1QbdSIKvl1dWUl9K4PjAfSL9oeMr_37QVzcxc/edit?usp=sharing"",""สระบุรี!N559"")+IMPORTRANGE(""https://docs.google.com/spreadsheets/d/1j51vR6CYVGhABJpv6tkstgok82RLpXieLzW1yOY5rHw/edi"&amp;"t?usp=sharing"",""สิงห์บุรี!N559"")+IMPORTRANGE(""https://docs.google.com/spreadsheets/d/1H1EalTWKUSzO4Z1-1CwzoDUaVffgrThEBe2sl74kKG0/edit?usp=sharing"",""สุพรรณบุรี!N559"")+IMPORTRANGE(""https://docs.google.com/spreadsheets/d/1BmIruG_sIrJLYao_Pdr7zVArWsf"&amp;"oBt2692TMi6x_854/edit?usp=sharing"",""อ่างทอง!N559"")"),0)</f>
        <v>0</v>
      </c>
      <c r="O560" s="77">
        <f t="shared" ca="1" si="386"/>
        <v>0</v>
      </c>
      <c r="P560" s="77">
        <f t="shared" ca="1" si="387"/>
        <v>0</v>
      </c>
      <c r="Q560" s="76">
        <f ca="1">IFERROR(__xludf.DUMMYFUNCTION("IMPORTRANGE(""https://docs.google.com/spreadsheets/d/13wPX838HrBrQMCywv1BsuMkt4PEKTChp52zj44s2izQ/edit?usp=sharing"",""กาญจนบุรี!Q559"")+IMPORTRANGE(""https://docs.google.com/spreadsheets/d/1ddFKvqj1W1NEiWytbGlB1zMx_ykJDVtmfEQ-6-lIUBA/edit?usp=sharing"","&amp;"""จันทบุรี!Q559"")+IMPORTRANGE(""https://docs.google.com/spreadsheets/d/1T1PQvRODqOBZk8BRht_U031fIS1beLA0Ub2CEytj2q0/edit?usp=sharing"",""ฉะเชิงเทรา!Q559"")+IMPORTRANGE(""https://docs.google.com/spreadsheets/d/11tr1B-Bhyr79v2bkwVh5h_fR-PStkgjlZtkrZpYurG0/"&amp;"edit?usp=sharing"",""ชลบุรี!Q559"")+IMPORTRANGE(""https://docs.google.com/spreadsheets/d/1hh-FVnSX0vozXhGluamEcS54Dw9_zqW0N7qJUWgJ0Sw/edit?usp=sharing"",""ชัยนาท!Q559"")+IMPORTRANGE(""https://docs.google.com/spreadsheets/d/1jkqa6GXxSacMcY1eN8AHjMNJ_7dDXMJ"&amp;"VRLDlaFSOdPM/edit?usp=sharing"",""ตราด!Q559"")+IMPORTRANGE(""https://docs.google.com/spreadsheets/d/18hSgUJ3VwClqi_qtULmmW3cLr0oe3OKaSYoKzdpTsYQ/edit?usp=sharing"",""นครนายก!Q559"")+IMPORTRANGE(""https://docs.google.com/spreadsheets/d/1YTZo6WM2dQ6Ix6FSdnL"&amp;"5P7uVnVKu40sxZu975tgG10E/edit?usp=sharing"",""นครปฐม!Q559"")+IMPORTRANGE(""https://docs.google.com/spreadsheets/d/1OYoGg4WDg5RIzwGeB10padOxJF9E_Vljuvvct_M7RDo/edit?usp=sharing"",""ปทุมธานี!Q559"")+IMPORTRANGE(""https://docs.google.com/spreadsheets/d/1GbCI"&amp;"E4D4wk9FUozzqk7SxfDMxDVBwVmI5zcaVUSzKAc/edit?usp=sharing"",""ประจวบคีรีขันธ์!Q559"")+IMPORTRANGE(""https://docs.google.com/spreadsheets/d/1vVf6wykvW_lAyu7Yo9L4hUTqHqIeP_qcVuxCtosJEbg/edit?usp=sharing"",""ปราจีนบุรี!Q559"")+IMPORTRANGE(""https://docs.googl"&amp;"e.com/spreadsheets/d/1BIDqLLg5jk3v59G8NlR8rk5xfQDKne0sAvZHSj7TI6I/edit?usp=sharing"",""พระนครศรีอยุธยา!Q559"")+IMPORTRANGE(""https://docs.google.com/spreadsheets/d/1YXvxf8Yu6_rV4hTBrwMqAcAnv6DfhUxh5emyM3CJp_w/edit?usp=sharing"",""เพชรบุรี!Q559"")+IMPORTRA"&amp;"NGE(""https://docs.google.com/spreadsheets/d/19KBlQQs7uwvsao6t2n-KvW3Ax8J8uRRfZPq1zPbXgKc/edit?usp=sharing"",""ระยอง!Q559"")+IMPORTRANGE(""https://docs.google.com/spreadsheets/d/1jQ6P4QcrGM89YfqcC_PxOHGCMq5ezhucwJd8ci-NHng/edit?usp=sharing"",""ราชบุรี!Q55"&amp;"9"")+IMPORTRANGE(""https://docs.google.com/spreadsheets/d/1lufeA2cfFqM-elVq2hznhDzC6Pr7wkJ9ZG_sYNGCMCU/edit?usp=sharing"",""ลพบุรี!Q559"")+IMPORTRANGE(""https://docs.google.com/spreadsheets/d/10oOiF7loTyfsTkbd4MpaIm0HQ9SwB7IYHdIUvt-U1Uc/edit?usp=sharing"""&amp;",""สระแก้ว!Q559"")+IMPORTRANGE(""https://docs.google.com/spreadsheets/d/1xmPlrr1QbdSIKvl1dWUl9K4PjAfSL9oeMr_37QVzcxc/edit?usp=sharing"",""สระบุรี!Q559"")+IMPORTRANGE(""https://docs.google.com/spreadsheets/d/1j51vR6CYVGhABJpv6tkstgok82RLpXieLzW1yOY5rHw/edi"&amp;"t?usp=sharing"",""สิงห์บุรี!Q559"")+IMPORTRANGE(""https://docs.google.com/spreadsheets/d/1H1EalTWKUSzO4Z1-1CwzoDUaVffgrThEBe2sl74kKG0/edit?usp=sharing"",""สุพรรณบุรี!Q559"")+IMPORTRANGE(""https://docs.google.com/spreadsheets/d/1BmIruG_sIrJLYao_Pdr7zVArWsf"&amp;"oBt2692TMi6x_854/edit?usp=sharing"",""อ่างทอง!Q559"")"),0)</f>
        <v>0</v>
      </c>
      <c r="R560" s="77">
        <f ca="1">IFERROR(__xludf.DUMMYFUNCTION("IMPORTRANGE(""https://docs.google.com/spreadsheets/d/13wPX838HrBrQMCywv1BsuMkt4PEKTChp52zj44s2izQ/edit?usp=sharing"",""กาญจนบุรี!R559"")+IMPORTRANGE(""https://docs.google.com/spreadsheets/d/1ddFKvqj1W1NEiWytbGlB1zMx_ykJDVtmfEQ-6-lIUBA/edit?usp=sharing"","&amp;"""จันทบุรี!R559"")+IMPORTRANGE(""https://docs.google.com/spreadsheets/d/1T1PQvRODqOBZk8BRht_U031fIS1beLA0Ub2CEytj2q0/edit?usp=sharing"",""ฉะเชิงเทรา!R559"")+IMPORTRANGE(""https://docs.google.com/spreadsheets/d/11tr1B-Bhyr79v2bkwVh5h_fR-PStkgjlZtkrZpYurG0/"&amp;"edit?usp=sharing"",""ชลบุรี!R559"")+IMPORTRANGE(""https://docs.google.com/spreadsheets/d/1hh-FVnSX0vozXhGluamEcS54Dw9_zqW0N7qJUWgJ0Sw/edit?usp=sharing"",""ชัยนาท!R559"")+IMPORTRANGE(""https://docs.google.com/spreadsheets/d/1jkqa6GXxSacMcY1eN8AHjMNJ_7dDXMJ"&amp;"VRLDlaFSOdPM/edit?usp=sharing"",""ตราด!R559"")+IMPORTRANGE(""https://docs.google.com/spreadsheets/d/18hSgUJ3VwClqi_qtULmmW3cLr0oe3OKaSYoKzdpTsYQ/edit?usp=sharing"",""นครนายก!R559"")+IMPORTRANGE(""https://docs.google.com/spreadsheets/d/1YTZo6WM2dQ6Ix6FSdnL"&amp;"5P7uVnVKu40sxZu975tgG10E/edit?usp=sharing"",""นครปฐม!R559"")+IMPORTRANGE(""https://docs.google.com/spreadsheets/d/1OYoGg4WDg5RIzwGeB10padOxJF9E_Vljuvvct_M7RDo/edit?usp=sharing"",""ปทุมธานี!R559"")+IMPORTRANGE(""https://docs.google.com/spreadsheets/d/1GbCI"&amp;"E4D4wk9FUozzqk7SxfDMxDVBwVmI5zcaVUSzKAc/edit?usp=sharing"",""ประจวบคีรีขันธ์!R559"")+IMPORTRANGE(""https://docs.google.com/spreadsheets/d/1vVf6wykvW_lAyu7Yo9L4hUTqHqIeP_qcVuxCtosJEbg/edit?usp=sharing"",""ปราจีนบุรี!R559"")+IMPORTRANGE(""https://docs.googl"&amp;"e.com/spreadsheets/d/1BIDqLLg5jk3v59G8NlR8rk5xfQDKne0sAvZHSj7TI6I/edit?usp=sharing"",""พระนครศรีอยุธยา!R559"")+IMPORTRANGE(""https://docs.google.com/spreadsheets/d/1YXvxf8Yu6_rV4hTBrwMqAcAnv6DfhUxh5emyM3CJp_w/edit?usp=sharing"",""เพชรบุรี!R559"")+IMPORTRA"&amp;"NGE(""https://docs.google.com/spreadsheets/d/19KBlQQs7uwvsao6t2n-KvW3Ax8J8uRRfZPq1zPbXgKc/edit?usp=sharing"",""ระยอง!R559"")+IMPORTRANGE(""https://docs.google.com/spreadsheets/d/1jQ6P4QcrGM89YfqcC_PxOHGCMq5ezhucwJd8ci-NHng/edit?usp=sharing"",""ราชบุรี!R55"&amp;"9"")+IMPORTRANGE(""https://docs.google.com/spreadsheets/d/1lufeA2cfFqM-elVq2hznhDzC6Pr7wkJ9ZG_sYNGCMCU/edit?usp=sharing"",""ลพบุรี!R559"")+IMPORTRANGE(""https://docs.google.com/spreadsheets/d/10oOiF7loTyfsTkbd4MpaIm0HQ9SwB7IYHdIUvt-U1Uc/edit?usp=sharing"""&amp;",""สระแก้ว!R559"")+IMPORTRANGE(""https://docs.google.com/spreadsheets/d/1xmPlrr1QbdSIKvl1dWUl9K4PjAfSL9oeMr_37QVzcxc/edit?usp=sharing"",""สระบุรี!R559"")+IMPORTRANGE(""https://docs.google.com/spreadsheets/d/1j51vR6CYVGhABJpv6tkstgok82RLpXieLzW1yOY5rHw/edi"&amp;"t?usp=sharing"",""สิงห์บุรี!R559"")+IMPORTRANGE(""https://docs.google.com/spreadsheets/d/1H1EalTWKUSzO4Z1-1CwzoDUaVffgrThEBe2sl74kKG0/edit?usp=sharing"",""สุพรรณบุรี!R559"")+IMPORTRANGE(""https://docs.google.com/spreadsheets/d/1BmIruG_sIrJLYao_Pdr7zVArWsf"&amp;"oBt2692TMi6x_854/edit?usp=sharing"",""อ่างทอง!R559"")"),0)</f>
        <v>0</v>
      </c>
      <c r="S560" s="77">
        <f ca="1">IFERROR(__xludf.DUMMYFUNCTION("IMPORTRANGE(""https://docs.google.com/spreadsheets/d/13wPX838HrBrQMCywv1BsuMkt4PEKTChp52zj44s2izQ/edit?usp=sharing"",""กาญจนบุรี!S559"")+IMPORTRANGE(""https://docs.google.com/spreadsheets/d/1ddFKvqj1W1NEiWytbGlB1zMx_ykJDVtmfEQ-6-lIUBA/edit?usp=sharing"","&amp;"""จันทบุรี!S559"")+IMPORTRANGE(""https://docs.google.com/spreadsheets/d/1T1PQvRODqOBZk8BRht_U031fIS1beLA0Ub2CEytj2q0/edit?usp=sharing"",""ฉะเชิงเทรา!S559"")+IMPORTRANGE(""https://docs.google.com/spreadsheets/d/11tr1B-Bhyr79v2bkwVh5h_fR-PStkgjlZtkrZpYurG0/"&amp;"edit?usp=sharing"",""ชลบุรี!S559"")+IMPORTRANGE(""https://docs.google.com/spreadsheets/d/1hh-FVnSX0vozXhGluamEcS54Dw9_zqW0N7qJUWgJ0Sw/edit?usp=sharing"",""ชัยนาท!S559"")+IMPORTRANGE(""https://docs.google.com/spreadsheets/d/1jkqa6GXxSacMcY1eN8AHjMNJ_7dDXMJ"&amp;"VRLDlaFSOdPM/edit?usp=sharing"",""ตราด!S559"")+IMPORTRANGE(""https://docs.google.com/spreadsheets/d/18hSgUJ3VwClqi_qtULmmW3cLr0oe3OKaSYoKzdpTsYQ/edit?usp=sharing"",""นครนายก!S559"")+IMPORTRANGE(""https://docs.google.com/spreadsheets/d/1YTZo6WM2dQ6Ix6FSdnL"&amp;"5P7uVnVKu40sxZu975tgG10E/edit?usp=sharing"",""นครปฐม!S559"")+IMPORTRANGE(""https://docs.google.com/spreadsheets/d/1OYoGg4WDg5RIzwGeB10padOxJF9E_Vljuvvct_M7RDo/edit?usp=sharing"",""ปทุมธานี!S559"")+IMPORTRANGE(""https://docs.google.com/spreadsheets/d/1GbCI"&amp;"E4D4wk9FUozzqk7SxfDMxDVBwVmI5zcaVUSzKAc/edit?usp=sharing"",""ประจวบคีรีขันธ์!S559"")+IMPORTRANGE(""https://docs.google.com/spreadsheets/d/1vVf6wykvW_lAyu7Yo9L4hUTqHqIeP_qcVuxCtosJEbg/edit?usp=sharing"",""ปราจีนบุรี!S559"")+IMPORTRANGE(""https://docs.googl"&amp;"e.com/spreadsheets/d/1BIDqLLg5jk3v59G8NlR8rk5xfQDKne0sAvZHSj7TI6I/edit?usp=sharing"",""พระนครศรีอยุธยา!S559"")+IMPORTRANGE(""https://docs.google.com/spreadsheets/d/1YXvxf8Yu6_rV4hTBrwMqAcAnv6DfhUxh5emyM3CJp_w/edit?usp=sharing"",""เพชรบุรี!S559"")+IMPORTRA"&amp;"NGE(""https://docs.google.com/spreadsheets/d/19KBlQQs7uwvsao6t2n-KvW3Ax8J8uRRfZPq1zPbXgKc/edit?usp=sharing"",""ระยอง!S559"")+IMPORTRANGE(""https://docs.google.com/spreadsheets/d/1jQ6P4QcrGM89YfqcC_PxOHGCMq5ezhucwJd8ci-NHng/edit?usp=sharing"",""ราชบุรี!S55"&amp;"9"")+IMPORTRANGE(""https://docs.google.com/spreadsheets/d/1lufeA2cfFqM-elVq2hznhDzC6Pr7wkJ9ZG_sYNGCMCU/edit?usp=sharing"",""ลพบุรี!S559"")+IMPORTRANGE(""https://docs.google.com/spreadsheets/d/10oOiF7loTyfsTkbd4MpaIm0HQ9SwB7IYHdIUvt-U1Uc/edit?usp=sharing"""&amp;",""สระแก้ว!S559"")+IMPORTRANGE(""https://docs.google.com/spreadsheets/d/1xmPlrr1QbdSIKvl1dWUl9K4PjAfSL9oeMr_37QVzcxc/edit?usp=sharing"",""สระบุรี!S559"")+IMPORTRANGE(""https://docs.google.com/spreadsheets/d/1j51vR6CYVGhABJpv6tkstgok82RLpXieLzW1yOY5rHw/edi"&amp;"t?usp=sharing"",""สิงห์บุรี!S559"")+IMPORTRANGE(""https://docs.google.com/spreadsheets/d/1H1EalTWKUSzO4Z1-1CwzoDUaVffgrThEBe2sl74kKG0/edit?usp=sharing"",""สุพรรณบุรี!S559"")+IMPORTRANGE(""https://docs.google.com/spreadsheets/d/1BmIruG_sIrJLYao_Pdr7zVArWsf"&amp;"oBt2692TMi6x_854/edit?usp=sharing"",""อ่างทอง!S559"")"),0)</f>
        <v>0</v>
      </c>
      <c r="T560" s="133">
        <f t="shared" ca="1" si="389"/>
        <v>0</v>
      </c>
      <c r="U560" s="133">
        <f t="shared" ca="1" si="390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4">
        <f ca="1">IFERROR(__xludf.DUMMYFUNCTION("IMPORTRANGE(""https://docs.google.com/spreadsheets/d/13wPX838HrBrQMCywv1BsuMkt4PEKTChp52zj44s2izQ/edit?usp=sharing"",""กาญจนบุรี!L560"")+IMPORTRANGE(""https://docs.google.com/spreadsheets/d/1ddFKvqj1W1NEiWytbGlB1zMx_ykJDVtmfEQ-6-lIUBA/edit?usp=sharing"","&amp;"""จันทบุรี!L560"")+IMPORTRANGE(""https://docs.google.com/spreadsheets/d/1T1PQvRODqOBZk8BRht_U031fIS1beLA0Ub2CEytj2q0/edit?usp=sharing"",""ฉะเชิงเทรา!L560"")+IMPORTRANGE(""https://docs.google.com/spreadsheets/d/11tr1B-Bhyr79v2bkwVh5h_fR-PStkgjlZtkrZpYurG0/"&amp;"edit?usp=sharing"",""ชลบุรี!L560"")+IMPORTRANGE(""https://docs.google.com/spreadsheets/d/1hh-FVnSX0vozXhGluamEcS54Dw9_zqW0N7qJUWgJ0Sw/edit?usp=sharing"",""ชัยนาท!L560"")+IMPORTRANGE(""https://docs.google.com/spreadsheets/d/1jkqa6GXxSacMcY1eN8AHjMNJ_7dDXMJ"&amp;"VRLDlaFSOdPM/edit?usp=sharing"",""ตราด!L560"")+IMPORTRANGE(""https://docs.google.com/spreadsheets/d/18hSgUJ3VwClqi_qtULmmW3cLr0oe3OKaSYoKzdpTsYQ/edit?usp=sharing"",""นครนายก!L560"")+IMPORTRANGE(""https://docs.google.com/spreadsheets/d/1YTZo6WM2dQ6Ix6FSdnL"&amp;"5P7uVnVKu40sxZu975tgG10E/edit?usp=sharing"",""นครปฐม!L560"")+IMPORTRANGE(""https://docs.google.com/spreadsheets/d/1OYoGg4WDg5RIzwGeB10padOxJF9E_Vljuvvct_M7RDo/edit?usp=sharing"",""ปทุมธานี!L560"")+IMPORTRANGE(""https://docs.google.com/spreadsheets/d/1GbCI"&amp;"E4D4wk9FUozzqk7SxfDMxDVBwVmI5zcaVUSzKAc/edit?usp=sharing"",""ประจวบคีรีขันธ์!L560"")+IMPORTRANGE(""https://docs.google.com/spreadsheets/d/1vVf6wykvW_lAyu7Yo9L4hUTqHqIeP_qcVuxCtosJEbg/edit?usp=sharing"",""ปราจีนบุรี!L560"")+IMPORTRANGE(""https://docs.googl"&amp;"e.com/spreadsheets/d/1BIDqLLg5jk3v59G8NlR8rk5xfQDKne0sAvZHSj7TI6I/edit?usp=sharing"",""พระนครศรีอยุธยา!L560"")+IMPORTRANGE(""https://docs.google.com/spreadsheets/d/1YXvxf8Yu6_rV4hTBrwMqAcAnv6DfhUxh5emyM3CJp_w/edit?usp=sharing"",""เพชรบุรี!L560"")+IMPORTRA"&amp;"NGE(""https://docs.google.com/spreadsheets/d/19KBlQQs7uwvsao6t2n-KvW3Ax8J8uRRfZPq1zPbXgKc/edit?usp=sharing"",""ระยอง!L560"")+IMPORTRANGE(""https://docs.google.com/spreadsheets/d/1jQ6P4QcrGM89YfqcC_PxOHGCMq5ezhucwJd8ci-NHng/edit?usp=sharing"",""ราชบุรี!L56"&amp;"0"")+IMPORTRANGE(""https://docs.google.com/spreadsheets/d/1lufeA2cfFqM-elVq2hznhDzC6Pr7wkJ9ZG_sYNGCMCU/edit?usp=sharing"",""ลพบุรี!L560"")+IMPORTRANGE(""https://docs.google.com/spreadsheets/d/10oOiF7loTyfsTkbd4MpaIm0HQ9SwB7IYHdIUvt-U1Uc/edit?usp=sharing"""&amp;",""สระแก้ว!L560"")+IMPORTRANGE(""https://docs.google.com/spreadsheets/d/1xmPlrr1QbdSIKvl1dWUl9K4PjAfSL9oeMr_37QVzcxc/edit?usp=sharing"",""สระบุรี!L560"")+IMPORTRANGE(""https://docs.google.com/spreadsheets/d/1j51vR6CYVGhABJpv6tkstgok82RLpXieLzW1yOY5rHw/edi"&amp;"t?usp=sharing"",""สิงห์บุรี!L560"")+IMPORTRANGE(""https://docs.google.com/spreadsheets/d/1H1EalTWKUSzO4Z1-1CwzoDUaVffgrThEBe2sl74kKG0/edit?usp=sharing"",""สุพรรณบุรี!L560"")+IMPORTRANGE(""https://docs.google.com/spreadsheets/d/1BmIruG_sIrJLYao_Pdr7zVArWsf"&amp;"oBt2692TMi6x_854/edit?usp=sharing"",""อ่างทอง!L560"")"),0)</f>
        <v>0</v>
      </c>
      <c r="M561" s="74">
        <f ca="1">IFERROR(__xludf.DUMMYFUNCTION("IMPORTRANGE(""https://docs.google.com/spreadsheets/d/13wPX838HrBrQMCywv1BsuMkt4PEKTChp52zj44s2izQ/edit?usp=sharing"",""กาญจนบุรี!M560"")+IMPORTRANGE(""https://docs.google.com/spreadsheets/d/1ddFKvqj1W1NEiWytbGlB1zMx_ykJDVtmfEQ-6-lIUBA/edit?usp=sharing"","&amp;"""จันทบุรี!M560"")+IMPORTRANGE(""https://docs.google.com/spreadsheets/d/1T1PQvRODqOBZk8BRht_U031fIS1beLA0Ub2CEytj2q0/edit?usp=sharing"",""ฉะเชิงเทรา!M560"")+IMPORTRANGE(""https://docs.google.com/spreadsheets/d/11tr1B-Bhyr79v2bkwVh5h_fR-PStkgjlZtkrZpYurG0/"&amp;"edit?usp=sharing"",""ชลบุรี!M560"")+IMPORTRANGE(""https://docs.google.com/spreadsheets/d/1hh-FVnSX0vozXhGluamEcS54Dw9_zqW0N7qJUWgJ0Sw/edit?usp=sharing"",""ชัยนาท!M560"")+IMPORTRANGE(""https://docs.google.com/spreadsheets/d/1jkqa6GXxSacMcY1eN8AHjMNJ_7dDXMJ"&amp;"VRLDlaFSOdPM/edit?usp=sharing"",""ตราด!M560"")+IMPORTRANGE(""https://docs.google.com/spreadsheets/d/18hSgUJ3VwClqi_qtULmmW3cLr0oe3OKaSYoKzdpTsYQ/edit?usp=sharing"",""นครนายก!M560"")+IMPORTRANGE(""https://docs.google.com/spreadsheets/d/1YTZo6WM2dQ6Ix6FSdnL"&amp;"5P7uVnVKu40sxZu975tgG10E/edit?usp=sharing"",""นครปฐม!M560"")+IMPORTRANGE(""https://docs.google.com/spreadsheets/d/1OYoGg4WDg5RIzwGeB10padOxJF9E_Vljuvvct_M7RDo/edit?usp=sharing"",""ปทุมธานี!M560"")+IMPORTRANGE(""https://docs.google.com/spreadsheets/d/1GbCI"&amp;"E4D4wk9FUozzqk7SxfDMxDVBwVmI5zcaVUSzKAc/edit?usp=sharing"",""ประจวบคีรีขันธ์!M560"")+IMPORTRANGE(""https://docs.google.com/spreadsheets/d/1vVf6wykvW_lAyu7Yo9L4hUTqHqIeP_qcVuxCtosJEbg/edit?usp=sharing"",""ปราจีนบุรี!M560"")+IMPORTRANGE(""https://docs.googl"&amp;"e.com/spreadsheets/d/1BIDqLLg5jk3v59G8NlR8rk5xfQDKne0sAvZHSj7TI6I/edit?usp=sharing"",""พระนครศรีอยุธยา!M560"")+IMPORTRANGE(""https://docs.google.com/spreadsheets/d/1YXvxf8Yu6_rV4hTBrwMqAcAnv6DfhUxh5emyM3CJp_w/edit?usp=sharing"",""เพชรบุรี!M560"")+IMPORTRA"&amp;"NGE(""https://docs.google.com/spreadsheets/d/19KBlQQs7uwvsao6t2n-KvW3Ax8J8uRRfZPq1zPbXgKc/edit?usp=sharing"",""ระยอง!M560"")+IMPORTRANGE(""https://docs.google.com/spreadsheets/d/1jQ6P4QcrGM89YfqcC_PxOHGCMq5ezhucwJd8ci-NHng/edit?usp=sharing"",""ราชบุรี!M56"&amp;"0"")+IMPORTRANGE(""https://docs.google.com/spreadsheets/d/1lufeA2cfFqM-elVq2hznhDzC6Pr7wkJ9ZG_sYNGCMCU/edit?usp=sharing"",""ลพบุรี!M560"")+IMPORTRANGE(""https://docs.google.com/spreadsheets/d/10oOiF7loTyfsTkbd4MpaIm0HQ9SwB7IYHdIUvt-U1Uc/edit?usp=sharing"""&amp;",""สระแก้ว!M560"")+IMPORTRANGE(""https://docs.google.com/spreadsheets/d/1xmPlrr1QbdSIKvl1dWUl9K4PjAfSL9oeMr_37QVzcxc/edit?usp=sharing"",""สระบุรี!M560"")+IMPORTRANGE(""https://docs.google.com/spreadsheets/d/1j51vR6CYVGhABJpv6tkstgok82RLpXieLzW1yOY5rHw/edi"&amp;"t?usp=sharing"",""สิงห์บุรี!M560"")+IMPORTRANGE(""https://docs.google.com/spreadsheets/d/1H1EalTWKUSzO4Z1-1CwzoDUaVffgrThEBe2sl74kKG0/edit?usp=sharing"",""สุพรรณบุรี!M560"")+IMPORTRANGE(""https://docs.google.com/spreadsheets/d/1BmIruG_sIrJLYao_Pdr7zVArWsf"&amp;"oBt2692TMi6x_854/edit?usp=sharing"",""อ่างทอง!M560"")"),0)</f>
        <v>0</v>
      </c>
      <c r="N561" s="74">
        <f ca="1">IFERROR(__xludf.DUMMYFUNCTION("IMPORTRANGE(""https://docs.google.com/spreadsheets/d/13wPX838HrBrQMCywv1BsuMkt4PEKTChp52zj44s2izQ/edit?usp=sharing"",""กาญจนบุรี!N560"")+IMPORTRANGE(""https://docs.google.com/spreadsheets/d/1ddFKvqj1W1NEiWytbGlB1zMx_ykJDVtmfEQ-6-lIUBA/edit?usp=sharing"","&amp;"""จันทบุรี!N560"")+IMPORTRANGE(""https://docs.google.com/spreadsheets/d/1T1PQvRODqOBZk8BRht_U031fIS1beLA0Ub2CEytj2q0/edit?usp=sharing"",""ฉะเชิงเทรา!N560"")+IMPORTRANGE(""https://docs.google.com/spreadsheets/d/11tr1B-Bhyr79v2bkwVh5h_fR-PStkgjlZtkrZpYurG0/"&amp;"edit?usp=sharing"",""ชลบุรี!N560"")+IMPORTRANGE(""https://docs.google.com/spreadsheets/d/1hh-FVnSX0vozXhGluamEcS54Dw9_zqW0N7qJUWgJ0Sw/edit?usp=sharing"",""ชัยนาท!N560"")+IMPORTRANGE(""https://docs.google.com/spreadsheets/d/1jkqa6GXxSacMcY1eN8AHjMNJ_7dDXMJ"&amp;"VRLDlaFSOdPM/edit?usp=sharing"",""ตราด!N560"")+IMPORTRANGE(""https://docs.google.com/spreadsheets/d/18hSgUJ3VwClqi_qtULmmW3cLr0oe3OKaSYoKzdpTsYQ/edit?usp=sharing"",""นครนายก!N560"")+IMPORTRANGE(""https://docs.google.com/spreadsheets/d/1YTZo6WM2dQ6Ix6FSdnL"&amp;"5P7uVnVKu40sxZu975tgG10E/edit?usp=sharing"",""นครปฐม!N560"")+IMPORTRANGE(""https://docs.google.com/spreadsheets/d/1OYoGg4WDg5RIzwGeB10padOxJF9E_Vljuvvct_M7RDo/edit?usp=sharing"",""ปทุมธานี!N560"")+IMPORTRANGE(""https://docs.google.com/spreadsheets/d/1GbCI"&amp;"E4D4wk9FUozzqk7SxfDMxDVBwVmI5zcaVUSzKAc/edit?usp=sharing"",""ประจวบคีรีขันธ์!N560"")+IMPORTRANGE(""https://docs.google.com/spreadsheets/d/1vVf6wykvW_lAyu7Yo9L4hUTqHqIeP_qcVuxCtosJEbg/edit?usp=sharing"",""ปราจีนบุรี!N560"")+IMPORTRANGE(""https://docs.googl"&amp;"e.com/spreadsheets/d/1BIDqLLg5jk3v59G8NlR8rk5xfQDKne0sAvZHSj7TI6I/edit?usp=sharing"",""พระนครศรีอยุธยา!N560"")+IMPORTRANGE(""https://docs.google.com/spreadsheets/d/1YXvxf8Yu6_rV4hTBrwMqAcAnv6DfhUxh5emyM3CJp_w/edit?usp=sharing"",""เพชรบุรี!N560"")+IMPORTRA"&amp;"NGE(""https://docs.google.com/spreadsheets/d/19KBlQQs7uwvsao6t2n-KvW3Ax8J8uRRfZPq1zPbXgKc/edit?usp=sharing"",""ระยอง!N560"")+IMPORTRANGE(""https://docs.google.com/spreadsheets/d/1jQ6P4QcrGM89YfqcC_PxOHGCMq5ezhucwJd8ci-NHng/edit?usp=sharing"",""ราชบุรี!N56"&amp;"0"")+IMPORTRANGE(""https://docs.google.com/spreadsheets/d/1lufeA2cfFqM-elVq2hznhDzC6Pr7wkJ9ZG_sYNGCMCU/edit?usp=sharing"",""ลพบุรี!N560"")+IMPORTRANGE(""https://docs.google.com/spreadsheets/d/10oOiF7loTyfsTkbd4MpaIm0HQ9SwB7IYHdIUvt-U1Uc/edit?usp=sharing"""&amp;",""สระแก้ว!N560"")+IMPORTRANGE(""https://docs.google.com/spreadsheets/d/1xmPlrr1QbdSIKvl1dWUl9K4PjAfSL9oeMr_37QVzcxc/edit?usp=sharing"",""สระบุรี!N560"")+IMPORTRANGE(""https://docs.google.com/spreadsheets/d/1j51vR6CYVGhABJpv6tkstgok82RLpXieLzW1yOY5rHw/edi"&amp;"t?usp=sharing"",""สิงห์บุรี!N560"")+IMPORTRANGE(""https://docs.google.com/spreadsheets/d/1H1EalTWKUSzO4Z1-1CwzoDUaVffgrThEBe2sl74kKG0/edit?usp=sharing"",""สุพรรณบุรี!N560"")+IMPORTRANGE(""https://docs.google.com/spreadsheets/d/1BmIruG_sIrJLYao_Pdr7zVArWsf"&amp;"oBt2692TMi6x_854/edit?usp=sharing"",""อ่างทอง!N560"")"),0)</f>
        <v>0</v>
      </c>
      <c r="O561" s="74">
        <f t="shared" ca="1" si="386"/>
        <v>0</v>
      </c>
      <c r="P561" s="74">
        <f t="shared" ca="1" si="387"/>
        <v>0</v>
      </c>
      <c r="Q561" s="73">
        <f ca="1">IFERROR(__xludf.DUMMYFUNCTION("IMPORTRANGE(""https://docs.google.com/spreadsheets/d/13wPX838HrBrQMCywv1BsuMkt4PEKTChp52zj44s2izQ/edit?usp=sharing"",""กาญจนบุรี!Q560"")+IMPORTRANGE(""https://docs.google.com/spreadsheets/d/1ddFKvqj1W1NEiWytbGlB1zMx_ykJDVtmfEQ-6-lIUBA/edit?usp=sharing"","&amp;"""จันทบุรี!Q560"")+IMPORTRANGE(""https://docs.google.com/spreadsheets/d/1T1PQvRODqOBZk8BRht_U031fIS1beLA0Ub2CEytj2q0/edit?usp=sharing"",""ฉะเชิงเทรา!Q560"")+IMPORTRANGE(""https://docs.google.com/spreadsheets/d/11tr1B-Bhyr79v2bkwVh5h_fR-PStkgjlZtkrZpYurG0/"&amp;"edit?usp=sharing"",""ชลบุรี!Q560"")+IMPORTRANGE(""https://docs.google.com/spreadsheets/d/1hh-FVnSX0vozXhGluamEcS54Dw9_zqW0N7qJUWgJ0Sw/edit?usp=sharing"",""ชัยนาท!Q560"")+IMPORTRANGE(""https://docs.google.com/spreadsheets/d/1jkqa6GXxSacMcY1eN8AHjMNJ_7dDXMJ"&amp;"VRLDlaFSOdPM/edit?usp=sharing"",""ตราด!Q560"")+IMPORTRANGE(""https://docs.google.com/spreadsheets/d/18hSgUJ3VwClqi_qtULmmW3cLr0oe3OKaSYoKzdpTsYQ/edit?usp=sharing"",""นครนายก!Q560"")+IMPORTRANGE(""https://docs.google.com/spreadsheets/d/1YTZo6WM2dQ6Ix6FSdnL"&amp;"5P7uVnVKu40sxZu975tgG10E/edit?usp=sharing"",""นครปฐม!Q560"")+IMPORTRANGE(""https://docs.google.com/spreadsheets/d/1OYoGg4WDg5RIzwGeB10padOxJF9E_Vljuvvct_M7RDo/edit?usp=sharing"",""ปทุมธานี!Q560"")+IMPORTRANGE(""https://docs.google.com/spreadsheets/d/1GbCI"&amp;"E4D4wk9FUozzqk7SxfDMxDVBwVmI5zcaVUSzKAc/edit?usp=sharing"",""ประจวบคีรีขันธ์!Q560"")+IMPORTRANGE(""https://docs.google.com/spreadsheets/d/1vVf6wykvW_lAyu7Yo9L4hUTqHqIeP_qcVuxCtosJEbg/edit?usp=sharing"",""ปราจีนบุรี!Q560"")+IMPORTRANGE(""https://docs.googl"&amp;"e.com/spreadsheets/d/1BIDqLLg5jk3v59G8NlR8rk5xfQDKne0sAvZHSj7TI6I/edit?usp=sharing"",""พระนครศรีอยุธยา!Q560"")+IMPORTRANGE(""https://docs.google.com/spreadsheets/d/1YXvxf8Yu6_rV4hTBrwMqAcAnv6DfhUxh5emyM3CJp_w/edit?usp=sharing"",""เพชรบุรี!Q560"")+IMPORTRA"&amp;"NGE(""https://docs.google.com/spreadsheets/d/19KBlQQs7uwvsao6t2n-KvW3Ax8J8uRRfZPq1zPbXgKc/edit?usp=sharing"",""ระยอง!Q560"")+IMPORTRANGE(""https://docs.google.com/spreadsheets/d/1jQ6P4QcrGM89YfqcC_PxOHGCMq5ezhucwJd8ci-NHng/edit?usp=sharing"",""ราชบุรี!Q56"&amp;"0"")+IMPORTRANGE(""https://docs.google.com/spreadsheets/d/1lufeA2cfFqM-elVq2hznhDzC6Pr7wkJ9ZG_sYNGCMCU/edit?usp=sharing"",""ลพบุรี!Q560"")+IMPORTRANGE(""https://docs.google.com/spreadsheets/d/10oOiF7loTyfsTkbd4MpaIm0HQ9SwB7IYHdIUvt-U1Uc/edit?usp=sharing"""&amp;",""สระแก้ว!Q560"")+IMPORTRANGE(""https://docs.google.com/spreadsheets/d/1xmPlrr1QbdSIKvl1dWUl9K4PjAfSL9oeMr_37QVzcxc/edit?usp=sharing"",""สระบุรี!Q560"")+IMPORTRANGE(""https://docs.google.com/spreadsheets/d/1j51vR6CYVGhABJpv6tkstgok82RLpXieLzW1yOY5rHw/edi"&amp;"t?usp=sharing"",""สิงห์บุรี!Q560"")+IMPORTRANGE(""https://docs.google.com/spreadsheets/d/1H1EalTWKUSzO4Z1-1CwzoDUaVffgrThEBe2sl74kKG0/edit?usp=sharing"",""สุพรรณบุรี!Q560"")+IMPORTRANGE(""https://docs.google.com/spreadsheets/d/1BmIruG_sIrJLYao_Pdr7zVArWsf"&amp;"oBt2692TMi6x_854/edit?usp=sharing"",""อ่างทอง!Q560"")"),0)</f>
        <v>0</v>
      </c>
      <c r="R561" s="74">
        <f ca="1">IFERROR(__xludf.DUMMYFUNCTION("IMPORTRANGE(""https://docs.google.com/spreadsheets/d/13wPX838HrBrQMCywv1BsuMkt4PEKTChp52zj44s2izQ/edit?usp=sharing"",""กาญจนบุรี!R560"")+IMPORTRANGE(""https://docs.google.com/spreadsheets/d/1ddFKvqj1W1NEiWytbGlB1zMx_ykJDVtmfEQ-6-lIUBA/edit?usp=sharing"","&amp;"""จันทบุรี!R560"")+IMPORTRANGE(""https://docs.google.com/spreadsheets/d/1T1PQvRODqOBZk8BRht_U031fIS1beLA0Ub2CEytj2q0/edit?usp=sharing"",""ฉะเชิงเทรา!R560"")+IMPORTRANGE(""https://docs.google.com/spreadsheets/d/11tr1B-Bhyr79v2bkwVh5h_fR-PStkgjlZtkrZpYurG0/"&amp;"edit?usp=sharing"",""ชลบุรี!R560"")+IMPORTRANGE(""https://docs.google.com/spreadsheets/d/1hh-FVnSX0vozXhGluamEcS54Dw9_zqW0N7qJUWgJ0Sw/edit?usp=sharing"",""ชัยนาท!R560"")+IMPORTRANGE(""https://docs.google.com/spreadsheets/d/1jkqa6GXxSacMcY1eN8AHjMNJ_7dDXMJ"&amp;"VRLDlaFSOdPM/edit?usp=sharing"",""ตราด!R560"")+IMPORTRANGE(""https://docs.google.com/spreadsheets/d/18hSgUJ3VwClqi_qtULmmW3cLr0oe3OKaSYoKzdpTsYQ/edit?usp=sharing"",""นครนายก!R560"")+IMPORTRANGE(""https://docs.google.com/spreadsheets/d/1YTZo6WM2dQ6Ix6FSdnL"&amp;"5P7uVnVKu40sxZu975tgG10E/edit?usp=sharing"",""นครปฐม!R560"")+IMPORTRANGE(""https://docs.google.com/spreadsheets/d/1OYoGg4WDg5RIzwGeB10padOxJF9E_Vljuvvct_M7RDo/edit?usp=sharing"",""ปทุมธานี!R560"")+IMPORTRANGE(""https://docs.google.com/spreadsheets/d/1GbCI"&amp;"E4D4wk9FUozzqk7SxfDMxDVBwVmI5zcaVUSzKAc/edit?usp=sharing"",""ประจวบคีรีขันธ์!R560"")+IMPORTRANGE(""https://docs.google.com/spreadsheets/d/1vVf6wykvW_lAyu7Yo9L4hUTqHqIeP_qcVuxCtosJEbg/edit?usp=sharing"",""ปราจีนบุรี!R560"")+IMPORTRANGE(""https://docs.googl"&amp;"e.com/spreadsheets/d/1BIDqLLg5jk3v59G8NlR8rk5xfQDKne0sAvZHSj7TI6I/edit?usp=sharing"",""พระนครศรีอยุธยา!R560"")+IMPORTRANGE(""https://docs.google.com/spreadsheets/d/1YXvxf8Yu6_rV4hTBrwMqAcAnv6DfhUxh5emyM3CJp_w/edit?usp=sharing"",""เพชรบุรี!R560"")+IMPORTRA"&amp;"NGE(""https://docs.google.com/spreadsheets/d/19KBlQQs7uwvsao6t2n-KvW3Ax8J8uRRfZPq1zPbXgKc/edit?usp=sharing"",""ระยอง!R560"")+IMPORTRANGE(""https://docs.google.com/spreadsheets/d/1jQ6P4QcrGM89YfqcC_PxOHGCMq5ezhucwJd8ci-NHng/edit?usp=sharing"",""ราชบุรี!R56"&amp;"0"")+IMPORTRANGE(""https://docs.google.com/spreadsheets/d/1lufeA2cfFqM-elVq2hznhDzC6Pr7wkJ9ZG_sYNGCMCU/edit?usp=sharing"",""ลพบุรี!R560"")+IMPORTRANGE(""https://docs.google.com/spreadsheets/d/10oOiF7loTyfsTkbd4MpaIm0HQ9SwB7IYHdIUvt-U1Uc/edit?usp=sharing"""&amp;",""สระแก้ว!R560"")+IMPORTRANGE(""https://docs.google.com/spreadsheets/d/1xmPlrr1QbdSIKvl1dWUl9K4PjAfSL9oeMr_37QVzcxc/edit?usp=sharing"",""สระบุรี!R560"")+IMPORTRANGE(""https://docs.google.com/spreadsheets/d/1j51vR6CYVGhABJpv6tkstgok82RLpXieLzW1yOY5rHw/edi"&amp;"t?usp=sharing"",""สิงห์บุรี!R560"")+IMPORTRANGE(""https://docs.google.com/spreadsheets/d/1H1EalTWKUSzO4Z1-1CwzoDUaVffgrThEBe2sl74kKG0/edit?usp=sharing"",""สุพรรณบุรี!R560"")+IMPORTRANGE(""https://docs.google.com/spreadsheets/d/1BmIruG_sIrJLYao_Pdr7zVArWsf"&amp;"oBt2692TMi6x_854/edit?usp=sharing"",""อ่างทอง!R560"")"),0)</f>
        <v>0</v>
      </c>
      <c r="S561" s="74">
        <f ca="1">IFERROR(__xludf.DUMMYFUNCTION("IMPORTRANGE(""https://docs.google.com/spreadsheets/d/13wPX838HrBrQMCywv1BsuMkt4PEKTChp52zj44s2izQ/edit?usp=sharing"",""กาญจนบุรี!S560"")+IMPORTRANGE(""https://docs.google.com/spreadsheets/d/1ddFKvqj1W1NEiWytbGlB1zMx_ykJDVtmfEQ-6-lIUBA/edit?usp=sharing"","&amp;"""จันทบุรี!S560"")+IMPORTRANGE(""https://docs.google.com/spreadsheets/d/1T1PQvRODqOBZk8BRht_U031fIS1beLA0Ub2CEytj2q0/edit?usp=sharing"",""ฉะเชิงเทรา!S560"")+IMPORTRANGE(""https://docs.google.com/spreadsheets/d/11tr1B-Bhyr79v2bkwVh5h_fR-PStkgjlZtkrZpYurG0/"&amp;"edit?usp=sharing"",""ชลบุรี!S560"")+IMPORTRANGE(""https://docs.google.com/spreadsheets/d/1hh-FVnSX0vozXhGluamEcS54Dw9_zqW0N7qJUWgJ0Sw/edit?usp=sharing"",""ชัยนาท!S560"")+IMPORTRANGE(""https://docs.google.com/spreadsheets/d/1jkqa6GXxSacMcY1eN8AHjMNJ_7dDXMJ"&amp;"VRLDlaFSOdPM/edit?usp=sharing"",""ตราด!S560"")+IMPORTRANGE(""https://docs.google.com/spreadsheets/d/18hSgUJ3VwClqi_qtULmmW3cLr0oe3OKaSYoKzdpTsYQ/edit?usp=sharing"",""นครนายก!S560"")+IMPORTRANGE(""https://docs.google.com/spreadsheets/d/1YTZo6WM2dQ6Ix6FSdnL"&amp;"5P7uVnVKu40sxZu975tgG10E/edit?usp=sharing"",""นครปฐม!S560"")+IMPORTRANGE(""https://docs.google.com/spreadsheets/d/1OYoGg4WDg5RIzwGeB10padOxJF9E_Vljuvvct_M7RDo/edit?usp=sharing"",""ปทุมธานี!S560"")+IMPORTRANGE(""https://docs.google.com/spreadsheets/d/1GbCI"&amp;"E4D4wk9FUozzqk7SxfDMxDVBwVmI5zcaVUSzKAc/edit?usp=sharing"",""ประจวบคีรีขันธ์!S560"")+IMPORTRANGE(""https://docs.google.com/spreadsheets/d/1vVf6wykvW_lAyu7Yo9L4hUTqHqIeP_qcVuxCtosJEbg/edit?usp=sharing"",""ปราจีนบุรี!S560"")+IMPORTRANGE(""https://docs.googl"&amp;"e.com/spreadsheets/d/1BIDqLLg5jk3v59G8NlR8rk5xfQDKne0sAvZHSj7TI6I/edit?usp=sharing"",""พระนครศรีอยุธยา!S560"")+IMPORTRANGE(""https://docs.google.com/spreadsheets/d/1YXvxf8Yu6_rV4hTBrwMqAcAnv6DfhUxh5emyM3CJp_w/edit?usp=sharing"",""เพชรบุรี!S560"")+IMPORTRA"&amp;"NGE(""https://docs.google.com/spreadsheets/d/19KBlQQs7uwvsao6t2n-KvW3Ax8J8uRRfZPq1zPbXgKc/edit?usp=sharing"",""ระยอง!S560"")+IMPORTRANGE(""https://docs.google.com/spreadsheets/d/1jQ6P4QcrGM89YfqcC_PxOHGCMq5ezhucwJd8ci-NHng/edit?usp=sharing"",""ราชบุรี!S56"&amp;"0"")+IMPORTRANGE(""https://docs.google.com/spreadsheets/d/1lufeA2cfFqM-elVq2hznhDzC6Pr7wkJ9ZG_sYNGCMCU/edit?usp=sharing"",""ลพบุรี!S560"")+IMPORTRANGE(""https://docs.google.com/spreadsheets/d/10oOiF7loTyfsTkbd4MpaIm0HQ9SwB7IYHdIUvt-U1Uc/edit?usp=sharing"""&amp;",""สระแก้ว!S560"")+IMPORTRANGE(""https://docs.google.com/spreadsheets/d/1xmPlrr1QbdSIKvl1dWUl9K4PjAfSL9oeMr_37QVzcxc/edit?usp=sharing"",""สระบุรี!S560"")+IMPORTRANGE(""https://docs.google.com/spreadsheets/d/1j51vR6CYVGhABJpv6tkstgok82RLpXieLzW1yOY5rHw/edi"&amp;"t?usp=sharing"",""สิงห์บุรี!S560"")+IMPORTRANGE(""https://docs.google.com/spreadsheets/d/1H1EalTWKUSzO4Z1-1CwzoDUaVffgrThEBe2sl74kKG0/edit?usp=sharing"",""สุพรรณบุรี!S560"")+IMPORTRANGE(""https://docs.google.com/spreadsheets/d/1BmIruG_sIrJLYao_Pdr7zVArWsf"&amp;"oBt2692TMi6x_854/edit?usp=sharing"",""อ่างทอง!S560"")"),0)</f>
        <v>0</v>
      </c>
      <c r="T561" s="132">
        <f t="shared" ca="1" si="389"/>
        <v>0</v>
      </c>
      <c r="U561" s="132">
        <f t="shared" ca="1" si="390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4">
        <f t="shared" ref="L562:N562" ca="1" si="397">L563+L564</f>
        <v>0</v>
      </c>
      <c r="M562" s="74">
        <f t="shared" ca="1" si="397"/>
        <v>0</v>
      </c>
      <c r="N562" s="74">
        <f t="shared" ca="1" si="397"/>
        <v>0</v>
      </c>
      <c r="O562" s="74">
        <f t="shared" ca="1" si="386"/>
        <v>0</v>
      </c>
      <c r="P562" s="74">
        <f t="shared" ca="1" si="387"/>
        <v>0</v>
      </c>
      <c r="Q562" s="131">
        <f t="shared" ref="Q562:S562" ca="1" si="398">Q563+Q564</f>
        <v>0</v>
      </c>
      <c r="R562" s="132">
        <f t="shared" ca="1" si="398"/>
        <v>0</v>
      </c>
      <c r="S562" s="132">
        <f t="shared" ca="1" si="398"/>
        <v>0</v>
      </c>
      <c r="T562" s="132">
        <f t="shared" ca="1" si="389"/>
        <v>0</v>
      </c>
      <c r="U562" s="132">
        <f t="shared" ca="1" si="390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7">
        <f ca="1">IFERROR(__xludf.DUMMYFUNCTION("IMPORTRANGE(""https://docs.google.com/spreadsheets/d/13wPX838HrBrQMCywv1BsuMkt4PEKTChp52zj44s2izQ/edit?usp=sharing"",""กาญจนบุรี!L562"")+IMPORTRANGE(""https://docs.google.com/spreadsheets/d/1ddFKvqj1W1NEiWytbGlB1zMx_ykJDVtmfEQ-6-lIUBA/edit?usp=sharing"","&amp;"""จันทบุรี!L562"")+IMPORTRANGE(""https://docs.google.com/spreadsheets/d/1T1PQvRODqOBZk8BRht_U031fIS1beLA0Ub2CEytj2q0/edit?usp=sharing"",""ฉะเชิงเทรา!L562"")+IMPORTRANGE(""https://docs.google.com/spreadsheets/d/11tr1B-Bhyr79v2bkwVh5h_fR-PStkgjlZtkrZpYurG0/"&amp;"edit?usp=sharing"",""ชลบุรี!L562"")+IMPORTRANGE(""https://docs.google.com/spreadsheets/d/1hh-FVnSX0vozXhGluamEcS54Dw9_zqW0N7qJUWgJ0Sw/edit?usp=sharing"",""ชัยนาท!L562"")+IMPORTRANGE(""https://docs.google.com/spreadsheets/d/1jkqa6GXxSacMcY1eN8AHjMNJ_7dDXMJ"&amp;"VRLDlaFSOdPM/edit?usp=sharing"",""ตราด!L562"")+IMPORTRANGE(""https://docs.google.com/spreadsheets/d/18hSgUJ3VwClqi_qtULmmW3cLr0oe3OKaSYoKzdpTsYQ/edit?usp=sharing"",""นครนายก!L562"")+IMPORTRANGE(""https://docs.google.com/spreadsheets/d/1YTZo6WM2dQ6Ix6FSdnL"&amp;"5P7uVnVKu40sxZu975tgG10E/edit?usp=sharing"",""นครปฐม!L562"")+IMPORTRANGE(""https://docs.google.com/spreadsheets/d/1OYoGg4WDg5RIzwGeB10padOxJF9E_Vljuvvct_M7RDo/edit?usp=sharing"",""ปทุมธานี!L562"")+IMPORTRANGE(""https://docs.google.com/spreadsheets/d/1GbCI"&amp;"E4D4wk9FUozzqk7SxfDMxDVBwVmI5zcaVUSzKAc/edit?usp=sharing"",""ประจวบคีรีขันธ์!L562"")+IMPORTRANGE(""https://docs.google.com/spreadsheets/d/1vVf6wykvW_lAyu7Yo9L4hUTqHqIeP_qcVuxCtosJEbg/edit?usp=sharing"",""ปราจีนบุรี!L562"")+IMPORTRANGE(""https://docs.googl"&amp;"e.com/spreadsheets/d/1BIDqLLg5jk3v59G8NlR8rk5xfQDKne0sAvZHSj7TI6I/edit?usp=sharing"",""พระนครศรีอยุธยา!L562"")+IMPORTRANGE(""https://docs.google.com/spreadsheets/d/1YXvxf8Yu6_rV4hTBrwMqAcAnv6DfhUxh5emyM3CJp_w/edit?usp=sharing"",""เพชรบุรี!L562"")+IMPORTRA"&amp;"NGE(""https://docs.google.com/spreadsheets/d/19KBlQQs7uwvsao6t2n-KvW3Ax8J8uRRfZPq1zPbXgKc/edit?usp=sharing"",""ระยอง!L562"")+IMPORTRANGE(""https://docs.google.com/spreadsheets/d/1jQ6P4QcrGM89YfqcC_PxOHGCMq5ezhucwJd8ci-NHng/edit?usp=sharing"",""ราชบุรี!L56"&amp;"2"")+IMPORTRANGE(""https://docs.google.com/spreadsheets/d/1lufeA2cfFqM-elVq2hznhDzC6Pr7wkJ9ZG_sYNGCMCU/edit?usp=sharing"",""ลพบุรี!L562"")+IMPORTRANGE(""https://docs.google.com/spreadsheets/d/10oOiF7loTyfsTkbd4MpaIm0HQ9SwB7IYHdIUvt-U1Uc/edit?usp=sharing"""&amp;",""สระแก้ว!L562"")+IMPORTRANGE(""https://docs.google.com/spreadsheets/d/1xmPlrr1QbdSIKvl1dWUl9K4PjAfSL9oeMr_37QVzcxc/edit?usp=sharing"",""สระบุรี!L562"")+IMPORTRANGE(""https://docs.google.com/spreadsheets/d/1j51vR6CYVGhABJpv6tkstgok82RLpXieLzW1yOY5rHw/edi"&amp;"t?usp=sharing"",""สิงห์บุรี!L562"")+IMPORTRANGE(""https://docs.google.com/spreadsheets/d/1H1EalTWKUSzO4Z1-1CwzoDUaVffgrThEBe2sl74kKG0/edit?usp=sharing"",""สุพรรณบุรี!L562"")+IMPORTRANGE(""https://docs.google.com/spreadsheets/d/1BmIruG_sIrJLYao_Pdr7zVArWsf"&amp;"oBt2692TMi6x_854/edit?usp=sharing"",""อ่างทอง!L562"")"),0)</f>
        <v>0</v>
      </c>
      <c r="M563" s="77">
        <f ca="1">IFERROR(__xludf.DUMMYFUNCTION("IMPORTRANGE(""https://docs.google.com/spreadsheets/d/13wPX838HrBrQMCywv1BsuMkt4PEKTChp52zj44s2izQ/edit?usp=sharing"",""กาญจนบุรี!M562"")+IMPORTRANGE(""https://docs.google.com/spreadsheets/d/1ddFKvqj1W1NEiWytbGlB1zMx_ykJDVtmfEQ-6-lIUBA/edit?usp=sharing"","&amp;"""จันทบุรี!M562"")+IMPORTRANGE(""https://docs.google.com/spreadsheets/d/1T1PQvRODqOBZk8BRht_U031fIS1beLA0Ub2CEytj2q0/edit?usp=sharing"",""ฉะเชิงเทรา!M562"")+IMPORTRANGE(""https://docs.google.com/spreadsheets/d/11tr1B-Bhyr79v2bkwVh5h_fR-PStkgjlZtkrZpYurG0/"&amp;"edit?usp=sharing"",""ชลบุรี!M562"")+IMPORTRANGE(""https://docs.google.com/spreadsheets/d/1hh-FVnSX0vozXhGluamEcS54Dw9_zqW0N7qJUWgJ0Sw/edit?usp=sharing"",""ชัยนาท!M562"")+IMPORTRANGE(""https://docs.google.com/spreadsheets/d/1jkqa6GXxSacMcY1eN8AHjMNJ_7dDXMJ"&amp;"VRLDlaFSOdPM/edit?usp=sharing"",""ตราด!M562"")+IMPORTRANGE(""https://docs.google.com/spreadsheets/d/18hSgUJ3VwClqi_qtULmmW3cLr0oe3OKaSYoKzdpTsYQ/edit?usp=sharing"",""นครนายก!M562"")+IMPORTRANGE(""https://docs.google.com/spreadsheets/d/1YTZo6WM2dQ6Ix6FSdnL"&amp;"5P7uVnVKu40sxZu975tgG10E/edit?usp=sharing"",""นครปฐม!M562"")+IMPORTRANGE(""https://docs.google.com/spreadsheets/d/1OYoGg4WDg5RIzwGeB10padOxJF9E_Vljuvvct_M7RDo/edit?usp=sharing"",""ปทุมธานี!M562"")+IMPORTRANGE(""https://docs.google.com/spreadsheets/d/1GbCI"&amp;"E4D4wk9FUozzqk7SxfDMxDVBwVmI5zcaVUSzKAc/edit?usp=sharing"",""ประจวบคีรีขันธ์!M562"")+IMPORTRANGE(""https://docs.google.com/spreadsheets/d/1vVf6wykvW_lAyu7Yo9L4hUTqHqIeP_qcVuxCtosJEbg/edit?usp=sharing"",""ปราจีนบุรี!M562"")+IMPORTRANGE(""https://docs.googl"&amp;"e.com/spreadsheets/d/1BIDqLLg5jk3v59G8NlR8rk5xfQDKne0sAvZHSj7TI6I/edit?usp=sharing"",""พระนครศรีอยุธยา!M562"")+IMPORTRANGE(""https://docs.google.com/spreadsheets/d/1YXvxf8Yu6_rV4hTBrwMqAcAnv6DfhUxh5emyM3CJp_w/edit?usp=sharing"",""เพชรบุรี!M562"")+IMPORTRA"&amp;"NGE(""https://docs.google.com/spreadsheets/d/19KBlQQs7uwvsao6t2n-KvW3Ax8J8uRRfZPq1zPbXgKc/edit?usp=sharing"",""ระยอง!M562"")+IMPORTRANGE(""https://docs.google.com/spreadsheets/d/1jQ6P4QcrGM89YfqcC_PxOHGCMq5ezhucwJd8ci-NHng/edit?usp=sharing"",""ราชบุรี!M56"&amp;"2"")+IMPORTRANGE(""https://docs.google.com/spreadsheets/d/1lufeA2cfFqM-elVq2hznhDzC6Pr7wkJ9ZG_sYNGCMCU/edit?usp=sharing"",""ลพบุรี!M562"")+IMPORTRANGE(""https://docs.google.com/spreadsheets/d/10oOiF7loTyfsTkbd4MpaIm0HQ9SwB7IYHdIUvt-U1Uc/edit?usp=sharing"""&amp;",""สระแก้ว!M562"")+IMPORTRANGE(""https://docs.google.com/spreadsheets/d/1xmPlrr1QbdSIKvl1dWUl9K4PjAfSL9oeMr_37QVzcxc/edit?usp=sharing"",""สระบุรี!M562"")+IMPORTRANGE(""https://docs.google.com/spreadsheets/d/1j51vR6CYVGhABJpv6tkstgok82RLpXieLzW1yOY5rHw/edi"&amp;"t?usp=sharing"",""สิงห์บุรี!M562"")+IMPORTRANGE(""https://docs.google.com/spreadsheets/d/1H1EalTWKUSzO4Z1-1CwzoDUaVffgrThEBe2sl74kKG0/edit?usp=sharing"",""สุพรรณบุรี!M562"")+IMPORTRANGE(""https://docs.google.com/spreadsheets/d/1BmIruG_sIrJLYao_Pdr7zVArWsf"&amp;"oBt2692TMi6x_854/edit?usp=sharing"",""อ่างทอง!M562"")"),0)</f>
        <v>0</v>
      </c>
      <c r="N563" s="77">
        <f ca="1">IFERROR(__xludf.DUMMYFUNCTION("IMPORTRANGE(""https://docs.google.com/spreadsheets/d/13wPX838HrBrQMCywv1BsuMkt4PEKTChp52zj44s2izQ/edit?usp=sharing"",""กาญจนบุรี!N562"")+IMPORTRANGE(""https://docs.google.com/spreadsheets/d/1ddFKvqj1W1NEiWytbGlB1zMx_ykJDVtmfEQ-6-lIUBA/edit?usp=sharing"","&amp;"""จันทบุรี!N562"")+IMPORTRANGE(""https://docs.google.com/spreadsheets/d/1T1PQvRODqOBZk8BRht_U031fIS1beLA0Ub2CEytj2q0/edit?usp=sharing"",""ฉะเชิงเทรา!N562"")+IMPORTRANGE(""https://docs.google.com/spreadsheets/d/11tr1B-Bhyr79v2bkwVh5h_fR-PStkgjlZtkrZpYurG0/"&amp;"edit?usp=sharing"",""ชลบุรี!N562"")+IMPORTRANGE(""https://docs.google.com/spreadsheets/d/1hh-FVnSX0vozXhGluamEcS54Dw9_zqW0N7qJUWgJ0Sw/edit?usp=sharing"",""ชัยนาท!N562"")+IMPORTRANGE(""https://docs.google.com/spreadsheets/d/1jkqa6GXxSacMcY1eN8AHjMNJ_7dDXMJ"&amp;"VRLDlaFSOdPM/edit?usp=sharing"",""ตราด!N562"")+IMPORTRANGE(""https://docs.google.com/spreadsheets/d/18hSgUJ3VwClqi_qtULmmW3cLr0oe3OKaSYoKzdpTsYQ/edit?usp=sharing"",""นครนายก!N562"")+IMPORTRANGE(""https://docs.google.com/spreadsheets/d/1YTZo6WM2dQ6Ix6FSdnL"&amp;"5P7uVnVKu40sxZu975tgG10E/edit?usp=sharing"",""นครปฐม!N562"")+IMPORTRANGE(""https://docs.google.com/spreadsheets/d/1OYoGg4WDg5RIzwGeB10padOxJF9E_Vljuvvct_M7RDo/edit?usp=sharing"",""ปทุมธานี!N562"")+IMPORTRANGE(""https://docs.google.com/spreadsheets/d/1GbCI"&amp;"E4D4wk9FUozzqk7SxfDMxDVBwVmI5zcaVUSzKAc/edit?usp=sharing"",""ประจวบคีรีขันธ์!N562"")+IMPORTRANGE(""https://docs.google.com/spreadsheets/d/1vVf6wykvW_lAyu7Yo9L4hUTqHqIeP_qcVuxCtosJEbg/edit?usp=sharing"",""ปราจีนบุรี!N562"")+IMPORTRANGE(""https://docs.googl"&amp;"e.com/spreadsheets/d/1BIDqLLg5jk3v59G8NlR8rk5xfQDKne0sAvZHSj7TI6I/edit?usp=sharing"",""พระนครศรีอยุธยา!N562"")+IMPORTRANGE(""https://docs.google.com/spreadsheets/d/1YXvxf8Yu6_rV4hTBrwMqAcAnv6DfhUxh5emyM3CJp_w/edit?usp=sharing"",""เพชรบุรี!N562"")+IMPORTRA"&amp;"NGE(""https://docs.google.com/spreadsheets/d/19KBlQQs7uwvsao6t2n-KvW3Ax8J8uRRfZPq1zPbXgKc/edit?usp=sharing"",""ระยอง!N562"")+IMPORTRANGE(""https://docs.google.com/spreadsheets/d/1jQ6P4QcrGM89YfqcC_PxOHGCMq5ezhucwJd8ci-NHng/edit?usp=sharing"",""ราชบุรี!N56"&amp;"2"")+IMPORTRANGE(""https://docs.google.com/spreadsheets/d/1lufeA2cfFqM-elVq2hznhDzC6Pr7wkJ9ZG_sYNGCMCU/edit?usp=sharing"",""ลพบุรี!N562"")+IMPORTRANGE(""https://docs.google.com/spreadsheets/d/10oOiF7loTyfsTkbd4MpaIm0HQ9SwB7IYHdIUvt-U1Uc/edit?usp=sharing"""&amp;",""สระแก้ว!N562"")+IMPORTRANGE(""https://docs.google.com/spreadsheets/d/1xmPlrr1QbdSIKvl1dWUl9K4PjAfSL9oeMr_37QVzcxc/edit?usp=sharing"",""สระบุรี!N562"")+IMPORTRANGE(""https://docs.google.com/spreadsheets/d/1j51vR6CYVGhABJpv6tkstgok82RLpXieLzW1yOY5rHw/edi"&amp;"t?usp=sharing"",""สิงห์บุรี!N562"")+IMPORTRANGE(""https://docs.google.com/spreadsheets/d/1H1EalTWKUSzO4Z1-1CwzoDUaVffgrThEBe2sl74kKG0/edit?usp=sharing"",""สุพรรณบุรี!N562"")+IMPORTRANGE(""https://docs.google.com/spreadsheets/d/1BmIruG_sIrJLYao_Pdr7zVArWsf"&amp;"oBt2692TMi6x_854/edit?usp=sharing"",""อ่างทอง!N562"")"),0)</f>
        <v>0</v>
      </c>
      <c r="O563" s="77">
        <f t="shared" ca="1" si="386"/>
        <v>0</v>
      </c>
      <c r="P563" s="77">
        <f t="shared" ca="1" si="387"/>
        <v>0</v>
      </c>
      <c r="Q563" s="76">
        <f ca="1">IFERROR(__xludf.DUMMYFUNCTION("IMPORTRANGE(""https://docs.google.com/spreadsheets/d/13wPX838HrBrQMCywv1BsuMkt4PEKTChp52zj44s2izQ/edit?usp=sharing"",""กาญจนบุรี!Q562"")+IMPORTRANGE(""https://docs.google.com/spreadsheets/d/1ddFKvqj1W1NEiWytbGlB1zMx_ykJDVtmfEQ-6-lIUBA/edit?usp=sharing"","&amp;"""จันทบุรี!Q562"")+IMPORTRANGE(""https://docs.google.com/spreadsheets/d/1T1PQvRODqOBZk8BRht_U031fIS1beLA0Ub2CEytj2q0/edit?usp=sharing"",""ฉะเชิงเทรา!Q562"")+IMPORTRANGE(""https://docs.google.com/spreadsheets/d/11tr1B-Bhyr79v2bkwVh5h_fR-PStkgjlZtkrZpYurG0/"&amp;"edit?usp=sharing"",""ชลบุรี!Q562"")+IMPORTRANGE(""https://docs.google.com/spreadsheets/d/1hh-FVnSX0vozXhGluamEcS54Dw9_zqW0N7qJUWgJ0Sw/edit?usp=sharing"",""ชัยนาท!Q562"")+IMPORTRANGE(""https://docs.google.com/spreadsheets/d/1jkqa6GXxSacMcY1eN8AHjMNJ_7dDXMJ"&amp;"VRLDlaFSOdPM/edit?usp=sharing"",""ตราด!Q562"")+IMPORTRANGE(""https://docs.google.com/spreadsheets/d/18hSgUJ3VwClqi_qtULmmW3cLr0oe3OKaSYoKzdpTsYQ/edit?usp=sharing"",""นครนายก!Q562"")+IMPORTRANGE(""https://docs.google.com/spreadsheets/d/1YTZo6WM2dQ6Ix6FSdnL"&amp;"5P7uVnVKu40sxZu975tgG10E/edit?usp=sharing"",""นครปฐม!Q562"")+IMPORTRANGE(""https://docs.google.com/spreadsheets/d/1OYoGg4WDg5RIzwGeB10padOxJF9E_Vljuvvct_M7RDo/edit?usp=sharing"",""ปทุมธานี!Q562"")+IMPORTRANGE(""https://docs.google.com/spreadsheets/d/1GbCI"&amp;"E4D4wk9FUozzqk7SxfDMxDVBwVmI5zcaVUSzKAc/edit?usp=sharing"",""ประจวบคีรีขันธ์!Q562"")+IMPORTRANGE(""https://docs.google.com/spreadsheets/d/1vVf6wykvW_lAyu7Yo9L4hUTqHqIeP_qcVuxCtosJEbg/edit?usp=sharing"",""ปราจีนบุรี!Q562"")+IMPORTRANGE(""https://docs.googl"&amp;"e.com/spreadsheets/d/1BIDqLLg5jk3v59G8NlR8rk5xfQDKne0sAvZHSj7TI6I/edit?usp=sharing"",""พระนครศรีอยุธยา!Q562"")+IMPORTRANGE(""https://docs.google.com/spreadsheets/d/1YXvxf8Yu6_rV4hTBrwMqAcAnv6DfhUxh5emyM3CJp_w/edit?usp=sharing"",""เพชรบุรี!Q562"")+IMPORTRA"&amp;"NGE(""https://docs.google.com/spreadsheets/d/19KBlQQs7uwvsao6t2n-KvW3Ax8J8uRRfZPq1zPbXgKc/edit?usp=sharing"",""ระยอง!Q562"")+IMPORTRANGE(""https://docs.google.com/spreadsheets/d/1jQ6P4QcrGM89YfqcC_PxOHGCMq5ezhucwJd8ci-NHng/edit?usp=sharing"",""ราชบุรี!Q56"&amp;"2"")+IMPORTRANGE(""https://docs.google.com/spreadsheets/d/1lufeA2cfFqM-elVq2hznhDzC6Pr7wkJ9ZG_sYNGCMCU/edit?usp=sharing"",""ลพบุรี!Q562"")+IMPORTRANGE(""https://docs.google.com/spreadsheets/d/10oOiF7loTyfsTkbd4MpaIm0HQ9SwB7IYHdIUvt-U1Uc/edit?usp=sharing"""&amp;",""สระแก้ว!Q562"")+IMPORTRANGE(""https://docs.google.com/spreadsheets/d/1xmPlrr1QbdSIKvl1dWUl9K4PjAfSL9oeMr_37QVzcxc/edit?usp=sharing"",""สระบุรี!Q562"")+IMPORTRANGE(""https://docs.google.com/spreadsheets/d/1j51vR6CYVGhABJpv6tkstgok82RLpXieLzW1yOY5rHw/edi"&amp;"t?usp=sharing"",""สิงห์บุรี!Q562"")+IMPORTRANGE(""https://docs.google.com/spreadsheets/d/1H1EalTWKUSzO4Z1-1CwzoDUaVffgrThEBe2sl74kKG0/edit?usp=sharing"",""สุพรรณบุรี!Q562"")+IMPORTRANGE(""https://docs.google.com/spreadsheets/d/1BmIruG_sIrJLYao_Pdr7zVArWsf"&amp;"oBt2692TMi6x_854/edit?usp=sharing"",""อ่างทอง!Q562"")"),0)</f>
        <v>0</v>
      </c>
      <c r="R563" s="77">
        <f ca="1">IFERROR(__xludf.DUMMYFUNCTION("IMPORTRANGE(""https://docs.google.com/spreadsheets/d/13wPX838HrBrQMCywv1BsuMkt4PEKTChp52zj44s2izQ/edit?usp=sharing"",""กาญจนบุรี!R562"")+IMPORTRANGE(""https://docs.google.com/spreadsheets/d/1ddFKvqj1W1NEiWytbGlB1zMx_ykJDVtmfEQ-6-lIUBA/edit?usp=sharing"","&amp;"""จันทบุรี!R562"")+IMPORTRANGE(""https://docs.google.com/spreadsheets/d/1T1PQvRODqOBZk8BRht_U031fIS1beLA0Ub2CEytj2q0/edit?usp=sharing"",""ฉะเชิงเทรา!R562"")+IMPORTRANGE(""https://docs.google.com/spreadsheets/d/11tr1B-Bhyr79v2bkwVh5h_fR-PStkgjlZtkrZpYurG0/"&amp;"edit?usp=sharing"",""ชลบุรี!R562"")+IMPORTRANGE(""https://docs.google.com/spreadsheets/d/1hh-FVnSX0vozXhGluamEcS54Dw9_zqW0N7qJUWgJ0Sw/edit?usp=sharing"",""ชัยนาท!R562"")+IMPORTRANGE(""https://docs.google.com/spreadsheets/d/1jkqa6GXxSacMcY1eN8AHjMNJ_7dDXMJ"&amp;"VRLDlaFSOdPM/edit?usp=sharing"",""ตราด!R562"")+IMPORTRANGE(""https://docs.google.com/spreadsheets/d/18hSgUJ3VwClqi_qtULmmW3cLr0oe3OKaSYoKzdpTsYQ/edit?usp=sharing"",""นครนายก!R562"")+IMPORTRANGE(""https://docs.google.com/spreadsheets/d/1YTZo6WM2dQ6Ix6FSdnL"&amp;"5P7uVnVKu40sxZu975tgG10E/edit?usp=sharing"",""นครปฐม!R562"")+IMPORTRANGE(""https://docs.google.com/spreadsheets/d/1OYoGg4WDg5RIzwGeB10padOxJF9E_Vljuvvct_M7RDo/edit?usp=sharing"",""ปทุมธานี!R562"")+IMPORTRANGE(""https://docs.google.com/spreadsheets/d/1GbCI"&amp;"E4D4wk9FUozzqk7SxfDMxDVBwVmI5zcaVUSzKAc/edit?usp=sharing"",""ประจวบคีรีขันธ์!R562"")+IMPORTRANGE(""https://docs.google.com/spreadsheets/d/1vVf6wykvW_lAyu7Yo9L4hUTqHqIeP_qcVuxCtosJEbg/edit?usp=sharing"",""ปราจีนบุรี!R562"")+IMPORTRANGE(""https://docs.googl"&amp;"e.com/spreadsheets/d/1BIDqLLg5jk3v59G8NlR8rk5xfQDKne0sAvZHSj7TI6I/edit?usp=sharing"",""พระนครศรีอยุธยา!R562"")+IMPORTRANGE(""https://docs.google.com/spreadsheets/d/1YXvxf8Yu6_rV4hTBrwMqAcAnv6DfhUxh5emyM3CJp_w/edit?usp=sharing"",""เพชรบุรี!R562"")+IMPORTRA"&amp;"NGE(""https://docs.google.com/spreadsheets/d/19KBlQQs7uwvsao6t2n-KvW3Ax8J8uRRfZPq1zPbXgKc/edit?usp=sharing"",""ระยอง!R562"")+IMPORTRANGE(""https://docs.google.com/spreadsheets/d/1jQ6P4QcrGM89YfqcC_PxOHGCMq5ezhucwJd8ci-NHng/edit?usp=sharing"",""ราชบุรี!R56"&amp;"2"")+IMPORTRANGE(""https://docs.google.com/spreadsheets/d/1lufeA2cfFqM-elVq2hznhDzC6Pr7wkJ9ZG_sYNGCMCU/edit?usp=sharing"",""ลพบุรี!R562"")+IMPORTRANGE(""https://docs.google.com/spreadsheets/d/10oOiF7loTyfsTkbd4MpaIm0HQ9SwB7IYHdIUvt-U1Uc/edit?usp=sharing"""&amp;",""สระแก้ว!R562"")+IMPORTRANGE(""https://docs.google.com/spreadsheets/d/1xmPlrr1QbdSIKvl1dWUl9K4PjAfSL9oeMr_37QVzcxc/edit?usp=sharing"",""สระบุรี!R562"")+IMPORTRANGE(""https://docs.google.com/spreadsheets/d/1j51vR6CYVGhABJpv6tkstgok82RLpXieLzW1yOY5rHw/edi"&amp;"t?usp=sharing"",""สิงห์บุรี!R562"")+IMPORTRANGE(""https://docs.google.com/spreadsheets/d/1H1EalTWKUSzO4Z1-1CwzoDUaVffgrThEBe2sl74kKG0/edit?usp=sharing"",""สุพรรณบุรี!R562"")+IMPORTRANGE(""https://docs.google.com/spreadsheets/d/1BmIruG_sIrJLYao_Pdr7zVArWsf"&amp;"oBt2692TMi6x_854/edit?usp=sharing"",""อ่างทอง!R562"")"),0)</f>
        <v>0</v>
      </c>
      <c r="S563" s="77">
        <f ca="1">IFERROR(__xludf.DUMMYFUNCTION("IMPORTRANGE(""https://docs.google.com/spreadsheets/d/13wPX838HrBrQMCywv1BsuMkt4PEKTChp52zj44s2izQ/edit?usp=sharing"",""กาญจนบุรี!S562"")+IMPORTRANGE(""https://docs.google.com/spreadsheets/d/1ddFKvqj1W1NEiWytbGlB1zMx_ykJDVtmfEQ-6-lIUBA/edit?usp=sharing"","&amp;"""จันทบุรี!S562"")+IMPORTRANGE(""https://docs.google.com/spreadsheets/d/1T1PQvRODqOBZk8BRht_U031fIS1beLA0Ub2CEytj2q0/edit?usp=sharing"",""ฉะเชิงเทรา!S562"")+IMPORTRANGE(""https://docs.google.com/spreadsheets/d/11tr1B-Bhyr79v2bkwVh5h_fR-PStkgjlZtkrZpYurG0/"&amp;"edit?usp=sharing"",""ชลบุรี!S562"")+IMPORTRANGE(""https://docs.google.com/spreadsheets/d/1hh-FVnSX0vozXhGluamEcS54Dw9_zqW0N7qJUWgJ0Sw/edit?usp=sharing"",""ชัยนาท!S562"")+IMPORTRANGE(""https://docs.google.com/spreadsheets/d/1jkqa6GXxSacMcY1eN8AHjMNJ_7dDXMJ"&amp;"VRLDlaFSOdPM/edit?usp=sharing"",""ตราด!S562"")+IMPORTRANGE(""https://docs.google.com/spreadsheets/d/18hSgUJ3VwClqi_qtULmmW3cLr0oe3OKaSYoKzdpTsYQ/edit?usp=sharing"",""นครนายก!S562"")+IMPORTRANGE(""https://docs.google.com/spreadsheets/d/1YTZo6WM2dQ6Ix6FSdnL"&amp;"5P7uVnVKu40sxZu975tgG10E/edit?usp=sharing"",""นครปฐม!S562"")+IMPORTRANGE(""https://docs.google.com/spreadsheets/d/1OYoGg4WDg5RIzwGeB10padOxJF9E_Vljuvvct_M7RDo/edit?usp=sharing"",""ปทุมธานี!S562"")+IMPORTRANGE(""https://docs.google.com/spreadsheets/d/1GbCI"&amp;"E4D4wk9FUozzqk7SxfDMxDVBwVmI5zcaVUSzKAc/edit?usp=sharing"",""ประจวบคีรีขันธ์!S562"")+IMPORTRANGE(""https://docs.google.com/spreadsheets/d/1vVf6wykvW_lAyu7Yo9L4hUTqHqIeP_qcVuxCtosJEbg/edit?usp=sharing"",""ปราจีนบุรี!S562"")+IMPORTRANGE(""https://docs.googl"&amp;"e.com/spreadsheets/d/1BIDqLLg5jk3v59G8NlR8rk5xfQDKne0sAvZHSj7TI6I/edit?usp=sharing"",""พระนครศรีอยุธยา!S562"")+IMPORTRANGE(""https://docs.google.com/spreadsheets/d/1YXvxf8Yu6_rV4hTBrwMqAcAnv6DfhUxh5emyM3CJp_w/edit?usp=sharing"",""เพชรบุรี!S562"")+IMPORTRA"&amp;"NGE(""https://docs.google.com/spreadsheets/d/19KBlQQs7uwvsao6t2n-KvW3Ax8J8uRRfZPq1zPbXgKc/edit?usp=sharing"",""ระยอง!S562"")+IMPORTRANGE(""https://docs.google.com/spreadsheets/d/1jQ6P4QcrGM89YfqcC_PxOHGCMq5ezhucwJd8ci-NHng/edit?usp=sharing"",""ราชบุรี!S56"&amp;"2"")+IMPORTRANGE(""https://docs.google.com/spreadsheets/d/1lufeA2cfFqM-elVq2hznhDzC6Pr7wkJ9ZG_sYNGCMCU/edit?usp=sharing"",""ลพบุรี!S562"")+IMPORTRANGE(""https://docs.google.com/spreadsheets/d/10oOiF7loTyfsTkbd4MpaIm0HQ9SwB7IYHdIUvt-U1Uc/edit?usp=sharing"""&amp;",""สระแก้ว!S562"")+IMPORTRANGE(""https://docs.google.com/spreadsheets/d/1xmPlrr1QbdSIKvl1dWUl9K4PjAfSL9oeMr_37QVzcxc/edit?usp=sharing"",""สระบุรี!S562"")+IMPORTRANGE(""https://docs.google.com/spreadsheets/d/1j51vR6CYVGhABJpv6tkstgok82RLpXieLzW1yOY5rHw/edi"&amp;"t?usp=sharing"",""สิงห์บุรี!S562"")+IMPORTRANGE(""https://docs.google.com/spreadsheets/d/1H1EalTWKUSzO4Z1-1CwzoDUaVffgrThEBe2sl74kKG0/edit?usp=sharing"",""สุพรรณบุรี!S562"")+IMPORTRANGE(""https://docs.google.com/spreadsheets/d/1BmIruG_sIrJLYao_Pdr7zVArWsf"&amp;"oBt2692TMi6x_854/edit?usp=sharing"",""อ่างทอง!S562"")"),0)</f>
        <v>0</v>
      </c>
      <c r="T563" s="133">
        <f t="shared" ca="1" si="389"/>
        <v>0</v>
      </c>
      <c r="U563" s="133">
        <f t="shared" ca="1" si="390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4">
        <f ca="1">IFERROR(__xludf.DUMMYFUNCTION("IMPORTRANGE(""https://docs.google.com/spreadsheets/d/13wPX838HrBrQMCywv1BsuMkt4PEKTChp52zj44s2izQ/edit?usp=sharing"",""กาญจนบุรี!L563"")+IMPORTRANGE(""https://docs.google.com/spreadsheets/d/1ddFKvqj1W1NEiWytbGlB1zMx_ykJDVtmfEQ-6-lIUBA/edit?usp=sharing"","&amp;"""จันทบุรี!L563"")+IMPORTRANGE(""https://docs.google.com/spreadsheets/d/1T1PQvRODqOBZk8BRht_U031fIS1beLA0Ub2CEytj2q0/edit?usp=sharing"",""ฉะเชิงเทรา!L563"")+IMPORTRANGE(""https://docs.google.com/spreadsheets/d/11tr1B-Bhyr79v2bkwVh5h_fR-PStkgjlZtkrZpYurG0/"&amp;"edit?usp=sharing"",""ชลบุรี!L563"")+IMPORTRANGE(""https://docs.google.com/spreadsheets/d/1hh-FVnSX0vozXhGluamEcS54Dw9_zqW0N7qJUWgJ0Sw/edit?usp=sharing"",""ชัยนาท!L563"")+IMPORTRANGE(""https://docs.google.com/spreadsheets/d/1jkqa6GXxSacMcY1eN8AHjMNJ_7dDXMJ"&amp;"VRLDlaFSOdPM/edit?usp=sharing"",""ตราด!L563"")+IMPORTRANGE(""https://docs.google.com/spreadsheets/d/18hSgUJ3VwClqi_qtULmmW3cLr0oe3OKaSYoKzdpTsYQ/edit?usp=sharing"",""นครนายก!L563"")+IMPORTRANGE(""https://docs.google.com/spreadsheets/d/1YTZo6WM2dQ6Ix6FSdnL"&amp;"5P7uVnVKu40sxZu975tgG10E/edit?usp=sharing"",""นครปฐม!L563"")+IMPORTRANGE(""https://docs.google.com/spreadsheets/d/1OYoGg4WDg5RIzwGeB10padOxJF9E_Vljuvvct_M7RDo/edit?usp=sharing"",""ปทุมธานี!L563"")+IMPORTRANGE(""https://docs.google.com/spreadsheets/d/1GbCI"&amp;"E4D4wk9FUozzqk7SxfDMxDVBwVmI5zcaVUSzKAc/edit?usp=sharing"",""ประจวบคีรีขันธ์!L563"")+IMPORTRANGE(""https://docs.google.com/spreadsheets/d/1vVf6wykvW_lAyu7Yo9L4hUTqHqIeP_qcVuxCtosJEbg/edit?usp=sharing"",""ปราจีนบุรี!L563"")+IMPORTRANGE(""https://docs.googl"&amp;"e.com/spreadsheets/d/1BIDqLLg5jk3v59G8NlR8rk5xfQDKne0sAvZHSj7TI6I/edit?usp=sharing"",""พระนครศรีอยุธยา!L563"")+IMPORTRANGE(""https://docs.google.com/spreadsheets/d/1YXvxf8Yu6_rV4hTBrwMqAcAnv6DfhUxh5emyM3CJp_w/edit?usp=sharing"",""เพชรบุรี!L563"")+IMPORTRA"&amp;"NGE(""https://docs.google.com/spreadsheets/d/19KBlQQs7uwvsao6t2n-KvW3Ax8J8uRRfZPq1zPbXgKc/edit?usp=sharing"",""ระยอง!L563"")+IMPORTRANGE(""https://docs.google.com/spreadsheets/d/1jQ6P4QcrGM89YfqcC_PxOHGCMq5ezhucwJd8ci-NHng/edit?usp=sharing"",""ราชบุรี!L56"&amp;"3"")+IMPORTRANGE(""https://docs.google.com/spreadsheets/d/1lufeA2cfFqM-elVq2hznhDzC6Pr7wkJ9ZG_sYNGCMCU/edit?usp=sharing"",""ลพบุรี!L563"")+IMPORTRANGE(""https://docs.google.com/spreadsheets/d/10oOiF7loTyfsTkbd4MpaIm0HQ9SwB7IYHdIUvt-U1Uc/edit?usp=sharing"""&amp;",""สระแก้ว!L563"")+IMPORTRANGE(""https://docs.google.com/spreadsheets/d/1xmPlrr1QbdSIKvl1dWUl9K4PjAfSL9oeMr_37QVzcxc/edit?usp=sharing"",""สระบุรี!L563"")+IMPORTRANGE(""https://docs.google.com/spreadsheets/d/1j51vR6CYVGhABJpv6tkstgok82RLpXieLzW1yOY5rHw/edi"&amp;"t?usp=sharing"",""สิงห์บุรี!L563"")+IMPORTRANGE(""https://docs.google.com/spreadsheets/d/1H1EalTWKUSzO4Z1-1CwzoDUaVffgrThEBe2sl74kKG0/edit?usp=sharing"",""สุพรรณบุรี!L563"")+IMPORTRANGE(""https://docs.google.com/spreadsheets/d/1BmIruG_sIrJLYao_Pdr7zVArWsf"&amp;"oBt2692TMi6x_854/edit?usp=sharing"",""อ่างทอง!L563"")"),0)</f>
        <v>0</v>
      </c>
      <c r="M564" s="74">
        <f ca="1">IFERROR(__xludf.DUMMYFUNCTION("IMPORTRANGE(""https://docs.google.com/spreadsheets/d/13wPX838HrBrQMCywv1BsuMkt4PEKTChp52zj44s2izQ/edit?usp=sharing"",""กาญจนบุรี!M563"")+IMPORTRANGE(""https://docs.google.com/spreadsheets/d/1ddFKvqj1W1NEiWytbGlB1zMx_ykJDVtmfEQ-6-lIUBA/edit?usp=sharing"","&amp;"""จันทบุรี!M563"")+IMPORTRANGE(""https://docs.google.com/spreadsheets/d/1T1PQvRODqOBZk8BRht_U031fIS1beLA0Ub2CEytj2q0/edit?usp=sharing"",""ฉะเชิงเทรา!M563"")+IMPORTRANGE(""https://docs.google.com/spreadsheets/d/11tr1B-Bhyr79v2bkwVh5h_fR-PStkgjlZtkrZpYurG0/"&amp;"edit?usp=sharing"",""ชลบุรี!M563"")+IMPORTRANGE(""https://docs.google.com/spreadsheets/d/1hh-FVnSX0vozXhGluamEcS54Dw9_zqW0N7qJUWgJ0Sw/edit?usp=sharing"",""ชัยนาท!M563"")+IMPORTRANGE(""https://docs.google.com/spreadsheets/d/1jkqa6GXxSacMcY1eN8AHjMNJ_7dDXMJ"&amp;"VRLDlaFSOdPM/edit?usp=sharing"",""ตราด!M563"")+IMPORTRANGE(""https://docs.google.com/spreadsheets/d/18hSgUJ3VwClqi_qtULmmW3cLr0oe3OKaSYoKzdpTsYQ/edit?usp=sharing"",""นครนายก!M563"")+IMPORTRANGE(""https://docs.google.com/spreadsheets/d/1YTZo6WM2dQ6Ix6FSdnL"&amp;"5P7uVnVKu40sxZu975tgG10E/edit?usp=sharing"",""นครปฐม!M563"")+IMPORTRANGE(""https://docs.google.com/spreadsheets/d/1OYoGg4WDg5RIzwGeB10padOxJF9E_Vljuvvct_M7RDo/edit?usp=sharing"",""ปทุมธานี!M563"")+IMPORTRANGE(""https://docs.google.com/spreadsheets/d/1GbCI"&amp;"E4D4wk9FUozzqk7SxfDMxDVBwVmI5zcaVUSzKAc/edit?usp=sharing"",""ประจวบคีรีขันธ์!M563"")+IMPORTRANGE(""https://docs.google.com/spreadsheets/d/1vVf6wykvW_lAyu7Yo9L4hUTqHqIeP_qcVuxCtosJEbg/edit?usp=sharing"",""ปราจีนบุรี!M563"")+IMPORTRANGE(""https://docs.googl"&amp;"e.com/spreadsheets/d/1BIDqLLg5jk3v59G8NlR8rk5xfQDKne0sAvZHSj7TI6I/edit?usp=sharing"",""พระนครศรีอยุธยา!M563"")+IMPORTRANGE(""https://docs.google.com/spreadsheets/d/1YXvxf8Yu6_rV4hTBrwMqAcAnv6DfhUxh5emyM3CJp_w/edit?usp=sharing"",""เพชรบุรี!M563"")+IMPORTRA"&amp;"NGE(""https://docs.google.com/spreadsheets/d/19KBlQQs7uwvsao6t2n-KvW3Ax8J8uRRfZPq1zPbXgKc/edit?usp=sharing"",""ระยอง!M563"")+IMPORTRANGE(""https://docs.google.com/spreadsheets/d/1jQ6P4QcrGM89YfqcC_PxOHGCMq5ezhucwJd8ci-NHng/edit?usp=sharing"",""ราชบุรี!M56"&amp;"3"")+IMPORTRANGE(""https://docs.google.com/spreadsheets/d/1lufeA2cfFqM-elVq2hznhDzC6Pr7wkJ9ZG_sYNGCMCU/edit?usp=sharing"",""ลพบุรี!M563"")+IMPORTRANGE(""https://docs.google.com/spreadsheets/d/10oOiF7loTyfsTkbd4MpaIm0HQ9SwB7IYHdIUvt-U1Uc/edit?usp=sharing"""&amp;",""สระแก้ว!M563"")+IMPORTRANGE(""https://docs.google.com/spreadsheets/d/1xmPlrr1QbdSIKvl1dWUl9K4PjAfSL9oeMr_37QVzcxc/edit?usp=sharing"",""สระบุรี!M563"")+IMPORTRANGE(""https://docs.google.com/spreadsheets/d/1j51vR6CYVGhABJpv6tkstgok82RLpXieLzW1yOY5rHw/edi"&amp;"t?usp=sharing"",""สิงห์บุรี!M563"")+IMPORTRANGE(""https://docs.google.com/spreadsheets/d/1H1EalTWKUSzO4Z1-1CwzoDUaVffgrThEBe2sl74kKG0/edit?usp=sharing"",""สุพรรณบุรี!M563"")+IMPORTRANGE(""https://docs.google.com/spreadsheets/d/1BmIruG_sIrJLYao_Pdr7zVArWsf"&amp;"oBt2692TMi6x_854/edit?usp=sharing"",""อ่างทอง!M563"")"),0)</f>
        <v>0</v>
      </c>
      <c r="N564" s="74">
        <f ca="1">IFERROR(__xludf.DUMMYFUNCTION("IMPORTRANGE(""https://docs.google.com/spreadsheets/d/13wPX838HrBrQMCywv1BsuMkt4PEKTChp52zj44s2izQ/edit?usp=sharing"",""กาญจนบุรี!N563"")+IMPORTRANGE(""https://docs.google.com/spreadsheets/d/1ddFKvqj1W1NEiWytbGlB1zMx_ykJDVtmfEQ-6-lIUBA/edit?usp=sharing"","&amp;"""จันทบุรี!N563"")+IMPORTRANGE(""https://docs.google.com/spreadsheets/d/1T1PQvRODqOBZk8BRht_U031fIS1beLA0Ub2CEytj2q0/edit?usp=sharing"",""ฉะเชิงเทรา!N563"")+IMPORTRANGE(""https://docs.google.com/spreadsheets/d/11tr1B-Bhyr79v2bkwVh5h_fR-PStkgjlZtkrZpYurG0/"&amp;"edit?usp=sharing"",""ชลบุรี!N563"")+IMPORTRANGE(""https://docs.google.com/spreadsheets/d/1hh-FVnSX0vozXhGluamEcS54Dw9_zqW0N7qJUWgJ0Sw/edit?usp=sharing"",""ชัยนาท!N563"")+IMPORTRANGE(""https://docs.google.com/spreadsheets/d/1jkqa6GXxSacMcY1eN8AHjMNJ_7dDXMJ"&amp;"VRLDlaFSOdPM/edit?usp=sharing"",""ตราด!N563"")+IMPORTRANGE(""https://docs.google.com/spreadsheets/d/18hSgUJ3VwClqi_qtULmmW3cLr0oe3OKaSYoKzdpTsYQ/edit?usp=sharing"",""นครนายก!N563"")+IMPORTRANGE(""https://docs.google.com/spreadsheets/d/1YTZo6WM2dQ6Ix6FSdnL"&amp;"5P7uVnVKu40sxZu975tgG10E/edit?usp=sharing"",""นครปฐม!N563"")+IMPORTRANGE(""https://docs.google.com/spreadsheets/d/1OYoGg4WDg5RIzwGeB10padOxJF9E_Vljuvvct_M7RDo/edit?usp=sharing"",""ปทุมธานี!N563"")+IMPORTRANGE(""https://docs.google.com/spreadsheets/d/1GbCI"&amp;"E4D4wk9FUozzqk7SxfDMxDVBwVmI5zcaVUSzKAc/edit?usp=sharing"",""ประจวบคีรีขันธ์!N563"")+IMPORTRANGE(""https://docs.google.com/spreadsheets/d/1vVf6wykvW_lAyu7Yo9L4hUTqHqIeP_qcVuxCtosJEbg/edit?usp=sharing"",""ปราจีนบุรี!N563"")+IMPORTRANGE(""https://docs.googl"&amp;"e.com/spreadsheets/d/1BIDqLLg5jk3v59G8NlR8rk5xfQDKne0sAvZHSj7TI6I/edit?usp=sharing"",""พระนครศรีอยุธยา!N563"")+IMPORTRANGE(""https://docs.google.com/spreadsheets/d/1YXvxf8Yu6_rV4hTBrwMqAcAnv6DfhUxh5emyM3CJp_w/edit?usp=sharing"",""เพชรบุรี!N563"")+IMPORTRA"&amp;"NGE(""https://docs.google.com/spreadsheets/d/19KBlQQs7uwvsao6t2n-KvW3Ax8J8uRRfZPq1zPbXgKc/edit?usp=sharing"",""ระยอง!N563"")+IMPORTRANGE(""https://docs.google.com/spreadsheets/d/1jQ6P4QcrGM89YfqcC_PxOHGCMq5ezhucwJd8ci-NHng/edit?usp=sharing"",""ราชบุรี!N56"&amp;"3"")+IMPORTRANGE(""https://docs.google.com/spreadsheets/d/1lufeA2cfFqM-elVq2hznhDzC6Pr7wkJ9ZG_sYNGCMCU/edit?usp=sharing"",""ลพบุรี!N563"")+IMPORTRANGE(""https://docs.google.com/spreadsheets/d/10oOiF7loTyfsTkbd4MpaIm0HQ9SwB7IYHdIUvt-U1Uc/edit?usp=sharing"""&amp;",""สระแก้ว!N563"")+IMPORTRANGE(""https://docs.google.com/spreadsheets/d/1xmPlrr1QbdSIKvl1dWUl9K4PjAfSL9oeMr_37QVzcxc/edit?usp=sharing"",""สระบุรี!N563"")+IMPORTRANGE(""https://docs.google.com/spreadsheets/d/1j51vR6CYVGhABJpv6tkstgok82RLpXieLzW1yOY5rHw/edi"&amp;"t?usp=sharing"",""สิงห์บุรี!N563"")+IMPORTRANGE(""https://docs.google.com/spreadsheets/d/1H1EalTWKUSzO4Z1-1CwzoDUaVffgrThEBe2sl74kKG0/edit?usp=sharing"",""สุพรรณบุรี!N563"")+IMPORTRANGE(""https://docs.google.com/spreadsheets/d/1BmIruG_sIrJLYao_Pdr7zVArWsf"&amp;"oBt2692TMi6x_854/edit?usp=sharing"",""อ่างทอง!N563"")"),0)</f>
        <v>0</v>
      </c>
      <c r="O564" s="74">
        <f t="shared" ca="1" si="386"/>
        <v>0</v>
      </c>
      <c r="P564" s="74">
        <f t="shared" ca="1" si="387"/>
        <v>0</v>
      </c>
      <c r="Q564" s="73">
        <f ca="1">IFERROR(__xludf.DUMMYFUNCTION("IMPORTRANGE(""https://docs.google.com/spreadsheets/d/13wPX838HrBrQMCywv1BsuMkt4PEKTChp52zj44s2izQ/edit?usp=sharing"",""กาญจนบุรี!Q563"")+IMPORTRANGE(""https://docs.google.com/spreadsheets/d/1ddFKvqj1W1NEiWytbGlB1zMx_ykJDVtmfEQ-6-lIUBA/edit?usp=sharing"","&amp;"""จันทบุรี!Q563"")+IMPORTRANGE(""https://docs.google.com/spreadsheets/d/1T1PQvRODqOBZk8BRht_U031fIS1beLA0Ub2CEytj2q0/edit?usp=sharing"",""ฉะเชิงเทรา!Q563"")+IMPORTRANGE(""https://docs.google.com/spreadsheets/d/11tr1B-Bhyr79v2bkwVh5h_fR-PStkgjlZtkrZpYurG0/"&amp;"edit?usp=sharing"",""ชลบุรี!Q563"")+IMPORTRANGE(""https://docs.google.com/spreadsheets/d/1hh-FVnSX0vozXhGluamEcS54Dw9_zqW0N7qJUWgJ0Sw/edit?usp=sharing"",""ชัยนาท!Q563"")+IMPORTRANGE(""https://docs.google.com/spreadsheets/d/1jkqa6GXxSacMcY1eN8AHjMNJ_7dDXMJ"&amp;"VRLDlaFSOdPM/edit?usp=sharing"",""ตราด!Q563"")+IMPORTRANGE(""https://docs.google.com/spreadsheets/d/18hSgUJ3VwClqi_qtULmmW3cLr0oe3OKaSYoKzdpTsYQ/edit?usp=sharing"",""นครนายก!Q563"")+IMPORTRANGE(""https://docs.google.com/spreadsheets/d/1YTZo6WM2dQ6Ix6FSdnL"&amp;"5P7uVnVKu40sxZu975tgG10E/edit?usp=sharing"",""นครปฐม!Q563"")+IMPORTRANGE(""https://docs.google.com/spreadsheets/d/1OYoGg4WDg5RIzwGeB10padOxJF9E_Vljuvvct_M7RDo/edit?usp=sharing"",""ปทุมธานี!Q563"")+IMPORTRANGE(""https://docs.google.com/spreadsheets/d/1GbCI"&amp;"E4D4wk9FUozzqk7SxfDMxDVBwVmI5zcaVUSzKAc/edit?usp=sharing"",""ประจวบคีรีขันธ์!Q563"")+IMPORTRANGE(""https://docs.google.com/spreadsheets/d/1vVf6wykvW_lAyu7Yo9L4hUTqHqIeP_qcVuxCtosJEbg/edit?usp=sharing"",""ปราจีนบุรี!Q563"")+IMPORTRANGE(""https://docs.googl"&amp;"e.com/spreadsheets/d/1BIDqLLg5jk3v59G8NlR8rk5xfQDKne0sAvZHSj7TI6I/edit?usp=sharing"",""พระนครศรีอยุธยา!Q563"")+IMPORTRANGE(""https://docs.google.com/spreadsheets/d/1YXvxf8Yu6_rV4hTBrwMqAcAnv6DfhUxh5emyM3CJp_w/edit?usp=sharing"",""เพชรบุรี!Q563"")+IMPORTRA"&amp;"NGE(""https://docs.google.com/spreadsheets/d/19KBlQQs7uwvsao6t2n-KvW3Ax8J8uRRfZPq1zPbXgKc/edit?usp=sharing"",""ระยอง!Q563"")+IMPORTRANGE(""https://docs.google.com/spreadsheets/d/1jQ6P4QcrGM89YfqcC_PxOHGCMq5ezhucwJd8ci-NHng/edit?usp=sharing"",""ราชบุรี!Q56"&amp;"3"")+IMPORTRANGE(""https://docs.google.com/spreadsheets/d/1lufeA2cfFqM-elVq2hznhDzC6Pr7wkJ9ZG_sYNGCMCU/edit?usp=sharing"",""ลพบุรี!Q563"")+IMPORTRANGE(""https://docs.google.com/spreadsheets/d/10oOiF7loTyfsTkbd4MpaIm0HQ9SwB7IYHdIUvt-U1Uc/edit?usp=sharing"""&amp;",""สระแก้ว!Q563"")+IMPORTRANGE(""https://docs.google.com/spreadsheets/d/1xmPlrr1QbdSIKvl1dWUl9K4PjAfSL9oeMr_37QVzcxc/edit?usp=sharing"",""สระบุรี!Q563"")+IMPORTRANGE(""https://docs.google.com/spreadsheets/d/1j51vR6CYVGhABJpv6tkstgok82RLpXieLzW1yOY5rHw/edi"&amp;"t?usp=sharing"",""สิงห์บุรี!Q563"")+IMPORTRANGE(""https://docs.google.com/spreadsheets/d/1H1EalTWKUSzO4Z1-1CwzoDUaVffgrThEBe2sl74kKG0/edit?usp=sharing"",""สุพรรณบุรี!Q563"")+IMPORTRANGE(""https://docs.google.com/spreadsheets/d/1BmIruG_sIrJLYao_Pdr7zVArWsf"&amp;"oBt2692TMi6x_854/edit?usp=sharing"",""อ่างทอง!Q563"")"),0)</f>
        <v>0</v>
      </c>
      <c r="R564" s="74">
        <f ca="1">IFERROR(__xludf.DUMMYFUNCTION("IMPORTRANGE(""https://docs.google.com/spreadsheets/d/13wPX838HrBrQMCywv1BsuMkt4PEKTChp52zj44s2izQ/edit?usp=sharing"",""กาญจนบุรี!R563"")+IMPORTRANGE(""https://docs.google.com/spreadsheets/d/1ddFKvqj1W1NEiWytbGlB1zMx_ykJDVtmfEQ-6-lIUBA/edit?usp=sharing"","&amp;"""จันทบุรี!R563"")+IMPORTRANGE(""https://docs.google.com/spreadsheets/d/1T1PQvRODqOBZk8BRht_U031fIS1beLA0Ub2CEytj2q0/edit?usp=sharing"",""ฉะเชิงเทรา!R563"")+IMPORTRANGE(""https://docs.google.com/spreadsheets/d/11tr1B-Bhyr79v2bkwVh5h_fR-PStkgjlZtkrZpYurG0/"&amp;"edit?usp=sharing"",""ชลบุรี!R563"")+IMPORTRANGE(""https://docs.google.com/spreadsheets/d/1hh-FVnSX0vozXhGluamEcS54Dw9_zqW0N7qJUWgJ0Sw/edit?usp=sharing"",""ชัยนาท!R563"")+IMPORTRANGE(""https://docs.google.com/spreadsheets/d/1jkqa6GXxSacMcY1eN8AHjMNJ_7dDXMJ"&amp;"VRLDlaFSOdPM/edit?usp=sharing"",""ตราด!R563"")+IMPORTRANGE(""https://docs.google.com/spreadsheets/d/18hSgUJ3VwClqi_qtULmmW3cLr0oe3OKaSYoKzdpTsYQ/edit?usp=sharing"",""นครนายก!R563"")+IMPORTRANGE(""https://docs.google.com/spreadsheets/d/1YTZo6WM2dQ6Ix6FSdnL"&amp;"5P7uVnVKu40sxZu975tgG10E/edit?usp=sharing"",""นครปฐม!R563"")+IMPORTRANGE(""https://docs.google.com/spreadsheets/d/1OYoGg4WDg5RIzwGeB10padOxJF9E_Vljuvvct_M7RDo/edit?usp=sharing"",""ปทุมธานี!R563"")+IMPORTRANGE(""https://docs.google.com/spreadsheets/d/1GbCI"&amp;"E4D4wk9FUozzqk7SxfDMxDVBwVmI5zcaVUSzKAc/edit?usp=sharing"",""ประจวบคีรีขันธ์!R563"")+IMPORTRANGE(""https://docs.google.com/spreadsheets/d/1vVf6wykvW_lAyu7Yo9L4hUTqHqIeP_qcVuxCtosJEbg/edit?usp=sharing"",""ปราจีนบุรี!R563"")+IMPORTRANGE(""https://docs.googl"&amp;"e.com/spreadsheets/d/1BIDqLLg5jk3v59G8NlR8rk5xfQDKne0sAvZHSj7TI6I/edit?usp=sharing"",""พระนครศรีอยุธยา!R563"")+IMPORTRANGE(""https://docs.google.com/spreadsheets/d/1YXvxf8Yu6_rV4hTBrwMqAcAnv6DfhUxh5emyM3CJp_w/edit?usp=sharing"",""เพชรบุรี!R563"")+IMPORTRA"&amp;"NGE(""https://docs.google.com/spreadsheets/d/19KBlQQs7uwvsao6t2n-KvW3Ax8J8uRRfZPq1zPbXgKc/edit?usp=sharing"",""ระยอง!R563"")+IMPORTRANGE(""https://docs.google.com/spreadsheets/d/1jQ6P4QcrGM89YfqcC_PxOHGCMq5ezhucwJd8ci-NHng/edit?usp=sharing"",""ราชบุรี!R56"&amp;"3"")+IMPORTRANGE(""https://docs.google.com/spreadsheets/d/1lufeA2cfFqM-elVq2hznhDzC6Pr7wkJ9ZG_sYNGCMCU/edit?usp=sharing"",""ลพบุรี!R563"")+IMPORTRANGE(""https://docs.google.com/spreadsheets/d/10oOiF7loTyfsTkbd4MpaIm0HQ9SwB7IYHdIUvt-U1Uc/edit?usp=sharing"""&amp;",""สระแก้ว!R563"")+IMPORTRANGE(""https://docs.google.com/spreadsheets/d/1xmPlrr1QbdSIKvl1dWUl9K4PjAfSL9oeMr_37QVzcxc/edit?usp=sharing"",""สระบุรี!R563"")+IMPORTRANGE(""https://docs.google.com/spreadsheets/d/1j51vR6CYVGhABJpv6tkstgok82RLpXieLzW1yOY5rHw/edi"&amp;"t?usp=sharing"",""สิงห์บุรี!R563"")+IMPORTRANGE(""https://docs.google.com/spreadsheets/d/1H1EalTWKUSzO4Z1-1CwzoDUaVffgrThEBe2sl74kKG0/edit?usp=sharing"",""สุพรรณบุรี!R563"")+IMPORTRANGE(""https://docs.google.com/spreadsheets/d/1BmIruG_sIrJLYao_Pdr7zVArWsf"&amp;"oBt2692TMi6x_854/edit?usp=sharing"",""อ่างทอง!R563"")"),0)</f>
        <v>0</v>
      </c>
      <c r="S564" s="74">
        <f ca="1">IFERROR(__xludf.DUMMYFUNCTION("IMPORTRANGE(""https://docs.google.com/spreadsheets/d/13wPX838HrBrQMCywv1BsuMkt4PEKTChp52zj44s2izQ/edit?usp=sharing"",""กาญจนบุรี!S563"")+IMPORTRANGE(""https://docs.google.com/spreadsheets/d/1ddFKvqj1W1NEiWytbGlB1zMx_ykJDVtmfEQ-6-lIUBA/edit?usp=sharing"","&amp;"""จันทบุรี!S563"")+IMPORTRANGE(""https://docs.google.com/spreadsheets/d/1T1PQvRODqOBZk8BRht_U031fIS1beLA0Ub2CEytj2q0/edit?usp=sharing"",""ฉะเชิงเทรา!S563"")+IMPORTRANGE(""https://docs.google.com/spreadsheets/d/11tr1B-Bhyr79v2bkwVh5h_fR-PStkgjlZtkrZpYurG0/"&amp;"edit?usp=sharing"",""ชลบุรี!S563"")+IMPORTRANGE(""https://docs.google.com/spreadsheets/d/1hh-FVnSX0vozXhGluamEcS54Dw9_zqW0N7qJUWgJ0Sw/edit?usp=sharing"",""ชัยนาท!S563"")+IMPORTRANGE(""https://docs.google.com/spreadsheets/d/1jkqa6GXxSacMcY1eN8AHjMNJ_7dDXMJ"&amp;"VRLDlaFSOdPM/edit?usp=sharing"",""ตราด!S563"")+IMPORTRANGE(""https://docs.google.com/spreadsheets/d/18hSgUJ3VwClqi_qtULmmW3cLr0oe3OKaSYoKzdpTsYQ/edit?usp=sharing"",""นครนายก!S563"")+IMPORTRANGE(""https://docs.google.com/spreadsheets/d/1YTZo6WM2dQ6Ix6FSdnL"&amp;"5P7uVnVKu40sxZu975tgG10E/edit?usp=sharing"",""นครปฐม!S563"")+IMPORTRANGE(""https://docs.google.com/spreadsheets/d/1OYoGg4WDg5RIzwGeB10padOxJF9E_Vljuvvct_M7RDo/edit?usp=sharing"",""ปทุมธานี!S563"")+IMPORTRANGE(""https://docs.google.com/spreadsheets/d/1GbCI"&amp;"E4D4wk9FUozzqk7SxfDMxDVBwVmI5zcaVUSzKAc/edit?usp=sharing"",""ประจวบคีรีขันธ์!S563"")+IMPORTRANGE(""https://docs.google.com/spreadsheets/d/1vVf6wykvW_lAyu7Yo9L4hUTqHqIeP_qcVuxCtosJEbg/edit?usp=sharing"",""ปราจีนบุรี!S563"")+IMPORTRANGE(""https://docs.googl"&amp;"e.com/spreadsheets/d/1BIDqLLg5jk3v59G8NlR8rk5xfQDKne0sAvZHSj7TI6I/edit?usp=sharing"",""พระนครศรีอยุธยา!S563"")+IMPORTRANGE(""https://docs.google.com/spreadsheets/d/1YXvxf8Yu6_rV4hTBrwMqAcAnv6DfhUxh5emyM3CJp_w/edit?usp=sharing"",""เพชรบุรี!S563"")+IMPORTRA"&amp;"NGE(""https://docs.google.com/spreadsheets/d/19KBlQQs7uwvsao6t2n-KvW3Ax8J8uRRfZPq1zPbXgKc/edit?usp=sharing"",""ระยอง!S563"")+IMPORTRANGE(""https://docs.google.com/spreadsheets/d/1jQ6P4QcrGM89YfqcC_PxOHGCMq5ezhucwJd8ci-NHng/edit?usp=sharing"",""ราชบุรี!S56"&amp;"3"")+IMPORTRANGE(""https://docs.google.com/spreadsheets/d/1lufeA2cfFqM-elVq2hznhDzC6Pr7wkJ9ZG_sYNGCMCU/edit?usp=sharing"",""ลพบุรี!S563"")+IMPORTRANGE(""https://docs.google.com/spreadsheets/d/10oOiF7loTyfsTkbd4MpaIm0HQ9SwB7IYHdIUvt-U1Uc/edit?usp=sharing"""&amp;",""สระแก้ว!S563"")+IMPORTRANGE(""https://docs.google.com/spreadsheets/d/1xmPlrr1QbdSIKvl1dWUl9K4PjAfSL9oeMr_37QVzcxc/edit?usp=sharing"",""สระบุรี!S563"")+IMPORTRANGE(""https://docs.google.com/spreadsheets/d/1j51vR6CYVGhABJpv6tkstgok82RLpXieLzW1yOY5rHw/edi"&amp;"t?usp=sharing"",""สิงห์บุรี!S563"")+IMPORTRANGE(""https://docs.google.com/spreadsheets/d/1H1EalTWKUSzO4Z1-1CwzoDUaVffgrThEBe2sl74kKG0/edit?usp=sharing"",""สุพรรณบุรี!S563"")+IMPORTRANGE(""https://docs.google.com/spreadsheets/d/1BmIruG_sIrJLYao_Pdr7zVArWsf"&amp;"oBt2692TMi6x_854/edit?usp=sharing"",""อ่างทอง!S563"")"),0)</f>
        <v>0</v>
      </c>
      <c r="T564" s="132">
        <f t="shared" ca="1" si="389"/>
        <v>0</v>
      </c>
      <c r="U564" s="132">
        <f t="shared" ca="1" si="390"/>
        <v>0</v>
      </c>
    </row>
    <row r="565" spans="1:21" ht="19.5" hidden="1" x14ac:dyDescent="0.3">
      <c r="A565" s="276"/>
      <c r="B565" s="277"/>
      <c r="C565" s="689" t="s">
        <v>18</v>
      </c>
      <c r="D565" s="279" t="s">
        <v>38</v>
      </c>
      <c r="E565" s="280"/>
      <c r="F565" s="280"/>
      <c r="G565" s="281"/>
      <c r="H565" s="282"/>
      <c r="I565" s="272"/>
      <c r="J565" s="263"/>
      <c r="K565" s="87"/>
      <c r="L565" s="87"/>
      <c r="M565" s="87"/>
      <c r="N565" s="87"/>
      <c r="O565" s="229"/>
      <c r="P565" s="229"/>
      <c r="Q565" s="86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6"/>
      <c r="M566" s="596"/>
      <c r="N566" s="596"/>
      <c r="O566" s="596"/>
      <c r="P566" s="596"/>
      <c r="Q566" s="597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6"/>
      <c r="M567" s="596"/>
      <c r="N567" s="596"/>
      <c r="O567" s="596"/>
      <c r="P567" s="596"/>
      <c r="Q567" s="597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6"/>
      <c r="M568" s="596"/>
      <c r="N568" s="596"/>
      <c r="O568" s="596"/>
      <c r="P568" s="596"/>
      <c r="Q568" s="597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6"/>
      <c r="M569" s="596"/>
      <c r="N569" s="596"/>
      <c r="O569" s="596"/>
      <c r="P569" s="596"/>
      <c r="Q569" s="597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6"/>
      <c r="M570" s="596"/>
      <c r="N570" s="596"/>
      <c r="O570" s="596"/>
      <c r="P570" s="596"/>
      <c r="Q570" s="597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6"/>
      <c r="M571" s="596"/>
      <c r="N571" s="596"/>
      <c r="O571" s="596"/>
      <c r="P571" s="596"/>
      <c r="Q571" s="597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6"/>
      <c r="M572" s="596"/>
      <c r="N572" s="596"/>
      <c r="O572" s="596"/>
      <c r="P572" s="596"/>
      <c r="Q572" s="597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6"/>
      <c r="M573" s="596"/>
      <c r="N573" s="596"/>
      <c r="O573" s="596"/>
      <c r="P573" s="596"/>
      <c r="Q573" s="597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6"/>
      <c r="M574" s="596"/>
      <c r="N574" s="596"/>
      <c r="O574" s="596"/>
      <c r="P574" s="596"/>
      <c r="Q574" s="597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1"/>
      <c r="M575" s="601"/>
      <c r="N575" s="601"/>
      <c r="O575" s="601"/>
      <c r="P575" s="601"/>
      <c r="Q575" s="602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687">
        <f t="shared" ref="I576:J576" si="399">I588</f>
        <v>0</v>
      </c>
      <c r="J576" s="687">
        <f t="shared" si="399"/>
        <v>0</v>
      </c>
      <c r="K576" s="688">
        <f>IF(I576&gt;0,J576*100/I576,0)</f>
        <v>0</v>
      </c>
      <c r="L576" s="664"/>
      <c r="M576" s="664"/>
      <c r="N576" s="664"/>
      <c r="O576" s="664"/>
      <c r="P576" s="664"/>
      <c r="Q576" s="663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264">
        <f t="shared" ref="L577:N577" ca="1" si="400">L578+L579</f>
        <v>0</v>
      </c>
      <c r="M577" s="264">
        <f t="shared" ca="1" si="400"/>
        <v>0</v>
      </c>
      <c r="N577" s="264">
        <f t="shared" ca="1" si="400"/>
        <v>0</v>
      </c>
      <c r="O577" s="264">
        <f t="shared" ref="O577:O585" ca="1" si="401">IF(L577&gt;0,N577*100/L577,0)</f>
        <v>0</v>
      </c>
      <c r="P577" s="264">
        <f t="shared" ref="P577:P585" ca="1" si="402">IF(M577&gt;0,N577*100/M577,0)</f>
        <v>0</v>
      </c>
      <c r="Q577" s="214">
        <f t="shared" ref="Q577:S577" ca="1" si="403">Q578+Q579</f>
        <v>0</v>
      </c>
      <c r="R577" s="215">
        <f t="shared" ca="1" si="403"/>
        <v>0</v>
      </c>
      <c r="S577" s="215">
        <f t="shared" ca="1" si="403"/>
        <v>0</v>
      </c>
      <c r="T577" s="215">
        <f t="shared" ref="T577:T585" ca="1" si="404">IF(Q577&gt;0,S577*100/Q577,0)</f>
        <v>0</v>
      </c>
      <c r="U577" s="215">
        <f t="shared" ref="U577:U585" ca="1" si="405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7">
        <f t="shared" ref="L578:N578" ca="1" si="406">L581+L584</f>
        <v>0</v>
      </c>
      <c r="M578" s="77">
        <f t="shared" ca="1" si="406"/>
        <v>0</v>
      </c>
      <c r="N578" s="77">
        <f t="shared" ca="1" si="406"/>
        <v>0</v>
      </c>
      <c r="O578" s="77">
        <f t="shared" ca="1" si="401"/>
        <v>0</v>
      </c>
      <c r="P578" s="77">
        <f t="shared" ca="1" si="402"/>
        <v>0</v>
      </c>
      <c r="Q578" s="217">
        <f t="shared" ref="Q578:S578" ca="1" si="407">Q581+Q584</f>
        <v>0</v>
      </c>
      <c r="R578" s="133">
        <f t="shared" ca="1" si="407"/>
        <v>0</v>
      </c>
      <c r="S578" s="133">
        <f t="shared" ca="1" si="407"/>
        <v>0</v>
      </c>
      <c r="T578" s="133">
        <f t="shared" ca="1" si="404"/>
        <v>0</v>
      </c>
      <c r="U578" s="133">
        <f t="shared" ca="1" si="405"/>
        <v>0</v>
      </c>
    </row>
    <row r="579" spans="1:21" ht="18.75" hidden="1" x14ac:dyDescent="0.25">
      <c r="A579" s="257"/>
      <c r="B579" s="258"/>
      <c r="C579" s="269"/>
      <c r="D579" s="258"/>
      <c r="E579" s="589" t="s">
        <v>21</v>
      </c>
      <c r="F579" s="258"/>
      <c r="G579" s="261"/>
      <c r="H579" s="268" t="s">
        <v>14</v>
      </c>
      <c r="I579" s="263"/>
      <c r="J579" s="263"/>
      <c r="K579" s="87"/>
      <c r="L579" s="74">
        <f t="shared" ref="L579:N579" ca="1" si="408">L582+L585</f>
        <v>0</v>
      </c>
      <c r="M579" s="74">
        <f t="shared" ca="1" si="408"/>
        <v>0</v>
      </c>
      <c r="N579" s="74">
        <f t="shared" ca="1" si="408"/>
        <v>0</v>
      </c>
      <c r="O579" s="74">
        <f t="shared" ca="1" si="401"/>
        <v>0</v>
      </c>
      <c r="P579" s="74">
        <f t="shared" ca="1" si="402"/>
        <v>0</v>
      </c>
      <c r="Q579" s="131">
        <f t="shared" ref="Q579:S579" ca="1" si="409">Q582+Q585</f>
        <v>0</v>
      </c>
      <c r="R579" s="132">
        <f t="shared" ca="1" si="409"/>
        <v>0</v>
      </c>
      <c r="S579" s="132">
        <f t="shared" ca="1" si="409"/>
        <v>0</v>
      </c>
      <c r="T579" s="132">
        <f t="shared" ca="1" si="404"/>
        <v>0</v>
      </c>
      <c r="U579" s="132">
        <f t="shared" ca="1" si="405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4">
        <f t="shared" ref="L580:N580" ca="1" si="410">L581+L582</f>
        <v>0</v>
      </c>
      <c r="M580" s="74">
        <f t="shared" ca="1" si="410"/>
        <v>0</v>
      </c>
      <c r="N580" s="74">
        <f t="shared" ca="1" si="410"/>
        <v>0</v>
      </c>
      <c r="O580" s="74">
        <f t="shared" ca="1" si="401"/>
        <v>0</v>
      </c>
      <c r="P580" s="74">
        <f t="shared" ca="1" si="402"/>
        <v>0</v>
      </c>
      <c r="Q580" s="131">
        <f t="shared" ref="Q580:S580" ca="1" si="411">Q581+Q582</f>
        <v>0</v>
      </c>
      <c r="R580" s="132">
        <f t="shared" ca="1" si="411"/>
        <v>0</v>
      </c>
      <c r="S580" s="132">
        <f t="shared" ca="1" si="411"/>
        <v>0</v>
      </c>
      <c r="T580" s="132">
        <f t="shared" ca="1" si="404"/>
        <v>0</v>
      </c>
      <c r="U580" s="132">
        <f t="shared" ca="1" si="405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7">
        <f ca="1">IFERROR(__xludf.DUMMYFUNCTION("IMPORTRANGE(""https://docs.google.com/spreadsheets/d/13wPX838HrBrQMCywv1BsuMkt4PEKTChp52zj44s2izQ/edit?usp=sharing"",""กาญจนบุรี!L580"")+IMPORTRANGE(""https://docs.google.com/spreadsheets/d/1ddFKvqj1W1NEiWytbGlB1zMx_ykJDVtmfEQ-6-lIUBA/edit?usp=sharing"","&amp;"""จันทบุรี!L580"")+IMPORTRANGE(""https://docs.google.com/spreadsheets/d/1T1PQvRODqOBZk8BRht_U031fIS1beLA0Ub2CEytj2q0/edit?usp=sharing"",""ฉะเชิงเทรา!L580"")+IMPORTRANGE(""https://docs.google.com/spreadsheets/d/11tr1B-Bhyr79v2bkwVh5h_fR-PStkgjlZtkrZpYurG0/"&amp;"edit?usp=sharing"",""ชลบุรี!L580"")+IMPORTRANGE(""https://docs.google.com/spreadsheets/d/1hh-FVnSX0vozXhGluamEcS54Dw9_zqW0N7qJUWgJ0Sw/edit?usp=sharing"",""ชัยนาท!L580"")+IMPORTRANGE(""https://docs.google.com/spreadsheets/d/1jkqa6GXxSacMcY1eN8AHjMNJ_7dDXMJ"&amp;"VRLDlaFSOdPM/edit?usp=sharing"",""ตราด!L580"")+IMPORTRANGE(""https://docs.google.com/spreadsheets/d/18hSgUJ3VwClqi_qtULmmW3cLr0oe3OKaSYoKzdpTsYQ/edit?usp=sharing"",""นครนายก!L580"")+IMPORTRANGE(""https://docs.google.com/spreadsheets/d/1YTZo6WM2dQ6Ix6FSdnL"&amp;"5P7uVnVKu40sxZu975tgG10E/edit?usp=sharing"",""นครปฐม!L580"")+IMPORTRANGE(""https://docs.google.com/spreadsheets/d/1OYoGg4WDg5RIzwGeB10padOxJF9E_Vljuvvct_M7RDo/edit?usp=sharing"",""ปทุมธานี!L580"")+IMPORTRANGE(""https://docs.google.com/spreadsheets/d/1GbCI"&amp;"E4D4wk9FUozzqk7SxfDMxDVBwVmI5zcaVUSzKAc/edit?usp=sharing"",""ประจวบคีรีขันธ์!L580"")+IMPORTRANGE(""https://docs.google.com/spreadsheets/d/1vVf6wykvW_lAyu7Yo9L4hUTqHqIeP_qcVuxCtosJEbg/edit?usp=sharing"",""ปราจีนบุรี!L580"")+IMPORTRANGE(""https://docs.googl"&amp;"e.com/spreadsheets/d/1BIDqLLg5jk3v59G8NlR8rk5xfQDKne0sAvZHSj7TI6I/edit?usp=sharing"",""พระนครศรีอยุธยา!L580"")+IMPORTRANGE(""https://docs.google.com/spreadsheets/d/1YXvxf8Yu6_rV4hTBrwMqAcAnv6DfhUxh5emyM3CJp_w/edit?usp=sharing"",""เพชรบุรี!L580"")+IMPORTRA"&amp;"NGE(""https://docs.google.com/spreadsheets/d/19KBlQQs7uwvsao6t2n-KvW3Ax8J8uRRfZPq1zPbXgKc/edit?usp=sharing"",""ระยอง!L580"")+IMPORTRANGE(""https://docs.google.com/spreadsheets/d/1jQ6P4QcrGM89YfqcC_PxOHGCMq5ezhucwJd8ci-NHng/edit?usp=sharing"",""ราชบุรี!L58"&amp;"0"")+IMPORTRANGE(""https://docs.google.com/spreadsheets/d/1lufeA2cfFqM-elVq2hznhDzC6Pr7wkJ9ZG_sYNGCMCU/edit?usp=sharing"",""ลพบุรี!L580"")+IMPORTRANGE(""https://docs.google.com/spreadsheets/d/10oOiF7loTyfsTkbd4MpaIm0HQ9SwB7IYHdIUvt-U1Uc/edit?usp=sharing"""&amp;",""สระแก้ว!L580"")+IMPORTRANGE(""https://docs.google.com/spreadsheets/d/1xmPlrr1QbdSIKvl1dWUl9K4PjAfSL9oeMr_37QVzcxc/edit?usp=sharing"",""สระบุรี!L580"")+IMPORTRANGE(""https://docs.google.com/spreadsheets/d/1j51vR6CYVGhABJpv6tkstgok82RLpXieLzW1yOY5rHw/edi"&amp;"t?usp=sharing"",""สิงห์บุรี!L580"")+IMPORTRANGE(""https://docs.google.com/spreadsheets/d/1H1EalTWKUSzO4Z1-1CwzoDUaVffgrThEBe2sl74kKG0/edit?usp=sharing"",""สุพรรณบุรี!L580"")+IMPORTRANGE(""https://docs.google.com/spreadsheets/d/1BmIruG_sIrJLYao_Pdr7zVArWsf"&amp;"oBt2692TMi6x_854/edit?usp=sharing"",""อ่างทอง!L580"")"),0)</f>
        <v>0</v>
      </c>
      <c r="M581" s="77">
        <f ca="1">IFERROR(__xludf.DUMMYFUNCTION("IMPORTRANGE(""https://docs.google.com/spreadsheets/d/13wPX838HrBrQMCywv1BsuMkt4PEKTChp52zj44s2izQ/edit?usp=sharing"",""กาญจนบุรี!M580"")+IMPORTRANGE(""https://docs.google.com/spreadsheets/d/1ddFKvqj1W1NEiWytbGlB1zMx_ykJDVtmfEQ-6-lIUBA/edit?usp=sharing"","&amp;"""จันทบุรี!M580"")+IMPORTRANGE(""https://docs.google.com/spreadsheets/d/1T1PQvRODqOBZk8BRht_U031fIS1beLA0Ub2CEytj2q0/edit?usp=sharing"",""ฉะเชิงเทรา!M580"")+IMPORTRANGE(""https://docs.google.com/spreadsheets/d/11tr1B-Bhyr79v2bkwVh5h_fR-PStkgjlZtkrZpYurG0/"&amp;"edit?usp=sharing"",""ชลบุรี!M580"")+IMPORTRANGE(""https://docs.google.com/spreadsheets/d/1hh-FVnSX0vozXhGluamEcS54Dw9_zqW0N7qJUWgJ0Sw/edit?usp=sharing"",""ชัยนาท!M580"")+IMPORTRANGE(""https://docs.google.com/spreadsheets/d/1jkqa6GXxSacMcY1eN8AHjMNJ_7dDXMJ"&amp;"VRLDlaFSOdPM/edit?usp=sharing"",""ตราด!M580"")+IMPORTRANGE(""https://docs.google.com/spreadsheets/d/18hSgUJ3VwClqi_qtULmmW3cLr0oe3OKaSYoKzdpTsYQ/edit?usp=sharing"",""นครนายก!M580"")+IMPORTRANGE(""https://docs.google.com/spreadsheets/d/1YTZo6WM2dQ6Ix6FSdnL"&amp;"5P7uVnVKu40sxZu975tgG10E/edit?usp=sharing"",""นครปฐม!M580"")+IMPORTRANGE(""https://docs.google.com/spreadsheets/d/1OYoGg4WDg5RIzwGeB10padOxJF9E_Vljuvvct_M7RDo/edit?usp=sharing"",""ปทุมธานี!M580"")+IMPORTRANGE(""https://docs.google.com/spreadsheets/d/1GbCI"&amp;"E4D4wk9FUozzqk7SxfDMxDVBwVmI5zcaVUSzKAc/edit?usp=sharing"",""ประจวบคีรีขันธ์!M580"")+IMPORTRANGE(""https://docs.google.com/spreadsheets/d/1vVf6wykvW_lAyu7Yo9L4hUTqHqIeP_qcVuxCtosJEbg/edit?usp=sharing"",""ปราจีนบุรี!M580"")+IMPORTRANGE(""https://docs.googl"&amp;"e.com/spreadsheets/d/1BIDqLLg5jk3v59G8NlR8rk5xfQDKne0sAvZHSj7TI6I/edit?usp=sharing"",""พระนครศรีอยุธยา!M580"")+IMPORTRANGE(""https://docs.google.com/spreadsheets/d/1YXvxf8Yu6_rV4hTBrwMqAcAnv6DfhUxh5emyM3CJp_w/edit?usp=sharing"",""เพชรบุรี!M580"")+IMPORTRA"&amp;"NGE(""https://docs.google.com/spreadsheets/d/19KBlQQs7uwvsao6t2n-KvW3Ax8J8uRRfZPq1zPbXgKc/edit?usp=sharing"",""ระยอง!M580"")+IMPORTRANGE(""https://docs.google.com/spreadsheets/d/1jQ6P4QcrGM89YfqcC_PxOHGCMq5ezhucwJd8ci-NHng/edit?usp=sharing"",""ราชบุรี!M58"&amp;"0"")+IMPORTRANGE(""https://docs.google.com/spreadsheets/d/1lufeA2cfFqM-elVq2hznhDzC6Pr7wkJ9ZG_sYNGCMCU/edit?usp=sharing"",""ลพบุรี!M580"")+IMPORTRANGE(""https://docs.google.com/spreadsheets/d/10oOiF7loTyfsTkbd4MpaIm0HQ9SwB7IYHdIUvt-U1Uc/edit?usp=sharing"""&amp;",""สระแก้ว!M580"")+IMPORTRANGE(""https://docs.google.com/spreadsheets/d/1xmPlrr1QbdSIKvl1dWUl9K4PjAfSL9oeMr_37QVzcxc/edit?usp=sharing"",""สระบุรี!M580"")+IMPORTRANGE(""https://docs.google.com/spreadsheets/d/1j51vR6CYVGhABJpv6tkstgok82RLpXieLzW1yOY5rHw/edi"&amp;"t?usp=sharing"",""สิงห์บุรี!M580"")+IMPORTRANGE(""https://docs.google.com/spreadsheets/d/1H1EalTWKUSzO4Z1-1CwzoDUaVffgrThEBe2sl74kKG0/edit?usp=sharing"",""สุพรรณบุรี!M580"")+IMPORTRANGE(""https://docs.google.com/spreadsheets/d/1BmIruG_sIrJLYao_Pdr7zVArWsf"&amp;"oBt2692TMi6x_854/edit?usp=sharing"",""อ่างทอง!M580"")"),0)</f>
        <v>0</v>
      </c>
      <c r="N581" s="77">
        <f ca="1">IFERROR(__xludf.DUMMYFUNCTION("IMPORTRANGE(""https://docs.google.com/spreadsheets/d/13wPX838HrBrQMCywv1BsuMkt4PEKTChp52zj44s2izQ/edit?usp=sharing"",""กาญจนบุรี!N580"")+IMPORTRANGE(""https://docs.google.com/spreadsheets/d/1ddFKvqj1W1NEiWytbGlB1zMx_ykJDVtmfEQ-6-lIUBA/edit?usp=sharing"","&amp;"""จันทบุรี!N580"")+IMPORTRANGE(""https://docs.google.com/spreadsheets/d/1T1PQvRODqOBZk8BRht_U031fIS1beLA0Ub2CEytj2q0/edit?usp=sharing"",""ฉะเชิงเทรา!N580"")+IMPORTRANGE(""https://docs.google.com/spreadsheets/d/11tr1B-Bhyr79v2bkwVh5h_fR-PStkgjlZtkrZpYurG0/"&amp;"edit?usp=sharing"",""ชลบุรี!N580"")+IMPORTRANGE(""https://docs.google.com/spreadsheets/d/1hh-FVnSX0vozXhGluamEcS54Dw9_zqW0N7qJUWgJ0Sw/edit?usp=sharing"",""ชัยนาท!N580"")+IMPORTRANGE(""https://docs.google.com/spreadsheets/d/1jkqa6GXxSacMcY1eN8AHjMNJ_7dDXMJ"&amp;"VRLDlaFSOdPM/edit?usp=sharing"",""ตราด!N580"")+IMPORTRANGE(""https://docs.google.com/spreadsheets/d/18hSgUJ3VwClqi_qtULmmW3cLr0oe3OKaSYoKzdpTsYQ/edit?usp=sharing"",""นครนายก!N580"")+IMPORTRANGE(""https://docs.google.com/spreadsheets/d/1YTZo6WM2dQ6Ix6FSdnL"&amp;"5P7uVnVKu40sxZu975tgG10E/edit?usp=sharing"",""นครปฐม!N580"")+IMPORTRANGE(""https://docs.google.com/spreadsheets/d/1OYoGg4WDg5RIzwGeB10padOxJF9E_Vljuvvct_M7RDo/edit?usp=sharing"",""ปทุมธานี!N580"")+IMPORTRANGE(""https://docs.google.com/spreadsheets/d/1GbCI"&amp;"E4D4wk9FUozzqk7SxfDMxDVBwVmI5zcaVUSzKAc/edit?usp=sharing"",""ประจวบคีรีขันธ์!N580"")+IMPORTRANGE(""https://docs.google.com/spreadsheets/d/1vVf6wykvW_lAyu7Yo9L4hUTqHqIeP_qcVuxCtosJEbg/edit?usp=sharing"",""ปราจีนบุรี!N580"")+IMPORTRANGE(""https://docs.googl"&amp;"e.com/spreadsheets/d/1BIDqLLg5jk3v59G8NlR8rk5xfQDKne0sAvZHSj7TI6I/edit?usp=sharing"",""พระนครศรีอยุธยา!N580"")+IMPORTRANGE(""https://docs.google.com/spreadsheets/d/1YXvxf8Yu6_rV4hTBrwMqAcAnv6DfhUxh5emyM3CJp_w/edit?usp=sharing"",""เพชรบุรี!N580"")+IMPORTRA"&amp;"NGE(""https://docs.google.com/spreadsheets/d/19KBlQQs7uwvsao6t2n-KvW3Ax8J8uRRfZPq1zPbXgKc/edit?usp=sharing"",""ระยอง!N580"")+IMPORTRANGE(""https://docs.google.com/spreadsheets/d/1jQ6P4QcrGM89YfqcC_PxOHGCMq5ezhucwJd8ci-NHng/edit?usp=sharing"",""ราชบุรี!N58"&amp;"0"")+IMPORTRANGE(""https://docs.google.com/spreadsheets/d/1lufeA2cfFqM-elVq2hznhDzC6Pr7wkJ9ZG_sYNGCMCU/edit?usp=sharing"",""ลพบุรี!N580"")+IMPORTRANGE(""https://docs.google.com/spreadsheets/d/10oOiF7loTyfsTkbd4MpaIm0HQ9SwB7IYHdIUvt-U1Uc/edit?usp=sharing"""&amp;",""สระแก้ว!N580"")+IMPORTRANGE(""https://docs.google.com/spreadsheets/d/1xmPlrr1QbdSIKvl1dWUl9K4PjAfSL9oeMr_37QVzcxc/edit?usp=sharing"",""สระบุรี!N580"")+IMPORTRANGE(""https://docs.google.com/spreadsheets/d/1j51vR6CYVGhABJpv6tkstgok82RLpXieLzW1yOY5rHw/edi"&amp;"t?usp=sharing"",""สิงห์บุรี!N580"")+IMPORTRANGE(""https://docs.google.com/spreadsheets/d/1H1EalTWKUSzO4Z1-1CwzoDUaVffgrThEBe2sl74kKG0/edit?usp=sharing"",""สุพรรณบุรี!N580"")+IMPORTRANGE(""https://docs.google.com/spreadsheets/d/1BmIruG_sIrJLYao_Pdr7zVArWsf"&amp;"oBt2692TMi6x_854/edit?usp=sharing"",""อ่างทอง!N580"")"),0)</f>
        <v>0</v>
      </c>
      <c r="O581" s="77">
        <f t="shared" ca="1" si="401"/>
        <v>0</v>
      </c>
      <c r="P581" s="77">
        <f t="shared" ca="1" si="402"/>
        <v>0</v>
      </c>
      <c r="Q581" s="76">
        <f ca="1">IFERROR(__xludf.DUMMYFUNCTION("IMPORTRANGE(""https://docs.google.com/spreadsheets/d/13wPX838HrBrQMCywv1BsuMkt4PEKTChp52zj44s2izQ/edit?usp=sharing"",""กาญจนบุรี!Q580"")+IMPORTRANGE(""https://docs.google.com/spreadsheets/d/1ddFKvqj1W1NEiWytbGlB1zMx_ykJDVtmfEQ-6-lIUBA/edit?usp=sharing"","&amp;"""จันทบุรี!Q580"")+IMPORTRANGE(""https://docs.google.com/spreadsheets/d/1T1PQvRODqOBZk8BRht_U031fIS1beLA0Ub2CEytj2q0/edit?usp=sharing"",""ฉะเชิงเทรา!Q580"")+IMPORTRANGE(""https://docs.google.com/spreadsheets/d/11tr1B-Bhyr79v2bkwVh5h_fR-PStkgjlZtkrZpYurG0/"&amp;"edit?usp=sharing"",""ชลบุรี!Q580"")+IMPORTRANGE(""https://docs.google.com/spreadsheets/d/1hh-FVnSX0vozXhGluamEcS54Dw9_zqW0N7qJUWgJ0Sw/edit?usp=sharing"",""ชัยนาท!Q580"")+IMPORTRANGE(""https://docs.google.com/spreadsheets/d/1jkqa6GXxSacMcY1eN8AHjMNJ_7dDXMJ"&amp;"VRLDlaFSOdPM/edit?usp=sharing"",""ตราด!Q580"")+IMPORTRANGE(""https://docs.google.com/spreadsheets/d/18hSgUJ3VwClqi_qtULmmW3cLr0oe3OKaSYoKzdpTsYQ/edit?usp=sharing"",""นครนายก!Q580"")+IMPORTRANGE(""https://docs.google.com/spreadsheets/d/1YTZo6WM2dQ6Ix6FSdnL"&amp;"5P7uVnVKu40sxZu975tgG10E/edit?usp=sharing"",""นครปฐม!Q580"")+IMPORTRANGE(""https://docs.google.com/spreadsheets/d/1OYoGg4WDg5RIzwGeB10padOxJF9E_Vljuvvct_M7RDo/edit?usp=sharing"",""ปทุมธานี!Q580"")+IMPORTRANGE(""https://docs.google.com/spreadsheets/d/1GbCI"&amp;"E4D4wk9FUozzqk7SxfDMxDVBwVmI5zcaVUSzKAc/edit?usp=sharing"",""ประจวบคีรีขันธ์!Q580"")+IMPORTRANGE(""https://docs.google.com/spreadsheets/d/1vVf6wykvW_lAyu7Yo9L4hUTqHqIeP_qcVuxCtosJEbg/edit?usp=sharing"",""ปราจีนบุรี!Q580"")+IMPORTRANGE(""https://docs.googl"&amp;"e.com/spreadsheets/d/1BIDqLLg5jk3v59G8NlR8rk5xfQDKne0sAvZHSj7TI6I/edit?usp=sharing"",""พระนครศรีอยุธยา!Q580"")+IMPORTRANGE(""https://docs.google.com/spreadsheets/d/1YXvxf8Yu6_rV4hTBrwMqAcAnv6DfhUxh5emyM3CJp_w/edit?usp=sharing"",""เพชรบุรี!Q580"")+IMPORTRA"&amp;"NGE(""https://docs.google.com/spreadsheets/d/19KBlQQs7uwvsao6t2n-KvW3Ax8J8uRRfZPq1zPbXgKc/edit?usp=sharing"",""ระยอง!Q580"")+IMPORTRANGE(""https://docs.google.com/spreadsheets/d/1jQ6P4QcrGM89YfqcC_PxOHGCMq5ezhucwJd8ci-NHng/edit?usp=sharing"",""ราชบุรี!Q58"&amp;"0"")+IMPORTRANGE(""https://docs.google.com/spreadsheets/d/1lufeA2cfFqM-elVq2hznhDzC6Pr7wkJ9ZG_sYNGCMCU/edit?usp=sharing"",""ลพบุรี!Q580"")+IMPORTRANGE(""https://docs.google.com/spreadsheets/d/10oOiF7loTyfsTkbd4MpaIm0HQ9SwB7IYHdIUvt-U1Uc/edit?usp=sharing"""&amp;",""สระแก้ว!Q580"")+IMPORTRANGE(""https://docs.google.com/spreadsheets/d/1xmPlrr1QbdSIKvl1dWUl9K4PjAfSL9oeMr_37QVzcxc/edit?usp=sharing"",""สระบุรี!Q580"")+IMPORTRANGE(""https://docs.google.com/spreadsheets/d/1j51vR6CYVGhABJpv6tkstgok82RLpXieLzW1yOY5rHw/edi"&amp;"t?usp=sharing"",""สิงห์บุรี!Q580"")+IMPORTRANGE(""https://docs.google.com/spreadsheets/d/1H1EalTWKUSzO4Z1-1CwzoDUaVffgrThEBe2sl74kKG0/edit?usp=sharing"",""สุพรรณบุรี!Q580"")+IMPORTRANGE(""https://docs.google.com/spreadsheets/d/1BmIruG_sIrJLYao_Pdr7zVArWsf"&amp;"oBt2692TMi6x_854/edit?usp=sharing"",""อ่างทอง!Q580"")"),0)</f>
        <v>0</v>
      </c>
      <c r="R581" s="77">
        <f ca="1">IFERROR(__xludf.DUMMYFUNCTION("IMPORTRANGE(""https://docs.google.com/spreadsheets/d/13wPX838HrBrQMCywv1BsuMkt4PEKTChp52zj44s2izQ/edit?usp=sharing"",""กาญจนบุรี!R580"")+IMPORTRANGE(""https://docs.google.com/spreadsheets/d/1ddFKvqj1W1NEiWytbGlB1zMx_ykJDVtmfEQ-6-lIUBA/edit?usp=sharing"","&amp;"""จันทบุรี!R580"")+IMPORTRANGE(""https://docs.google.com/spreadsheets/d/1T1PQvRODqOBZk8BRht_U031fIS1beLA0Ub2CEytj2q0/edit?usp=sharing"",""ฉะเชิงเทรา!R580"")+IMPORTRANGE(""https://docs.google.com/spreadsheets/d/11tr1B-Bhyr79v2bkwVh5h_fR-PStkgjlZtkrZpYurG0/"&amp;"edit?usp=sharing"",""ชลบุรี!R580"")+IMPORTRANGE(""https://docs.google.com/spreadsheets/d/1hh-FVnSX0vozXhGluamEcS54Dw9_zqW0N7qJUWgJ0Sw/edit?usp=sharing"",""ชัยนาท!R580"")+IMPORTRANGE(""https://docs.google.com/spreadsheets/d/1jkqa6GXxSacMcY1eN8AHjMNJ_7dDXMJ"&amp;"VRLDlaFSOdPM/edit?usp=sharing"",""ตราด!R580"")+IMPORTRANGE(""https://docs.google.com/spreadsheets/d/18hSgUJ3VwClqi_qtULmmW3cLr0oe3OKaSYoKzdpTsYQ/edit?usp=sharing"",""นครนายก!R580"")+IMPORTRANGE(""https://docs.google.com/spreadsheets/d/1YTZo6WM2dQ6Ix6FSdnL"&amp;"5P7uVnVKu40sxZu975tgG10E/edit?usp=sharing"",""นครปฐม!R580"")+IMPORTRANGE(""https://docs.google.com/spreadsheets/d/1OYoGg4WDg5RIzwGeB10padOxJF9E_Vljuvvct_M7RDo/edit?usp=sharing"",""ปทุมธานี!R580"")+IMPORTRANGE(""https://docs.google.com/spreadsheets/d/1GbCI"&amp;"E4D4wk9FUozzqk7SxfDMxDVBwVmI5zcaVUSzKAc/edit?usp=sharing"",""ประจวบคีรีขันธ์!R580"")+IMPORTRANGE(""https://docs.google.com/spreadsheets/d/1vVf6wykvW_lAyu7Yo9L4hUTqHqIeP_qcVuxCtosJEbg/edit?usp=sharing"",""ปราจีนบุรี!R580"")+IMPORTRANGE(""https://docs.googl"&amp;"e.com/spreadsheets/d/1BIDqLLg5jk3v59G8NlR8rk5xfQDKne0sAvZHSj7TI6I/edit?usp=sharing"",""พระนครศรีอยุธยา!R580"")+IMPORTRANGE(""https://docs.google.com/spreadsheets/d/1YXvxf8Yu6_rV4hTBrwMqAcAnv6DfhUxh5emyM3CJp_w/edit?usp=sharing"",""เพชรบุรี!R580"")+IMPORTRA"&amp;"NGE(""https://docs.google.com/spreadsheets/d/19KBlQQs7uwvsao6t2n-KvW3Ax8J8uRRfZPq1zPbXgKc/edit?usp=sharing"",""ระยอง!R580"")+IMPORTRANGE(""https://docs.google.com/spreadsheets/d/1jQ6P4QcrGM89YfqcC_PxOHGCMq5ezhucwJd8ci-NHng/edit?usp=sharing"",""ราชบุรี!R58"&amp;"0"")+IMPORTRANGE(""https://docs.google.com/spreadsheets/d/1lufeA2cfFqM-elVq2hznhDzC6Pr7wkJ9ZG_sYNGCMCU/edit?usp=sharing"",""ลพบุรี!R580"")+IMPORTRANGE(""https://docs.google.com/spreadsheets/d/10oOiF7loTyfsTkbd4MpaIm0HQ9SwB7IYHdIUvt-U1Uc/edit?usp=sharing"""&amp;",""สระแก้ว!R580"")+IMPORTRANGE(""https://docs.google.com/spreadsheets/d/1xmPlrr1QbdSIKvl1dWUl9K4PjAfSL9oeMr_37QVzcxc/edit?usp=sharing"",""สระบุรี!R580"")+IMPORTRANGE(""https://docs.google.com/spreadsheets/d/1j51vR6CYVGhABJpv6tkstgok82RLpXieLzW1yOY5rHw/edi"&amp;"t?usp=sharing"",""สิงห์บุรี!R580"")+IMPORTRANGE(""https://docs.google.com/spreadsheets/d/1H1EalTWKUSzO4Z1-1CwzoDUaVffgrThEBe2sl74kKG0/edit?usp=sharing"",""สุพรรณบุรี!R580"")+IMPORTRANGE(""https://docs.google.com/spreadsheets/d/1BmIruG_sIrJLYao_Pdr7zVArWsf"&amp;"oBt2692TMi6x_854/edit?usp=sharing"",""อ่างทอง!R580"")"),0)</f>
        <v>0</v>
      </c>
      <c r="S581" s="77">
        <f ca="1">IFERROR(__xludf.DUMMYFUNCTION("IMPORTRANGE(""https://docs.google.com/spreadsheets/d/13wPX838HrBrQMCywv1BsuMkt4PEKTChp52zj44s2izQ/edit?usp=sharing"",""กาญจนบุรี!S580"")+IMPORTRANGE(""https://docs.google.com/spreadsheets/d/1ddFKvqj1W1NEiWytbGlB1zMx_ykJDVtmfEQ-6-lIUBA/edit?usp=sharing"","&amp;"""จันทบุรี!S580"")+IMPORTRANGE(""https://docs.google.com/spreadsheets/d/1T1PQvRODqOBZk8BRht_U031fIS1beLA0Ub2CEytj2q0/edit?usp=sharing"",""ฉะเชิงเทรา!S580"")+IMPORTRANGE(""https://docs.google.com/spreadsheets/d/11tr1B-Bhyr79v2bkwVh5h_fR-PStkgjlZtkrZpYurG0/"&amp;"edit?usp=sharing"",""ชลบุรี!S580"")+IMPORTRANGE(""https://docs.google.com/spreadsheets/d/1hh-FVnSX0vozXhGluamEcS54Dw9_zqW0N7qJUWgJ0Sw/edit?usp=sharing"",""ชัยนาท!S580"")+IMPORTRANGE(""https://docs.google.com/spreadsheets/d/1jkqa6GXxSacMcY1eN8AHjMNJ_7dDXMJ"&amp;"VRLDlaFSOdPM/edit?usp=sharing"",""ตราด!S580"")+IMPORTRANGE(""https://docs.google.com/spreadsheets/d/18hSgUJ3VwClqi_qtULmmW3cLr0oe3OKaSYoKzdpTsYQ/edit?usp=sharing"",""นครนายก!S580"")+IMPORTRANGE(""https://docs.google.com/spreadsheets/d/1YTZo6WM2dQ6Ix6FSdnL"&amp;"5P7uVnVKu40sxZu975tgG10E/edit?usp=sharing"",""นครปฐม!S580"")+IMPORTRANGE(""https://docs.google.com/spreadsheets/d/1OYoGg4WDg5RIzwGeB10padOxJF9E_Vljuvvct_M7RDo/edit?usp=sharing"",""ปทุมธานี!S580"")+IMPORTRANGE(""https://docs.google.com/spreadsheets/d/1GbCI"&amp;"E4D4wk9FUozzqk7SxfDMxDVBwVmI5zcaVUSzKAc/edit?usp=sharing"",""ประจวบคีรีขันธ์!S580"")+IMPORTRANGE(""https://docs.google.com/spreadsheets/d/1vVf6wykvW_lAyu7Yo9L4hUTqHqIeP_qcVuxCtosJEbg/edit?usp=sharing"",""ปราจีนบุรี!S580"")+IMPORTRANGE(""https://docs.googl"&amp;"e.com/spreadsheets/d/1BIDqLLg5jk3v59G8NlR8rk5xfQDKne0sAvZHSj7TI6I/edit?usp=sharing"",""พระนครศรีอยุธยา!S580"")+IMPORTRANGE(""https://docs.google.com/spreadsheets/d/1YXvxf8Yu6_rV4hTBrwMqAcAnv6DfhUxh5emyM3CJp_w/edit?usp=sharing"",""เพชรบุรี!S580"")+IMPORTRA"&amp;"NGE(""https://docs.google.com/spreadsheets/d/19KBlQQs7uwvsao6t2n-KvW3Ax8J8uRRfZPq1zPbXgKc/edit?usp=sharing"",""ระยอง!S580"")+IMPORTRANGE(""https://docs.google.com/spreadsheets/d/1jQ6P4QcrGM89YfqcC_PxOHGCMq5ezhucwJd8ci-NHng/edit?usp=sharing"",""ราชบุรี!S58"&amp;"0"")+IMPORTRANGE(""https://docs.google.com/spreadsheets/d/1lufeA2cfFqM-elVq2hznhDzC6Pr7wkJ9ZG_sYNGCMCU/edit?usp=sharing"",""ลพบุรี!S580"")+IMPORTRANGE(""https://docs.google.com/spreadsheets/d/10oOiF7loTyfsTkbd4MpaIm0HQ9SwB7IYHdIUvt-U1Uc/edit?usp=sharing"""&amp;",""สระแก้ว!S580"")+IMPORTRANGE(""https://docs.google.com/spreadsheets/d/1xmPlrr1QbdSIKvl1dWUl9K4PjAfSL9oeMr_37QVzcxc/edit?usp=sharing"",""สระบุรี!S580"")+IMPORTRANGE(""https://docs.google.com/spreadsheets/d/1j51vR6CYVGhABJpv6tkstgok82RLpXieLzW1yOY5rHw/edi"&amp;"t?usp=sharing"",""สิงห์บุรี!S580"")+IMPORTRANGE(""https://docs.google.com/spreadsheets/d/1H1EalTWKUSzO4Z1-1CwzoDUaVffgrThEBe2sl74kKG0/edit?usp=sharing"",""สุพรรณบุรี!S580"")+IMPORTRANGE(""https://docs.google.com/spreadsheets/d/1BmIruG_sIrJLYao_Pdr7zVArWsf"&amp;"oBt2692TMi6x_854/edit?usp=sharing"",""อ่างทอง!S580"")"),0)</f>
        <v>0</v>
      </c>
      <c r="T581" s="133">
        <f t="shared" ca="1" si="404"/>
        <v>0</v>
      </c>
      <c r="U581" s="133">
        <f t="shared" ca="1" si="405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4">
        <f ca="1">IFERROR(__xludf.DUMMYFUNCTION("IMPORTRANGE(""https://docs.google.com/spreadsheets/d/13wPX838HrBrQMCywv1BsuMkt4PEKTChp52zj44s2izQ/edit?usp=sharing"",""กาญจนบุรี!L581"")+IMPORTRANGE(""https://docs.google.com/spreadsheets/d/1ddFKvqj1W1NEiWytbGlB1zMx_ykJDVtmfEQ-6-lIUBA/edit?usp=sharing"","&amp;"""จันทบุรี!L581"")+IMPORTRANGE(""https://docs.google.com/spreadsheets/d/1T1PQvRODqOBZk8BRht_U031fIS1beLA0Ub2CEytj2q0/edit?usp=sharing"",""ฉะเชิงเทรา!L581"")+IMPORTRANGE(""https://docs.google.com/spreadsheets/d/11tr1B-Bhyr79v2bkwVh5h_fR-PStkgjlZtkrZpYurG0/"&amp;"edit?usp=sharing"",""ชลบุรี!L581"")+IMPORTRANGE(""https://docs.google.com/spreadsheets/d/1hh-FVnSX0vozXhGluamEcS54Dw9_zqW0N7qJUWgJ0Sw/edit?usp=sharing"",""ชัยนาท!L581"")+IMPORTRANGE(""https://docs.google.com/spreadsheets/d/1jkqa6GXxSacMcY1eN8AHjMNJ_7dDXMJ"&amp;"VRLDlaFSOdPM/edit?usp=sharing"",""ตราด!L581"")+IMPORTRANGE(""https://docs.google.com/spreadsheets/d/18hSgUJ3VwClqi_qtULmmW3cLr0oe3OKaSYoKzdpTsYQ/edit?usp=sharing"",""นครนายก!L581"")+IMPORTRANGE(""https://docs.google.com/spreadsheets/d/1YTZo6WM2dQ6Ix6FSdnL"&amp;"5P7uVnVKu40sxZu975tgG10E/edit?usp=sharing"",""นครปฐม!L581"")+IMPORTRANGE(""https://docs.google.com/spreadsheets/d/1OYoGg4WDg5RIzwGeB10padOxJF9E_Vljuvvct_M7RDo/edit?usp=sharing"",""ปทุมธานี!L581"")+IMPORTRANGE(""https://docs.google.com/spreadsheets/d/1GbCI"&amp;"E4D4wk9FUozzqk7SxfDMxDVBwVmI5zcaVUSzKAc/edit?usp=sharing"",""ประจวบคีรีขันธ์!L581"")+IMPORTRANGE(""https://docs.google.com/spreadsheets/d/1vVf6wykvW_lAyu7Yo9L4hUTqHqIeP_qcVuxCtosJEbg/edit?usp=sharing"",""ปราจีนบุรี!L581"")+IMPORTRANGE(""https://docs.googl"&amp;"e.com/spreadsheets/d/1BIDqLLg5jk3v59G8NlR8rk5xfQDKne0sAvZHSj7TI6I/edit?usp=sharing"",""พระนครศรีอยุธยา!L581"")+IMPORTRANGE(""https://docs.google.com/spreadsheets/d/1YXvxf8Yu6_rV4hTBrwMqAcAnv6DfhUxh5emyM3CJp_w/edit?usp=sharing"",""เพชรบุรี!L581"")+IMPORTRA"&amp;"NGE(""https://docs.google.com/spreadsheets/d/19KBlQQs7uwvsao6t2n-KvW3Ax8J8uRRfZPq1zPbXgKc/edit?usp=sharing"",""ระยอง!L581"")+IMPORTRANGE(""https://docs.google.com/spreadsheets/d/1jQ6P4QcrGM89YfqcC_PxOHGCMq5ezhucwJd8ci-NHng/edit?usp=sharing"",""ราชบุรี!L58"&amp;"1"")+IMPORTRANGE(""https://docs.google.com/spreadsheets/d/1lufeA2cfFqM-elVq2hznhDzC6Pr7wkJ9ZG_sYNGCMCU/edit?usp=sharing"",""ลพบุรี!L581"")+IMPORTRANGE(""https://docs.google.com/spreadsheets/d/10oOiF7loTyfsTkbd4MpaIm0HQ9SwB7IYHdIUvt-U1Uc/edit?usp=sharing"""&amp;",""สระแก้ว!L581"")+IMPORTRANGE(""https://docs.google.com/spreadsheets/d/1xmPlrr1QbdSIKvl1dWUl9K4PjAfSL9oeMr_37QVzcxc/edit?usp=sharing"",""สระบุรี!L581"")+IMPORTRANGE(""https://docs.google.com/spreadsheets/d/1j51vR6CYVGhABJpv6tkstgok82RLpXieLzW1yOY5rHw/edi"&amp;"t?usp=sharing"",""สิงห์บุรี!L581"")+IMPORTRANGE(""https://docs.google.com/spreadsheets/d/1H1EalTWKUSzO4Z1-1CwzoDUaVffgrThEBe2sl74kKG0/edit?usp=sharing"",""สุพรรณบุรี!L581"")+IMPORTRANGE(""https://docs.google.com/spreadsheets/d/1BmIruG_sIrJLYao_Pdr7zVArWsf"&amp;"oBt2692TMi6x_854/edit?usp=sharing"",""อ่างทอง!L581"")"),0)</f>
        <v>0</v>
      </c>
      <c r="M582" s="74">
        <f ca="1">IFERROR(__xludf.DUMMYFUNCTION("IMPORTRANGE(""https://docs.google.com/spreadsheets/d/13wPX838HrBrQMCywv1BsuMkt4PEKTChp52zj44s2izQ/edit?usp=sharing"",""กาญจนบุรี!M581"")+IMPORTRANGE(""https://docs.google.com/spreadsheets/d/1ddFKvqj1W1NEiWytbGlB1zMx_ykJDVtmfEQ-6-lIUBA/edit?usp=sharing"","&amp;"""จันทบุรี!M581"")+IMPORTRANGE(""https://docs.google.com/spreadsheets/d/1T1PQvRODqOBZk8BRht_U031fIS1beLA0Ub2CEytj2q0/edit?usp=sharing"",""ฉะเชิงเทรา!M581"")+IMPORTRANGE(""https://docs.google.com/spreadsheets/d/11tr1B-Bhyr79v2bkwVh5h_fR-PStkgjlZtkrZpYurG0/"&amp;"edit?usp=sharing"",""ชลบุรี!M581"")+IMPORTRANGE(""https://docs.google.com/spreadsheets/d/1hh-FVnSX0vozXhGluamEcS54Dw9_zqW0N7qJUWgJ0Sw/edit?usp=sharing"",""ชัยนาท!M581"")+IMPORTRANGE(""https://docs.google.com/spreadsheets/d/1jkqa6GXxSacMcY1eN8AHjMNJ_7dDXMJ"&amp;"VRLDlaFSOdPM/edit?usp=sharing"",""ตราด!M581"")+IMPORTRANGE(""https://docs.google.com/spreadsheets/d/18hSgUJ3VwClqi_qtULmmW3cLr0oe3OKaSYoKzdpTsYQ/edit?usp=sharing"",""นครนายก!M581"")+IMPORTRANGE(""https://docs.google.com/spreadsheets/d/1YTZo6WM2dQ6Ix6FSdnL"&amp;"5P7uVnVKu40sxZu975tgG10E/edit?usp=sharing"",""นครปฐม!M581"")+IMPORTRANGE(""https://docs.google.com/spreadsheets/d/1OYoGg4WDg5RIzwGeB10padOxJF9E_Vljuvvct_M7RDo/edit?usp=sharing"",""ปทุมธานี!M581"")+IMPORTRANGE(""https://docs.google.com/spreadsheets/d/1GbCI"&amp;"E4D4wk9FUozzqk7SxfDMxDVBwVmI5zcaVUSzKAc/edit?usp=sharing"",""ประจวบคีรีขันธ์!M581"")+IMPORTRANGE(""https://docs.google.com/spreadsheets/d/1vVf6wykvW_lAyu7Yo9L4hUTqHqIeP_qcVuxCtosJEbg/edit?usp=sharing"",""ปราจีนบุรี!M581"")+IMPORTRANGE(""https://docs.googl"&amp;"e.com/spreadsheets/d/1BIDqLLg5jk3v59G8NlR8rk5xfQDKne0sAvZHSj7TI6I/edit?usp=sharing"",""พระนครศรีอยุธยา!M581"")+IMPORTRANGE(""https://docs.google.com/spreadsheets/d/1YXvxf8Yu6_rV4hTBrwMqAcAnv6DfhUxh5emyM3CJp_w/edit?usp=sharing"",""เพชรบุรี!M581"")+IMPORTRA"&amp;"NGE(""https://docs.google.com/spreadsheets/d/19KBlQQs7uwvsao6t2n-KvW3Ax8J8uRRfZPq1zPbXgKc/edit?usp=sharing"",""ระยอง!M581"")+IMPORTRANGE(""https://docs.google.com/spreadsheets/d/1jQ6P4QcrGM89YfqcC_PxOHGCMq5ezhucwJd8ci-NHng/edit?usp=sharing"",""ราชบุรี!M58"&amp;"1"")+IMPORTRANGE(""https://docs.google.com/spreadsheets/d/1lufeA2cfFqM-elVq2hznhDzC6Pr7wkJ9ZG_sYNGCMCU/edit?usp=sharing"",""ลพบุรี!M581"")+IMPORTRANGE(""https://docs.google.com/spreadsheets/d/10oOiF7loTyfsTkbd4MpaIm0HQ9SwB7IYHdIUvt-U1Uc/edit?usp=sharing"""&amp;",""สระแก้ว!M581"")+IMPORTRANGE(""https://docs.google.com/spreadsheets/d/1xmPlrr1QbdSIKvl1dWUl9K4PjAfSL9oeMr_37QVzcxc/edit?usp=sharing"",""สระบุรี!M581"")+IMPORTRANGE(""https://docs.google.com/spreadsheets/d/1j51vR6CYVGhABJpv6tkstgok82RLpXieLzW1yOY5rHw/edi"&amp;"t?usp=sharing"",""สิงห์บุรี!M581"")+IMPORTRANGE(""https://docs.google.com/spreadsheets/d/1H1EalTWKUSzO4Z1-1CwzoDUaVffgrThEBe2sl74kKG0/edit?usp=sharing"",""สุพรรณบุรี!M581"")+IMPORTRANGE(""https://docs.google.com/spreadsheets/d/1BmIruG_sIrJLYao_Pdr7zVArWsf"&amp;"oBt2692TMi6x_854/edit?usp=sharing"",""อ่างทอง!M581"")"),0)</f>
        <v>0</v>
      </c>
      <c r="N582" s="74">
        <f ca="1">IFERROR(__xludf.DUMMYFUNCTION("IMPORTRANGE(""https://docs.google.com/spreadsheets/d/13wPX838HrBrQMCywv1BsuMkt4PEKTChp52zj44s2izQ/edit?usp=sharing"",""กาญจนบุรี!N581"")+IMPORTRANGE(""https://docs.google.com/spreadsheets/d/1ddFKvqj1W1NEiWytbGlB1zMx_ykJDVtmfEQ-6-lIUBA/edit?usp=sharing"","&amp;"""จันทบุรี!N581"")+IMPORTRANGE(""https://docs.google.com/spreadsheets/d/1T1PQvRODqOBZk8BRht_U031fIS1beLA0Ub2CEytj2q0/edit?usp=sharing"",""ฉะเชิงเทรา!N581"")+IMPORTRANGE(""https://docs.google.com/spreadsheets/d/11tr1B-Bhyr79v2bkwVh5h_fR-PStkgjlZtkrZpYurG0/"&amp;"edit?usp=sharing"",""ชลบุรี!N581"")+IMPORTRANGE(""https://docs.google.com/spreadsheets/d/1hh-FVnSX0vozXhGluamEcS54Dw9_zqW0N7qJUWgJ0Sw/edit?usp=sharing"",""ชัยนาท!N581"")+IMPORTRANGE(""https://docs.google.com/spreadsheets/d/1jkqa6GXxSacMcY1eN8AHjMNJ_7dDXMJ"&amp;"VRLDlaFSOdPM/edit?usp=sharing"",""ตราด!N581"")+IMPORTRANGE(""https://docs.google.com/spreadsheets/d/18hSgUJ3VwClqi_qtULmmW3cLr0oe3OKaSYoKzdpTsYQ/edit?usp=sharing"",""นครนายก!N581"")+IMPORTRANGE(""https://docs.google.com/spreadsheets/d/1YTZo6WM2dQ6Ix6FSdnL"&amp;"5P7uVnVKu40sxZu975tgG10E/edit?usp=sharing"",""นครปฐม!N581"")+IMPORTRANGE(""https://docs.google.com/spreadsheets/d/1OYoGg4WDg5RIzwGeB10padOxJF9E_Vljuvvct_M7RDo/edit?usp=sharing"",""ปทุมธานี!N581"")+IMPORTRANGE(""https://docs.google.com/spreadsheets/d/1GbCI"&amp;"E4D4wk9FUozzqk7SxfDMxDVBwVmI5zcaVUSzKAc/edit?usp=sharing"",""ประจวบคีรีขันธ์!N581"")+IMPORTRANGE(""https://docs.google.com/spreadsheets/d/1vVf6wykvW_lAyu7Yo9L4hUTqHqIeP_qcVuxCtosJEbg/edit?usp=sharing"",""ปราจีนบุรี!N581"")+IMPORTRANGE(""https://docs.googl"&amp;"e.com/spreadsheets/d/1BIDqLLg5jk3v59G8NlR8rk5xfQDKne0sAvZHSj7TI6I/edit?usp=sharing"",""พระนครศรีอยุธยา!N581"")+IMPORTRANGE(""https://docs.google.com/spreadsheets/d/1YXvxf8Yu6_rV4hTBrwMqAcAnv6DfhUxh5emyM3CJp_w/edit?usp=sharing"",""เพชรบุรี!N581"")+IMPORTRA"&amp;"NGE(""https://docs.google.com/spreadsheets/d/19KBlQQs7uwvsao6t2n-KvW3Ax8J8uRRfZPq1zPbXgKc/edit?usp=sharing"",""ระยอง!N581"")+IMPORTRANGE(""https://docs.google.com/spreadsheets/d/1jQ6P4QcrGM89YfqcC_PxOHGCMq5ezhucwJd8ci-NHng/edit?usp=sharing"",""ราชบุรี!N58"&amp;"1"")+IMPORTRANGE(""https://docs.google.com/spreadsheets/d/1lufeA2cfFqM-elVq2hznhDzC6Pr7wkJ9ZG_sYNGCMCU/edit?usp=sharing"",""ลพบุรี!N581"")+IMPORTRANGE(""https://docs.google.com/spreadsheets/d/10oOiF7loTyfsTkbd4MpaIm0HQ9SwB7IYHdIUvt-U1Uc/edit?usp=sharing"""&amp;",""สระแก้ว!N581"")+IMPORTRANGE(""https://docs.google.com/spreadsheets/d/1xmPlrr1QbdSIKvl1dWUl9K4PjAfSL9oeMr_37QVzcxc/edit?usp=sharing"",""สระบุรี!N581"")+IMPORTRANGE(""https://docs.google.com/spreadsheets/d/1j51vR6CYVGhABJpv6tkstgok82RLpXieLzW1yOY5rHw/edi"&amp;"t?usp=sharing"",""สิงห์บุรี!N581"")+IMPORTRANGE(""https://docs.google.com/spreadsheets/d/1H1EalTWKUSzO4Z1-1CwzoDUaVffgrThEBe2sl74kKG0/edit?usp=sharing"",""สุพรรณบุรี!N581"")+IMPORTRANGE(""https://docs.google.com/spreadsheets/d/1BmIruG_sIrJLYao_Pdr7zVArWsf"&amp;"oBt2692TMi6x_854/edit?usp=sharing"",""อ่างทอง!N581"")"),0)</f>
        <v>0</v>
      </c>
      <c r="O582" s="74">
        <f t="shared" ca="1" si="401"/>
        <v>0</v>
      </c>
      <c r="P582" s="74">
        <f t="shared" ca="1" si="402"/>
        <v>0</v>
      </c>
      <c r="Q582" s="73">
        <f ca="1">IFERROR(__xludf.DUMMYFUNCTION("IMPORTRANGE(""https://docs.google.com/spreadsheets/d/13wPX838HrBrQMCywv1BsuMkt4PEKTChp52zj44s2izQ/edit?usp=sharing"",""กาญจนบุรี!Q581"")+IMPORTRANGE(""https://docs.google.com/spreadsheets/d/1ddFKvqj1W1NEiWytbGlB1zMx_ykJDVtmfEQ-6-lIUBA/edit?usp=sharing"","&amp;"""จันทบุรี!Q581"")+IMPORTRANGE(""https://docs.google.com/spreadsheets/d/1T1PQvRODqOBZk8BRht_U031fIS1beLA0Ub2CEytj2q0/edit?usp=sharing"",""ฉะเชิงเทรา!Q581"")+IMPORTRANGE(""https://docs.google.com/spreadsheets/d/11tr1B-Bhyr79v2bkwVh5h_fR-PStkgjlZtkrZpYurG0/"&amp;"edit?usp=sharing"",""ชลบุรี!Q581"")+IMPORTRANGE(""https://docs.google.com/spreadsheets/d/1hh-FVnSX0vozXhGluamEcS54Dw9_zqW0N7qJUWgJ0Sw/edit?usp=sharing"",""ชัยนาท!Q581"")+IMPORTRANGE(""https://docs.google.com/spreadsheets/d/1jkqa6GXxSacMcY1eN8AHjMNJ_7dDXMJ"&amp;"VRLDlaFSOdPM/edit?usp=sharing"",""ตราด!Q581"")+IMPORTRANGE(""https://docs.google.com/spreadsheets/d/18hSgUJ3VwClqi_qtULmmW3cLr0oe3OKaSYoKzdpTsYQ/edit?usp=sharing"",""นครนายก!Q581"")+IMPORTRANGE(""https://docs.google.com/spreadsheets/d/1YTZo6WM2dQ6Ix6FSdnL"&amp;"5P7uVnVKu40sxZu975tgG10E/edit?usp=sharing"",""นครปฐม!Q581"")+IMPORTRANGE(""https://docs.google.com/spreadsheets/d/1OYoGg4WDg5RIzwGeB10padOxJF9E_Vljuvvct_M7RDo/edit?usp=sharing"",""ปทุมธานี!Q581"")+IMPORTRANGE(""https://docs.google.com/spreadsheets/d/1GbCI"&amp;"E4D4wk9FUozzqk7SxfDMxDVBwVmI5zcaVUSzKAc/edit?usp=sharing"",""ประจวบคีรีขันธ์!Q581"")+IMPORTRANGE(""https://docs.google.com/spreadsheets/d/1vVf6wykvW_lAyu7Yo9L4hUTqHqIeP_qcVuxCtosJEbg/edit?usp=sharing"",""ปราจีนบุรี!Q581"")+IMPORTRANGE(""https://docs.googl"&amp;"e.com/spreadsheets/d/1BIDqLLg5jk3v59G8NlR8rk5xfQDKne0sAvZHSj7TI6I/edit?usp=sharing"",""พระนครศรีอยุธยา!Q581"")+IMPORTRANGE(""https://docs.google.com/spreadsheets/d/1YXvxf8Yu6_rV4hTBrwMqAcAnv6DfhUxh5emyM3CJp_w/edit?usp=sharing"",""เพชรบุรี!Q581"")+IMPORTRA"&amp;"NGE(""https://docs.google.com/spreadsheets/d/19KBlQQs7uwvsao6t2n-KvW3Ax8J8uRRfZPq1zPbXgKc/edit?usp=sharing"",""ระยอง!Q581"")+IMPORTRANGE(""https://docs.google.com/spreadsheets/d/1jQ6P4QcrGM89YfqcC_PxOHGCMq5ezhucwJd8ci-NHng/edit?usp=sharing"",""ราชบุรี!Q58"&amp;"1"")+IMPORTRANGE(""https://docs.google.com/spreadsheets/d/1lufeA2cfFqM-elVq2hznhDzC6Pr7wkJ9ZG_sYNGCMCU/edit?usp=sharing"",""ลพบุรี!Q581"")+IMPORTRANGE(""https://docs.google.com/spreadsheets/d/10oOiF7loTyfsTkbd4MpaIm0HQ9SwB7IYHdIUvt-U1Uc/edit?usp=sharing"""&amp;",""สระแก้ว!Q581"")+IMPORTRANGE(""https://docs.google.com/spreadsheets/d/1xmPlrr1QbdSIKvl1dWUl9K4PjAfSL9oeMr_37QVzcxc/edit?usp=sharing"",""สระบุรี!Q581"")+IMPORTRANGE(""https://docs.google.com/spreadsheets/d/1j51vR6CYVGhABJpv6tkstgok82RLpXieLzW1yOY5rHw/edi"&amp;"t?usp=sharing"",""สิงห์บุรี!Q581"")+IMPORTRANGE(""https://docs.google.com/spreadsheets/d/1H1EalTWKUSzO4Z1-1CwzoDUaVffgrThEBe2sl74kKG0/edit?usp=sharing"",""สุพรรณบุรี!Q581"")+IMPORTRANGE(""https://docs.google.com/spreadsheets/d/1BmIruG_sIrJLYao_Pdr7zVArWsf"&amp;"oBt2692TMi6x_854/edit?usp=sharing"",""อ่างทอง!Q581"")"),0)</f>
        <v>0</v>
      </c>
      <c r="R582" s="74">
        <f ca="1">IFERROR(__xludf.DUMMYFUNCTION("IMPORTRANGE(""https://docs.google.com/spreadsheets/d/13wPX838HrBrQMCywv1BsuMkt4PEKTChp52zj44s2izQ/edit?usp=sharing"",""กาญจนบุรี!R581"")+IMPORTRANGE(""https://docs.google.com/spreadsheets/d/1ddFKvqj1W1NEiWytbGlB1zMx_ykJDVtmfEQ-6-lIUBA/edit?usp=sharing"","&amp;"""จันทบุรี!R581"")+IMPORTRANGE(""https://docs.google.com/spreadsheets/d/1T1PQvRODqOBZk8BRht_U031fIS1beLA0Ub2CEytj2q0/edit?usp=sharing"",""ฉะเชิงเทรา!R581"")+IMPORTRANGE(""https://docs.google.com/spreadsheets/d/11tr1B-Bhyr79v2bkwVh5h_fR-PStkgjlZtkrZpYurG0/"&amp;"edit?usp=sharing"",""ชลบุรี!R581"")+IMPORTRANGE(""https://docs.google.com/spreadsheets/d/1hh-FVnSX0vozXhGluamEcS54Dw9_zqW0N7qJUWgJ0Sw/edit?usp=sharing"",""ชัยนาท!R581"")+IMPORTRANGE(""https://docs.google.com/spreadsheets/d/1jkqa6GXxSacMcY1eN8AHjMNJ_7dDXMJ"&amp;"VRLDlaFSOdPM/edit?usp=sharing"",""ตราด!R581"")+IMPORTRANGE(""https://docs.google.com/spreadsheets/d/18hSgUJ3VwClqi_qtULmmW3cLr0oe3OKaSYoKzdpTsYQ/edit?usp=sharing"",""นครนายก!R581"")+IMPORTRANGE(""https://docs.google.com/spreadsheets/d/1YTZo6WM2dQ6Ix6FSdnL"&amp;"5P7uVnVKu40sxZu975tgG10E/edit?usp=sharing"",""นครปฐม!R581"")+IMPORTRANGE(""https://docs.google.com/spreadsheets/d/1OYoGg4WDg5RIzwGeB10padOxJF9E_Vljuvvct_M7RDo/edit?usp=sharing"",""ปทุมธานี!R581"")+IMPORTRANGE(""https://docs.google.com/spreadsheets/d/1GbCI"&amp;"E4D4wk9FUozzqk7SxfDMxDVBwVmI5zcaVUSzKAc/edit?usp=sharing"",""ประจวบคีรีขันธ์!R581"")+IMPORTRANGE(""https://docs.google.com/spreadsheets/d/1vVf6wykvW_lAyu7Yo9L4hUTqHqIeP_qcVuxCtosJEbg/edit?usp=sharing"",""ปราจีนบุรี!R581"")+IMPORTRANGE(""https://docs.googl"&amp;"e.com/spreadsheets/d/1BIDqLLg5jk3v59G8NlR8rk5xfQDKne0sAvZHSj7TI6I/edit?usp=sharing"",""พระนครศรีอยุธยา!R581"")+IMPORTRANGE(""https://docs.google.com/spreadsheets/d/1YXvxf8Yu6_rV4hTBrwMqAcAnv6DfhUxh5emyM3CJp_w/edit?usp=sharing"",""เพชรบุรี!R581"")+IMPORTRA"&amp;"NGE(""https://docs.google.com/spreadsheets/d/19KBlQQs7uwvsao6t2n-KvW3Ax8J8uRRfZPq1zPbXgKc/edit?usp=sharing"",""ระยอง!R581"")+IMPORTRANGE(""https://docs.google.com/spreadsheets/d/1jQ6P4QcrGM89YfqcC_PxOHGCMq5ezhucwJd8ci-NHng/edit?usp=sharing"",""ราชบุรี!R58"&amp;"1"")+IMPORTRANGE(""https://docs.google.com/spreadsheets/d/1lufeA2cfFqM-elVq2hznhDzC6Pr7wkJ9ZG_sYNGCMCU/edit?usp=sharing"",""ลพบุรี!R581"")+IMPORTRANGE(""https://docs.google.com/spreadsheets/d/10oOiF7loTyfsTkbd4MpaIm0HQ9SwB7IYHdIUvt-U1Uc/edit?usp=sharing"""&amp;",""สระแก้ว!R581"")+IMPORTRANGE(""https://docs.google.com/spreadsheets/d/1xmPlrr1QbdSIKvl1dWUl9K4PjAfSL9oeMr_37QVzcxc/edit?usp=sharing"",""สระบุรี!R581"")+IMPORTRANGE(""https://docs.google.com/spreadsheets/d/1j51vR6CYVGhABJpv6tkstgok82RLpXieLzW1yOY5rHw/edi"&amp;"t?usp=sharing"",""สิงห์บุรี!R581"")+IMPORTRANGE(""https://docs.google.com/spreadsheets/d/1H1EalTWKUSzO4Z1-1CwzoDUaVffgrThEBe2sl74kKG0/edit?usp=sharing"",""สุพรรณบุรี!R581"")+IMPORTRANGE(""https://docs.google.com/spreadsheets/d/1BmIruG_sIrJLYao_Pdr7zVArWsf"&amp;"oBt2692TMi6x_854/edit?usp=sharing"",""อ่างทอง!R581"")"),0)</f>
        <v>0</v>
      </c>
      <c r="S582" s="74">
        <f ca="1">IFERROR(__xludf.DUMMYFUNCTION("IMPORTRANGE(""https://docs.google.com/spreadsheets/d/13wPX838HrBrQMCywv1BsuMkt4PEKTChp52zj44s2izQ/edit?usp=sharing"",""กาญจนบุรี!S581"")+IMPORTRANGE(""https://docs.google.com/spreadsheets/d/1ddFKvqj1W1NEiWytbGlB1zMx_ykJDVtmfEQ-6-lIUBA/edit?usp=sharing"","&amp;"""จันทบุรี!S581"")+IMPORTRANGE(""https://docs.google.com/spreadsheets/d/1T1PQvRODqOBZk8BRht_U031fIS1beLA0Ub2CEytj2q0/edit?usp=sharing"",""ฉะเชิงเทรา!S581"")+IMPORTRANGE(""https://docs.google.com/spreadsheets/d/11tr1B-Bhyr79v2bkwVh5h_fR-PStkgjlZtkrZpYurG0/"&amp;"edit?usp=sharing"",""ชลบุรี!S581"")+IMPORTRANGE(""https://docs.google.com/spreadsheets/d/1hh-FVnSX0vozXhGluamEcS54Dw9_zqW0N7qJUWgJ0Sw/edit?usp=sharing"",""ชัยนาท!S581"")+IMPORTRANGE(""https://docs.google.com/spreadsheets/d/1jkqa6GXxSacMcY1eN8AHjMNJ_7dDXMJ"&amp;"VRLDlaFSOdPM/edit?usp=sharing"",""ตราด!S581"")+IMPORTRANGE(""https://docs.google.com/spreadsheets/d/18hSgUJ3VwClqi_qtULmmW3cLr0oe3OKaSYoKzdpTsYQ/edit?usp=sharing"",""นครนายก!S581"")+IMPORTRANGE(""https://docs.google.com/spreadsheets/d/1YTZo6WM2dQ6Ix6FSdnL"&amp;"5P7uVnVKu40sxZu975tgG10E/edit?usp=sharing"",""นครปฐม!S581"")+IMPORTRANGE(""https://docs.google.com/spreadsheets/d/1OYoGg4WDg5RIzwGeB10padOxJF9E_Vljuvvct_M7RDo/edit?usp=sharing"",""ปทุมธานี!S581"")+IMPORTRANGE(""https://docs.google.com/spreadsheets/d/1GbCI"&amp;"E4D4wk9FUozzqk7SxfDMxDVBwVmI5zcaVUSzKAc/edit?usp=sharing"",""ประจวบคีรีขันธ์!S581"")+IMPORTRANGE(""https://docs.google.com/spreadsheets/d/1vVf6wykvW_lAyu7Yo9L4hUTqHqIeP_qcVuxCtosJEbg/edit?usp=sharing"",""ปราจีนบุรี!S581"")+IMPORTRANGE(""https://docs.googl"&amp;"e.com/spreadsheets/d/1BIDqLLg5jk3v59G8NlR8rk5xfQDKne0sAvZHSj7TI6I/edit?usp=sharing"",""พระนครศรีอยุธยา!S581"")+IMPORTRANGE(""https://docs.google.com/spreadsheets/d/1YXvxf8Yu6_rV4hTBrwMqAcAnv6DfhUxh5emyM3CJp_w/edit?usp=sharing"",""เพชรบุรี!S581"")+IMPORTRA"&amp;"NGE(""https://docs.google.com/spreadsheets/d/19KBlQQs7uwvsao6t2n-KvW3Ax8J8uRRfZPq1zPbXgKc/edit?usp=sharing"",""ระยอง!S581"")+IMPORTRANGE(""https://docs.google.com/spreadsheets/d/1jQ6P4QcrGM89YfqcC_PxOHGCMq5ezhucwJd8ci-NHng/edit?usp=sharing"",""ราชบุรี!S58"&amp;"1"")+IMPORTRANGE(""https://docs.google.com/spreadsheets/d/1lufeA2cfFqM-elVq2hznhDzC6Pr7wkJ9ZG_sYNGCMCU/edit?usp=sharing"",""ลพบุรี!S581"")+IMPORTRANGE(""https://docs.google.com/spreadsheets/d/10oOiF7loTyfsTkbd4MpaIm0HQ9SwB7IYHdIUvt-U1Uc/edit?usp=sharing"""&amp;",""สระแก้ว!S581"")+IMPORTRANGE(""https://docs.google.com/spreadsheets/d/1xmPlrr1QbdSIKvl1dWUl9K4PjAfSL9oeMr_37QVzcxc/edit?usp=sharing"",""สระบุรี!S581"")+IMPORTRANGE(""https://docs.google.com/spreadsheets/d/1j51vR6CYVGhABJpv6tkstgok82RLpXieLzW1yOY5rHw/edi"&amp;"t?usp=sharing"",""สิงห์บุรี!S581"")+IMPORTRANGE(""https://docs.google.com/spreadsheets/d/1H1EalTWKUSzO4Z1-1CwzoDUaVffgrThEBe2sl74kKG0/edit?usp=sharing"",""สุพรรณบุรี!S581"")+IMPORTRANGE(""https://docs.google.com/spreadsheets/d/1BmIruG_sIrJLYao_Pdr7zVArWsf"&amp;"oBt2692TMi6x_854/edit?usp=sharing"",""อ่างทอง!S581"")"),0)</f>
        <v>0</v>
      </c>
      <c r="T582" s="132">
        <f t="shared" ca="1" si="404"/>
        <v>0</v>
      </c>
      <c r="U582" s="132">
        <f t="shared" ca="1" si="405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4">
        <f t="shared" ref="L583:N583" ca="1" si="412">L584+L585</f>
        <v>0</v>
      </c>
      <c r="M583" s="74">
        <f t="shared" ca="1" si="412"/>
        <v>0</v>
      </c>
      <c r="N583" s="74">
        <f t="shared" ca="1" si="412"/>
        <v>0</v>
      </c>
      <c r="O583" s="74">
        <f t="shared" ca="1" si="401"/>
        <v>0</v>
      </c>
      <c r="P583" s="74">
        <f t="shared" ca="1" si="402"/>
        <v>0</v>
      </c>
      <c r="Q583" s="131">
        <f t="shared" ref="Q583:S583" ca="1" si="413">Q584+Q585</f>
        <v>0</v>
      </c>
      <c r="R583" s="132">
        <f t="shared" ca="1" si="413"/>
        <v>0</v>
      </c>
      <c r="S583" s="132">
        <f t="shared" ca="1" si="413"/>
        <v>0</v>
      </c>
      <c r="T583" s="132">
        <f t="shared" ca="1" si="404"/>
        <v>0</v>
      </c>
      <c r="U583" s="132">
        <f t="shared" ca="1" si="405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7">
        <f ca="1">IFERROR(__xludf.DUMMYFUNCTION("IMPORTRANGE(""https://docs.google.com/spreadsheets/d/13wPX838HrBrQMCywv1BsuMkt4PEKTChp52zj44s2izQ/edit?usp=sharing"",""กาญจนบุรี!L583"")+IMPORTRANGE(""https://docs.google.com/spreadsheets/d/1ddFKvqj1W1NEiWytbGlB1zMx_ykJDVtmfEQ-6-lIUBA/edit?usp=sharing"","&amp;"""จันทบุรี!L583"")+IMPORTRANGE(""https://docs.google.com/spreadsheets/d/1T1PQvRODqOBZk8BRht_U031fIS1beLA0Ub2CEytj2q0/edit?usp=sharing"",""ฉะเชิงเทรา!L583"")+IMPORTRANGE(""https://docs.google.com/spreadsheets/d/11tr1B-Bhyr79v2bkwVh5h_fR-PStkgjlZtkrZpYurG0/"&amp;"edit?usp=sharing"",""ชลบุรี!L583"")+IMPORTRANGE(""https://docs.google.com/spreadsheets/d/1hh-FVnSX0vozXhGluamEcS54Dw9_zqW0N7qJUWgJ0Sw/edit?usp=sharing"",""ชัยนาท!L583"")+IMPORTRANGE(""https://docs.google.com/spreadsheets/d/1jkqa6GXxSacMcY1eN8AHjMNJ_7dDXMJ"&amp;"VRLDlaFSOdPM/edit?usp=sharing"",""ตราด!L583"")+IMPORTRANGE(""https://docs.google.com/spreadsheets/d/18hSgUJ3VwClqi_qtULmmW3cLr0oe3OKaSYoKzdpTsYQ/edit?usp=sharing"",""นครนายก!L583"")+IMPORTRANGE(""https://docs.google.com/spreadsheets/d/1YTZo6WM2dQ6Ix6FSdnL"&amp;"5P7uVnVKu40sxZu975tgG10E/edit?usp=sharing"",""นครปฐม!L583"")+IMPORTRANGE(""https://docs.google.com/spreadsheets/d/1OYoGg4WDg5RIzwGeB10padOxJF9E_Vljuvvct_M7RDo/edit?usp=sharing"",""ปทุมธานี!L583"")+IMPORTRANGE(""https://docs.google.com/spreadsheets/d/1GbCI"&amp;"E4D4wk9FUozzqk7SxfDMxDVBwVmI5zcaVUSzKAc/edit?usp=sharing"",""ประจวบคีรีขันธ์!L583"")+IMPORTRANGE(""https://docs.google.com/spreadsheets/d/1vVf6wykvW_lAyu7Yo9L4hUTqHqIeP_qcVuxCtosJEbg/edit?usp=sharing"",""ปราจีนบุรี!L583"")+IMPORTRANGE(""https://docs.googl"&amp;"e.com/spreadsheets/d/1BIDqLLg5jk3v59G8NlR8rk5xfQDKne0sAvZHSj7TI6I/edit?usp=sharing"",""พระนครศรีอยุธยา!L583"")+IMPORTRANGE(""https://docs.google.com/spreadsheets/d/1YXvxf8Yu6_rV4hTBrwMqAcAnv6DfhUxh5emyM3CJp_w/edit?usp=sharing"",""เพชรบุรี!L583"")+IMPORTRA"&amp;"NGE(""https://docs.google.com/spreadsheets/d/19KBlQQs7uwvsao6t2n-KvW3Ax8J8uRRfZPq1zPbXgKc/edit?usp=sharing"",""ระยอง!L583"")+IMPORTRANGE(""https://docs.google.com/spreadsheets/d/1jQ6P4QcrGM89YfqcC_PxOHGCMq5ezhucwJd8ci-NHng/edit?usp=sharing"",""ราชบุรี!L58"&amp;"3"")+IMPORTRANGE(""https://docs.google.com/spreadsheets/d/1lufeA2cfFqM-elVq2hznhDzC6Pr7wkJ9ZG_sYNGCMCU/edit?usp=sharing"",""ลพบุรี!L583"")+IMPORTRANGE(""https://docs.google.com/spreadsheets/d/10oOiF7loTyfsTkbd4MpaIm0HQ9SwB7IYHdIUvt-U1Uc/edit?usp=sharing"""&amp;",""สระแก้ว!L583"")+IMPORTRANGE(""https://docs.google.com/spreadsheets/d/1xmPlrr1QbdSIKvl1dWUl9K4PjAfSL9oeMr_37QVzcxc/edit?usp=sharing"",""สระบุรี!L583"")+IMPORTRANGE(""https://docs.google.com/spreadsheets/d/1j51vR6CYVGhABJpv6tkstgok82RLpXieLzW1yOY5rHw/edi"&amp;"t?usp=sharing"",""สิงห์บุรี!L583"")+IMPORTRANGE(""https://docs.google.com/spreadsheets/d/1H1EalTWKUSzO4Z1-1CwzoDUaVffgrThEBe2sl74kKG0/edit?usp=sharing"",""สุพรรณบุรี!L583"")+IMPORTRANGE(""https://docs.google.com/spreadsheets/d/1BmIruG_sIrJLYao_Pdr7zVArWsf"&amp;"oBt2692TMi6x_854/edit?usp=sharing"",""อ่างทอง!L583"")"),0)</f>
        <v>0</v>
      </c>
      <c r="M584" s="77">
        <f ca="1">IFERROR(__xludf.DUMMYFUNCTION("IMPORTRANGE(""https://docs.google.com/spreadsheets/d/13wPX838HrBrQMCywv1BsuMkt4PEKTChp52zj44s2izQ/edit?usp=sharing"",""กาญจนบุรี!M583"")+IMPORTRANGE(""https://docs.google.com/spreadsheets/d/1ddFKvqj1W1NEiWytbGlB1zMx_ykJDVtmfEQ-6-lIUBA/edit?usp=sharing"","&amp;"""จันทบุรี!M583"")+IMPORTRANGE(""https://docs.google.com/spreadsheets/d/1T1PQvRODqOBZk8BRht_U031fIS1beLA0Ub2CEytj2q0/edit?usp=sharing"",""ฉะเชิงเทรา!M583"")+IMPORTRANGE(""https://docs.google.com/spreadsheets/d/11tr1B-Bhyr79v2bkwVh5h_fR-PStkgjlZtkrZpYurG0/"&amp;"edit?usp=sharing"",""ชลบุรี!M583"")+IMPORTRANGE(""https://docs.google.com/spreadsheets/d/1hh-FVnSX0vozXhGluamEcS54Dw9_zqW0N7qJUWgJ0Sw/edit?usp=sharing"",""ชัยนาท!M583"")+IMPORTRANGE(""https://docs.google.com/spreadsheets/d/1jkqa6GXxSacMcY1eN8AHjMNJ_7dDXMJ"&amp;"VRLDlaFSOdPM/edit?usp=sharing"",""ตราด!M583"")+IMPORTRANGE(""https://docs.google.com/spreadsheets/d/18hSgUJ3VwClqi_qtULmmW3cLr0oe3OKaSYoKzdpTsYQ/edit?usp=sharing"",""นครนายก!M583"")+IMPORTRANGE(""https://docs.google.com/spreadsheets/d/1YTZo6WM2dQ6Ix6FSdnL"&amp;"5P7uVnVKu40sxZu975tgG10E/edit?usp=sharing"",""นครปฐม!M583"")+IMPORTRANGE(""https://docs.google.com/spreadsheets/d/1OYoGg4WDg5RIzwGeB10padOxJF9E_Vljuvvct_M7RDo/edit?usp=sharing"",""ปทุมธานี!M583"")+IMPORTRANGE(""https://docs.google.com/spreadsheets/d/1GbCI"&amp;"E4D4wk9FUozzqk7SxfDMxDVBwVmI5zcaVUSzKAc/edit?usp=sharing"",""ประจวบคีรีขันธ์!M583"")+IMPORTRANGE(""https://docs.google.com/spreadsheets/d/1vVf6wykvW_lAyu7Yo9L4hUTqHqIeP_qcVuxCtosJEbg/edit?usp=sharing"",""ปราจีนบุรี!M583"")+IMPORTRANGE(""https://docs.googl"&amp;"e.com/spreadsheets/d/1BIDqLLg5jk3v59G8NlR8rk5xfQDKne0sAvZHSj7TI6I/edit?usp=sharing"",""พระนครศรีอยุธยา!M583"")+IMPORTRANGE(""https://docs.google.com/spreadsheets/d/1YXvxf8Yu6_rV4hTBrwMqAcAnv6DfhUxh5emyM3CJp_w/edit?usp=sharing"",""เพชรบุรี!M583"")+IMPORTRA"&amp;"NGE(""https://docs.google.com/spreadsheets/d/19KBlQQs7uwvsao6t2n-KvW3Ax8J8uRRfZPq1zPbXgKc/edit?usp=sharing"",""ระยอง!M583"")+IMPORTRANGE(""https://docs.google.com/spreadsheets/d/1jQ6P4QcrGM89YfqcC_PxOHGCMq5ezhucwJd8ci-NHng/edit?usp=sharing"",""ราชบุรี!M58"&amp;"3"")+IMPORTRANGE(""https://docs.google.com/spreadsheets/d/1lufeA2cfFqM-elVq2hznhDzC6Pr7wkJ9ZG_sYNGCMCU/edit?usp=sharing"",""ลพบุรี!M583"")+IMPORTRANGE(""https://docs.google.com/spreadsheets/d/10oOiF7loTyfsTkbd4MpaIm0HQ9SwB7IYHdIUvt-U1Uc/edit?usp=sharing"""&amp;",""สระแก้ว!M583"")+IMPORTRANGE(""https://docs.google.com/spreadsheets/d/1xmPlrr1QbdSIKvl1dWUl9K4PjAfSL9oeMr_37QVzcxc/edit?usp=sharing"",""สระบุรี!M583"")+IMPORTRANGE(""https://docs.google.com/spreadsheets/d/1j51vR6CYVGhABJpv6tkstgok82RLpXieLzW1yOY5rHw/edi"&amp;"t?usp=sharing"",""สิงห์บุรี!M583"")+IMPORTRANGE(""https://docs.google.com/spreadsheets/d/1H1EalTWKUSzO4Z1-1CwzoDUaVffgrThEBe2sl74kKG0/edit?usp=sharing"",""สุพรรณบุรี!M583"")+IMPORTRANGE(""https://docs.google.com/spreadsheets/d/1BmIruG_sIrJLYao_Pdr7zVArWsf"&amp;"oBt2692TMi6x_854/edit?usp=sharing"",""อ่างทอง!M583"")"),0)</f>
        <v>0</v>
      </c>
      <c r="N584" s="77">
        <f ca="1">IFERROR(__xludf.DUMMYFUNCTION("IMPORTRANGE(""https://docs.google.com/spreadsheets/d/13wPX838HrBrQMCywv1BsuMkt4PEKTChp52zj44s2izQ/edit?usp=sharing"",""กาญจนบุรี!N583"")+IMPORTRANGE(""https://docs.google.com/spreadsheets/d/1ddFKvqj1W1NEiWytbGlB1zMx_ykJDVtmfEQ-6-lIUBA/edit?usp=sharing"","&amp;"""จันทบุรี!N583"")+IMPORTRANGE(""https://docs.google.com/spreadsheets/d/1T1PQvRODqOBZk8BRht_U031fIS1beLA0Ub2CEytj2q0/edit?usp=sharing"",""ฉะเชิงเทรา!N583"")+IMPORTRANGE(""https://docs.google.com/spreadsheets/d/11tr1B-Bhyr79v2bkwVh5h_fR-PStkgjlZtkrZpYurG0/"&amp;"edit?usp=sharing"",""ชลบุรี!N583"")+IMPORTRANGE(""https://docs.google.com/spreadsheets/d/1hh-FVnSX0vozXhGluamEcS54Dw9_zqW0N7qJUWgJ0Sw/edit?usp=sharing"",""ชัยนาท!N583"")+IMPORTRANGE(""https://docs.google.com/spreadsheets/d/1jkqa6GXxSacMcY1eN8AHjMNJ_7dDXMJ"&amp;"VRLDlaFSOdPM/edit?usp=sharing"",""ตราด!N583"")+IMPORTRANGE(""https://docs.google.com/spreadsheets/d/18hSgUJ3VwClqi_qtULmmW3cLr0oe3OKaSYoKzdpTsYQ/edit?usp=sharing"",""นครนายก!N583"")+IMPORTRANGE(""https://docs.google.com/spreadsheets/d/1YTZo6WM2dQ6Ix6FSdnL"&amp;"5P7uVnVKu40sxZu975tgG10E/edit?usp=sharing"",""นครปฐม!N583"")+IMPORTRANGE(""https://docs.google.com/spreadsheets/d/1OYoGg4WDg5RIzwGeB10padOxJF9E_Vljuvvct_M7RDo/edit?usp=sharing"",""ปทุมธานี!N583"")+IMPORTRANGE(""https://docs.google.com/spreadsheets/d/1GbCI"&amp;"E4D4wk9FUozzqk7SxfDMxDVBwVmI5zcaVUSzKAc/edit?usp=sharing"",""ประจวบคีรีขันธ์!N583"")+IMPORTRANGE(""https://docs.google.com/spreadsheets/d/1vVf6wykvW_lAyu7Yo9L4hUTqHqIeP_qcVuxCtosJEbg/edit?usp=sharing"",""ปราจีนบุรี!N583"")+IMPORTRANGE(""https://docs.googl"&amp;"e.com/spreadsheets/d/1BIDqLLg5jk3v59G8NlR8rk5xfQDKne0sAvZHSj7TI6I/edit?usp=sharing"",""พระนครศรีอยุธยา!N583"")+IMPORTRANGE(""https://docs.google.com/spreadsheets/d/1YXvxf8Yu6_rV4hTBrwMqAcAnv6DfhUxh5emyM3CJp_w/edit?usp=sharing"",""เพชรบุรี!N583"")+IMPORTRA"&amp;"NGE(""https://docs.google.com/spreadsheets/d/19KBlQQs7uwvsao6t2n-KvW3Ax8J8uRRfZPq1zPbXgKc/edit?usp=sharing"",""ระยอง!N583"")+IMPORTRANGE(""https://docs.google.com/spreadsheets/d/1jQ6P4QcrGM89YfqcC_PxOHGCMq5ezhucwJd8ci-NHng/edit?usp=sharing"",""ราชบุรี!N58"&amp;"3"")+IMPORTRANGE(""https://docs.google.com/spreadsheets/d/1lufeA2cfFqM-elVq2hznhDzC6Pr7wkJ9ZG_sYNGCMCU/edit?usp=sharing"",""ลพบุรี!N583"")+IMPORTRANGE(""https://docs.google.com/spreadsheets/d/10oOiF7loTyfsTkbd4MpaIm0HQ9SwB7IYHdIUvt-U1Uc/edit?usp=sharing"""&amp;",""สระแก้ว!N583"")+IMPORTRANGE(""https://docs.google.com/spreadsheets/d/1xmPlrr1QbdSIKvl1dWUl9K4PjAfSL9oeMr_37QVzcxc/edit?usp=sharing"",""สระบุรี!N583"")+IMPORTRANGE(""https://docs.google.com/spreadsheets/d/1j51vR6CYVGhABJpv6tkstgok82RLpXieLzW1yOY5rHw/edi"&amp;"t?usp=sharing"",""สิงห์บุรี!N583"")+IMPORTRANGE(""https://docs.google.com/spreadsheets/d/1H1EalTWKUSzO4Z1-1CwzoDUaVffgrThEBe2sl74kKG0/edit?usp=sharing"",""สุพรรณบุรี!N583"")+IMPORTRANGE(""https://docs.google.com/spreadsheets/d/1BmIruG_sIrJLYao_Pdr7zVArWsf"&amp;"oBt2692TMi6x_854/edit?usp=sharing"",""อ่างทอง!N583"")"),0)</f>
        <v>0</v>
      </c>
      <c r="O584" s="77">
        <f t="shared" ca="1" si="401"/>
        <v>0</v>
      </c>
      <c r="P584" s="77">
        <f t="shared" ca="1" si="402"/>
        <v>0</v>
      </c>
      <c r="Q584" s="76">
        <f ca="1">IFERROR(__xludf.DUMMYFUNCTION("IMPORTRANGE(""https://docs.google.com/spreadsheets/d/13wPX838HrBrQMCywv1BsuMkt4PEKTChp52zj44s2izQ/edit?usp=sharing"",""กาญจนบุรี!Q583"")+IMPORTRANGE(""https://docs.google.com/spreadsheets/d/1ddFKvqj1W1NEiWytbGlB1zMx_ykJDVtmfEQ-6-lIUBA/edit?usp=sharing"","&amp;"""จันทบุรี!Q583"")+IMPORTRANGE(""https://docs.google.com/spreadsheets/d/1T1PQvRODqOBZk8BRht_U031fIS1beLA0Ub2CEytj2q0/edit?usp=sharing"",""ฉะเชิงเทรา!Q583"")+IMPORTRANGE(""https://docs.google.com/spreadsheets/d/11tr1B-Bhyr79v2bkwVh5h_fR-PStkgjlZtkrZpYurG0/"&amp;"edit?usp=sharing"",""ชลบุรี!Q583"")+IMPORTRANGE(""https://docs.google.com/spreadsheets/d/1hh-FVnSX0vozXhGluamEcS54Dw9_zqW0N7qJUWgJ0Sw/edit?usp=sharing"",""ชัยนาท!Q583"")+IMPORTRANGE(""https://docs.google.com/spreadsheets/d/1jkqa6GXxSacMcY1eN8AHjMNJ_7dDXMJ"&amp;"VRLDlaFSOdPM/edit?usp=sharing"",""ตราด!Q583"")+IMPORTRANGE(""https://docs.google.com/spreadsheets/d/18hSgUJ3VwClqi_qtULmmW3cLr0oe3OKaSYoKzdpTsYQ/edit?usp=sharing"",""นครนายก!Q583"")+IMPORTRANGE(""https://docs.google.com/spreadsheets/d/1YTZo6WM2dQ6Ix6FSdnL"&amp;"5P7uVnVKu40sxZu975tgG10E/edit?usp=sharing"",""นครปฐม!Q583"")+IMPORTRANGE(""https://docs.google.com/spreadsheets/d/1OYoGg4WDg5RIzwGeB10padOxJF9E_Vljuvvct_M7RDo/edit?usp=sharing"",""ปทุมธานี!Q583"")+IMPORTRANGE(""https://docs.google.com/spreadsheets/d/1GbCI"&amp;"E4D4wk9FUozzqk7SxfDMxDVBwVmI5zcaVUSzKAc/edit?usp=sharing"",""ประจวบคีรีขันธ์!Q583"")+IMPORTRANGE(""https://docs.google.com/spreadsheets/d/1vVf6wykvW_lAyu7Yo9L4hUTqHqIeP_qcVuxCtosJEbg/edit?usp=sharing"",""ปราจีนบุรี!Q583"")+IMPORTRANGE(""https://docs.googl"&amp;"e.com/spreadsheets/d/1BIDqLLg5jk3v59G8NlR8rk5xfQDKne0sAvZHSj7TI6I/edit?usp=sharing"",""พระนครศรีอยุธยา!Q583"")+IMPORTRANGE(""https://docs.google.com/spreadsheets/d/1YXvxf8Yu6_rV4hTBrwMqAcAnv6DfhUxh5emyM3CJp_w/edit?usp=sharing"",""เพชรบุรี!Q583"")+IMPORTRA"&amp;"NGE(""https://docs.google.com/spreadsheets/d/19KBlQQs7uwvsao6t2n-KvW3Ax8J8uRRfZPq1zPbXgKc/edit?usp=sharing"",""ระยอง!Q583"")+IMPORTRANGE(""https://docs.google.com/spreadsheets/d/1jQ6P4QcrGM89YfqcC_PxOHGCMq5ezhucwJd8ci-NHng/edit?usp=sharing"",""ราชบุรี!Q58"&amp;"3"")+IMPORTRANGE(""https://docs.google.com/spreadsheets/d/1lufeA2cfFqM-elVq2hznhDzC6Pr7wkJ9ZG_sYNGCMCU/edit?usp=sharing"",""ลพบุรี!Q583"")+IMPORTRANGE(""https://docs.google.com/spreadsheets/d/10oOiF7loTyfsTkbd4MpaIm0HQ9SwB7IYHdIUvt-U1Uc/edit?usp=sharing"""&amp;",""สระแก้ว!Q583"")+IMPORTRANGE(""https://docs.google.com/spreadsheets/d/1xmPlrr1QbdSIKvl1dWUl9K4PjAfSL9oeMr_37QVzcxc/edit?usp=sharing"",""สระบุรี!Q583"")+IMPORTRANGE(""https://docs.google.com/spreadsheets/d/1j51vR6CYVGhABJpv6tkstgok82RLpXieLzW1yOY5rHw/edi"&amp;"t?usp=sharing"",""สิงห์บุรี!Q583"")+IMPORTRANGE(""https://docs.google.com/spreadsheets/d/1H1EalTWKUSzO4Z1-1CwzoDUaVffgrThEBe2sl74kKG0/edit?usp=sharing"",""สุพรรณบุรี!Q583"")+IMPORTRANGE(""https://docs.google.com/spreadsheets/d/1BmIruG_sIrJLYao_Pdr7zVArWsf"&amp;"oBt2692TMi6x_854/edit?usp=sharing"",""อ่างทอง!Q583"")"),0)</f>
        <v>0</v>
      </c>
      <c r="R584" s="77">
        <f ca="1">IFERROR(__xludf.DUMMYFUNCTION("IMPORTRANGE(""https://docs.google.com/spreadsheets/d/13wPX838HrBrQMCywv1BsuMkt4PEKTChp52zj44s2izQ/edit?usp=sharing"",""กาญจนบุรี!R583"")+IMPORTRANGE(""https://docs.google.com/spreadsheets/d/1ddFKvqj1W1NEiWytbGlB1zMx_ykJDVtmfEQ-6-lIUBA/edit?usp=sharing"","&amp;"""จันทบุรี!R583"")+IMPORTRANGE(""https://docs.google.com/spreadsheets/d/1T1PQvRODqOBZk8BRht_U031fIS1beLA0Ub2CEytj2q0/edit?usp=sharing"",""ฉะเชิงเทรา!R583"")+IMPORTRANGE(""https://docs.google.com/spreadsheets/d/11tr1B-Bhyr79v2bkwVh5h_fR-PStkgjlZtkrZpYurG0/"&amp;"edit?usp=sharing"",""ชลบุรี!R583"")+IMPORTRANGE(""https://docs.google.com/spreadsheets/d/1hh-FVnSX0vozXhGluamEcS54Dw9_zqW0N7qJUWgJ0Sw/edit?usp=sharing"",""ชัยนาท!R583"")+IMPORTRANGE(""https://docs.google.com/spreadsheets/d/1jkqa6GXxSacMcY1eN8AHjMNJ_7dDXMJ"&amp;"VRLDlaFSOdPM/edit?usp=sharing"",""ตราด!R583"")+IMPORTRANGE(""https://docs.google.com/spreadsheets/d/18hSgUJ3VwClqi_qtULmmW3cLr0oe3OKaSYoKzdpTsYQ/edit?usp=sharing"",""นครนายก!R583"")+IMPORTRANGE(""https://docs.google.com/spreadsheets/d/1YTZo6WM2dQ6Ix6FSdnL"&amp;"5P7uVnVKu40sxZu975tgG10E/edit?usp=sharing"",""นครปฐม!R583"")+IMPORTRANGE(""https://docs.google.com/spreadsheets/d/1OYoGg4WDg5RIzwGeB10padOxJF9E_Vljuvvct_M7RDo/edit?usp=sharing"",""ปทุมธานี!R583"")+IMPORTRANGE(""https://docs.google.com/spreadsheets/d/1GbCI"&amp;"E4D4wk9FUozzqk7SxfDMxDVBwVmI5zcaVUSzKAc/edit?usp=sharing"",""ประจวบคีรีขันธ์!R583"")+IMPORTRANGE(""https://docs.google.com/spreadsheets/d/1vVf6wykvW_lAyu7Yo9L4hUTqHqIeP_qcVuxCtosJEbg/edit?usp=sharing"",""ปราจีนบุรี!R583"")+IMPORTRANGE(""https://docs.googl"&amp;"e.com/spreadsheets/d/1BIDqLLg5jk3v59G8NlR8rk5xfQDKne0sAvZHSj7TI6I/edit?usp=sharing"",""พระนครศรีอยุธยา!R583"")+IMPORTRANGE(""https://docs.google.com/spreadsheets/d/1YXvxf8Yu6_rV4hTBrwMqAcAnv6DfhUxh5emyM3CJp_w/edit?usp=sharing"",""เพชรบุรี!R583"")+IMPORTRA"&amp;"NGE(""https://docs.google.com/spreadsheets/d/19KBlQQs7uwvsao6t2n-KvW3Ax8J8uRRfZPq1zPbXgKc/edit?usp=sharing"",""ระยอง!R583"")+IMPORTRANGE(""https://docs.google.com/spreadsheets/d/1jQ6P4QcrGM89YfqcC_PxOHGCMq5ezhucwJd8ci-NHng/edit?usp=sharing"",""ราชบุรี!R58"&amp;"3"")+IMPORTRANGE(""https://docs.google.com/spreadsheets/d/1lufeA2cfFqM-elVq2hznhDzC6Pr7wkJ9ZG_sYNGCMCU/edit?usp=sharing"",""ลพบุรี!R583"")+IMPORTRANGE(""https://docs.google.com/spreadsheets/d/10oOiF7loTyfsTkbd4MpaIm0HQ9SwB7IYHdIUvt-U1Uc/edit?usp=sharing"""&amp;",""สระแก้ว!R583"")+IMPORTRANGE(""https://docs.google.com/spreadsheets/d/1xmPlrr1QbdSIKvl1dWUl9K4PjAfSL9oeMr_37QVzcxc/edit?usp=sharing"",""สระบุรี!R583"")+IMPORTRANGE(""https://docs.google.com/spreadsheets/d/1j51vR6CYVGhABJpv6tkstgok82RLpXieLzW1yOY5rHw/edi"&amp;"t?usp=sharing"",""สิงห์บุรี!R583"")+IMPORTRANGE(""https://docs.google.com/spreadsheets/d/1H1EalTWKUSzO4Z1-1CwzoDUaVffgrThEBe2sl74kKG0/edit?usp=sharing"",""สุพรรณบุรี!R583"")+IMPORTRANGE(""https://docs.google.com/spreadsheets/d/1BmIruG_sIrJLYao_Pdr7zVArWsf"&amp;"oBt2692TMi6x_854/edit?usp=sharing"",""อ่างทอง!R583"")"),0)</f>
        <v>0</v>
      </c>
      <c r="S584" s="77">
        <f ca="1">IFERROR(__xludf.DUMMYFUNCTION("IMPORTRANGE(""https://docs.google.com/spreadsheets/d/13wPX838HrBrQMCywv1BsuMkt4PEKTChp52zj44s2izQ/edit?usp=sharing"",""กาญจนบุรี!S583"")+IMPORTRANGE(""https://docs.google.com/spreadsheets/d/1ddFKvqj1W1NEiWytbGlB1zMx_ykJDVtmfEQ-6-lIUBA/edit?usp=sharing"","&amp;"""จันทบุรี!S583"")+IMPORTRANGE(""https://docs.google.com/spreadsheets/d/1T1PQvRODqOBZk8BRht_U031fIS1beLA0Ub2CEytj2q0/edit?usp=sharing"",""ฉะเชิงเทรา!S583"")+IMPORTRANGE(""https://docs.google.com/spreadsheets/d/11tr1B-Bhyr79v2bkwVh5h_fR-PStkgjlZtkrZpYurG0/"&amp;"edit?usp=sharing"",""ชลบุรี!S583"")+IMPORTRANGE(""https://docs.google.com/spreadsheets/d/1hh-FVnSX0vozXhGluamEcS54Dw9_zqW0N7qJUWgJ0Sw/edit?usp=sharing"",""ชัยนาท!S583"")+IMPORTRANGE(""https://docs.google.com/spreadsheets/d/1jkqa6GXxSacMcY1eN8AHjMNJ_7dDXMJ"&amp;"VRLDlaFSOdPM/edit?usp=sharing"",""ตราด!S583"")+IMPORTRANGE(""https://docs.google.com/spreadsheets/d/18hSgUJ3VwClqi_qtULmmW3cLr0oe3OKaSYoKzdpTsYQ/edit?usp=sharing"",""นครนายก!S583"")+IMPORTRANGE(""https://docs.google.com/spreadsheets/d/1YTZo6WM2dQ6Ix6FSdnL"&amp;"5P7uVnVKu40sxZu975tgG10E/edit?usp=sharing"",""นครปฐม!S583"")+IMPORTRANGE(""https://docs.google.com/spreadsheets/d/1OYoGg4WDg5RIzwGeB10padOxJF9E_Vljuvvct_M7RDo/edit?usp=sharing"",""ปทุมธานี!S583"")+IMPORTRANGE(""https://docs.google.com/spreadsheets/d/1GbCI"&amp;"E4D4wk9FUozzqk7SxfDMxDVBwVmI5zcaVUSzKAc/edit?usp=sharing"",""ประจวบคีรีขันธ์!S583"")+IMPORTRANGE(""https://docs.google.com/spreadsheets/d/1vVf6wykvW_lAyu7Yo9L4hUTqHqIeP_qcVuxCtosJEbg/edit?usp=sharing"",""ปราจีนบุรี!S583"")+IMPORTRANGE(""https://docs.googl"&amp;"e.com/spreadsheets/d/1BIDqLLg5jk3v59G8NlR8rk5xfQDKne0sAvZHSj7TI6I/edit?usp=sharing"",""พระนครศรีอยุธยา!S583"")+IMPORTRANGE(""https://docs.google.com/spreadsheets/d/1YXvxf8Yu6_rV4hTBrwMqAcAnv6DfhUxh5emyM3CJp_w/edit?usp=sharing"",""เพชรบุรี!S583"")+IMPORTRA"&amp;"NGE(""https://docs.google.com/spreadsheets/d/19KBlQQs7uwvsao6t2n-KvW3Ax8J8uRRfZPq1zPbXgKc/edit?usp=sharing"",""ระยอง!S583"")+IMPORTRANGE(""https://docs.google.com/spreadsheets/d/1jQ6P4QcrGM89YfqcC_PxOHGCMq5ezhucwJd8ci-NHng/edit?usp=sharing"",""ราชบุรี!S58"&amp;"3"")+IMPORTRANGE(""https://docs.google.com/spreadsheets/d/1lufeA2cfFqM-elVq2hznhDzC6Pr7wkJ9ZG_sYNGCMCU/edit?usp=sharing"",""ลพบุรี!S583"")+IMPORTRANGE(""https://docs.google.com/spreadsheets/d/10oOiF7loTyfsTkbd4MpaIm0HQ9SwB7IYHdIUvt-U1Uc/edit?usp=sharing"""&amp;",""สระแก้ว!S583"")+IMPORTRANGE(""https://docs.google.com/spreadsheets/d/1xmPlrr1QbdSIKvl1dWUl9K4PjAfSL9oeMr_37QVzcxc/edit?usp=sharing"",""สระบุรี!S583"")+IMPORTRANGE(""https://docs.google.com/spreadsheets/d/1j51vR6CYVGhABJpv6tkstgok82RLpXieLzW1yOY5rHw/edi"&amp;"t?usp=sharing"",""สิงห์บุรี!S583"")+IMPORTRANGE(""https://docs.google.com/spreadsheets/d/1H1EalTWKUSzO4Z1-1CwzoDUaVffgrThEBe2sl74kKG0/edit?usp=sharing"",""สุพรรณบุรี!S583"")+IMPORTRANGE(""https://docs.google.com/spreadsheets/d/1BmIruG_sIrJLYao_Pdr7zVArWsf"&amp;"oBt2692TMi6x_854/edit?usp=sharing"",""อ่างทอง!S583"")"),0)</f>
        <v>0</v>
      </c>
      <c r="T584" s="133">
        <f t="shared" ca="1" si="404"/>
        <v>0</v>
      </c>
      <c r="U584" s="133">
        <f t="shared" ca="1" si="405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4">
        <f ca="1">IFERROR(__xludf.DUMMYFUNCTION("IMPORTRANGE(""https://docs.google.com/spreadsheets/d/13wPX838HrBrQMCywv1BsuMkt4PEKTChp52zj44s2izQ/edit?usp=sharing"",""กาญจนบุรี!L584"")+IMPORTRANGE(""https://docs.google.com/spreadsheets/d/1ddFKvqj1W1NEiWytbGlB1zMx_ykJDVtmfEQ-6-lIUBA/edit?usp=sharing"","&amp;"""จันทบุรี!L584"")+IMPORTRANGE(""https://docs.google.com/spreadsheets/d/1T1PQvRODqOBZk8BRht_U031fIS1beLA0Ub2CEytj2q0/edit?usp=sharing"",""ฉะเชิงเทรา!L584"")+IMPORTRANGE(""https://docs.google.com/spreadsheets/d/11tr1B-Bhyr79v2bkwVh5h_fR-PStkgjlZtkrZpYurG0/"&amp;"edit?usp=sharing"",""ชลบุรี!L584"")+IMPORTRANGE(""https://docs.google.com/spreadsheets/d/1hh-FVnSX0vozXhGluamEcS54Dw9_zqW0N7qJUWgJ0Sw/edit?usp=sharing"",""ชัยนาท!L584"")+IMPORTRANGE(""https://docs.google.com/spreadsheets/d/1jkqa6GXxSacMcY1eN8AHjMNJ_7dDXMJ"&amp;"VRLDlaFSOdPM/edit?usp=sharing"",""ตราด!L584"")+IMPORTRANGE(""https://docs.google.com/spreadsheets/d/18hSgUJ3VwClqi_qtULmmW3cLr0oe3OKaSYoKzdpTsYQ/edit?usp=sharing"",""นครนายก!L584"")+IMPORTRANGE(""https://docs.google.com/spreadsheets/d/1YTZo6WM2dQ6Ix6FSdnL"&amp;"5P7uVnVKu40sxZu975tgG10E/edit?usp=sharing"",""นครปฐม!L584"")+IMPORTRANGE(""https://docs.google.com/spreadsheets/d/1OYoGg4WDg5RIzwGeB10padOxJF9E_Vljuvvct_M7RDo/edit?usp=sharing"",""ปทุมธานี!L584"")+IMPORTRANGE(""https://docs.google.com/spreadsheets/d/1GbCI"&amp;"E4D4wk9FUozzqk7SxfDMxDVBwVmI5zcaVUSzKAc/edit?usp=sharing"",""ประจวบคีรีขันธ์!L584"")+IMPORTRANGE(""https://docs.google.com/spreadsheets/d/1vVf6wykvW_lAyu7Yo9L4hUTqHqIeP_qcVuxCtosJEbg/edit?usp=sharing"",""ปราจีนบุรี!L584"")+IMPORTRANGE(""https://docs.googl"&amp;"e.com/spreadsheets/d/1BIDqLLg5jk3v59G8NlR8rk5xfQDKne0sAvZHSj7TI6I/edit?usp=sharing"",""พระนครศรีอยุธยา!L584"")+IMPORTRANGE(""https://docs.google.com/spreadsheets/d/1YXvxf8Yu6_rV4hTBrwMqAcAnv6DfhUxh5emyM3CJp_w/edit?usp=sharing"",""เพชรบุรี!L584"")+IMPORTRA"&amp;"NGE(""https://docs.google.com/spreadsheets/d/19KBlQQs7uwvsao6t2n-KvW3Ax8J8uRRfZPq1zPbXgKc/edit?usp=sharing"",""ระยอง!L584"")+IMPORTRANGE(""https://docs.google.com/spreadsheets/d/1jQ6P4QcrGM89YfqcC_PxOHGCMq5ezhucwJd8ci-NHng/edit?usp=sharing"",""ราชบุรี!L58"&amp;"4"")+IMPORTRANGE(""https://docs.google.com/spreadsheets/d/1lufeA2cfFqM-elVq2hznhDzC6Pr7wkJ9ZG_sYNGCMCU/edit?usp=sharing"",""ลพบุรี!L584"")+IMPORTRANGE(""https://docs.google.com/spreadsheets/d/10oOiF7loTyfsTkbd4MpaIm0HQ9SwB7IYHdIUvt-U1Uc/edit?usp=sharing"""&amp;",""สระแก้ว!L584"")+IMPORTRANGE(""https://docs.google.com/spreadsheets/d/1xmPlrr1QbdSIKvl1dWUl9K4PjAfSL9oeMr_37QVzcxc/edit?usp=sharing"",""สระบุรี!L584"")+IMPORTRANGE(""https://docs.google.com/spreadsheets/d/1j51vR6CYVGhABJpv6tkstgok82RLpXieLzW1yOY5rHw/edi"&amp;"t?usp=sharing"",""สิงห์บุรี!L584"")+IMPORTRANGE(""https://docs.google.com/spreadsheets/d/1H1EalTWKUSzO4Z1-1CwzoDUaVffgrThEBe2sl74kKG0/edit?usp=sharing"",""สุพรรณบุรี!L584"")+IMPORTRANGE(""https://docs.google.com/spreadsheets/d/1BmIruG_sIrJLYao_Pdr7zVArWsf"&amp;"oBt2692TMi6x_854/edit?usp=sharing"",""อ่างทอง!L584"")"),0)</f>
        <v>0</v>
      </c>
      <c r="M585" s="74">
        <f ca="1">IFERROR(__xludf.DUMMYFUNCTION("IMPORTRANGE(""https://docs.google.com/spreadsheets/d/13wPX838HrBrQMCywv1BsuMkt4PEKTChp52zj44s2izQ/edit?usp=sharing"",""กาญจนบุรี!M584"")+IMPORTRANGE(""https://docs.google.com/spreadsheets/d/1ddFKvqj1W1NEiWytbGlB1zMx_ykJDVtmfEQ-6-lIUBA/edit?usp=sharing"","&amp;"""จันทบุรี!M584"")+IMPORTRANGE(""https://docs.google.com/spreadsheets/d/1T1PQvRODqOBZk8BRht_U031fIS1beLA0Ub2CEytj2q0/edit?usp=sharing"",""ฉะเชิงเทรา!M584"")+IMPORTRANGE(""https://docs.google.com/spreadsheets/d/11tr1B-Bhyr79v2bkwVh5h_fR-PStkgjlZtkrZpYurG0/"&amp;"edit?usp=sharing"",""ชลบุรี!M584"")+IMPORTRANGE(""https://docs.google.com/spreadsheets/d/1hh-FVnSX0vozXhGluamEcS54Dw9_zqW0N7qJUWgJ0Sw/edit?usp=sharing"",""ชัยนาท!M584"")+IMPORTRANGE(""https://docs.google.com/spreadsheets/d/1jkqa6GXxSacMcY1eN8AHjMNJ_7dDXMJ"&amp;"VRLDlaFSOdPM/edit?usp=sharing"",""ตราด!M584"")+IMPORTRANGE(""https://docs.google.com/spreadsheets/d/18hSgUJ3VwClqi_qtULmmW3cLr0oe3OKaSYoKzdpTsYQ/edit?usp=sharing"",""นครนายก!M584"")+IMPORTRANGE(""https://docs.google.com/spreadsheets/d/1YTZo6WM2dQ6Ix6FSdnL"&amp;"5P7uVnVKu40sxZu975tgG10E/edit?usp=sharing"",""นครปฐม!M584"")+IMPORTRANGE(""https://docs.google.com/spreadsheets/d/1OYoGg4WDg5RIzwGeB10padOxJF9E_Vljuvvct_M7RDo/edit?usp=sharing"",""ปทุมธานี!M584"")+IMPORTRANGE(""https://docs.google.com/spreadsheets/d/1GbCI"&amp;"E4D4wk9FUozzqk7SxfDMxDVBwVmI5zcaVUSzKAc/edit?usp=sharing"",""ประจวบคีรีขันธ์!M584"")+IMPORTRANGE(""https://docs.google.com/spreadsheets/d/1vVf6wykvW_lAyu7Yo9L4hUTqHqIeP_qcVuxCtosJEbg/edit?usp=sharing"",""ปราจีนบุรี!M584"")+IMPORTRANGE(""https://docs.googl"&amp;"e.com/spreadsheets/d/1BIDqLLg5jk3v59G8NlR8rk5xfQDKne0sAvZHSj7TI6I/edit?usp=sharing"",""พระนครศรีอยุธยา!M584"")+IMPORTRANGE(""https://docs.google.com/spreadsheets/d/1YXvxf8Yu6_rV4hTBrwMqAcAnv6DfhUxh5emyM3CJp_w/edit?usp=sharing"",""เพชรบุรี!M584"")+IMPORTRA"&amp;"NGE(""https://docs.google.com/spreadsheets/d/19KBlQQs7uwvsao6t2n-KvW3Ax8J8uRRfZPq1zPbXgKc/edit?usp=sharing"",""ระยอง!M584"")+IMPORTRANGE(""https://docs.google.com/spreadsheets/d/1jQ6P4QcrGM89YfqcC_PxOHGCMq5ezhucwJd8ci-NHng/edit?usp=sharing"",""ราชบุรี!M58"&amp;"4"")+IMPORTRANGE(""https://docs.google.com/spreadsheets/d/1lufeA2cfFqM-elVq2hznhDzC6Pr7wkJ9ZG_sYNGCMCU/edit?usp=sharing"",""ลพบุรี!M584"")+IMPORTRANGE(""https://docs.google.com/spreadsheets/d/10oOiF7loTyfsTkbd4MpaIm0HQ9SwB7IYHdIUvt-U1Uc/edit?usp=sharing"""&amp;",""สระแก้ว!M584"")+IMPORTRANGE(""https://docs.google.com/spreadsheets/d/1xmPlrr1QbdSIKvl1dWUl9K4PjAfSL9oeMr_37QVzcxc/edit?usp=sharing"",""สระบุรี!M584"")+IMPORTRANGE(""https://docs.google.com/spreadsheets/d/1j51vR6CYVGhABJpv6tkstgok82RLpXieLzW1yOY5rHw/edi"&amp;"t?usp=sharing"",""สิงห์บุรี!M584"")+IMPORTRANGE(""https://docs.google.com/spreadsheets/d/1H1EalTWKUSzO4Z1-1CwzoDUaVffgrThEBe2sl74kKG0/edit?usp=sharing"",""สุพรรณบุรี!M584"")+IMPORTRANGE(""https://docs.google.com/spreadsheets/d/1BmIruG_sIrJLYao_Pdr7zVArWsf"&amp;"oBt2692TMi6x_854/edit?usp=sharing"",""อ่างทอง!M584"")"),0)</f>
        <v>0</v>
      </c>
      <c r="N585" s="74">
        <f ca="1">IFERROR(__xludf.DUMMYFUNCTION("IMPORTRANGE(""https://docs.google.com/spreadsheets/d/13wPX838HrBrQMCywv1BsuMkt4PEKTChp52zj44s2izQ/edit?usp=sharing"",""กาญจนบุรี!N584"")+IMPORTRANGE(""https://docs.google.com/spreadsheets/d/1ddFKvqj1W1NEiWytbGlB1zMx_ykJDVtmfEQ-6-lIUBA/edit?usp=sharing"","&amp;"""จันทบุรี!N584"")+IMPORTRANGE(""https://docs.google.com/spreadsheets/d/1T1PQvRODqOBZk8BRht_U031fIS1beLA0Ub2CEytj2q0/edit?usp=sharing"",""ฉะเชิงเทรา!N584"")+IMPORTRANGE(""https://docs.google.com/spreadsheets/d/11tr1B-Bhyr79v2bkwVh5h_fR-PStkgjlZtkrZpYurG0/"&amp;"edit?usp=sharing"",""ชลบุรี!N584"")+IMPORTRANGE(""https://docs.google.com/spreadsheets/d/1hh-FVnSX0vozXhGluamEcS54Dw9_zqW0N7qJUWgJ0Sw/edit?usp=sharing"",""ชัยนาท!N584"")+IMPORTRANGE(""https://docs.google.com/spreadsheets/d/1jkqa6GXxSacMcY1eN8AHjMNJ_7dDXMJ"&amp;"VRLDlaFSOdPM/edit?usp=sharing"",""ตราด!N584"")+IMPORTRANGE(""https://docs.google.com/spreadsheets/d/18hSgUJ3VwClqi_qtULmmW3cLr0oe3OKaSYoKzdpTsYQ/edit?usp=sharing"",""นครนายก!N584"")+IMPORTRANGE(""https://docs.google.com/spreadsheets/d/1YTZo6WM2dQ6Ix6FSdnL"&amp;"5P7uVnVKu40sxZu975tgG10E/edit?usp=sharing"",""นครปฐม!N584"")+IMPORTRANGE(""https://docs.google.com/spreadsheets/d/1OYoGg4WDg5RIzwGeB10padOxJF9E_Vljuvvct_M7RDo/edit?usp=sharing"",""ปทุมธานี!N584"")+IMPORTRANGE(""https://docs.google.com/spreadsheets/d/1GbCI"&amp;"E4D4wk9FUozzqk7SxfDMxDVBwVmI5zcaVUSzKAc/edit?usp=sharing"",""ประจวบคีรีขันธ์!N584"")+IMPORTRANGE(""https://docs.google.com/spreadsheets/d/1vVf6wykvW_lAyu7Yo9L4hUTqHqIeP_qcVuxCtosJEbg/edit?usp=sharing"",""ปราจีนบุรี!N584"")+IMPORTRANGE(""https://docs.googl"&amp;"e.com/spreadsheets/d/1BIDqLLg5jk3v59G8NlR8rk5xfQDKne0sAvZHSj7TI6I/edit?usp=sharing"",""พระนครศรีอยุธยา!N584"")+IMPORTRANGE(""https://docs.google.com/spreadsheets/d/1YXvxf8Yu6_rV4hTBrwMqAcAnv6DfhUxh5emyM3CJp_w/edit?usp=sharing"",""เพชรบุรี!N584"")+IMPORTRA"&amp;"NGE(""https://docs.google.com/spreadsheets/d/19KBlQQs7uwvsao6t2n-KvW3Ax8J8uRRfZPq1zPbXgKc/edit?usp=sharing"",""ระยอง!N584"")+IMPORTRANGE(""https://docs.google.com/spreadsheets/d/1jQ6P4QcrGM89YfqcC_PxOHGCMq5ezhucwJd8ci-NHng/edit?usp=sharing"",""ราชบุรี!N58"&amp;"4"")+IMPORTRANGE(""https://docs.google.com/spreadsheets/d/1lufeA2cfFqM-elVq2hznhDzC6Pr7wkJ9ZG_sYNGCMCU/edit?usp=sharing"",""ลพบุรี!N584"")+IMPORTRANGE(""https://docs.google.com/spreadsheets/d/10oOiF7loTyfsTkbd4MpaIm0HQ9SwB7IYHdIUvt-U1Uc/edit?usp=sharing"""&amp;",""สระแก้ว!N584"")+IMPORTRANGE(""https://docs.google.com/spreadsheets/d/1xmPlrr1QbdSIKvl1dWUl9K4PjAfSL9oeMr_37QVzcxc/edit?usp=sharing"",""สระบุรี!N584"")+IMPORTRANGE(""https://docs.google.com/spreadsheets/d/1j51vR6CYVGhABJpv6tkstgok82RLpXieLzW1yOY5rHw/edi"&amp;"t?usp=sharing"",""สิงห์บุรี!N584"")+IMPORTRANGE(""https://docs.google.com/spreadsheets/d/1H1EalTWKUSzO4Z1-1CwzoDUaVffgrThEBe2sl74kKG0/edit?usp=sharing"",""สุพรรณบุรี!N584"")+IMPORTRANGE(""https://docs.google.com/spreadsheets/d/1BmIruG_sIrJLYao_Pdr7zVArWsf"&amp;"oBt2692TMi6x_854/edit?usp=sharing"",""อ่างทอง!N584"")"),0)</f>
        <v>0</v>
      </c>
      <c r="O585" s="74">
        <f t="shared" ca="1" si="401"/>
        <v>0</v>
      </c>
      <c r="P585" s="74">
        <f t="shared" ca="1" si="402"/>
        <v>0</v>
      </c>
      <c r="Q585" s="73">
        <f ca="1">IFERROR(__xludf.DUMMYFUNCTION("IMPORTRANGE(""https://docs.google.com/spreadsheets/d/13wPX838HrBrQMCywv1BsuMkt4PEKTChp52zj44s2izQ/edit?usp=sharing"",""กาญจนบุรี!Q584"")+IMPORTRANGE(""https://docs.google.com/spreadsheets/d/1ddFKvqj1W1NEiWytbGlB1zMx_ykJDVtmfEQ-6-lIUBA/edit?usp=sharing"","&amp;"""จันทบุรี!Q584"")+IMPORTRANGE(""https://docs.google.com/spreadsheets/d/1T1PQvRODqOBZk8BRht_U031fIS1beLA0Ub2CEytj2q0/edit?usp=sharing"",""ฉะเชิงเทรา!Q584"")+IMPORTRANGE(""https://docs.google.com/spreadsheets/d/11tr1B-Bhyr79v2bkwVh5h_fR-PStkgjlZtkrZpYurG0/"&amp;"edit?usp=sharing"",""ชลบุรี!Q584"")+IMPORTRANGE(""https://docs.google.com/spreadsheets/d/1hh-FVnSX0vozXhGluamEcS54Dw9_zqW0N7qJUWgJ0Sw/edit?usp=sharing"",""ชัยนาท!Q584"")+IMPORTRANGE(""https://docs.google.com/spreadsheets/d/1jkqa6GXxSacMcY1eN8AHjMNJ_7dDXMJ"&amp;"VRLDlaFSOdPM/edit?usp=sharing"",""ตราด!Q584"")+IMPORTRANGE(""https://docs.google.com/spreadsheets/d/18hSgUJ3VwClqi_qtULmmW3cLr0oe3OKaSYoKzdpTsYQ/edit?usp=sharing"",""นครนายก!Q584"")+IMPORTRANGE(""https://docs.google.com/spreadsheets/d/1YTZo6WM2dQ6Ix6FSdnL"&amp;"5P7uVnVKu40sxZu975tgG10E/edit?usp=sharing"",""นครปฐม!Q584"")+IMPORTRANGE(""https://docs.google.com/spreadsheets/d/1OYoGg4WDg5RIzwGeB10padOxJF9E_Vljuvvct_M7RDo/edit?usp=sharing"",""ปทุมธานี!Q584"")+IMPORTRANGE(""https://docs.google.com/spreadsheets/d/1GbCI"&amp;"E4D4wk9FUozzqk7SxfDMxDVBwVmI5zcaVUSzKAc/edit?usp=sharing"",""ประจวบคีรีขันธ์!Q584"")+IMPORTRANGE(""https://docs.google.com/spreadsheets/d/1vVf6wykvW_lAyu7Yo9L4hUTqHqIeP_qcVuxCtosJEbg/edit?usp=sharing"",""ปราจีนบุรี!Q584"")+IMPORTRANGE(""https://docs.googl"&amp;"e.com/spreadsheets/d/1BIDqLLg5jk3v59G8NlR8rk5xfQDKne0sAvZHSj7TI6I/edit?usp=sharing"",""พระนครศรีอยุธยา!Q584"")+IMPORTRANGE(""https://docs.google.com/spreadsheets/d/1YXvxf8Yu6_rV4hTBrwMqAcAnv6DfhUxh5emyM3CJp_w/edit?usp=sharing"",""เพชรบุรี!Q584"")+IMPORTRA"&amp;"NGE(""https://docs.google.com/spreadsheets/d/19KBlQQs7uwvsao6t2n-KvW3Ax8J8uRRfZPq1zPbXgKc/edit?usp=sharing"",""ระยอง!Q584"")+IMPORTRANGE(""https://docs.google.com/spreadsheets/d/1jQ6P4QcrGM89YfqcC_PxOHGCMq5ezhucwJd8ci-NHng/edit?usp=sharing"",""ราชบุรี!Q58"&amp;"4"")+IMPORTRANGE(""https://docs.google.com/spreadsheets/d/1lufeA2cfFqM-elVq2hznhDzC6Pr7wkJ9ZG_sYNGCMCU/edit?usp=sharing"",""ลพบุรี!Q584"")+IMPORTRANGE(""https://docs.google.com/spreadsheets/d/10oOiF7loTyfsTkbd4MpaIm0HQ9SwB7IYHdIUvt-U1Uc/edit?usp=sharing"""&amp;",""สระแก้ว!Q584"")+IMPORTRANGE(""https://docs.google.com/spreadsheets/d/1xmPlrr1QbdSIKvl1dWUl9K4PjAfSL9oeMr_37QVzcxc/edit?usp=sharing"",""สระบุรี!Q584"")+IMPORTRANGE(""https://docs.google.com/spreadsheets/d/1j51vR6CYVGhABJpv6tkstgok82RLpXieLzW1yOY5rHw/edi"&amp;"t?usp=sharing"",""สิงห์บุรี!Q584"")+IMPORTRANGE(""https://docs.google.com/spreadsheets/d/1H1EalTWKUSzO4Z1-1CwzoDUaVffgrThEBe2sl74kKG0/edit?usp=sharing"",""สุพรรณบุรี!Q584"")+IMPORTRANGE(""https://docs.google.com/spreadsheets/d/1BmIruG_sIrJLYao_Pdr7zVArWsf"&amp;"oBt2692TMi6x_854/edit?usp=sharing"",""อ่างทอง!Q584"")"),0)</f>
        <v>0</v>
      </c>
      <c r="R585" s="74">
        <f ca="1">IFERROR(__xludf.DUMMYFUNCTION("IMPORTRANGE(""https://docs.google.com/spreadsheets/d/13wPX838HrBrQMCywv1BsuMkt4PEKTChp52zj44s2izQ/edit?usp=sharing"",""กาญจนบุรี!R584"")+IMPORTRANGE(""https://docs.google.com/spreadsheets/d/1ddFKvqj1W1NEiWytbGlB1zMx_ykJDVtmfEQ-6-lIUBA/edit?usp=sharing"","&amp;"""จันทบุรี!R584"")+IMPORTRANGE(""https://docs.google.com/spreadsheets/d/1T1PQvRODqOBZk8BRht_U031fIS1beLA0Ub2CEytj2q0/edit?usp=sharing"",""ฉะเชิงเทรา!R584"")+IMPORTRANGE(""https://docs.google.com/spreadsheets/d/11tr1B-Bhyr79v2bkwVh5h_fR-PStkgjlZtkrZpYurG0/"&amp;"edit?usp=sharing"",""ชลบุรี!R584"")+IMPORTRANGE(""https://docs.google.com/spreadsheets/d/1hh-FVnSX0vozXhGluamEcS54Dw9_zqW0N7qJUWgJ0Sw/edit?usp=sharing"",""ชัยนาท!R584"")+IMPORTRANGE(""https://docs.google.com/spreadsheets/d/1jkqa6GXxSacMcY1eN8AHjMNJ_7dDXMJ"&amp;"VRLDlaFSOdPM/edit?usp=sharing"",""ตราด!R584"")+IMPORTRANGE(""https://docs.google.com/spreadsheets/d/18hSgUJ3VwClqi_qtULmmW3cLr0oe3OKaSYoKzdpTsYQ/edit?usp=sharing"",""นครนายก!R584"")+IMPORTRANGE(""https://docs.google.com/spreadsheets/d/1YTZo6WM2dQ6Ix6FSdnL"&amp;"5P7uVnVKu40sxZu975tgG10E/edit?usp=sharing"",""นครปฐม!R584"")+IMPORTRANGE(""https://docs.google.com/spreadsheets/d/1OYoGg4WDg5RIzwGeB10padOxJF9E_Vljuvvct_M7RDo/edit?usp=sharing"",""ปทุมธานี!R584"")+IMPORTRANGE(""https://docs.google.com/spreadsheets/d/1GbCI"&amp;"E4D4wk9FUozzqk7SxfDMxDVBwVmI5zcaVUSzKAc/edit?usp=sharing"",""ประจวบคีรีขันธ์!R584"")+IMPORTRANGE(""https://docs.google.com/spreadsheets/d/1vVf6wykvW_lAyu7Yo9L4hUTqHqIeP_qcVuxCtosJEbg/edit?usp=sharing"",""ปราจีนบุรี!R584"")+IMPORTRANGE(""https://docs.googl"&amp;"e.com/spreadsheets/d/1BIDqLLg5jk3v59G8NlR8rk5xfQDKne0sAvZHSj7TI6I/edit?usp=sharing"",""พระนครศรีอยุธยา!R584"")+IMPORTRANGE(""https://docs.google.com/spreadsheets/d/1YXvxf8Yu6_rV4hTBrwMqAcAnv6DfhUxh5emyM3CJp_w/edit?usp=sharing"",""เพชรบุรี!R584"")+IMPORTRA"&amp;"NGE(""https://docs.google.com/spreadsheets/d/19KBlQQs7uwvsao6t2n-KvW3Ax8J8uRRfZPq1zPbXgKc/edit?usp=sharing"",""ระยอง!R584"")+IMPORTRANGE(""https://docs.google.com/spreadsheets/d/1jQ6P4QcrGM89YfqcC_PxOHGCMq5ezhucwJd8ci-NHng/edit?usp=sharing"",""ราชบุรี!R58"&amp;"4"")+IMPORTRANGE(""https://docs.google.com/spreadsheets/d/1lufeA2cfFqM-elVq2hznhDzC6Pr7wkJ9ZG_sYNGCMCU/edit?usp=sharing"",""ลพบุรี!R584"")+IMPORTRANGE(""https://docs.google.com/spreadsheets/d/10oOiF7loTyfsTkbd4MpaIm0HQ9SwB7IYHdIUvt-U1Uc/edit?usp=sharing"""&amp;",""สระแก้ว!R584"")+IMPORTRANGE(""https://docs.google.com/spreadsheets/d/1xmPlrr1QbdSIKvl1dWUl9K4PjAfSL9oeMr_37QVzcxc/edit?usp=sharing"",""สระบุรี!R584"")+IMPORTRANGE(""https://docs.google.com/spreadsheets/d/1j51vR6CYVGhABJpv6tkstgok82RLpXieLzW1yOY5rHw/edi"&amp;"t?usp=sharing"",""สิงห์บุรี!R584"")+IMPORTRANGE(""https://docs.google.com/spreadsheets/d/1H1EalTWKUSzO4Z1-1CwzoDUaVffgrThEBe2sl74kKG0/edit?usp=sharing"",""สุพรรณบุรี!R584"")+IMPORTRANGE(""https://docs.google.com/spreadsheets/d/1BmIruG_sIrJLYao_Pdr7zVArWsf"&amp;"oBt2692TMi6x_854/edit?usp=sharing"",""อ่างทอง!R584"")"),0)</f>
        <v>0</v>
      </c>
      <c r="S585" s="74">
        <f ca="1">IFERROR(__xludf.DUMMYFUNCTION("IMPORTRANGE(""https://docs.google.com/spreadsheets/d/13wPX838HrBrQMCywv1BsuMkt4PEKTChp52zj44s2izQ/edit?usp=sharing"",""กาญจนบุรี!S584"")+IMPORTRANGE(""https://docs.google.com/spreadsheets/d/1ddFKvqj1W1NEiWytbGlB1zMx_ykJDVtmfEQ-6-lIUBA/edit?usp=sharing"","&amp;"""จันทบุรี!S584"")+IMPORTRANGE(""https://docs.google.com/spreadsheets/d/1T1PQvRODqOBZk8BRht_U031fIS1beLA0Ub2CEytj2q0/edit?usp=sharing"",""ฉะเชิงเทรา!S584"")+IMPORTRANGE(""https://docs.google.com/spreadsheets/d/11tr1B-Bhyr79v2bkwVh5h_fR-PStkgjlZtkrZpYurG0/"&amp;"edit?usp=sharing"",""ชลบุรี!S584"")+IMPORTRANGE(""https://docs.google.com/spreadsheets/d/1hh-FVnSX0vozXhGluamEcS54Dw9_zqW0N7qJUWgJ0Sw/edit?usp=sharing"",""ชัยนาท!S584"")+IMPORTRANGE(""https://docs.google.com/spreadsheets/d/1jkqa6GXxSacMcY1eN8AHjMNJ_7dDXMJ"&amp;"VRLDlaFSOdPM/edit?usp=sharing"",""ตราด!S584"")+IMPORTRANGE(""https://docs.google.com/spreadsheets/d/18hSgUJ3VwClqi_qtULmmW3cLr0oe3OKaSYoKzdpTsYQ/edit?usp=sharing"",""นครนายก!S584"")+IMPORTRANGE(""https://docs.google.com/spreadsheets/d/1YTZo6WM2dQ6Ix6FSdnL"&amp;"5P7uVnVKu40sxZu975tgG10E/edit?usp=sharing"",""นครปฐม!S584"")+IMPORTRANGE(""https://docs.google.com/spreadsheets/d/1OYoGg4WDg5RIzwGeB10padOxJF9E_Vljuvvct_M7RDo/edit?usp=sharing"",""ปทุมธานี!S584"")+IMPORTRANGE(""https://docs.google.com/spreadsheets/d/1GbCI"&amp;"E4D4wk9FUozzqk7SxfDMxDVBwVmI5zcaVUSzKAc/edit?usp=sharing"",""ประจวบคีรีขันธ์!S584"")+IMPORTRANGE(""https://docs.google.com/spreadsheets/d/1vVf6wykvW_lAyu7Yo9L4hUTqHqIeP_qcVuxCtosJEbg/edit?usp=sharing"",""ปราจีนบุรี!S584"")+IMPORTRANGE(""https://docs.googl"&amp;"e.com/spreadsheets/d/1BIDqLLg5jk3v59G8NlR8rk5xfQDKne0sAvZHSj7TI6I/edit?usp=sharing"",""พระนครศรีอยุธยา!S584"")+IMPORTRANGE(""https://docs.google.com/spreadsheets/d/1YXvxf8Yu6_rV4hTBrwMqAcAnv6DfhUxh5emyM3CJp_w/edit?usp=sharing"",""เพชรบุรี!S584"")+IMPORTRA"&amp;"NGE(""https://docs.google.com/spreadsheets/d/19KBlQQs7uwvsao6t2n-KvW3Ax8J8uRRfZPq1zPbXgKc/edit?usp=sharing"",""ระยอง!S584"")+IMPORTRANGE(""https://docs.google.com/spreadsheets/d/1jQ6P4QcrGM89YfqcC_PxOHGCMq5ezhucwJd8ci-NHng/edit?usp=sharing"",""ราชบุรี!S58"&amp;"4"")+IMPORTRANGE(""https://docs.google.com/spreadsheets/d/1lufeA2cfFqM-elVq2hznhDzC6Pr7wkJ9ZG_sYNGCMCU/edit?usp=sharing"",""ลพบุรี!S584"")+IMPORTRANGE(""https://docs.google.com/spreadsheets/d/10oOiF7loTyfsTkbd4MpaIm0HQ9SwB7IYHdIUvt-U1Uc/edit?usp=sharing"""&amp;",""สระแก้ว!S584"")+IMPORTRANGE(""https://docs.google.com/spreadsheets/d/1xmPlrr1QbdSIKvl1dWUl9K4PjAfSL9oeMr_37QVzcxc/edit?usp=sharing"",""สระบุรี!S584"")+IMPORTRANGE(""https://docs.google.com/spreadsheets/d/1j51vR6CYVGhABJpv6tkstgok82RLpXieLzW1yOY5rHw/edi"&amp;"t?usp=sharing"",""สิงห์บุรี!S584"")+IMPORTRANGE(""https://docs.google.com/spreadsheets/d/1H1EalTWKUSzO4Z1-1CwzoDUaVffgrThEBe2sl74kKG0/edit?usp=sharing"",""สุพรรณบุรี!S584"")+IMPORTRANGE(""https://docs.google.com/spreadsheets/d/1BmIruG_sIrJLYao_Pdr7zVArWsf"&amp;"oBt2692TMi6x_854/edit?usp=sharing"",""อ่างทอง!S584"")"),0)</f>
        <v>0</v>
      </c>
      <c r="T585" s="132">
        <f t="shared" ca="1" si="404"/>
        <v>0</v>
      </c>
      <c r="U585" s="132">
        <f t="shared" ca="1" si="405"/>
        <v>0</v>
      </c>
    </row>
    <row r="586" spans="1:21" ht="19.5" hidden="1" x14ac:dyDescent="0.3">
      <c r="A586" s="276"/>
      <c r="B586" s="277"/>
      <c r="C586" s="689" t="s">
        <v>18</v>
      </c>
      <c r="D586" s="279" t="s">
        <v>38</v>
      </c>
      <c r="E586" s="280"/>
      <c r="F586" s="280"/>
      <c r="G586" s="281"/>
      <c r="H586" s="282"/>
      <c r="I586" s="272"/>
      <c r="J586" s="263"/>
      <c r="K586" s="87"/>
      <c r="L586" s="87"/>
      <c r="M586" s="87"/>
      <c r="N586" s="87"/>
      <c r="O586" s="229"/>
      <c r="P586" s="229"/>
      <c r="Q586" s="86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6"/>
      <c r="M587" s="596"/>
      <c r="N587" s="596"/>
      <c r="O587" s="596"/>
      <c r="P587" s="596"/>
      <c r="Q587" s="597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6"/>
      <c r="M588" s="596"/>
      <c r="N588" s="596"/>
      <c r="O588" s="596"/>
      <c r="P588" s="596"/>
      <c r="Q588" s="597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6"/>
      <c r="M589" s="596"/>
      <c r="N589" s="596"/>
      <c r="O589" s="596"/>
      <c r="P589" s="596"/>
      <c r="Q589" s="597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6"/>
      <c r="M590" s="596"/>
      <c r="N590" s="596"/>
      <c r="O590" s="596"/>
      <c r="P590" s="596"/>
      <c r="Q590" s="597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6"/>
      <c r="M591" s="596"/>
      <c r="N591" s="596"/>
      <c r="O591" s="596"/>
      <c r="P591" s="596"/>
      <c r="Q591" s="597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6"/>
      <c r="M592" s="596"/>
      <c r="N592" s="596"/>
      <c r="O592" s="596"/>
      <c r="P592" s="596"/>
      <c r="Q592" s="597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6"/>
      <c r="M593" s="596"/>
      <c r="N593" s="596"/>
      <c r="O593" s="596"/>
      <c r="P593" s="596"/>
      <c r="Q593" s="597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6"/>
      <c r="M594" s="596"/>
      <c r="N594" s="596"/>
      <c r="O594" s="596"/>
      <c r="P594" s="596"/>
      <c r="Q594" s="597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6"/>
      <c r="M595" s="596"/>
      <c r="N595" s="596"/>
      <c r="O595" s="596"/>
      <c r="P595" s="596"/>
      <c r="Q595" s="597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1"/>
      <c r="M596" s="601"/>
      <c r="N596" s="601"/>
      <c r="O596" s="601"/>
      <c r="P596" s="601"/>
      <c r="Q596" s="602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199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8"/>
      <c r="M598" s="208"/>
      <c r="N598" s="208"/>
      <c r="O598" s="208"/>
      <c r="P598" s="208"/>
      <c r="Q598" s="207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8"/>
      <c r="M599" s="208"/>
      <c r="N599" s="208"/>
      <c r="O599" s="208"/>
      <c r="P599" s="208"/>
      <c r="Q599" s="207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45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264">
        <f t="shared" ref="L600:N600" ca="1" si="414">L601+L602</f>
        <v>0</v>
      </c>
      <c r="M600" s="264">
        <f t="shared" ca="1" si="414"/>
        <v>0</v>
      </c>
      <c r="N600" s="264">
        <f t="shared" ca="1" si="414"/>
        <v>0</v>
      </c>
      <c r="O600" s="264">
        <f t="shared" ref="O600:O608" ca="1" si="415">IF(L600&gt;0,N600*100/L600,0)</f>
        <v>0</v>
      </c>
      <c r="P600" s="264">
        <f t="shared" ref="P600:P608" ca="1" si="416">IF(M600&gt;0,N600*100/M600,0)</f>
        <v>0</v>
      </c>
      <c r="Q600" s="214">
        <f t="shared" ref="Q600:S600" ca="1" si="417">Q601+Q602</f>
        <v>0</v>
      </c>
      <c r="R600" s="215">
        <f t="shared" ca="1" si="417"/>
        <v>0</v>
      </c>
      <c r="S600" s="215">
        <f t="shared" ca="1" si="417"/>
        <v>0</v>
      </c>
      <c r="T600" s="215">
        <f t="shared" ref="T600:T608" ca="1" si="418">IF(Q600&gt;0,S600*100/Q600,0)</f>
        <v>0</v>
      </c>
      <c r="U600" s="215">
        <f t="shared" ref="U600:U608" ca="1" si="419">IF(R600&gt;0,S600*100/R600,0)</f>
        <v>0</v>
      </c>
    </row>
    <row r="601" spans="1:21" ht="18.75" hidden="1" x14ac:dyDescent="0.25">
      <c r="A601" s="257"/>
      <c r="B601" s="269"/>
      <c r="C601" s="269"/>
      <c r="D601" s="290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7">
        <f t="shared" ref="L601:N601" ca="1" si="420">L604+L607</f>
        <v>0</v>
      </c>
      <c r="M601" s="77">
        <f t="shared" ca="1" si="420"/>
        <v>0</v>
      </c>
      <c r="N601" s="77">
        <f t="shared" ca="1" si="420"/>
        <v>0</v>
      </c>
      <c r="O601" s="77">
        <f t="shared" ca="1" si="415"/>
        <v>0</v>
      </c>
      <c r="P601" s="77">
        <f t="shared" ca="1" si="416"/>
        <v>0</v>
      </c>
      <c r="Q601" s="217">
        <f t="shared" ref="Q601:S601" ca="1" si="421">Q604+Q607</f>
        <v>0</v>
      </c>
      <c r="R601" s="133">
        <f t="shared" ca="1" si="421"/>
        <v>0</v>
      </c>
      <c r="S601" s="133">
        <f t="shared" ca="1" si="421"/>
        <v>0</v>
      </c>
      <c r="T601" s="133">
        <f t="shared" ca="1" si="418"/>
        <v>0</v>
      </c>
      <c r="U601" s="133">
        <f t="shared" ca="1" si="419"/>
        <v>0</v>
      </c>
    </row>
    <row r="602" spans="1:21" ht="18.75" hidden="1" x14ac:dyDescent="0.25">
      <c r="A602" s="257"/>
      <c r="B602" s="269"/>
      <c r="C602" s="269"/>
      <c r="D602" s="290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4">
        <f t="shared" ref="L602:N602" ca="1" si="422">L605+L608</f>
        <v>0</v>
      </c>
      <c r="M602" s="74">
        <f t="shared" ca="1" si="422"/>
        <v>0</v>
      </c>
      <c r="N602" s="74">
        <f t="shared" ca="1" si="422"/>
        <v>0</v>
      </c>
      <c r="O602" s="74">
        <f t="shared" ca="1" si="415"/>
        <v>0</v>
      </c>
      <c r="P602" s="74">
        <f t="shared" ca="1" si="416"/>
        <v>0</v>
      </c>
      <c r="Q602" s="131">
        <f t="shared" ref="Q602:S602" ca="1" si="423">Q605+Q608</f>
        <v>0</v>
      </c>
      <c r="R602" s="132">
        <f t="shared" ca="1" si="423"/>
        <v>0</v>
      </c>
      <c r="S602" s="132">
        <f t="shared" ca="1" si="423"/>
        <v>0</v>
      </c>
      <c r="T602" s="132">
        <f t="shared" ca="1" si="418"/>
        <v>0</v>
      </c>
      <c r="U602" s="132">
        <f t="shared" ca="1" si="419"/>
        <v>0</v>
      </c>
    </row>
    <row r="603" spans="1:21" ht="19.5" hidden="1" x14ac:dyDescent="0.3">
      <c r="A603" s="257"/>
      <c r="B603" s="269"/>
      <c r="C603" s="269"/>
      <c r="D603" s="70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4">
        <f t="shared" ref="L603:N603" ca="1" si="424">L604+L605</f>
        <v>0</v>
      </c>
      <c r="M603" s="74">
        <f t="shared" ca="1" si="424"/>
        <v>0</v>
      </c>
      <c r="N603" s="74">
        <f t="shared" ca="1" si="424"/>
        <v>0</v>
      </c>
      <c r="O603" s="74">
        <f t="shared" ca="1" si="415"/>
        <v>0</v>
      </c>
      <c r="P603" s="74">
        <f t="shared" ca="1" si="416"/>
        <v>0</v>
      </c>
      <c r="Q603" s="131">
        <f t="shared" ref="Q603:S603" ca="1" si="425">Q604+Q605</f>
        <v>0</v>
      </c>
      <c r="R603" s="132">
        <f t="shared" ca="1" si="425"/>
        <v>0</v>
      </c>
      <c r="S603" s="132">
        <f t="shared" ca="1" si="425"/>
        <v>0</v>
      </c>
      <c r="T603" s="132">
        <f t="shared" ca="1" si="418"/>
        <v>0</v>
      </c>
      <c r="U603" s="132">
        <f t="shared" ca="1" si="419"/>
        <v>0</v>
      </c>
    </row>
    <row r="604" spans="1:21" ht="18.75" hidden="1" x14ac:dyDescent="0.25">
      <c r="A604" s="257"/>
      <c r="B604" s="269"/>
      <c r="C604" s="269"/>
      <c r="D604" s="290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7">
        <f ca="1">IFERROR(__xludf.DUMMYFUNCTION("IMPORTRANGE(""https://docs.google.com/spreadsheets/d/13wPX838HrBrQMCywv1BsuMkt4PEKTChp52zj44s2izQ/edit?usp=sharing"",""กาญจนบุรี!L603"")+IMPORTRANGE(""https://docs.google.com/spreadsheets/d/1ddFKvqj1W1NEiWytbGlB1zMx_ykJDVtmfEQ-6-lIUBA/edit?usp=sharing"","&amp;"""จันทบุรี!L603"")+IMPORTRANGE(""https://docs.google.com/spreadsheets/d/1T1PQvRODqOBZk8BRht_U031fIS1beLA0Ub2CEytj2q0/edit?usp=sharing"",""ฉะเชิงเทรา!L603"")+IMPORTRANGE(""https://docs.google.com/spreadsheets/d/11tr1B-Bhyr79v2bkwVh5h_fR-PStkgjlZtkrZpYurG0/"&amp;"edit?usp=sharing"",""ชลบุรี!L603"")+IMPORTRANGE(""https://docs.google.com/spreadsheets/d/1hh-FVnSX0vozXhGluamEcS54Dw9_zqW0N7qJUWgJ0Sw/edit?usp=sharing"",""ชัยนาท!L603"")+IMPORTRANGE(""https://docs.google.com/spreadsheets/d/1jkqa6GXxSacMcY1eN8AHjMNJ_7dDXMJ"&amp;"VRLDlaFSOdPM/edit?usp=sharing"",""ตราด!L603"")+IMPORTRANGE(""https://docs.google.com/spreadsheets/d/18hSgUJ3VwClqi_qtULmmW3cLr0oe3OKaSYoKzdpTsYQ/edit?usp=sharing"",""นครนายก!L603"")+IMPORTRANGE(""https://docs.google.com/spreadsheets/d/1YTZo6WM2dQ6Ix6FSdnL"&amp;"5P7uVnVKu40sxZu975tgG10E/edit?usp=sharing"",""นครปฐม!L603"")+IMPORTRANGE(""https://docs.google.com/spreadsheets/d/1OYoGg4WDg5RIzwGeB10padOxJF9E_Vljuvvct_M7RDo/edit?usp=sharing"",""ปทุมธานี!L603"")+IMPORTRANGE(""https://docs.google.com/spreadsheets/d/1GbCI"&amp;"E4D4wk9FUozzqk7SxfDMxDVBwVmI5zcaVUSzKAc/edit?usp=sharing"",""ประจวบคีรีขันธ์!L603"")+IMPORTRANGE(""https://docs.google.com/spreadsheets/d/1vVf6wykvW_lAyu7Yo9L4hUTqHqIeP_qcVuxCtosJEbg/edit?usp=sharing"",""ปราจีนบุรี!L603"")+IMPORTRANGE(""https://docs.googl"&amp;"e.com/spreadsheets/d/1BIDqLLg5jk3v59G8NlR8rk5xfQDKne0sAvZHSj7TI6I/edit?usp=sharing"",""พระนครศรีอยุธยา!L603"")+IMPORTRANGE(""https://docs.google.com/spreadsheets/d/1YXvxf8Yu6_rV4hTBrwMqAcAnv6DfhUxh5emyM3CJp_w/edit?usp=sharing"",""เพชรบุรี!L603"")+IMPORTRA"&amp;"NGE(""https://docs.google.com/spreadsheets/d/19KBlQQs7uwvsao6t2n-KvW3Ax8J8uRRfZPq1zPbXgKc/edit?usp=sharing"",""ระยอง!L603"")+IMPORTRANGE(""https://docs.google.com/spreadsheets/d/1jQ6P4QcrGM89YfqcC_PxOHGCMq5ezhucwJd8ci-NHng/edit?usp=sharing"",""ราชบุรี!L60"&amp;"3"")+IMPORTRANGE(""https://docs.google.com/spreadsheets/d/1lufeA2cfFqM-elVq2hznhDzC6Pr7wkJ9ZG_sYNGCMCU/edit?usp=sharing"",""ลพบุรี!L603"")+IMPORTRANGE(""https://docs.google.com/spreadsheets/d/10oOiF7loTyfsTkbd4MpaIm0HQ9SwB7IYHdIUvt-U1Uc/edit?usp=sharing"""&amp;",""สระแก้ว!L603"")+IMPORTRANGE(""https://docs.google.com/spreadsheets/d/1xmPlrr1QbdSIKvl1dWUl9K4PjAfSL9oeMr_37QVzcxc/edit?usp=sharing"",""สระบุรี!L603"")+IMPORTRANGE(""https://docs.google.com/spreadsheets/d/1j51vR6CYVGhABJpv6tkstgok82RLpXieLzW1yOY5rHw/edi"&amp;"t?usp=sharing"",""สิงห์บุรี!L603"")+IMPORTRANGE(""https://docs.google.com/spreadsheets/d/1H1EalTWKUSzO4Z1-1CwzoDUaVffgrThEBe2sl74kKG0/edit?usp=sharing"",""สุพรรณบุรี!L603"")+IMPORTRANGE(""https://docs.google.com/spreadsheets/d/1BmIruG_sIrJLYao_Pdr7zVArWsf"&amp;"oBt2692TMi6x_854/edit?usp=sharing"",""อ่างทอง!L603"")"),0)</f>
        <v>0</v>
      </c>
      <c r="M604" s="77">
        <f ca="1">IFERROR(__xludf.DUMMYFUNCTION("IMPORTRANGE(""https://docs.google.com/spreadsheets/d/13wPX838HrBrQMCywv1BsuMkt4PEKTChp52zj44s2izQ/edit?usp=sharing"",""กาญจนบุรี!M603"")+IMPORTRANGE(""https://docs.google.com/spreadsheets/d/1ddFKvqj1W1NEiWytbGlB1zMx_ykJDVtmfEQ-6-lIUBA/edit?usp=sharing"","&amp;"""จันทบุรี!M603"")+IMPORTRANGE(""https://docs.google.com/spreadsheets/d/1T1PQvRODqOBZk8BRht_U031fIS1beLA0Ub2CEytj2q0/edit?usp=sharing"",""ฉะเชิงเทรา!M603"")+IMPORTRANGE(""https://docs.google.com/spreadsheets/d/11tr1B-Bhyr79v2bkwVh5h_fR-PStkgjlZtkrZpYurG0/"&amp;"edit?usp=sharing"",""ชลบุรี!M603"")+IMPORTRANGE(""https://docs.google.com/spreadsheets/d/1hh-FVnSX0vozXhGluamEcS54Dw9_zqW0N7qJUWgJ0Sw/edit?usp=sharing"",""ชัยนาท!M603"")+IMPORTRANGE(""https://docs.google.com/spreadsheets/d/1jkqa6GXxSacMcY1eN8AHjMNJ_7dDXMJ"&amp;"VRLDlaFSOdPM/edit?usp=sharing"",""ตราด!M603"")+IMPORTRANGE(""https://docs.google.com/spreadsheets/d/18hSgUJ3VwClqi_qtULmmW3cLr0oe3OKaSYoKzdpTsYQ/edit?usp=sharing"",""นครนายก!M603"")+IMPORTRANGE(""https://docs.google.com/spreadsheets/d/1YTZo6WM2dQ6Ix6FSdnL"&amp;"5P7uVnVKu40sxZu975tgG10E/edit?usp=sharing"",""นครปฐม!M603"")+IMPORTRANGE(""https://docs.google.com/spreadsheets/d/1OYoGg4WDg5RIzwGeB10padOxJF9E_Vljuvvct_M7RDo/edit?usp=sharing"",""ปทุมธานี!M603"")+IMPORTRANGE(""https://docs.google.com/spreadsheets/d/1GbCI"&amp;"E4D4wk9FUozzqk7SxfDMxDVBwVmI5zcaVUSzKAc/edit?usp=sharing"",""ประจวบคีรีขันธ์!M603"")+IMPORTRANGE(""https://docs.google.com/spreadsheets/d/1vVf6wykvW_lAyu7Yo9L4hUTqHqIeP_qcVuxCtosJEbg/edit?usp=sharing"",""ปราจีนบุรี!M603"")+IMPORTRANGE(""https://docs.googl"&amp;"e.com/spreadsheets/d/1BIDqLLg5jk3v59G8NlR8rk5xfQDKne0sAvZHSj7TI6I/edit?usp=sharing"",""พระนครศรีอยุธยา!M603"")+IMPORTRANGE(""https://docs.google.com/spreadsheets/d/1YXvxf8Yu6_rV4hTBrwMqAcAnv6DfhUxh5emyM3CJp_w/edit?usp=sharing"",""เพชรบุรี!M603"")+IMPORTRA"&amp;"NGE(""https://docs.google.com/spreadsheets/d/19KBlQQs7uwvsao6t2n-KvW3Ax8J8uRRfZPq1zPbXgKc/edit?usp=sharing"",""ระยอง!M603"")+IMPORTRANGE(""https://docs.google.com/spreadsheets/d/1jQ6P4QcrGM89YfqcC_PxOHGCMq5ezhucwJd8ci-NHng/edit?usp=sharing"",""ราชบุรี!M60"&amp;"3"")+IMPORTRANGE(""https://docs.google.com/spreadsheets/d/1lufeA2cfFqM-elVq2hznhDzC6Pr7wkJ9ZG_sYNGCMCU/edit?usp=sharing"",""ลพบุรี!M603"")+IMPORTRANGE(""https://docs.google.com/spreadsheets/d/10oOiF7loTyfsTkbd4MpaIm0HQ9SwB7IYHdIUvt-U1Uc/edit?usp=sharing"""&amp;",""สระแก้ว!M603"")+IMPORTRANGE(""https://docs.google.com/spreadsheets/d/1xmPlrr1QbdSIKvl1dWUl9K4PjAfSL9oeMr_37QVzcxc/edit?usp=sharing"",""สระบุรี!M603"")+IMPORTRANGE(""https://docs.google.com/spreadsheets/d/1j51vR6CYVGhABJpv6tkstgok82RLpXieLzW1yOY5rHw/edi"&amp;"t?usp=sharing"",""สิงห์บุรี!M603"")+IMPORTRANGE(""https://docs.google.com/spreadsheets/d/1H1EalTWKUSzO4Z1-1CwzoDUaVffgrThEBe2sl74kKG0/edit?usp=sharing"",""สุพรรณบุรี!M603"")+IMPORTRANGE(""https://docs.google.com/spreadsheets/d/1BmIruG_sIrJLYao_Pdr7zVArWsf"&amp;"oBt2692TMi6x_854/edit?usp=sharing"",""อ่างทอง!M603"")"),0)</f>
        <v>0</v>
      </c>
      <c r="N604" s="77">
        <f ca="1">IFERROR(__xludf.DUMMYFUNCTION("IMPORTRANGE(""https://docs.google.com/spreadsheets/d/13wPX838HrBrQMCywv1BsuMkt4PEKTChp52zj44s2izQ/edit?usp=sharing"",""กาญจนบุรี!N603"")+IMPORTRANGE(""https://docs.google.com/spreadsheets/d/1ddFKvqj1W1NEiWytbGlB1zMx_ykJDVtmfEQ-6-lIUBA/edit?usp=sharing"","&amp;"""จันทบุรี!N603"")+IMPORTRANGE(""https://docs.google.com/spreadsheets/d/1T1PQvRODqOBZk8BRht_U031fIS1beLA0Ub2CEytj2q0/edit?usp=sharing"",""ฉะเชิงเทรา!N603"")+IMPORTRANGE(""https://docs.google.com/spreadsheets/d/11tr1B-Bhyr79v2bkwVh5h_fR-PStkgjlZtkrZpYurG0/"&amp;"edit?usp=sharing"",""ชลบุรี!N603"")+IMPORTRANGE(""https://docs.google.com/spreadsheets/d/1hh-FVnSX0vozXhGluamEcS54Dw9_zqW0N7qJUWgJ0Sw/edit?usp=sharing"",""ชัยนาท!N603"")+IMPORTRANGE(""https://docs.google.com/spreadsheets/d/1jkqa6GXxSacMcY1eN8AHjMNJ_7dDXMJ"&amp;"VRLDlaFSOdPM/edit?usp=sharing"",""ตราด!N603"")+IMPORTRANGE(""https://docs.google.com/spreadsheets/d/18hSgUJ3VwClqi_qtULmmW3cLr0oe3OKaSYoKzdpTsYQ/edit?usp=sharing"",""นครนายก!N603"")+IMPORTRANGE(""https://docs.google.com/spreadsheets/d/1YTZo6WM2dQ6Ix6FSdnL"&amp;"5P7uVnVKu40sxZu975tgG10E/edit?usp=sharing"",""นครปฐม!N603"")+IMPORTRANGE(""https://docs.google.com/spreadsheets/d/1OYoGg4WDg5RIzwGeB10padOxJF9E_Vljuvvct_M7RDo/edit?usp=sharing"",""ปทุมธานี!N603"")+IMPORTRANGE(""https://docs.google.com/spreadsheets/d/1GbCI"&amp;"E4D4wk9FUozzqk7SxfDMxDVBwVmI5zcaVUSzKAc/edit?usp=sharing"",""ประจวบคีรีขันธ์!N603"")+IMPORTRANGE(""https://docs.google.com/spreadsheets/d/1vVf6wykvW_lAyu7Yo9L4hUTqHqIeP_qcVuxCtosJEbg/edit?usp=sharing"",""ปราจีนบุรี!N603"")+IMPORTRANGE(""https://docs.googl"&amp;"e.com/spreadsheets/d/1BIDqLLg5jk3v59G8NlR8rk5xfQDKne0sAvZHSj7TI6I/edit?usp=sharing"",""พระนครศรีอยุธยา!N603"")+IMPORTRANGE(""https://docs.google.com/spreadsheets/d/1YXvxf8Yu6_rV4hTBrwMqAcAnv6DfhUxh5emyM3CJp_w/edit?usp=sharing"",""เพชรบุรี!N603"")+IMPORTRA"&amp;"NGE(""https://docs.google.com/spreadsheets/d/19KBlQQs7uwvsao6t2n-KvW3Ax8J8uRRfZPq1zPbXgKc/edit?usp=sharing"",""ระยอง!N603"")+IMPORTRANGE(""https://docs.google.com/spreadsheets/d/1jQ6P4QcrGM89YfqcC_PxOHGCMq5ezhucwJd8ci-NHng/edit?usp=sharing"",""ราชบุรี!N60"&amp;"3"")+IMPORTRANGE(""https://docs.google.com/spreadsheets/d/1lufeA2cfFqM-elVq2hznhDzC6Pr7wkJ9ZG_sYNGCMCU/edit?usp=sharing"",""ลพบุรี!N603"")+IMPORTRANGE(""https://docs.google.com/spreadsheets/d/10oOiF7loTyfsTkbd4MpaIm0HQ9SwB7IYHdIUvt-U1Uc/edit?usp=sharing"""&amp;",""สระแก้ว!N603"")+IMPORTRANGE(""https://docs.google.com/spreadsheets/d/1xmPlrr1QbdSIKvl1dWUl9K4PjAfSL9oeMr_37QVzcxc/edit?usp=sharing"",""สระบุรี!N603"")+IMPORTRANGE(""https://docs.google.com/spreadsheets/d/1j51vR6CYVGhABJpv6tkstgok82RLpXieLzW1yOY5rHw/edi"&amp;"t?usp=sharing"",""สิงห์บุรี!N603"")+IMPORTRANGE(""https://docs.google.com/spreadsheets/d/1H1EalTWKUSzO4Z1-1CwzoDUaVffgrThEBe2sl74kKG0/edit?usp=sharing"",""สุพรรณบุรี!N603"")+IMPORTRANGE(""https://docs.google.com/spreadsheets/d/1BmIruG_sIrJLYao_Pdr7zVArWsf"&amp;"oBt2692TMi6x_854/edit?usp=sharing"",""อ่างทอง!N603"")"),0)</f>
        <v>0</v>
      </c>
      <c r="O604" s="77">
        <f t="shared" ca="1" si="415"/>
        <v>0</v>
      </c>
      <c r="P604" s="77">
        <f t="shared" ca="1" si="416"/>
        <v>0</v>
      </c>
      <c r="Q604" s="76">
        <f ca="1">IFERROR(__xludf.DUMMYFUNCTION("IMPORTRANGE(""https://docs.google.com/spreadsheets/d/13wPX838HrBrQMCywv1BsuMkt4PEKTChp52zj44s2izQ/edit?usp=sharing"",""กาญจนบุรี!Q603"")+IMPORTRANGE(""https://docs.google.com/spreadsheets/d/1ddFKvqj1W1NEiWytbGlB1zMx_ykJDVtmfEQ-6-lIUBA/edit?usp=sharing"","&amp;"""จันทบุรี!Q603"")+IMPORTRANGE(""https://docs.google.com/spreadsheets/d/1T1PQvRODqOBZk8BRht_U031fIS1beLA0Ub2CEytj2q0/edit?usp=sharing"",""ฉะเชิงเทรา!Q603"")+IMPORTRANGE(""https://docs.google.com/spreadsheets/d/11tr1B-Bhyr79v2bkwVh5h_fR-PStkgjlZtkrZpYurG0/"&amp;"edit?usp=sharing"",""ชลบุรี!Q603"")+IMPORTRANGE(""https://docs.google.com/spreadsheets/d/1hh-FVnSX0vozXhGluamEcS54Dw9_zqW0N7qJUWgJ0Sw/edit?usp=sharing"",""ชัยนาท!Q603"")+IMPORTRANGE(""https://docs.google.com/spreadsheets/d/1jkqa6GXxSacMcY1eN8AHjMNJ_7dDXMJ"&amp;"VRLDlaFSOdPM/edit?usp=sharing"",""ตราด!Q603"")+IMPORTRANGE(""https://docs.google.com/spreadsheets/d/18hSgUJ3VwClqi_qtULmmW3cLr0oe3OKaSYoKzdpTsYQ/edit?usp=sharing"",""นครนายก!Q603"")+IMPORTRANGE(""https://docs.google.com/spreadsheets/d/1YTZo6WM2dQ6Ix6FSdnL"&amp;"5P7uVnVKu40sxZu975tgG10E/edit?usp=sharing"",""นครปฐม!Q603"")+IMPORTRANGE(""https://docs.google.com/spreadsheets/d/1OYoGg4WDg5RIzwGeB10padOxJF9E_Vljuvvct_M7RDo/edit?usp=sharing"",""ปทุมธานี!Q603"")+IMPORTRANGE(""https://docs.google.com/spreadsheets/d/1GbCI"&amp;"E4D4wk9FUozzqk7SxfDMxDVBwVmI5zcaVUSzKAc/edit?usp=sharing"",""ประจวบคีรีขันธ์!Q603"")+IMPORTRANGE(""https://docs.google.com/spreadsheets/d/1vVf6wykvW_lAyu7Yo9L4hUTqHqIeP_qcVuxCtosJEbg/edit?usp=sharing"",""ปราจีนบุรี!Q603"")+IMPORTRANGE(""https://docs.googl"&amp;"e.com/spreadsheets/d/1BIDqLLg5jk3v59G8NlR8rk5xfQDKne0sAvZHSj7TI6I/edit?usp=sharing"",""พระนครศรีอยุธยา!Q603"")+IMPORTRANGE(""https://docs.google.com/spreadsheets/d/1YXvxf8Yu6_rV4hTBrwMqAcAnv6DfhUxh5emyM3CJp_w/edit?usp=sharing"",""เพชรบุรี!Q603"")+IMPORTRA"&amp;"NGE(""https://docs.google.com/spreadsheets/d/19KBlQQs7uwvsao6t2n-KvW3Ax8J8uRRfZPq1zPbXgKc/edit?usp=sharing"",""ระยอง!Q603"")+IMPORTRANGE(""https://docs.google.com/spreadsheets/d/1jQ6P4QcrGM89YfqcC_PxOHGCMq5ezhucwJd8ci-NHng/edit?usp=sharing"",""ราชบุรี!Q60"&amp;"3"")+IMPORTRANGE(""https://docs.google.com/spreadsheets/d/1lufeA2cfFqM-elVq2hznhDzC6Pr7wkJ9ZG_sYNGCMCU/edit?usp=sharing"",""ลพบุรี!Q603"")+IMPORTRANGE(""https://docs.google.com/spreadsheets/d/10oOiF7loTyfsTkbd4MpaIm0HQ9SwB7IYHdIUvt-U1Uc/edit?usp=sharing"""&amp;",""สระแก้ว!Q603"")+IMPORTRANGE(""https://docs.google.com/spreadsheets/d/1xmPlrr1QbdSIKvl1dWUl9K4PjAfSL9oeMr_37QVzcxc/edit?usp=sharing"",""สระบุรี!Q603"")+IMPORTRANGE(""https://docs.google.com/spreadsheets/d/1j51vR6CYVGhABJpv6tkstgok82RLpXieLzW1yOY5rHw/edi"&amp;"t?usp=sharing"",""สิงห์บุรี!Q603"")+IMPORTRANGE(""https://docs.google.com/spreadsheets/d/1H1EalTWKUSzO4Z1-1CwzoDUaVffgrThEBe2sl74kKG0/edit?usp=sharing"",""สุพรรณบุรี!Q603"")+IMPORTRANGE(""https://docs.google.com/spreadsheets/d/1BmIruG_sIrJLYao_Pdr7zVArWsf"&amp;"oBt2692TMi6x_854/edit?usp=sharing"",""อ่างทอง!Q603"")"),0)</f>
        <v>0</v>
      </c>
      <c r="R604" s="77">
        <f ca="1">IFERROR(__xludf.DUMMYFUNCTION("IMPORTRANGE(""https://docs.google.com/spreadsheets/d/13wPX838HrBrQMCywv1BsuMkt4PEKTChp52zj44s2izQ/edit?usp=sharing"",""กาญจนบุรี!R603"")+IMPORTRANGE(""https://docs.google.com/spreadsheets/d/1ddFKvqj1W1NEiWytbGlB1zMx_ykJDVtmfEQ-6-lIUBA/edit?usp=sharing"","&amp;"""จันทบุรี!R603"")+IMPORTRANGE(""https://docs.google.com/spreadsheets/d/1T1PQvRODqOBZk8BRht_U031fIS1beLA0Ub2CEytj2q0/edit?usp=sharing"",""ฉะเชิงเทรา!R603"")+IMPORTRANGE(""https://docs.google.com/spreadsheets/d/11tr1B-Bhyr79v2bkwVh5h_fR-PStkgjlZtkrZpYurG0/"&amp;"edit?usp=sharing"",""ชลบุรี!R603"")+IMPORTRANGE(""https://docs.google.com/spreadsheets/d/1hh-FVnSX0vozXhGluamEcS54Dw9_zqW0N7qJUWgJ0Sw/edit?usp=sharing"",""ชัยนาท!R603"")+IMPORTRANGE(""https://docs.google.com/spreadsheets/d/1jkqa6GXxSacMcY1eN8AHjMNJ_7dDXMJ"&amp;"VRLDlaFSOdPM/edit?usp=sharing"",""ตราด!R603"")+IMPORTRANGE(""https://docs.google.com/spreadsheets/d/18hSgUJ3VwClqi_qtULmmW3cLr0oe3OKaSYoKzdpTsYQ/edit?usp=sharing"",""นครนายก!R603"")+IMPORTRANGE(""https://docs.google.com/spreadsheets/d/1YTZo6WM2dQ6Ix6FSdnL"&amp;"5P7uVnVKu40sxZu975tgG10E/edit?usp=sharing"",""นครปฐม!R603"")+IMPORTRANGE(""https://docs.google.com/spreadsheets/d/1OYoGg4WDg5RIzwGeB10padOxJF9E_Vljuvvct_M7RDo/edit?usp=sharing"",""ปทุมธานี!R603"")+IMPORTRANGE(""https://docs.google.com/spreadsheets/d/1GbCI"&amp;"E4D4wk9FUozzqk7SxfDMxDVBwVmI5zcaVUSzKAc/edit?usp=sharing"",""ประจวบคีรีขันธ์!R603"")+IMPORTRANGE(""https://docs.google.com/spreadsheets/d/1vVf6wykvW_lAyu7Yo9L4hUTqHqIeP_qcVuxCtosJEbg/edit?usp=sharing"",""ปราจีนบุรี!R603"")+IMPORTRANGE(""https://docs.googl"&amp;"e.com/spreadsheets/d/1BIDqLLg5jk3v59G8NlR8rk5xfQDKne0sAvZHSj7TI6I/edit?usp=sharing"",""พระนครศรีอยุธยา!R603"")+IMPORTRANGE(""https://docs.google.com/spreadsheets/d/1YXvxf8Yu6_rV4hTBrwMqAcAnv6DfhUxh5emyM3CJp_w/edit?usp=sharing"",""เพชรบุรี!R603"")+IMPORTRA"&amp;"NGE(""https://docs.google.com/spreadsheets/d/19KBlQQs7uwvsao6t2n-KvW3Ax8J8uRRfZPq1zPbXgKc/edit?usp=sharing"",""ระยอง!R603"")+IMPORTRANGE(""https://docs.google.com/spreadsheets/d/1jQ6P4QcrGM89YfqcC_PxOHGCMq5ezhucwJd8ci-NHng/edit?usp=sharing"",""ราชบุรี!R60"&amp;"3"")+IMPORTRANGE(""https://docs.google.com/spreadsheets/d/1lufeA2cfFqM-elVq2hznhDzC6Pr7wkJ9ZG_sYNGCMCU/edit?usp=sharing"",""ลพบุรี!R603"")+IMPORTRANGE(""https://docs.google.com/spreadsheets/d/10oOiF7loTyfsTkbd4MpaIm0HQ9SwB7IYHdIUvt-U1Uc/edit?usp=sharing"""&amp;",""สระแก้ว!R603"")+IMPORTRANGE(""https://docs.google.com/spreadsheets/d/1xmPlrr1QbdSIKvl1dWUl9K4PjAfSL9oeMr_37QVzcxc/edit?usp=sharing"",""สระบุรี!R603"")+IMPORTRANGE(""https://docs.google.com/spreadsheets/d/1j51vR6CYVGhABJpv6tkstgok82RLpXieLzW1yOY5rHw/edi"&amp;"t?usp=sharing"",""สิงห์บุรี!R603"")+IMPORTRANGE(""https://docs.google.com/spreadsheets/d/1H1EalTWKUSzO4Z1-1CwzoDUaVffgrThEBe2sl74kKG0/edit?usp=sharing"",""สุพรรณบุรี!R603"")+IMPORTRANGE(""https://docs.google.com/spreadsheets/d/1BmIruG_sIrJLYao_Pdr7zVArWsf"&amp;"oBt2692TMi6x_854/edit?usp=sharing"",""อ่างทอง!R603"")"),0)</f>
        <v>0</v>
      </c>
      <c r="S604" s="77">
        <f ca="1">IFERROR(__xludf.DUMMYFUNCTION("IMPORTRANGE(""https://docs.google.com/spreadsheets/d/13wPX838HrBrQMCywv1BsuMkt4PEKTChp52zj44s2izQ/edit?usp=sharing"",""กาญจนบุรี!S603"")+IMPORTRANGE(""https://docs.google.com/spreadsheets/d/1ddFKvqj1W1NEiWytbGlB1zMx_ykJDVtmfEQ-6-lIUBA/edit?usp=sharing"","&amp;"""จันทบุรี!S603"")+IMPORTRANGE(""https://docs.google.com/spreadsheets/d/1T1PQvRODqOBZk8BRht_U031fIS1beLA0Ub2CEytj2q0/edit?usp=sharing"",""ฉะเชิงเทรา!S603"")+IMPORTRANGE(""https://docs.google.com/spreadsheets/d/11tr1B-Bhyr79v2bkwVh5h_fR-PStkgjlZtkrZpYurG0/"&amp;"edit?usp=sharing"",""ชลบุรี!S603"")+IMPORTRANGE(""https://docs.google.com/spreadsheets/d/1hh-FVnSX0vozXhGluamEcS54Dw9_zqW0N7qJUWgJ0Sw/edit?usp=sharing"",""ชัยนาท!S603"")+IMPORTRANGE(""https://docs.google.com/spreadsheets/d/1jkqa6GXxSacMcY1eN8AHjMNJ_7dDXMJ"&amp;"VRLDlaFSOdPM/edit?usp=sharing"",""ตราด!S603"")+IMPORTRANGE(""https://docs.google.com/spreadsheets/d/18hSgUJ3VwClqi_qtULmmW3cLr0oe3OKaSYoKzdpTsYQ/edit?usp=sharing"",""นครนายก!S603"")+IMPORTRANGE(""https://docs.google.com/spreadsheets/d/1YTZo6WM2dQ6Ix6FSdnL"&amp;"5P7uVnVKu40sxZu975tgG10E/edit?usp=sharing"",""นครปฐม!S603"")+IMPORTRANGE(""https://docs.google.com/spreadsheets/d/1OYoGg4WDg5RIzwGeB10padOxJF9E_Vljuvvct_M7RDo/edit?usp=sharing"",""ปทุมธานี!S603"")+IMPORTRANGE(""https://docs.google.com/spreadsheets/d/1GbCI"&amp;"E4D4wk9FUozzqk7SxfDMxDVBwVmI5zcaVUSzKAc/edit?usp=sharing"",""ประจวบคีรีขันธ์!S603"")+IMPORTRANGE(""https://docs.google.com/spreadsheets/d/1vVf6wykvW_lAyu7Yo9L4hUTqHqIeP_qcVuxCtosJEbg/edit?usp=sharing"",""ปราจีนบุรี!S603"")+IMPORTRANGE(""https://docs.googl"&amp;"e.com/spreadsheets/d/1BIDqLLg5jk3v59G8NlR8rk5xfQDKne0sAvZHSj7TI6I/edit?usp=sharing"",""พระนครศรีอยุธยา!S603"")+IMPORTRANGE(""https://docs.google.com/spreadsheets/d/1YXvxf8Yu6_rV4hTBrwMqAcAnv6DfhUxh5emyM3CJp_w/edit?usp=sharing"",""เพชรบุรี!S603"")+IMPORTRA"&amp;"NGE(""https://docs.google.com/spreadsheets/d/19KBlQQs7uwvsao6t2n-KvW3Ax8J8uRRfZPq1zPbXgKc/edit?usp=sharing"",""ระยอง!S603"")+IMPORTRANGE(""https://docs.google.com/spreadsheets/d/1jQ6P4QcrGM89YfqcC_PxOHGCMq5ezhucwJd8ci-NHng/edit?usp=sharing"",""ราชบุรี!S60"&amp;"3"")+IMPORTRANGE(""https://docs.google.com/spreadsheets/d/1lufeA2cfFqM-elVq2hznhDzC6Pr7wkJ9ZG_sYNGCMCU/edit?usp=sharing"",""ลพบุรี!S603"")+IMPORTRANGE(""https://docs.google.com/spreadsheets/d/10oOiF7loTyfsTkbd4MpaIm0HQ9SwB7IYHdIUvt-U1Uc/edit?usp=sharing"""&amp;",""สระแก้ว!S603"")+IMPORTRANGE(""https://docs.google.com/spreadsheets/d/1xmPlrr1QbdSIKvl1dWUl9K4PjAfSL9oeMr_37QVzcxc/edit?usp=sharing"",""สระบุรี!S603"")+IMPORTRANGE(""https://docs.google.com/spreadsheets/d/1j51vR6CYVGhABJpv6tkstgok82RLpXieLzW1yOY5rHw/edi"&amp;"t?usp=sharing"",""สิงห์บุรี!S603"")+IMPORTRANGE(""https://docs.google.com/spreadsheets/d/1H1EalTWKUSzO4Z1-1CwzoDUaVffgrThEBe2sl74kKG0/edit?usp=sharing"",""สุพรรณบุรี!S603"")+IMPORTRANGE(""https://docs.google.com/spreadsheets/d/1BmIruG_sIrJLYao_Pdr7zVArWsf"&amp;"oBt2692TMi6x_854/edit?usp=sharing"",""อ่างทอง!S603"")"),0)</f>
        <v>0</v>
      </c>
      <c r="T604" s="133">
        <f t="shared" ca="1" si="418"/>
        <v>0</v>
      </c>
      <c r="U604" s="133">
        <f t="shared" ca="1" si="419"/>
        <v>0</v>
      </c>
    </row>
    <row r="605" spans="1:21" ht="18.75" hidden="1" x14ac:dyDescent="0.25">
      <c r="A605" s="257"/>
      <c r="B605" s="269"/>
      <c r="C605" s="269"/>
      <c r="D605" s="290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4">
        <f ca="1">IFERROR(__xludf.DUMMYFUNCTION("IMPORTRANGE(""https://docs.google.com/spreadsheets/d/13wPX838HrBrQMCywv1BsuMkt4PEKTChp52zj44s2izQ/edit?usp=sharing"",""กาญจนบุรี!L604"")+IMPORTRANGE(""https://docs.google.com/spreadsheets/d/1ddFKvqj1W1NEiWytbGlB1zMx_ykJDVtmfEQ-6-lIUBA/edit?usp=sharing"","&amp;"""จันทบุรี!L604"")+IMPORTRANGE(""https://docs.google.com/spreadsheets/d/1T1PQvRODqOBZk8BRht_U031fIS1beLA0Ub2CEytj2q0/edit?usp=sharing"",""ฉะเชิงเทรา!L604"")+IMPORTRANGE(""https://docs.google.com/spreadsheets/d/11tr1B-Bhyr79v2bkwVh5h_fR-PStkgjlZtkrZpYurG0/"&amp;"edit?usp=sharing"",""ชลบุรี!L604"")+IMPORTRANGE(""https://docs.google.com/spreadsheets/d/1hh-FVnSX0vozXhGluamEcS54Dw9_zqW0N7qJUWgJ0Sw/edit?usp=sharing"",""ชัยนาท!L604"")+IMPORTRANGE(""https://docs.google.com/spreadsheets/d/1jkqa6GXxSacMcY1eN8AHjMNJ_7dDXMJ"&amp;"VRLDlaFSOdPM/edit?usp=sharing"",""ตราด!L604"")+IMPORTRANGE(""https://docs.google.com/spreadsheets/d/18hSgUJ3VwClqi_qtULmmW3cLr0oe3OKaSYoKzdpTsYQ/edit?usp=sharing"",""นครนายก!L604"")+IMPORTRANGE(""https://docs.google.com/spreadsheets/d/1YTZo6WM2dQ6Ix6FSdnL"&amp;"5P7uVnVKu40sxZu975tgG10E/edit?usp=sharing"",""นครปฐม!L604"")+IMPORTRANGE(""https://docs.google.com/spreadsheets/d/1OYoGg4WDg5RIzwGeB10padOxJF9E_Vljuvvct_M7RDo/edit?usp=sharing"",""ปทุมธานี!L604"")+IMPORTRANGE(""https://docs.google.com/spreadsheets/d/1GbCI"&amp;"E4D4wk9FUozzqk7SxfDMxDVBwVmI5zcaVUSzKAc/edit?usp=sharing"",""ประจวบคีรีขันธ์!L604"")+IMPORTRANGE(""https://docs.google.com/spreadsheets/d/1vVf6wykvW_lAyu7Yo9L4hUTqHqIeP_qcVuxCtosJEbg/edit?usp=sharing"",""ปราจีนบุรี!L604"")+IMPORTRANGE(""https://docs.googl"&amp;"e.com/spreadsheets/d/1BIDqLLg5jk3v59G8NlR8rk5xfQDKne0sAvZHSj7TI6I/edit?usp=sharing"",""พระนครศรีอยุธยา!L604"")+IMPORTRANGE(""https://docs.google.com/spreadsheets/d/1YXvxf8Yu6_rV4hTBrwMqAcAnv6DfhUxh5emyM3CJp_w/edit?usp=sharing"",""เพชรบุรี!L604"")+IMPORTRA"&amp;"NGE(""https://docs.google.com/spreadsheets/d/19KBlQQs7uwvsao6t2n-KvW3Ax8J8uRRfZPq1zPbXgKc/edit?usp=sharing"",""ระยอง!L604"")+IMPORTRANGE(""https://docs.google.com/spreadsheets/d/1jQ6P4QcrGM89YfqcC_PxOHGCMq5ezhucwJd8ci-NHng/edit?usp=sharing"",""ราชบุรี!L60"&amp;"4"")+IMPORTRANGE(""https://docs.google.com/spreadsheets/d/1lufeA2cfFqM-elVq2hznhDzC6Pr7wkJ9ZG_sYNGCMCU/edit?usp=sharing"",""ลพบุรี!L604"")+IMPORTRANGE(""https://docs.google.com/spreadsheets/d/10oOiF7loTyfsTkbd4MpaIm0HQ9SwB7IYHdIUvt-U1Uc/edit?usp=sharing"""&amp;",""สระแก้ว!L604"")+IMPORTRANGE(""https://docs.google.com/spreadsheets/d/1xmPlrr1QbdSIKvl1dWUl9K4PjAfSL9oeMr_37QVzcxc/edit?usp=sharing"",""สระบุรี!L604"")+IMPORTRANGE(""https://docs.google.com/spreadsheets/d/1j51vR6CYVGhABJpv6tkstgok82RLpXieLzW1yOY5rHw/edi"&amp;"t?usp=sharing"",""สิงห์บุรี!L604"")+IMPORTRANGE(""https://docs.google.com/spreadsheets/d/1H1EalTWKUSzO4Z1-1CwzoDUaVffgrThEBe2sl74kKG0/edit?usp=sharing"",""สุพรรณบุรี!L604"")+IMPORTRANGE(""https://docs.google.com/spreadsheets/d/1BmIruG_sIrJLYao_Pdr7zVArWsf"&amp;"oBt2692TMi6x_854/edit?usp=sharing"",""อ่างทอง!L604"")"),0)</f>
        <v>0</v>
      </c>
      <c r="M605" s="74">
        <f ca="1">IFERROR(__xludf.DUMMYFUNCTION("IMPORTRANGE(""https://docs.google.com/spreadsheets/d/13wPX838HrBrQMCywv1BsuMkt4PEKTChp52zj44s2izQ/edit?usp=sharing"",""กาญจนบุรี!M604"")+IMPORTRANGE(""https://docs.google.com/spreadsheets/d/1ddFKvqj1W1NEiWytbGlB1zMx_ykJDVtmfEQ-6-lIUBA/edit?usp=sharing"","&amp;"""จันทบุรี!M604"")+IMPORTRANGE(""https://docs.google.com/spreadsheets/d/1T1PQvRODqOBZk8BRht_U031fIS1beLA0Ub2CEytj2q0/edit?usp=sharing"",""ฉะเชิงเทรา!M604"")+IMPORTRANGE(""https://docs.google.com/spreadsheets/d/11tr1B-Bhyr79v2bkwVh5h_fR-PStkgjlZtkrZpYurG0/"&amp;"edit?usp=sharing"",""ชลบุรี!M604"")+IMPORTRANGE(""https://docs.google.com/spreadsheets/d/1hh-FVnSX0vozXhGluamEcS54Dw9_zqW0N7qJUWgJ0Sw/edit?usp=sharing"",""ชัยนาท!M604"")+IMPORTRANGE(""https://docs.google.com/spreadsheets/d/1jkqa6GXxSacMcY1eN8AHjMNJ_7dDXMJ"&amp;"VRLDlaFSOdPM/edit?usp=sharing"",""ตราด!M604"")+IMPORTRANGE(""https://docs.google.com/spreadsheets/d/18hSgUJ3VwClqi_qtULmmW3cLr0oe3OKaSYoKzdpTsYQ/edit?usp=sharing"",""นครนายก!M604"")+IMPORTRANGE(""https://docs.google.com/spreadsheets/d/1YTZo6WM2dQ6Ix6FSdnL"&amp;"5P7uVnVKu40sxZu975tgG10E/edit?usp=sharing"",""นครปฐม!M604"")+IMPORTRANGE(""https://docs.google.com/spreadsheets/d/1OYoGg4WDg5RIzwGeB10padOxJF9E_Vljuvvct_M7RDo/edit?usp=sharing"",""ปทุมธานี!M604"")+IMPORTRANGE(""https://docs.google.com/spreadsheets/d/1GbCI"&amp;"E4D4wk9FUozzqk7SxfDMxDVBwVmI5zcaVUSzKAc/edit?usp=sharing"",""ประจวบคีรีขันธ์!M604"")+IMPORTRANGE(""https://docs.google.com/spreadsheets/d/1vVf6wykvW_lAyu7Yo9L4hUTqHqIeP_qcVuxCtosJEbg/edit?usp=sharing"",""ปราจีนบุรี!M604"")+IMPORTRANGE(""https://docs.googl"&amp;"e.com/spreadsheets/d/1BIDqLLg5jk3v59G8NlR8rk5xfQDKne0sAvZHSj7TI6I/edit?usp=sharing"",""พระนครศรีอยุธยา!M604"")+IMPORTRANGE(""https://docs.google.com/spreadsheets/d/1YXvxf8Yu6_rV4hTBrwMqAcAnv6DfhUxh5emyM3CJp_w/edit?usp=sharing"",""เพชรบุรี!M604"")+IMPORTRA"&amp;"NGE(""https://docs.google.com/spreadsheets/d/19KBlQQs7uwvsao6t2n-KvW3Ax8J8uRRfZPq1zPbXgKc/edit?usp=sharing"",""ระยอง!M604"")+IMPORTRANGE(""https://docs.google.com/spreadsheets/d/1jQ6P4QcrGM89YfqcC_PxOHGCMq5ezhucwJd8ci-NHng/edit?usp=sharing"",""ราชบุรี!M60"&amp;"4"")+IMPORTRANGE(""https://docs.google.com/spreadsheets/d/1lufeA2cfFqM-elVq2hznhDzC6Pr7wkJ9ZG_sYNGCMCU/edit?usp=sharing"",""ลพบุรี!M604"")+IMPORTRANGE(""https://docs.google.com/spreadsheets/d/10oOiF7loTyfsTkbd4MpaIm0HQ9SwB7IYHdIUvt-U1Uc/edit?usp=sharing"""&amp;",""สระแก้ว!M604"")+IMPORTRANGE(""https://docs.google.com/spreadsheets/d/1xmPlrr1QbdSIKvl1dWUl9K4PjAfSL9oeMr_37QVzcxc/edit?usp=sharing"",""สระบุรี!M604"")+IMPORTRANGE(""https://docs.google.com/spreadsheets/d/1j51vR6CYVGhABJpv6tkstgok82RLpXieLzW1yOY5rHw/edi"&amp;"t?usp=sharing"",""สิงห์บุรี!M604"")+IMPORTRANGE(""https://docs.google.com/spreadsheets/d/1H1EalTWKUSzO4Z1-1CwzoDUaVffgrThEBe2sl74kKG0/edit?usp=sharing"",""สุพรรณบุรี!M604"")+IMPORTRANGE(""https://docs.google.com/spreadsheets/d/1BmIruG_sIrJLYao_Pdr7zVArWsf"&amp;"oBt2692TMi6x_854/edit?usp=sharing"",""อ่างทอง!M604"")"),0)</f>
        <v>0</v>
      </c>
      <c r="N605" s="74">
        <f ca="1">IFERROR(__xludf.DUMMYFUNCTION("IMPORTRANGE(""https://docs.google.com/spreadsheets/d/13wPX838HrBrQMCywv1BsuMkt4PEKTChp52zj44s2izQ/edit?usp=sharing"",""กาญจนบุรี!N604"")+IMPORTRANGE(""https://docs.google.com/spreadsheets/d/1ddFKvqj1W1NEiWytbGlB1zMx_ykJDVtmfEQ-6-lIUBA/edit?usp=sharing"","&amp;"""จันทบุรี!N604"")+IMPORTRANGE(""https://docs.google.com/spreadsheets/d/1T1PQvRODqOBZk8BRht_U031fIS1beLA0Ub2CEytj2q0/edit?usp=sharing"",""ฉะเชิงเทรา!N604"")+IMPORTRANGE(""https://docs.google.com/spreadsheets/d/11tr1B-Bhyr79v2bkwVh5h_fR-PStkgjlZtkrZpYurG0/"&amp;"edit?usp=sharing"",""ชลบุรี!N604"")+IMPORTRANGE(""https://docs.google.com/spreadsheets/d/1hh-FVnSX0vozXhGluamEcS54Dw9_zqW0N7qJUWgJ0Sw/edit?usp=sharing"",""ชัยนาท!N604"")+IMPORTRANGE(""https://docs.google.com/spreadsheets/d/1jkqa6GXxSacMcY1eN8AHjMNJ_7dDXMJ"&amp;"VRLDlaFSOdPM/edit?usp=sharing"",""ตราด!N604"")+IMPORTRANGE(""https://docs.google.com/spreadsheets/d/18hSgUJ3VwClqi_qtULmmW3cLr0oe3OKaSYoKzdpTsYQ/edit?usp=sharing"",""นครนายก!N604"")+IMPORTRANGE(""https://docs.google.com/spreadsheets/d/1YTZo6WM2dQ6Ix6FSdnL"&amp;"5P7uVnVKu40sxZu975tgG10E/edit?usp=sharing"",""นครปฐม!N604"")+IMPORTRANGE(""https://docs.google.com/spreadsheets/d/1OYoGg4WDg5RIzwGeB10padOxJF9E_Vljuvvct_M7RDo/edit?usp=sharing"",""ปทุมธานี!N604"")+IMPORTRANGE(""https://docs.google.com/spreadsheets/d/1GbCI"&amp;"E4D4wk9FUozzqk7SxfDMxDVBwVmI5zcaVUSzKAc/edit?usp=sharing"",""ประจวบคีรีขันธ์!N604"")+IMPORTRANGE(""https://docs.google.com/spreadsheets/d/1vVf6wykvW_lAyu7Yo9L4hUTqHqIeP_qcVuxCtosJEbg/edit?usp=sharing"",""ปราจีนบุรี!N604"")+IMPORTRANGE(""https://docs.googl"&amp;"e.com/spreadsheets/d/1BIDqLLg5jk3v59G8NlR8rk5xfQDKne0sAvZHSj7TI6I/edit?usp=sharing"",""พระนครศรีอยุธยา!N604"")+IMPORTRANGE(""https://docs.google.com/spreadsheets/d/1YXvxf8Yu6_rV4hTBrwMqAcAnv6DfhUxh5emyM3CJp_w/edit?usp=sharing"",""เพชรบุรี!N604"")+IMPORTRA"&amp;"NGE(""https://docs.google.com/spreadsheets/d/19KBlQQs7uwvsao6t2n-KvW3Ax8J8uRRfZPq1zPbXgKc/edit?usp=sharing"",""ระยอง!N604"")+IMPORTRANGE(""https://docs.google.com/spreadsheets/d/1jQ6P4QcrGM89YfqcC_PxOHGCMq5ezhucwJd8ci-NHng/edit?usp=sharing"",""ราชบุรี!N60"&amp;"4"")+IMPORTRANGE(""https://docs.google.com/spreadsheets/d/1lufeA2cfFqM-elVq2hznhDzC6Pr7wkJ9ZG_sYNGCMCU/edit?usp=sharing"",""ลพบุรี!N604"")+IMPORTRANGE(""https://docs.google.com/spreadsheets/d/10oOiF7loTyfsTkbd4MpaIm0HQ9SwB7IYHdIUvt-U1Uc/edit?usp=sharing"""&amp;",""สระแก้ว!N604"")+IMPORTRANGE(""https://docs.google.com/spreadsheets/d/1xmPlrr1QbdSIKvl1dWUl9K4PjAfSL9oeMr_37QVzcxc/edit?usp=sharing"",""สระบุรี!N604"")+IMPORTRANGE(""https://docs.google.com/spreadsheets/d/1j51vR6CYVGhABJpv6tkstgok82RLpXieLzW1yOY5rHw/edi"&amp;"t?usp=sharing"",""สิงห์บุรี!N604"")+IMPORTRANGE(""https://docs.google.com/spreadsheets/d/1H1EalTWKUSzO4Z1-1CwzoDUaVffgrThEBe2sl74kKG0/edit?usp=sharing"",""สุพรรณบุรี!N604"")+IMPORTRANGE(""https://docs.google.com/spreadsheets/d/1BmIruG_sIrJLYao_Pdr7zVArWsf"&amp;"oBt2692TMi6x_854/edit?usp=sharing"",""อ่างทอง!N604"")"),0)</f>
        <v>0</v>
      </c>
      <c r="O605" s="74">
        <f t="shared" ca="1" si="415"/>
        <v>0</v>
      </c>
      <c r="P605" s="74">
        <f t="shared" ca="1" si="416"/>
        <v>0</v>
      </c>
      <c r="Q605" s="73">
        <f ca="1">IFERROR(__xludf.DUMMYFUNCTION("IMPORTRANGE(""https://docs.google.com/spreadsheets/d/13wPX838HrBrQMCywv1BsuMkt4PEKTChp52zj44s2izQ/edit?usp=sharing"",""กาญจนบุรี!Q604"")+IMPORTRANGE(""https://docs.google.com/spreadsheets/d/1ddFKvqj1W1NEiWytbGlB1zMx_ykJDVtmfEQ-6-lIUBA/edit?usp=sharing"","&amp;"""จันทบุรี!Q604"")+IMPORTRANGE(""https://docs.google.com/spreadsheets/d/1T1PQvRODqOBZk8BRht_U031fIS1beLA0Ub2CEytj2q0/edit?usp=sharing"",""ฉะเชิงเทรา!Q604"")+IMPORTRANGE(""https://docs.google.com/spreadsheets/d/11tr1B-Bhyr79v2bkwVh5h_fR-PStkgjlZtkrZpYurG0/"&amp;"edit?usp=sharing"",""ชลบุรี!Q604"")+IMPORTRANGE(""https://docs.google.com/spreadsheets/d/1hh-FVnSX0vozXhGluamEcS54Dw9_zqW0N7qJUWgJ0Sw/edit?usp=sharing"",""ชัยนาท!Q604"")+IMPORTRANGE(""https://docs.google.com/spreadsheets/d/1jkqa6GXxSacMcY1eN8AHjMNJ_7dDXMJ"&amp;"VRLDlaFSOdPM/edit?usp=sharing"",""ตราด!Q604"")+IMPORTRANGE(""https://docs.google.com/spreadsheets/d/18hSgUJ3VwClqi_qtULmmW3cLr0oe3OKaSYoKzdpTsYQ/edit?usp=sharing"",""นครนายก!Q604"")+IMPORTRANGE(""https://docs.google.com/spreadsheets/d/1YTZo6WM2dQ6Ix6FSdnL"&amp;"5P7uVnVKu40sxZu975tgG10E/edit?usp=sharing"",""นครปฐม!Q604"")+IMPORTRANGE(""https://docs.google.com/spreadsheets/d/1OYoGg4WDg5RIzwGeB10padOxJF9E_Vljuvvct_M7RDo/edit?usp=sharing"",""ปทุมธานี!Q604"")+IMPORTRANGE(""https://docs.google.com/spreadsheets/d/1GbCI"&amp;"E4D4wk9FUozzqk7SxfDMxDVBwVmI5zcaVUSzKAc/edit?usp=sharing"",""ประจวบคีรีขันธ์!Q604"")+IMPORTRANGE(""https://docs.google.com/spreadsheets/d/1vVf6wykvW_lAyu7Yo9L4hUTqHqIeP_qcVuxCtosJEbg/edit?usp=sharing"",""ปราจีนบุรี!Q604"")+IMPORTRANGE(""https://docs.googl"&amp;"e.com/spreadsheets/d/1BIDqLLg5jk3v59G8NlR8rk5xfQDKne0sAvZHSj7TI6I/edit?usp=sharing"",""พระนครศรีอยุธยา!Q604"")+IMPORTRANGE(""https://docs.google.com/spreadsheets/d/1YXvxf8Yu6_rV4hTBrwMqAcAnv6DfhUxh5emyM3CJp_w/edit?usp=sharing"",""เพชรบุรี!Q604"")+IMPORTRA"&amp;"NGE(""https://docs.google.com/spreadsheets/d/19KBlQQs7uwvsao6t2n-KvW3Ax8J8uRRfZPq1zPbXgKc/edit?usp=sharing"",""ระยอง!Q604"")+IMPORTRANGE(""https://docs.google.com/spreadsheets/d/1jQ6P4QcrGM89YfqcC_PxOHGCMq5ezhucwJd8ci-NHng/edit?usp=sharing"",""ราชบุรี!Q60"&amp;"4"")+IMPORTRANGE(""https://docs.google.com/spreadsheets/d/1lufeA2cfFqM-elVq2hznhDzC6Pr7wkJ9ZG_sYNGCMCU/edit?usp=sharing"",""ลพบุรี!Q604"")+IMPORTRANGE(""https://docs.google.com/spreadsheets/d/10oOiF7loTyfsTkbd4MpaIm0HQ9SwB7IYHdIUvt-U1Uc/edit?usp=sharing"""&amp;",""สระแก้ว!Q604"")+IMPORTRANGE(""https://docs.google.com/spreadsheets/d/1xmPlrr1QbdSIKvl1dWUl9K4PjAfSL9oeMr_37QVzcxc/edit?usp=sharing"",""สระบุรี!Q604"")+IMPORTRANGE(""https://docs.google.com/spreadsheets/d/1j51vR6CYVGhABJpv6tkstgok82RLpXieLzW1yOY5rHw/edi"&amp;"t?usp=sharing"",""สิงห์บุรี!Q604"")+IMPORTRANGE(""https://docs.google.com/spreadsheets/d/1H1EalTWKUSzO4Z1-1CwzoDUaVffgrThEBe2sl74kKG0/edit?usp=sharing"",""สุพรรณบุรี!Q604"")+IMPORTRANGE(""https://docs.google.com/spreadsheets/d/1BmIruG_sIrJLYao_Pdr7zVArWsf"&amp;"oBt2692TMi6x_854/edit?usp=sharing"",""อ่างทอง!Q604"")"),0)</f>
        <v>0</v>
      </c>
      <c r="R605" s="74">
        <f ca="1">IFERROR(__xludf.DUMMYFUNCTION("IMPORTRANGE(""https://docs.google.com/spreadsheets/d/13wPX838HrBrQMCywv1BsuMkt4PEKTChp52zj44s2izQ/edit?usp=sharing"",""กาญจนบุรี!R604"")+IMPORTRANGE(""https://docs.google.com/spreadsheets/d/1ddFKvqj1W1NEiWytbGlB1zMx_ykJDVtmfEQ-6-lIUBA/edit?usp=sharing"","&amp;"""จันทบุรี!R604"")+IMPORTRANGE(""https://docs.google.com/spreadsheets/d/1T1PQvRODqOBZk8BRht_U031fIS1beLA0Ub2CEytj2q0/edit?usp=sharing"",""ฉะเชิงเทรา!R604"")+IMPORTRANGE(""https://docs.google.com/spreadsheets/d/11tr1B-Bhyr79v2bkwVh5h_fR-PStkgjlZtkrZpYurG0/"&amp;"edit?usp=sharing"",""ชลบุรี!R604"")+IMPORTRANGE(""https://docs.google.com/spreadsheets/d/1hh-FVnSX0vozXhGluamEcS54Dw9_zqW0N7qJUWgJ0Sw/edit?usp=sharing"",""ชัยนาท!R604"")+IMPORTRANGE(""https://docs.google.com/spreadsheets/d/1jkqa6GXxSacMcY1eN8AHjMNJ_7dDXMJ"&amp;"VRLDlaFSOdPM/edit?usp=sharing"",""ตราด!R604"")+IMPORTRANGE(""https://docs.google.com/spreadsheets/d/18hSgUJ3VwClqi_qtULmmW3cLr0oe3OKaSYoKzdpTsYQ/edit?usp=sharing"",""นครนายก!R604"")+IMPORTRANGE(""https://docs.google.com/spreadsheets/d/1YTZo6WM2dQ6Ix6FSdnL"&amp;"5P7uVnVKu40sxZu975tgG10E/edit?usp=sharing"",""นครปฐม!R604"")+IMPORTRANGE(""https://docs.google.com/spreadsheets/d/1OYoGg4WDg5RIzwGeB10padOxJF9E_Vljuvvct_M7RDo/edit?usp=sharing"",""ปทุมธานี!R604"")+IMPORTRANGE(""https://docs.google.com/spreadsheets/d/1GbCI"&amp;"E4D4wk9FUozzqk7SxfDMxDVBwVmI5zcaVUSzKAc/edit?usp=sharing"",""ประจวบคีรีขันธ์!R604"")+IMPORTRANGE(""https://docs.google.com/spreadsheets/d/1vVf6wykvW_lAyu7Yo9L4hUTqHqIeP_qcVuxCtosJEbg/edit?usp=sharing"",""ปราจีนบุรี!R604"")+IMPORTRANGE(""https://docs.googl"&amp;"e.com/spreadsheets/d/1BIDqLLg5jk3v59G8NlR8rk5xfQDKne0sAvZHSj7TI6I/edit?usp=sharing"",""พระนครศรีอยุธยา!R604"")+IMPORTRANGE(""https://docs.google.com/spreadsheets/d/1YXvxf8Yu6_rV4hTBrwMqAcAnv6DfhUxh5emyM3CJp_w/edit?usp=sharing"",""เพชรบุรี!R604"")+IMPORTRA"&amp;"NGE(""https://docs.google.com/spreadsheets/d/19KBlQQs7uwvsao6t2n-KvW3Ax8J8uRRfZPq1zPbXgKc/edit?usp=sharing"",""ระยอง!R604"")+IMPORTRANGE(""https://docs.google.com/spreadsheets/d/1jQ6P4QcrGM89YfqcC_PxOHGCMq5ezhucwJd8ci-NHng/edit?usp=sharing"",""ราชบุรี!R60"&amp;"4"")+IMPORTRANGE(""https://docs.google.com/spreadsheets/d/1lufeA2cfFqM-elVq2hznhDzC6Pr7wkJ9ZG_sYNGCMCU/edit?usp=sharing"",""ลพบุรี!R604"")+IMPORTRANGE(""https://docs.google.com/spreadsheets/d/10oOiF7loTyfsTkbd4MpaIm0HQ9SwB7IYHdIUvt-U1Uc/edit?usp=sharing"""&amp;",""สระแก้ว!R604"")+IMPORTRANGE(""https://docs.google.com/spreadsheets/d/1xmPlrr1QbdSIKvl1dWUl9K4PjAfSL9oeMr_37QVzcxc/edit?usp=sharing"",""สระบุรี!R604"")+IMPORTRANGE(""https://docs.google.com/spreadsheets/d/1j51vR6CYVGhABJpv6tkstgok82RLpXieLzW1yOY5rHw/edi"&amp;"t?usp=sharing"",""สิงห์บุรี!R604"")+IMPORTRANGE(""https://docs.google.com/spreadsheets/d/1H1EalTWKUSzO4Z1-1CwzoDUaVffgrThEBe2sl74kKG0/edit?usp=sharing"",""สุพรรณบุรี!R604"")+IMPORTRANGE(""https://docs.google.com/spreadsheets/d/1BmIruG_sIrJLYao_Pdr7zVArWsf"&amp;"oBt2692TMi6x_854/edit?usp=sharing"",""อ่างทอง!R604"")"),0)</f>
        <v>0</v>
      </c>
      <c r="S605" s="74">
        <f ca="1">IFERROR(__xludf.DUMMYFUNCTION("IMPORTRANGE(""https://docs.google.com/spreadsheets/d/13wPX838HrBrQMCywv1BsuMkt4PEKTChp52zj44s2izQ/edit?usp=sharing"",""กาญจนบุรี!S604"")+IMPORTRANGE(""https://docs.google.com/spreadsheets/d/1ddFKvqj1W1NEiWytbGlB1zMx_ykJDVtmfEQ-6-lIUBA/edit?usp=sharing"","&amp;"""จันทบุรี!S604"")+IMPORTRANGE(""https://docs.google.com/spreadsheets/d/1T1PQvRODqOBZk8BRht_U031fIS1beLA0Ub2CEytj2q0/edit?usp=sharing"",""ฉะเชิงเทรา!S604"")+IMPORTRANGE(""https://docs.google.com/spreadsheets/d/11tr1B-Bhyr79v2bkwVh5h_fR-PStkgjlZtkrZpYurG0/"&amp;"edit?usp=sharing"",""ชลบุรี!S604"")+IMPORTRANGE(""https://docs.google.com/spreadsheets/d/1hh-FVnSX0vozXhGluamEcS54Dw9_zqW0N7qJUWgJ0Sw/edit?usp=sharing"",""ชัยนาท!S604"")+IMPORTRANGE(""https://docs.google.com/spreadsheets/d/1jkqa6GXxSacMcY1eN8AHjMNJ_7dDXMJ"&amp;"VRLDlaFSOdPM/edit?usp=sharing"",""ตราด!S604"")+IMPORTRANGE(""https://docs.google.com/spreadsheets/d/18hSgUJ3VwClqi_qtULmmW3cLr0oe3OKaSYoKzdpTsYQ/edit?usp=sharing"",""นครนายก!S604"")+IMPORTRANGE(""https://docs.google.com/spreadsheets/d/1YTZo6WM2dQ6Ix6FSdnL"&amp;"5P7uVnVKu40sxZu975tgG10E/edit?usp=sharing"",""นครปฐม!S604"")+IMPORTRANGE(""https://docs.google.com/spreadsheets/d/1OYoGg4WDg5RIzwGeB10padOxJF9E_Vljuvvct_M7RDo/edit?usp=sharing"",""ปทุมธานี!S604"")+IMPORTRANGE(""https://docs.google.com/spreadsheets/d/1GbCI"&amp;"E4D4wk9FUozzqk7SxfDMxDVBwVmI5zcaVUSzKAc/edit?usp=sharing"",""ประจวบคีรีขันธ์!S604"")+IMPORTRANGE(""https://docs.google.com/spreadsheets/d/1vVf6wykvW_lAyu7Yo9L4hUTqHqIeP_qcVuxCtosJEbg/edit?usp=sharing"",""ปราจีนบุรี!S604"")+IMPORTRANGE(""https://docs.googl"&amp;"e.com/spreadsheets/d/1BIDqLLg5jk3v59G8NlR8rk5xfQDKne0sAvZHSj7TI6I/edit?usp=sharing"",""พระนครศรีอยุธยา!S604"")+IMPORTRANGE(""https://docs.google.com/spreadsheets/d/1YXvxf8Yu6_rV4hTBrwMqAcAnv6DfhUxh5emyM3CJp_w/edit?usp=sharing"",""เพชรบุรี!S604"")+IMPORTRA"&amp;"NGE(""https://docs.google.com/spreadsheets/d/19KBlQQs7uwvsao6t2n-KvW3Ax8J8uRRfZPq1zPbXgKc/edit?usp=sharing"",""ระยอง!S604"")+IMPORTRANGE(""https://docs.google.com/spreadsheets/d/1jQ6P4QcrGM89YfqcC_PxOHGCMq5ezhucwJd8ci-NHng/edit?usp=sharing"",""ราชบุรี!S60"&amp;"4"")+IMPORTRANGE(""https://docs.google.com/spreadsheets/d/1lufeA2cfFqM-elVq2hznhDzC6Pr7wkJ9ZG_sYNGCMCU/edit?usp=sharing"",""ลพบุรี!S604"")+IMPORTRANGE(""https://docs.google.com/spreadsheets/d/10oOiF7loTyfsTkbd4MpaIm0HQ9SwB7IYHdIUvt-U1Uc/edit?usp=sharing"""&amp;",""สระแก้ว!S604"")+IMPORTRANGE(""https://docs.google.com/spreadsheets/d/1xmPlrr1QbdSIKvl1dWUl9K4PjAfSL9oeMr_37QVzcxc/edit?usp=sharing"",""สระบุรี!S604"")+IMPORTRANGE(""https://docs.google.com/spreadsheets/d/1j51vR6CYVGhABJpv6tkstgok82RLpXieLzW1yOY5rHw/edi"&amp;"t?usp=sharing"",""สิงห์บุรี!S604"")+IMPORTRANGE(""https://docs.google.com/spreadsheets/d/1H1EalTWKUSzO4Z1-1CwzoDUaVffgrThEBe2sl74kKG0/edit?usp=sharing"",""สุพรรณบุรี!S604"")+IMPORTRANGE(""https://docs.google.com/spreadsheets/d/1BmIruG_sIrJLYao_Pdr7zVArWsf"&amp;"oBt2692TMi6x_854/edit?usp=sharing"",""อ่างทอง!S604"")"),0)</f>
        <v>0</v>
      </c>
      <c r="T605" s="132">
        <f t="shared" ca="1" si="418"/>
        <v>0</v>
      </c>
      <c r="U605" s="132">
        <f t="shared" ca="1" si="419"/>
        <v>0</v>
      </c>
    </row>
    <row r="606" spans="1:21" ht="19.5" hidden="1" x14ac:dyDescent="0.3">
      <c r="A606" s="257"/>
      <c r="B606" s="269"/>
      <c r="C606" s="269"/>
      <c r="D606" s="70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4">
        <f t="shared" ref="L606:N606" ca="1" si="426">L607+L608</f>
        <v>0</v>
      </c>
      <c r="M606" s="74">
        <f t="shared" ca="1" si="426"/>
        <v>0</v>
      </c>
      <c r="N606" s="74">
        <f t="shared" ca="1" si="426"/>
        <v>0</v>
      </c>
      <c r="O606" s="74">
        <f t="shared" ca="1" si="415"/>
        <v>0</v>
      </c>
      <c r="P606" s="74">
        <f t="shared" ca="1" si="416"/>
        <v>0</v>
      </c>
      <c r="Q606" s="131">
        <f t="shared" ref="Q606:S606" ca="1" si="427">Q607+Q608</f>
        <v>0</v>
      </c>
      <c r="R606" s="132">
        <f t="shared" ca="1" si="427"/>
        <v>0</v>
      </c>
      <c r="S606" s="132">
        <f t="shared" ca="1" si="427"/>
        <v>0</v>
      </c>
      <c r="T606" s="132">
        <f t="shared" ca="1" si="418"/>
        <v>0</v>
      </c>
      <c r="U606" s="132">
        <f t="shared" ca="1" si="419"/>
        <v>0</v>
      </c>
    </row>
    <row r="607" spans="1:21" ht="18.75" hidden="1" x14ac:dyDescent="0.25">
      <c r="A607" s="257"/>
      <c r="B607" s="269"/>
      <c r="C607" s="269"/>
      <c r="D607" s="269"/>
      <c r="E607" s="591" t="s">
        <v>20</v>
      </c>
      <c r="F607" s="258"/>
      <c r="G607" s="261"/>
      <c r="H607" s="273" t="s">
        <v>14</v>
      </c>
      <c r="I607" s="272"/>
      <c r="J607" s="272"/>
      <c r="K607" s="229"/>
      <c r="L607" s="77">
        <f ca="1">IFERROR(__xludf.DUMMYFUNCTION("IMPORTRANGE(""https://docs.google.com/spreadsheets/d/13wPX838HrBrQMCywv1BsuMkt4PEKTChp52zj44s2izQ/edit?usp=sharing"",""กาญจนบุรี!L606"")+IMPORTRANGE(""https://docs.google.com/spreadsheets/d/1ddFKvqj1W1NEiWytbGlB1zMx_ykJDVtmfEQ-6-lIUBA/edit?usp=sharing"","&amp;"""จันทบุรี!L606"")+IMPORTRANGE(""https://docs.google.com/spreadsheets/d/1T1PQvRODqOBZk8BRht_U031fIS1beLA0Ub2CEytj2q0/edit?usp=sharing"",""ฉะเชิงเทรา!L606"")+IMPORTRANGE(""https://docs.google.com/spreadsheets/d/11tr1B-Bhyr79v2bkwVh5h_fR-PStkgjlZtkrZpYurG0/"&amp;"edit?usp=sharing"",""ชลบุรี!L606"")+IMPORTRANGE(""https://docs.google.com/spreadsheets/d/1hh-FVnSX0vozXhGluamEcS54Dw9_zqW0N7qJUWgJ0Sw/edit?usp=sharing"",""ชัยนาท!L606"")+IMPORTRANGE(""https://docs.google.com/spreadsheets/d/1jkqa6GXxSacMcY1eN8AHjMNJ_7dDXMJ"&amp;"VRLDlaFSOdPM/edit?usp=sharing"",""ตราด!L606"")+IMPORTRANGE(""https://docs.google.com/spreadsheets/d/18hSgUJ3VwClqi_qtULmmW3cLr0oe3OKaSYoKzdpTsYQ/edit?usp=sharing"",""นครนายก!L606"")+IMPORTRANGE(""https://docs.google.com/spreadsheets/d/1YTZo6WM2dQ6Ix6FSdnL"&amp;"5P7uVnVKu40sxZu975tgG10E/edit?usp=sharing"",""นครปฐม!L606"")+IMPORTRANGE(""https://docs.google.com/spreadsheets/d/1OYoGg4WDg5RIzwGeB10padOxJF9E_Vljuvvct_M7RDo/edit?usp=sharing"",""ปทุมธานี!L606"")+IMPORTRANGE(""https://docs.google.com/spreadsheets/d/1GbCI"&amp;"E4D4wk9FUozzqk7SxfDMxDVBwVmI5zcaVUSzKAc/edit?usp=sharing"",""ประจวบคีรีขันธ์!L606"")+IMPORTRANGE(""https://docs.google.com/spreadsheets/d/1vVf6wykvW_lAyu7Yo9L4hUTqHqIeP_qcVuxCtosJEbg/edit?usp=sharing"",""ปราจีนบุรี!L606"")+IMPORTRANGE(""https://docs.googl"&amp;"e.com/spreadsheets/d/1BIDqLLg5jk3v59G8NlR8rk5xfQDKne0sAvZHSj7TI6I/edit?usp=sharing"",""พระนครศรีอยุธยา!L606"")+IMPORTRANGE(""https://docs.google.com/spreadsheets/d/1YXvxf8Yu6_rV4hTBrwMqAcAnv6DfhUxh5emyM3CJp_w/edit?usp=sharing"",""เพชรบุรี!L606"")+IMPORTRA"&amp;"NGE(""https://docs.google.com/spreadsheets/d/19KBlQQs7uwvsao6t2n-KvW3Ax8J8uRRfZPq1zPbXgKc/edit?usp=sharing"",""ระยอง!L606"")+IMPORTRANGE(""https://docs.google.com/spreadsheets/d/1jQ6P4QcrGM89YfqcC_PxOHGCMq5ezhucwJd8ci-NHng/edit?usp=sharing"",""ราชบุรี!L60"&amp;"6"")+IMPORTRANGE(""https://docs.google.com/spreadsheets/d/1lufeA2cfFqM-elVq2hznhDzC6Pr7wkJ9ZG_sYNGCMCU/edit?usp=sharing"",""ลพบุรี!L606"")+IMPORTRANGE(""https://docs.google.com/spreadsheets/d/10oOiF7loTyfsTkbd4MpaIm0HQ9SwB7IYHdIUvt-U1Uc/edit?usp=sharing"""&amp;",""สระแก้ว!L606"")+IMPORTRANGE(""https://docs.google.com/spreadsheets/d/1xmPlrr1QbdSIKvl1dWUl9K4PjAfSL9oeMr_37QVzcxc/edit?usp=sharing"",""สระบุรี!L606"")+IMPORTRANGE(""https://docs.google.com/spreadsheets/d/1j51vR6CYVGhABJpv6tkstgok82RLpXieLzW1yOY5rHw/edi"&amp;"t?usp=sharing"",""สิงห์บุรี!L606"")+IMPORTRANGE(""https://docs.google.com/spreadsheets/d/1H1EalTWKUSzO4Z1-1CwzoDUaVffgrThEBe2sl74kKG0/edit?usp=sharing"",""สุพรรณบุรี!L606"")+IMPORTRANGE(""https://docs.google.com/spreadsheets/d/1BmIruG_sIrJLYao_Pdr7zVArWsf"&amp;"oBt2692TMi6x_854/edit?usp=sharing"",""อ่างทอง!L606"")"),0)</f>
        <v>0</v>
      </c>
      <c r="M607" s="77">
        <f ca="1">IFERROR(__xludf.DUMMYFUNCTION("IMPORTRANGE(""https://docs.google.com/spreadsheets/d/13wPX838HrBrQMCywv1BsuMkt4PEKTChp52zj44s2izQ/edit?usp=sharing"",""กาญจนบุรี!M606"")+IMPORTRANGE(""https://docs.google.com/spreadsheets/d/1ddFKvqj1W1NEiWytbGlB1zMx_ykJDVtmfEQ-6-lIUBA/edit?usp=sharing"","&amp;"""จันทบุรี!M606"")+IMPORTRANGE(""https://docs.google.com/spreadsheets/d/1T1PQvRODqOBZk8BRht_U031fIS1beLA0Ub2CEytj2q0/edit?usp=sharing"",""ฉะเชิงเทรา!M606"")+IMPORTRANGE(""https://docs.google.com/spreadsheets/d/11tr1B-Bhyr79v2bkwVh5h_fR-PStkgjlZtkrZpYurG0/"&amp;"edit?usp=sharing"",""ชลบุรี!M606"")+IMPORTRANGE(""https://docs.google.com/spreadsheets/d/1hh-FVnSX0vozXhGluamEcS54Dw9_zqW0N7qJUWgJ0Sw/edit?usp=sharing"",""ชัยนาท!M606"")+IMPORTRANGE(""https://docs.google.com/spreadsheets/d/1jkqa6GXxSacMcY1eN8AHjMNJ_7dDXMJ"&amp;"VRLDlaFSOdPM/edit?usp=sharing"",""ตราด!M606"")+IMPORTRANGE(""https://docs.google.com/spreadsheets/d/18hSgUJ3VwClqi_qtULmmW3cLr0oe3OKaSYoKzdpTsYQ/edit?usp=sharing"",""นครนายก!M606"")+IMPORTRANGE(""https://docs.google.com/spreadsheets/d/1YTZo6WM2dQ6Ix6FSdnL"&amp;"5P7uVnVKu40sxZu975tgG10E/edit?usp=sharing"",""นครปฐม!M606"")+IMPORTRANGE(""https://docs.google.com/spreadsheets/d/1OYoGg4WDg5RIzwGeB10padOxJF9E_Vljuvvct_M7RDo/edit?usp=sharing"",""ปทุมธานี!M606"")+IMPORTRANGE(""https://docs.google.com/spreadsheets/d/1GbCI"&amp;"E4D4wk9FUozzqk7SxfDMxDVBwVmI5zcaVUSzKAc/edit?usp=sharing"",""ประจวบคีรีขันธ์!M606"")+IMPORTRANGE(""https://docs.google.com/spreadsheets/d/1vVf6wykvW_lAyu7Yo9L4hUTqHqIeP_qcVuxCtosJEbg/edit?usp=sharing"",""ปราจีนบุรี!M606"")+IMPORTRANGE(""https://docs.googl"&amp;"e.com/spreadsheets/d/1BIDqLLg5jk3v59G8NlR8rk5xfQDKne0sAvZHSj7TI6I/edit?usp=sharing"",""พระนครศรีอยุธยา!M606"")+IMPORTRANGE(""https://docs.google.com/spreadsheets/d/1YXvxf8Yu6_rV4hTBrwMqAcAnv6DfhUxh5emyM3CJp_w/edit?usp=sharing"",""เพชรบุรี!M606"")+IMPORTRA"&amp;"NGE(""https://docs.google.com/spreadsheets/d/19KBlQQs7uwvsao6t2n-KvW3Ax8J8uRRfZPq1zPbXgKc/edit?usp=sharing"",""ระยอง!M606"")+IMPORTRANGE(""https://docs.google.com/spreadsheets/d/1jQ6P4QcrGM89YfqcC_PxOHGCMq5ezhucwJd8ci-NHng/edit?usp=sharing"",""ราชบุรี!M60"&amp;"6"")+IMPORTRANGE(""https://docs.google.com/spreadsheets/d/1lufeA2cfFqM-elVq2hznhDzC6Pr7wkJ9ZG_sYNGCMCU/edit?usp=sharing"",""ลพบุรี!M606"")+IMPORTRANGE(""https://docs.google.com/spreadsheets/d/10oOiF7loTyfsTkbd4MpaIm0HQ9SwB7IYHdIUvt-U1Uc/edit?usp=sharing"""&amp;",""สระแก้ว!M606"")+IMPORTRANGE(""https://docs.google.com/spreadsheets/d/1xmPlrr1QbdSIKvl1dWUl9K4PjAfSL9oeMr_37QVzcxc/edit?usp=sharing"",""สระบุรี!M606"")+IMPORTRANGE(""https://docs.google.com/spreadsheets/d/1j51vR6CYVGhABJpv6tkstgok82RLpXieLzW1yOY5rHw/edi"&amp;"t?usp=sharing"",""สิงห์บุรี!M606"")+IMPORTRANGE(""https://docs.google.com/spreadsheets/d/1H1EalTWKUSzO4Z1-1CwzoDUaVffgrThEBe2sl74kKG0/edit?usp=sharing"",""สุพรรณบุรี!M606"")+IMPORTRANGE(""https://docs.google.com/spreadsheets/d/1BmIruG_sIrJLYao_Pdr7zVArWsf"&amp;"oBt2692TMi6x_854/edit?usp=sharing"",""อ่างทอง!M606"")"),0)</f>
        <v>0</v>
      </c>
      <c r="N607" s="77">
        <f ca="1">IFERROR(__xludf.DUMMYFUNCTION("IMPORTRANGE(""https://docs.google.com/spreadsheets/d/13wPX838HrBrQMCywv1BsuMkt4PEKTChp52zj44s2izQ/edit?usp=sharing"",""กาญจนบุรี!N606"")+IMPORTRANGE(""https://docs.google.com/spreadsheets/d/1ddFKvqj1W1NEiWytbGlB1zMx_ykJDVtmfEQ-6-lIUBA/edit?usp=sharing"","&amp;"""จันทบุรี!N606"")+IMPORTRANGE(""https://docs.google.com/spreadsheets/d/1T1PQvRODqOBZk8BRht_U031fIS1beLA0Ub2CEytj2q0/edit?usp=sharing"",""ฉะเชิงเทรา!N606"")+IMPORTRANGE(""https://docs.google.com/spreadsheets/d/11tr1B-Bhyr79v2bkwVh5h_fR-PStkgjlZtkrZpYurG0/"&amp;"edit?usp=sharing"",""ชลบุรี!N606"")+IMPORTRANGE(""https://docs.google.com/spreadsheets/d/1hh-FVnSX0vozXhGluamEcS54Dw9_zqW0N7qJUWgJ0Sw/edit?usp=sharing"",""ชัยนาท!N606"")+IMPORTRANGE(""https://docs.google.com/spreadsheets/d/1jkqa6GXxSacMcY1eN8AHjMNJ_7dDXMJ"&amp;"VRLDlaFSOdPM/edit?usp=sharing"",""ตราด!N606"")+IMPORTRANGE(""https://docs.google.com/spreadsheets/d/18hSgUJ3VwClqi_qtULmmW3cLr0oe3OKaSYoKzdpTsYQ/edit?usp=sharing"",""นครนายก!N606"")+IMPORTRANGE(""https://docs.google.com/spreadsheets/d/1YTZo6WM2dQ6Ix6FSdnL"&amp;"5P7uVnVKu40sxZu975tgG10E/edit?usp=sharing"",""นครปฐม!N606"")+IMPORTRANGE(""https://docs.google.com/spreadsheets/d/1OYoGg4WDg5RIzwGeB10padOxJF9E_Vljuvvct_M7RDo/edit?usp=sharing"",""ปทุมธานี!N606"")+IMPORTRANGE(""https://docs.google.com/spreadsheets/d/1GbCI"&amp;"E4D4wk9FUozzqk7SxfDMxDVBwVmI5zcaVUSzKAc/edit?usp=sharing"",""ประจวบคีรีขันธ์!N606"")+IMPORTRANGE(""https://docs.google.com/spreadsheets/d/1vVf6wykvW_lAyu7Yo9L4hUTqHqIeP_qcVuxCtosJEbg/edit?usp=sharing"",""ปราจีนบุรี!N606"")+IMPORTRANGE(""https://docs.googl"&amp;"e.com/spreadsheets/d/1BIDqLLg5jk3v59G8NlR8rk5xfQDKne0sAvZHSj7TI6I/edit?usp=sharing"",""พระนครศรีอยุธยา!N606"")+IMPORTRANGE(""https://docs.google.com/spreadsheets/d/1YXvxf8Yu6_rV4hTBrwMqAcAnv6DfhUxh5emyM3CJp_w/edit?usp=sharing"",""เพชรบุรี!N606"")+IMPORTRA"&amp;"NGE(""https://docs.google.com/spreadsheets/d/19KBlQQs7uwvsao6t2n-KvW3Ax8J8uRRfZPq1zPbXgKc/edit?usp=sharing"",""ระยอง!N606"")+IMPORTRANGE(""https://docs.google.com/spreadsheets/d/1jQ6P4QcrGM89YfqcC_PxOHGCMq5ezhucwJd8ci-NHng/edit?usp=sharing"",""ราชบุรี!N60"&amp;"6"")+IMPORTRANGE(""https://docs.google.com/spreadsheets/d/1lufeA2cfFqM-elVq2hznhDzC6Pr7wkJ9ZG_sYNGCMCU/edit?usp=sharing"",""ลพบุรี!N606"")+IMPORTRANGE(""https://docs.google.com/spreadsheets/d/10oOiF7loTyfsTkbd4MpaIm0HQ9SwB7IYHdIUvt-U1Uc/edit?usp=sharing"""&amp;",""สระแก้ว!N606"")+IMPORTRANGE(""https://docs.google.com/spreadsheets/d/1xmPlrr1QbdSIKvl1dWUl9K4PjAfSL9oeMr_37QVzcxc/edit?usp=sharing"",""สระบุรี!N606"")+IMPORTRANGE(""https://docs.google.com/spreadsheets/d/1j51vR6CYVGhABJpv6tkstgok82RLpXieLzW1yOY5rHw/edi"&amp;"t?usp=sharing"",""สิงห์บุรี!N606"")+IMPORTRANGE(""https://docs.google.com/spreadsheets/d/1H1EalTWKUSzO4Z1-1CwzoDUaVffgrThEBe2sl74kKG0/edit?usp=sharing"",""สุพรรณบุรี!N606"")+IMPORTRANGE(""https://docs.google.com/spreadsheets/d/1BmIruG_sIrJLYao_Pdr7zVArWsf"&amp;"oBt2692TMi6x_854/edit?usp=sharing"",""อ่างทอง!N606"")"),0)</f>
        <v>0</v>
      </c>
      <c r="O607" s="77">
        <f t="shared" ca="1" si="415"/>
        <v>0</v>
      </c>
      <c r="P607" s="77">
        <f t="shared" ca="1" si="416"/>
        <v>0</v>
      </c>
      <c r="Q607" s="76">
        <f ca="1">IFERROR(__xludf.DUMMYFUNCTION("IMPORTRANGE(""https://docs.google.com/spreadsheets/d/13wPX838HrBrQMCywv1BsuMkt4PEKTChp52zj44s2izQ/edit?usp=sharing"",""กาญจนบุรี!Q606"")+IMPORTRANGE(""https://docs.google.com/spreadsheets/d/1ddFKvqj1W1NEiWytbGlB1zMx_ykJDVtmfEQ-6-lIUBA/edit?usp=sharing"","&amp;"""จันทบุรี!Q606"")+IMPORTRANGE(""https://docs.google.com/spreadsheets/d/1T1PQvRODqOBZk8BRht_U031fIS1beLA0Ub2CEytj2q0/edit?usp=sharing"",""ฉะเชิงเทรา!Q606"")+IMPORTRANGE(""https://docs.google.com/spreadsheets/d/11tr1B-Bhyr79v2bkwVh5h_fR-PStkgjlZtkrZpYurG0/"&amp;"edit?usp=sharing"",""ชลบุรี!Q606"")+IMPORTRANGE(""https://docs.google.com/spreadsheets/d/1hh-FVnSX0vozXhGluamEcS54Dw9_zqW0N7qJUWgJ0Sw/edit?usp=sharing"",""ชัยนาท!Q606"")+IMPORTRANGE(""https://docs.google.com/spreadsheets/d/1jkqa6GXxSacMcY1eN8AHjMNJ_7dDXMJ"&amp;"VRLDlaFSOdPM/edit?usp=sharing"",""ตราด!Q606"")+IMPORTRANGE(""https://docs.google.com/spreadsheets/d/18hSgUJ3VwClqi_qtULmmW3cLr0oe3OKaSYoKzdpTsYQ/edit?usp=sharing"",""นครนายก!Q606"")+IMPORTRANGE(""https://docs.google.com/spreadsheets/d/1YTZo6WM2dQ6Ix6FSdnL"&amp;"5P7uVnVKu40sxZu975tgG10E/edit?usp=sharing"",""นครปฐม!Q606"")+IMPORTRANGE(""https://docs.google.com/spreadsheets/d/1OYoGg4WDg5RIzwGeB10padOxJF9E_Vljuvvct_M7RDo/edit?usp=sharing"",""ปทุมธานี!Q606"")+IMPORTRANGE(""https://docs.google.com/spreadsheets/d/1GbCI"&amp;"E4D4wk9FUozzqk7SxfDMxDVBwVmI5zcaVUSzKAc/edit?usp=sharing"",""ประจวบคีรีขันธ์!Q606"")+IMPORTRANGE(""https://docs.google.com/spreadsheets/d/1vVf6wykvW_lAyu7Yo9L4hUTqHqIeP_qcVuxCtosJEbg/edit?usp=sharing"",""ปราจีนบุรี!Q606"")+IMPORTRANGE(""https://docs.googl"&amp;"e.com/spreadsheets/d/1BIDqLLg5jk3v59G8NlR8rk5xfQDKne0sAvZHSj7TI6I/edit?usp=sharing"",""พระนครศรีอยุธยา!Q606"")+IMPORTRANGE(""https://docs.google.com/spreadsheets/d/1YXvxf8Yu6_rV4hTBrwMqAcAnv6DfhUxh5emyM3CJp_w/edit?usp=sharing"",""เพชรบุรี!Q606"")+IMPORTRA"&amp;"NGE(""https://docs.google.com/spreadsheets/d/19KBlQQs7uwvsao6t2n-KvW3Ax8J8uRRfZPq1zPbXgKc/edit?usp=sharing"",""ระยอง!Q606"")+IMPORTRANGE(""https://docs.google.com/spreadsheets/d/1jQ6P4QcrGM89YfqcC_PxOHGCMq5ezhucwJd8ci-NHng/edit?usp=sharing"",""ราชบุรี!Q60"&amp;"6"")+IMPORTRANGE(""https://docs.google.com/spreadsheets/d/1lufeA2cfFqM-elVq2hznhDzC6Pr7wkJ9ZG_sYNGCMCU/edit?usp=sharing"",""ลพบุรี!Q606"")+IMPORTRANGE(""https://docs.google.com/spreadsheets/d/10oOiF7loTyfsTkbd4MpaIm0HQ9SwB7IYHdIUvt-U1Uc/edit?usp=sharing"""&amp;",""สระแก้ว!Q606"")+IMPORTRANGE(""https://docs.google.com/spreadsheets/d/1xmPlrr1QbdSIKvl1dWUl9K4PjAfSL9oeMr_37QVzcxc/edit?usp=sharing"",""สระบุรี!Q606"")+IMPORTRANGE(""https://docs.google.com/spreadsheets/d/1j51vR6CYVGhABJpv6tkstgok82RLpXieLzW1yOY5rHw/edi"&amp;"t?usp=sharing"",""สิงห์บุรี!Q606"")+IMPORTRANGE(""https://docs.google.com/spreadsheets/d/1H1EalTWKUSzO4Z1-1CwzoDUaVffgrThEBe2sl74kKG0/edit?usp=sharing"",""สุพรรณบุรี!Q606"")+IMPORTRANGE(""https://docs.google.com/spreadsheets/d/1BmIruG_sIrJLYao_Pdr7zVArWsf"&amp;"oBt2692TMi6x_854/edit?usp=sharing"",""อ่างทอง!Q606"")"),0)</f>
        <v>0</v>
      </c>
      <c r="R607" s="77">
        <f ca="1">IFERROR(__xludf.DUMMYFUNCTION("IMPORTRANGE(""https://docs.google.com/spreadsheets/d/13wPX838HrBrQMCywv1BsuMkt4PEKTChp52zj44s2izQ/edit?usp=sharing"",""กาญจนบุรี!R606"")+IMPORTRANGE(""https://docs.google.com/spreadsheets/d/1ddFKvqj1W1NEiWytbGlB1zMx_ykJDVtmfEQ-6-lIUBA/edit?usp=sharing"","&amp;"""จันทบุรี!R606"")+IMPORTRANGE(""https://docs.google.com/spreadsheets/d/1T1PQvRODqOBZk8BRht_U031fIS1beLA0Ub2CEytj2q0/edit?usp=sharing"",""ฉะเชิงเทรา!R606"")+IMPORTRANGE(""https://docs.google.com/spreadsheets/d/11tr1B-Bhyr79v2bkwVh5h_fR-PStkgjlZtkrZpYurG0/"&amp;"edit?usp=sharing"",""ชลบุรี!R606"")+IMPORTRANGE(""https://docs.google.com/spreadsheets/d/1hh-FVnSX0vozXhGluamEcS54Dw9_zqW0N7qJUWgJ0Sw/edit?usp=sharing"",""ชัยนาท!R606"")+IMPORTRANGE(""https://docs.google.com/spreadsheets/d/1jkqa6GXxSacMcY1eN8AHjMNJ_7dDXMJ"&amp;"VRLDlaFSOdPM/edit?usp=sharing"",""ตราด!R606"")+IMPORTRANGE(""https://docs.google.com/spreadsheets/d/18hSgUJ3VwClqi_qtULmmW3cLr0oe3OKaSYoKzdpTsYQ/edit?usp=sharing"",""นครนายก!R606"")+IMPORTRANGE(""https://docs.google.com/spreadsheets/d/1YTZo6WM2dQ6Ix6FSdnL"&amp;"5P7uVnVKu40sxZu975tgG10E/edit?usp=sharing"",""นครปฐม!R606"")+IMPORTRANGE(""https://docs.google.com/spreadsheets/d/1OYoGg4WDg5RIzwGeB10padOxJF9E_Vljuvvct_M7RDo/edit?usp=sharing"",""ปทุมธานี!R606"")+IMPORTRANGE(""https://docs.google.com/spreadsheets/d/1GbCI"&amp;"E4D4wk9FUozzqk7SxfDMxDVBwVmI5zcaVUSzKAc/edit?usp=sharing"",""ประจวบคีรีขันธ์!R606"")+IMPORTRANGE(""https://docs.google.com/spreadsheets/d/1vVf6wykvW_lAyu7Yo9L4hUTqHqIeP_qcVuxCtosJEbg/edit?usp=sharing"",""ปราจีนบุรี!R606"")+IMPORTRANGE(""https://docs.googl"&amp;"e.com/spreadsheets/d/1BIDqLLg5jk3v59G8NlR8rk5xfQDKne0sAvZHSj7TI6I/edit?usp=sharing"",""พระนครศรีอยุธยา!R606"")+IMPORTRANGE(""https://docs.google.com/spreadsheets/d/1YXvxf8Yu6_rV4hTBrwMqAcAnv6DfhUxh5emyM3CJp_w/edit?usp=sharing"",""เพชรบุรี!R606"")+IMPORTRA"&amp;"NGE(""https://docs.google.com/spreadsheets/d/19KBlQQs7uwvsao6t2n-KvW3Ax8J8uRRfZPq1zPbXgKc/edit?usp=sharing"",""ระยอง!R606"")+IMPORTRANGE(""https://docs.google.com/spreadsheets/d/1jQ6P4QcrGM89YfqcC_PxOHGCMq5ezhucwJd8ci-NHng/edit?usp=sharing"",""ราชบุรี!R60"&amp;"6"")+IMPORTRANGE(""https://docs.google.com/spreadsheets/d/1lufeA2cfFqM-elVq2hznhDzC6Pr7wkJ9ZG_sYNGCMCU/edit?usp=sharing"",""ลพบุรี!R606"")+IMPORTRANGE(""https://docs.google.com/spreadsheets/d/10oOiF7loTyfsTkbd4MpaIm0HQ9SwB7IYHdIUvt-U1Uc/edit?usp=sharing"""&amp;",""สระแก้ว!R606"")+IMPORTRANGE(""https://docs.google.com/spreadsheets/d/1xmPlrr1QbdSIKvl1dWUl9K4PjAfSL9oeMr_37QVzcxc/edit?usp=sharing"",""สระบุรี!R606"")+IMPORTRANGE(""https://docs.google.com/spreadsheets/d/1j51vR6CYVGhABJpv6tkstgok82RLpXieLzW1yOY5rHw/edi"&amp;"t?usp=sharing"",""สิงห์บุรี!R606"")+IMPORTRANGE(""https://docs.google.com/spreadsheets/d/1H1EalTWKUSzO4Z1-1CwzoDUaVffgrThEBe2sl74kKG0/edit?usp=sharing"",""สุพรรณบุรี!R606"")+IMPORTRANGE(""https://docs.google.com/spreadsheets/d/1BmIruG_sIrJLYao_Pdr7zVArWsf"&amp;"oBt2692TMi6x_854/edit?usp=sharing"",""อ่างทอง!R606"")"),0)</f>
        <v>0</v>
      </c>
      <c r="S607" s="77">
        <f ca="1">IFERROR(__xludf.DUMMYFUNCTION("IMPORTRANGE(""https://docs.google.com/spreadsheets/d/13wPX838HrBrQMCywv1BsuMkt4PEKTChp52zj44s2izQ/edit?usp=sharing"",""กาญจนบุรี!S606"")+IMPORTRANGE(""https://docs.google.com/spreadsheets/d/1ddFKvqj1W1NEiWytbGlB1zMx_ykJDVtmfEQ-6-lIUBA/edit?usp=sharing"","&amp;"""จันทบุรี!S606"")+IMPORTRANGE(""https://docs.google.com/spreadsheets/d/1T1PQvRODqOBZk8BRht_U031fIS1beLA0Ub2CEytj2q0/edit?usp=sharing"",""ฉะเชิงเทรา!S606"")+IMPORTRANGE(""https://docs.google.com/spreadsheets/d/11tr1B-Bhyr79v2bkwVh5h_fR-PStkgjlZtkrZpYurG0/"&amp;"edit?usp=sharing"",""ชลบุรี!S606"")+IMPORTRANGE(""https://docs.google.com/spreadsheets/d/1hh-FVnSX0vozXhGluamEcS54Dw9_zqW0N7qJUWgJ0Sw/edit?usp=sharing"",""ชัยนาท!S606"")+IMPORTRANGE(""https://docs.google.com/spreadsheets/d/1jkqa6GXxSacMcY1eN8AHjMNJ_7dDXMJ"&amp;"VRLDlaFSOdPM/edit?usp=sharing"",""ตราด!S606"")+IMPORTRANGE(""https://docs.google.com/spreadsheets/d/18hSgUJ3VwClqi_qtULmmW3cLr0oe3OKaSYoKzdpTsYQ/edit?usp=sharing"",""นครนายก!S606"")+IMPORTRANGE(""https://docs.google.com/spreadsheets/d/1YTZo6WM2dQ6Ix6FSdnL"&amp;"5P7uVnVKu40sxZu975tgG10E/edit?usp=sharing"",""นครปฐม!S606"")+IMPORTRANGE(""https://docs.google.com/spreadsheets/d/1OYoGg4WDg5RIzwGeB10padOxJF9E_Vljuvvct_M7RDo/edit?usp=sharing"",""ปทุมธานี!S606"")+IMPORTRANGE(""https://docs.google.com/spreadsheets/d/1GbCI"&amp;"E4D4wk9FUozzqk7SxfDMxDVBwVmI5zcaVUSzKAc/edit?usp=sharing"",""ประจวบคีรีขันธ์!S606"")+IMPORTRANGE(""https://docs.google.com/spreadsheets/d/1vVf6wykvW_lAyu7Yo9L4hUTqHqIeP_qcVuxCtosJEbg/edit?usp=sharing"",""ปราจีนบุรี!S606"")+IMPORTRANGE(""https://docs.googl"&amp;"e.com/spreadsheets/d/1BIDqLLg5jk3v59G8NlR8rk5xfQDKne0sAvZHSj7TI6I/edit?usp=sharing"",""พระนครศรีอยุธยา!S606"")+IMPORTRANGE(""https://docs.google.com/spreadsheets/d/1YXvxf8Yu6_rV4hTBrwMqAcAnv6DfhUxh5emyM3CJp_w/edit?usp=sharing"",""เพชรบุรี!S606"")+IMPORTRA"&amp;"NGE(""https://docs.google.com/spreadsheets/d/19KBlQQs7uwvsao6t2n-KvW3Ax8J8uRRfZPq1zPbXgKc/edit?usp=sharing"",""ระยอง!S606"")+IMPORTRANGE(""https://docs.google.com/spreadsheets/d/1jQ6P4QcrGM89YfqcC_PxOHGCMq5ezhucwJd8ci-NHng/edit?usp=sharing"",""ราชบุรี!S60"&amp;"6"")+IMPORTRANGE(""https://docs.google.com/spreadsheets/d/1lufeA2cfFqM-elVq2hznhDzC6Pr7wkJ9ZG_sYNGCMCU/edit?usp=sharing"",""ลพบุรี!S606"")+IMPORTRANGE(""https://docs.google.com/spreadsheets/d/10oOiF7loTyfsTkbd4MpaIm0HQ9SwB7IYHdIUvt-U1Uc/edit?usp=sharing"""&amp;",""สระแก้ว!S606"")+IMPORTRANGE(""https://docs.google.com/spreadsheets/d/1xmPlrr1QbdSIKvl1dWUl9K4PjAfSL9oeMr_37QVzcxc/edit?usp=sharing"",""สระบุรี!S606"")+IMPORTRANGE(""https://docs.google.com/spreadsheets/d/1j51vR6CYVGhABJpv6tkstgok82RLpXieLzW1yOY5rHw/edi"&amp;"t?usp=sharing"",""สิงห์บุรี!S606"")+IMPORTRANGE(""https://docs.google.com/spreadsheets/d/1H1EalTWKUSzO4Z1-1CwzoDUaVffgrThEBe2sl74kKG0/edit?usp=sharing"",""สุพรรณบุรี!S606"")+IMPORTRANGE(""https://docs.google.com/spreadsheets/d/1BmIruG_sIrJLYao_Pdr7zVArWsf"&amp;"oBt2692TMi6x_854/edit?usp=sharing"",""อ่างทอง!S606"")"),0)</f>
        <v>0</v>
      </c>
      <c r="T607" s="133">
        <f t="shared" ca="1" si="418"/>
        <v>0</v>
      </c>
      <c r="U607" s="133">
        <f t="shared" ca="1" si="419"/>
        <v>0</v>
      </c>
    </row>
    <row r="608" spans="1:21" ht="18.75" hidden="1" x14ac:dyDescent="0.25">
      <c r="A608" s="257"/>
      <c r="B608" s="269"/>
      <c r="C608" s="269"/>
      <c r="D608" s="258"/>
      <c r="E608" s="591" t="s">
        <v>21</v>
      </c>
      <c r="F608" s="258"/>
      <c r="G608" s="261"/>
      <c r="H608" s="706" t="s">
        <v>14</v>
      </c>
      <c r="I608" s="272"/>
      <c r="J608" s="272"/>
      <c r="K608" s="229"/>
      <c r="L608" s="74">
        <f ca="1">IFERROR(__xludf.DUMMYFUNCTION("IMPORTRANGE(""https://docs.google.com/spreadsheets/d/13wPX838HrBrQMCywv1BsuMkt4PEKTChp52zj44s2izQ/edit?usp=sharing"",""กาญจนบุรี!L607"")+IMPORTRANGE(""https://docs.google.com/spreadsheets/d/1ddFKvqj1W1NEiWytbGlB1zMx_ykJDVtmfEQ-6-lIUBA/edit?usp=sharing"","&amp;"""จันทบุรี!L607"")+IMPORTRANGE(""https://docs.google.com/spreadsheets/d/1T1PQvRODqOBZk8BRht_U031fIS1beLA0Ub2CEytj2q0/edit?usp=sharing"",""ฉะเชิงเทรา!L607"")+IMPORTRANGE(""https://docs.google.com/spreadsheets/d/11tr1B-Bhyr79v2bkwVh5h_fR-PStkgjlZtkrZpYurG0/"&amp;"edit?usp=sharing"",""ชลบุรี!L607"")+IMPORTRANGE(""https://docs.google.com/spreadsheets/d/1hh-FVnSX0vozXhGluamEcS54Dw9_zqW0N7qJUWgJ0Sw/edit?usp=sharing"",""ชัยนาท!L607"")+IMPORTRANGE(""https://docs.google.com/spreadsheets/d/1jkqa6GXxSacMcY1eN8AHjMNJ_7dDXMJ"&amp;"VRLDlaFSOdPM/edit?usp=sharing"",""ตราด!L607"")+IMPORTRANGE(""https://docs.google.com/spreadsheets/d/18hSgUJ3VwClqi_qtULmmW3cLr0oe3OKaSYoKzdpTsYQ/edit?usp=sharing"",""นครนายก!L607"")+IMPORTRANGE(""https://docs.google.com/spreadsheets/d/1YTZo6WM2dQ6Ix6FSdnL"&amp;"5P7uVnVKu40sxZu975tgG10E/edit?usp=sharing"",""นครปฐม!L607"")+IMPORTRANGE(""https://docs.google.com/spreadsheets/d/1OYoGg4WDg5RIzwGeB10padOxJF9E_Vljuvvct_M7RDo/edit?usp=sharing"",""ปทุมธานี!L607"")+IMPORTRANGE(""https://docs.google.com/spreadsheets/d/1GbCI"&amp;"E4D4wk9FUozzqk7SxfDMxDVBwVmI5zcaVUSzKAc/edit?usp=sharing"",""ประจวบคีรีขันธ์!L607"")+IMPORTRANGE(""https://docs.google.com/spreadsheets/d/1vVf6wykvW_lAyu7Yo9L4hUTqHqIeP_qcVuxCtosJEbg/edit?usp=sharing"",""ปราจีนบุรี!L607"")+IMPORTRANGE(""https://docs.googl"&amp;"e.com/spreadsheets/d/1BIDqLLg5jk3v59G8NlR8rk5xfQDKne0sAvZHSj7TI6I/edit?usp=sharing"",""พระนครศรีอยุธยา!L607"")+IMPORTRANGE(""https://docs.google.com/spreadsheets/d/1YXvxf8Yu6_rV4hTBrwMqAcAnv6DfhUxh5emyM3CJp_w/edit?usp=sharing"",""เพชรบุรี!L607"")+IMPORTRA"&amp;"NGE(""https://docs.google.com/spreadsheets/d/19KBlQQs7uwvsao6t2n-KvW3Ax8J8uRRfZPq1zPbXgKc/edit?usp=sharing"",""ระยอง!L607"")+IMPORTRANGE(""https://docs.google.com/spreadsheets/d/1jQ6P4QcrGM89YfqcC_PxOHGCMq5ezhucwJd8ci-NHng/edit?usp=sharing"",""ราชบุรี!L60"&amp;"7"")+IMPORTRANGE(""https://docs.google.com/spreadsheets/d/1lufeA2cfFqM-elVq2hznhDzC6Pr7wkJ9ZG_sYNGCMCU/edit?usp=sharing"",""ลพบุรี!L607"")+IMPORTRANGE(""https://docs.google.com/spreadsheets/d/10oOiF7loTyfsTkbd4MpaIm0HQ9SwB7IYHdIUvt-U1Uc/edit?usp=sharing"""&amp;",""สระแก้ว!L607"")+IMPORTRANGE(""https://docs.google.com/spreadsheets/d/1xmPlrr1QbdSIKvl1dWUl9K4PjAfSL9oeMr_37QVzcxc/edit?usp=sharing"",""สระบุรี!L607"")+IMPORTRANGE(""https://docs.google.com/spreadsheets/d/1j51vR6CYVGhABJpv6tkstgok82RLpXieLzW1yOY5rHw/edi"&amp;"t?usp=sharing"",""สิงห์บุรี!L607"")+IMPORTRANGE(""https://docs.google.com/spreadsheets/d/1H1EalTWKUSzO4Z1-1CwzoDUaVffgrThEBe2sl74kKG0/edit?usp=sharing"",""สุพรรณบุรี!L607"")+IMPORTRANGE(""https://docs.google.com/spreadsheets/d/1BmIruG_sIrJLYao_Pdr7zVArWsf"&amp;"oBt2692TMi6x_854/edit?usp=sharing"",""อ่างทอง!L607"")"),0)</f>
        <v>0</v>
      </c>
      <c r="M608" s="74">
        <f ca="1">IFERROR(__xludf.DUMMYFUNCTION("IMPORTRANGE(""https://docs.google.com/spreadsheets/d/13wPX838HrBrQMCywv1BsuMkt4PEKTChp52zj44s2izQ/edit?usp=sharing"",""กาญจนบุรี!M607"")+IMPORTRANGE(""https://docs.google.com/spreadsheets/d/1ddFKvqj1W1NEiWytbGlB1zMx_ykJDVtmfEQ-6-lIUBA/edit?usp=sharing"","&amp;"""จันทบุรี!M607"")+IMPORTRANGE(""https://docs.google.com/spreadsheets/d/1T1PQvRODqOBZk8BRht_U031fIS1beLA0Ub2CEytj2q0/edit?usp=sharing"",""ฉะเชิงเทรา!M607"")+IMPORTRANGE(""https://docs.google.com/spreadsheets/d/11tr1B-Bhyr79v2bkwVh5h_fR-PStkgjlZtkrZpYurG0/"&amp;"edit?usp=sharing"",""ชลบุรี!M607"")+IMPORTRANGE(""https://docs.google.com/spreadsheets/d/1hh-FVnSX0vozXhGluamEcS54Dw9_zqW0N7qJUWgJ0Sw/edit?usp=sharing"",""ชัยนาท!M607"")+IMPORTRANGE(""https://docs.google.com/spreadsheets/d/1jkqa6GXxSacMcY1eN8AHjMNJ_7dDXMJ"&amp;"VRLDlaFSOdPM/edit?usp=sharing"",""ตราด!M607"")+IMPORTRANGE(""https://docs.google.com/spreadsheets/d/18hSgUJ3VwClqi_qtULmmW3cLr0oe3OKaSYoKzdpTsYQ/edit?usp=sharing"",""นครนายก!M607"")+IMPORTRANGE(""https://docs.google.com/spreadsheets/d/1YTZo6WM2dQ6Ix6FSdnL"&amp;"5P7uVnVKu40sxZu975tgG10E/edit?usp=sharing"",""นครปฐม!M607"")+IMPORTRANGE(""https://docs.google.com/spreadsheets/d/1OYoGg4WDg5RIzwGeB10padOxJF9E_Vljuvvct_M7RDo/edit?usp=sharing"",""ปทุมธานี!M607"")+IMPORTRANGE(""https://docs.google.com/spreadsheets/d/1GbCI"&amp;"E4D4wk9FUozzqk7SxfDMxDVBwVmI5zcaVUSzKAc/edit?usp=sharing"",""ประจวบคีรีขันธ์!M607"")+IMPORTRANGE(""https://docs.google.com/spreadsheets/d/1vVf6wykvW_lAyu7Yo9L4hUTqHqIeP_qcVuxCtosJEbg/edit?usp=sharing"",""ปราจีนบุรี!M607"")+IMPORTRANGE(""https://docs.googl"&amp;"e.com/spreadsheets/d/1BIDqLLg5jk3v59G8NlR8rk5xfQDKne0sAvZHSj7TI6I/edit?usp=sharing"",""พระนครศรีอยุธยา!M607"")+IMPORTRANGE(""https://docs.google.com/spreadsheets/d/1YXvxf8Yu6_rV4hTBrwMqAcAnv6DfhUxh5emyM3CJp_w/edit?usp=sharing"",""เพชรบุรี!M607"")+IMPORTRA"&amp;"NGE(""https://docs.google.com/spreadsheets/d/19KBlQQs7uwvsao6t2n-KvW3Ax8J8uRRfZPq1zPbXgKc/edit?usp=sharing"",""ระยอง!M607"")+IMPORTRANGE(""https://docs.google.com/spreadsheets/d/1jQ6P4QcrGM89YfqcC_PxOHGCMq5ezhucwJd8ci-NHng/edit?usp=sharing"",""ราชบุรี!M60"&amp;"7"")+IMPORTRANGE(""https://docs.google.com/spreadsheets/d/1lufeA2cfFqM-elVq2hznhDzC6Pr7wkJ9ZG_sYNGCMCU/edit?usp=sharing"",""ลพบุรี!M607"")+IMPORTRANGE(""https://docs.google.com/spreadsheets/d/10oOiF7loTyfsTkbd4MpaIm0HQ9SwB7IYHdIUvt-U1Uc/edit?usp=sharing"""&amp;",""สระแก้ว!M607"")+IMPORTRANGE(""https://docs.google.com/spreadsheets/d/1xmPlrr1QbdSIKvl1dWUl9K4PjAfSL9oeMr_37QVzcxc/edit?usp=sharing"",""สระบุรี!M607"")+IMPORTRANGE(""https://docs.google.com/spreadsheets/d/1j51vR6CYVGhABJpv6tkstgok82RLpXieLzW1yOY5rHw/edi"&amp;"t?usp=sharing"",""สิงห์บุรี!M607"")+IMPORTRANGE(""https://docs.google.com/spreadsheets/d/1H1EalTWKUSzO4Z1-1CwzoDUaVffgrThEBe2sl74kKG0/edit?usp=sharing"",""สุพรรณบุรี!M607"")+IMPORTRANGE(""https://docs.google.com/spreadsheets/d/1BmIruG_sIrJLYao_Pdr7zVArWsf"&amp;"oBt2692TMi6x_854/edit?usp=sharing"",""อ่างทอง!M607"")"),0)</f>
        <v>0</v>
      </c>
      <c r="N608" s="74">
        <f ca="1">IFERROR(__xludf.DUMMYFUNCTION("IMPORTRANGE(""https://docs.google.com/spreadsheets/d/13wPX838HrBrQMCywv1BsuMkt4PEKTChp52zj44s2izQ/edit?usp=sharing"",""กาญจนบุรี!N607"")+IMPORTRANGE(""https://docs.google.com/spreadsheets/d/1ddFKvqj1W1NEiWytbGlB1zMx_ykJDVtmfEQ-6-lIUBA/edit?usp=sharing"","&amp;"""จันทบุรี!N607"")+IMPORTRANGE(""https://docs.google.com/spreadsheets/d/1T1PQvRODqOBZk8BRht_U031fIS1beLA0Ub2CEytj2q0/edit?usp=sharing"",""ฉะเชิงเทรา!N607"")+IMPORTRANGE(""https://docs.google.com/spreadsheets/d/11tr1B-Bhyr79v2bkwVh5h_fR-PStkgjlZtkrZpYurG0/"&amp;"edit?usp=sharing"",""ชลบุรี!N607"")+IMPORTRANGE(""https://docs.google.com/spreadsheets/d/1hh-FVnSX0vozXhGluamEcS54Dw9_zqW0N7qJUWgJ0Sw/edit?usp=sharing"",""ชัยนาท!N607"")+IMPORTRANGE(""https://docs.google.com/spreadsheets/d/1jkqa6GXxSacMcY1eN8AHjMNJ_7dDXMJ"&amp;"VRLDlaFSOdPM/edit?usp=sharing"",""ตราด!N607"")+IMPORTRANGE(""https://docs.google.com/spreadsheets/d/18hSgUJ3VwClqi_qtULmmW3cLr0oe3OKaSYoKzdpTsYQ/edit?usp=sharing"",""นครนายก!N607"")+IMPORTRANGE(""https://docs.google.com/spreadsheets/d/1YTZo6WM2dQ6Ix6FSdnL"&amp;"5P7uVnVKu40sxZu975tgG10E/edit?usp=sharing"",""นครปฐม!N607"")+IMPORTRANGE(""https://docs.google.com/spreadsheets/d/1OYoGg4WDg5RIzwGeB10padOxJF9E_Vljuvvct_M7RDo/edit?usp=sharing"",""ปทุมธานี!N607"")+IMPORTRANGE(""https://docs.google.com/spreadsheets/d/1GbCI"&amp;"E4D4wk9FUozzqk7SxfDMxDVBwVmI5zcaVUSzKAc/edit?usp=sharing"",""ประจวบคีรีขันธ์!N607"")+IMPORTRANGE(""https://docs.google.com/spreadsheets/d/1vVf6wykvW_lAyu7Yo9L4hUTqHqIeP_qcVuxCtosJEbg/edit?usp=sharing"",""ปราจีนบุรี!N607"")+IMPORTRANGE(""https://docs.googl"&amp;"e.com/spreadsheets/d/1BIDqLLg5jk3v59G8NlR8rk5xfQDKne0sAvZHSj7TI6I/edit?usp=sharing"",""พระนครศรีอยุธยา!N607"")+IMPORTRANGE(""https://docs.google.com/spreadsheets/d/1YXvxf8Yu6_rV4hTBrwMqAcAnv6DfhUxh5emyM3CJp_w/edit?usp=sharing"",""เพชรบุรี!N607"")+IMPORTRA"&amp;"NGE(""https://docs.google.com/spreadsheets/d/19KBlQQs7uwvsao6t2n-KvW3Ax8J8uRRfZPq1zPbXgKc/edit?usp=sharing"",""ระยอง!N607"")+IMPORTRANGE(""https://docs.google.com/spreadsheets/d/1jQ6P4QcrGM89YfqcC_PxOHGCMq5ezhucwJd8ci-NHng/edit?usp=sharing"",""ราชบุรี!N60"&amp;"7"")+IMPORTRANGE(""https://docs.google.com/spreadsheets/d/1lufeA2cfFqM-elVq2hznhDzC6Pr7wkJ9ZG_sYNGCMCU/edit?usp=sharing"",""ลพบุรี!N607"")+IMPORTRANGE(""https://docs.google.com/spreadsheets/d/10oOiF7loTyfsTkbd4MpaIm0HQ9SwB7IYHdIUvt-U1Uc/edit?usp=sharing"""&amp;",""สระแก้ว!N607"")+IMPORTRANGE(""https://docs.google.com/spreadsheets/d/1xmPlrr1QbdSIKvl1dWUl9K4PjAfSL9oeMr_37QVzcxc/edit?usp=sharing"",""สระบุรี!N607"")+IMPORTRANGE(""https://docs.google.com/spreadsheets/d/1j51vR6CYVGhABJpv6tkstgok82RLpXieLzW1yOY5rHw/edi"&amp;"t?usp=sharing"",""สิงห์บุรี!N607"")+IMPORTRANGE(""https://docs.google.com/spreadsheets/d/1H1EalTWKUSzO4Z1-1CwzoDUaVffgrThEBe2sl74kKG0/edit?usp=sharing"",""สุพรรณบุรี!N607"")+IMPORTRANGE(""https://docs.google.com/spreadsheets/d/1BmIruG_sIrJLYao_Pdr7zVArWsf"&amp;"oBt2692TMi6x_854/edit?usp=sharing"",""อ่างทอง!N607"")"),0)</f>
        <v>0</v>
      </c>
      <c r="O608" s="74">
        <f t="shared" ca="1" si="415"/>
        <v>0</v>
      </c>
      <c r="P608" s="74">
        <f t="shared" ca="1" si="416"/>
        <v>0</v>
      </c>
      <c r="Q608" s="73">
        <f ca="1">IFERROR(__xludf.DUMMYFUNCTION("IMPORTRANGE(""https://docs.google.com/spreadsheets/d/13wPX838HrBrQMCywv1BsuMkt4PEKTChp52zj44s2izQ/edit?usp=sharing"",""กาญจนบุรี!Q607"")+IMPORTRANGE(""https://docs.google.com/spreadsheets/d/1ddFKvqj1W1NEiWytbGlB1zMx_ykJDVtmfEQ-6-lIUBA/edit?usp=sharing"","&amp;"""จันทบุรี!Q607"")+IMPORTRANGE(""https://docs.google.com/spreadsheets/d/1T1PQvRODqOBZk8BRht_U031fIS1beLA0Ub2CEytj2q0/edit?usp=sharing"",""ฉะเชิงเทรา!Q607"")+IMPORTRANGE(""https://docs.google.com/spreadsheets/d/11tr1B-Bhyr79v2bkwVh5h_fR-PStkgjlZtkrZpYurG0/"&amp;"edit?usp=sharing"",""ชลบุรี!Q607"")+IMPORTRANGE(""https://docs.google.com/spreadsheets/d/1hh-FVnSX0vozXhGluamEcS54Dw9_zqW0N7qJUWgJ0Sw/edit?usp=sharing"",""ชัยนาท!Q607"")+IMPORTRANGE(""https://docs.google.com/spreadsheets/d/1jkqa6GXxSacMcY1eN8AHjMNJ_7dDXMJ"&amp;"VRLDlaFSOdPM/edit?usp=sharing"",""ตราด!Q607"")+IMPORTRANGE(""https://docs.google.com/spreadsheets/d/18hSgUJ3VwClqi_qtULmmW3cLr0oe3OKaSYoKzdpTsYQ/edit?usp=sharing"",""นครนายก!Q607"")+IMPORTRANGE(""https://docs.google.com/spreadsheets/d/1YTZo6WM2dQ6Ix6FSdnL"&amp;"5P7uVnVKu40sxZu975tgG10E/edit?usp=sharing"",""นครปฐม!Q607"")+IMPORTRANGE(""https://docs.google.com/spreadsheets/d/1OYoGg4WDg5RIzwGeB10padOxJF9E_Vljuvvct_M7RDo/edit?usp=sharing"",""ปทุมธานี!Q607"")+IMPORTRANGE(""https://docs.google.com/spreadsheets/d/1GbCI"&amp;"E4D4wk9FUozzqk7SxfDMxDVBwVmI5zcaVUSzKAc/edit?usp=sharing"",""ประจวบคีรีขันธ์!Q607"")+IMPORTRANGE(""https://docs.google.com/spreadsheets/d/1vVf6wykvW_lAyu7Yo9L4hUTqHqIeP_qcVuxCtosJEbg/edit?usp=sharing"",""ปราจีนบุรี!Q607"")+IMPORTRANGE(""https://docs.googl"&amp;"e.com/spreadsheets/d/1BIDqLLg5jk3v59G8NlR8rk5xfQDKne0sAvZHSj7TI6I/edit?usp=sharing"",""พระนครศรีอยุธยา!Q607"")+IMPORTRANGE(""https://docs.google.com/spreadsheets/d/1YXvxf8Yu6_rV4hTBrwMqAcAnv6DfhUxh5emyM3CJp_w/edit?usp=sharing"",""เพชรบุรี!Q607"")+IMPORTRA"&amp;"NGE(""https://docs.google.com/spreadsheets/d/19KBlQQs7uwvsao6t2n-KvW3Ax8J8uRRfZPq1zPbXgKc/edit?usp=sharing"",""ระยอง!Q607"")+IMPORTRANGE(""https://docs.google.com/spreadsheets/d/1jQ6P4QcrGM89YfqcC_PxOHGCMq5ezhucwJd8ci-NHng/edit?usp=sharing"",""ราชบุรี!Q60"&amp;"7"")+IMPORTRANGE(""https://docs.google.com/spreadsheets/d/1lufeA2cfFqM-elVq2hznhDzC6Pr7wkJ9ZG_sYNGCMCU/edit?usp=sharing"",""ลพบุรี!Q607"")+IMPORTRANGE(""https://docs.google.com/spreadsheets/d/10oOiF7loTyfsTkbd4MpaIm0HQ9SwB7IYHdIUvt-U1Uc/edit?usp=sharing"""&amp;",""สระแก้ว!Q607"")+IMPORTRANGE(""https://docs.google.com/spreadsheets/d/1xmPlrr1QbdSIKvl1dWUl9K4PjAfSL9oeMr_37QVzcxc/edit?usp=sharing"",""สระบุรี!Q607"")+IMPORTRANGE(""https://docs.google.com/spreadsheets/d/1j51vR6CYVGhABJpv6tkstgok82RLpXieLzW1yOY5rHw/edi"&amp;"t?usp=sharing"",""สิงห์บุรี!Q607"")+IMPORTRANGE(""https://docs.google.com/spreadsheets/d/1H1EalTWKUSzO4Z1-1CwzoDUaVffgrThEBe2sl74kKG0/edit?usp=sharing"",""สุพรรณบุรี!Q607"")+IMPORTRANGE(""https://docs.google.com/spreadsheets/d/1BmIruG_sIrJLYao_Pdr7zVArWsf"&amp;"oBt2692TMi6x_854/edit?usp=sharing"",""อ่างทอง!Q607"")"),0)</f>
        <v>0</v>
      </c>
      <c r="R608" s="74">
        <f ca="1">IFERROR(__xludf.DUMMYFUNCTION("IMPORTRANGE(""https://docs.google.com/spreadsheets/d/13wPX838HrBrQMCywv1BsuMkt4PEKTChp52zj44s2izQ/edit?usp=sharing"",""กาญจนบุรี!R607"")+IMPORTRANGE(""https://docs.google.com/spreadsheets/d/1ddFKvqj1W1NEiWytbGlB1zMx_ykJDVtmfEQ-6-lIUBA/edit?usp=sharing"","&amp;"""จันทบุรี!R607"")+IMPORTRANGE(""https://docs.google.com/spreadsheets/d/1T1PQvRODqOBZk8BRht_U031fIS1beLA0Ub2CEytj2q0/edit?usp=sharing"",""ฉะเชิงเทรา!R607"")+IMPORTRANGE(""https://docs.google.com/spreadsheets/d/11tr1B-Bhyr79v2bkwVh5h_fR-PStkgjlZtkrZpYurG0/"&amp;"edit?usp=sharing"",""ชลบุรี!R607"")+IMPORTRANGE(""https://docs.google.com/spreadsheets/d/1hh-FVnSX0vozXhGluamEcS54Dw9_zqW0N7qJUWgJ0Sw/edit?usp=sharing"",""ชัยนาท!R607"")+IMPORTRANGE(""https://docs.google.com/spreadsheets/d/1jkqa6GXxSacMcY1eN8AHjMNJ_7dDXMJ"&amp;"VRLDlaFSOdPM/edit?usp=sharing"",""ตราด!R607"")+IMPORTRANGE(""https://docs.google.com/spreadsheets/d/18hSgUJ3VwClqi_qtULmmW3cLr0oe3OKaSYoKzdpTsYQ/edit?usp=sharing"",""นครนายก!R607"")+IMPORTRANGE(""https://docs.google.com/spreadsheets/d/1YTZo6WM2dQ6Ix6FSdnL"&amp;"5P7uVnVKu40sxZu975tgG10E/edit?usp=sharing"",""นครปฐม!R607"")+IMPORTRANGE(""https://docs.google.com/spreadsheets/d/1OYoGg4WDg5RIzwGeB10padOxJF9E_Vljuvvct_M7RDo/edit?usp=sharing"",""ปทุมธานี!R607"")+IMPORTRANGE(""https://docs.google.com/spreadsheets/d/1GbCI"&amp;"E4D4wk9FUozzqk7SxfDMxDVBwVmI5zcaVUSzKAc/edit?usp=sharing"",""ประจวบคีรีขันธ์!R607"")+IMPORTRANGE(""https://docs.google.com/spreadsheets/d/1vVf6wykvW_lAyu7Yo9L4hUTqHqIeP_qcVuxCtosJEbg/edit?usp=sharing"",""ปราจีนบุรี!R607"")+IMPORTRANGE(""https://docs.googl"&amp;"e.com/spreadsheets/d/1BIDqLLg5jk3v59G8NlR8rk5xfQDKne0sAvZHSj7TI6I/edit?usp=sharing"",""พระนครศรีอยุธยา!R607"")+IMPORTRANGE(""https://docs.google.com/spreadsheets/d/1YXvxf8Yu6_rV4hTBrwMqAcAnv6DfhUxh5emyM3CJp_w/edit?usp=sharing"",""เพชรบุรี!R607"")+IMPORTRA"&amp;"NGE(""https://docs.google.com/spreadsheets/d/19KBlQQs7uwvsao6t2n-KvW3Ax8J8uRRfZPq1zPbXgKc/edit?usp=sharing"",""ระยอง!R607"")+IMPORTRANGE(""https://docs.google.com/spreadsheets/d/1jQ6P4QcrGM89YfqcC_PxOHGCMq5ezhucwJd8ci-NHng/edit?usp=sharing"",""ราชบุรี!R60"&amp;"7"")+IMPORTRANGE(""https://docs.google.com/spreadsheets/d/1lufeA2cfFqM-elVq2hznhDzC6Pr7wkJ9ZG_sYNGCMCU/edit?usp=sharing"",""ลพบุรี!R607"")+IMPORTRANGE(""https://docs.google.com/spreadsheets/d/10oOiF7loTyfsTkbd4MpaIm0HQ9SwB7IYHdIUvt-U1Uc/edit?usp=sharing"""&amp;",""สระแก้ว!R607"")+IMPORTRANGE(""https://docs.google.com/spreadsheets/d/1xmPlrr1QbdSIKvl1dWUl9K4PjAfSL9oeMr_37QVzcxc/edit?usp=sharing"",""สระบุรี!R607"")+IMPORTRANGE(""https://docs.google.com/spreadsheets/d/1j51vR6CYVGhABJpv6tkstgok82RLpXieLzW1yOY5rHw/edi"&amp;"t?usp=sharing"",""สิงห์บุรี!R607"")+IMPORTRANGE(""https://docs.google.com/spreadsheets/d/1H1EalTWKUSzO4Z1-1CwzoDUaVffgrThEBe2sl74kKG0/edit?usp=sharing"",""สุพรรณบุรี!R607"")+IMPORTRANGE(""https://docs.google.com/spreadsheets/d/1BmIruG_sIrJLYao_Pdr7zVArWsf"&amp;"oBt2692TMi6x_854/edit?usp=sharing"",""อ่างทอง!R607"")"),0)</f>
        <v>0</v>
      </c>
      <c r="S608" s="74">
        <f ca="1">IFERROR(__xludf.DUMMYFUNCTION("IMPORTRANGE(""https://docs.google.com/spreadsheets/d/13wPX838HrBrQMCywv1BsuMkt4PEKTChp52zj44s2izQ/edit?usp=sharing"",""กาญจนบุรี!S607"")+IMPORTRANGE(""https://docs.google.com/spreadsheets/d/1ddFKvqj1W1NEiWytbGlB1zMx_ykJDVtmfEQ-6-lIUBA/edit?usp=sharing"","&amp;"""จันทบุรี!S607"")+IMPORTRANGE(""https://docs.google.com/spreadsheets/d/1T1PQvRODqOBZk8BRht_U031fIS1beLA0Ub2CEytj2q0/edit?usp=sharing"",""ฉะเชิงเทรา!S607"")+IMPORTRANGE(""https://docs.google.com/spreadsheets/d/11tr1B-Bhyr79v2bkwVh5h_fR-PStkgjlZtkrZpYurG0/"&amp;"edit?usp=sharing"",""ชลบุรี!S607"")+IMPORTRANGE(""https://docs.google.com/spreadsheets/d/1hh-FVnSX0vozXhGluamEcS54Dw9_zqW0N7qJUWgJ0Sw/edit?usp=sharing"",""ชัยนาท!S607"")+IMPORTRANGE(""https://docs.google.com/spreadsheets/d/1jkqa6GXxSacMcY1eN8AHjMNJ_7dDXMJ"&amp;"VRLDlaFSOdPM/edit?usp=sharing"",""ตราด!S607"")+IMPORTRANGE(""https://docs.google.com/spreadsheets/d/18hSgUJ3VwClqi_qtULmmW3cLr0oe3OKaSYoKzdpTsYQ/edit?usp=sharing"",""นครนายก!S607"")+IMPORTRANGE(""https://docs.google.com/spreadsheets/d/1YTZo6WM2dQ6Ix6FSdnL"&amp;"5P7uVnVKu40sxZu975tgG10E/edit?usp=sharing"",""นครปฐม!S607"")+IMPORTRANGE(""https://docs.google.com/spreadsheets/d/1OYoGg4WDg5RIzwGeB10padOxJF9E_Vljuvvct_M7RDo/edit?usp=sharing"",""ปทุมธานี!S607"")+IMPORTRANGE(""https://docs.google.com/spreadsheets/d/1GbCI"&amp;"E4D4wk9FUozzqk7SxfDMxDVBwVmI5zcaVUSzKAc/edit?usp=sharing"",""ประจวบคีรีขันธ์!S607"")+IMPORTRANGE(""https://docs.google.com/spreadsheets/d/1vVf6wykvW_lAyu7Yo9L4hUTqHqIeP_qcVuxCtosJEbg/edit?usp=sharing"",""ปราจีนบุรี!S607"")+IMPORTRANGE(""https://docs.googl"&amp;"e.com/spreadsheets/d/1BIDqLLg5jk3v59G8NlR8rk5xfQDKne0sAvZHSj7TI6I/edit?usp=sharing"",""พระนครศรีอยุธยา!S607"")+IMPORTRANGE(""https://docs.google.com/spreadsheets/d/1YXvxf8Yu6_rV4hTBrwMqAcAnv6DfhUxh5emyM3CJp_w/edit?usp=sharing"",""เพชรบุรี!S607"")+IMPORTRA"&amp;"NGE(""https://docs.google.com/spreadsheets/d/19KBlQQs7uwvsao6t2n-KvW3Ax8J8uRRfZPq1zPbXgKc/edit?usp=sharing"",""ระยอง!S607"")+IMPORTRANGE(""https://docs.google.com/spreadsheets/d/1jQ6P4QcrGM89YfqcC_PxOHGCMq5ezhucwJd8ci-NHng/edit?usp=sharing"",""ราชบุรี!S60"&amp;"7"")+IMPORTRANGE(""https://docs.google.com/spreadsheets/d/1lufeA2cfFqM-elVq2hznhDzC6Pr7wkJ9ZG_sYNGCMCU/edit?usp=sharing"",""ลพบุรี!S607"")+IMPORTRANGE(""https://docs.google.com/spreadsheets/d/10oOiF7loTyfsTkbd4MpaIm0HQ9SwB7IYHdIUvt-U1Uc/edit?usp=sharing"""&amp;",""สระแก้ว!S607"")+IMPORTRANGE(""https://docs.google.com/spreadsheets/d/1xmPlrr1QbdSIKvl1dWUl9K4PjAfSL9oeMr_37QVzcxc/edit?usp=sharing"",""สระบุรี!S607"")+IMPORTRANGE(""https://docs.google.com/spreadsheets/d/1j51vR6CYVGhABJpv6tkstgok82RLpXieLzW1yOY5rHw/edi"&amp;"t?usp=sharing"",""สิงห์บุรี!S607"")+IMPORTRANGE(""https://docs.google.com/spreadsheets/d/1H1EalTWKUSzO4Z1-1CwzoDUaVffgrThEBe2sl74kKG0/edit?usp=sharing"",""สุพรรณบุรี!S607"")+IMPORTRANGE(""https://docs.google.com/spreadsheets/d/1BmIruG_sIrJLYao_Pdr7zVArWsf"&amp;"oBt2692TMi6x_854/edit?usp=sharing"",""อ่างทอง!S607"")"),0)</f>
        <v>0</v>
      </c>
      <c r="T608" s="132">
        <f t="shared" ca="1" si="418"/>
        <v>0</v>
      </c>
      <c r="U608" s="132">
        <f t="shared" ca="1" si="419"/>
        <v>0</v>
      </c>
    </row>
    <row r="609" spans="1:21" ht="19.5" hidden="1" x14ac:dyDescent="0.3">
      <c r="A609" s="276"/>
      <c r="B609" s="277"/>
      <c r="C609" s="309" t="s">
        <v>18</v>
      </c>
      <c r="D609" s="707" t="s">
        <v>38</v>
      </c>
      <c r="E609" s="280"/>
      <c r="F609" s="280"/>
      <c r="G609" s="281"/>
      <c r="H609" s="310"/>
      <c r="I609" s="272"/>
      <c r="J609" s="272"/>
      <c r="K609" s="229"/>
      <c r="L609" s="87"/>
      <c r="M609" s="87"/>
      <c r="N609" s="87"/>
      <c r="O609" s="87"/>
      <c r="P609" s="87"/>
      <c r="Q609" s="86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0"/>
      <c r="F610" s="290"/>
      <c r="G610" s="282"/>
      <c r="H610" s="273" t="s">
        <v>99</v>
      </c>
      <c r="I610" s="263"/>
      <c r="J610" s="263"/>
      <c r="K610" s="229"/>
      <c r="L610" s="87"/>
      <c r="M610" s="87"/>
      <c r="N610" s="87"/>
      <c r="O610" s="87"/>
      <c r="P610" s="87"/>
      <c r="Q610" s="86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0"/>
      <c r="F611" s="290"/>
      <c r="G611" s="282"/>
      <c r="H611" s="703" t="s">
        <v>35</v>
      </c>
      <c r="I611" s="263"/>
      <c r="J611" s="263"/>
      <c r="K611" s="229"/>
      <c r="L611" s="87"/>
      <c r="M611" s="87"/>
      <c r="N611" s="87"/>
      <c r="O611" s="87"/>
      <c r="P611" s="87"/>
      <c r="Q611" s="86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0"/>
      <c r="G612" s="282"/>
      <c r="H612" s="706" t="s">
        <v>35</v>
      </c>
      <c r="I612" s="263"/>
      <c r="J612" s="263"/>
      <c r="K612" s="229"/>
      <c r="L612" s="87"/>
      <c r="M612" s="87"/>
      <c r="N612" s="87"/>
      <c r="O612" s="87"/>
      <c r="P612" s="87"/>
      <c r="Q612" s="86"/>
      <c r="R612" s="87"/>
      <c r="S612" s="87"/>
      <c r="T612" s="87"/>
      <c r="U612" s="87"/>
    </row>
    <row r="613" spans="1:21" ht="18.75" hidden="1" x14ac:dyDescent="0.25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7"/>
      <c r="M613" s="717"/>
      <c r="N613" s="717"/>
      <c r="O613" s="717"/>
      <c r="P613" s="717"/>
      <c r="Q613" s="718"/>
      <c r="R613" s="717"/>
      <c r="S613" s="717"/>
      <c r="T613" s="717"/>
      <c r="U613" s="717"/>
    </row>
    <row r="614" spans="1:21" ht="19.5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5"/>
      <c r="M614" s="725"/>
      <c r="N614" s="725"/>
      <c r="O614" s="725"/>
      <c r="P614" s="725"/>
      <c r="Q614" s="726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3"/>
      <c r="M615" s="733"/>
      <c r="N615" s="733"/>
      <c r="O615" s="733"/>
      <c r="P615" s="733"/>
      <c r="Q615" s="734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740">
        <f t="shared" ref="I616:J616" ca="1" si="428">I627</f>
        <v>1060</v>
      </c>
      <c r="J616" s="740">
        <f t="shared" ca="1" si="428"/>
        <v>0</v>
      </c>
      <c r="K616" s="741">
        <f ca="1">IF(I616&gt;0,J616*100/I616,0)</f>
        <v>0</v>
      </c>
      <c r="L616" s="742"/>
      <c r="M616" s="742"/>
      <c r="N616" s="742"/>
      <c r="O616" s="742"/>
      <c r="P616" s="742"/>
      <c r="Q616" s="743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42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264">
        <f t="shared" ref="L617:N617" ca="1" si="429">L618+L619</f>
        <v>0</v>
      </c>
      <c r="M617" s="264">
        <f t="shared" ca="1" si="429"/>
        <v>0</v>
      </c>
      <c r="N617" s="264">
        <f t="shared" ca="1" si="429"/>
        <v>0</v>
      </c>
      <c r="O617" s="264">
        <f t="shared" ref="O617:O625" ca="1" si="430">IF(L617&gt;0,N617*100/L617,0)</f>
        <v>0</v>
      </c>
      <c r="P617" s="264">
        <f t="shared" ref="P617:P625" ca="1" si="431">IF(M617&gt;0,N617*100/M617,0)</f>
        <v>0</v>
      </c>
      <c r="Q617" s="214">
        <f t="shared" ref="Q617:S617" ca="1" si="432">Q618+Q619</f>
        <v>143975</v>
      </c>
      <c r="R617" s="215">
        <f t="shared" ca="1" si="432"/>
        <v>143975</v>
      </c>
      <c r="S617" s="215">
        <f t="shared" ca="1" si="432"/>
        <v>7030</v>
      </c>
      <c r="T617" s="215">
        <f t="shared" ref="T617:T625" ca="1" si="433">IF(Q617&gt;0,S617*100/Q617,0)</f>
        <v>4.8827921514151766</v>
      </c>
      <c r="U617" s="215">
        <f t="shared" ref="U617:U625" ca="1" si="434">IF(R617&gt;0,S617*100/R617,0)</f>
        <v>4.8827921514151766</v>
      </c>
    </row>
    <row r="618" spans="1:21" ht="18.75" x14ac:dyDescent="0.25">
      <c r="A618" s="257"/>
      <c r="B618" s="269"/>
      <c r="C618" s="269"/>
      <c r="D618" s="290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7">
        <f t="shared" ref="L618:N618" ca="1" si="435">L621+L624</f>
        <v>0</v>
      </c>
      <c r="M618" s="77">
        <f t="shared" ca="1" si="435"/>
        <v>0</v>
      </c>
      <c r="N618" s="77">
        <f t="shared" ca="1" si="435"/>
        <v>0</v>
      </c>
      <c r="O618" s="77">
        <f t="shared" ca="1" si="430"/>
        <v>0</v>
      </c>
      <c r="P618" s="77">
        <f t="shared" ca="1" si="431"/>
        <v>0</v>
      </c>
      <c r="Q618" s="217">
        <f t="shared" ref="Q618:S618" ca="1" si="436">Q621+Q624</f>
        <v>0</v>
      </c>
      <c r="R618" s="133">
        <f t="shared" ca="1" si="436"/>
        <v>0</v>
      </c>
      <c r="S618" s="133">
        <f t="shared" ca="1" si="436"/>
        <v>0</v>
      </c>
      <c r="T618" s="133">
        <f t="shared" ca="1" si="433"/>
        <v>0</v>
      </c>
      <c r="U618" s="133">
        <f t="shared" ca="1" si="434"/>
        <v>0</v>
      </c>
    </row>
    <row r="619" spans="1:21" ht="18.75" x14ac:dyDescent="0.25">
      <c r="A619" s="257"/>
      <c r="B619" s="269"/>
      <c r="C619" s="269"/>
      <c r="D619" s="290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4">
        <f t="shared" ref="L619:N619" ca="1" si="437">L622+L625</f>
        <v>0</v>
      </c>
      <c r="M619" s="74">
        <f t="shared" ca="1" si="437"/>
        <v>0</v>
      </c>
      <c r="N619" s="74">
        <f t="shared" ca="1" si="437"/>
        <v>0</v>
      </c>
      <c r="O619" s="74">
        <f t="shared" ca="1" si="430"/>
        <v>0</v>
      </c>
      <c r="P619" s="74">
        <f t="shared" ca="1" si="431"/>
        <v>0</v>
      </c>
      <c r="Q619" s="131">
        <f t="shared" ref="Q619:S619" ca="1" si="438">Q622+Q625</f>
        <v>143975</v>
      </c>
      <c r="R619" s="132">
        <f t="shared" ca="1" si="438"/>
        <v>143975</v>
      </c>
      <c r="S619" s="132">
        <f t="shared" ca="1" si="438"/>
        <v>7030</v>
      </c>
      <c r="T619" s="132">
        <f t="shared" ca="1" si="433"/>
        <v>4.8827921514151766</v>
      </c>
      <c r="U619" s="132">
        <f t="shared" ca="1" si="434"/>
        <v>4.8827921514151766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4">
        <f t="shared" ref="L620:N620" ca="1" si="439">L621+L622</f>
        <v>0</v>
      </c>
      <c r="M620" s="74">
        <f t="shared" ca="1" si="439"/>
        <v>0</v>
      </c>
      <c r="N620" s="74">
        <f t="shared" ca="1" si="439"/>
        <v>0</v>
      </c>
      <c r="O620" s="74">
        <f t="shared" ca="1" si="430"/>
        <v>0</v>
      </c>
      <c r="P620" s="74">
        <f t="shared" ca="1" si="431"/>
        <v>0</v>
      </c>
      <c r="Q620" s="131">
        <f t="shared" ref="Q620:S620" ca="1" si="440">Q621+Q622</f>
        <v>143975</v>
      </c>
      <c r="R620" s="132">
        <f t="shared" ca="1" si="440"/>
        <v>143975</v>
      </c>
      <c r="S620" s="132">
        <f t="shared" ca="1" si="440"/>
        <v>7030</v>
      </c>
      <c r="T620" s="132">
        <f t="shared" ca="1" si="433"/>
        <v>4.8827921514151766</v>
      </c>
      <c r="U620" s="132">
        <f t="shared" ca="1" si="434"/>
        <v>4.8827921514151766</v>
      </c>
    </row>
    <row r="621" spans="1:21" ht="18.75" x14ac:dyDescent="0.25">
      <c r="A621" s="257"/>
      <c r="B621" s="269"/>
      <c r="C621" s="269"/>
      <c r="D621" s="290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7">
        <f ca="1">IFERROR(__xludf.DUMMYFUNCTION("IMPORTRANGE(""https://docs.google.com/spreadsheets/d/13wPX838HrBrQMCywv1BsuMkt4PEKTChp52zj44s2izQ/edit?usp=sharing"",""กาญจนบุรี!L620"")+IMPORTRANGE(""https://docs.google.com/spreadsheets/d/1ddFKvqj1W1NEiWytbGlB1zMx_ykJDVtmfEQ-6-lIUBA/edit?usp=sharing"","&amp;"""จันทบุรี!L620"")+IMPORTRANGE(""https://docs.google.com/spreadsheets/d/1T1PQvRODqOBZk8BRht_U031fIS1beLA0Ub2CEytj2q0/edit?usp=sharing"",""ฉะเชิงเทรา!L620"")+IMPORTRANGE(""https://docs.google.com/spreadsheets/d/11tr1B-Bhyr79v2bkwVh5h_fR-PStkgjlZtkrZpYurG0/"&amp;"edit?usp=sharing"",""ชลบุรี!L620"")+IMPORTRANGE(""https://docs.google.com/spreadsheets/d/1hh-FVnSX0vozXhGluamEcS54Dw9_zqW0N7qJUWgJ0Sw/edit?usp=sharing"",""ชัยนาท!L620"")+IMPORTRANGE(""https://docs.google.com/spreadsheets/d/1jkqa6GXxSacMcY1eN8AHjMNJ_7dDXMJ"&amp;"VRLDlaFSOdPM/edit?usp=sharing"",""ตราด!L620"")+IMPORTRANGE(""https://docs.google.com/spreadsheets/d/18hSgUJ3VwClqi_qtULmmW3cLr0oe3OKaSYoKzdpTsYQ/edit?usp=sharing"",""นครนายก!L620"")+IMPORTRANGE(""https://docs.google.com/spreadsheets/d/1YTZo6WM2dQ6Ix6FSdnL"&amp;"5P7uVnVKu40sxZu975tgG10E/edit?usp=sharing"",""นครปฐม!L620"")+IMPORTRANGE(""https://docs.google.com/spreadsheets/d/1OYoGg4WDg5RIzwGeB10padOxJF9E_Vljuvvct_M7RDo/edit?usp=sharing"",""ปทุมธานี!L620"")+IMPORTRANGE(""https://docs.google.com/spreadsheets/d/1GbCI"&amp;"E4D4wk9FUozzqk7SxfDMxDVBwVmI5zcaVUSzKAc/edit?usp=sharing"",""ประจวบคีรีขันธ์!L620"")+IMPORTRANGE(""https://docs.google.com/spreadsheets/d/1vVf6wykvW_lAyu7Yo9L4hUTqHqIeP_qcVuxCtosJEbg/edit?usp=sharing"",""ปราจีนบุรี!L620"")+IMPORTRANGE(""https://docs.googl"&amp;"e.com/spreadsheets/d/1BIDqLLg5jk3v59G8NlR8rk5xfQDKne0sAvZHSj7TI6I/edit?usp=sharing"",""พระนครศรีอยุธยา!L620"")+IMPORTRANGE(""https://docs.google.com/spreadsheets/d/1YXvxf8Yu6_rV4hTBrwMqAcAnv6DfhUxh5emyM3CJp_w/edit?usp=sharing"",""เพชรบุรี!L620"")+IMPORTRA"&amp;"NGE(""https://docs.google.com/spreadsheets/d/19KBlQQs7uwvsao6t2n-KvW3Ax8J8uRRfZPq1zPbXgKc/edit?usp=sharing"",""ระยอง!L620"")+IMPORTRANGE(""https://docs.google.com/spreadsheets/d/1jQ6P4QcrGM89YfqcC_PxOHGCMq5ezhucwJd8ci-NHng/edit?usp=sharing"",""ราชบุรี!L62"&amp;"0"")+IMPORTRANGE(""https://docs.google.com/spreadsheets/d/1lufeA2cfFqM-elVq2hznhDzC6Pr7wkJ9ZG_sYNGCMCU/edit?usp=sharing"",""ลพบุรี!L620"")+IMPORTRANGE(""https://docs.google.com/spreadsheets/d/10oOiF7loTyfsTkbd4MpaIm0HQ9SwB7IYHdIUvt-U1Uc/edit?usp=sharing"""&amp;",""สระแก้ว!L620"")+IMPORTRANGE(""https://docs.google.com/spreadsheets/d/1xmPlrr1QbdSIKvl1dWUl9K4PjAfSL9oeMr_37QVzcxc/edit?usp=sharing"",""สระบุรี!L620"")+IMPORTRANGE(""https://docs.google.com/spreadsheets/d/1j51vR6CYVGhABJpv6tkstgok82RLpXieLzW1yOY5rHw/edi"&amp;"t?usp=sharing"",""สิงห์บุรี!L620"")+IMPORTRANGE(""https://docs.google.com/spreadsheets/d/1H1EalTWKUSzO4Z1-1CwzoDUaVffgrThEBe2sl74kKG0/edit?usp=sharing"",""สุพรรณบุรี!L620"")+IMPORTRANGE(""https://docs.google.com/spreadsheets/d/1BmIruG_sIrJLYao_Pdr7zVArWsf"&amp;"oBt2692TMi6x_854/edit?usp=sharing"",""อ่างทอง!L620"")"),0)</f>
        <v>0</v>
      </c>
      <c r="M621" s="77">
        <f ca="1">IFERROR(__xludf.DUMMYFUNCTION("IMPORTRANGE(""https://docs.google.com/spreadsheets/d/13wPX838HrBrQMCywv1BsuMkt4PEKTChp52zj44s2izQ/edit?usp=sharing"",""กาญจนบุรี!M620"")+IMPORTRANGE(""https://docs.google.com/spreadsheets/d/1ddFKvqj1W1NEiWytbGlB1zMx_ykJDVtmfEQ-6-lIUBA/edit?usp=sharing"","&amp;"""จันทบุรี!M620"")+IMPORTRANGE(""https://docs.google.com/spreadsheets/d/1T1PQvRODqOBZk8BRht_U031fIS1beLA0Ub2CEytj2q0/edit?usp=sharing"",""ฉะเชิงเทรา!M620"")+IMPORTRANGE(""https://docs.google.com/spreadsheets/d/11tr1B-Bhyr79v2bkwVh5h_fR-PStkgjlZtkrZpYurG0/"&amp;"edit?usp=sharing"",""ชลบุรี!M620"")+IMPORTRANGE(""https://docs.google.com/spreadsheets/d/1hh-FVnSX0vozXhGluamEcS54Dw9_zqW0N7qJUWgJ0Sw/edit?usp=sharing"",""ชัยนาท!M620"")+IMPORTRANGE(""https://docs.google.com/spreadsheets/d/1jkqa6GXxSacMcY1eN8AHjMNJ_7dDXMJ"&amp;"VRLDlaFSOdPM/edit?usp=sharing"",""ตราด!M620"")+IMPORTRANGE(""https://docs.google.com/spreadsheets/d/18hSgUJ3VwClqi_qtULmmW3cLr0oe3OKaSYoKzdpTsYQ/edit?usp=sharing"",""นครนายก!M620"")+IMPORTRANGE(""https://docs.google.com/spreadsheets/d/1YTZo6WM2dQ6Ix6FSdnL"&amp;"5P7uVnVKu40sxZu975tgG10E/edit?usp=sharing"",""นครปฐม!M620"")+IMPORTRANGE(""https://docs.google.com/spreadsheets/d/1OYoGg4WDg5RIzwGeB10padOxJF9E_Vljuvvct_M7RDo/edit?usp=sharing"",""ปทุมธานี!M620"")+IMPORTRANGE(""https://docs.google.com/spreadsheets/d/1GbCI"&amp;"E4D4wk9FUozzqk7SxfDMxDVBwVmI5zcaVUSzKAc/edit?usp=sharing"",""ประจวบคีรีขันธ์!M620"")+IMPORTRANGE(""https://docs.google.com/spreadsheets/d/1vVf6wykvW_lAyu7Yo9L4hUTqHqIeP_qcVuxCtosJEbg/edit?usp=sharing"",""ปราจีนบุรี!M620"")+IMPORTRANGE(""https://docs.googl"&amp;"e.com/spreadsheets/d/1BIDqLLg5jk3v59G8NlR8rk5xfQDKne0sAvZHSj7TI6I/edit?usp=sharing"",""พระนครศรีอยุธยา!M620"")+IMPORTRANGE(""https://docs.google.com/spreadsheets/d/1YXvxf8Yu6_rV4hTBrwMqAcAnv6DfhUxh5emyM3CJp_w/edit?usp=sharing"",""เพชรบุรี!M620"")+IMPORTRA"&amp;"NGE(""https://docs.google.com/spreadsheets/d/19KBlQQs7uwvsao6t2n-KvW3Ax8J8uRRfZPq1zPbXgKc/edit?usp=sharing"",""ระยอง!M620"")+IMPORTRANGE(""https://docs.google.com/spreadsheets/d/1jQ6P4QcrGM89YfqcC_PxOHGCMq5ezhucwJd8ci-NHng/edit?usp=sharing"",""ราชบุรี!M62"&amp;"0"")+IMPORTRANGE(""https://docs.google.com/spreadsheets/d/1lufeA2cfFqM-elVq2hznhDzC6Pr7wkJ9ZG_sYNGCMCU/edit?usp=sharing"",""ลพบุรี!M620"")+IMPORTRANGE(""https://docs.google.com/spreadsheets/d/10oOiF7loTyfsTkbd4MpaIm0HQ9SwB7IYHdIUvt-U1Uc/edit?usp=sharing"""&amp;",""สระแก้ว!M620"")+IMPORTRANGE(""https://docs.google.com/spreadsheets/d/1xmPlrr1QbdSIKvl1dWUl9K4PjAfSL9oeMr_37QVzcxc/edit?usp=sharing"",""สระบุรี!M620"")+IMPORTRANGE(""https://docs.google.com/spreadsheets/d/1j51vR6CYVGhABJpv6tkstgok82RLpXieLzW1yOY5rHw/edi"&amp;"t?usp=sharing"",""สิงห์บุรี!M620"")+IMPORTRANGE(""https://docs.google.com/spreadsheets/d/1H1EalTWKUSzO4Z1-1CwzoDUaVffgrThEBe2sl74kKG0/edit?usp=sharing"",""สุพรรณบุรี!M620"")+IMPORTRANGE(""https://docs.google.com/spreadsheets/d/1BmIruG_sIrJLYao_Pdr7zVArWsf"&amp;"oBt2692TMi6x_854/edit?usp=sharing"",""อ่างทอง!M620"")"),0)</f>
        <v>0</v>
      </c>
      <c r="N621" s="77">
        <f ca="1">IFERROR(__xludf.DUMMYFUNCTION("IMPORTRANGE(""https://docs.google.com/spreadsheets/d/13wPX838HrBrQMCywv1BsuMkt4PEKTChp52zj44s2izQ/edit?usp=sharing"",""กาญจนบุรี!N620"")+IMPORTRANGE(""https://docs.google.com/spreadsheets/d/1ddFKvqj1W1NEiWytbGlB1zMx_ykJDVtmfEQ-6-lIUBA/edit?usp=sharing"","&amp;"""จันทบุรี!N620"")+IMPORTRANGE(""https://docs.google.com/spreadsheets/d/1T1PQvRODqOBZk8BRht_U031fIS1beLA0Ub2CEytj2q0/edit?usp=sharing"",""ฉะเชิงเทรา!N620"")+IMPORTRANGE(""https://docs.google.com/spreadsheets/d/11tr1B-Bhyr79v2bkwVh5h_fR-PStkgjlZtkrZpYurG0/"&amp;"edit?usp=sharing"",""ชลบุรี!N620"")+IMPORTRANGE(""https://docs.google.com/spreadsheets/d/1hh-FVnSX0vozXhGluamEcS54Dw9_zqW0N7qJUWgJ0Sw/edit?usp=sharing"",""ชัยนาท!N620"")+IMPORTRANGE(""https://docs.google.com/spreadsheets/d/1jkqa6GXxSacMcY1eN8AHjMNJ_7dDXMJ"&amp;"VRLDlaFSOdPM/edit?usp=sharing"",""ตราด!N620"")+IMPORTRANGE(""https://docs.google.com/spreadsheets/d/18hSgUJ3VwClqi_qtULmmW3cLr0oe3OKaSYoKzdpTsYQ/edit?usp=sharing"",""นครนายก!N620"")+IMPORTRANGE(""https://docs.google.com/spreadsheets/d/1YTZo6WM2dQ6Ix6FSdnL"&amp;"5P7uVnVKu40sxZu975tgG10E/edit?usp=sharing"",""นครปฐม!N620"")+IMPORTRANGE(""https://docs.google.com/spreadsheets/d/1OYoGg4WDg5RIzwGeB10padOxJF9E_Vljuvvct_M7RDo/edit?usp=sharing"",""ปทุมธานี!N620"")+IMPORTRANGE(""https://docs.google.com/spreadsheets/d/1GbCI"&amp;"E4D4wk9FUozzqk7SxfDMxDVBwVmI5zcaVUSzKAc/edit?usp=sharing"",""ประจวบคีรีขันธ์!N620"")+IMPORTRANGE(""https://docs.google.com/spreadsheets/d/1vVf6wykvW_lAyu7Yo9L4hUTqHqIeP_qcVuxCtosJEbg/edit?usp=sharing"",""ปราจีนบุรี!N620"")+IMPORTRANGE(""https://docs.googl"&amp;"e.com/spreadsheets/d/1BIDqLLg5jk3v59G8NlR8rk5xfQDKne0sAvZHSj7TI6I/edit?usp=sharing"",""พระนครศรีอยุธยา!N620"")+IMPORTRANGE(""https://docs.google.com/spreadsheets/d/1YXvxf8Yu6_rV4hTBrwMqAcAnv6DfhUxh5emyM3CJp_w/edit?usp=sharing"",""เพชรบุรี!N620"")+IMPORTRA"&amp;"NGE(""https://docs.google.com/spreadsheets/d/19KBlQQs7uwvsao6t2n-KvW3Ax8J8uRRfZPq1zPbXgKc/edit?usp=sharing"",""ระยอง!N620"")+IMPORTRANGE(""https://docs.google.com/spreadsheets/d/1jQ6P4QcrGM89YfqcC_PxOHGCMq5ezhucwJd8ci-NHng/edit?usp=sharing"",""ราชบุรี!N62"&amp;"0"")+IMPORTRANGE(""https://docs.google.com/spreadsheets/d/1lufeA2cfFqM-elVq2hznhDzC6Pr7wkJ9ZG_sYNGCMCU/edit?usp=sharing"",""ลพบุรี!N620"")+IMPORTRANGE(""https://docs.google.com/spreadsheets/d/10oOiF7loTyfsTkbd4MpaIm0HQ9SwB7IYHdIUvt-U1Uc/edit?usp=sharing"""&amp;",""สระแก้ว!N620"")+IMPORTRANGE(""https://docs.google.com/spreadsheets/d/1xmPlrr1QbdSIKvl1dWUl9K4PjAfSL9oeMr_37QVzcxc/edit?usp=sharing"",""สระบุรี!N620"")+IMPORTRANGE(""https://docs.google.com/spreadsheets/d/1j51vR6CYVGhABJpv6tkstgok82RLpXieLzW1yOY5rHw/edi"&amp;"t?usp=sharing"",""สิงห์บุรี!N620"")+IMPORTRANGE(""https://docs.google.com/spreadsheets/d/1H1EalTWKUSzO4Z1-1CwzoDUaVffgrThEBe2sl74kKG0/edit?usp=sharing"",""สุพรรณบุรี!N620"")+IMPORTRANGE(""https://docs.google.com/spreadsheets/d/1BmIruG_sIrJLYao_Pdr7zVArWsf"&amp;"oBt2692TMi6x_854/edit?usp=sharing"",""อ่างทอง!N620"")"),0)</f>
        <v>0</v>
      </c>
      <c r="O621" s="77">
        <f t="shared" ca="1" si="430"/>
        <v>0</v>
      </c>
      <c r="P621" s="77">
        <f t="shared" ca="1" si="431"/>
        <v>0</v>
      </c>
      <c r="Q621" s="76">
        <f ca="1">IFERROR(__xludf.DUMMYFUNCTION("IMPORTRANGE(""https://docs.google.com/spreadsheets/d/13wPX838HrBrQMCywv1BsuMkt4PEKTChp52zj44s2izQ/edit?usp=sharing"",""กาญจนบุรี!Q620"")+IMPORTRANGE(""https://docs.google.com/spreadsheets/d/1ddFKvqj1W1NEiWytbGlB1zMx_ykJDVtmfEQ-6-lIUBA/edit?usp=sharing"","&amp;"""จันทบุรี!Q620"")+IMPORTRANGE(""https://docs.google.com/spreadsheets/d/1T1PQvRODqOBZk8BRht_U031fIS1beLA0Ub2CEytj2q0/edit?usp=sharing"",""ฉะเชิงเทรา!Q620"")+IMPORTRANGE(""https://docs.google.com/spreadsheets/d/11tr1B-Bhyr79v2bkwVh5h_fR-PStkgjlZtkrZpYurG0/"&amp;"edit?usp=sharing"",""ชลบุรี!Q620"")+IMPORTRANGE(""https://docs.google.com/spreadsheets/d/1hh-FVnSX0vozXhGluamEcS54Dw9_zqW0N7qJUWgJ0Sw/edit?usp=sharing"",""ชัยนาท!Q620"")+IMPORTRANGE(""https://docs.google.com/spreadsheets/d/1jkqa6GXxSacMcY1eN8AHjMNJ_7dDXMJ"&amp;"VRLDlaFSOdPM/edit?usp=sharing"",""ตราด!Q620"")+IMPORTRANGE(""https://docs.google.com/spreadsheets/d/18hSgUJ3VwClqi_qtULmmW3cLr0oe3OKaSYoKzdpTsYQ/edit?usp=sharing"",""นครนายก!Q620"")+IMPORTRANGE(""https://docs.google.com/spreadsheets/d/1YTZo6WM2dQ6Ix6FSdnL"&amp;"5P7uVnVKu40sxZu975tgG10E/edit?usp=sharing"",""นครปฐม!Q620"")+IMPORTRANGE(""https://docs.google.com/spreadsheets/d/1OYoGg4WDg5RIzwGeB10padOxJF9E_Vljuvvct_M7RDo/edit?usp=sharing"",""ปทุมธานี!Q620"")+IMPORTRANGE(""https://docs.google.com/spreadsheets/d/1GbCI"&amp;"E4D4wk9FUozzqk7SxfDMxDVBwVmI5zcaVUSzKAc/edit?usp=sharing"",""ประจวบคีรีขันธ์!Q620"")+IMPORTRANGE(""https://docs.google.com/spreadsheets/d/1vVf6wykvW_lAyu7Yo9L4hUTqHqIeP_qcVuxCtosJEbg/edit?usp=sharing"",""ปราจีนบุรี!Q620"")+IMPORTRANGE(""https://docs.googl"&amp;"e.com/spreadsheets/d/1BIDqLLg5jk3v59G8NlR8rk5xfQDKne0sAvZHSj7TI6I/edit?usp=sharing"",""พระนครศรีอยุธยา!Q620"")+IMPORTRANGE(""https://docs.google.com/spreadsheets/d/1YXvxf8Yu6_rV4hTBrwMqAcAnv6DfhUxh5emyM3CJp_w/edit?usp=sharing"",""เพชรบุรี!Q620"")+IMPORTRA"&amp;"NGE(""https://docs.google.com/spreadsheets/d/19KBlQQs7uwvsao6t2n-KvW3Ax8J8uRRfZPq1zPbXgKc/edit?usp=sharing"",""ระยอง!Q620"")+IMPORTRANGE(""https://docs.google.com/spreadsheets/d/1jQ6P4QcrGM89YfqcC_PxOHGCMq5ezhucwJd8ci-NHng/edit?usp=sharing"",""ราชบุรี!Q62"&amp;"0"")+IMPORTRANGE(""https://docs.google.com/spreadsheets/d/1lufeA2cfFqM-elVq2hznhDzC6Pr7wkJ9ZG_sYNGCMCU/edit?usp=sharing"",""ลพบุรี!Q620"")+IMPORTRANGE(""https://docs.google.com/spreadsheets/d/10oOiF7loTyfsTkbd4MpaIm0HQ9SwB7IYHdIUvt-U1Uc/edit?usp=sharing"""&amp;",""สระแก้ว!Q620"")+IMPORTRANGE(""https://docs.google.com/spreadsheets/d/1xmPlrr1QbdSIKvl1dWUl9K4PjAfSL9oeMr_37QVzcxc/edit?usp=sharing"",""สระบุรี!Q620"")+IMPORTRANGE(""https://docs.google.com/spreadsheets/d/1j51vR6CYVGhABJpv6tkstgok82RLpXieLzW1yOY5rHw/edi"&amp;"t?usp=sharing"",""สิงห์บุรี!Q620"")+IMPORTRANGE(""https://docs.google.com/spreadsheets/d/1H1EalTWKUSzO4Z1-1CwzoDUaVffgrThEBe2sl74kKG0/edit?usp=sharing"",""สุพรรณบุรี!Q620"")+IMPORTRANGE(""https://docs.google.com/spreadsheets/d/1BmIruG_sIrJLYao_Pdr7zVArWsf"&amp;"oBt2692TMi6x_854/edit?usp=sharing"",""อ่างทอง!Q620"")"),0)</f>
        <v>0</v>
      </c>
      <c r="R621" s="77">
        <f ca="1">IFERROR(__xludf.DUMMYFUNCTION("IMPORTRANGE(""https://docs.google.com/spreadsheets/d/13wPX838HrBrQMCywv1BsuMkt4PEKTChp52zj44s2izQ/edit?usp=sharing"",""กาญจนบุรี!R620"")+IMPORTRANGE(""https://docs.google.com/spreadsheets/d/1ddFKvqj1W1NEiWytbGlB1zMx_ykJDVtmfEQ-6-lIUBA/edit?usp=sharing"","&amp;"""จันทบุรี!R620"")+IMPORTRANGE(""https://docs.google.com/spreadsheets/d/1T1PQvRODqOBZk8BRht_U031fIS1beLA0Ub2CEytj2q0/edit?usp=sharing"",""ฉะเชิงเทรา!R620"")+IMPORTRANGE(""https://docs.google.com/spreadsheets/d/11tr1B-Bhyr79v2bkwVh5h_fR-PStkgjlZtkrZpYurG0/"&amp;"edit?usp=sharing"",""ชลบุรี!R620"")+IMPORTRANGE(""https://docs.google.com/spreadsheets/d/1hh-FVnSX0vozXhGluamEcS54Dw9_zqW0N7qJUWgJ0Sw/edit?usp=sharing"",""ชัยนาท!R620"")+IMPORTRANGE(""https://docs.google.com/spreadsheets/d/1jkqa6GXxSacMcY1eN8AHjMNJ_7dDXMJ"&amp;"VRLDlaFSOdPM/edit?usp=sharing"",""ตราด!R620"")+IMPORTRANGE(""https://docs.google.com/spreadsheets/d/18hSgUJ3VwClqi_qtULmmW3cLr0oe3OKaSYoKzdpTsYQ/edit?usp=sharing"",""นครนายก!R620"")+IMPORTRANGE(""https://docs.google.com/spreadsheets/d/1YTZo6WM2dQ6Ix6FSdnL"&amp;"5P7uVnVKu40sxZu975tgG10E/edit?usp=sharing"",""นครปฐม!R620"")+IMPORTRANGE(""https://docs.google.com/spreadsheets/d/1OYoGg4WDg5RIzwGeB10padOxJF9E_Vljuvvct_M7RDo/edit?usp=sharing"",""ปทุมธานี!R620"")+IMPORTRANGE(""https://docs.google.com/spreadsheets/d/1GbCI"&amp;"E4D4wk9FUozzqk7SxfDMxDVBwVmI5zcaVUSzKAc/edit?usp=sharing"",""ประจวบคีรีขันธ์!R620"")+IMPORTRANGE(""https://docs.google.com/spreadsheets/d/1vVf6wykvW_lAyu7Yo9L4hUTqHqIeP_qcVuxCtosJEbg/edit?usp=sharing"",""ปราจีนบุรี!R620"")+IMPORTRANGE(""https://docs.googl"&amp;"e.com/spreadsheets/d/1BIDqLLg5jk3v59G8NlR8rk5xfQDKne0sAvZHSj7TI6I/edit?usp=sharing"",""พระนครศรีอยุธยา!R620"")+IMPORTRANGE(""https://docs.google.com/spreadsheets/d/1YXvxf8Yu6_rV4hTBrwMqAcAnv6DfhUxh5emyM3CJp_w/edit?usp=sharing"",""เพชรบุรี!R620"")+IMPORTRA"&amp;"NGE(""https://docs.google.com/spreadsheets/d/19KBlQQs7uwvsao6t2n-KvW3Ax8J8uRRfZPq1zPbXgKc/edit?usp=sharing"",""ระยอง!R620"")+IMPORTRANGE(""https://docs.google.com/spreadsheets/d/1jQ6P4QcrGM89YfqcC_PxOHGCMq5ezhucwJd8ci-NHng/edit?usp=sharing"",""ราชบุรี!R62"&amp;"0"")+IMPORTRANGE(""https://docs.google.com/spreadsheets/d/1lufeA2cfFqM-elVq2hznhDzC6Pr7wkJ9ZG_sYNGCMCU/edit?usp=sharing"",""ลพบุรี!R620"")+IMPORTRANGE(""https://docs.google.com/spreadsheets/d/10oOiF7loTyfsTkbd4MpaIm0HQ9SwB7IYHdIUvt-U1Uc/edit?usp=sharing"""&amp;",""สระแก้ว!R620"")+IMPORTRANGE(""https://docs.google.com/spreadsheets/d/1xmPlrr1QbdSIKvl1dWUl9K4PjAfSL9oeMr_37QVzcxc/edit?usp=sharing"",""สระบุรี!R620"")+IMPORTRANGE(""https://docs.google.com/spreadsheets/d/1j51vR6CYVGhABJpv6tkstgok82RLpXieLzW1yOY5rHw/edi"&amp;"t?usp=sharing"",""สิงห์บุรี!R620"")+IMPORTRANGE(""https://docs.google.com/spreadsheets/d/1H1EalTWKUSzO4Z1-1CwzoDUaVffgrThEBe2sl74kKG0/edit?usp=sharing"",""สุพรรณบุรี!R620"")+IMPORTRANGE(""https://docs.google.com/spreadsheets/d/1BmIruG_sIrJLYao_Pdr7zVArWsf"&amp;"oBt2692TMi6x_854/edit?usp=sharing"",""อ่างทอง!R620"")"),0)</f>
        <v>0</v>
      </c>
      <c r="S621" s="77">
        <f ca="1">IFERROR(__xludf.DUMMYFUNCTION("IMPORTRANGE(""https://docs.google.com/spreadsheets/d/13wPX838HrBrQMCywv1BsuMkt4PEKTChp52zj44s2izQ/edit?usp=sharing"",""กาญจนบุรี!S620"")+IMPORTRANGE(""https://docs.google.com/spreadsheets/d/1ddFKvqj1W1NEiWytbGlB1zMx_ykJDVtmfEQ-6-lIUBA/edit?usp=sharing"","&amp;"""จันทบุรี!S620"")+IMPORTRANGE(""https://docs.google.com/spreadsheets/d/1T1PQvRODqOBZk8BRht_U031fIS1beLA0Ub2CEytj2q0/edit?usp=sharing"",""ฉะเชิงเทรา!S620"")+IMPORTRANGE(""https://docs.google.com/spreadsheets/d/11tr1B-Bhyr79v2bkwVh5h_fR-PStkgjlZtkrZpYurG0/"&amp;"edit?usp=sharing"",""ชลบุรี!S620"")+IMPORTRANGE(""https://docs.google.com/spreadsheets/d/1hh-FVnSX0vozXhGluamEcS54Dw9_zqW0N7qJUWgJ0Sw/edit?usp=sharing"",""ชัยนาท!S620"")+IMPORTRANGE(""https://docs.google.com/spreadsheets/d/1jkqa6GXxSacMcY1eN8AHjMNJ_7dDXMJ"&amp;"VRLDlaFSOdPM/edit?usp=sharing"",""ตราด!S620"")+IMPORTRANGE(""https://docs.google.com/spreadsheets/d/18hSgUJ3VwClqi_qtULmmW3cLr0oe3OKaSYoKzdpTsYQ/edit?usp=sharing"",""นครนายก!S620"")+IMPORTRANGE(""https://docs.google.com/spreadsheets/d/1YTZo6WM2dQ6Ix6FSdnL"&amp;"5P7uVnVKu40sxZu975tgG10E/edit?usp=sharing"",""นครปฐม!S620"")+IMPORTRANGE(""https://docs.google.com/spreadsheets/d/1OYoGg4WDg5RIzwGeB10padOxJF9E_Vljuvvct_M7RDo/edit?usp=sharing"",""ปทุมธานี!S620"")+IMPORTRANGE(""https://docs.google.com/spreadsheets/d/1GbCI"&amp;"E4D4wk9FUozzqk7SxfDMxDVBwVmI5zcaVUSzKAc/edit?usp=sharing"",""ประจวบคีรีขันธ์!S620"")+IMPORTRANGE(""https://docs.google.com/spreadsheets/d/1vVf6wykvW_lAyu7Yo9L4hUTqHqIeP_qcVuxCtosJEbg/edit?usp=sharing"",""ปราจีนบุรี!S620"")+IMPORTRANGE(""https://docs.googl"&amp;"e.com/spreadsheets/d/1BIDqLLg5jk3v59G8NlR8rk5xfQDKne0sAvZHSj7TI6I/edit?usp=sharing"",""พระนครศรีอยุธยา!S620"")+IMPORTRANGE(""https://docs.google.com/spreadsheets/d/1YXvxf8Yu6_rV4hTBrwMqAcAnv6DfhUxh5emyM3CJp_w/edit?usp=sharing"",""เพชรบุรี!S620"")+IMPORTRA"&amp;"NGE(""https://docs.google.com/spreadsheets/d/19KBlQQs7uwvsao6t2n-KvW3Ax8J8uRRfZPq1zPbXgKc/edit?usp=sharing"",""ระยอง!S620"")+IMPORTRANGE(""https://docs.google.com/spreadsheets/d/1jQ6P4QcrGM89YfqcC_PxOHGCMq5ezhucwJd8ci-NHng/edit?usp=sharing"",""ราชบุรี!S62"&amp;"0"")+IMPORTRANGE(""https://docs.google.com/spreadsheets/d/1lufeA2cfFqM-elVq2hznhDzC6Pr7wkJ9ZG_sYNGCMCU/edit?usp=sharing"",""ลพบุรี!S620"")+IMPORTRANGE(""https://docs.google.com/spreadsheets/d/10oOiF7loTyfsTkbd4MpaIm0HQ9SwB7IYHdIUvt-U1Uc/edit?usp=sharing"""&amp;",""สระแก้ว!S620"")+IMPORTRANGE(""https://docs.google.com/spreadsheets/d/1xmPlrr1QbdSIKvl1dWUl9K4PjAfSL9oeMr_37QVzcxc/edit?usp=sharing"",""สระบุรี!S620"")+IMPORTRANGE(""https://docs.google.com/spreadsheets/d/1j51vR6CYVGhABJpv6tkstgok82RLpXieLzW1yOY5rHw/edi"&amp;"t?usp=sharing"",""สิงห์บุรี!S620"")+IMPORTRANGE(""https://docs.google.com/spreadsheets/d/1H1EalTWKUSzO4Z1-1CwzoDUaVffgrThEBe2sl74kKG0/edit?usp=sharing"",""สุพรรณบุรี!S620"")+IMPORTRANGE(""https://docs.google.com/spreadsheets/d/1BmIruG_sIrJLYao_Pdr7zVArWsf"&amp;"oBt2692TMi6x_854/edit?usp=sharing"",""อ่างทอง!S620"")"),0)</f>
        <v>0</v>
      </c>
      <c r="T621" s="133">
        <f t="shared" ca="1" si="433"/>
        <v>0</v>
      </c>
      <c r="U621" s="133">
        <f t="shared" ca="1" si="434"/>
        <v>0</v>
      </c>
    </row>
    <row r="622" spans="1:21" ht="18.75" x14ac:dyDescent="0.25">
      <c r="A622" s="257"/>
      <c r="B622" s="269"/>
      <c r="C622" s="269"/>
      <c r="D622" s="290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4">
        <f ca="1">IFERROR(__xludf.DUMMYFUNCTION("IMPORTRANGE(""https://docs.google.com/spreadsheets/d/13wPX838HrBrQMCywv1BsuMkt4PEKTChp52zj44s2izQ/edit?usp=sharing"",""กาญจนบุรี!L621"")+IMPORTRANGE(""https://docs.google.com/spreadsheets/d/1ddFKvqj1W1NEiWytbGlB1zMx_ykJDVtmfEQ-6-lIUBA/edit?usp=sharing"","&amp;"""จันทบุรี!L621"")+IMPORTRANGE(""https://docs.google.com/spreadsheets/d/1T1PQvRODqOBZk8BRht_U031fIS1beLA0Ub2CEytj2q0/edit?usp=sharing"",""ฉะเชิงเทรา!L621"")+IMPORTRANGE(""https://docs.google.com/spreadsheets/d/11tr1B-Bhyr79v2bkwVh5h_fR-PStkgjlZtkrZpYurG0/"&amp;"edit?usp=sharing"",""ชลบุรี!L621"")+IMPORTRANGE(""https://docs.google.com/spreadsheets/d/1hh-FVnSX0vozXhGluamEcS54Dw9_zqW0N7qJUWgJ0Sw/edit?usp=sharing"",""ชัยนาท!L621"")+IMPORTRANGE(""https://docs.google.com/spreadsheets/d/1jkqa6GXxSacMcY1eN8AHjMNJ_7dDXMJ"&amp;"VRLDlaFSOdPM/edit?usp=sharing"",""ตราด!L621"")+IMPORTRANGE(""https://docs.google.com/spreadsheets/d/18hSgUJ3VwClqi_qtULmmW3cLr0oe3OKaSYoKzdpTsYQ/edit?usp=sharing"",""นครนายก!L621"")+IMPORTRANGE(""https://docs.google.com/spreadsheets/d/1YTZo6WM2dQ6Ix6FSdnL"&amp;"5P7uVnVKu40sxZu975tgG10E/edit?usp=sharing"",""นครปฐม!L621"")+IMPORTRANGE(""https://docs.google.com/spreadsheets/d/1OYoGg4WDg5RIzwGeB10padOxJF9E_Vljuvvct_M7RDo/edit?usp=sharing"",""ปทุมธานี!L621"")+IMPORTRANGE(""https://docs.google.com/spreadsheets/d/1GbCI"&amp;"E4D4wk9FUozzqk7SxfDMxDVBwVmI5zcaVUSzKAc/edit?usp=sharing"",""ประจวบคีรีขันธ์!L621"")+IMPORTRANGE(""https://docs.google.com/spreadsheets/d/1vVf6wykvW_lAyu7Yo9L4hUTqHqIeP_qcVuxCtosJEbg/edit?usp=sharing"",""ปราจีนบุรี!L621"")+IMPORTRANGE(""https://docs.googl"&amp;"e.com/spreadsheets/d/1BIDqLLg5jk3v59G8NlR8rk5xfQDKne0sAvZHSj7TI6I/edit?usp=sharing"",""พระนครศรีอยุธยา!L621"")+IMPORTRANGE(""https://docs.google.com/spreadsheets/d/1YXvxf8Yu6_rV4hTBrwMqAcAnv6DfhUxh5emyM3CJp_w/edit?usp=sharing"",""เพชรบุรี!L621"")+IMPORTRA"&amp;"NGE(""https://docs.google.com/spreadsheets/d/19KBlQQs7uwvsao6t2n-KvW3Ax8J8uRRfZPq1zPbXgKc/edit?usp=sharing"",""ระยอง!L621"")+IMPORTRANGE(""https://docs.google.com/spreadsheets/d/1jQ6P4QcrGM89YfqcC_PxOHGCMq5ezhucwJd8ci-NHng/edit?usp=sharing"",""ราชบุรี!L62"&amp;"1"")+IMPORTRANGE(""https://docs.google.com/spreadsheets/d/1lufeA2cfFqM-elVq2hznhDzC6Pr7wkJ9ZG_sYNGCMCU/edit?usp=sharing"",""ลพบุรี!L621"")+IMPORTRANGE(""https://docs.google.com/spreadsheets/d/10oOiF7loTyfsTkbd4MpaIm0HQ9SwB7IYHdIUvt-U1Uc/edit?usp=sharing"""&amp;",""สระแก้ว!L621"")+IMPORTRANGE(""https://docs.google.com/spreadsheets/d/1xmPlrr1QbdSIKvl1dWUl9K4PjAfSL9oeMr_37QVzcxc/edit?usp=sharing"",""สระบุรี!L621"")+IMPORTRANGE(""https://docs.google.com/spreadsheets/d/1j51vR6CYVGhABJpv6tkstgok82RLpXieLzW1yOY5rHw/edi"&amp;"t?usp=sharing"",""สิงห์บุรี!L621"")+IMPORTRANGE(""https://docs.google.com/spreadsheets/d/1H1EalTWKUSzO4Z1-1CwzoDUaVffgrThEBe2sl74kKG0/edit?usp=sharing"",""สุพรรณบุรี!L621"")+IMPORTRANGE(""https://docs.google.com/spreadsheets/d/1BmIruG_sIrJLYao_Pdr7zVArWsf"&amp;"oBt2692TMi6x_854/edit?usp=sharing"",""อ่างทอง!L621"")"),0)</f>
        <v>0</v>
      </c>
      <c r="M622" s="74">
        <f ca="1">IFERROR(__xludf.DUMMYFUNCTION("IMPORTRANGE(""https://docs.google.com/spreadsheets/d/13wPX838HrBrQMCywv1BsuMkt4PEKTChp52zj44s2izQ/edit?usp=sharing"",""กาญจนบุรี!M621"")+IMPORTRANGE(""https://docs.google.com/spreadsheets/d/1ddFKvqj1W1NEiWytbGlB1zMx_ykJDVtmfEQ-6-lIUBA/edit?usp=sharing"","&amp;"""จันทบุรี!M621"")+IMPORTRANGE(""https://docs.google.com/spreadsheets/d/1T1PQvRODqOBZk8BRht_U031fIS1beLA0Ub2CEytj2q0/edit?usp=sharing"",""ฉะเชิงเทรา!M621"")+IMPORTRANGE(""https://docs.google.com/spreadsheets/d/11tr1B-Bhyr79v2bkwVh5h_fR-PStkgjlZtkrZpYurG0/"&amp;"edit?usp=sharing"",""ชลบุรี!M621"")+IMPORTRANGE(""https://docs.google.com/spreadsheets/d/1hh-FVnSX0vozXhGluamEcS54Dw9_zqW0N7qJUWgJ0Sw/edit?usp=sharing"",""ชัยนาท!M621"")+IMPORTRANGE(""https://docs.google.com/spreadsheets/d/1jkqa6GXxSacMcY1eN8AHjMNJ_7dDXMJ"&amp;"VRLDlaFSOdPM/edit?usp=sharing"",""ตราด!M621"")+IMPORTRANGE(""https://docs.google.com/spreadsheets/d/18hSgUJ3VwClqi_qtULmmW3cLr0oe3OKaSYoKzdpTsYQ/edit?usp=sharing"",""นครนายก!M621"")+IMPORTRANGE(""https://docs.google.com/spreadsheets/d/1YTZo6WM2dQ6Ix6FSdnL"&amp;"5P7uVnVKu40sxZu975tgG10E/edit?usp=sharing"",""นครปฐม!M621"")+IMPORTRANGE(""https://docs.google.com/spreadsheets/d/1OYoGg4WDg5RIzwGeB10padOxJF9E_Vljuvvct_M7RDo/edit?usp=sharing"",""ปทุมธานี!M621"")+IMPORTRANGE(""https://docs.google.com/spreadsheets/d/1GbCI"&amp;"E4D4wk9FUozzqk7SxfDMxDVBwVmI5zcaVUSzKAc/edit?usp=sharing"",""ประจวบคีรีขันธ์!M621"")+IMPORTRANGE(""https://docs.google.com/spreadsheets/d/1vVf6wykvW_lAyu7Yo9L4hUTqHqIeP_qcVuxCtosJEbg/edit?usp=sharing"",""ปราจีนบุรี!M621"")+IMPORTRANGE(""https://docs.googl"&amp;"e.com/spreadsheets/d/1BIDqLLg5jk3v59G8NlR8rk5xfQDKne0sAvZHSj7TI6I/edit?usp=sharing"",""พระนครศรีอยุธยา!M621"")+IMPORTRANGE(""https://docs.google.com/spreadsheets/d/1YXvxf8Yu6_rV4hTBrwMqAcAnv6DfhUxh5emyM3CJp_w/edit?usp=sharing"",""เพชรบุรี!M621"")+IMPORTRA"&amp;"NGE(""https://docs.google.com/spreadsheets/d/19KBlQQs7uwvsao6t2n-KvW3Ax8J8uRRfZPq1zPbXgKc/edit?usp=sharing"",""ระยอง!M621"")+IMPORTRANGE(""https://docs.google.com/spreadsheets/d/1jQ6P4QcrGM89YfqcC_PxOHGCMq5ezhucwJd8ci-NHng/edit?usp=sharing"",""ราชบุรี!M62"&amp;"1"")+IMPORTRANGE(""https://docs.google.com/spreadsheets/d/1lufeA2cfFqM-elVq2hznhDzC6Pr7wkJ9ZG_sYNGCMCU/edit?usp=sharing"",""ลพบุรี!M621"")+IMPORTRANGE(""https://docs.google.com/spreadsheets/d/10oOiF7loTyfsTkbd4MpaIm0HQ9SwB7IYHdIUvt-U1Uc/edit?usp=sharing"""&amp;",""สระแก้ว!M621"")+IMPORTRANGE(""https://docs.google.com/spreadsheets/d/1xmPlrr1QbdSIKvl1dWUl9K4PjAfSL9oeMr_37QVzcxc/edit?usp=sharing"",""สระบุรี!M621"")+IMPORTRANGE(""https://docs.google.com/spreadsheets/d/1j51vR6CYVGhABJpv6tkstgok82RLpXieLzW1yOY5rHw/edi"&amp;"t?usp=sharing"",""สิงห์บุรี!M621"")+IMPORTRANGE(""https://docs.google.com/spreadsheets/d/1H1EalTWKUSzO4Z1-1CwzoDUaVffgrThEBe2sl74kKG0/edit?usp=sharing"",""สุพรรณบุรี!M621"")+IMPORTRANGE(""https://docs.google.com/spreadsheets/d/1BmIruG_sIrJLYao_Pdr7zVArWsf"&amp;"oBt2692TMi6x_854/edit?usp=sharing"",""อ่างทอง!M621"")"),0)</f>
        <v>0</v>
      </c>
      <c r="N622" s="74">
        <f ca="1">IFERROR(__xludf.DUMMYFUNCTION("IMPORTRANGE(""https://docs.google.com/spreadsheets/d/13wPX838HrBrQMCywv1BsuMkt4PEKTChp52zj44s2izQ/edit?usp=sharing"",""กาญจนบุรี!N621"")+IMPORTRANGE(""https://docs.google.com/spreadsheets/d/1ddFKvqj1W1NEiWytbGlB1zMx_ykJDVtmfEQ-6-lIUBA/edit?usp=sharing"","&amp;"""จันทบุรี!N621"")+IMPORTRANGE(""https://docs.google.com/spreadsheets/d/1T1PQvRODqOBZk8BRht_U031fIS1beLA0Ub2CEytj2q0/edit?usp=sharing"",""ฉะเชิงเทรา!N621"")+IMPORTRANGE(""https://docs.google.com/spreadsheets/d/11tr1B-Bhyr79v2bkwVh5h_fR-PStkgjlZtkrZpYurG0/"&amp;"edit?usp=sharing"",""ชลบุรี!N621"")+IMPORTRANGE(""https://docs.google.com/spreadsheets/d/1hh-FVnSX0vozXhGluamEcS54Dw9_zqW0N7qJUWgJ0Sw/edit?usp=sharing"",""ชัยนาท!N621"")+IMPORTRANGE(""https://docs.google.com/spreadsheets/d/1jkqa6GXxSacMcY1eN8AHjMNJ_7dDXMJ"&amp;"VRLDlaFSOdPM/edit?usp=sharing"",""ตราด!N621"")+IMPORTRANGE(""https://docs.google.com/spreadsheets/d/18hSgUJ3VwClqi_qtULmmW3cLr0oe3OKaSYoKzdpTsYQ/edit?usp=sharing"",""นครนายก!N621"")+IMPORTRANGE(""https://docs.google.com/spreadsheets/d/1YTZo6WM2dQ6Ix6FSdnL"&amp;"5P7uVnVKu40sxZu975tgG10E/edit?usp=sharing"",""นครปฐม!N621"")+IMPORTRANGE(""https://docs.google.com/spreadsheets/d/1OYoGg4WDg5RIzwGeB10padOxJF9E_Vljuvvct_M7RDo/edit?usp=sharing"",""ปทุมธานี!N621"")+IMPORTRANGE(""https://docs.google.com/spreadsheets/d/1GbCI"&amp;"E4D4wk9FUozzqk7SxfDMxDVBwVmI5zcaVUSzKAc/edit?usp=sharing"",""ประจวบคีรีขันธ์!N621"")+IMPORTRANGE(""https://docs.google.com/spreadsheets/d/1vVf6wykvW_lAyu7Yo9L4hUTqHqIeP_qcVuxCtosJEbg/edit?usp=sharing"",""ปราจีนบุรี!N621"")+IMPORTRANGE(""https://docs.googl"&amp;"e.com/spreadsheets/d/1BIDqLLg5jk3v59G8NlR8rk5xfQDKne0sAvZHSj7TI6I/edit?usp=sharing"",""พระนครศรีอยุธยา!N621"")+IMPORTRANGE(""https://docs.google.com/spreadsheets/d/1YXvxf8Yu6_rV4hTBrwMqAcAnv6DfhUxh5emyM3CJp_w/edit?usp=sharing"",""เพชรบุรี!N621"")+IMPORTRA"&amp;"NGE(""https://docs.google.com/spreadsheets/d/19KBlQQs7uwvsao6t2n-KvW3Ax8J8uRRfZPq1zPbXgKc/edit?usp=sharing"",""ระยอง!N621"")+IMPORTRANGE(""https://docs.google.com/spreadsheets/d/1jQ6P4QcrGM89YfqcC_PxOHGCMq5ezhucwJd8ci-NHng/edit?usp=sharing"",""ราชบุรี!N62"&amp;"1"")+IMPORTRANGE(""https://docs.google.com/spreadsheets/d/1lufeA2cfFqM-elVq2hznhDzC6Pr7wkJ9ZG_sYNGCMCU/edit?usp=sharing"",""ลพบุรี!N621"")+IMPORTRANGE(""https://docs.google.com/spreadsheets/d/10oOiF7loTyfsTkbd4MpaIm0HQ9SwB7IYHdIUvt-U1Uc/edit?usp=sharing"""&amp;",""สระแก้ว!N621"")+IMPORTRANGE(""https://docs.google.com/spreadsheets/d/1xmPlrr1QbdSIKvl1dWUl9K4PjAfSL9oeMr_37QVzcxc/edit?usp=sharing"",""สระบุรี!N621"")+IMPORTRANGE(""https://docs.google.com/spreadsheets/d/1j51vR6CYVGhABJpv6tkstgok82RLpXieLzW1yOY5rHw/edi"&amp;"t?usp=sharing"",""สิงห์บุรี!N621"")+IMPORTRANGE(""https://docs.google.com/spreadsheets/d/1H1EalTWKUSzO4Z1-1CwzoDUaVffgrThEBe2sl74kKG0/edit?usp=sharing"",""สุพรรณบุรี!N621"")+IMPORTRANGE(""https://docs.google.com/spreadsheets/d/1BmIruG_sIrJLYao_Pdr7zVArWsf"&amp;"oBt2692TMi6x_854/edit?usp=sharing"",""อ่างทอง!N621"")"),0)</f>
        <v>0</v>
      </c>
      <c r="O622" s="74">
        <f t="shared" ca="1" si="430"/>
        <v>0</v>
      </c>
      <c r="P622" s="74">
        <f t="shared" ca="1" si="431"/>
        <v>0</v>
      </c>
      <c r="Q622" s="131">
        <f ca="1">IFERROR(__xludf.DUMMYFUNCTION("IMPORTRANGE(""https://docs.google.com/spreadsheets/d/13wPX838HrBrQMCywv1BsuMkt4PEKTChp52zj44s2izQ/edit?usp=sharing"",""กาญจนบุรี!Q621"")+IMPORTRANGE(""https://docs.google.com/spreadsheets/d/1ddFKvqj1W1NEiWytbGlB1zMx_ykJDVtmfEQ-6-lIUBA/edit?usp=sharing"","&amp;"""จันทบุรี!Q621"")+IMPORTRANGE(""https://docs.google.com/spreadsheets/d/1T1PQvRODqOBZk8BRht_U031fIS1beLA0Ub2CEytj2q0/edit?usp=sharing"",""ฉะเชิงเทรา!Q621"")+IMPORTRANGE(""https://docs.google.com/spreadsheets/d/11tr1B-Bhyr79v2bkwVh5h_fR-PStkgjlZtkrZpYurG0/"&amp;"edit?usp=sharing"",""ชลบุรี!Q621"")+IMPORTRANGE(""https://docs.google.com/spreadsheets/d/1hh-FVnSX0vozXhGluamEcS54Dw9_zqW0N7qJUWgJ0Sw/edit?usp=sharing"",""ชัยนาท!Q621"")+IMPORTRANGE(""https://docs.google.com/spreadsheets/d/1jkqa6GXxSacMcY1eN8AHjMNJ_7dDXMJ"&amp;"VRLDlaFSOdPM/edit?usp=sharing"",""ตราด!Q621"")+IMPORTRANGE(""https://docs.google.com/spreadsheets/d/18hSgUJ3VwClqi_qtULmmW3cLr0oe3OKaSYoKzdpTsYQ/edit?usp=sharing"",""นครนายก!Q621"")+IMPORTRANGE(""https://docs.google.com/spreadsheets/d/1YTZo6WM2dQ6Ix6FSdnL"&amp;"5P7uVnVKu40sxZu975tgG10E/edit?usp=sharing"",""นครปฐม!Q621"")+IMPORTRANGE(""https://docs.google.com/spreadsheets/d/1OYoGg4WDg5RIzwGeB10padOxJF9E_Vljuvvct_M7RDo/edit?usp=sharing"",""ปทุมธานี!Q621"")+IMPORTRANGE(""https://docs.google.com/spreadsheets/d/1GbCI"&amp;"E4D4wk9FUozzqk7SxfDMxDVBwVmI5zcaVUSzKAc/edit?usp=sharing"",""ประจวบคีรีขันธ์!Q621"")+IMPORTRANGE(""https://docs.google.com/spreadsheets/d/1vVf6wykvW_lAyu7Yo9L4hUTqHqIeP_qcVuxCtosJEbg/edit?usp=sharing"",""ปราจีนบุรี!Q621"")+IMPORTRANGE(""https://docs.googl"&amp;"e.com/spreadsheets/d/1BIDqLLg5jk3v59G8NlR8rk5xfQDKne0sAvZHSj7TI6I/edit?usp=sharing"",""พระนครศรีอยุธยา!Q621"")+IMPORTRANGE(""https://docs.google.com/spreadsheets/d/1YXvxf8Yu6_rV4hTBrwMqAcAnv6DfhUxh5emyM3CJp_w/edit?usp=sharing"",""เพชรบุรี!Q621"")+IMPORTRA"&amp;"NGE(""https://docs.google.com/spreadsheets/d/19KBlQQs7uwvsao6t2n-KvW3Ax8J8uRRfZPq1zPbXgKc/edit?usp=sharing"",""ระยอง!Q621"")+IMPORTRANGE(""https://docs.google.com/spreadsheets/d/1jQ6P4QcrGM89YfqcC_PxOHGCMq5ezhucwJd8ci-NHng/edit?usp=sharing"",""ราชบุรี!Q62"&amp;"1"")+IMPORTRANGE(""https://docs.google.com/spreadsheets/d/1lufeA2cfFqM-elVq2hznhDzC6Pr7wkJ9ZG_sYNGCMCU/edit?usp=sharing"",""ลพบุรี!Q621"")+IMPORTRANGE(""https://docs.google.com/spreadsheets/d/10oOiF7loTyfsTkbd4MpaIm0HQ9SwB7IYHdIUvt-U1Uc/edit?usp=sharing"""&amp;",""สระแก้ว!Q621"")+IMPORTRANGE(""https://docs.google.com/spreadsheets/d/1xmPlrr1QbdSIKvl1dWUl9K4PjAfSL9oeMr_37QVzcxc/edit?usp=sharing"",""สระบุรี!Q621"")+IMPORTRANGE(""https://docs.google.com/spreadsheets/d/1j51vR6CYVGhABJpv6tkstgok82RLpXieLzW1yOY5rHw/edi"&amp;"t?usp=sharing"",""สิงห์บุรี!Q621"")+IMPORTRANGE(""https://docs.google.com/spreadsheets/d/1H1EalTWKUSzO4Z1-1CwzoDUaVffgrThEBe2sl74kKG0/edit?usp=sharing"",""สุพรรณบุรี!Q621"")+IMPORTRANGE(""https://docs.google.com/spreadsheets/d/1BmIruG_sIrJLYao_Pdr7zVArWsf"&amp;"oBt2692TMi6x_854/edit?usp=sharing"",""อ่างทอง!Q621"")"),143975)</f>
        <v>143975</v>
      </c>
      <c r="R622" s="132">
        <f ca="1">IFERROR(__xludf.DUMMYFUNCTION("IMPORTRANGE(""https://docs.google.com/spreadsheets/d/13wPX838HrBrQMCywv1BsuMkt4PEKTChp52zj44s2izQ/edit?usp=sharing"",""กาญจนบุรี!R621"")+IMPORTRANGE(""https://docs.google.com/spreadsheets/d/1ddFKvqj1W1NEiWytbGlB1zMx_ykJDVtmfEQ-6-lIUBA/edit?usp=sharing"","&amp;"""จันทบุรี!R621"")+IMPORTRANGE(""https://docs.google.com/spreadsheets/d/1T1PQvRODqOBZk8BRht_U031fIS1beLA0Ub2CEytj2q0/edit?usp=sharing"",""ฉะเชิงเทรา!R621"")+IMPORTRANGE(""https://docs.google.com/spreadsheets/d/11tr1B-Bhyr79v2bkwVh5h_fR-PStkgjlZtkrZpYurG0/"&amp;"edit?usp=sharing"",""ชลบุรี!R621"")+IMPORTRANGE(""https://docs.google.com/spreadsheets/d/1hh-FVnSX0vozXhGluamEcS54Dw9_zqW0N7qJUWgJ0Sw/edit?usp=sharing"",""ชัยนาท!R621"")+IMPORTRANGE(""https://docs.google.com/spreadsheets/d/1jkqa6GXxSacMcY1eN8AHjMNJ_7dDXMJ"&amp;"VRLDlaFSOdPM/edit?usp=sharing"",""ตราด!R621"")+IMPORTRANGE(""https://docs.google.com/spreadsheets/d/18hSgUJ3VwClqi_qtULmmW3cLr0oe3OKaSYoKzdpTsYQ/edit?usp=sharing"",""นครนายก!R621"")+IMPORTRANGE(""https://docs.google.com/spreadsheets/d/1YTZo6WM2dQ6Ix6FSdnL"&amp;"5P7uVnVKu40sxZu975tgG10E/edit?usp=sharing"",""นครปฐม!R621"")+IMPORTRANGE(""https://docs.google.com/spreadsheets/d/1OYoGg4WDg5RIzwGeB10padOxJF9E_Vljuvvct_M7RDo/edit?usp=sharing"",""ปทุมธานี!R621"")+IMPORTRANGE(""https://docs.google.com/spreadsheets/d/1GbCI"&amp;"E4D4wk9FUozzqk7SxfDMxDVBwVmI5zcaVUSzKAc/edit?usp=sharing"",""ประจวบคีรีขันธ์!R621"")+IMPORTRANGE(""https://docs.google.com/spreadsheets/d/1vVf6wykvW_lAyu7Yo9L4hUTqHqIeP_qcVuxCtosJEbg/edit?usp=sharing"",""ปราจีนบุรี!R621"")+IMPORTRANGE(""https://docs.googl"&amp;"e.com/spreadsheets/d/1BIDqLLg5jk3v59G8NlR8rk5xfQDKne0sAvZHSj7TI6I/edit?usp=sharing"",""พระนครศรีอยุธยา!R621"")+IMPORTRANGE(""https://docs.google.com/spreadsheets/d/1YXvxf8Yu6_rV4hTBrwMqAcAnv6DfhUxh5emyM3CJp_w/edit?usp=sharing"",""เพชรบุรี!R621"")+IMPORTRA"&amp;"NGE(""https://docs.google.com/spreadsheets/d/19KBlQQs7uwvsao6t2n-KvW3Ax8J8uRRfZPq1zPbXgKc/edit?usp=sharing"",""ระยอง!R621"")+IMPORTRANGE(""https://docs.google.com/spreadsheets/d/1jQ6P4QcrGM89YfqcC_PxOHGCMq5ezhucwJd8ci-NHng/edit?usp=sharing"",""ราชบุรี!R62"&amp;"1"")+IMPORTRANGE(""https://docs.google.com/spreadsheets/d/1lufeA2cfFqM-elVq2hznhDzC6Pr7wkJ9ZG_sYNGCMCU/edit?usp=sharing"",""ลพบุรี!R621"")+IMPORTRANGE(""https://docs.google.com/spreadsheets/d/10oOiF7loTyfsTkbd4MpaIm0HQ9SwB7IYHdIUvt-U1Uc/edit?usp=sharing"""&amp;",""สระแก้ว!R621"")+IMPORTRANGE(""https://docs.google.com/spreadsheets/d/1xmPlrr1QbdSIKvl1dWUl9K4PjAfSL9oeMr_37QVzcxc/edit?usp=sharing"",""สระบุรี!R621"")+IMPORTRANGE(""https://docs.google.com/spreadsheets/d/1j51vR6CYVGhABJpv6tkstgok82RLpXieLzW1yOY5rHw/edi"&amp;"t?usp=sharing"",""สิงห์บุรี!R621"")+IMPORTRANGE(""https://docs.google.com/spreadsheets/d/1H1EalTWKUSzO4Z1-1CwzoDUaVffgrThEBe2sl74kKG0/edit?usp=sharing"",""สุพรรณบุรี!R621"")+IMPORTRANGE(""https://docs.google.com/spreadsheets/d/1BmIruG_sIrJLYao_Pdr7zVArWsf"&amp;"oBt2692TMi6x_854/edit?usp=sharing"",""อ่างทอง!R621"")"),143975)</f>
        <v>143975</v>
      </c>
      <c r="S622" s="132">
        <f ca="1">IFERROR(__xludf.DUMMYFUNCTION("IMPORTRANGE(""https://docs.google.com/spreadsheets/d/13wPX838HrBrQMCywv1BsuMkt4PEKTChp52zj44s2izQ/edit?usp=sharing"",""กาญจนบุรี!S621"")+IMPORTRANGE(""https://docs.google.com/spreadsheets/d/1ddFKvqj1W1NEiWytbGlB1zMx_ykJDVtmfEQ-6-lIUBA/edit?usp=sharing"","&amp;"""จันทบุรี!S621"")+IMPORTRANGE(""https://docs.google.com/spreadsheets/d/1T1PQvRODqOBZk8BRht_U031fIS1beLA0Ub2CEytj2q0/edit?usp=sharing"",""ฉะเชิงเทรา!S621"")+IMPORTRANGE(""https://docs.google.com/spreadsheets/d/11tr1B-Bhyr79v2bkwVh5h_fR-PStkgjlZtkrZpYurG0/"&amp;"edit?usp=sharing"",""ชลบุรี!S621"")+IMPORTRANGE(""https://docs.google.com/spreadsheets/d/1hh-FVnSX0vozXhGluamEcS54Dw9_zqW0N7qJUWgJ0Sw/edit?usp=sharing"",""ชัยนาท!S621"")+IMPORTRANGE(""https://docs.google.com/spreadsheets/d/1jkqa6GXxSacMcY1eN8AHjMNJ_7dDXMJ"&amp;"VRLDlaFSOdPM/edit?usp=sharing"",""ตราด!S621"")+IMPORTRANGE(""https://docs.google.com/spreadsheets/d/18hSgUJ3VwClqi_qtULmmW3cLr0oe3OKaSYoKzdpTsYQ/edit?usp=sharing"",""นครนายก!S621"")+IMPORTRANGE(""https://docs.google.com/spreadsheets/d/1YTZo6WM2dQ6Ix6FSdnL"&amp;"5P7uVnVKu40sxZu975tgG10E/edit?usp=sharing"",""นครปฐม!S621"")+IMPORTRANGE(""https://docs.google.com/spreadsheets/d/1OYoGg4WDg5RIzwGeB10padOxJF9E_Vljuvvct_M7RDo/edit?usp=sharing"",""ปทุมธานี!S621"")+IMPORTRANGE(""https://docs.google.com/spreadsheets/d/1GbCI"&amp;"E4D4wk9FUozzqk7SxfDMxDVBwVmI5zcaVUSzKAc/edit?usp=sharing"",""ประจวบคีรีขันธ์!S621"")+IMPORTRANGE(""https://docs.google.com/spreadsheets/d/1vVf6wykvW_lAyu7Yo9L4hUTqHqIeP_qcVuxCtosJEbg/edit?usp=sharing"",""ปราจีนบุรี!S621"")+IMPORTRANGE(""https://docs.googl"&amp;"e.com/spreadsheets/d/1BIDqLLg5jk3v59G8NlR8rk5xfQDKne0sAvZHSj7TI6I/edit?usp=sharing"",""พระนครศรีอยุธยา!S621"")+IMPORTRANGE(""https://docs.google.com/spreadsheets/d/1YXvxf8Yu6_rV4hTBrwMqAcAnv6DfhUxh5emyM3CJp_w/edit?usp=sharing"",""เพชรบุรี!S621"")+IMPORTRA"&amp;"NGE(""https://docs.google.com/spreadsheets/d/19KBlQQs7uwvsao6t2n-KvW3Ax8J8uRRfZPq1zPbXgKc/edit?usp=sharing"",""ระยอง!S621"")+IMPORTRANGE(""https://docs.google.com/spreadsheets/d/1jQ6P4QcrGM89YfqcC_PxOHGCMq5ezhucwJd8ci-NHng/edit?usp=sharing"",""ราชบุรี!S62"&amp;"1"")+IMPORTRANGE(""https://docs.google.com/spreadsheets/d/1lufeA2cfFqM-elVq2hznhDzC6Pr7wkJ9ZG_sYNGCMCU/edit?usp=sharing"",""ลพบุรี!S621"")+IMPORTRANGE(""https://docs.google.com/spreadsheets/d/10oOiF7loTyfsTkbd4MpaIm0HQ9SwB7IYHdIUvt-U1Uc/edit?usp=sharing"""&amp;",""สระแก้ว!S621"")+IMPORTRANGE(""https://docs.google.com/spreadsheets/d/1xmPlrr1QbdSIKvl1dWUl9K4PjAfSL9oeMr_37QVzcxc/edit?usp=sharing"",""สระบุรี!S621"")+IMPORTRANGE(""https://docs.google.com/spreadsheets/d/1j51vR6CYVGhABJpv6tkstgok82RLpXieLzW1yOY5rHw/edi"&amp;"t?usp=sharing"",""สิงห์บุรี!S621"")+IMPORTRANGE(""https://docs.google.com/spreadsheets/d/1H1EalTWKUSzO4Z1-1CwzoDUaVffgrThEBe2sl74kKG0/edit?usp=sharing"",""สุพรรณบุรี!S621"")+IMPORTRANGE(""https://docs.google.com/spreadsheets/d/1BmIruG_sIrJLYao_Pdr7zVArWsf"&amp;"oBt2692TMi6x_854/edit?usp=sharing"",""อ่างทอง!S621"")"),7030)</f>
        <v>7030</v>
      </c>
      <c r="T622" s="132">
        <f t="shared" ca="1" si="433"/>
        <v>4.8827921514151766</v>
      </c>
      <c r="U622" s="132">
        <f t="shared" ca="1" si="434"/>
        <v>4.8827921514151766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4">
        <f t="shared" ref="L623:N623" ca="1" si="441">L624+L625</f>
        <v>0</v>
      </c>
      <c r="M623" s="74">
        <f t="shared" ca="1" si="441"/>
        <v>0</v>
      </c>
      <c r="N623" s="74">
        <f t="shared" ca="1" si="441"/>
        <v>0</v>
      </c>
      <c r="O623" s="74">
        <f t="shared" ca="1" si="430"/>
        <v>0</v>
      </c>
      <c r="P623" s="74">
        <f t="shared" ca="1" si="431"/>
        <v>0</v>
      </c>
      <c r="Q623" s="131">
        <f t="shared" ref="Q623:S623" ca="1" si="442">Q624+Q625</f>
        <v>0</v>
      </c>
      <c r="R623" s="132">
        <f t="shared" ca="1" si="442"/>
        <v>0</v>
      </c>
      <c r="S623" s="132">
        <f t="shared" ca="1" si="442"/>
        <v>0</v>
      </c>
      <c r="T623" s="132">
        <f t="shared" ca="1" si="433"/>
        <v>0</v>
      </c>
      <c r="U623" s="132">
        <f t="shared" ca="1" si="434"/>
        <v>0</v>
      </c>
    </row>
    <row r="624" spans="1:21" ht="18.75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7">
        <f ca="1">IFERROR(__xludf.DUMMYFUNCTION("IMPORTRANGE(""https://docs.google.com/spreadsheets/d/13wPX838HrBrQMCywv1BsuMkt4PEKTChp52zj44s2izQ/edit?usp=sharing"",""กาญจนบุรี!L623"")+IMPORTRANGE(""https://docs.google.com/spreadsheets/d/1ddFKvqj1W1NEiWytbGlB1zMx_ykJDVtmfEQ-6-lIUBA/edit?usp=sharing"","&amp;"""จันทบุรี!L623"")+IMPORTRANGE(""https://docs.google.com/spreadsheets/d/1T1PQvRODqOBZk8BRht_U031fIS1beLA0Ub2CEytj2q0/edit?usp=sharing"",""ฉะเชิงเทรา!L623"")+IMPORTRANGE(""https://docs.google.com/spreadsheets/d/11tr1B-Bhyr79v2bkwVh5h_fR-PStkgjlZtkrZpYurG0/"&amp;"edit?usp=sharing"",""ชลบุรี!L623"")+IMPORTRANGE(""https://docs.google.com/spreadsheets/d/1hh-FVnSX0vozXhGluamEcS54Dw9_zqW0N7qJUWgJ0Sw/edit?usp=sharing"",""ชัยนาท!L623"")+IMPORTRANGE(""https://docs.google.com/spreadsheets/d/1jkqa6GXxSacMcY1eN8AHjMNJ_7dDXMJ"&amp;"VRLDlaFSOdPM/edit?usp=sharing"",""ตราด!L623"")+IMPORTRANGE(""https://docs.google.com/spreadsheets/d/18hSgUJ3VwClqi_qtULmmW3cLr0oe3OKaSYoKzdpTsYQ/edit?usp=sharing"",""นครนายก!L623"")+IMPORTRANGE(""https://docs.google.com/spreadsheets/d/1YTZo6WM2dQ6Ix6FSdnL"&amp;"5P7uVnVKu40sxZu975tgG10E/edit?usp=sharing"",""นครปฐม!L623"")+IMPORTRANGE(""https://docs.google.com/spreadsheets/d/1OYoGg4WDg5RIzwGeB10padOxJF9E_Vljuvvct_M7RDo/edit?usp=sharing"",""ปทุมธานี!L623"")+IMPORTRANGE(""https://docs.google.com/spreadsheets/d/1GbCI"&amp;"E4D4wk9FUozzqk7SxfDMxDVBwVmI5zcaVUSzKAc/edit?usp=sharing"",""ประจวบคีรีขันธ์!L623"")+IMPORTRANGE(""https://docs.google.com/spreadsheets/d/1vVf6wykvW_lAyu7Yo9L4hUTqHqIeP_qcVuxCtosJEbg/edit?usp=sharing"",""ปราจีนบุรี!L623"")+IMPORTRANGE(""https://docs.googl"&amp;"e.com/spreadsheets/d/1BIDqLLg5jk3v59G8NlR8rk5xfQDKne0sAvZHSj7TI6I/edit?usp=sharing"",""พระนครศรีอยุธยา!L623"")+IMPORTRANGE(""https://docs.google.com/spreadsheets/d/1YXvxf8Yu6_rV4hTBrwMqAcAnv6DfhUxh5emyM3CJp_w/edit?usp=sharing"",""เพชรบุรี!L623"")+IMPORTRA"&amp;"NGE(""https://docs.google.com/spreadsheets/d/19KBlQQs7uwvsao6t2n-KvW3Ax8J8uRRfZPq1zPbXgKc/edit?usp=sharing"",""ระยอง!L623"")+IMPORTRANGE(""https://docs.google.com/spreadsheets/d/1jQ6P4QcrGM89YfqcC_PxOHGCMq5ezhucwJd8ci-NHng/edit?usp=sharing"",""ราชบุรี!L62"&amp;"3"")+IMPORTRANGE(""https://docs.google.com/spreadsheets/d/1lufeA2cfFqM-elVq2hznhDzC6Pr7wkJ9ZG_sYNGCMCU/edit?usp=sharing"",""ลพบุรี!L623"")+IMPORTRANGE(""https://docs.google.com/spreadsheets/d/10oOiF7loTyfsTkbd4MpaIm0HQ9SwB7IYHdIUvt-U1Uc/edit?usp=sharing"""&amp;",""สระแก้ว!L623"")+IMPORTRANGE(""https://docs.google.com/spreadsheets/d/1xmPlrr1QbdSIKvl1dWUl9K4PjAfSL9oeMr_37QVzcxc/edit?usp=sharing"",""สระบุรี!L623"")+IMPORTRANGE(""https://docs.google.com/spreadsheets/d/1j51vR6CYVGhABJpv6tkstgok82RLpXieLzW1yOY5rHw/edi"&amp;"t?usp=sharing"",""สิงห์บุรี!L623"")+IMPORTRANGE(""https://docs.google.com/spreadsheets/d/1H1EalTWKUSzO4Z1-1CwzoDUaVffgrThEBe2sl74kKG0/edit?usp=sharing"",""สุพรรณบุรี!L623"")+IMPORTRANGE(""https://docs.google.com/spreadsheets/d/1BmIruG_sIrJLYao_Pdr7zVArWsf"&amp;"oBt2692TMi6x_854/edit?usp=sharing"",""อ่างทอง!L623"")"),0)</f>
        <v>0</v>
      </c>
      <c r="M624" s="77">
        <f ca="1">IFERROR(__xludf.DUMMYFUNCTION("IMPORTRANGE(""https://docs.google.com/spreadsheets/d/13wPX838HrBrQMCywv1BsuMkt4PEKTChp52zj44s2izQ/edit?usp=sharing"",""กาญจนบุรี!M623"")+IMPORTRANGE(""https://docs.google.com/spreadsheets/d/1ddFKvqj1W1NEiWytbGlB1zMx_ykJDVtmfEQ-6-lIUBA/edit?usp=sharing"","&amp;"""จันทบุรี!M623"")+IMPORTRANGE(""https://docs.google.com/spreadsheets/d/1T1PQvRODqOBZk8BRht_U031fIS1beLA0Ub2CEytj2q0/edit?usp=sharing"",""ฉะเชิงเทรา!M623"")+IMPORTRANGE(""https://docs.google.com/spreadsheets/d/11tr1B-Bhyr79v2bkwVh5h_fR-PStkgjlZtkrZpYurG0/"&amp;"edit?usp=sharing"",""ชลบุรี!M623"")+IMPORTRANGE(""https://docs.google.com/spreadsheets/d/1hh-FVnSX0vozXhGluamEcS54Dw9_zqW0N7qJUWgJ0Sw/edit?usp=sharing"",""ชัยนาท!M623"")+IMPORTRANGE(""https://docs.google.com/spreadsheets/d/1jkqa6GXxSacMcY1eN8AHjMNJ_7dDXMJ"&amp;"VRLDlaFSOdPM/edit?usp=sharing"",""ตราด!M623"")+IMPORTRANGE(""https://docs.google.com/spreadsheets/d/18hSgUJ3VwClqi_qtULmmW3cLr0oe3OKaSYoKzdpTsYQ/edit?usp=sharing"",""นครนายก!M623"")+IMPORTRANGE(""https://docs.google.com/spreadsheets/d/1YTZo6WM2dQ6Ix6FSdnL"&amp;"5P7uVnVKu40sxZu975tgG10E/edit?usp=sharing"",""นครปฐม!M623"")+IMPORTRANGE(""https://docs.google.com/spreadsheets/d/1OYoGg4WDg5RIzwGeB10padOxJF9E_Vljuvvct_M7RDo/edit?usp=sharing"",""ปทุมธานี!M623"")+IMPORTRANGE(""https://docs.google.com/spreadsheets/d/1GbCI"&amp;"E4D4wk9FUozzqk7SxfDMxDVBwVmI5zcaVUSzKAc/edit?usp=sharing"",""ประจวบคีรีขันธ์!M623"")+IMPORTRANGE(""https://docs.google.com/spreadsheets/d/1vVf6wykvW_lAyu7Yo9L4hUTqHqIeP_qcVuxCtosJEbg/edit?usp=sharing"",""ปราจีนบุรี!M623"")+IMPORTRANGE(""https://docs.googl"&amp;"e.com/spreadsheets/d/1BIDqLLg5jk3v59G8NlR8rk5xfQDKne0sAvZHSj7TI6I/edit?usp=sharing"",""พระนครศรีอยุธยา!M623"")+IMPORTRANGE(""https://docs.google.com/spreadsheets/d/1YXvxf8Yu6_rV4hTBrwMqAcAnv6DfhUxh5emyM3CJp_w/edit?usp=sharing"",""เพชรบุรี!M623"")+IMPORTRA"&amp;"NGE(""https://docs.google.com/spreadsheets/d/19KBlQQs7uwvsao6t2n-KvW3Ax8J8uRRfZPq1zPbXgKc/edit?usp=sharing"",""ระยอง!M623"")+IMPORTRANGE(""https://docs.google.com/spreadsheets/d/1jQ6P4QcrGM89YfqcC_PxOHGCMq5ezhucwJd8ci-NHng/edit?usp=sharing"",""ราชบุรี!M62"&amp;"3"")+IMPORTRANGE(""https://docs.google.com/spreadsheets/d/1lufeA2cfFqM-elVq2hznhDzC6Pr7wkJ9ZG_sYNGCMCU/edit?usp=sharing"",""ลพบุรี!M623"")+IMPORTRANGE(""https://docs.google.com/spreadsheets/d/10oOiF7loTyfsTkbd4MpaIm0HQ9SwB7IYHdIUvt-U1Uc/edit?usp=sharing"""&amp;",""สระแก้ว!M623"")+IMPORTRANGE(""https://docs.google.com/spreadsheets/d/1xmPlrr1QbdSIKvl1dWUl9K4PjAfSL9oeMr_37QVzcxc/edit?usp=sharing"",""สระบุรี!M623"")+IMPORTRANGE(""https://docs.google.com/spreadsheets/d/1j51vR6CYVGhABJpv6tkstgok82RLpXieLzW1yOY5rHw/edi"&amp;"t?usp=sharing"",""สิงห์บุรี!M623"")+IMPORTRANGE(""https://docs.google.com/spreadsheets/d/1H1EalTWKUSzO4Z1-1CwzoDUaVffgrThEBe2sl74kKG0/edit?usp=sharing"",""สุพรรณบุรี!M623"")+IMPORTRANGE(""https://docs.google.com/spreadsheets/d/1BmIruG_sIrJLYao_Pdr7zVArWsf"&amp;"oBt2692TMi6x_854/edit?usp=sharing"",""อ่างทอง!M623"")"),0)</f>
        <v>0</v>
      </c>
      <c r="N624" s="77">
        <f ca="1">IFERROR(__xludf.DUMMYFUNCTION("IMPORTRANGE(""https://docs.google.com/spreadsheets/d/13wPX838HrBrQMCywv1BsuMkt4PEKTChp52zj44s2izQ/edit?usp=sharing"",""กาญจนบุรี!N623"")+IMPORTRANGE(""https://docs.google.com/spreadsheets/d/1ddFKvqj1W1NEiWytbGlB1zMx_ykJDVtmfEQ-6-lIUBA/edit?usp=sharing"","&amp;"""จันทบุรี!N623"")+IMPORTRANGE(""https://docs.google.com/spreadsheets/d/1T1PQvRODqOBZk8BRht_U031fIS1beLA0Ub2CEytj2q0/edit?usp=sharing"",""ฉะเชิงเทรา!N623"")+IMPORTRANGE(""https://docs.google.com/spreadsheets/d/11tr1B-Bhyr79v2bkwVh5h_fR-PStkgjlZtkrZpYurG0/"&amp;"edit?usp=sharing"",""ชลบุรี!N623"")+IMPORTRANGE(""https://docs.google.com/spreadsheets/d/1hh-FVnSX0vozXhGluamEcS54Dw9_zqW0N7qJUWgJ0Sw/edit?usp=sharing"",""ชัยนาท!N623"")+IMPORTRANGE(""https://docs.google.com/spreadsheets/d/1jkqa6GXxSacMcY1eN8AHjMNJ_7dDXMJ"&amp;"VRLDlaFSOdPM/edit?usp=sharing"",""ตราด!N623"")+IMPORTRANGE(""https://docs.google.com/spreadsheets/d/18hSgUJ3VwClqi_qtULmmW3cLr0oe3OKaSYoKzdpTsYQ/edit?usp=sharing"",""นครนายก!N623"")+IMPORTRANGE(""https://docs.google.com/spreadsheets/d/1YTZo6WM2dQ6Ix6FSdnL"&amp;"5P7uVnVKu40sxZu975tgG10E/edit?usp=sharing"",""นครปฐม!N623"")+IMPORTRANGE(""https://docs.google.com/spreadsheets/d/1OYoGg4WDg5RIzwGeB10padOxJF9E_Vljuvvct_M7RDo/edit?usp=sharing"",""ปทุมธานี!N623"")+IMPORTRANGE(""https://docs.google.com/spreadsheets/d/1GbCI"&amp;"E4D4wk9FUozzqk7SxfDMxDVBwVmI5zcaVUSzKAc/edit?usp=sharing"",""ประจวบคีรีขันธ์!N623"")+IMPORTRANGE(""https://docs.google.com/spreadsheets/d/1vVf6wykvW_lAyu7Yo9L4hUTqHqIeP_qcVuxCtosJEbg/edit?usp=sharing"",""ปราจีนบุรี!N623"")+IMPORTRANGE(""https://docs.googl"&amp;"e.com/spreadsheets/d/1BIDqLLg5jk3v59G8NlR8rk5xfQDKne0sAvZHSj7TI6I/edit?usp=sharing"",""พระนครศรีอยุธยา!N623"")+IMPORTRANGE(""https://docs.google.com/spreadsheets/d/1YXvxf8Yu6_rV4hTBrwMqAcAnv6DfhUxh5emyM3CJp_w/edit?usp=sharing"",""เพชรบุรี!N623"")+IMPORTRA"&amp;"NGE(""https://docs.google.com/spreadsheets/d/19KBlQQs7uwvsao6t2n-KvW3Ax8J8uRRfZPq1zPbXgKc/edit?usp=sharing"",""ระยอง!N623"")+IMPORTRANGE(""https://docs.google.com/spreadsheets/d/1jQ6P4QcrGM89YfqcC_PxOHGCMq5ezhucwJd8ci-NHng/edit?usp=sharing"",""ราชบุรี!N62"&amp;"3"")+IMPORTRANGE(""https://docs.google.com/spreadsheets/d/1lufeA2cfFqM-elVq2hznhDzC6Pr7wkJ9ZG_sYNGCMCU/edit?usp=sharing"",""ลพบุรี!N623"")+IMPORTRANGE(""https://docs.google.com/spreadsheets/d/10oOiF7loTyfsTkbd4MpaIm0HQ9SwB7IYHdIUvt-U1Uc/edit?usp=sharing"""&amp;",""สระแก้ว!N623"")+IMPORTRANGE(""https://docs.google.com/spreadsheets/d/1xmPlrr1QbdSIKvl1dWUl9K4PjAfSL9oeMr_37QVzcxc/edit?usp=sharing"",""สระบุรี!N623"")+IMPORTRANGE(""https://docs.google.com/spreadsheets/d/1j51vR6CYVGhABJpv6tkstgok82RLpXieLzW1yOY5rHw/edi"&amp;"t?usp=sharing"",""สิงห์บุรี!N623"")+IMPORTRANGE(""https://docs.google.com/spreadsheets/d/1H1EalTWKUSzO4Z1-1CwzoDUaVffgrThEBe2sl74kKG0/edit?usp=sharing"",""สุพรรณบุรี!N623"")+IMPORTRANGE(""https://docs.google.com/spreadsheets/d/1BmIruG_sIrJLYao_Pdr7zVArWsf"&amp;"oBt2692TMi6x_854/edit?usp=sharing"",""อ่างทอง!N623"")"),0)</f>
        <v>0</v>
      </c>
      <c r="O624" s="77">
        <f t="shared" ca="1" si="430"/>
        <v>0</v>
      </c>
      <c r="P624" s="77">
        <f t="shared" ca="1" si="431"/>
        <v>0</v>
      </c>
      <c r="Q624" s="76">
        <f ca="1">IFERROR(__xludf.DUMMYFUNCTION("IMPORTRANGE(""https://docs.google.com/spreadsheets/d/13wPX838HrBrQMCywv1BsuMkt4PEKTChp52zj44s2izQ/edit?usp=sharing"",""กาญจนบุรี!Q623"")+IMPORTRANGE(""https://docs.google.com/spreadsheets/d/1ddFKvqj1W1NEiWytbGlB1zMx_ykJDVtmfEQ-6-lIUBA/edit?usp=sharing"","&amp;"""จันทบุรี!Q623"")+IMPORTRANGE(""https://docs.google.com/spreadsheets/d/1T1PQvRODqOBZk8BRht_U031fIS1beLA0Ub2CEytj2q0/edit?usp=sharing"",""ฉะเชิงเทรา!Q623"")+IMPORTRANGE(""https://docs.google.com/spreadsheets/d/11tr1B-Bhyr79v2bkwVh5h_fR-PStkgjlZtkrZpYurG0/"&amp;"edit?usp=sharing"",""ชลบุรี!Q623"")+IMPORTRANGE(""https://docs.google.com/spreadsheets/d/1hh-FVnSX0vozXhGluamEcS54Dw9_zqW0N7qJUWgJ0Sw/edit?usp=sharing"",""ชัยนาท!Q623"")+IMPORTRANGE(""https://docs.google.com/spreadsheets/d/1jkqa6GXxSacMcY1eN8AHjMNJ_7dDXMJ"&amp;"VRLDlaFSOdPM/edit?usp=sharing"",""ตราด!Q623"")+IMPORTRANGE(""https://docs.google.com/spreadsheets/d/18hSgUJ3VwClqi_qtULmmW3cLr0oe3OKaSYoKzdpTsYQ/edit?usp=sharing"",""นครนายก!Q623"")+IMPORTRANGE(""https://docs.google.com/spreadsheets/d/1YTZo6WM2dQ6Ix6FSdnL"&amp;"5P7uVnVKu40sxZu975tgG10E/edit?usp=sharing"",""นครปฐม!Q623"")+IMPORTRANGE(""https://docs.google.com/spreadsheets/d/1OYoGg4WDg5RIzwGeB10padOxJF9E_Vljuvvct_M7RDo/edit?usp=sharing"",""ปทุมธานี!Q623"")+IMPORTRANGE(""https://docs.google.com/spreadsheets/d/1GbCI"&amp;"E4D4wk9FUozzqk7SxfDMxDVBwVmI5zcaVUSzKAc/edit?usp=sharing"",""ประจวบคีรีขันธ์!Q623"")+IMPORTRANGE(""https://docs.google.com/spreadsheets/d/1vVf6wykvW_lAyu7Yo9L4hUTqHqIeP_qcVuxCtosJEbg/edit?usp=sharing"",""ปราจีนบุรี!Q623"")+IMPORTRANGE(""https://docs.googl"&amp;"e.com/spreadsheets/d/1BIDqLLg5jk3v59G8NlR8rk5xfQDKne0sAvZHSj7TI6I/edit?usp=sharing"",""พระนครศรีอยุธยา!Q623"")+IMPORTRANGE(""https://docs.google.com/spreadsheets/d/1YXvxf8Yu6_rV4hTBrwMqAcAnv6DfhUxh5emyM3CJp_w/edit?usp=sharing"",""เพชรบุรี!Q623"")+IMPORTRA"&amp;"NGE(""https://docs.google.com/spreadsheets/d/19KBlQQs7uwvsao6t2n-KvW3Ax8J8uRRfZPq1zPbXgKc/edit?usp=sharing"",""ระยอง!Q623"")+IMPORTRANGE(""https://docs.google.com/spreadsheets/d/1jQ6P4QcrGM89YfqcC_PxOHGCMq5ezhucwJd8ci-NHng/edit?usp=sharing"",""ราชบุรี!Q62"&amp;"3"")+IMPORTRANGE(""https://docs.google.com/spreadsheets/d/1lufeA2cfFqM-elVq2hznhDzC6Pr7wkJ9ZG_sYNGCMCU/edit?usp=sharing"",""ลพบุรี!Q623"")+IMPORTRANGE(""https://docs.google.com/spreadsheets/d/10oOiF7loTyfsTkbd4MpaIm0HQ9SwB7IYHdIUvt-U1Uc/edit?usp=sharing"""&amp;",""สระแก้ว!Q623"")+IMPORTRANGE(""https://docs.google.com/spreadsheets/d/1xmPlrr1QbdSIKvl1dWUl9K4PjAfSL9oeMr_37QVzcxc/edit?usp=sharing"",""สระบุรี!Q623"")+IMPORTRANGE(""https://docs.google.com/spreadsheets/d/1j51vR6CYVGhABJpv6tkstgok82RLpXieLzW1yOY5rHw/edi"&amp;"t?usp=sharing"",""สิงห์บุรี!Q623"")+IMPORTRANGE(""https://docs.google.com/spreadsheets/d/1H1EalTWKUSzO4Z1-1CwzoDUaVffgrThEBe2sl74kKG0/edit?usp=sharing"",""สุพรรณบุรี!Q623"")+IMPORTRANGE(""https://docs.google.com/spreadsheets/d/1BmIruG_sIrJLYao_Pdr7zVArWsf"&amp;"oBt2692TMi6x_854/edit?usp=sharing"",""อ่างทอง!Q623"")"),0)</f>
        <v>0</v>
      </c>
      <c r="R624" s="77">
        <f ca="1">IFERROR(__xludf.DUMMYFUNCTION("IMPORTRANGE(""https://docs.google.com/spreadsheets/d/13wPX838HrBrQMCywv1BsuMkt4PEKTChp52zj44s2izQ/edit?usp=sharing"",""กาญจนบุรี!R623"")+IMPORTRANGE(""https://docs.google.com/spreadsheets/d/1ddFKvqj1W1NEiWytbGlB1zMx_ykJDVtmfEQ-6-lIUBA/edit?usp=sharing"","&amp;"""จันทบุรี!R623"")+IMPORTRANGE(""https://docs.google.com/spreadsheets/d/1T1PQvRODqOBZk8BRht_U031fIS1beLA0Ub2CEytj2q0/edit?usp=sharing"",""ฉะเชิงเทรา!R623"")+IMPORTRANGE(""https://docs.google.com/spreadsheets/d/11tr1B-Bhyr79v2bkwVh5h_fR-PStkgjlZtkrZpYurG0/"&amp;"edit?usp=sharing"",""ชลบุรี!R623"")+IMPORTRANGE(""https://docs.google.com/spreadsheets/d/1hh-FVnSX0vozXhGluamEcS54Dw9_zqW0N7qJUWgJ0Sw/edit?usp=sharing"",""ชัยนาท!R623"")+IMPORTRANGE(""https://docs.google.com/spreadsheets/d/1jkqa6GXxSacMcY1eN8AHjMNJ_7dDXMJ"&amp;"VRLDlaFSOdPM/edit?usp=sharing"",""ตราด!R623"")+IMPORTRANGE(""https://docs.google.com/spreadsheets/d/18hSgUJ3VwClqi_qtULmmW3cLr0oe3OKaSYoKzdpTsYQ/edit?usp=sharing"",""นครนายก!R623"")+IMPORTRANGE(""https://docs.google.com/spreadsheets/d/1YTZo6WM2dQ6Ix6FSdnL"&amp;"5P7uVnVKu40sxZu975tgG10E/edit?usp=sharing"",""นครปฐม!R623"")+IMPORTRANGE(""https://docs.google.com/spreadsheets/d/1OYoGg4WDg5RIzwGeB10padOxJF9E_Vljuvvct_M7RDo/edit?usp=sharing"",""ปทุมธานี!R623"")+IMPORTRANGE(""https://docs.google.com/spreadsheets/d/1GbCI"&amp;"E4D4wk9FUozzqk7SxfDMxDVBwVmI5zcaVUSzKAc/edit?usp=sharing"",""ประจวบคีรีขันธ์!R623"")+IMPORTRANGE(""https://docs.google.com/spreadsheets/d/1vVf6wykvW_lAyu7Yo9L4hUTqHqIeP_qcVuxCtosJEbg/edit?usp=sharing"",""ปราจีนบุรี!R623"")+IMPORTRANGE(""https://docs.googl"&amp;"e.com/spreadsheets/d/1BIDqLLg5jk3v59G8NlR8rk5xfQDKne0sAvZHSj7TI6I/edit?usp=sharing"",""พระนครศรีอยุธยา!R623"")+IMPORTRANGE(""https://docs.google.com/spreadsheets/d/1YXvxf8Yu6_rV4hTBrwMqAcAnv6DfhUxh5emyM3CJp_w/edit?usp=sharing"",""เพชรบุรี!R623"")+IMPORTRA"&amp;"NGE(""https://docs.google.com/spreadsheets/d/19KBlQQs7uwvsao6t2n-KvW3Ax8J8uRRfZPq1zPbXgKc/edit?usp=sharing"",""ระยอง!R623"")+IMPORTRANGE(""https://docs.google.com/spreadsheets/d/1jQ6P4QcrGM89YfqcC_PxOHGCMq5ezhucwJd8ci-NHng/edit?usp=sharing"",""ราชบุรี!R62"&amp;"3"")+IMPORTRANGE(""https://docs.google.com/spreadsheets/d/1lufeA2cfFqM-elVq2hznhDzC6Pr7wkJ9ZG_sYNGCMCU/edit?usp=sharing"",""ลพบุรี!R623"")+IMPORTRANGE(""https://docs.google.com/spreadsheets/d/10oOiF7loTyfsTkbd4MpaIm0HQ9SwB7IYHdIUvt-U1Uc/edit?usp=sharing"""&amp;",""สระแก้ว!R623"")+IMPORTRANGE(""https://docs.google.com/spreadsheets/d/1xmPlrr1QbdSIKvl1dWUl9K4PjAfSL9oeMr_37QVzcxc/edit?usp=sharing"",""สระบุรี!R623"")+IMPORTRANGE(""https://docs.google.com/spreadsheets/d/1j51vR6CYVGhABJpv6tkstgok82RLpXieLzW1yOY5rHw/edi"&amp;"t?usp=sharing"",""สิงห์บุรี!R623"")+IMPORTRANGE(""https://docs.google.com/spreadsheets/d/1H1EalTWKUSzO4Z1-1CwzoDUaVffgrThEBe2sl74kKG0/edit?usp=sharing"",""สุพรรณบุรี!R623"")+IMPORTRANGE(""https://docs.google.com/spreadsheets/d/1BmIruG_sIrJLYao_Pdr7zVArWsf"&amp;"oBt2692TMi6x_854/edit?usp=sharing"",""อ่างทอง!R623"")"),0)</f>
        <v>0</v>
      </c>
      <c r="S624" s="77">
        <f ca="1">IFERROR(__xludf.DUMMYFUNCTION("IMPORTRANGE(""https://docs.google.com/spreadsheets/d/13wPX838HrBrQMCywv1BsuMkt4PEKTChp52zj44s2izQ/edit?usp=sharing"",""กาญจนบุรี!S623"")+IMPORTRANGE(""https://docs.google.com/spreadsheets/d/1ddFKvqj1W1NEiWytbGlB1zMx_ykJDVtmfEQ-6-lIUBA/edit?usp=sharing"","&amp;"""จันทบุรี!S623"")+IMPORTRANGE(""https://docs.google.com/spreadsheets/d/1T1PQvRODqOBZk8BRht_U031fIS1beLA0Ub2CEytj2q0/edit?usp=sharing"",""ฉะเชิงเทรา!S623"")+IMPORTRANGE(""https://docs.google.com/spreadsheets/d/11tr1B-Bhyr79v2bkwVh5h_fR-PStkgjlZtkrZpYurG0/"&amp;"edit?usp=sharing"",""ชลบุรี!S623"")+IMPORTRANGE(""https://docs.google.com/spreadsheets/d/1hh-FVnSX0vozXhGluamEcS54Dw9_zqW0N7qJUWgJ0Sw/edit?usp=sharing"",""ชัยนาท!S623"")+IMPORTRANGE(""https://docs.google.com/spreadsheets/d/1jkqa6GXxSacMcY1eN8AHjMNJ_7dDXMJ"&amp;"VRLDlaFSOdPM/edit?usp=sharing"",""ตราด!S623"")+IMPORTRANGE(""https://docs.google.com/spreadsheets/d/18hSgUJ3VwClqi_qtULmmW3cLr0oe3OKaSYoKzdpTsYQ/edit?usp=sharing"",""นครนายก!S623"")+IMPORTRANGE(""https://docs.google.com/spreadsheets/d/1YTZo6WM2dQ6Ix6FSdnL"&amp;"5P7uVnVKu40sxZu975tgG10E/edit?usp=sharing"",""นครปฐม!S623"")+IMPORTRANGE(""https://docs.google.com/spreadsheets/d/1OYoGg4WDg5RIzwGeB10padOxJF9E_Vljuvvct_M7RDo/edit?usp=sharing"",""ปทุมธานี!S623"")+IMPORTRANGE(""https://docs.google.com/spreadsheets/d/1GbCI"&amp;"E4D4wk9FUozzqk7SxfDMxDVBwVmI5zcaVUSzKAc/edit?usp=sharing"",""ประจวบคีรีขันธ์!S623"")+IMPORTRANGE(""https://docs.google.com/spreadsheets/d/1vVf6wykvW_lAyu7Yo9L4hUTqHqIeP_qcVuxCtosJEbg/edit?usp=sharing"",""ปราจีนบุรี!S623"")+IMPORTRANGE(""https://docs.googl"&amp;"e.com/spreadsheets/d/1BIDqLLg5jk3v59G8NlR8rk5xfQDKne0sAvZHSj7TI6I/edit?usp=sharing"",""พระนครศรีอยุธยา!S623"")+IMPORTRANGE(""https://docs.google.com/spreadsheets/d/1YXvxf8Yu6_rV4hTBrwMqAcAnv6DfhUxh5emyM3CJp_w/edit?usp=sharing"",""เพชรบุรี!S623"")+IMPORTRA"&amp;"NGE(""https://docs.google.com/spreadsheets/d/19KBlQQs7uwvsao6t2n-KvW3Ax8J8uRRfZPq1zPbXgKc/edit?usp=sharing"",""ระยอง!S623"")+IMPORTRANGE(""https://docs.google.com/spreadsheets/d/1jQ6P4QcrGM89YfqcC_PxOHGCMq5ezhucwJd8ci-NHng/edit?usp=sharing"",""ราชบุรี!S62"&amp;"3"")+IMPORTRANGE(""https://docs.google.com/spreadsheets/d/1lufeA2cfFqM-elVq2hznhDzC6Pr7wkJ9ZG_sYNGCMCU/edit?usp=sharing"",""ลพบุรี!S623"")+IMPORTRANGE(""https://docs.google.com/spreadsheets/d/10oOiF7loTyfsTkbd4MpaIm0HQ9SwB7IYHdIUvt-U1Uc/edit?usp=sharing"""&amp;",""สระแก้ว!S623"")+IMPORTRANGE(""https://docs.google.com/spreadsheets/d/1xmPlrr1QbdSIKvl1dWUl9K4PjAfSL9oeMr_37QVzcxc/edit?usp=sharing"",""สระบุรี!S623"")+IMPORTRANGE(""https://docs.google.com/spreadsheets/d/1j51vR6CYVGhABJpv6tkstgok82RLpXieLzW1yOY5rHw/edi"&amp;"t?usp=sharing"",""สิงห์บุรี!S623"")+IMPORTRANGE(""https://docs.google.com/spreadsheets/d/1H1EalTWKUSzO4Z1-1CwzoDUaVffgrThEBe2sl74kKG0/edit?usp=sharing"",""สุพรรณบุรี!S623"")+IMPORTRANGE(""https://docs.google.com/spreadsheets/d/1BmIruG_sIrJLYao_Pdr7zVArWsf"&amp;"oBt2692TMi6x_854/edit?usp=sharing"",""อ่างทอง!S623"")"),0)</f>
        <v>0</v>
      </c>
      <c r="T624" s="133">
        <f t="shared" ca="1" si="433"/>
        <v>0</v>
      </c>
      <c r="U624" s="133">
        <f t="shared" ca="1" si="434"/>
        <v>0</v>
      </c>
    </row>
    <row r="625" spans="1:21" ht="18.75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4">
        <f ca="1">IFERROR(__xludf.DUMMYFUNCTION("IMPORTRANGE(""https://docs.google.com/spreadsheets/d/13wPX838HrBrQMCywv1BsuMkt4PEKTChp52zj44s2izQ/edit?usp=sharing"",""กาญจนบุรี!L624"")+IMPORTRANGE(""https://docs.google.com/spreadsheets/d/1ddFKvqj1W1NEiWytbGlB1zMx_ykJDVtmfEQ-6-lIUBA/edit?usp=sharing"","&amp;"""จันทบุรี!L624"")+IMPORTRANGE(""https://docs.google.com/spreadsheets/d/1T1PQvRODqOBZk8BRht_U031fIS1beLA0Ub2CEytj2q0/edit?usp=sharing"",""ฉะเชิงเทรา!L624"")+IMPORTRANGE(""https://docs.google.com/spreadsheets/d/11tr1B-Bhyr79v2bkwVh5h_fR-PStkgjlZtkrZpYurG0/"&amp;"edit?usp=sharing"",""ชลบุรี!L624"")+IMPORTRANGE(""https://docs.google.com/spreadsheets/d/1hh-FVnSX0vozXhGluamEcS54Dw9_zqW0N7qJUWgJ0Sw/edit?usp=sharing"",""ชัยนาท!L624"")+IMPORTRANGE(""https://docs.google.com/spreadsheets/d/1jkqa6GXxSacMcY1eN8AHjMNJ_7dDXMJ"&amp;"VRLDlaFSOdPM/edit?usp=sharing"",""ตราด!L624"")+IMPORTRANGE(""https://docs.google.com/spreadsheets/d/18hSgUJ3VwClqi_qtULmmW3cLr0oe3OKaSYoKzdpTsYQ/edit?usp=sharing"",""นครนายก!L624"")+IMPORTRANGE(""https://docs.google.com/spreadsheets/d/1YTZo6WM2dQ6Ix6FSdnL"&amp;"5P7uVnVKu40sxZu975tgG10E/edit?usp=sharing"",""นครปฐม!L624"")+IMPORTRANGE(""https://docs.google.com/spreadsheets/d/1OYoGg4WDg5RIzwGeB10padOxJF9E_Vljuvvct_M7RDo/edit?usp=sharing"",""ปทุมธานี!L624"")+IMPORTRANGE(""https://docs.google.com/spreadsheets/d/1GbCI"&amp;"E4D4wk9FUozzqk7SxfDMxDVBwVmI5zcaVUSzKAc/edit?usp=sharing"",""ประจวบคีรีขันธ์!L624"")+IMPORTRANGE(""https://docs.google.com/spreadsheets/d/1vVf6wykvW_lAyu7Yo9L4hUTqHqIeP_qcVuxCtosJEbg/edit?usp=sharing"",""ปราจีนบุรี!L624"")+IMPORTRANGE(""https://docs.googl"&amp;"e.com/spreadsheets/d/1BIDqLLg5jk3v59G8NlR8rk5xfQDKne0sAvZHSj7TI6I/edit?usp=sharing"",""พระนครศรีอยุธยา!L624"")+IMPORTRANGE(""https://docs.google.com/spreadsheets/d/1YXvxf8Yu6_rV4hTBrwMqAcAnv6DfhUxh5emyM3CJp_w/edit?usp=sharing"",""เพชรบุรี!L624"")+IMPORTRA"&amp;"NGE(""https://docs.google.com/spreadsheets/d/19KBlQQs7uwvsao6t2n-KvW3Ax8J8uRRfZPq1zPbXgKc/edit?usp=sharing"",""ระยอง!L624"")+IMPORTRANGE(""https://docs.google.com/spreadsheets/d/1jQ6P4QcrGM89YfqcC_PxOHGCMq5ezhucwJd8ci-NHng/edit?usp=sharing"",""ราชบุรี!L62"&amp;"4"")+IMPORTRANGE(""https://docs.google.com/spreadsheets/d/1lufeA2cfFqM-elVq2hznhDzC6Pr7wkJ9ZG_sYNGCMCU/edit?usp=sharing"",""ลพบุรี!L624"")+IMPORTRANGE(""https://docs.google.com/spreadsheets/d/10oOiF7loTyfsTkbd4MpaIm0HQ9SwB7IYHdIUvt-U1Uc/edit?usp=sharing"""&amp;",""สระแก้ว!L624"")+IMPORTRANGE(""https://docs.google.com/spreadsheets/d/1xmPlrr1QbdSIKvl1dWUl9K4PjAfSL9oeMr_37QVzcxc/edit?usp=sharing"",""สระบุรี!L624"")+IMPORTRANGE(""https://docs.google.com/spreadsheets/d/1j51vR6CYVGhABJpv6tkstgok82RLpXieLzW1yOY5rHw/edi"&amp;"t?usp=sharing"",""สิงห์บุรี!L624"")+IMPORTRANGE(""https://docs.google.com/spreadsheets/d/1H1EalTWKUSzO4Z1-1CwzoDUaVffgrThEBe2sl74kKG0/edit?usp=sharing"",""สุพรรณบุรี!L624"")+IMPORTRANGE(""https://docs.google.com/spreadsheets/d/1BmIruG_sIrJLYao_Pdr7zVArWsf"&amp;"oBt2692TMi6x_854/edit?usp=sharing"",""อ่างทอง!L624"")"),0)</f>
        <v>0</v>
      </c>
      <c r="M625" s="74">
        <f ca="1">IFERROR(__xludf.DUMMYFUNCTION("IMPORTRANGE(""https://docs.google.com/spreadsheets/d/13wPX838HrBrQMCywv1BsuMkt4PEKTChp52zj44s2izQ/edit?usp=sharing"",""กาญจนบุรี!M624"")+IMPORTRANGE(""https://docs.google.com/spreadsheets/d/1ddFKvqj1W1NEiWytbGlB1zMx_ykJDVtmfEQ-6-lIUBA/edit?usp=sharing"","&amp;"""จันทบุรี!M624"")+IMPORTRANGE(""https://docs.google.com/spreadsheets/d/1T1PQvRODqOBZk8BRht_U031fIS1beLA0Ub2CEytj2q0/edit?usp=sharing"",""ฉะเชิงเทรา!M624"")+IMPORTRANGE(""https://docs.google.com/spreadsheets/d/11tr1B-Bhyr79v2bkwVh5h_fR-PStkgjlZtkrZpYurG0/"&amp;"edit?usp=sharing"",""ชลบุรี!M624"")+IMPORTRANGE(""https://docs.google.com/spreadsheets/d/1hh-FVnSX0vozXhGluamEcS54Dw9_zqW0N7qJUWgJ0Sw/edit?usp=sharing"",""ชัยนาท!M624"")+IMPORTRANGE(""https://docs.google.com/spreadsheets/d/1jkqa6GXxSacMcY1eN8AHjMNJ_7dDXMJ"&amp;"VRLDlaFSOdPM/edit?usp=sharing"",""ตราด!M624"")+IMPORTRANGE(""https://docs.google.com/spreadsheets/d/18hSgUJ3VwClqi_qtULmmW3cLr0oe3OKaSYoKzdpTsYQ/edit?usp=sharing"",""นครนายก!M624"")+IMPORTRANGE(""https://docs.google.com/spreadsheets/d/1YTZo6WM2dQ6Ix6FSdnL"&amp;"5P7uVnVKu40sxZu975tgG10E/edit?usp=sharing"",""นครปฐม!M624"")+IMPORTRANGE(""https://docs.google.com/spreadsheets/d/1OYoGg4WDg5RIzwGeB10padOxJF9E_Vljuvvct_M7RDo/edit?usp=sharing"",""ปทุมธานี!M624"")+IMPORTRANGE(""https://docs.google.com/spreadsheets/d/1GbCI"&amp;"E4D4wk9FUozzqk7SxfDMxDVBwVmI5zcaVUSzKAc/edit?usp=sharing"",""ประจวบคีรีขันธ์!M624"")+IMPORTRANGE(""https://docs.google.com/spreadsheets/d/1vVf6wykvW_lAyu7Yo9L4hUTqHqIeP_qcVuxCtosJEbg/edit?usp=sharing"",""ปราจีนบุรี!M624"")+IMPORTRANGE(""https://docs.googl"&amp;"e.com/spreadsheets/d/1BIDqLLg5jk3v59G8NlR8rk5xfQDKne0sAvZHSj7TI6I/edit?usp=sharing"",""พระนครศรีอยุธยา!M624"")+IMPORTRANGE(""https://docs.google.com/spreadsheets/d/1YXvxf8Yu6_rV4hTBrwMqAcAnv6DfhUxh5emyM3CJp_w/edit?usp=sharing"",""เพชรบุรี!M624"")+IMPORTRA"&amp;"NGE(""https://docs.google.com/spreadsheets/d/19KBlQQs7uwvsao6t2n-KvW3Ax8J8uRRfZPq1zPbXgKc/edit?usp=sharing"",""ระยอง!M624"")+IMPORTRANGE(""https://docs.google.com/spreadsheets/d/1jQ6P4QcrGM89YfqcC_PxOHGCMq5ezhucwJd8ci-NHng/edit?usp=sharing"",""ราชบุรี!M62"&amp;"4"")+IMPORTRANGE(""https://docs.google.com/spreadsheets/d/1lufeA2cfFqM-elVq2hznhDzC6Pr7wkJ9ZG_sYNGCMCU/edit?usp=sharing"",""ลพบุรี!M624"")+IMPORTRANGE(""https://docs.google.com/spreadsheets/d/10oOiF7loTyfsTkbd4MpaIm0HQ9SwB7IYHdIUvt-U1Uc/edit?usp=sharing"""&amp;",""สระแก้ว!M624"")+IMPORTRANGE(""https://docs.google.com/spreadsheets/d/1xmPlrr1QbdSIKvl1dWUl9K4PjAfSL9oeMr_37QVzcxc/edit?usp=sharing"",""สระบุรี!M624"")+IMPORTRANGE(""https://docs.google.com/spreadsheets/d/1j51vR6CYVGhABJpv6tkstgok82RLpXieLzW1yOY5rHw/edi"&amp;"t?usp=sharing"",""สิงห์บุรี!M624"")+IMPORTRANGE(""https://docs.google.com/spreadsheets/d/1H1EalTWKUSzO4Z1-1CwzoDUaVffgrThEBe2sl74kKG0/edit?usp=sharing"",""สุพรรณบุรี!M624"")+IMPORTRANGE(""https://docs.google.com/spreadsheets/d/1BmIruG_sIrJLYao_Pdr7zVArWsf"&amp;"oBt2692TMi6x_854/edit?usp=sharing"",""อ่างทอง!M624"")"),0)</f>
        <v>0</v>
      </c>
      <c r="N625" s="74">
        <f ca="1">IFERROR(__xludf.DUMMYFUNCTION("IMPORTRANGE(""https://docs.google.com/spreadsheets/d/13wPX838HrBrQMCywv1BsuMkt4PEKTChp52zj44s2izQ/edit?usp=sharing"",""กาญจนบุรี!N624"")+IMPORTRANGE(""https://docs.google.com/spreadsheets/d/1ddFKvqj1W1NEiWytbGlB1zMx_ykJDVtmfEQ-6-lIUBA/edit?usp=sharing"","&amp;"""จันทบุรี!N624"")+IMPORTRANGE(""https://docs.google.com/spreadsheets/d/1T1PQvRODqOBZk8BRht_U031fIS1beLA0Ub2CEytj2q0/edit?usp=sharing"",""ฉะเชิงเทรา!N624"")+IMPORTRANGE(""https://docs.google.com/spreadsheets/d/11tr1B-Bhyr79v2bkwVh5h_fR-PStkgjlZtkrZpYurG0/"&amp;"edit?usp=sharing"",""ชลบุรี!N624"")+IMPORTRANGE(""https://docs.google.com/spreadsheets/d/1hh-FVnSX0vozXhGluamEcS54Dw9_zqW0N7qJUWgJ0Sw/edit?usp=sharing"",""ชัยนาท!N624"")+IMPORTRANGE(""https://docs.google.com/spreadsheets/d/1jkqa6GXxSacMcY1eN8AHjMNJ_7dDXMJ"&amp;"VRLDlaFSOdPM/edit?usp=sharing"",""ตราด!N624"")+IMPORTRANGE(""https://docs.google.com/spreadsheets/d/18hSgUJ3VwClqi_qtULmmW3cLr0oe3OKaSYoKzdpTsYQ/edit?usp=sharing"",""นครนายก!N624"")+IMPORTRANGE(""https://docs.google.com/spreadsheets/d/1YTZo6WM2dQ6Ix6FSdnL"&amp;"5P7uVnVKu40sxZu975tgG10E/edit?usp=sharing"",""นครปฐม!N624"")+IMPORTRANGE(""https://docs.google.com/spreadsheets/d/1OYoGg4WDg5RIzwGeB10padOxJF9E_Vljuvvct_M7RDo/edit?usp=sharing"",""ปทุมธานี!N624"")+IMPORTRANGE(""https://docs.google.com/spreadsheets/d/1GbCI"&amp;"E4D4wk9FUozzqk7SxfDMxDVBwVmI5zcaVUSzKAc/edit?usp=sharing"",""ประจวบคีรีขันธ์!N624"")+IMPORTRANGE(""https://docs.google.com/spreadsheets/d/1vVf6wykvW_lAyu7Yo9L4hUTqHqIeP_qcVuxCtosJEbg/edit?usp=sharing"",""ปราจีนบุรี!N624"")+IMPORTRANGE(""https://docs.googl"&amp;"e.com/spreadsheets/d/1BIDqLLg5jk3v59G8NlR8rk5xfQDKne0sAvZHSj7TI6I/edit?usp=sharing"",""พระนครศรีอยุธยา!N624"")+IMPORTRANGE(""https://docs.google.com/spreadsheets/d/1YXvxf8Yu6_rV4hTBrwMqAcAnv6DfhUxh5emyM3CJp_w/edit?usp=sharing"",""เพชรบุรี!N624"")+IMPORTRA"&amp;"NGE(""https://docs.google.com/spreadsheets/d/19KBlQQs7uwvsao6t2n-KvW3Ax8J8uRRfZPq1zPbXgKc/edit?usp=sharing"",""ระยอง!N624"")+IMPORTRANGE(""https://docs.google.com/spreadsheets/d/1jQ6P4QcrGM89YfqcC_PxOHGCMq5ezhucwJd8ci-NHng/edit?usp=sharing"",""ราชบุรี!N62"&amp;"4"")+IMPORTRANGE(""https://docs.google.com/spreadsheets/d/1lufeA2cfFqM-elVq2hznhDzC6Pr7wkJ9ZG_sYNGCMCU/edit?usp=sharing"",""ลพบุรี!N624"")+IMPORTRANGE(""https://docs.google.com/spreadsheets/d/10oOiF7loTyfsTkbd4MpaIm0HQ9SwB7IYHdIUvt-U1Uc/edit?usp=sharing"""&amp;",""สระแก้ว!N624"")+IMPORTRANGE(""https://docs.google.com/spreadsheets/d/1xmPlrr1QbdSIKvl1dWUl9K4PjAfSL9oeMr_37QVzcxc/edit?usp=sharing"",""สระบุรี!N624"")+IMPORTRANGE(""https://docs.google.com/spreadsheets/d/1j51vR6CYVGhABJpv6tkstgok82RLpXieLzW1yOY5rHw/edi"&amp;"t?usp=sharing"",""สิงห์บุรี!N624"")+IMPORTRANGE(""https://docs.google.com/spreadsheets/d/1H1EalTWKUSzO4Z1-1CwzoDUaVffgrThEBe2sl74kKG0/edit?usp=sharing"",""สุพรรณบุรี!N624"")+IMPORTRANGE(""https://docs.google.com/spreadsheets/d/1BmIruG_sIrJLYao_Pdr7zVArWsf"&amp;"oBt2692TMi6x_854/edit?usp=sharing"",""อ่างทอง!N624"")"),0)</f>
        <v>0</v>
      </c>
      <c r="O625" s="74">
        <f t="shared" ca="1" si="430"/>
        <v>0</v>
      </c>
      <c r="P625" s="74">
        <f t="shared" ca="1" si="431"/>
        <v>0</v>
      </c>
      <c r="Q625" s="73">
        <f ca="1">IFERROR(__xludf.DUMMYFUNCTION("IMPORTRANGE(""https://docs.google.com/spreadsheets/d/13wPX838HrBrQMCywv1BsuMkt4PEKTChp52zj44s2izQ/edit?usp=sharing"",""กาญจนบุรี!Q624"")+IMPORTRANGE(""https://docs.google.com/spreadsheets/d/1ddFKvqj1W1NEiWytbGlB1zMx_ykJDVtmfEQ-6-lIUBA/edit?usp=sharing"","&amp;"""จันทบุรี!Q624"")+IMPORTRANGE(""https://docs.google.com/spreadsheets/d/1T1PQvRODqOBZk8BRht_U031fIS1beLA0Ub2CEytj2q0/edit?usp=sharing"",""ฉะเชิงเทรา!Q624"")+IMPORTRANGE(""https://docs.google.com/spreadsheets/d/11tr1B-Bhyr79v2bkwVh5h_fR-PStkgjlZtkrZpYurG0/"&amp;"edit?usp=sharing"",""ชลบุรี!Q624"")+IMPORTRANGE(""https://docs.google.com/spreadsheets/d/1hh-FVnSX0vozXhGluamEcS54Dw9_zqW0N7qJUWgJ0Sw/edit?usp=sharing"",""ชัยนาท!Q624"")+IMPORTRANGE(""https://docs.google.com/spreadsheets/d/1jkqa6GXxSacMcY1eN8AHjMNJ_7dDXMJ"&amp;"VRLDlaFSOdPM/edit?usp=sharing"",""ตราด!Q624"")+IMPORTRANGE(""https://docs.google.com/spreadsheets/d/18hSgUJ3VwClqi_qtULmmW3cLr0oe3OKaSYoKzdpTsYQ/edit?usp=sharing"",""นครนายก!Q624"")+IMPORTRANGE(""https://docs.google.com/spreadsheets/d/1YTZo6WM2dQ6Ix6FSdnL"&amp;"5P7uVnVKu40sxZu975tgG10E/edit?usp=sharing"",""นครปฐม!Q624"")+IMPORTRANGE(""https://docs.google.com/spreadsheets/d/1OYoGg4WDg5RIzwGeB10padOxJF9E_Vljuvvct_M7RDo/edit?usp=sharing"",""ปทุมธานี!Q624"")+IMPORTRANGE(""https://docs.google.com/spreadsheets/d/1GbCI"&amp;"E4D4wk9FUozzqk7SxfDMxDVBwVmI5zcaVUSzKAc/edit?usp=sharing"",""ประจวบคีรีขันธ์!Q624"")+IMPORTRANGE(""https://docs.google.com/spreadsheets/d/1vVf6wykvW_lAyu7Yo9L4hUTqHqIeP_qcVuxCtosJEbg/edit?usp=sharing"",""ปราจีนบุรี!Q624"")+IMPORTRANGE(""https://docs.googl"&amp;"e.com/spreadsheets/d/1BIDqLLg5jk3v59G8NlR8rk5xfQDKne0sAvZHSj7TI6I/edit?usp=sharing"",""พระนครศรีอยุธยา!Q624"")+IMPORTRANGE(""https://docs.google.com/spreadsheets/d/1YXvxf8Yu6_rV4hTBrwMqAcAnv6DfhUxh5emyM3CJp_w/edit?usp=sharing"",""เพชรบุรี!Q624"")+IMPORTRA"&amp;"NGE(""https://docs.google.com/spreadsheets/d/19KBlQQs7uwvsao6t2n-KvW3Ax8J8uRRfZPq1zPbXgKc/edit?usp=sharing"",""ระยอง!Q624"")+IMPORTRANGE(""https://docs.google.com/spreadsheets/d/1jQ6P4QcrGM89YfqcC_PxOHGCMq5ezhucwJd8ci-NHng/edit?usp=sharing"",""ราชบุรี!Q62"&amp;"4"")+IMPORTRANGE(""https://docs.google.com/spreadsheets/d/1lufeA2cfFqM-elVq2hznhDzC6Pr7wkJ9ZG_sYNGCMCU/edit?usp=sharing"",""ลพบุรี!Q624"")+IMPORTRANGE(""https://docs.google.com/spreadsheets/d/10oOiF7loTyfsTkbd4MpaIm0HQ9SwB7IYHdIUvt-U1Uc/edit?usp=sharing"""&amp;",""สระแก้ว!Q624"")+IMPORTRANGE(""https://docs.google.com/spreadsheets/d/1xmPlrr1QbdSIKvl1dWUl9K4PjAfSL9oeMr_37QVzcxc/edit?usp=sharing"",""สระบุรี!Q624"")+IMPORTRANGE(""https://docs.google.com/spreadsheets/d/1j51vR6CYVGhABJpv6tkstgok82RLpXieLzW1yOY5rHw/edi"&amp;"t?usp=sharing"",""สิงห์บุรี!Q624"")+IMPORTRANGE(""https://docs.google.com/spreadsheets/d/1H1EalTWKUSzO4Z1-1CwzoDUaVffgrThEBe2sl74kKG0/edit?usp=sharing"",""สุพรรณบุรี!Q624"")+IMPORTRANGE(""https://docs.google.com/spreadsheets/d/1BmIruG_sIrJLYao_Pdr7zVArWsf"&amp;"oBt2692TMi6x_854/edit?usp=sharing"",""อ่างทอง!Q624"")"),0)</f>
        <v>0</v>
      </c>
      <c r="R625" s="74">
        <f ca="1">IFERROR(__xludf.DUMMYFUNCTION("IMPORTRANGE(""https://docs.google.com/spreadsheets/d/13wPX838HrBrQMCywv1BsuMkt4PEKTChp52zj44s2izQ/edit?usp=sharing"",""กาญจนบุรี!R624"")+IMPORTRANGE(""https://docs.google.com/spreadsheets/d/1ddFKvqj1W1NEiWytbGlB1zMx_ykJDVtmfEQ-6-lIUBA/edit?usp=sharing"","&amp;"""จันทบุรี!R624"")+IMPORTRANGE(""https://docs.google.com/spreadsheets/d/1T1PQvRODqOBZk8BRht_U031fIS1beLA0Ub2CEytj2q0/edit?usp=sharing"",""ฉะเชิงเทรา!R624"")+IMPORTRANGE(""https://docs.google.com/spreadsheets/d/11tr1B-Bhyr79v2bkwVh5h_fR-PStkgjlZtkrZpYurG0/"&amp;"edit?usp=sharing"",""ชลบุรี!R624"")+IMPORTRANGE(""https://docs.google.com/spreadsheets/d/1hh-FVnSX0vozXhGluamEcS54Dw9_zqW0N7qJUWgJ0Sw/edit?usp=sharing"",""ชัยนาท!R624"")+IMPORTRANGE(""https://docs.google.com/spreadsheets/d/1jkqa6GXxSacMcY1eN8AHjMNJ_7dDXMJ"&amp;"VRLDlaFSOdPM/edit?usp=sharing"",""ตราด!R624"")+IMPORTRANGE(""https://docs.google.com/spreadsheets/d/18hSgUJ3VwClqi_qtULmmW3cLr0oe3OKaSYoKzdpTsYQ/edit?usp=sharing"",""นครนายก!R624"")+IMPORTRANGE(""https://docs.google.com/spreadsheets/d/1YTZo6WM2dQ6Ix6FSdnL"&amp;"5P7uVnVKu40sxZu975tgG10E/edit?usp=sharing"",""นครปฐม!R624"")+IMPORTRANGE(""https://docs.google.com/spreadsheets/d/1OYoGg4WDg5RIzwGeB10padOxJF9E_Vljuvvct_M7RDo/edit?usp=sharing"",""ปทุมธานี!R624"")+IMPORTRANGE(""https://docs.google.com/spreadsheets/d/1GbCI"&amp;"E4D4wk9FUozzqk7SxfDMxDVBwVmI5zcaVUSzKAc/edit?usp=sharing"",""ประจวบคีรีขันธ์!R624"")+IMPORTRANGE(""https://docs.google.com/spreadsheets/d/1vVf6wykvW_lAyu7Yo9L4hUTqHqIeP_qcVuxCtosJEbg/edit?usp=sharing"",""ปราจีนบุรี!R624"")+IMPORTRANGE(""https://docs.googl"&amp;"e.com/spreadsheets/d/1BIDqLLg5jk3v59G8NlR8rk5xfQDKne0sAvZHSj7TI6I/edit?usp=sharing"",""พระนครศรีอยุธยา!R624"")+IMPORTRANGE(""https://docs.google.com/spreadsheets/d/1YXvxf8Yu6_rV4hTBrwMqAcAnv6DfhUxh5emyM3CJp_w/edit?usp=sharing"",""เพชรบุรี!R624"")+IMPORTRA"&amp;"NGE(""https://docs.google.com/spreadsheets/d/19KBlQQs7uwvsao6t2n-KvW3Ax8J8uRRfZPq1zPbXgKc/edit?usp=sharing"",""ระยอง!R624"")+IMPORTRANGE(""https://docs.google.com/spreadsheets/d/1jQ6P4QcrGM89YfqcC_PxOHGCMq5ezhucwJd8ci-NHng/edit?usp=sharing"",""ราชบุรี!R62"&amp;"4"")+IMPORTRANGE(""https://docs.google.com/spreadsheets/d/1lufeA2cfFqM-elVq2hznhDzC6Pr7wkJ9ZG_sYNGCMCU/edit?usp=sharing"",""ลพบุรี!R624"")+IMPORTRANGE(""https://docs.google.com/spreadsheets/d/10oOiF7loTyfsTkbd4MpaIm0HQ9SwB7IYHdIUvt-U1Uc/edit?usp=sharing"""&amp;",""สระแก้ว!R624"")+IMPORTRANGE(""https://docs.google.com/spreadsheets/d/1xmPlrr1QbdSIKvl1dWUl9K4PjAfSL9oeMr_37QVzcxc/edit?usp=sharing"",""สระบุรี!R624"")+IMPORTRANGE(""https://docs.google.com/spreadsheets/d/1j51vR6CYVGhABJpv6tkstgok82RLpXieLzW1yOY5rHw/edi"&amp;"t?usp=sharing"",""สิงห์บุรี!R624"")+IMPORTRANGE(""https://docs.google.com/spreadsheets/d/1H1EalTWKUSzO4Z1-1CwzoDUaVffgrThEBe2sl74kKG0/edit?usp=sharing"",""สุพรรณบุรี!R624"")+IMPORTRANGE(""https://docs.google.com/spreadsheets/d/1BmIruG_sIrJLYao_Pdr7zVArWsf"&amp;"oBt2692TMi6x_854/edit?usp=sharing"",""อ่างทอง!R624"")"),0)</f>
        <v>0</v>
      </c>
      <c r="S625" s="74">
        <f ca="1">IFERROR(__xludf.DUMMYFUNCTION("IMPORTRANGE(""https://docs.google.com/spreadsheets/d/13wPX838HrBrQMCywv1BsuMkt4PEKTChp52zj44s2izQ/edit?usp=sharing"",""กาญจนบุรี!S624"")+IMPORTRANGE(""https://docs.google.com/spreadsheets/d/1ddFKvqj1W1NEiWytbGlB1zMx_ykJDVtmfEQ-6-lIUBA/edit?usp=sharing"","&amp;"""จันทบุรี!S624"")+IMPORTRANGE(""https://docs.google.com/spreadsheets/d/1T1PQvRODqOBZk8BRht_U031fIS1beLA0Ub2CEytj2q0/edit?usp=sharing"",""ฉะเชิงเทรา!S624"")+IMPORTRANGE(""https://docs.google.com/spreadsheets/d/11tr1B-Bhyr79v2bkwVh5h_fR-PStkgjlZtkrZpYurG0/"&amp;"edit?usp=sharing"",""ชลบุรี!S624"")+IMPORTRANGE(""https://docs.google.com/spreadsheets/d/1hh-FVnSX0vozXhGluamEcS54Dw9_zqW0N7qJUWgJ0Sw/edit?usp=sharing"",""ชัยนาท!S624"")+IMPORTRANGE(""https://docs.google.com/spreadsheets/d/1jkqa6GXxSacMcY1eN8AHjMNJ_7dDXMJ"&amp;"VRLDlaFSOdPM/edit?usp=sharing"",""ตราด!S624"")+IMPORTRANGE(""https://docs.google.com/spreadsheets/d/18hSgUJ3VwClqi_qtULmmW3cLr0oe3OKaSYoKzdpTsYQ/edit?usp=sharing"",""นครนายก!S624"")+IMPORTRANGE(""https://docs.google.com/spreadsheets/d/1YTZo6WM2dQ6Ix6FSdnL"&amp;"5P7uVnVKu40sxZu975tgG10E/edit?usp=sharing"",""นครปฐม!S624"")+IMPORTRANGE(""https://docs.google.com/spreadsheets/d/1OYoGg4WDg5RIzwGeB10padOxJF9E_Vljuvvct_M7RDo/edit?usp=sharing"",""ปทุมธานี!S624"")+IMPORTRANGE(""https://docs.google.com/spreadsheets/d/1GbCI"&amp;"E4D4wk9FUozzqk7SxfDMxDVBwVmI5zcaVUSzKAc/edit?usp=sharing"",""ประจวบคีรีขันธ์!S624"")+IMPORTRANGE(""https://docs.google.com/spreadsheets/d/1vVf6wykvW_lAyu7Yo9L4hUTqHqIeP_qcVuxCtosJEbg/edit?usp=sharing"",""ปราจีนบุรี!S624"")+IMPORTRANGE(""https://docs.googl"&amp;"e.com/spreadsheets/d/1BIDqLLg5jk3v59G8NlR8rk5xfQDKne0sAvZHSj7TI6I/edit?usp=sharing"",""พระนครศรีอยุธยา!S624"")+IMPORTRANGE(""https://docs.google.com/spreadsheets/d/1YXvxf8Yu6_rV4hTBrwMqAcAnv6DfhUxh5emyM3CJp_w/edit?usp=sharing"",""เพชรบุรี!S624"")+IMPORTRA"&amp;"NGE(""https://docs.google.com/spreadsheets/d/19KBlQQs7uwvsao6t2n-KvW3Ax8J8uRRfZPq1zPbXgKc/edit?usp=sharing"",""ระยอง!S624"")+IMPORTRANGE(""https://docs.google.com/spreadsheets/d/1jQ6P4QcrGM89YfqcC_PxOHGCMq5ezhucwJd8ci-NHng/edit?usp=sharing"",""ราชบุรี!S62"&amp;"4"")+IMPORTRANGE(""https://docs.google.com/spreadsheets/d/1lufeA2cfFqM-elVq2hznhDzC6Pr7wkJ9ZG_sYNGCMCU/edit?usp=sharing"",""ลพบุรี!S624"")+IMPORTRANGE(""https://docs.google.com/spreadsheets/d/10oOiF7loTyfsTkbd4MpaIm0HQ9SwB7IYHdIUvt-U1Uc/edit?usp=sharing"""&amp;",""สระแก้ว!S624"")+IMPORTRANGE(""https://docs.google.com/spreadsheets/d/1xmPlrr1QbdSIKvl1dWUl9K4PjAfSL9oeMr_37QVzcxc/edit?usp=sharing"",""สระบุรี!S624"")+IMPORTRANGE(""https://docs.google.com/spreadsheets/d/1j51vR6CYVGhABJpv6tkstgok82RLpXieLzW1yOY5rHw/edi"&amp;"t?usp=sharing"",""สิงห์บุรี!S624"")+IMPORTRANGE(""https://docs.google.com/spreadsheets/d/1H1EalTWKUSzO4Z1-1CwzoDUaVffgrThEBe2sl74kKG0/edit?usp=sharing"",""สุพรรณบุรี!S624"")+IMPORTRANGE(""https://docs.google.com/spreadsheets/d/1BmIruG_sIrJLYao_Pdr7zVArWsf"&amp;"oBt2692TMi6x_854/edit?usp=sharing"",""อ่างทอง!S624"")"),0)</f>
        <v>0</v>
      </c>
      <c r="T625" s="132">
        <f t="shared" ca="1" si="433"/>
        <v>0</v>
      </c>
      <c r="U625" s="132">
        <f t="shared" ca="1" si="434"/>
        <v>0</v>
      </c>
    </row>
    <row r="626" spans="1:21" ht="19.5" x14ac:dyDescent="0.3">
      <c r="A626" s="276"/>
      <c r="B626" s="277"/>
      <c r="C626" s="309" t="s">
        <v>18</v>
      </c>
      <c r="D626" s="744" t="s">
        <v>38</v>
      </c>
      <c r="E626" s="280"/>
      <c r="F626" s="280"/>
      <c r="G626" s="281"/>
      <c r="H626" s="310"/>
      <c r="I626" s="272"/>
      <c r="J626" s="272"/>
      <c r="K626" s="229"/>
      <c r="L626" s="229"/>
      <c r="M626" s="229"/>
      <c r="N626" s="229"/>
      <c r="O626" s="229"/>
      <c r="P626" s="229"/>
      <c r="Q626" s="228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0"/>
      <c r="F627" s="290"/>
      <c r="G627" s="282"/>
      <c r="H627" s="746" t="s">
        <v>46</v>
      </c>
      <c r="I627" s="622">
        <f ca="1">IFERROR(__xludf.DUMMYFUNCTION("IMPORTRANGE(""https://docs.google.com/spreadsheets/d/13wPX838HrBrQMCywv1BsuMkt4PEKTChp52zj44s2izQ/edit?usp=sharing"",""กาญจนบุรี!I626"")+IMPORTRANGE(""https://docs.google.com/spreadsheets/d/1ddFKvqj1W1NEiWytbGlB1zMx_ykJDVtmfEQ-6-lIUBA/edit?usp=sharing"","&amp;"""จันทบุรี!I626"")+IMPORTRANGE(""https://docs.google.com/spreadsheets/d/1T1PQvRODqOBZk8BRht_U031fIS1beLA0Ub2CEytj2q0/edit?usp=sharing"",""ฉะเชิงเทรา!I626"")+IMPORTRANGE(""https://docs.google.com/spreadsheets/d/11tr1B-Bhyr79v2bkwVh5h_fR-PStkgjlZtkrZpYurG0/"&amp;"edit?usp=sharing"",""ชลบุรี!I626"")+IMPORTRANGE(""https://docs.google.com/spreadsheets/d/1hh-FVnSX0vozXhGluamEcS54Dw9_zqW0N7qJUWgJ0Sw/edit?usp=sharing"",""ชัยนาท!I626"")+IMPORTRANGE(""https://docs.google.com/spreadsheets/d/1jkqa6GXxSacMcY1eN8AHjMNJ_7dDXMJ"&amp;"VRLDlaFSOdPM/edit?usp=sharing"",""ตราด!I626"")+IMPORTRANGE(""https://docs.google.com/spreadsheets/d/18hSgUJ3VwClqi_qtULmmW3cLr0oe3OKaSYoKzdpTsYQ/edit?usp=sharing"",""นครนายก!I626"")+IMPORTRANGE(""https://docs.google.com/spreadsheets/d/1YTZo6WM2dQ6Ix6FSdnL"&amp;"5P7uVnVKu40sxZu975tgG10E/edit?usp=sharing"",""นครปฐม!I626"")+IMPORTRANGE(""https://docs.google.com/spreadsheets/d/1OYoGg4WDg5RIzwGeB10padOxJF9E_Vljuvvct_M7RDo/edit?usp=sharing"",""ปทุมธานี!I626"")+IMPORTRANGE(""https://docs.google.com/spreadsheets/d/1GbCI"&amp;"E4D4wk9FUozzqk7SxfDMxDVBwVmI5zcaVUSzKAc/edit?usp=sharing"",""ประจวบคีรีขันธ์!I626"")+IMPORTRANGE(""https://docs.google.com/spreadsheets/d/1vVf6wykvW_lAyu7Yo9L4hUTqHqIeP_qcVuxCtosJEbg/edit?usp=sharing"",""ปราจีนบุรี!I626"")+IMPORTRANGE(""https://docs.googl"&amp;"e.com/spreadsheets/d/1BIDqLLg5jk3v59G8NlR8rk5xfQDKne0sAvZHSj7TI6I/edit?usp=sharing"",""พระนครศรีอยุธยา!I626"")+IMPORTRANGE(""https://docs.google.com/spreadsheets/d/1YXvxf8Yu6_rV4hTBrwMqAcAnv6DfhUxh5emyM3CJp_w/edit?usp=sharing"",""เพชรบุรี!I626"")+IMPORTRA"&amp;"NGE(""https://docs.google.com/spreadsheets/d/19KBlQQs7uwvsao6t2n-KvW3Ax8J8uRRfZPq1zPbXgKc/edit?usp=sharing"",""ระยอง!I626"")+IMPORTRANGE(""https://docs.google.com/spreadsheets/d/1jQ6P4QcrGM89YfqcC_PxOHGCMq5ezhucwJd8ci-NHng/edit?usp=sharing"",""ราชบุรี!I62"&amp;"6"")+IMPORTRANGE(""https://docs.google.com/spreadsheets/d/1lufeA2cfFqM-elVq2hznhDzC6Pr7wkJ9ZG_sYNGCMCU/edit?usp=sharing"",""ลพบุรี!I626"")+IMPORTRANGE(""https://docs.google.com/spreadsheets/d/10oOiF7loTyfsTkbd4MpaIm0HQ9SwB7IYHdIUvt-U1Uc/edit?usp=sharing"""&amp;",""สระแก้ว!I626"")+IMPORTRANGE(""https://docs.google.com/spreadsheets/d/1xmPlrr1QbdSIKvl1dWUl9K4PjAfSL9oeMr_37QVzcxc/edit?usp=sharing"",""สระบุรี!I626"")+IMPORTRANGE(""https://docs.google.com/spreadsheets/d/1j51vR6CYVGhABJpv6tkstgok82RLpXieLzW1yOY5rHw/edi"&amp;"t?usp=sharing"",""สิงห์บุรี!I626"")+IMPORTRANGE(""https://docs.google.com/spreadsheets/d/1H1EalTWKUSzO4Z1-1CwzoDUaVffgrThEBe2sl74kKG0/edit?usp=sharing"",""สุพรรณบุรี!I626"")+IMPORTRANGE(""https://docs.google.com/spreadsheets/d/1BmIruG_sIrJLYao_Pdr7zVArWsf"&amp;"oBt2692TMi6x_854/edit?usp=sharing"",""อ่างทอง!I626"")"),1060)</f>
        <v>1060</v>
      </c>
      <c r="J627" s="622">
        <f ca="1">J633</f>
        <v>0</v>
      </c>
      <c r="K627" s="264">
        <f ca="1">IF(I627&gt;0,J627*100/I627,0)</f>
        <v>0</v>
      </c>
      <c r="L627" s="229"/>
      <c r="M627" s="229"/>
      <c r="N627" s="229"/>
      <c r="O627" s="229"/>
      <c r="P627" s="229"/>
      <c r="Q627" s="228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1" t="s">
        <v>224</v>
      </c>
      <c r="F628" s="290"/>
      <c r="G628" s="282"/>
      <c r="H628" s="275" t="s">
        <v>61</v>
      </c>
      <c r="I628" s="293">
        <f ca="1">IFERROR(__xludf.DUMMYFUNCTION("IMPORTRANGE(""https://docs.google.com/spreadsheets/d/13wPX838HrBrQMCywv1BsuMkt4PEKTChp52zj44s2izQ/edit?usp=sharing"",""กาญจนบุรี!I627"")+IMPORTRANGE(""https://docs.google.com/spreadsheets/d/1ddFKvqj1W1NEiWytbGlB1zMx_ykJDVtmfEQ-6-lIUBA/edit?usp=sharing"","&amp;"""จันทบุรี!I627"")+IMPORTRANGE(""https://docs.google.com/spreadsheets/d/1T1PQvRODqOBZk8BRht_U031fIS1beLA0Ub2CEytj2q0/edit?usp=sharing"",""ฉะเชิงเทรา!I627"")+IMPORTRANGE(""https://docs.google.com/spreadsheets/d/11tr1B-Bhyr79v2bkwVh5h_fR-PStkgjlZtkrZpYurG0/"&amp;"edit?usp=sharing"",""ชลบุรี!I627"")+IMPORTRANGE(""https://docs.google.com/spreadsheets/d/1hh-FVnSX0vozXhGluamEcS54Dw9_zqW0N7qJUWgJ0Sw/edit?usp=sharing"",""ชัยนาท!I627"")+IMPORTRANGE(""https://docs.google.com/spreadsheets/d/1jkqa6GXxSacMcY1eN8AHjMNJ_7dDXMJ"&amp;"VRLDlaFSOdPM/edit?usp=sharing"",""ตราด!I627"")+IMPORTRANGE(""https://docs.google.com/spreadsheets/d/18hSgUJ3VwClqi_qtULmmW3cLr0oe3OKaSYoKzdpTsYQ/edit?usp=sharing"",""นครนายก!I627"")+IMPORTRANGE(""https://docs.google.com/spreadsheets/d/1YTZo6WM2dQ6Ix6FSdnL"&amp;"5P7uVnVKu40sxZu975tgG10E/edit?usp=sharing"",""นครปฐม!I627"")+IMPORTRANGE(""https://docs.google.com/spreadsheets/d/1OYoGg4WDg5RIzwGeB10padOxJF9E_Vljuvvct_M7RDo/edit?usp=sharing"",""ปทุมธานี!I627"")+IMPORTRANGE(""https://docs.google.com/spreadsheets/d/1GbCI"&amp;"E4D4wk9FUozzqk7SxfDMxDVBwVmI5zcaVUSzKAc/edit?usp=sharing"",""ประจวบคีรีขันธ์!I627"")+IMPORTRANGE(""https://docs.google.com/spreadsheets/d/1vVf6wykvW_lAyu7Yo9L4hUTqHqIeP_qcVuxCtosJEbg/edit?usp=sharing"",""ปราจีนบุรี!I627"")+IMPORTRANGE(""https://docs.googl"&amp;"e.com/spreadsheets/d/1BIDqLLg5jk3v59G8NlR8rk5xfQDKne0sAvZHSj7TI6I/edit?usp=sharing"",""พระนครศรีอยุธยา!I627"")+IMPORTRANGE(""https://docs.google.com/spreadsheets/d/1YXvxf8Yu6_rV4hTBrwMqAcAnv6DfhUxh5emyM3CJp_w/edit?usp=sharing"",""เพชรบุรี!I627"")+IMPORTRA"&amp;"NGE(""https://docs.google.com/spreadsheets/d/19KBlQQs7uwvsao6t2n-KvW3Ax8J8uRRfZPq1zPbXgKc/edit?usp=sharing"",""ระยอง!I627"")+IMPORTRANGE(""https://docs.google.com/spreadsheets/d/1jQ6P4QcrGM89YfqcC_PxOHGCMq5ezhucwJd8ci-NHng/edit?usp=sharing"",""ราชบุรี!I62"&amp;"7"")+IMPORTRANGE(""https://docs.google.com/spreadsheets/d/1lufeA2cfFqM-elVq2hznhDzC6Pr7wkJ9ZG_sYNGCMCU/edit?usp=sharing"",""ลพบุรี!I627"")+IMPORTRANGE(""https://docs.google.com/spreadsheets/d/10oOiF7loTyfsTkbd4MpaIm0HQ9SwB7IYHdIUvt-U1Uc/edit?usp=sharing"""&amp;",""สระแก้ว!I627"")+IMPORTRANGE(""https://docs.google.com/spreadsheets/d/1xmPlrr1QbdSIKvl1dWUl9K4PjAfSL9oeMr_37QVzcxc/edit?usp=sharing"",""สระบุรี!I627"")+IMPORTRANGE(""https://docs.google.com/spreadsheets/d/1j51vR6CYVGhABJpv6tkstgok82RLpXieLzW1yOY5rHw/edi"&amp;"t?usp=sharing"",""สิงห์บุรี!I627"")+IMPORTRANGE(""https://docs.google.com/spreadsheets/d/1H1EalTWKUSzO4Z1-1CwzoDUaVffgrThEBe2sl74kKG0/edit?usp=sharing"",""สุพรรณบุรี!I627"")+IMPORTRANGE(""https://docs.google.com/spreadsheets/d/1BmIruG_sIrJLYao_Pdr7zVArWsf"&amp;"oBt2692TMi6x_854/edit?usp=sharing"",""อ่างทอง!I627"")"),7)</f>
        <v>7</v>
      </c>
      <c r="J628" s="294">
        <f ca="1">IFERROR(__xludf.DUMMYFUNCTION("IMPORTRANGE(""https://docs.google.com/spreadsheets/d/13wPX838HrBrQMCywv1BsuMkt4PEKTChp52zj44s2izQ/edit?usp=sharing"",""กาญจนบุรี!J627"")+IMPORTRANGE(""https://docs.google.com/spreadsheets/d/1ddFKvqj1W1NEiWytbGlB1zMx_ykJDVtmfEQ-6-lIUBA/edit?usp=sharing"","&amp;"""จันทบุรี!J627"")+IMPORTRANGE(""https://docs.google.com/spreadsheets/d/1T1PQvRODqOBZk8BRht_U031fIS1beLA0Ub2CEytj2q0/edit?usp=sharing"",""ฉะเชิงเทรา!J627"")+IMPORTRANGE(""https://docs.google.com/spreadsheets/d/11tr1B-Bhyr79v2bkwVh5h_fR-PStkgjlZtkrZpYurG0/"&amp;"edit?usp=sharing"",""ชลบุรี!J627"")+IMPORTRANGE(""https://docs.google.com/spreadsheets/d/1hh-FVnSX0vozXhGluamEcS54Dw9_zqW0N7qJUWgJ0Sw/edit?usp=sharing"",""ชัยนาท!J627"")+IMPORTRANGE(""https://docs.google.com/spreadsheets/d/1jkqa6GXxSacMcY1eN8AHjMNJ_7dDXMJ"&amp;"VRLDlaFSOdPM/edit?usp=sharing"",""ตราด!J627"")+IMPORTRANGE(""https://docs.google.com/spreadsheets/d/18hSgUJ3VwClqi_qtULmmW3cLr0oe3OKaSYoKzdpTsYQ/edit?usp=sharing"",""นครนายก!J627"")+IMPORTRANGE(""https://docs.google.com/spreadsheets/d/1YTZo6WM2dQ6Ix6FSdnL"&amp;"5P7uVnVKu40sxZu975tgG10E/edit?usp=sharing"",""นครปฐม!J627"")+IMPORTRANGE(""https://docs.google.com/spreadsheets/d/1OYoGg4WDg5RIzwGeB10padOxJF9E_Vljuvvct_M7RDo/edit?usp=sharing"",""ปทุมธานี!J627"")+IMPORTRANGE(""https://docs.google.com/spreadsheets/d/1GbCI"&amp;"E4D4wk9FUozzqk7SxfDMxDVBwVmI5zcaVUSzKAc/edit?usp=sharing"",""ประจวบคีรีขันธ์!J627"")+IMPORTRANGE(""https://docs.google.com/spreadsheets/d/1vVf6wykvW_lAyu7Yo9L4hUTqHqIeP_qcVuxCtosJEbg/edit?usp=sharing"",""ปราจีนบุรี!J627"")+IMPORTRANGE(""https://docs.googl"&amp;"e.com/spreadsheets/d/1BIDqLLg5jk3v59G8NlR8rk5xfQDKne0sAvZHSj7TI6I/edit?usp=sharing"",""พระนครศรีอยุธยา!J627"")+IMPORTRANGE(""https://docs.google.com/spreadsheets/d/1YXvxf8Yu6_rV4hTBrwMqAcAnv6DfhUxh5emyM3CJp_w/edit?usp=sharing"",""เพชรบุรี!J627"")+IMPORTRA"&amp;"NGE(""https://docs.google.com/spreadsheets/d/19KBlQQs7uwvsao6t2n-KvW3Ax8J8uRRfZPq1zPbXgKc/edit?usp=sharing"",""ระยอง!J627"")+IMPORTRANGE(""https://docs.google.com/spreadsheets/d/1jQ6P4QcrGM89YfqcC_PxOHGCMq5ezhucwJd8ci-NHng/edit?usp=sharing"",""ราชบุรี!J62"&amp;"7"")+IMPORTRANGE(""https://docs.google.com/spreadsheets/d/1lufeA2cfFqM-elVq2hznhDzC6Pr7wkJ9ZG_sYNGCMCU/edit?usp=sharing"",""ลพบุรี!J627"")+IMPORTRANGE(""https://docs.google.com/spreadsheets/d/10oOiF7loTyfsTkbd4MpaIm0HQ9SwB7IYHdIUvt-U1Uc/edit?usp=sharing"""&amp;",""สระแก้ว!J627"")+IMPORTRANGE(""https://docs.google.com/spreadsheets/d/1xmPlrr1QbdSIKvl1dWUl9K4PjAfSL9oeMr_37QVzcxc/edit?usp=sharing"",""สระบุรี!J627"")+IMPORTRANGE(""https://docs.google.com/spreadsheets/d/1j51vR6CYVGhABJpv6tkstgok82RLpXieLzW1yOY5rHw/edi"&amp;"t?usp=sharing"",""สิงห์บุรี!J627"")+IMPORTRANGE(""https://docs.google.com/spreadsheets/d/1H1EalTWKUSzO4Z1-1CwzoDUaVffgrThEBe2sl74kKG0/edit?usp=sharing"",""สุพรรณบุรี!J627"")+IMPORTRANGE(""https://docs.google.com/spreadsheets/d/1BmIruG_sIrJLYao_Pdr7zVArWsf"&amp;"oBt2692TMi6x_854/edit?usp=sharing"",""อ่างทอง!J627"")"),1)</f>
        <v>1</v>
      </c>
      <c r="K628" s="74">
        <f t="shared" ref="K628:K629" ca="1" si="443">IF(I628&gt;0,(J628*100)/I628,0)</f>
        <v>14.285714285714286</v>
      </c>
      <c r="L628" s="229"/>
      <c r="M628" s="229"/>
      <c r="N628" s="229"/>
      <c r="O628" s="229"/>
      <c r="P628" s="229"/>
      <c r="Q628" s="228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1" t="s">
        <v>225</v>
      </c>
      <c r="F629" s="290"/>
      <c r="G629" s="282"/>
      <c r="H629" s="275" t="s">
        <v>61</v>
      </c>
      <c r="I629" s="293">
        <f ca="1">IFERROR(__xludf.DUMMYFUNCTION("IMPORTRANGE(""https://docs.google.com/spreadsheets/d/13wPX838HrBrQMCywv1BsuMkt4PEKTChp52zj44s2izQ/edit?usp=sharing"",""กาญจนบุรี!I628"")+IMPORTRANGE(""https://docs.google.com/spreadsheets/d/1ddFKvqj1W1NEiWytbGlB1zMx_ykJDVtmfEQ-6-lIUBA/edit?usp=sharing"","&amp;"""จันทบุรี!I628"")+IMPORTRANGE(""https://docs.google.com/spreadsheets/d/1T1PQvRODqOBZk8BRht_U031fIS1beLA0Ub2CEytj2q0/edit?usp=sharing"",""ฉะเชิงเทรา!I628"")+IMPORTRANGE(""https://docs.google.com/spreadsheets/d/11tr1B-Bhyr79v2bkwVh5h_fR-PStkgjlZtkrZpYurG0/"&amp;"edit?usp=sharing"",""ชลบุรี!I628"")+IMPORTRANGE(""https://docs.google.com/spreadsheets/d/1hh-FVnSX0vozXhGluamEcS54Dw9_zqW0N7qJUWgJ0Sw/edit?usp=sharing"",""ชัยนาท!I628"")+IMPORTRANGE(""https://docs.google.com/spreadsheets/d/1jkqa6GXxSacMcY1eN8AHjMNJ_7dDXMJ"&amp;"VRLDlaFSOdPM/edit?usp=sharing"",""ตราด!I628"")+IMPORTRANGE(""https://docs.google.com/spreadsheets/d/18hSgUJ3VwClqi_qtULmmW3cLr0oe3OKaSYoKzdpTsYQ/edit?usp=sharing"",""นครนายก!I628"")+IMPORTRANGE(""https://docs.google.com/spreadsheets/d/1YTZo6WM2dQ6Ix6FSdnL"&amp;"5P7uVnVKu40sxZu975tgG10E/edit?usp=sharing"",""นครปฐม!I628"")+IMPORTRANGE(""https://docs.google.com/spreadsheets/d/1OYoGg4WDg5RIzwGeB10padOxJF9E_Vljuvvct_M7RDo/edit?usp=sharing"",""ปทุมธานี!I628"")+IMPORTRANGE(""https://docs.google.com/spreadsheets/d/1GbCI"&amp;"E4D4wk9FUozzqk7SxfDMxDVBwVmI5zcaVUSzKAc/edit?usp=sharing"",""ประจวบคีรีขันธ์!I628"")+IMPORTRANGE(""https://docs.google.com/spreadsheets/d/1vVf6wykvW_lAyu7Yo9L4hUTqHqIeP_qcVuxCtosJEbg/edit?usp=sharing"",""ปราจีนบุรี!I628"")+IMPORTRANGE(""https://docs.googl"&amp;"e.com/spreadsheets/d/1BIDqLLg5jk3v59G8NlR8rk5xfQDKne0sAvZHSj7TI6I/edit?usp=sharing"",""พระนครศรีอยุธยา!I628"")+IMPORTRANGE(""https://docs.google.com/spreadsheets/d/1YXvxf8Yu6_rV4hTBrwMqAcAnv6DfhUxh5emyM3CJp_w/edit?usp=sharing"",""เพชรบุรี!I628"")+IMPORTRA"&amp;"NGE(""https://docs.google.com/spreadsheets/d/19KBlQQs7uwvsao6t2n-KvW3Ax8J8uRRfZPq1zPbXgKc/edit?usp=sharing"",""ระยอง!I628"")+IMPORTRANGE(""https://docs.google.com/spreadsheets/d/1jQ6P4QcrGM89YfqcC_PxOHGCMq5ezhucwJd8ci-NHng/edit?usp=sharing"",""ราชบุรี!I62"&amp;"8"")+IMPORTRANGE(""https://docs.google.com/spreadsheets/d/1lufeA2cfFqM-elVq2hznhDzC6Pr7wkJ9ZG_sYNGCMCU/edit?usp=sharing"",""ลพบุรี!I628"")+IMPORTRANGE(""https://docs.google.com/spreadsheets/d/10oOiF7loTyfsTkbd4MpaIm0HQ9SwB7IYHdIUvt-U1Uc/edit?usp=sharing"""&amp;",""สระแก้ว!I628"")+IMPORTRANGE(""https://docs.google.com/spreadsheets/d/1xmPlrr1QbdSIKvl1dWUl9K4PjAfSL9oeMr_37QVzcxc/edit?usp=sharing"",""สระบุรี!I628"")+IMPORTRANGE(""https://docs.google.com/spreadsheets/d/1j51vR6CYVGhABJpv6tkstgok82RLpXieLzW1yOY5rHw/edi"&amp;"t?usp=sharing"",""สิงห์บุรี!I628"")+IMPORTRANGE(""https://docs.google.com/spreadsheets/d/1H1EalTWKUSzO4Z1-1CwzoDUaVffgrThEBe2sl74kKG0/edit?usp=sharing"",""สุพรรณบุรี!I628"")+IMPORTRANGE(""https://docs.google.com/spreadsheets/d/1BmIruG_sIrJLYao_Pdr7zVArWsf"&amp;"oBt2692TMi6x_854/edit?usp=sharing"",""อ่างทอง!I628"")"),7)</f>
        <v>7</v>
      </c>
      <c r="J629" s="294">
        <f ca="1">IFERROR(__xludf.DUMMYFUNCTION("IMPORTRANGE(""https://docs.google.com/spreadsheets/d/13wPX838HrBrQMCywv1BsuMkt4PEKTChp52zj44s2izQ/edit?usp=sharing"",""กาญจนบุรี!J628"")+IMPORTRANGE(""https://docs.google.com/spreadsheets/d/1ddFKvqj1W1NEiWytbGlB1zMx_ykJDVtmfEQ-6-lIUBA/edit?usp=sharing"","&amp;"""จันทบุรี!J628"")+IMPORTRANGE(""https://docs.google.com/spreadsheets/d/1T1PQvRODqOBZk8BRht_U031fIS1beLA0Ub2CEytj2q0/edit?usp=sharing"",""ฉะเชิงเทรา!J628"")+IMPORTRANGE(""https://docs.google.com/spreadsheets/d/11tr1B-Bhyr79v2bkwVh5h_fR-PStkgjlZtkrZpYurG0/"&amp;"edit?usp=sharing"",""ชลบุรี!J628"")+IMPORTRANGE(""https://docs.google.com/spreadsheets/d/1hh-FVnSX0vozXhGluamEcS54Dw9_zqW0N7qJUWgJ0Sw/edit?usp=sharing"",""ชัยนาท!J628"")+IMPORTRANGE(""https://docs.google.com/spreadsheets/d/1jkqa6GXxSacMcY1eN8AHjMNJ_7dDXMJ"&amp;"VRLDlaFSOdPM/edit?usp=sharing"",""ตราด!J628"")+IMPORTRANGE(""https://docs.google.com/spreadsheets/d/18hSgUJ3VwClqi_qtULmmW3cLr0oe3OKaSYoKzdpTsYQ/edit?usp=sharing"",""นครนายก!J628"")+IMPORTRANGE(""https://docs.google.com/spreadsheets/d/1YTZo6WM2dQ6Ix6FSdnL"&amp;"5P7uVnVKu40sxZu975tgG10E/edit?usp=sharing"",""นครปฐม!J628"")+IMPORTRANGE(""https://docs.google.com/spreadsheets/d/1OYoGg4WDg5RIzwGeB10padOxJF9E_Vljuvvct_M7RDo/edit?usp=sharing"",""ปทุมธานี!J628"")+IMPORTRANGE(""https://docs.google.com/spreadsheets/d/1GbCI"&amp;"E4D4wk9FUozzqk7SxfDMxDVBwVmI5zcaVUSzKAc/edit?usp=sharing"",""ประจวบคีรีขันธ์!J628"")+IMPORTRANGE(""https://docs.google.com/spreadsheets/d/1vVf6wykvW_lAyu7Yo9L4hUTqHqIeP_qcVuxCtosJEbg/edit?usp=sharing"",""ปราจีนบุรี!J628"")+IMPORTRANGE(""https://docs.googl"&amp;"e.com/spreadsheets/d/1BIDqLLg5jk3v59G8NlR8rk5xfQDKne0sAvZHSj7TI6I/edit?usp=sharing"",""พระนครศรีอยุธยา!J628"")+IMPORTRANGE(""https://docs.google.com/spreadsheets/d/1YXvxf8Yu6_rV4hTBrwMqAcAnv6DfhUxh5emyM3CJp_w/edit?usp=sharing"",""เพชรบุรี!J628"")+IMPORTRA"&amp;"NGE(""https://docs.google.com/spreadsheets/d/19KBlQQs7uwvsao6t2n-KvW3Ax8J8uRRfZPq1zPbXgKc/edit?usp=sharing"",""ระยอง!J628"")+IMPORTRANGE(""https://docs.google.com/spreadsheets/d/1jQ6P4QcrGM89YfqcC_PxOHGCMq5ezhucwJd8ci-NHng/edit?usp=sharing"",""ราชบุรี!J62"&amp;"8"")+IMPORTRANGE(""https://docs.google.com/spreadsheets/d/1lufeA2cfFqM-elVq2hznhDzC6Pr7wkJ9ZG_sYNGCMCU/edit?usp=sharing"",""ลพบุรี!J628"")+IMPORTRANGE(""https://docs.google.com/spreadsheets/d/10oOiF7loTyfsTkbd4MpaIm0HQ9SwB7IYHdIUvt-U1Uc/edit?usp=sharing"""&amp;",""สระแก้ว!J628"")+IMPORTRANGE(""https://docs.google.com/spreadsheets/d/1xmPlrr1QbdSIKvl1dWUl9K4PjAfSL9oeMr_37QVzcxc/edit?usp=sharing"",""สระบุรี!J628"")+IMPORTRANGE(""https://docs.google.com/spreadsheets/d/1j51vR6CYVGhABJpv6tkstgok82RLpXieLzW1yOY5rHw/edi"&amp;"t?usp=sharing"",""สิงห์บุรี!J628"")+IMPORTRANGE(""https://docs.google.com/spreadsheets/d/1H1EalTWKUSzO4Z1-1CwzoDUaVffgrThEBe2sl74kKG0/edit?usp=sharing"",""สุพรรณบุรี!J628"")+IMPORTRANGE(""https://docs.google.com/spreadsheets/d/1BmIruG_sIrJLYao_Pdr7zVArWsf"&amp;"oBt2692TMi6x_854/edit?usp=sharing"",""อ่างทอง!J628"")"),7)</f>
        <v>7</v>
      </c>
      <c r="K629" s="74">
        <f t="shared" ca="1" si="443"/>
        <v>100</v>
      </c>
      <c r="L629" s="229"/>
      <c r="M629" s="229"/>
      <c r="N629" s="229"/>
      <c r="O629" s="229"/>
      <c r="P629" s="229"/>
      <c r="Q629" s="228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1" t="s">
        <v>226</v>
      </c>
      <c r="F630" s="290"/>
      <c r="G630" s="282"/>
      <c r="H630" s="275" t="s">
        <v>46</v>
      </c>
      <c r="I630" s="263"/>
      <c r="J630" s="294">
        <f ca="1">IFERROR(__xludf.DUMMYFUNCTION("IMPORTRANGE(""https://docs.google.com/spreadsheets/d/13wPX838HrBrQMCywv1BsuMkt4PEKTChp52zj44s2izQ/edit?usp=sharing"",""กาญจนบุรี!J629"")+IMPORTRANGE(""https://docs.google.com/spreadsheets/d/1ddFKvqj1W1NEiWytbGlB1zMx_ykJDVtmfEQ-6-lIUBA/edit?usp=sharing"","&amp;"""จันทบุรี!J629"")+IMPORTRANGE(""https://docs.google.com/spreadsheets/d/1T1PQvRODqOBZk8BRht_U031fIS1beLA0Ub2CEytj2q0/edit?usp=sharing"",""ฉะเชิงเทรา!J629"")+IMPORTRANGE(""https://docs.google.com/spreadsheets/d/11tr1B-Bhyr79v2bkwVh5h_fR-PStkgjlZtkrZpYurG0/"&amp;"edit?usp=sharing"",""ชลบุรี!J629"")+IMPORTRANGE(""https://docs.google.com/spreadsheets/d/1hh-FVnSX0vozXhGluamEcS54Dw9_zqW0N7qJUWgJ0Sw/edit?usp=sharing"",""ชัยนาท!J629"")+IMPORTRANGE(""https://docs.google.com/spreadsheets/d/1jkqa6GXxSacMcY1eN8AHjMNJ_7dDXMJ"&amp;"VRLDlaFSOdPM/edit?usp=sharing"",""ตราด!J629"")+IMPORTRANGE(""https://docs.google.com/spreadsheets/d/18hSgUJ3VwClqi_qtULmmW3cLr0oe3OKaSYoKzdpTsYQ/edit?usp=sharing"",""นครนายก!J629"")+IMPORTRANGE(""https://docs.google.com/spreadsheets/d/1YTZo6WM2dQ6Ix6FSdnL"&amp;"5P7uVnVKu40sxZu975tgG10E/edit?usp=sharing"",""นครปฐม!J629"")+IMPORTRANGE(""https://docs.google.com/spreadsheets/d/1OYoGg4WDg5RIzwGeB10padOxJF9E_Vljuvvct_M7RDo/edit?usp=sharing"",""ปทุมธานี!J629"")+IMPORTRANGE(""https://docs.google.com/spreadsheets/d/1GbCI"&amp;"E4D4wk9FUozzqk7SxfDMxDVBwVmI5zcaVUSzKAc/edit?usp=sharing"",""ประจวบคีรีขันธ์!J629"")+IMPORTRANGE(""https://docs.google.com/spreadsheets/d/1vVf6wykvW_lAyu7Yo9L4hUTqHqIeP_qcVuxCtosJEbg/edit?usp=sharing"",""ปราจีนบุรี!J629"")+IMPORTRANGE(""https://docs.googl"&amp;"e.com/spreadsheets/d/1BIDqLLg5jk3v59G8NlR8rk5xfQDKne0sAvZHSj7TI6I/edit?usp=sharing"",""พระนครศรีอยุธยา!J629"")+IMPORTRANGE(""https://docs.google.com/spreadsheets/d/1YXvxf8Yu6_rV4hTBrwMqAcAnv6DfhUxh5emyM3CJp_w/edit?usp=sharing"",""เพชรบุรี!J629"")+IMPORTRA"&amp;"NGE(""https://docs.google.com/spreadsheets/d/19KBlQQs7uwvsao6t2n-KvW3Ax8J8uRRfZPq1zPbXgKc/edit?usp=sharing"",""ระยอง!J629"")+IMPORTRANGE(""https://docs.google.com/spreadsheets/d/1jQ6P4QcrGM89YfqcC_PxOHGCMq5ezhucwJd8ci-NHng/edit?usp=sharing"",""ราชบุรี!J62"&amp;"9"")+IMPORTRANGE(""https://docs.google.com/spreadsheets/d/1lufeA2cfFqM-elVq2hznhDzC6Pr7wkJ9ZG_sYNGCMCU/edit?usp=sharing"",""ลพบุรี!J629"")+IMPORTRANGE(""https://docs.google.com/spreadsheets/d/10oOiF7loTyfsTkbd4MpaIm0HQ9SwB7IYHdIUvt-U1Uc/edit?usp=sharing"""&amp;",""สระแก้ว!J629"")+IMPORTRANGE(""https://docs.google.com/spreadsheets/d/1xmPlrr1QbdSIKvl1dWUl9K4PjAfSL9oeMr_37QVzcxc/edit?usp=sharing"",""สระบุรี!J629"")+IMPORTRANGE(""https://docs.google.com/spreadsheets/d/1j51vR6CYVGhABJpv6tkstgok82RLpXieLzW1yOY5rHw/edi"&amp;"t?usp=sharing"",""สิงห์บุรี!J629"")+IMPORTRANGE(""https://docs.google.com/spreadsheets/d/1H1EalTWKUSzO4Z1-1CwzoDUaVffgrThEBe2sl74kKG0/edit?usp=sharing"",""สุพรรณบุรี!J629"")+IMPORTRANGE(""https://docs.google.com/spreadsheets/d/1BmIruG_sIrJLYao_Pdr7zVArWsf"&amp;"oBt2692TMi6x_854/edit?usp=sharing"",""อ่างทอง!J629"")"),60)</f>
        <v>60</v>
      </c>
      <c r="K630" s="74">
        <f t="shared" ref="K630:K632" ca="1" si="444">IF(I$627&gt;0,J630*100/I$627,0)</f>
        <v>5.6603773584905657</v>
      </c>
      <c r="L630" s="229"/>
      <c r="M630" s="229"/>
      <c r="N630" s="229"/>
      <c r="O630" s="229"/>
      <c r="P630" s="229"/>
      <c r="Q630" s="228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1" t="s">
        <v>227</v>
      </c>
      <c r="F631" s="290"/>
      <c r="G631" s="282"/>
      <c r="H631" s="275" t="s">
        <v>46</v>
      </c>
      <c r="I631" s="263"/>
      <c r="J631" s="294">
        <f ca="1">IFERROR(__xludf.DUMMYFUNCTION("IMPORTRANGE(""https://docs.google.com/spreadsheets/d/13wPX838HrBrQMCywv1BsuMkt4PEKTChp52zj44s2izQ/edit?usp=sharing"",""กาญจนบุรี!J630"")+IMPORTRANGE(""https://docs.google.com/spreadsheets/d/1ddFKvqj1W1NEiWytbGlB1zMx_ykJDVtmfEQ-6-lIUBA/edit?usp=sharing"","&amp;"""จันทบุรี!J630"")+IMPORTRANGE(""https://docs.google.com/spreadsheets/d/1T1PQvRODqOBZk8BRht_U031fIS1beLA0Ub2CEytj2q0/edit?usp=sharing"",""ฉะเชิงเทรา!J630"")+IMPORTRANGE(""https://docs.google.com/spreadsheets/d/11tr1B-Bhyr79v2bkwVh5h_fR-PStkgjlZtkrZpYurG0/"&amp;"edit?usp=sharing"",""ชลบุรี!J630"")+IMPORTRANGE(""https://docs.google.com/spreadsheets/d/1hh-FVnSX0vozXhGluamEcS54Dw9_zqW0N7qJUWgJ0Sw/edit?usp=sharing"",""ชัยนาท!J630"")+IMPORTRANGE(""https://docs.google.com/spreadsheets/d/1jkqa6GXxSacMcY1eN8AHjMNJ_7dDXMJ"&amp;"VRLDlaFSOdPM/edit?usp=sharing"",""ตราด!J630"")+IMPORTRANGE(""https://docs.google.com/spreadsheets/d/18hSgUJ3VwClqi_qtULmmW3cLr0oe3OKaSYoKzdpTsYQ/edit?usp=sharing"",""นครนายก!J630"")+IMPORTRANGE(""https://docs.google.com/spreadsheets/d/1YTZo6WM2dQ6Ix6FSdnL"&amp;"5P7uVnVKu40sxZu975tgG10E/edit?usp=sharing"",""นครปฐม!J630"")+IMPORTRANGE(""https://docs.google.com/spreadsheets/d/1OYoGg4WDg5RIzwGeB10padOxJF9E_Vljuvvct_M7RDo/edit?usp=sharing"",""ปทุมธานี!J630"")+IMPORTRANGE(""https://docs.google.com/spreadsheets/d/1GbCI"&amp;"E4D4wk9FUozzqk7SxfDMxDVBwVmI5zcaVUSzKAc/edit?usp=sharing"",""ประจวบคีรีขันธ์!J630"")+IMPORTRANGE(""https://docs.google.com/spreadsheets/d/1vVf6wykvW_lAyu7Yo9L4hUTqHqIeP_qcVuxCtosJEbg/edit?usp=sharing"",""ปราจีนบุรี!J630"")+IMPORTRANGE(""https://docs.googl"&amp;"e.com/spreadsheets/d/1BIDqLLg5jk3v59G8NlR8rk5xfQDKne0sAvZHSj7TI6I/edit?usp=sharing"",""พระนครศรีอยุธยา!J630"")+IMPORTRANGE(""https://docs.google.com/spreadsheets/d/1YXvxf8Yu6_rV4hTBrwMqAcAnv6DfhUxh5emyM3CJp_w/edit?usp=sharing"",""เพชรบุรี!J630"")+IMPORTRA"&amp;"NGE(""https://docs.google.com/spreadsheets/d/19KBlQQs7uwvsao6t2n-KvW3Ax8J8uRRfZPq1zPbXgKc/edit?usp=sharing"",""ระยอง!J630"")+IMPORTRANGE(""https://docs.google.com/spreadsheets/d/1jQ6P4QcrGM89YfqcC_PxOHGCMq5ezhucwJd8ci-NHng/edit?usp=sharing"",""ราชบุรี!J63"&amp;"0"")+IMPORTRANGE(""https://docs.google.com/spreadsheets/d/1lufeA2cfFqM-elVq2hznhDzC6Pr7wkJ9ZG_sYNGCMCU/edit?usp=sharing"",""ลพบุรี!J630"")+IMPORTRANGE(""https://docs.google.com/spreadsheets/d/10oOiF7loTyfsTkbd4MpaIm0HQ9SwB7IYHdIUvt-U1Uc/edit?usp=sharing"""&amp;",""สระแก้ว!J630"")+IMPORTRANGE(""https://docs.google.com/spreadsheets/d/1xmPlrr1QbdSIKvl1dWUl9K4PjAfSL9oeMr_37QVzcxc/edit?usp=sharing"",""สระบุรี!J630"")+IMPORTRANGE(""https://docs.google.com/spreadsheets/d/1j51vR6CYVGhABJpv6tkstgok82RLpXieLzW1yOY5rHw/edi"&amp;"t?usp=sharing"",""สิงห์บุรี!J630"")+IMPORTRANGE(""https://docs.google.com/spreadsheets/d/1H1EalTWKUSzO4Z1-1CwzoDUaVffgrThEBe2sl74kKG0/edit?usp=sharing"",""สุพรรณบุรี!J630"")+IMPORTRANGE(""https://docs.google.com/spreadsheets/d/1BmIruG_sIrJLYao_Pdr7zVArWsf"&amp;"oBt2692TMi6x_854/edit?usp=sharing"",""อ่างทอง!J630"")"),0)</f>
        <v>0</v>
      </c>
      <c r="K631" s="74">
        <f t="shared" ca="1" si="444"/>
        <v>0</v>
      </c>
      <c r="L631" s="229"/>
      <c r="M631" s="229"/>
      <c r="N631" s="229"/>
      <c r="O631" s="229"/>
      <c r="P631" s="229"/>
      <c r="Q631" s="228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1" t="s">
        <v>228</v>
      </c>
      <c r="F632" s="290"/>
      <c r="G632" s="282"/>
      <c r="H632" s="275" t="s">
        <v>46</v>
      </c>
      <c r="I632" s="263"/>
      <c r="J632" s="294">
        <f ca="1">IFERROR(__xludf.DUMMYFUNCTION("IMPORTRANGE(""https://docs.google.com/spreadsheets/d/13wPX838HrBrQMCywv1BsuMkt4PEKTChp52zj44s2izQ/edit?usp=sharing"",""กาญจนบุรี!J631"")+IMPORTRANGE(""https://docs.google.com/spreadsheets/d/1ddFKvqj1W1NEiWytbGlB1zMx_ykJDVtmfEQ-6-lIUBA/edit?usp=sharing"","&amp;"""จันทบุรี!J631"")+IMPORTRANGE(""https://docs.google.com/spreadsheets/d/1T1PQvRODqOBZk8BRht_U031fIS1beLA0Ub2CEytj2q0/edit?usp=sharing"",""ฉะเชิงเทรา!J631"")+IMPORTRANGE(""https://docs.google.com/spreadsheets/d/11tr1B-Bhyr79v2bkwVh5h_fR-PStkgjlZtkrZpYurG0/"&amp;"edit?usp=sharing"",""ชลบุรี!J631"")+IMPORTRANGE(""https://docs.google.com/spreadsheets/d/1hh-FVnSX0vozXhGluamEcS54Dw9_zqW0N7qJUWgJ0Sw/edit?usp=sharing"",""ชัยนาท!J631"")+IMPORTRANGE(""https://docs.google.com/spreadsheets/d/1jkqa6GXxSacMcY1eN8AHjMNJ_7dDXMJ"&amp;"VRLDlaFSOdPM/edit?usp=sharing"",""ตราด!J631"")+IMPORTRANGE(""https://docs.google.com/spreadsheets/d/18hSgUJ3VwClqi_qtULmmW3cLr0oe3OKaSYoKzdpTsYQ/edit?usp=sharing"",""นครนายก!J631"")+IMPORTRANGE(""https://docs.google.com/spreadsheets/d/1YTZo6WM2dQ6Ix6FSdnL"&amp;"5P7uVnVKu40sxZu975tgG10E/edit?usp=sharing"",""นครปฐม!J631"")+IMPORTRANGE(""https://docs.google.com/spreadsheets/d/1OYoGg4WDg5RIzwGeB10padOxJF9E_Vljuvvct_M7RDo/edit?usp=sharing"",""ปทุมธานี!J631"")+IMPORTRANGE(""https://docs.google.com/spreadsheets/d/1GbCI"&amp;"E4D4wk9FUozzqk7SxfDMxDVBwVmI5zcaVUSzKAc/edit?usp=sharing"",""ประจวบคีรีขันธ์!J631"")+IMPORTRANGE(""https://docs.google.com/spreadsheets/d/1vVf6wykvW_lAyu7Yo9L4hUTqHqIeP_qcVuxCtosJEbg/edit?usp=sharing"",""ปราจีนบุรี!J631"")+IMPORTRANGE(""https://docs.googl"&amp;"e.com/spreadsheets/d/1BIDqLLg5jk3v59G8NlR8rk5xfQDKne0sAvZHSj7TI6I/edit?usp=sharing"",""พระนครศรีอยุธยา!J631"")+IMPORTRANGE(""https://docs.google.com/spreadsheets/d/1YXvxf8Yu6_rV4hTBrwMqAcAnv6DfhUxh5emyM3CJp_w/edit?usp=sharing"",""เพชรบุรี!J631"")+IMPORTRA"&amp;"NGE(""https://docs.google.com/spreadsheets/d/19KBlQQs7uwvsao6t2n-KvW3Ax8J8uRRfZPq1zPbXgKc/edit?usp=sharing"",""ระยอง!J631"")+IMPORTRANGE(""https://docs.google.com/spreadsheets/d/1jQ6P4QcrGM89YfqcC_PxOHGCMq5ezhucwJd8ci-NHng/edit?usp=sharing"",""ราชบุรี!J63"&amp;"1"")+IMPORTRANGE(""https://docs.google.com/spreadsheets/d/1lufeA2cfFqM-elVq2hznhDzC6Pr7wkJ9ZG_sYNGCMCU/edit?usp=sharing"",""ลพบุรี!J631"")+IMPORTRANGE(""https://docs.google.com/spreadsheets/d/10oOiF7loTyfsTkbd4MpaIm0HQ9SwB7IYHdIUvt-U1Uc/edit?usp=sharing"""&amp;",""สระแก้ว!J631"")+IMPORTRANGE(""https://docs.google.com/spreadsheets/d/1xmPlrr1QbdSIKvl1dWUl9K4PjAfSL9oeMr_37QVzcxc/edit?usp=sharing"",""สระบุรี!J631"")+IMPORTRANGE(""https://docs.google.com/spreadsheets/d/1j51vR6CYVGhABJpv6tkstgok82RLpXieLzW1yOY5rHw/edi"&amp;"t?usp=sharing"",""สิงห์บุรี!J631"")+IMPORTRANGE(""https://docs.google.com/spreadsheets/d/1H1EalTWKUSzO4Z1-1CwzoDUaVffgrThEBe2sl74kKG0/edit?usp=sharing"",""สุพรรณบุรี!J631"")+IMPORTRANGE(""https://docs.google.com/spreadsheets/d/1BmIruG_sIrJLYao_Pdr7zVArWsf"&amp;"oBt2692TMi6x_854/edit?usp=sharing"",""อ่างทอง!J631"")"),0)</f>
        <v>0</v>
      </c>
      <c r="K632" s="74">
        <f t="shared" ca="1" si="444"/>
        <v>0</v>
      </c>
      <c r="L632" s="229"/>
      <c r="M632" s="229"/>
      <c r="N632" s="229"/>
      <c r="O632" s="229"/>
      <c r="P632" s="229"/>
      <c r="Q632" s="228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1" t="s">
        <v>229</v>
      </c>
      <c r="F633" s="290"/>
      <c r="G633" s="282"/>
      <c r="H633" s="275" t="s">
        <v>46</v>
      </c>
      <c r="I633" s="263"/>
      <c r="J633" s="622">
        <f ca="1">J634+J635</f>
        <v>0</v>
      </c>
      <c r="K633" s="264">
        <f ca="1">IF(I627&gt;0,J633*100/I627,0)</f>
        <v>0</v>
      </c>
      <c r="L633" s="229"/>
      <c r="M633" s="229"/>
      <c r="N633" s="229"/>
      <c r="O633" s="229"/>
      <c r="P633" s="229"/>
      <c r="Q633" s="228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0"/>
      <c r="F634" s="291" t="s">
        <v>230</v>
      </c>
      <c r="G634" s="282"/>
      <c r="H634" s="275" t="s">
        <v>46</v>
      </c>
      <c r="I634" s="263"/>
      <c r="J634" s="294">
        <f ca="1">IFERROR(__xludf.DUMMYFUNCTION("IMPORTRANGE(""https://docs.google.com/spreadsheets/d/13wPX838HrBrQMCywv1BsuMkt4PEKTChp52zj44s2izQ/edit?usp=sharing"",""กาญจนบุรี!J633"")+IMPORTRANGE(""https://docs.google.com/spreadsheets/d/1ddFKvqj1W1NEiWytbGlB1zMx_ykJDVtmfEQ-6-lIUBA/edit?usp=sharing"","&amp;"""จันทบุรี!J633"")+IMPORTRANGE(""https://docs.google.com/spreadsheets/d/1T1PQvRODqOBZk8BRht_U031fIS1beLA0Ub2CEytj2q0/edit?usp=sharing"",""ฉะเชิงเทรา!J633"")+IMPORTRANGE(""https://docs.google.com/spreadsheets/d/11tr1B-Bhyr79v2bkwVh5h_fR-PStkgjlZtkrZpYurG0/"&amp;"edit?usp=sharing"",""ชลบุรี!J633"")+IMPORTRANGE(""https://docs.google.com/spreadsheets/d/1hh-FVnSX0vozXhGluamEcS54Dw9_zqW0N7qJUWgJ0Sw/edit?usp=sharing"",""ชัยนาท!J633"")+IMPORTRANGE(""https://docs.google.com/spreadsheets/d/1jkqa6GXxSacMcY1eN8AHjMNJ_7dDXMJ"&amp;"VRLDlaFSOdPM/edit?usp=sharing"",""ตราด!J633"")+IMPORTRANGE(""https://docs.google.com/spreadsheets/d/18hSgUJ3VwClqi_qtULmmW3cLr0oe3OKaSYoKzdpTsYQ/edit?usp=sharing"",""นครนายก!J633"")+IMPORTRANGE(""https://docs.google.com/spreadsheets/d/1YTZo6WM2dQ6Ix6FSdnL"&amp;"5P7uVnVKu40sxZu975tgG10E/edit?usp=sharing"",""นครปฐม!J633"")+IMPORTRANGE(""https://docs.google.com/spreadsheets/d/1OYoGg4WDg5RIzwGeB10padOxJF9E_Vljuvvct_M7RDo/edit?usp=sharing"",""ปทุมธานี!J633"")+IMPORTRANGE(""https://docs.google.com/spreadsheets/d/1GbCI"&amp;"E4D4wk9FUozzqk7SxfDMxDVBwVmI5zcaVUSzKAc/edit?usp=sharing"",""ประจวบคีรีขันธ์!J633"")+IMPORTRANGE(""https://docs.google.com/spreadsheets/d/1vVf6wykvW_lAyu7Yo9L4hUTqHqIeP_qcVuxCtosJEbg/edit?usp=sharing"",""ปราจีนบุรี!J633"")+IMPORTRANGE(""https://docs.googl"&amp;"e.com/spreadsheets/d/1BIDqLLg5jk3v59G8NlR8rk5xfQDKne0sAvZHSj7TI6I/edit?usp=sharing"",""พระนครศรีอยุธยา!J633"")+IMPORTRANGE(""https://docs.google.com/spreadsheets/d/1YXvxf8Yu6_rV4hTBrwMqAcAnv6DfhUxh5emyM3CJp_w/edit?usp=sharing"",""เพชรบุรี!J633"")+IMPORTRA"&amp;"NGE(""https://docs.google.com/spreadsheets/d/19KBlQQs7uwvsao6t2n-KvW3Ax8J8uRRfZPq1zPbXgKc/edit?usp=sharing"",""ระยอง!J633"")+IMPORTRANGE(""https://docs.google.com/spreadsheets/d/1jQ6P4QcrGM89YfqcC_PxOHGCMq5ezhucwJd8ci-NHng/edit?usp=sharing"",""ราชบุรี!J63"&amp;"3"")+IMPORTRANGE(""https://docs.google.com/spreadsheets/d/1lufeA2cfFqM-elVq2hznhDzC6Pr7wkJ9ZG_sYNGCMCU/edit?usp=sharing"",""ลพบุรี!J633"")+IMPORTRANGE(""https://docs.google.com/spreadsheets/d/10oOiF7loTyfsTkbd4MpaIm0HQ9SwB7IYHdIUvt-U1Uc/edit?usp=sharing"""&amp;",""สระแก้ว!J633"")+IMPORTRANGE(""https://docs.google.com/spreadsheets/d/1xmPlrr1QbdSIKvl1dWUl9K4PjAfSL9oeMr_37QVzcxc/edit?usp=sharing"",""สระบุรี!J633"")+IMPORTRANGE(""https://docs.google.com/spreadsheets/d/1j51vR6CYVGhABJpv6tkstgok82RLpXieLzW1yOY5rHw/edi"&amp;"t?usp=sharing"",""สิงห์บุรี!J633"")+IMPORTRANGE(""https://docs.google.com/spreadsheets/d/1H1EalTWKUSzO4Z1-1CwzoDUaVffgrThEBe2sl74kKG0/edit?usp=sharing"",""สุพรรณบุรี!J633"")+IMPORTRANGE(""https://docs.google.com/spreadsheets/d/1BmIruG_sIrJLYao_Pdr7zVArWsf"&amp;"oBt2692TMi6x_854/edit?usp=sharing"",""อ่างทอง!J633"")"),0)</f>
        <v>0</v>
      </c>
      <c r="K634" s="87"/>
      <c r="L634" s="229"/>
      <c r="M634" s="229"/>
      <c r="N634" s="229"/>
      <c r="O634" s="229"/>
      <c r="P634" s="229"/>
      <c r="Q634" s="228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0"/>
      <c r="F635" s="291" t="s">
        <v>231</v>
      </c>
      <c r="G635" s="282"/>
      <c r="H635" s="275" t="s">
        <v>46</v>
      </c>
      <c r="I635" s="263"/>
      <c r="J635" s="294">
        <f ca="1">IFERROR(__xludf.DUMMYFUNCTION("IMPORTRANGE(""https://docs.google.com/spreadsheets/d/13wPX838HrBrQMCywv1BsuMkt4PEKTChp52zj44s2izQ/edit?usp=sharing"",""กาญจนบุรี!J634"")+IMPORTRANGE(""https://docs.google.com/spreadsheets/d/1ddFKvqj1W1NEiWytbGlB1zMx_ykJDVtmfEQ-6-lIUBA/edit?usp=sharing"","&amp;"""จันทบุรี!J634"")+IMPORTRANGE(""https://docs.google.com/spreadsheets/d/1T1PQvRODqOBZk8BRht_U031fIS1beLA0Ub2CEytj2q0/edit?usp=sharing"",""ฉะเชิงเทรา!J634"")+IMPORTRANGE(""https://docs.google.com/spreadsheets/d/11tr1B-Bhyr79v2bkwVh5h_fR-PStkgjlZtkrZpYurG0/"&amp;"edit?usp=sharing"",""ชลบุรี!J634"")+IMPORTRANGE(""https://docs.google.com/spreadsheets/d/1hh-FVnSX0vozXhGluamEcS54Dw9_zqW0N7qJUWgJ0Sw/edit?usp=sharing"",""ชัยนาท!J634"")+IMPORTRANGE(""https://docs.google.com/spreadsheets/d/1jkqa6GXxSacMcY1eN8AHjMNJ_7dDXMJ"&amp;"VRLDlaFSOdPM/edit?usp=sharing"",""ตราด!J634"")+IMPORTRANGE(""https://docs.google.com/spreadsheets/d/18hSgUJ3VwClqi_qtULmmW3cLr0oe3OKaSYoKzdpTsYQ/edit?usp=sharing"",""นครนายก!J634"")+IMPORTRANGE(""https://docs.google.com/spreadsheets/d/1YTZo6WM2dQ6Ix6FSdnL"&amp;"5P7uVnVKu40sxZu975tgG10E/edit?usp=sharing"",""นครปฐม!J634"")+IMPORTRANGE(""https://docs.google.com/spreadsheets/d/1OYoGg4WDg5RIzwGeB10padOxJF9E_Vljuvvct_M7RDo/edit?usp=sharing"",""ปทุมธานี!J634"")+IMPORTRANGE(""https://docs.google.com/spreadsheets/d/1GbCI"&amp;"E4D4wk9FUozzqk7SxfDMxDVBwVmI5zcaVUSzKAc/edit?usp=sharing"",""ประจวบคีรีขันธ์!J634"")+IMPORTRANGE(""https://docs.google.com/spreadsheets/d/1vVf6wykvW_lAyu7Yo9L4hUTqHqIeP_qcVuxCtosJEbg/edit?usp=sharing"",""ปราจีนบุรี!J634"")+IMPORTRANGE(""https://docs.googl"&amp;"e.com/spreadsheets/d/1BIDqLLg5jk3v59G8NlR8rk5xfQDKne0sAvZHSj7TI6I/edit?usp=sharing"",""พระนครศรีอยุธยา!J634"")+IMPORTRANGE(""https://docs.google.com/spreadsheets/d/1YXvxf8Yu6_rV4hTBrwMqAcAnv6DfhUxh5emyM3CJp_w/edit?usp=sharing"",""เพชรบุรี!J634"")+IMPORTRA"&amp;"NGE(""https://docs.google.com/spreadsheets/d/19KBlQQs7uwvsao6t2n-KvW3Ax8J8uRRfZPq1zPbXgKc/edit?usp=sharing"",""ระยอง!J634"")+IMPORTRANGE(""https://docs.google.com/spreadsheets/d/1jQ6P4QcrGM89YfqcC_PxOHGCMq5ezhucwJd8ci-NHng/edit?usp=sharing"",""ราชบุรี!J63"&amp;"4"")+IMPORTRANGE(""https://docs.google.com/spreadsheets/d/1lufeA2cfFqM-elVq2hznhDzC6Pr7wkJ9ZG_sYNGCMCU/edit?usp=sharing"",""ลพบุรี!J634"")+IMPORTRANGE(""https://docs.google.com/spreadsheets/d/10oOiF7loTyfsTkbd4MpaIm0HQ9SwB7IYHdIUvt-U1Uc/edit?usp=sharing"""&amp;",""สระแก้ว!J634"")+IMPORTRANGE(""https://docs.google.com/spreadsheets/d/1xmPlrr1QbdSIKvl1dWUl9K4PjAfSL9oeMr_37QVzcxc/edit?usp=sharing"",""สระบุรี!J634"")+IMPORTRANGE(""https://docs.google.com/spreadsheets/d/1j51vR6CYVGhABJpv6tkstgok82RLpXieLzW1yOY5rHw/edi"&amp;"t?usp=sharing"",""สิงห์บุรี!J634"")+IMPORTRANGE(""https://docs.google.com/spreadsheets/d/1H1EalTWKUSzO4Z1-1CwzoDUaVffgrThEBe2sl74kKG0/edit?usp=sharing"",""สุพรรณบุรี!J634"")+IMPORTRANGE(""https://docs.google.com/spreadsheets/d/1BmIruG_sIrJLYao_Pdr7zVArWsf"&amp;"oBt2692TMi6x_854/edit?usp=sharing"",""อ่างทอง!J634"")"),0)</f>
        <v>0</v>
      </c>
      <c r="K635" s="87"/>
      <c r="L635" s="229"/>
      <c r="M635" s="229"/>
      <c r="N635" s="229"/>
      <c r="O635" s="229"/>
      <c r="P635" s="229"/>
      <c r="Q635" s="228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0"/>
      <c r="F636" s="290"/>
      <c r="G636" s="282"/>
      <c r="H636" s="275" t="s">
        <v>46</v>
      </c>
      <c r="I636" s="622">
        <f ca="1">IFERROR(__xludf.DUMMYFUNCTION("IMPORTRANGE(""https://docs.google.com/spreadsheets/d/13wPX838HrBrQMCywv1BsuMkt4PEKTChp52zj44s2izQ/edit?usp=sharing"",""กาญจนบุรี!I635"")+IMPORTRANGE(""https://docs.google.com/spreadsheets/d/1ddFKvqj1W1NEiWytbGlB1zMx_ykJDVtmfEQ-6-lIUBA/edit?usp=sharing"","&amp;"""จันทบุรี!I635"")+IMPORTRANGE(""https://docs.google.com/spreadsheets/d/1T1PQvRODqOBZk8BRht_U031fIS1beLA0Ub2CEytj2q0/edit?usp=sharing"",""ฉะเชิงเทรา!I635"")+IMPORTRANGE(""https://docs.google.com/spreadsheets/d/11tr1B-Bhyr79v2bkwVh5h_fR-PStkgjlZtkrZpYurG0/"&amp;"edit?usp=sharing"",""ชลบุรี!I635"")+IMPORTRANGE(""https://docs.google.com/spreadsheets/d/1hh-FVnSX0vozXhGluamEcS54Dw9_zqW0N7qJUWgJ0Sw/edit?usp=sharing"",""ชัยนาท!I635"")+IMPORTRANGE(""https://docs.google.com/spreadsheets/d/1jkqa6GXxSacMcY1eN8AHjMNJ_7dDXMJ"&amp;"VRLDlaFSOdPM/edit?usp=sharing"",""ตราด!I635"")+IMPORTRANGE(""https://docs.google.com/spreadsheets/d/18hSgUJ3VwClqi_qtULmmW3cLr0oe3OKaSYoKzdpTsYQ/edit?usp=sharing"",""นครนายก!I635"")+IMPORTRANGE(""https://docs.google.com/spreadsheets/d/1YTZo6WM2dQ6Ix6FSdnL"&amp;"5P7uVnVKu40sxZu975tgG10E/edit?usp=sharing"",""นครปฐม!I635"")+IMPORTRANGE(""https://docs.google.com/spreadsheets/d/1OYoGg4WDg5RIzwGeB10padOxJF9E_Vljuvvct_M7RDo/edit?usp=sharing"",""ปทุมธานี!I635"")+IMPORTRANGE(""https://docs.google.com/spreadsheets/d/1GbCI"&amp;"E4D4wk9FUozzqk7SxfDMxDVBwVmI5zcaVUSzKAc/edit?usp=sharing"",""ประจวบคีรีขันธ์!I635"")+IMPORTRANGE(""https://docs.google.com/spreadsheets/d/1vVf6wykvW_lAyu7Yo9L4hUTqHqIeP_qcVuxCtosJEbg/edit?usp=sharing"",""ปราจีนบุรี!I635"")+IMPORTRANGE(""https://docs.googl"&amp;"e.com/spreadsheets/d/1BIDqLLg5jk3v59G8NlR8rk5xfQDKne0sAvZHSj7TI6I/edit?usp=sharing"",""พระนครศรีอยุธยา!I635"")+IMPORTRANGE(""https://docs.google.com/spreadsheets/d/1YXvxf8Yu6_rV4hTBrwMqAcAnv6DfhUxh5emyM3CJp_w/edit?usp=sharing"",""เพชรบุรี!I635"")+IMPORTRA"&amp;"NGE(""https://docs.google.com/spreadsheets/d/19KBlQQs7uwvsao6t2n-KvW3Ax8J8uRRfZPq1zPbXgKc/edit?usp=sharing"",""ระยอง!I635"")+IMPORTRANGE(""https://docs.google.com/spreadsheets/d/1jQ6P4QcrGM89YfqcC_PxOHGCMq5ezhucwJd8ci-NHng/edit?usp=sharing"",""ราชบุรี!I63"&amp;"5"")+IMPORTRANGE(""https://docs.google.com/spreadsheets/d/1lufeA2cfFqM-elVq2hznhDzC6Pr7wkJ9ZG_sYNGCMCU/edit?usp=sharing"",""ลพบุรี!I635"")+IMPORTRANGE(""https://docs.google.com/spreadsheets/d/10oOiF7loTyfsTkbd4MpaIm0HQ9SwB7IYHdIUvt-U1Uc/edit?usp=sharing"""&amp;",""สระแก้ว!I635"")+IMPORTRANGE(""https://docs.google.com/spreadsheets/d/1xmPlrr1QbdSIKvl1dWUl9K4PjAfSL9oeMr_37QVzcxc/edit?usp=sharing"",""สระบุรี!I635"")+IMPORTRANGE(""https://docs.google.com/spreadsheets/d/1j51vR6CYVGhABJpv6tkstgok82RLpXieLzW1yOY5rHw/edi"&amp;"t?usp=sharing"",""สิงห์บุรี!I635"")+IMPORTRANGE(""https://docs.google.com/spreadsheets/d/1H1EalTWKUSzO4Z1-1CwzoDUaVffgrThEBe2sl74kKG0/edit?usp=sharing"",""สุพรรณบุรี!I635"")+IMPORTRANGE(""https://docs.google.com/spreadsheets/d/1BmIruG_sIrJLYao_Pdr7zVArWsf"&amp;"oBt2692TMi6x_854/edit?usp=sharing"",""อ่างทอง!I635"")"),0)</f>
        <v>0</v>
      </c>
      <c r="J636" s="622">
        <f ca="1">J637</f>
        <v>0</v>
      </c>
      <c r="K636" s="264">
        <f ca="1">IF(I636&gt;0,J636*100/I636,0)</f>
        <v>0</v>
      </c>
      <c r="L636" s="229"/>
      <c r="M636" s="229"/>
      <c r="N636" s="229"/>
      <c r="O636" s="229"/>
      <c r="P636" s="229"/>
      <c r="Q636" s="228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1" t="s">
        <v>233</v>
      </c>
      <c r="F637" s="290"/>
      <c r="G637" s="282"/>
      <c r="H637" s="275" t="s">
        <v>46</v>
      </c>
      <c r="I637" s="263"/>
      <c r="J637" s="293">
        <f ca="1">J638+J639</f>
        <v>0</v>
      </c>
      <c r="K637" s="87"/>
      <c r="L637" s="229"/>
      <c r="M637" s="229"/>
      <c r="N637" s="229"/>
      <c r="O637" s="229"/>
      <c r="P637" s="229"/>
      <c r="Q637" s="228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0"/>
      <c r="F638" s="291" t="s">
        <v>230</v>
      </c>
      <c r="G638" s="282"/>
      <c r="H638" s="275" t="s">
        <v>46</v>
      </c>
      <c r="I638" s="263"/>
      <c r="J638" s="294">
        <f ca="1">IFERROR(__xludf.DUMMYFUNCTION("IMPORTRANGE(""https://docs.google.com/spreadsheets/d/13wPX838HrBrQMCywv1BsuMkt4PEKTChp52zj44s2izQ/edit?usp=sharing"",""กาญจนบุรี!J637"")+IMPORTRANGE(""https://docs.google.com/spreadsheets/d/1ddFKvqj1W1NEiWytbGlB1zMx_ykJDVtmfEQ-6-lIUBA/edit?usp=sharing"","&amp;"""จันทบุรี!J637"")+IMPORTRANGE(""https://docs.google.com/spreadsheets/d/1T1PQvRODqOBZk8BRht_U031fIS1beLA0Ub2CEytj2q0/edit?usp=sharing"",""ฉะเชิงเทรา!J637"")+IMPORTRANGE(""https://docs.google.com/spreadsheets/d/11tr1B-Bhyr79v2bkwVh5h_fR-PStkgjlZtkrZpYurG0/"&amp;"edit?usp=sharing"",""ชลบุรี!J637"")+IMPORTRANGE(""https://docs.google.com/spreadsheets/d/1hh-FVnSX0vozXhGluamEcS54Dw9_zqW0N7qJUWgJ0Sw/edit?usp=sharing"",""ชัยนาท!J637"")+IMPORTRANGE(""https://docs.google.com/spreadsheets/d/1jkqa6GXxSacMcY1eN8AHjMNJ_7dDXMJ"&amp;"VRLDlaFSOdPM/edit?usp=sharing"",""ตราด!J637"")+IMPORTRANGE(""https://docs.google.com/spreadsheets/d/18hSgUJ3VwClqi_qtULmmW3cLr0oe3OKaSYoKzdpTsYQ/edit?usp=sharing"",""นครนายก!J637"")+IMPORTRANGE(""https://docs.google.com/spreadsheets/d/1YTZo6WM2dQ6Ix6FSdnL"&amp;"5P7uVnVKu40sxZu975tgG10E/edit?usp=sharing"",""นครปฐม!J637"")+IMPORTRANGE(""https://docs.google.com/spreadsheets/d/1OYoGg4WDg5RIzwGeB10padOxJF9E_Vljuvvct_M7RDo/edit?usp=sharing"",""ปทุมธานี!J637"")+IMPORTRANGE(""https://docs.google.com/spreadsheets/d/1GbCI"&amp;"E4D4wk9FUozzqk7SxfDMxDVBwVmI5zcaVUSzKAc/edit?usp=sharing"",""ประจวบคีรีขันธ์!J637"")+IMPORTRANGE(""https://docs.google.com/spreadsheets/d/1vVf6wykvW_lAyu7Yo9L4hUTqHqIeP_qcVuxCtosJEbg/edit?usp=sharing"",""ปราจีนบุรี!J637"")+IMPORTRANGE(""https://docs.googl"&amp;"e.com/spreadsheets/d/1BIDqLLg5jk3v59G8NlR8rk5xfQDKne0sAvZHSj7TI6I/edit?usp=sharing"",""พระนครศรีอยุธยา!J637"")+IMPORTRANGE(""https://docs.google.com/spreadsheets/d/1YXvxf8Yu6_rV4hTBrwMqAcAnv6DfhUxh5emyM3CJp_w/edit?usp=sharing"",""เพชรบุรี!J637"")+IMPORTRA"&amp;"NGE(""https://docs.google.com/spreadsheets/d/19KBlQQs7uwvsao6t2n-KvW3Ax8J8uRRfZPq1zPbXgKc/edit?usp=sharing"",""ระยอง!J637"")+IMPORTRANGE(""https://docs.google.com/spreadsheets/d/1jQ6P4QcrGM89YfqcC_PxOHGCMq5ezhucwJd8ci-NHng/edit?usp=sharing"",""ราชบุรี!J63"&amp;"7"")+IMPORTRANGE(""https://docs.google.com/spreadsheets/d/1lufeA2cfFqM-elVq2hznhDzC6Pr7wkJ9ZG_sYNGCMCU/edit?usp=sharing"",""ลพบุรี!J637"")+IMPORTRANGE(""https://docs.google.com/spreadsheets/d/10oOiF7loTyfsTkbd4MpaIm0HQ9SwB7IYHdIUvt-U1Uc/edit?usp=sharing"""&amp;",""สระแก้ว!J637"")+IMPORTRANGE(""https://docs.google.com/spreadsheets/d/1xmPlrr1QbdSIKvl1dWUl9K4PjAfSL9oeMr_37QVzcxc/edit?usp=sharing"",""สระบุรี!J637"")+IMPORTRANGE(""https://docs.google.com/spreadsheets/d/1j51vR6CYVGhABJpv6tkstgok82RLpXieLzW1yOY5rHw/edi"&amp;"t?usp=sharing"",""สิงห์บุรี!J637"")+IMPORTRANGE(""https://docs.google.com/spreadsheets/d/1H1EalTWKUSzO4Z1-1CwzoDUaVffgrThEBe2sl74kKG0/edit?usp=sharing"",""สุพรรณบุรี!J637"")+IMPORTRANGE(""https://docs.google.com/spreadsheets/d/1BmIruG_sIrJLYao_Pdr7zVArWsf"&amp;"oBt2692TMi6x_854/edit?usp=sharing"",""อ่างทอง!J637"")"),0)</f>
        <v>0</v>
      </c>
      <c r="K638" s="87"/>
      <c r="L638" s="229"/>
      <c r="M638" s="229"/>
      <c r="N638" s="229"/>
      <c r="O638" s="229"/>
      <c r="P638" s="229"/>
      <c r="Q638" s="228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0"/>
      <c r="F639" s="291" t="s">
        <v>231</v>
      </c>
      <c r="G639" s="282"/>
      <c r="H639" s="275" t="s">
        <v>46</v>
      </c>
      <c r="I639" s="263"/>
      <c r="J639" s="294">
        <f ca="1">IFERROR(__xludf.DUMMYFUNCTION("IMPORTRANGE(""https://docs.google.com/spreadsheets/d/13wPX838HrBrQMCywv1BsuMkt4PEKTChp52zj44s2izQ/edit?usp=sharing"",""กาญจนบุรี!J638"")+IMPORTRANGE(""https://docs.google.com/spreadsheets/d/1ddFKvqj1W1NEiWytbGlB1zMx_ykJDVtmfEQ-6-lIUBA/edit?usp=sharing"","&amp;"""จันทบุรี!J638"")+IMPORTRANGE(""https://docs.google.com/spreadsheets/d/1T1PQvRODqOBZk8BRht_U031fIS1beLA0Ub2CEytj2q0/edit?usp=sharing"",""ฉะเชิงเทรา!J638"")+IMPORTRANGE(""https://docs.google.com/spreadsheets/d/11tr1B-Bhyr79v2bkwVh5h_fR-PStkgjlZtkrZpYurG0/"&amp;"edit?usp=sharing"",""ชลบุรี!J638"")+IMPORTRANGE(""https://docs.google.com/spreadsheets/d/1hh-FVnSX0vozXhGluamEcS54Dw9_zqW0N7qJUWgJ0Sw/edit?usp=sharing"",""ชัยนาท!J638"")+IMPORTRANGE(""https://docs.google.com/spreadsheets/d/1jkqa6GXxSacMcY1eN8AHjMNJ_7dDXMJ"&amp;"VRLDlaFSOdPM/edit?usp=sharing"",""ตราด!J638"")+IMPORTRANGE(""https://docs.google.com/spreadsheets/d/18hSgUJ3VwClqi_qtULmmW3cLr0oe3OKaSYoKzdpTsYQ/edit?usp=sharing"",""นครนายก!J638"")+IMPORTRANGE(""https://docs.google.com/spreadsheets/d/1YTZo6WM2dQ6Ix6FSdnL"&amp;"5P7uVnVKu40sxZu975tgG10E/edit?usp=sharing"",""นครปฐม!J638"")+IMPORTRANGE(""https://docs.google.com/spreadsheets/d/1OYoGg4WDg5RIzwGeB10padOxJF9E_Vljuvvct_M7RDo/edit?usp=sharing"",""ปทุมธานี!J638"")+IMPORTRANGE(""https://docs.google.com/spreadsheets/d/1GbCI"&amp;"E4D4wk9FUozzqk7SxfDMxDVBwVmI5zcaVUSzKAc/edit?usp=sharing"",""ประจวบคีรีขันธ์!J638"")+IMPORTRANGE(""https://docs.google.com/spreadsheets/d/1vVf6wykvW_lAyu7Yo9L4hUTqHqIeP_qcVuxCtosJEbg/edit?usp=sharing"",""ปราจีนบุรี!J638"")+IMPORTRANGE(""https://docs.googl"&amp;"e.com/spreadsheets/d/1BIDqLLg5jk3v59G8NlR8rk5xfQDKne0sAvZHSj7TI6I/edit?usp=sharing"",""พระนครศรีอยุธยา!J638"")+IMPORTRANGE(""https://docs.google.com/spreadsheets/d/1YXvxf8Yu6_rV4hTBrwMqAcAnv6DfhUxh5emyM3CJp_w/edit?usp=sharing"",""เพชรบุรี!J638"")+IMPORTRA"&amp;"NGE(""https://docs.google.com/spreadsheets/d/19KBlQQs7uwvsao6t2n-KvW3Ax8J8uRRfZPq1zPbXgKc/edit?usp=sharing"",""ระยอง!J638"")+IMPORTRANGE(""https://docs.google.com/spreadsheets/d/1jQ6P4QcrGM89YfqcC_PxOHGCMq5ezhucwJd8ci-NHng/edit?usp=sharing"",""ราชบุรี!J63"&amp;"8"")+IMPORTRANGE(""https://docs.google.com/spreadsheets/d/1lufeA2cfFqM-elVq2hznhDzC6Pr7wkJ9ZG_sYNGCMCU/edit?usp=sharing"",""ลพบุรี!J638"")+IMPORTRANGE(""https://docs.google.com/spreadsheets/d/10oOiF7loTyfsTkbd4MpaIm0HQ9SwB7IYHdIUvt-U1Uc/edit?usp=sharing"""&amp;",""สระแก้ว!J638"")+IMPORTRANGE(""https://docs.google.com/spreadsheets/d/1xmPlrr1QbdSIKvl1dWUl9K4PjAfSL9oeMr_37QVzcxc/edit?usp=sharing"",""สระบุรี!J638"")+IMPORTRANGE(""https://docs.google.com/spreadsheets/d/1j51vR6CYVGhABJpv6tkstgok82RLpXieLzW1yOY5rHw/edi"&amp;"t?usp=sharing"",""สิงห์บุรี!J638"")+IMPORTRANGE(""https://docs.google.com/spreadsheets/d/1H1EalTWKUSzO4Z1-1CwzoDUaVffgrThEBe2sl74kKG0/edit?usp=sharing"",""สุพรรณบุรี!J638"")+IMPORTRANGE(""https://docs.google.com/spreadsheets/d/1BmIruG_sIrJLYao_Pdr7zVArWsf"&amp;"oBt2692TMi6x_854/edit?usp=sharing"",""อ่างทอง!J638"")"),0)</f>
        <v>0</v>
      </c>
      <c r="K639" s="87"/>
      <c r="L639" s="229"/>
      <c r="M639" s="229"/>
      <c r="N639" s="229"/>
      <c r="O639" s="229"/>
      <c r="P639" s="229"/>
      <c r="Q639" s="228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1" t="s">
        <v>234</v>
      </c>
      <c r="F640" s="290"/>
      <c r="G640" s="282"/>
      <c r="H640" s="275" t="s">
        <v>46</v>
      </c>
      <c r="I640" s="263"/>
      <c r="J640" s="294">
        <f ca="1">IFERROR(__xludf.DUMMYFUNCTION("IMPORTRANGE(""https://docs.google.com/spreadsheets/d/13wPX838HrBrQMCywv1BsuMkt4PEKTChp52zj44s2izQ/edit?usp=sharing"",""กาญจนบุรี!J639"")+IMPORTRANGE(""https://docs.google.com/spreadsheets/d/1ddFKvqj1W1NEiWytbGlB1zMx_ykJDVtmfEQ-6-lIUBA/edit?usp=sharing"","&amp;"""จันทบุรี!J639"")+IMPORTRANGE(""https://docs.google.com/spreadsheets/d/1T1PQvRODqOBZk8BRht_U031fIS1beLA0Ub2CEytj2q0/edit?usp=sharing"",""ฉะเชิงเทรา!J639"")+IMPORTRANGE(""https://docs.google.com/spreadsheets/d/11tr1B-Bhyr79v2bkwVh5h_fR-PStkgjlZtkrZpYurG0/"&amp;"edit?usp=sharing"",""ชลบุรี!J639"")+IMPORTRANGE(""https://docs.google.com/spreadsheets/d/1hh-FVnSX0vozXhGluamEcS54Dw9_zqW0N7qJUWgJ0Sw/edit?usp=sharing"",""ชัยนาท!J639"")+IMPORTRANGE(""https://docs.google.com/spreadsheets/d/1jkqa6GXxSacMcY1eN8AHjMNJ_7dDXMJ"&amp;"VRLDlaFSOdPM/edit?usp=sharing"",""ตราด!J639"")+IMPORTRANGE(""https://docs.google.com/spreadsheets/d/18hSgUJ3VwClqi_qtULmmW3cLr0oe3OKaSYoKzdpTsYQ/edit?usp=sharing"",""นครนายก!J639"")+IMPORTRANGE(""https://docs.google.com/spreadsheets/d/1YTZo6WM2dQ6Ix6FSdnL"&amp;"5P7uVnVKu40sxZu975tgG10E/edit?usp=sharing"",""นครปฐม!J639"")+IMPORTRANGE(""https://docs.google.com/spreadsheets/d/1OYoGg4WDg5RIzwGeB10padOxJF9E_Vljuvvct_M7RDo/edit?usp=sharing"",""ปทุมธานี!J639"")+IMPORTRANGE(""https://docs.google.com/spreadsheets/d/1GbCI"&amp;"E4D4wk9FUozzqk7SxfDMxDVBwVmI5zcaVUSzKAc/edit?usp=sharing"",""ประจวบคีรีขันธ์!J639"")+IMPORTRANGE(""https://docs.google.com/spreadsheets/d/1vVf6wykvW_lAyu7Yo9L4hUTqHqIeP_qcVuxCtosJEbg/edit?usp=sharing"",""ปราจีนบุรี!J639"")+IMPORTRANGE(""https://docs.googl"&amp;"e.com/spreadsheets/d/1BIDqLLg5jk3v59G8NlR8rk5xfQDKne0sAvZHSj7TI6I/edit?usp=sharing"",""พระนครศรีอยุธยา!J639"")+IMPORTRANGE(""https://docs.google.com/spreadsheets/d/1YXvxf8Yu6_rV4hTBrwMqAcAnv6DfhUxh5emyM3CJp_w/edit?usp=sharing"",""เพชรบุรี!J639"")+IMPORTRA"&amp;"NGE(""https://docs.google.com/spreadsheets/d/19KBlQQs7uwvsao6t2n-KvW3Ax8J8uRRfZPq1zPbXgKc/edit?usp=sharing"",""ระยอง!J639"")+IMPORTRANGE(""https://docs.google.com/spreadsheets/d/1jQ6P4QcrGM89YfqcC_PxOHGCMq5ezhucwJd8ci-NHng/edit?usp=sharing"",""ราชบุรี!J63"&amp;"9"")+IMPORTRANGE(""https://docs.google.com/spreadsheets/d/1lufeA2cfFqM-elVq2hznhDzC6Pr7wkJ9ZG_sYNGCMCU/edit?usp=sharing"",""ลพบุรี!J639"")+IMPORTRANGE(""https://docs.google.com/spreadsheets/d/10oOiF7loTyfsTkbd4MpaIm0HQ9SwB7IYHdIUvt-U1Uc/edit?usp=sharing"""&amp;",""สระแก้ว!J639"")+IMPORTRANGE(""https://docs.google.com/spreadsheets/d/1xmPlrr1QbdSIKvl1dWUl9K4PjAfSL9oeMr_37QVzcxc/edit?usp=sharing"",""สระบุรี!J639"")+IMPORTRANGE(""https://docs.google.com/spreadsheets/d/1j51vR6CYVGhABJpv6tkstgok82RLpXieLzW1yOY5rHw/edi"&amp;"t?usp=sharing"",""สิงห์บุรี!J639"")+IMPORTRANGE(""https://docs.google.com/spreadsheets/d/1H1EalTWKUSzO4Z1-1CwzoDUaVffgrThEBe2sl74kKG0/edit?usp=sharing"",""สุพรรณบุรี!J639"")+IMPORTRANGE(""https://docs.google.com/spreadsheets/d/1BmIruG_sIrJLYao_Pdr7zVArWsf"&amp;"oBt2692TMi6x_854/edit?usp=sharing"",""อ่างทอง!J639"")"),0)</f>
        <v>0</v>
      </c>
      <c r="K640" s="87"/>
      <c r="L640" s="229"/>
      <c r="M640" s="229"/>
      <c r="N640" s="229"/>
      <c r="O640" s="229"/>
      <c r="P640" s="229"/>
      <c r="Q640" s="228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0"/>
      <c r="F641" s="291" t="s">
        <v>235</v>
      </c>
      <c r="G641" s="282"/>
      <c r="H641" s="275" t="s">
        <v>46</v>
      </c>
      <c r="I641" s="263"/>
      <c r="J641" s="294">
        <f ca="1">IFERROR(__xludf.DUMMYFUNCTION("IMPORTRANGE(""https://docs.google.com/spreadsheets/d/13wPX838HrBrQMCywv1BsuMkt4PEKTChp52zj44s2izQ/edit?usp=sharing"",""กาญจนบุรี!J640"")+IMPORTRANGE(""https://docs.google.com/spreadsheets/d/1ddFKvqj1W1NEiWytbGlB1zMx_ykJDVtmfEQ-6-lIUBA/edit?usp=sharing"","&amp;"""จันทบุรี!J640"")+IMPORTRANGE(""https://docs.google.com/spreadsheets/d/1T1PQvRODqOBZk8BRht_U031fIS1beLA0Ub2CEytj2q0/edit?usp=sharing"",""ฉะเชิงเทรา!J640"")+IMPORTRANGE(""https://docs.google.com/spreadsheets/d/11tr1B-Bhyr79v2bkwVh5h_fR-PStkgjlZtkrZpYurG0/"&amp;"edit?usp=sharing"",""ชลบุรี!J640"")+IMPORTRANGE(""https://docs.google.com/spreadsheets/d/1hh-FVnSX0vozXhGluamEcS54Dw9_zqW0N7qJUWgJ0Sw/edit?usp=sharing"",""ชัยนาท!J640"")+IMPORTRANGE(""https://docs.google.com/spreadsheets/d/1jkqa6GXxSacMcY1eN8AHjMNJ_7dDXMJ"&amp;"VRLDlaFSOdPM/edit?usp=sharing"",""ตราด!J640"")+IMPORTRANGE(""https://docs.google.com/spreadsheets/d/18hSgUJ3VwClqi_qtULmmW3cLr0oe3OKaSYoKzdpTsYQ/edit?usp=sharing"",""นครนายก!J640"")+IMPORTRANGE(""https://docs.google.com/spreadsheets/d/1YTZo6WM2dQ6Ix6FSdnL"&amp;"5P7uVnVKu40sxZu975tgG10E/edit?usp=sharing"",""นครปฐม!J640"")+IMPORTRANGE(""https://docs.google.com/spreadsheets/d/1OYoGg4WDg5RIzwGeB10padOxJF9E_Vljuvvct_M7RDo/edit?usp=sharing"",""ปทุมธานี!J640"")+IMPORTRANGE(""https://docs.google.com/spreadsheets/d/1GbCI"&amp;"E4D4wk9FUozzqk7SxfDMxDVBwVmI5zcaVUSzKAc/edit?usp=sharing"",""ประจวบคีรีขันธ์!J640"")+IMPORTRANGE(""https://docs.google.com/spreadsheets/d/1vVf6wykvW_lAyu7Yo9L4hUTqHqIeP_qcVuxCtosJEbg/edit?usp=sharing"",""ปราจีนบุรี!J640"")+IMPORTRANGE(""https://docs.googl"&amp;"e.com/spreadsheets/d/1BIDqLLg5jk3v59G8NlR8rk5xfQDKne0sAvZHSj7TI6I/edit?usp=sharing"",""พระนครศรีอยุธยา!J640"")+IMPORTRANGE(""https://docs.google.com/spreadsheets/d/1YXvxf8Yu6_rV4hTBrwMqAcAnv6DfhUxh5emyM3CJp_w/edit?usp=sharing"",""เพชรบุรี!J640"")+IMPORTRA"&amp;"NGE(""https://docs.google.com/spreadsheets/d/19KBlQQs7uwvsao6t2n-KvW3Ax8J8uRRfZPq1zPbXgKc/edit?usp=sharing"",""ระยอง!J640"")+IMPORTRANGE(""https://docs.google.com/spreadsheets/d/1jQ6P4QcrGM89YfqcC_PxOHGCMq5ezhucwJd8ci-NHng/edit?usp=sharing"",""ราชบุรี!J64"&amp;"0"")+IMPORTRANGE(""https://docs.google.com/spreadsheets/d/1lufeA2cfFqM-elVq2hznhDzC6Pr7wkJ9ZG_sYNGCMCU/edit?usp=sharing"",""ลพบุรี!J640"")+IMPORTRANGE(""https://docs.google.com/spreadsheets/d/10oOiF7loTyfsTkbd4MpaIm0HQ9SwB7IYHdIUvt-U1Uc/edit?usp=sharing"""&amp;",""สระแก้ว!J640"")+IMPORTRANGE(""https://docs.google.com/spreadsheets/d/1xmPlrr1QbdSIKvl1dWUl9K4PjAfSL9oeMr_37QVzcxc/edit?usp=sharing"",""สระบุรี!J640"")+IMPORTRANGE(""https://docs.google.com/spreadsheets/d/1j51vR6CYVGhABJpv6tkstgok82RLpXieLzW1yOY5rHw/edi"&amp;"t?usp=sharing"",""สิงห์บุรี!J640"")+IMPORTRANGE(""https://docs.google.com/spreadsheets/d/1H1EalTWKUSzO4Z1-1CwzoDUaVffgrThEBe2sl74kKG0/edit?usp=sharing"",""สุพรรณบุรี!J640"")+IMPORTRANGE(""https://docs.google.com/spreadsheets/d/1BmIruG_sIrJLYao_Pdr7zVArWsf"&amp;"oBt2692TMi6x_854/edit?usp=sharing"",""อ่างทอง!J640"")"),0)</f>
        <v>0</v>
      </c>
      <c r="K641" s="87"/>
      <c r="L641" s="229"/>
      <c r="M641" s="229"/>
      <c r="N641" s="229"/>
      <c r="O641" s="229"/>
      <c r="P641" s="229"/>
      <c r="Q641" s="228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2"/>
      <c r="M642" s="742"/>
      <c r="N642" s="742"/>
      <c r="O642" s="742"/>
      <c r="P642" s="742"/>
      <c r="Q642" s="743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42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264">
        <f t="shared" ref="L643:N643" ca="1" si="445">L644+L645</f>
        <v>0</v>
      </c>
      <c r="M643" s="264">
        <f t="shared" ca="1" si="445"/>
        <v>0</v>
      </c>
      <c r="N643" s="264">
        <f t="shared" ca="1" si="445"/>
        <v>0</v>
      </c>
      <c r="O643" s="264">
        <f t="shared" ref="O643:O651" ca="1" si="446">IF(L643&gt;0,N643*100/L643,0)</f>
        <v>0</v>
      </c>
      <c r="P643" s="264">
        <f t="shared" ref="P643:P651" ca="1" si="447">IF(M643&gt;0,N643*100/M643,0)</f>
        <v>0</v>
      </c>
      <c r="Q643" s="214">
        <f t="shared" ref="Q643:S643" ca="1" si="448">Q644+Q645</f>
        <v>417660</v>
      </c>
      <c r="R643" s="215">
        <f t="shared" ca="1" si="448"/>
        <v>417660</v>
      </c>
      <c r="S643" s="215">
        <f t="shared" ca="1" si="448"/>
        <v>8390</v>
      </c>
      <c r="T643" s="215">
        <f t="shared" ref="T643:T651" ca="1" si="449">IF(Q643&gt;0,S643*100/Q643,0)</f>
        <v>2.0088109945889001</v>
      </c>
      <c r="U643" s="215">
        <f t="shared" ref="U643:U651" ca="1" si="450">IF(R643&gt;0,S643*100/R643,0)</f>
        <v>2.0088109945889001</v>
      </c>
    </row>
    <row r="644" spans="1:21" ht="18.75" x14ac:dyDescent="0.25">
      <c r="A644" s="257"/>
      <c r="B644" s="269"/>
      <c r="C644" s="269"/>
      <c r="D644" s="290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7">
        <f t="shared" ref="L644:N644" ca="1" si="451">L647+L650</f>
        <v>0</v>
      </c>
      <c r="M644" s="77">
        <f t="shared" ca="1" si="451"/>
        <v>0</v>
      </c>
      <c r="N644" s="77">
        <f t="shared" ca="1" si="451"/>
        <v>0</v>
      </c>
      <c r="O644" s="77">
        <f t="shared" ca="1" si="446"/>
        <v>0</v>
      </c>
      <c r="P644" s="77">
        <f t="shared" ca="1" si="447"/>
        <v>0</v>
      </c>
      <c r="Q644" s="217">
        <f t="shared" ref="Q644:S644" ca="1" si="452">Q647+Q650</f>
        <v>0</v>
      </c>
      <c r="R644" s="133">
        <f t="shared" ca="1" si="452"/>
        <v>0</v>
      </c>
      <c r="S644" s="133">
        <f t="shared" ca="1" si="452"/>
        <v>0</v>
      </c>
      <c r="T644" s="133">
        <f t="shared" ca="1" si="449"/>
        <v>0</v>
      </c>
      <c r="U644" s="133">
        <f t="shared" ca="1" si="450"/>
        <v>0</v>
      </c>
    </row>
    <row r="645" spans="1:21" ht="18.75" x14ac:dyDescent="0.25">
      <c r="A645" s="257"/>
      <c r="B645" s="269"/>
      <c r="C645" s="269"/>
      <c r="D645" s="290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4">
        <f t="shared" ref="L645:N645" ca="1" si="453">L648+L651</f>
        <v>0</v>
      </c>
      <c r="M645" s="74">
        <f t="shared" ca="1" si="453"/>
        <v>0</v>
      </c>
      <c r="N645" s="74">
        <f t="shared" ca="1" si="453"/>
        <v>0</v>
      </c>
      <c r="O645" s="74">
        <f t="shared" ca="1" si="446"/>
        <v>0</v>
      </c>
      <c r="P645" s="74">
        <f t="shared" ca="1" si="447"/>
        <v>0</v>
      </c>
      <c r="Q645" s="131">
        <f t="shared" ref="Q645:S645" ca="1" si="454">Q648+Q651</f>
        <v>417660</v>
      </c>
      <c r="R645" s="132">
        <f t="shared" ca="1" si="454"/>
        <v>417660</v>
      </c>
      <c r="S645" s="132">
        <f t="shared" ca="1" si="454"/>
        <v>8390</v>
      </c>
      <c r="T645" s="132">
        <f t="shared" ca="1" si="449"/>
        <v>2.0088109945889001</v>
      </c>
      <c r="U645" s="132">
        <f t="shared" ca="1" si="450"/>
        <v>2.0088109945889001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4">
        <f t="shared" ref="L646:N646" ca="1" si="455">L647+L648</f>
        <v>0</v>
      </c>
      <c r="M646" s="74">
        <f t="shared" ca="1" si="455"/>
        <v>0</v>
      </c>
      <c r="N646" s="74">
        <f t="shared" ca="1" si="455"/>
        <v>0</v>
      </c>
      <c r="O646" s="74">
        <f t="shared" ca="1" si="446"/>
        <v>0</v>
      </c>
      <c r="P646" s="74">
        <f t="shared" ca="1" si="447"/>
        <v>0</v>
      </c>
      <c r="Q646" s="131">
        <f t="shared" ref="Q646:S646" ca="1" si="456">Q647+Q648</f>
        <v>417660</v>
      </c>
      <c r="R646" s="132">
        <f t="shared" ca="1" si="456"/>
        <v>417660</v>
      </c>
      <c r="S646" s="132">
        <f t="shared" ca="1" si="456"/>
        <v>8390</v>
      </c>
      <c r="T646" s="132">
        <f t="shared" ca="1" si="449"/>
        <v>2.0088109945889001</v>
      </c>
      <c r="U646" s="132">
        <f t="shared" ca="1" si="450"/>
        <v>2.0088109945889001</v>
      </c>
    </row>
    <row r="647" spans="1:21" ht="18.75" x14ac:dyDescent="0.25">
      <c r="A647" s="257"/>
      <c r="B647" s="269"/>
      <c r="C647" s="269"/>
      <c r="D647" s="290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7">
        <f ca="1">IFERROR(__xludf.DUMMYFUNCTION("IMPORTRANGE(""https://docs.google.com/spreadsheets/d/13wPX838HrBrQMCywv1BsuMkt4PEKTChp52zj44s2izQ/edit?usp=sharing"",""กาญจนบุรี!L646"")+IMPORTRANGE(""https://docs.google.com/spreadsheets/d/1ddFKvqj1W1NEiWytbGlB1zMx_ykJDVtmfEQ-6-lIUBA/edit?usp=sharing"","&amp;"""จันทบุรี!L646"")+IMPORTRANGE(""https://docs.google.com/spreadsheets/d/1T1PQvRODqOBZk8BRht_U031fIS1beLA0Ub2CEytj2q0/edit?usp=sharing"",""ฉะเชิงเทรา!L646"")+IMPORTRANGE(""https://docs.google.com/spreadsheets/d/11tr1B-Bhyr79v2bkwVh5h_fR-PStkgjlZtkrZpYurG0/"&amp;"edit?usp=sharing"",""ชลบุรี!L646"")+IMPORTRANGE(""https://docs.google.com/spreadsheets/d/1hh-FVnSX0vozXhGluamEcS54Dw9_zqW0N7qJUWgJ0Sw/edit?usp=sharing"",""ชัยนาท!L646"")+IMPORTRANGE(""https://docs.google.com/spreadsheets/d/1jkqa6GXxSacMcY1eN8AHjMNJ_7dDXMJ"&amp;"VRLDlaFSOdPM/edit?usp=sharing"",""ตราด!L646"")+IMPORTRANGE(""https://docs.google.com/spreadsheets/d/18hSgUJ3VwClqi_qtULmmW3cLr0oe3OKaSYoKzdpTsYQ/edit?usp=sharing"",""นครนายก!L646"")+IMPORTRANGE(""https://docs.google.com/spreadsheets/d/1YTZo6WM2dQ6Ix6FSdnL"&amp;"5P7uVnVKu40sxZu975tgG10E/edit?usp=sharing"",""นครปฐม!L646"")+IMPORTRANGE(""https://docs.google.com/spreadsheets/d/1OYoGg4WDg5RIzwGeB10padOxJF9E_Vljuvvct_M7RDo/edit?usp=sharing"",""ปทุมธานี!L646"")+IMPORTRANGE(""https://docs.google.com/spreadsheets/d/1GbCI"&amp;"E4D4wk9FUozzqk7SxfDMxDVBwVmI5zcaVUSzKAc/edit?usp=sharing"",""ประจวบคีรีขันธ์!L646"")+IMPORTRANGE(""https://docs.google.com/spreadsheets/d/1vVf6wykvW_lAyu7Yo9L4hUTqHqIeP_qcVuxCtosJEbg/edit?usp=sharing"",""ปราจีนบุรี!L646"")+IMPORTRANGE(""https://docs.googl"&amp;"e.com/spreadsheets/d/1BIDqLLg5jk3v59G8NlR8rk5xfQDKne0sAvZHSj7TI6I/edit?usp=sharing"",""พระนครศรีอยุธยา!L646"")+IMPORTRANGE(""https://docs.google.com/spreadsheets/d/1YXvxf8Yu6_rV4hTBrwMqAcAnv6DfhUxh5emyM3CJp_w/edit?usp=sharing"",""เพชรบุรี!L646"")+IMPORTRA"&amp;"NGE(""https://docs.google.com/spreadsheets/d/19KBlQQs7uwvsao6t2n-KvW3Ax8J8uRRfZPq1zPbXgKc/edit?usp=sharing"",""ระยอง!L646"")+IMPORTRANGE(""https://docs.google.com/spreadsheets/d/1jQ6P4QcrGM89YfqcC_PxOHGCMq5ezhucwJd8ci-NHng/edit?usp=sharing"",""ราชบุรี!L64"&amp;"6"")+IMPORTRANGE(""https://docs.google.com/spreadsheets/d/1lufeA2cfFqM-elVq2hznhDzC6Pr7wkJ9ZG_sYNGCMCU/edit?usp=sharing"",""ลพบุรี!L646"")+IMPORTRANGE(""https://docs.google.com/spreadsheets/d/10oOiF7loTyfsTkbd4MpaIm0HQ9SwB7IYHdIUvt-U1Uc/edit?usp=sharing"""&amp;",""สระแก้ว!L646"")+IMPORTRANGE(""https://docs.google.com/spreadsheets/d/1xmPlrr1QbdSIKvl1dWUl9K4PjAfSL9oeMr_37QVzcxc/edit?usp=sharing"",""สระบุรี!L646"")+IMPORTRANGE(""https://docs.google.com/spreadsheets/d/1j51vR6CYVGhABJpv6tkstgok82RLpXieLzW1yOY5rHw/edi"&amp;"t?usp=sharing"",""สิงห์บุรี!L646"")+IMPORTRANGE(""https://docs.google.com/spreadsheets/d/1H1EalTWKUSzO4Z1-1CwzoDUaVffgrThEBe2sl74kKG0/edit?usp=sharing"",""สุพรรณบุรี!L646"")+IMPORTRANGE(""https://docs.google.com/spreadsheets/d/1BmIruG_sIrJLYao_Pdr7zVArWsf"&amp;"oBt2692TMi6x_854/edit?usp=sharing"",""อ่างทอง!L646"")"),0)</f>
        <v>0</v>
      </c>
      <c r="M647" s="77">
        <f ca="1">IFERROR(__xludf.DUMMYFUNCTION("IMPORTRANGE(""https://docs.google.com/spreadsheets/d/13wPX838HrBrQMCywv1BsuMkt4PEKTChp52zj44s2izQ/edit?usp=sharing"",""กาญจนบุรี!M646"")+IMPORTRANGE(""https://docs.google.com/spreadsheets/d/1ddFKvqj1W1NEiWytbGlB1zMx_ykJDVtmfEQ-6-lIUBA/edit?usp=sharing"","&amp;"""จันทบุรี!M646"")+IMPORTRANGE(""https://docs.google.com/spreadsheets/d/1T1PQvRODqOBZk8BRht_U031fIS1beLA0Ub2CEytj2q0/edit?usp=sharing"",""ฉะเชิงเทรา!M646"")+IMPORTRANGE(""https://docs.google.com/spreadsheets/d/11tr1B-Bhyr79v2bkwVh5h_fR-PStkgjlZtkrZpYurG0/"&amp;"edit?usp=sharing"",""ชลบุรี!M646"")+IMPORTRANGE(""https://docs.google.com/spreadsheets/d/1hh-FVnSX0vozXhGluamEcS54Dw9_zqW0N7qJUWgJ0Sw/edit?usp=sharing"",""ชัยนาท!M646"")+IMPORTRANGE(""https://docs.google.com/spreadsheets/d/1jkqa6GXxSacMcY1eN8AHjMNJ_7dDXMJ"&amp;"VRLDlaFSOdPM/edit?usp=sharing"",""ตราด!M646"")+IMPORTRANGE(""https://docs.google.com/spreadsheets/d/18hSgUJ3VwClqi_qtULmmW3cLr0oe3OKaSYoKzdpTsYQ/edit?usp=sharing"",""นครนายก!M646"")+IMPORTRANGE(""https://docs.google.com/spreadsheets/d/1YTZo6WM2dQ6Ix6FSdnL"&amp;"5P7uVnVKu40sxZu975tgG10E/edit?usp=sharing"",""นครปฐม!M646"")+IMPORTRANGE(""https://docs.google.com/spreadsheets/d/1OYoGg4WDg5RIzwGeB10padOxJF9E_Vljuvvct_M7RDo/edit?usp=sharing"",""ปทุมธานี!M646"")+IMPORTRANGE(""https://docs.google.com/spreadsheets/d/1GbCI"&amp;"E4D4wk9FUozzqk7SxfDMxDVBwVmI5zcaVUSzKAc/edit?usp=sharing"",""ประจวบคีรีขันธ์!M646"")+IMPORTRANGE(""https://docs.google.com/spreadsheets/d/1vVf6wykvW_lAyu7Yo9L4hUTqHqIeP_qcVuxCtosJEbg/edit?usp=sharing"",""ปราจีนบุรี!M646"")+IMPORTRANGE(""https://docs.googl"&amp;"e.com/spreadsheets/d/1BIDqLLg5jk3v59G8NlR8rk5xfQDKne0sAvZHSj7TI6I/edit?usp=sharing"",""พระนครศรีอยุธยา!M646"")+IMPORTRANGE(""https://docs.google.com/spreadsheets/d/1YXvxf8Yu6_rV4hTBrwMqAcAnv6DfhUxh5emyM3CJp_w/edit?usp=sharing"",""เพชรบุรี!M646"")+IMPORTRA"&amp;"NGE(""https://docs.google.com/spreadsheets/d/19KBlQQs7uwvsao6t2n-KvW3Ax8J8uRRfZPq1zPbXgKc/edit?usp=sharing"",""ระยอง!M646"")+IMPORTRANGE(""https://docs.google.com/spreadsheets/d/1jQ6P4QcrGM89YfqcC_PxOHGCMq5ezhucwJd8ci-NHng/edit?usp=sharing"",""ราชบุรี!M64"&amp;"6"")+IMPORTRANGE(""https://docs.google.com/spreadsheets/d/1lufeA2cfFqM-elVq2hznhDzC6Pr7wkJ9ZG_sYNGCMCU/edit?usp=sharing"",""ลพบุรี!M646"")+IMPORTRANGE(""https://docs.google.com/spreadsheets/d/10oOiF7loTyfsTkbd4MpaIm0HQ9SwB7IYHdIUvt-U1Uc/edit?usp=sharing"""&amp;",""สระแก้ว!M646"")+IMPORTRANGE(""https://docs.google.com/spreadsheets/d/1xmPlrr1QbdSIKvl1dWUl9K4PjAfSL9oeMr_37QVzcxc/edit?usp=sharing"",""สระบุรี!M646"")+IMPORTRANGE(""https://docs.google.com/spreadsheets/d/1j51vR6CYVGhABJpv6tkstgok82RLpXieLzW1yOY5rHw/edi"&amp;"t?usp=sharing"",""สิงห์บุรี!M646"")+IMPORTRANGE(""https://docs.google.com/spreadsheets/d/1H1EalTWKUSzO4Z1-1CwzoDUaVffgrThEBe2sl74kKG0/edit?usp=sharing"",""สุพรรณบุรี!M646"")+IMPORTRANGE(""https://docs.google.com/spreadsheets/d/1BmIruG_sIrJLYao_Pdr7zVArWsf"&amp;"oBt2692TMi6x_854/edit?usp=sharing"",""อ่างทอง!M646"")"),0)</f>
        <v>0</v>
      </c>
      <c r="N647" s="77">
        <f ca="1">IFERROR(__xludf.DUMMYFUNCTION("IMPORTRANGE(""https://docs.google.com/spreadsheets/d/13wPX838HrBrQMCywv1BsuMkt4PEKTChp52zj44s2izQ/edit?usp=sharing"",""กาญจนบุรี!N646"")+IMPORTRANGE(""https://docs.google.com/spreadsheets/d/1ddFKvqj1W1NEiWytbGlB1zMx_ykJDVtmfEQ-6-lIUBA/edit?usp=sharing"","&amp;"""จันทบุรี!N646"")+IMPORTRANGE(""https://docs.google.com/spreadsheets/d/1T1PQvRODqOBZk8BRht_U031fIS1beLA0Ub2CEytj2q0/edit?usp=sharing"",""ฉะเชิงเทรา!N646"")+IMPORTRANGE(""https://docs.google.com/spreadsheets/d/11tr1B-Bhyr79v2bkwVh5h_fR-PStkgjlZtkrZpYurG0/"&amp;"edit?usp=sharing"",""ชลบุรี!N646"")+IMPORTRANGE(""https://docs.google.com/spreadsheets/d/1hh-FVnSX0vozXhGluamEcS54Dw9_zqW0N7qJUWgJ0Sw/edit?usp=sharing"",""ชัยนาท!N646"")+IMPORTRANGE(""https://docs.google.com/spreadsheets/d/1jkqa6GXxSacMcY1eN8AHjMNJ_7dDXMJ"&amp;"VRLDlaFSOdPM/edit?usp=sharing"",""ตราด!N646"")+IMPORTRANGE(""https://docs.google.com/spreadsheets/d/18hSgUJ3VwClqi_qtULmmW3cLr0oe3OKaSYoKzdpTsYQ/edit?usp=sharing"",""นครนายก!N646"")+IMPORTRANGE(""https://docs.google.com/spreadsheets/d/1YTZo6WM2dQ6Ix6FSdnL"&amp;"5P7uVnVKu40sxZu975tgG10E/edit?usp=sharing"",""นครปฐม!N646"")+IMPORTRANGE(""https://docs.google.com/spreadsheets/d/1OYoGg4WDg5RIzwGeB10padOxJF9E_Vljuvvct_M7RDo/edit?usp=sharing"",""ปทุมธานี!N646"")+IMPORTRANGE(""https://docs.google.com/spreadsheets/d/1GbCI"&amp;"E4D4wk9FUozzqk7SxfDMxDVBwVmI5zcaVUSzKAc/edit?usp=sharing"",""ประจวบคีรีขันธ์!N646"")+IMPORTRANGE(""https://docs.google.com/spreadsheets/d/1vVf6wykvW_lAyu7Yo9L4hUTqHqIeP_qcVuxCtosJEbg/edit?usp=sharing"",""ปราจีนบุรี!N646"")+IMPORTRANGE(""https://docs.googl"&amp;"e.com/spreadsheets/d/1BIDqLLg5jk3v59G8NlR8rk5xfQDKne0sAvZHSj7TI6I/edit?usp=sharing"",""พระนครศรีอยุธยา!N646"")+IMPORTRANGE(""https://docs.google.com/spreadsheets/d/1YXvxf8Yu6_rV4hTBrwMqAcAnv6DfhUxh5emyM3CJp_w/edit?usp=sharing"",""เพชรบุรี!N646"")+IMPORTRA"&amp;"NGE(""https://docs.google.com/spreadsheets/d/19KBlQQs7uwvsao6t2n-KvW3Ax8J8uRRfZPq1zPbXgKc/edit?usp=sharing"",""ระยอง!N646"")+IMPORTRANGE(""https://docs.google.com/spreadsheets/d/1jQ6P4QcrGM89YfqcC_PxOHGCMq5ezhucwJd8ci-NHng/edit?usp=sharing"",""ราชบุรี!N64"&amp;"6"")+IMPORTRANGE(""https://docs.google.com/spreadsheets/d/1lufeA2cfFqM-elVq2hznhDzC6Pr7wkJ9ZG_sYNGCMCU/edit?usp=sharing"",""ลพบุรี!N646"")+IMPORTRANGE(""https://docs.google.com/spreadsheets/d/10oOiF7loTyfsTkbd4MpaIm0HQ9SwB7IYHdIUvt-U1Uc/edit?usp=sharing"""&amp;",""สระแก้ว!N646"")+IMPORTRANGE(""https://docs.google.com/spreadsheets/d/1xmPlrr1QbdSIKvl1dWUl9K4PjAfSL9oeMr_37QVzcxc/edit?usp=sharing"",""สระบุรี!N646"")+IMPORTRANGE(""https://docs.google.com/spreadsheets/d/1j51vR6CYVGhABJpv6tkstgok82RLpXieLzW1yOY5rHw/edi"&amp;"t?usp=sharing"",""สิงห์บุรี!N646"")+IMPORTRANGE(""https://docs.google.com/spreadsheets/d/1H1EalTWKUSzO4Z1-1CwzoDUaVffgrThEBe2sl74kKG0/edit?usp=sharing"",""สุพรรณบุรี!N646"")+IMPORTRANGE(""https://docs.google.com/spreadsheets/d/1BmIruG_sIrJLYao_Pdr7zVArWsf"&amp;"oBt2692TMi6x_854/edit?usp=sharing"",""อ่างทอง!N646"")"),0)</f>
        <v>0</v>
      </c>
      <c r="O647" s="77">
        <f t="shared" ca="1" si="446"/>
        <v>0</v>
      </c>
      <c r="P647" s="77">
        <f t="shared" ca="1" si="447"/>
        <v>0</v>
      </c>
      <c r="Q647" s="76">
        <f ca="1">IFERROR(__xludf.DUMMYFUNCTION("IMPORTRANGE(""https://docs.google.com/spreadsheets/d/13wPX838HrBrQMCywv1BsuMkt4PEKTChp52zj44s2izQ/edit?usp=sharing"",""กาญจนบุรี!Q646"")+IMPORTRANGE(""https://docs.google.com/spreadsheets/d/1ddFKvqj1W1NEiWytbGlB1zMx_ykJDVtmfEQ-6-lIUBA/edit?usp=sharing"","&amp;"""จันทบุรี!Q646"")+IMPORTRANGE(""https://docs.google.com/spreadsheets/d/1T1PQvRODqOBZk8BRht_U031fIS1beLA0Ub2CEytj2q0/edit?usp=sharing"",""ฉะเชิงเทรา!Q646"")+IMPORTRANGE(""https://docs.google.com/spreadsheets/d/11tr1B-Bhyr79v2bkwVh5h_fR-PStkgjlZtkrZpYurG0/"&amp;"edit?usp=sharing"",""ชลบุรี!Q646"")+IMPORTRANGE(""https://docs.google.com/spreadsheets/d/1hh-FVnSX0vozXhGluamEcS54Dw9_zqW0N7qJUWgJ0Sw/edit?usp=sharing"",""ชัยนาท!Q646"")+IMPORTRANGE(""https://docs.google.com/spreadsheets/d/1jkqa6GXxSacMcY1eN8AHjMNJ_7dDXMJ"&amp;"VRLDlaFSOdPM/edit?usp=sharing"",""ตราด!Q646"")+IMPORTRANGE(""https://docs.google.com/spreadsheets/d/18hSgUJ3VwClqi_qtULmmW3cLr0oe3OKaSYoKzdpTsYQ/edit?usp=sharing"",""นครนายก!Q646"")+IMPORTRANGE(""https://docs.google.com/spreadsheets/d/1YTZo6WM2dQ6Ix6FSdnL"&amp;"5P7uVnVKu40sxZu975tgG10E/edit?usp=sharing"",""นครปฐม!Q646"")+IMPORTRANGE(""https://docs.google.com/spreadsheets/d/1OYoGg4WDg5RIzwGeB10padOxJF9E_Vljuvvct_M7RDo/edit?usp=sharing"",""ปทุมธานี!Q646"")+IMPORTRANGE(""https://docs.google.com/spreadsheets/d/1GbCI"&amp;"E4D4wk9FUozzqk7SxfDMxDVBwVmI5zcaVUSzKAc/edit?usp=sharing"",""ประจวบคีรีขันธ์!Q646"")+IMPORTRANGE(""https://docs.google.com/spreadsheets/d/1vVf6wykvW_lAyu7Yo9L4hUTqHqIeP_qcVuxCtosJEbg/edit?usp=sharing"",""ปราจีนบุรี!Q646"")+IMPORTRANGE(""https://docs.googl"&amp;"e.com/spreadsheets/d/1BIDqLLg5jk3v59G8NlR8rk5xfQDKne0sAvZHSj7TI6I/edit?usp=sharing"",""พระนครศรีอยุธยา!Q646"")+IMPORTRANGE(""https://docs.google.com/spreadsheets/d/1YXvxf8Yu6_rV4hTBrwMqAcAnv6DfhUxh5emyM3CJp_w/edit?usp=sharing"",""เพชรบุรี!Q646"")+IMPORTRA"&amp;"NGE(""https://docs.google.com/spreadsheets/d/19KBlQQs7uwvsao6t2n-KvW3Ax8J8uRRfZPq1zPbXgKc/edit?usp=sharing"",""ระยอง!Q646"")+IMPORTRANGE(""https://docs.google.com/spreadsheets/d/1jQ6P4QcrGM89YfqcC_PxOHGCMq5ezhucwJd8ci-NHng/edit?usp=sharing"",""ราชบุรี!Q64"&amp;"6"")+IMPORTRANGE(""https://docs.google.com/spreadsheets/d/1lufeA2cfFqM-elVq2hznhDzC6Pr7wkJ9ZG_sYNGCMCU/edit?usp=sharing"",""ลพบุรี!Q646"")+IMPORTRANGE(""https://docs.google.com/spreadsheets/d/10oOiF7loTyfsTkbd4MpaIm0HQ9SwB7IYHdIUvt-U1Uc/edit?usp=sharing"""&amp;",""สระแก้ว!Q646"")+IMPORTRANGE(""https://docs.google.com/spreadsheets/d/1xmPlrr1QbdSIKvl1dWUl9K4PjAfSL9oeMr_37QVzcxc/edit?usp=sharing"",""สระบุรี!Q646"")+IMPORTRANGE(""https://docs.google.com/spreadsheets/d/1j51vR6CYVGhABJpv6tkstgok82RLpXieLzW1yOY5rHw/edi"&amp;"t?usp=sharing"",""สิงห์บุรี!Q646"")+IMPORTRANGE(""https://docs.google.com/spreadsheets/d/1H1EalTWKUSzO4Z1-1CwzoDUaVffgrThEBe2sl74kKG0/edit?usp=sharing"",""สุพรรณบุรี!Q646"")+IMPORTRANGE(""https://docs.google.com/spreadsheets/d/1BmIruG_sIrJLYao_Pdr7zVArWsf"&amp;"oBt2692TMi6x_854/edit?usp=sharing"",""อ่างทอง!Q646"")"),0)</f>
        <v>0</v>
      </c>
      <c r="R647" s="77">
        <f ca="1">IFERROR(__xludf.DUMMYFUNCTION("IMPORTRANGE(""https://docs.google.com/spreadsheets/d/13wPX838HrBrQMCywv1BsuMkt4PEKTChp52zj44s2izQ/edit?usp=sharing"",""กาญจนบุรี!R646"")+IMPORTRANGE(""https://docs.google.com/spreadsheets/d/1ddFKvqj1W1NEiWytbGlB1zMx_ykJDVtmfEQ-6-lIUBA/edit?usp=sharing"","&amp;"""จันทบุรี!R646"")+IMPORTRANGE(""https://docs.google.com/spreadsheets/d/1T1PQvRODqOBZk8BRht_U031fIS1beLA0Ub2CEytj2q0/edit?usp=sharing"",""ฉะเชิงเทรา!R646"")+IMPORTRANGE(""https://docs.google.com/spreadsheets/d/11tr1B-Bhyr79v2bkwVh5h_fR-PStkgjlZtkrZpYurG0/"&amp;"edit?usp=sharing"",""ชลบุรี!R646"")+IMPORTRANGE(""https://docs.google.com/spreadsheets/d/1hh-FVnSX0vozXhGluamEcS54Dw9_zqW0N7qJUWgJ0Sw/edit?usp=sharing"",""ชัยนาท!R646"")+IMPORTRANGE(""https://docs.google.com/spreadsheets/d/1jkqa6GXxSacMcY1eN8AHjMNJ_7dDXMJ"&amp;"VRLDlaFSOdPM/edit?usp=sharing"",""ตราด!R646"")+IMPORTRANGE(""https://docs.google.com/spreadsheets/d/18hSgUJ3VwClqi_qtULmmW3cLr0oe3OKaSYoKzdpTsYQ/edit?usp=sharing"",""นครนายก!R646"")+IMPORTRANGE(""https://docs.google.com/spreadsheets/d/1YTZo6WM2dQ6Ix6FSdnL"&amp;"5P7uVnVKu40sxZu975tgG10E/edit?usp=sharing"",""นครปฐม!R646"")+IMPORTRANGE(""https://docs.google.com/spreadsheets/d/1OYoGg4WDg5RIzwGeB10padOxJF9E_Vljuvvct_M7RDo/edit?usp=sharing"",""ปทุมธานี!R646"")+IMPORTRANGE(""https://docs.google.com/spreadsheets/d/1GbCI"&amp;"E4D4wk9FUozzqk7SxfDMxDVBwVmI5zcaVUSzKAc/edit?usp=sharing"",""ประจวบคีรีขันธ์!R646"")+IMPORTRANGE(""https://docs.google.com/spreadsheets/d/1vVf6wykvW_lAyu7Yo9L4hUTqHqIeP_qcVuxCtosJEbg/edit?usp=sharing"",""ปราจีนบุรี!R646"")+IMPORTRANGE(""https://docs.googl"&amp;"e.com/spreadsheets/d/1BIDqLLg5jk3v59G8NlR8rk5xfQDKne0sAvZHSj7TI6I/edit?usp=sharing"",""พระนครศรีอยุธยา!R646"")+IMPORTRANGE(""https://docs.google.com/spreadsheets/d/1YXvxf8Yu6_rV4hTBrwMqAcAnv6DfhUxh5emyM3CJp_w/edit?usp=sharing"",""เพชรบุรี!R646"")+IMPORTRA"&amp;"NGE(""https://docs.google.com/spreadsheets/d/19KBlQQs7uwvsao6t2n-KvW3Ax8J8uRRfZPq1zPbXgKc/edit?usp=sharing"",""ระยอง!R646"")+IMPORTRANGE(""https://docs.google.com/spreadsheets/d/1jQ6P4QcrGM89YfqcC_PxOHGCMq5ezhucwJd8ci-NHng/edit?usp=sharing"",""ราชบุรี!R64"&amp;"6"")+IMPORTRANGE(""https://docs.google.com/spreadsheets/d/1lufeA2cfFqM-elVq2hznhDzC6Pr7wkJ9ZG_sYNGCMCU/edit?usp=sharing"",""ลพบุรี!R646"")+IMPORTRANGE(""https://docs.google.com/spreadsheets/d/10oOiF7loTyfsTkbd4MpaIm0HQ9SwB7IYHdIUvt-U1Uc/edit?usp=sharing"""&amp;",""สระแก้ว!R646"")+IMPORTRANGE(""https://docs.google.com/spreadsheets/d/1xmPlrr1QbdSIKvl1dWUl9K4PjAfSL9oeMr_37QVzcxc/edit?usp=sharing"",""สระบุรี!R646"")+IMPORTRANGE(""https://docs.google.com/spreadsheets/d/1j51vR6CYVGhABJpv6tkstgok82RLpXieLzW1yOY5rHw/edi"&amp;"t?usp=sharing"",""สิงห์บุรี!R646"")+IMPORTRANGE(""https://docs.google.com/spreadsheets/d/1H1EalTWKUSzO4Z1-1CwzoDUaVffgrThEBe2sl74kKG0/edit?usp=sharing"",""สุพรรณบุรี!R646"")+IMPORTRANGE(""https://docs.google.com/spreadsheets/d/1BmIruG_sIrJLYao_Pdr7zVArWsf"&amp;"oBt2692TMi6x_854/edit?usp=sharing"",""อ่างทอง!R646"")"),0)</f>
        <v>0</v>
      </c>
      <c r="S647" s="77">
        <f ca="1">IFERROR(__xludf.DUMMYFUNCTION("IMPORTRANGE(""https://docs.google.com/spreadsheets/d/13wPX838HrBrQMCywv1BsuMkt4PEKTChp52zj44s2izQ/edit?usp=sharing"",""กาญจนบุรี!S646"")+IMPORTRANGE(""https://docs.google.com/spreadsheets/d/1ddFKvqj1W1NEiWytbGlB1zMx_ykJDVtmfEQ-6-lIUBA/edit?usp=sharing"","&amp;"""จันทบุรี!S646"")+IMPORTRANGE(""https://docs.google.com/spreadsheets/d/1T1PQvRODqOBZk8BRht_U031fIS1beLA0Ub2CEytj2q0/edit?usp=sharing"",""ฉะเชิงเทรา!S646"")+IMPORTRANGE(""https://docs.google.com/spreadsheets/d/11tr1B-Bhyr79v2bkwVh5h_fR-PStkgjlZtkrZpYurG0/"&amp;"edit?usp=sharing"",""ชลบุรี!S646"")+IMPORTRANGE(""https://docs.google.com/spreadsheets/d/1hh-FVnSX0vozXhGluamEcS54Dw9_zqW0N7qJUWgJ0Sw/edit?usp=sharing"",""ชัยนาท!S646"")+IMPORTRANGE(""https://docs.google.com/spreadsheets/d/1jkqa6GXxSacMcY1eN8AHjMNJ_7dDXMJ"&amp;"VRLDlaFSOdPM/edit?usp=sharing"",""ตราด!S646"")+IMPORTRANGE(""https://docs.google.com/spreadsheets/d/18hSgUJ3VwClqi_qtULmmW3cLr0oe3OKaSYoKzdpTsYQ/edit?usp=sharing"",""นครนายก!S646"")+IMPORTRANGE(""https://docs.google.com/spreadsheets/d/1YTZo6WM2dQ6Ix6FSdnL"&amp;"5P7uVnVKu40sxZu975tgG10E/edit?usp=sharing"",""นครปฐม!S646"")+IMPORTRANGE(""https://docs.google.com/spreadsheets/d/1OYoGg4WDg5RIzwGeB10padOxJF9E_Vljuvvct_M7RDo/edit?usp=sharing"",""ปทุมธานี!S646"")+IMPORTRANGE(""https://docs.google.com/spreadsheets/d/1GbCI"&amp;"E4D4wk9FUozzqk7SxfDMxDVBwVmI5zcaVUSzKAc/edit?usp=sharing"",""ประจวบคีรีขันธ์!S646"")+IMPORTRANGE(""https://docs.google.com/spreadsheets/d/1vVf6wykvW_lAyu7Yo9L4hUTqHqIeP_qcVuxCtosJEbg/edit?usp=sharing"",""ปราจีนบุรี!S646"")+IMPORTRANGE(""https://docs.googl"&amp;"e.com/spreadsheets/d/1BIDqLLg5jk3v59G8NlR8rk5xfQDKne0sAvZHSj7TI6I/edit?usp=sharing"",""พระนครศรีอยุธยา!S646"")+IMPORTRANGE(""https://docs.google.com/spreadsheets/d/1YXvxf8Yu6_rV4hTBrwMqAcAnv6DfhUxh5emyM3CJp_w/edit?usp=sharing"",""เพชรบุรี!S646"")+IMPORTRA"&amp;"NGE(""https://docs.google.com/spreadsheets/d/19KBlQQs7uwvsao6t2n-KvW3Ax8J8uRRfZPq1zPbXgKc/edit?usp=sharing"",""ระยอง!S646"")+IMPORTRANGE(""https://docs.google.com/spreadsheets/d/1jQ6P4QcrGM89YfqcC_PxOHGCMq5ezhucwJd8ci-NHng/edit?usp=sharing"",""ราชบุรี!S64"&amp;"6"")+IMPORTRANGE(""https://docs.google.com/spreadsheets/d/1lufeA2cfFqM-elVq2hznhDzC6Pr7wkJ9ZG_sYNGCMCU/edit?usp=sharing"",""ลพบุรี!S646"")+IMPORTRANGE(""https://docs.google.com/spreadsheets/d/10oOiF7loTyfsTkbd4MpaIm0HQ9SwB7IYHdIUvt-U1Uc/edit?usp=sharing"""&amp;",""สระแก้ว!S646"")+IMPORTRANGE(""https://docs.google.com/spreadsheets/d/1xmPlrr1QbdSIKvl1dWUl9K4PjAfSL9oeMr_37QVzcxc/edit?usp=sharing"",""สระบุรี!S646"")+IMPORTRANGE(""https://docs.google.com/spreadsheets/d/1j51vR6CYVGhABJpv6tkstgok82RLpXieLzW1yOY5rHw/edi"&amp;"t?usp=sharing"",""สิงห์บุรี!S646"")+IMPORTRANGE(""https://docs.google.com/spreadsheets/d/1H1EalTWKUSzO4Z1-1CwzoDUaVffgrThEBe2sl74kKG0/edit?usp=sharing"",""สุพรรณบุรี!S646"")+IMPORTRANGE(""https://docs.google.com/spreadsheets/d/1BmIruG_sIrJLYao_Pdr7zVArWsf"&amp;"oBt2692TMi6x_854/edit?usp=sharing"",""อ่างทอง!S646"")"),0)</f>
        <v>0</v>
      </c>
      <c r="T647" s="133">
        <f t="shared" ca="1" si="449"/>
        <v>0</v>
      </c>
      <c r="U647" s="133">
        <f t="shared" ca="1" si="450"/>
        <v>0</v>
      </c>
    </row>
    <row r="648" spans="1:21" ht="18.75" x14ac:dyDescent="0.25">
      <c r="A648" s="257"/>
      <c r="B648" s="269"/>
      <c r="C648" s="269"/>
      <c r="D648" s="290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4">
        <f ca="1">IFERROR(__xludf.DUMMYFUNCTION("IMPORTRANGE(""https://docs.google.com/spreadsheets/d/13wPX838HrBrQMCywv1BsuMkt4PEKTChp52zj44s2izQ/edit?usp=sharing"",""กาญจนบุรี!L647"")+IMPORTRANGE(""https://docs.google.com/spreadsheets/d/1ddFKvqj1W1NEiWytbGlB1zMx_ykJDVtmfEQ-6-lIUBA/edit?usp=sharing"","&amp;"""จันทบุรี!L647"")+IMPORTRANGE(""https://docs.google.com/spreadsheets/d/1T1PQvRODqOBZk8BRht_U031fIS1beLA0Ub2CEytj2q0/edit?usp=sharing"",""ฉะเชิงเทรา!L647"")+IMPORTRANGE(""https://docs.google.com/spreadsheets/d/11tr1B-Bhyr79v2bkwVh5h_fR-PStkgjlZtkrZpYurG0/"&amp;"edit?usp=sharing"",""ชลบุรี!L647"")+IMPORTRANGE(""https://docs.google.com/spreadsheets/d/1hh-FVnSX0vozXhGluamEcS54Dw9_zqW0N7qJUWgJ0Sw/edit?usp=sharing"",""ชัยนาท!L647"")+IMPORTRANGE(""https://docs.google.com/spreadsheets/d/1jkqa6GXxSacMcY1eN8AHjMNJ_7dDXMJ"&amp;"VRLDlaFSOdPM/edit?usp=sharing"",""ตราด!L647"")+IMPORTRANGE(""https://docs.google.com/spreadsheets/d/18hSgUJ3VwClqi_qtULmmW3cLr0oe3OKaSYoKzdpTsYQ/edit?usp=sharing"",""นครนายก!L647"")+IMPORTRANGE(""https://docs.google.com/spreadsheets/d/1YTZo6WM2dQ6Ix6FSdnL"&amp;"5P7uVnVKu40sxZu975tgG10E/edit?usp=sharing"",""นครปฐม!L647"")+IMPORTRANGE(""https://docs.google.com/spreadsheets/d/1OYoGg4WDg5RIzwGeB10padOxJF9E_Vljuvvct_M7RDo/edit?usp=sharing"",""ปทุมธานี!L647"")+IMPORTRANGE(""https://docs.google.com/spreadsheets/d/1GbCI"&amp;"E4D4wk9FUozzqk7SxfDMxDVBwVmI5zcaVUSzKAc/edit?usp=sharing"",""ประจวบคีรีขันธ์!L647"")+IMPORTRANGE(""https://docs.google.com/spreadsheets/d/1vVf6wykvW_lAyu7Yo9L4hUTqHqIeP_qcVuxCtosJEbg/edit?usp=sharing"",""ปราจีนบุรี!L647"")+IMPORTRANGE(""https://docs.googl"&amp;"e.com/spreadsheets/d/1BIDqLLg5jk3v59G8NlR8rk5xfQDKne0sAvZHSj7TI6I/edit?usp=sharing"",""พระนครศรีอยุธยา!L647"")+IMPORTRANGE(""https://docs.google.com/spreadsheets/d/1YXvxf8Yu6_rV4hTBrwMqAcAnv6DfhUxh5emyM3CJp_w/edit?usp=sharing"",""เพชรบุรี!L647"")+IMPORTRA"&amp;"NGE(""https://docs.google.com/spreadsheets/d/19KBlQQs7uwvsao6t2n-KvW3Ax8J8uRRfZPq1zPbXgKc/edit?usp=sharing"",""ระยอง!L647"")+IMPORTRANGE(""https://docs.google.com/spreadsheets/d/1jQ6P4QcrGM89YfqcC_PxOHGCMq5ezhucwJd8ci-NHng/edit?usp=sharing"",""ราชบุรี!L64"&amp;"7"")+IMPORTRANGE(""https://docs.google.com/spreadsheets/d/1lufeA2cfFqM-elVq2hznhDzC6Pr7wkJ9ZG_sYNGCMCU/edit?usp=sharing"",""ลพบุรี!L647"")+IMPORTRANGE(""https://docs.google.com/spreadsheets/d/10oOiF7loTyfsTkbd4MpaIm0HQ9SwB7IYHdIUvt-U1Uc/edit?usp=sharing"""&amp;",""สระแก้ว!L647"")+IMPORTRANGE(""https://docs.google.com/spreadsheets/d/1xmPlrr1QbdSIKvl1dWUl9K4PjAfSL9oeMr_37QVzcxc/edit?usp=sharing"",""สระบุรี!L647"")+IMPORTRANGE(""https://docs.google.com/spreadsheets/d/1j51vR6CYVGhABJpv6tkstgok82RLpXieLzW1yOY5rHw/edi"&amp;"t?usp=sharing"",""สิงห์บุรี!L647"")+IMPORTRANGE(""https://docs.google.com/spreadsheets/d/1H1EalTWKUSzO4Z1-1CwzoDUaVffgrThEBe2sl74kKG0/edit?usp=sharing"",""สุพรรณบุรี!L647"")+IMPORTRANGE(""https://docs.google.com/spreadsheets/d/1BmIruG_sIrJLYao_Pdr7zVArWsf"&amp;"oBt2692TMi6x_854/edit?usp=sharing"",""อ่างทอง!L647"")"),0)</f>
        <v>0</v>
      </c>
      <c r="M648" s="74">
        <f ca="1">IFERROR(__xludf.DUMMYFUNCTION("IMPORTRANGE(""https://docs.google.com/spreadsheets/d/13wPX838HrBrQMCywv1BsuMkt4PEKTChp52zj44s2izQ/edit?usp=sharing"",""กาญจนบุรี!M647"")+IMPORTRANGE(""https://docs.google.com/spreadsheets/d/1ddFKvqj1W1NEiWytbGlB1zMx_ykJDVtmfEQ-6-lIUBA/edit?usp=sharing"","&amp;"""จันทบุรี!M647"")+IMPORTRANGE(""https://docs.google.com/spreadsheets/d/1T1PQvRODqOBZk8BRht_U031fIS1beLA0Ub2CEytj2q0/edit?usp=sharing"",""ฉะเชิงเทรา!M647"")+IMPORTRANGE(""https://docs.google.com/spreadsheets/d/11tr1B-Bhyr79v2bkwVh5h_fR-PStkgjlZtkrZpYurG0/"&amp;"edit?usp=sharing"",""ชลบุรี!M647"")+IMPORTRANGE(""https://docs.google.com/spreadsheets/d/1hh-FVnSX0vozXhGluamEcS54Dw9_zqW0N7qJUWgJ0Sw/edit?usp=sharing"",""ชัยนาท!M647"")+IMPORTRANGE(""https://docs.google.com/spreadsheets/d/1jkqa6GXxSacMcY1eN8AHjMNJ_7dDXMJ"&amp;"VRLDlaFSOdPM/edit?usp=sharing"",""ตราด!M647"")+IMPORTRANGE(""https://docs.google.com/spreadsheets/d/18hSgUJ3VwClqi_qtULmmW3cLr0oe3OKaSYoKzdpTsYQ/edit?usp=sharing"",""นครนายก!M647"")+IMPORTRANGE(""https://docs.google.com/spreadsheets/d/1YTZo6WM2dQ6Ix6FSdnL"&amp;"5P7uVnVKu40sxZu975tgG10E/edit?usp=sharing"",""นครปฐม!M647"")+IMPORTRANGE(""https://docs.google.com/spreadsheets/d/1OYoGg4WDg5RIzwGeB10padOxJF9E_Vljuvvct_M7RDo/edit?usp=sharing"",""ปทุมธานี!M647"")+IMPORTRANGE(""https://docs.google.com/spreadsheets/d/1GbCI"&amp;"E4D4wk9FUozzqk7SxfDMxDVBwVmI5zcaVUSzKAc/edit?usp=sharing"",""ประจวบคีรีขันธ์!M647"")+IMPORTRANGE(""https://docs.google.com/spreadsheets/d/1vVf6wykvW_lAyu7Yo9L4hUTqHqIeP_qcVuxCtosJEbg/edit?usp=sharing"",""ปราจีนบุรี!M647"")+IMPORTRANGE(""https://docs.googl"&amp;"e.com/spreadsheets/d/1BIDqLLg5jk3v59G8NlR8rk5xfQDKne0sAvZHSj7TI6I/edit?usp=sharing"",""พระนครศรีอยุธยา!M647"")+IMPORTRANGE(""https://docs.google.com/spreadsheets/d/1YXvxf8Yu6_rV4hTBrwMqAcAnv6DfhUxh5emyM3CJp_w/edit?usp=sharing"",""เพชรบุรี!M647"")+IMPORTRA"&amp;"NGE(""https://docs.google.com/spreadsheets/d/19KBlQQs7uwvsao6t2n-KvW3Ax8J8uRRfZPq1zPbXgKc/edit?usp=sharing"",""ระยอง!M647"")+IMPORTRANGE(""https://docs.google.com/spreadsheets/d/1jQ6P4QcrGM89YfqcC_PxOHGCMq5ezhucwJd8ci-NHng/edit?usp=sharing"",""ราชบุรี!M64"&amp;"7"")+IMPORTRANGE(""https://docs.google.com/spreadsheets/d/1lufeA2cfFqM-elVq2hznhDzC6Pr7wkJ9ZG_sYNGCMCU/edit?usp=sharing"",""ลพบุรี!M647"")+IMPORTRANGE(""https://docs.google.com/spreadsheets/d/10oOiF7loTyfsTkbd4MpaIm0HQ9SwB7IYHdIUvt-U1Uc/edit?usp=sharing"""&amp;",""สระแก้ว!M647"")+IMPORTRANGE(""https://docs.google.com/spreadsheets/d/1xmPlrr1QbdSIKvl1dWUl9K4PjAfSL9oeMr_37QVzcxc/edit?usp=sharing"",""สระบุรี!M647"")+IMPORTRANGE(""https://docs.google.com/spreadsheets/d/1j51vR6CYVGhABJpv6tkstgok82RLpXieLzW1yOY5rHw/edi"&amp;"t?usp=sharing"",""สิงห์บุรี!M647"")+IMPORTRANGE(""https://docs.google.com/spreadsheets/d/1H1EalTWKUSzO4Z1-1CwzoDUaVffgrThEBe2sl74kKG0/edit?usp=sharing"",""สุพรรณบุรี!M647"")+IMPORTRANGE(""https://docs.google.com/spreadsheets/d/1BmIruG_sIrJLYao_Pdr7zVArWsf"&amp;"oBt2692TMi6x_854/edit?usp=sharing"",""อ่างทอง!M647"")"),0)</f>
        <v>0</v>
      </c>
      <c r="N648" s="74">
        <f ca="1">IFERROR(__xludf.DUMMYFUNCTION("IMPORTRANGE(""https://docs.google.com/spreadsheets/d/13wPX838HrBrQMCywv1BsuMkt4PEKTChp52zj44s2izQ/edit?usp=sharing"",""กาญจนบุรี!N647"")+IMPORTRANGE(""https://docs.google.com/spreadsheets/d/1ddFKvqj1W1NEiWytbGlB1zMx_ykJDVtmfEQ-6-lIUBA/edit?usp=sharing"","&amp;"""จันทบุรี!N647"")+IMPORTRANGE(""https://docs.google.com/spreadsheets/d/1T1PQvRODqOBZk8BRht_U031fIS1beLA0Ub2CEytj2q0/edit?usp=sharing"",""ฉะเชิงเทรา!N647"")+IMPORTRANGE(""https://docs.google.com/spreadsheets/d/11tr1B-Bhyr79v2bkwVh5h_fR-PStkgjlZtkrZpYurG0/"&amp;"edit?usp=sharing"",""ชลบุรี!N647"")+IMPORTRANGE(""https://docs.google.com/spreadsheets/d/1hh-FVnSX0vozXhGluamEcS54Dw9_zqW0N7qJUWgJ0Sw/edit?usp=sharing"",""ชัยนาท!N647"")+IMPORTRANGE(""https://docs.google.com/spreadsheets/d/1jkqa6GXxSacMcY1eN8AHjMNJ_7dDXMJ"&amp;"VRLDlaFSOdPM/edit?usp=sharing"",""ตราด!N647"")+IMPORTRANGE(""https://docs.google.com/spreadsheets/d/18hSgUJ3VwClqi_qtULmmW3cLr0oe3OKaSYoKzdpTsYQ/edit?usp=sharing"",""นครนายก!N647"")+IMPORTRANGE(""https://docs.google.com/spreadsheets/d/1YTZo6WM2dQ6Ix6FSdnL"&amp;"5P7uVnVKu40sxZu975tgG10E/edit?usp=sharing"",""นครปฐม!N647"")+IMPORTRANGE(""https://docs.google.com/spreadsheets/d/1OYoGg4WDg5RIzwGeB10padOxJF9E_Vljuvvct_M7RDo/edit?usp=sharing"",""ปทุมธานี!N647"")+IMPORTRANGE(""https://docs.google.com/spreadsheets/d/1GbCI"&amp;"E4D4wk9FUozzqk7SxfDMxDVBwVmI5zcaVUSzKAc/edit?usp=sharing"",""ประจวบคีรีขันธ์!N647"")+IMPORTRANGE(""https://docs.google.com/spreadsheets/d/1vVf6wykvW_lAyu7Yo9L4hUTqHqIeP_qcVuxCtosJEbg/edit?usp=sharing"",""ปราจีนบุรี!N647"")+IMPORTRANGE(""https://docs.googl"&amp;"e.com/spreadsheets/d/1BIDqLLg5jk3v59G8NlR8rk5xfQDKne0sAvZHSj7TI6I/edit?usp=sharing"",""พระนครศรีอยุธยา!N647"")+IMPORTRANGE(""https://docs.google.com/spreadsheets/d/1YXvxf8Yu6_rV4hTBrwMqAcAnv6DfhUxh5emyM3CJp_w/edit?usp=sharing"",""เพชรบุรี!N647"")+IMPORTRA"&amp;"NGE(""https://docs.google.com/spreadsheets/d/19KBlQQs7uwvsao6t2n-KvW3Ax8J8uRRfZPq1zPbXgKc/edit?usp=sharing"",""ระยอง!N647"")+IMPORTRANGE(""https://docs.google.com/spreadsheets/d/1jQ6P4QcrGM89YfqcC_PxOHGCMq5ezhucwJd8ci-NHng/edit?usp=sharing"",""ราชบุรี!N64"&amp;"7"")+IMPORTRANGE(""https://docs.google.com/spreadsheets/d/1lufeA2cfFqM-elVq2hznhDzC6Pr7wkJ9ZG_sYNGCMCU/edit?usp=sharing"",""ลพบุรี!N647"")+IMPORTRANGE(""https://docs.google.com/spreadsheets/d/10oOiF7loTyfsTkbd4MpaIm0HQ9SwB7IYHdIUvt-U1Uc/edit?usp=sharing"""&amp;",""สระแก้ว!N647"")+IMPORTRANGE(""https://docs.google.com/spreadsheets/d/1xmPlrr1QbdSIKvl1dWUl9K4PjAfSL9oeMr_37QVzcxc/edit?usp=sharing"",""สระบุรี!N647"")+IMPORTRANGE(""https://docs.google.com/spreadsheets/d/1j51vR6CYVGhABJpv6tkstgok82RLpXieLzW1yOY5rHw/edi"&amp;"t?usp=sharing"",""สิงห์บุรี!N647"")+IMPORTRANGE(""https://docs.google.com/spreadsheets/d/1H1EalTWKUSzO4Z1-1CwzoDUaVffgrThEBe2sl74kKG0/edit?usp=sharing"",""สุพรรณบุรี!N647"")+IMPORTRANGE(""https://docs.google.com/spreadsheets/d/1BmIruG_sIrJLYao_Pdr7zVArWsf"&amp;"oBt2692TMi6x_854/edit?usp=sharing"",""อ่างทอง!N647"")"),0)</f>
        <v>0</v>
      </c>
      <c r="O648" s="74">
        <f t="shared" ca="1" si="446"/>
        <v>0</v>
      </c>
      <c r="P648" s="74">
        <f t="shared" ca="1" si="447"/>
        <v>0</v>
      </c>
      <c r="Q648" s="131">
        <f ca="1">IFERROR(__xludf.DUMMYFUNCTION("IMPORTRANGE(""https://docs.google.com/spreadsheets/d/13wPX838HrBrQMCywv1BsuMkt4PEKTChp52zj44s2izQ/edit?usp=sharing"",""กาญจนบุรี!Q647"")+IMPORTRANGE(""https://docs.google.com/spreadsheets/d/1ddFKvqj1W1NEiWytbGlB1zMx_ykJDVtmfEQ-6-lIUBA/edit?usp=sharing"","&amp;"""จันทบุรี!Q647"")+IMPORTRANGE(""https://docs.google.com/spreadsheets/d/1T1PQvRODqOBZk8BRht_U031fIS1beLA0Ub2CEytj2q0/edit?usp=sharing"",""ฉะเชิงเทรา!Q647"")+IMPORTRANGE(""https://docs.google.com/spreadsheets/d/11tr1B-Bhyr79v2bkwVh5h_fR-PStkgjlZtkrZpYurG0/"&amp;"edit?usp=sharing"",""ชลบุรี!Q647"")+IMPORTRANGE(""https://docs.google.com/spreadsheets/d/1hh-FVnSX0vozXhGluamEcS54Dw9_zqW0N7qJUWgJ0Sw/edit?usp=sharing"",""ชัยนาท!Q647"")+IMPORTRANGE(""https://docs.google.com/spreadsheets/d/1jkqa6GXxSacMcY1eN8AHjMNJ_7dDXMJ"&amp;"VRLDlaFSOdPM/edit?usp=sharing"",""ตราด!Q647"")+IMPORTRANGE(""https://docs.google.com/spreadsheets/d/18hSgUJ3VwClqi_qtULmmW3cLr0oe3OKaSYoKzdpTsYQ/edit?usp=sharing"",""นครนายก!Q647"")+IMPORTRANGE(""https://docs.google.com/spreadsheets/d/1YTZo6WM2dQ6Ix6FSdnL"&amp;"5P7uVnVKu40sxZu975tgG10E/edit?usp=sharing"",""นครปฐม!Q647"")+IMPORTRANGE(""https://docs.google.com/spreadsheets/d/1OYoGg4WDg5RIzwGeB10padOxJF9E_Vljuvvct_M7RDo/edit?usp=sharing"",""ปทุมธานี!Q647"")+IMPORTRANGE(""https://docs.google.com/spreadsheets/d/1GbCI"&amp;"E4D4wk9FUozzqk7SxfDMxDVBwVmI5zcaVUSzKAc/edit?usp=sharing"",""ประจวบคีรีขันธ์!Q647"")+IMPORTRANGE(""https://docs.google.com/spreadsheets/d/1vVf6wykvW_lAyu7Yo9L4hUTqHqIeP_qcVuxCtosJEbg/edit?usp=sharing"",""ปราจีนบุรี!Q647"")+IMPORTRANGE(""https://docs.googl"&amp;"e.com/spreadsheets/d/1BIDqLLg5jk3v59G8NlR8rk5xfQDKne0sAvZHSj7TI6I/edit?usp=sharing"",""พระนครศรีอยุธยา!Q647"")+IMPORTRANGE(""https://docs.google.com/spreadsheets/d/1YXvxf8Yu6_rV4hTBrwMqAcAnv6DfhUxh5emyM3CJp_w/edit?usp=sharing"",""เพชรบุรี!Q647"")+IMPORTRA"&amp;"NGE(""https://docs.google.com/spreadsheets/d/19KBlQQs7uwvsao6t2n-KvW3Ax8J8uRRfZPq1zPbXgKc/edit?usp=sharing"",""ระยอง!Q647"")+IMPORTRANGE(""https://docs.google.com/spreadsheets/d/1jQ6P4QcrGM89YfqcC_PxOHGCMq5ezhucwJd8ci-NHng/edit?usp=sharing"",""ราชบุรี!Q64"&amp;"7"")+IMPORTRANGE(""https://docs.google.com/spreadsheets/d/1lufeA2cfFqM-elVq2hznhDzC6Pr7wkJ9ZG_sYNGCMCU/edit?usp=sharing"",""ลพบุรี!Q647"")+IMPORTRANGE(""https://docs.google.com/spreadsheets/d/10oOiF7loTyfsTkbd4MpaIm0HQ9SwB7IYHdIUvt-U1Uc/edit?usp=sharing"""&amp;",""สระแก้ว!Q647"")+IMPORTRANGE(""https://docs.google.com/spreadsheets/d/1xmPlrr1QbdSIKvl1dWUl9K4PjAfSL9oeMr_37QVzcxc/edit?usp=sharing"",""สระบุรี!Q647"")+IMPORTRANGE(""https://docs.google.com/spreadsheets/d/1j51vR6CYVGhABJpv6tkstgok82RLpXieLzW1yOY5rHw/edi"&amp;"t?usp=sharing"",""สิงห์บุรี!Q647"")+IMPORTRANGE(""https://docs.google.com/spreadsheets/d/1H1EalTWKUSzO4Z1-1CwzoDUaVffgrThEBe2sl74kKG0/edit?usp=sharing"",""สุพรรณบุรี!Q647"")+IMPORTRANGE(""https://docs.google.com/spreadsheets/d/1BmIruG_sIrJLYao_Pdr7zVArWsf"&amp;"oBt2692TMi6x_854/edit?usp=sharing"",""อ่างทอง!Q647"")"),417660)</f>
        <v>417660</v>
      </c>
      <c r="R648" s="132">
        <f ca="1">IFERROR(__xludf.DUMMYFUNCTION("IMPORTRANGE(""https://docs.google.com/spreadsheets/d/13wPX838HrBrQMCywv1BsuMkt4PEKTChp52zj44s2izQ/edit?usp=sharing"",""กาญจนบุรี!R647"")+IMPORTRANGE(""https://docs.google.com/spreadsheets/d/1ddFKvqj1W1NEiWytbGlB1zMx_ykJDVtmfEQ-6-lIUBA/edit?usp=sharing"","&amp;"""จันทบุรี!R647"")+IMPORTRANGE(""https://docs.google.com/spreadsheets/d/1T1PQvRODqOBZk8BRht_U031fIS1beLA0Ub2CEytj2q0/edit?usp=sharing"",""ฉะเชิงเทรา!R647"")+IMPORTRANGE(""https://docs.google.com/spreadsheets/d/11tr1B-Bhyr79v2bkwVh5h_fR-PStkgjlZtkrZpYurG0/"&amp;"edit?usp=sharing"",""ชลบุรี!R647"")+IMPORTRANGE(""https://docs.google.com/spreadsheets/d/1hh-FVnSX0vozXhGluamEcS54Dw9_zqW0N7qJUWgJ0Sw/edit?usp=sharing"",""ชัยนาท!R647"")+IMPORTRANGE(""https://docs.google.com/spreadsheets/d/1jkqa6GXxSacMcY1eN8AHjMNJ_7dDXMJ"&amp;"VRLDlaFSOdPM/edit?usp=sharing"",""ตราด!R647"")+IMPORTRANGE(""https://docs.google.com/spreadsheets/d/18hSgUJ3VwClqi_qtULmmW3cLr0oe3OKaSYoKzdpTsYQ/edit?usp=sharing"",""นครนายก!R647"")+IMPORTRANGE(""https://docs.google.com/spreadsheets/d/1YTZo6WM2dQ6Ix6FSdnL"&amp;"5P7uVnVKu40sxZu975tgG10E/edit?usp=sharing"",""นครปฐม!R647"")+IMPORTRANGE(""https://docs.google.com/spreadsheets/d/1OYoGg4WDg5RIzwGeB10padOxJF9E_Vljuvvct_M7RDo/edit?usp=sharing"",""ปทุมธานี!R647"")+IMPORTRANGE(""https://docs.google.com/spreadsheets/d/1GbCI"&amp;"E4D4wk9FUozzqk7SxfDMxDVBwVmI5zcaVUSzKAc/edit?usp=sharing"",""ประจวบคีรีขันธ์!R647"")+IMPORTRANGE(""https://docs.google.com/spreadsheets/d/1vVf6wykvW_lAyu7Yo9L4hUTqHqIeP_qcVuxCtosJEbg/edit?usp=sharing"",""ปราจีนบุรี!R647"")+IMPORTRANGE(""https://docs.googl"&amp;"e.com/spreadsheets/d/1BIDqLLg5jk3v59G8NlR8rk5xfQDKne0sAvZHSj7TI6I/edit?usp=sharing"",""พระนครศรีอยุธยา!R647"")+IMPORTRANGE(""https://docs.google.com/spreadsheets/d/1YXvxf8Yu6_rV4hTBrwMqAcAnv6DfhUxh5emyM3CJp_w/edit?usp=sharing"",""เพชรบุรี!R647"")+IMPORTRA"&amp;"NGE(""https://docs.google.com/spreadsheets/d/19KBlQQs7uwvsao6t2n-KvW3Ax8J8uRRfZPq1zPbXgKc/edit?usp=sharing"",""ระยอง!R647"")+IMPORTRANGE(""https://docs.google.com/spreadsheets/d/1jQ6P4QcrGM89YfqcC_PxOHGCMq5ezhucwJd8ci-NHng/edit?usp=sharing"",""ราชบุรี!R64"&amp;"7"")+IMPORTRANGE(""https://docs.google.com/spreadsheets/d/1lufeA2cfFqM-elVq2hznhDzC6Pr7wkJ9ZG_sYNGCMCU/edit?usp=sharing"",""ลพบุรี!R647"")+IMPORTRANGE(""https://docs.google.com/spreadsheets/d/10oOiF7loTyfsTkbd4MpaIm0HQ9SwB7IYHdIUvt-U1Uc/edit?usp=sharing"""&amp;",""สระแก้ว!R647"")+IMPORTRANGE(""https://docs.google.com/spreadsheets/d/1xmPlrr1QbdSIKvl1dWUl9K4PjAfSL9oeMr_37QVzcxc/edit?usp=sharing"",""สระบุรี!R647"")+IMPORTRANGE(""https://docs.google.com/spreadsheets/d/1j51vR6CYVGhABJpv6tkstgok82RLpXieLzW1yOY5rHw/edi"&amp;"t?usp=sharing"",""สิงห์บุรี!R647"")+IMPORTRANGE(""https://docs.google.com/spreadsheets/d/1H1EalTWKUSzO4Z1-1CwzoDUaVffgrThEBe2sl74kKG0/edit?usp=sharing"",""สุพรรณบุรี!R647"")+IMPORTRANGE(""https://docs.google.com/spreadsheets/d/1BmIruG_sIrJLYao_Pdr7zVArWsf"&amp;"oBt2692TMi6x_854/edit?usp=sharing"",""อ่างทอง!R647"")"),417660)</f>
        <v>417660</v>
      </c>
      <c r="S648" s="132">
        <f ca="1">IFERROR(__xludf.DUMMYFUNCTION("IMPORTRANGE(""https://docs.google.com/spreadsheets/d/13wPX838HrBrQMCywv1BsuMkt4PEKTChp52zj44s2izQ/edit?usp=sharing"",""กาญจนบุรี!S647"")+IMPORTRANGE(""https://docs.google.com/spreadsheets/d/1ddFKvqj1W1NEiWytbGlB1zMx_ykJDVtmfEQ-6-lIUBA/edit?usp=sharing"","&amp;"""จันทบุรี!S647"")+IMPORTRANGE(""https://docs.google.com/spreadsheets/d/1T1PQvRODqOBZk8BRht_U031fIS1beLA0Ub2CEytj2q0/edit?usp=sharing"",""ฉะเชิงเทรา!S647"")+IMPORTRANGE(""https://docs.google.com/spreadsheets/d/11tr1B-Bhyr79v2bkwVh5h_fR-PStkgjlZtkrZpYurG0/"&amp;"edit?usp=sharing"",""ชลบุรี!S647"")+IMPORTRANGE(""https://docs.google.com/spreadsheets/d/1hh-FVnSX0vozXhGluamEcS54Dw9_zqW0N7qJUWgJ0Sw/edit?usp=sharing"",""ชัยนาท!S647"")+IMPORTRANGE(""https://docs.google.com/spreadsheets/d/1jkqa6GXxSacMcY1eN8AHjMNJ_7dDXMJ"&amp;"VRLDlaFSOdPM/edit?usp=sharing"",""ตราด!S647"")+IMPORTRANGE(""https://docs.google.com/spreadsheets/d/18hSgUJ3VwClqi_qtULmmW3cLr0oe3OKaSYoKzdpTsYQ/edit?usp=sharing"",""นครนายก!S647"")+IMPORTRANGE(""https://docs.google.com/spreadsheets/d/1YTZo6WM2dQ6Ix6FSdnL"&amp;"5P7uVnVKu40sxZu975tgG10E/edit?usp=sharing"",""นครปฐม!S647"")+IMPORTRANGE(""https://docs.google.com/spreadsheets/d/1OYoGg4WDg5RIzwGeB10padOxJF9E_Vljuvvct_M7RDo/edit?usp=sharing"",""ปทุมธานี!S647"")+IMPORTRANGE(""https://docs.google.com/spreadsheets/d/1GbCI"&amp;"E4D4wk9FUozzqk7SxfDMxDVBwVmI5zcaVUSzKAc/edit?usp=sharing"",""ประจวบคีรีขันธ์!S647"")+IMPORTRANGE(""https://docs.google.com/spreadsheets/d/1vVf6wykvW_lAyu7Yo9L4hUTqHqIeP_qcVuxCtosJEbg/edit?usp=sharing"",""ปราจีนบุรี!S647"")+IMPORTRANGE(""https://docs.googl"&amp;"e.com/spreadsheets/d/1BIDqLLg5jk3v59G8NlR8rk5xfQDKne0sAvZHSj7TI6I/edit?usp=sharing"",""พระนครศรีอยุธยา!S647"")+IMPORTRANGE(""https://docs.google.com/spreadsheets/d/1YXvxf8Yu6_rV4hTBrwMqAcAnv6DfhUxh5emyM3CJp_w/edit?usp=sharing"",""เพชรบุรี!S647"")+IMPORTRA"&amp;"NGE(""https://docs.google.com/spreadsheets/d/19KBlQQs7uwvsao6t2n-KvW3Ax8J8uRRfZPq1zPbXgKc/edit?usp=sharing"",""ระยอง!S647"")+IMPORTRANGE(""https://docs.google.com/spreadsheets/d/1jQ6P4QcrGM89YfqcC_PxOHGCMq5ezhucwJd8ci-NHng/edit?usp=sharing"",""ราชบุรี!S64"&amp;"7"")+IMPORTRANGE(""https://docs.google.com/spreadsheets/d/1lufeA2cfFqM-elVq2hznhDzC6Pr7wkJ9ZG_sYNGCMCU/edit?usp=sharing"",""ลพบุรี!S647"")+IMPORTRANGE(""https://docs.google.com/spreadsheets/d/10oOiF7loTyfsTkbd4MpaIm0HQ9SwB7IYHdIUvt-U1Uc/edit?usp=sharing"""&amp;",""สระแก้ว!S647"")+IMPORTRANGE(""https://docs.google.com/spreadsheets/d/1xmPlrr1QbdSIKvl1dWUl9K4PjAfSL9oeMr_37QVzcxc/edit?usp=sharing"",""สระบุรี!S647"")+IMPORTRANGE(""https://docs.google.com/spreadsheets/d/1j51vR6CYVGhABJpv6tkstgok82RLpXieLzW1yOY5rHw/edi"&amp;"t?usp=sharing"",""สิงห์บุรี!S647"")+IMPORTRANGE(""https://docs.google.com/spreadsheets/d/1H1EalTWKUSzO4Z1-1CwzoDUaVffgrThEBe2sl74kKG0/edit?usp=sharing"",""สุพรรณบุรี!S647"")+IMPORTRANGE(""https://docs.google.com/spreadsheets/d/1BmIruG_sIrJLYao_Pdr7zVArWsf"&amp;"oBt2692TMi6x_854/edit?usp=sharing"",""อ่างทอง!S647"")"),8390)</f>
        <v>8390</v>
      </c>
      <c r="T648" s="132">
        <f t="shared" ca="1" si="449"/>
        <v>2.0088109945889001</v>
      </c>
      <c r="U648" s="132">
        <f t="shared" ca="1" si="450"/>
        <v>2.0088109945889001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4">
        <f t="shared" ref="L649:N649" ca="1" si="457">L650+L651</f>
        <v>0</v>
      </c>
      <c r="M649" s="74">
        <f t="shared" ca="1" si="457"/>
        <v>0</v>
      </c>
      <c r="N649" s="74">
        <f t="shared" ca="1" si="457"/>
        <v>0</v>
      </c>
      <c r="O649" s="74">
        <f t="shared" ca="1" si="446"/>
        <v>0</v>
      </c>
      <c r="P649" s="74">
        <f t="shared" ca="1" si="447"/>
        <v>0</v>
      </c>
      <c r="Q649" s="131">
        <f t="shared" ref="Q649:S649" ca="1" si="458">Q650+Q651</f>
        <v>0</v>
      </c>
      <c r="R649" s="132">
        <f t="shared" ca="1" si="458"/>
        <v>0</v>
      </c>
      <c r="S649" s="132">
        <f t="shared" ca="1" si="458"/>
        <v>0</v>
      </c>
      <c r="T649" s="132">
        <f t="shared" ca="1" si="449"/>
        <v>0</v>
      </c>
      <c r="U649" s="132">
        <f t="shared" ca="1" si="450"/>
        <v>0</v>
      </c>
    </row>
    <row r="650" spans="1:21" ht="18.75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7">
        <f ca="1">IFERROR(__xludf.DUMMYFUNCTION("IMPORTRANGE(""https://docs.google.com/spreadsheets/d/13wPX838HrBrQMCywv1BsuMkt4PEKTChp52zj44s2izQ/edit?usp=sharing"",""กาญจนบุรี!L649"")+IMPORTRANGE(""https://docs.google.com/spreadsheets/d/1ddFKvqj1W1NEiWytbGlB1zMx_ykJDVtmfEQ-6-lIUBA/edit?usp=sharing"","&amp;"""จันทบุรี!L649"")+IMPORTRANGE(""https://docs.google.com/spreadsheets/d/1T1PQvRODqOBZk8BRht_U031fIS1beLA0Ub2CEytj2q0/edit?usp=sharing"",""ฉะเชิงเทรา!L649"")+IMPORTRANGE(""https://docs.google.com/spreadsheets/d/11tr1B-Bhyr79v2bkwVh5h_fR-PStkgjlZtkrZpYurG0/"&amp;"edit?usp=sharing"",""ชลบุรี!L649"")+IMPORTRANGE(""https://docs.google.com/spreadsheets/d/1hh-FVnSX0vozXhGluamEcS54Dw9_zqW0N7qJUWgJ0Sw/edit?usp=sharing"",""ชัยนาท!L649"")+IMPORTRANGE(""https://docs.google.com/spreadsheets/d/1jkqa6GXxSacMcY1eN8AHjMNJ_7dDXMJ"&amp;"VRLDlaFSOdPM/edit?usp=sharing"",""ตราด!L649"")+IMPORTRANGE(""https://docs.google.com/spreadsheets/d/18hSgUJ3VwClqi_qtULmmW3cLr0oe3OKaSYoKzdpTsYQ/edit?usp=sharing"",""นครนายก!L649"")+IMPORTRANGE(""https://docs.google.com/spreadsheets/d/1YTZo6WM2dQ6Ix6FSdnL"&amp;"5P7uVnVKu40sxZu975tgG10E/edit?usp=sharing"",""นครปฐม!L649"")+IMPORTRANGE(""https://docs.google.com/spreadsheets/d/1OYoGg4WDg5RIzwGeB10padOxJF9E_Vljuvvct_M7RDo/edit?usp=sharing"",""ปทุมธานี!L649"")+IMPORTRANGE(""https://docs.google.com/spreadsheets/d/1GbCI"&amp;"E4D4wk9FUozzqk7SxfDMxDVBwVmI5zcaVUSzKAc/edit?usp=sharing"",""ประจวบคีรีขันธ์!L649"")+IMPORTRANGE(""https://docs.google.com/spreadsheets/d/1vVf6wykvW_lAyu7Yo9L4hUTqHqIeP_qcVuxCtosJEbg/edit?usp=sharing"",""ปราจีนบุรี!L649"")+IMPORTRANGE(""https://docs.googl"&amp;"e.com/spreadsheets/d/1BIDqLLg5jk3v59G8NlR8rk5xfQDKne0sAvZHSj7TI6I/edit?usp=sharing"",""พระนครศรีอยุธยา!L649"")+IMPORTRANGE(""https://docs.google.com/spreadsheets/d/1YXvxf8Yu6_rV4hTBrwMqAcAnv6DfhUxh5emyM3CJp_w/edit?usp=sharing"",""เพชรบุรี!L649"")+IMPORTRA"&amp;"NGE(""https://docs.google.com/spreadsheets/d/19KBlQQs7uwvsao6t2n-KvW3Ax8J8uRRfZPq1zPbXgKc/edit?usp=sharing"",""ระยอง!L649"")+IMPORTRANGE(""https://docs.google.com/spreadsheets/d/1jQ6P4QcrGM89YfqcC_PxOHGCMq5ezhucwJd8ci-NHng/edit?usp=sharing"",""ราชบุรี!L64"&amp;"9"")+IMPORTRANGE(""https://docs.google.com/spreadsheets/d/1lufeA2cfFqM-elVq2hznhDzC6Pr7wkJ9ZG_sYNGCMCU/edit?usp=sharing"",""ลพบุรี!L649"")+IMPORTRANGE(""https://docs.google.com/spreadsheets/d/10oOiF7loTyfsTkbd4MpaIm0HQ9SwB7IYHdIUvt-U1Uc/edit?usp=sharing"""&amp;",""สระแก้ว!L649"")+IMPORTRANGE(""https://docs.google.com/spreadsheets/d/1xmPlrr1QbdSIKvl1dWUl9K4PjAfSL9oeMr_37QVzcxc/edit?usp=sharing"",""สระบุรี!L649"")+IMPORTRANGE(""https://docs.google.com/spreadsheets/d/1j51vR6CYVGhABJpv6tkstgok82RLpXieLzW1yOY5rHw/edi"&amp;"t?usp=sharing"",""สิงห์บุรี!L649"")+IMPORTRANGE(""https://docs.google.com/spreadsheets/d/1H1EalTWKUSzO4Z1-1CwzoDUaVffgrThEBe2sl74kKG0/edit?usp=sharing"",""สุพรรณบุรี!L649"")+IMPORTRANGE(""https://docs.google.com/spreadsheets/d/1BmIruG_sIrJLYao_Pdr7zVArWsf"&amp;"oBt2692TMi6x_854/edit?usp=sharing"",""อ่างทอง!L649"")"),0)</f>
        <v>0</v>
      </c>
      <c r="M650" s="77">
        <f ca="1">IFERROR(__xludf.DUMMYFUNCTION("IMPORTRANGE(""https://docs.google.com/spreadsheets/d/13wPX838HrBrQMCywv1BsuMkt4PEKTChp52zj44s2izQ/edit?usp=sharing"",""กาญจนบุรี!M649"")+IMPORTRANGE(""https://docs.google.com/spreadsheets/d/1ddFKvqj1W1NEiWytbGlB1zMx_ykJDVtmfEQ-6-lIUBA/edit?usp=sharing"","&amp;"""จันทบุรี!M649"")+IMPORTRANGE(""https://docs.google.com/spreadsheets/d/1T1PQvRODqOBZk8BRht_U031fIS1beLA0Ub2CEytj2q0/edit?usp=sharing"",""ฉะเชิงเทรา!M649"")+IMPORTRANGE(""https://docs.google.com/spreadsheets/d/11tr1B-Bhyr79v2bkwVh5h_fR-PStkgjlZtkrZpYurG0/"&amp;"edit?usp=sharing"",""ชลบุรี!M649"")+IMPORTRANGE(""https://docs.google.com/spreadsheets/d/1hh-FVnSX0vozXhGluamEcS54Dw9_zqW0N7qJUWgJ0Sw/edit?usp=sharing"",""ชัยนาท!M649"")+IMPORTRANGE(""https://docs.google.com/spreadsheets/d/1jkqa6GXxSacMcY1eN8AHjMNJ_7dDXMJ"&amp;"VRLDlaFSOdPM/edit?usp=sharing"",""ตราด!M649"")+IMPORTRANGE(""https://docs.google.com/spreadsheets/d/18hSgUJ3VwClqi_qtULmmW3cLr0oe3OKaSYoKzdpTsYQ/edit?usp=sharing"",""นครนายก!M649"")+IMPORTRANGE(""https://docs.google.com/spreadsheets/d/1YTZo6WM2dQ6Ix6FSdnL"&amp;"5P7uVnVKu40sxZu975tgG10E/edit?usp=sharing"",""นครปฐม!M649"")+IMPORTRANGE(""https://docs.google.com/spreadsheets/d/1OYoGg4WDg5RIzwGeB10padOxJF9E_Vljuvvct_M7RDo/edit?usp=sharing"",""ปทุมธานี!M649"")+IMPORTRANGE(""https://docs.google.com/spreadsheets/d/1GbCI"&amp;"E4D4wk9FUozzqk7SxfDMxDVBwVmI5zcaVUSzKAc/edit?usp=sharing"",""ประจวบคีรีขันธ์!M649"")+IMPORTRANGE(""https://docs.google.com/spreadsheets/d/1vVf6wykvW_lAyu7Yo9L4hUTqHqIeP_qcVuxCtosJEbg/edit?usp=sharing"",""ปราจีนบุรี!M649"")+IMPORTRANGE(""https://docs.googl"&amp;"e.com/spreadsheets/d/1BIDqLLg5jk3v59G8NlR8rk5xfQDKne0sAvZHSj7TI6I/edit?usp=sharing"",""พระนครศรีอยุธยา!M649"")+IMPORTRANGE(""https://docs.google.com/spreadsheets/d/1YXvxf8Yu6_rV4hTBrwMqAcAnv6DfhUxh5emyM3CJp_w/edit?usp=sharing"",""เพชรบุรี!M649"")+IMPORTRA"&amp;"NGE(""https://docs.google.com/spreadsheets/d/19KBlQQs7uwvsao6t2n-KvW3Ax8J8uRRfZPq1zPbXgKc/edit?usp=sharing"",""ระยอง!M649"")+IMPORTRANGE(""https://docs.google.com/spreadsheets/d/1jQ6P4QcrGM89YfqcC_PxOHGCMq5ezhucwJd8ci-NHng/edit?usp=sharing"",""ราชบุรี!M64"&amp;"9"")+IMPORTRANGE(""https://docs.google.com/spreadsheets/d/1lufeA2cfFqM-elVq2hznhDzC6Pr7wkJ9ZG_sYNGCMCU/edit?usp=sharing"",""ลพบุรี!M649"")+IMPORTRANGE(""https://docs.google.com/spreadsheets/d/10oOiF7loTyfsTkbd4MpaIm0HQ9SwB7IYHdIUvt-U1Uc/edit?usp=sharing"""&amp;",""สระแก้ว!M649"")+IMPORTRANGE(""https://docs.google.com/spreadsheets/d/1xmPlrr1QbdSIKvl1dWUl9K4PjAfSL9oeMr_37QVzcxc/edit?usp=sharing"",""สระบุรี!M649"")+IMPORTRANGE(""https://docs.google.com/spreadsheets/d/1j51vR6CYVGhABJpv6tkstgok82RLpXieLzW1yOY5rHw/edi"&amp;"t?usp=sharing"",""สิงห์บุรี!M649"")+IMPORTRANGE(""https://docs.google.com/spreadsheets/d/1H1EalTWKUSzO4Z1-1CwzoDUaVffgrThEBe2sl74kKG0/edit?usp=sharing"",""สุพรรณบุรี!M649"")+IMPORTRANGE(""https://docs.google.com/spreadsheets/d/1BmIruG_sIrJLYao_Pdr7zVArWsf"&amp;"oBt2692TMi6x_854/edit?usp=sharing"",""อ่างทอง!M649"")"),0)</f>
        <v>0</v>
      </c>
      <c r="N650" s="77">
        <f ca="1">IFERROR(__xludf.DUMMYFUNCTION("IMPORTRANGE(""https://docs.google.com/spreadsheets/d/13wPX838HrBrQMCywv1BsuMkt4PEKTChp52zj44s2izQ/edit?usp=sharing"",""กาญจนบุรี!N649"")+IMPORTRANGE(""https://docs.google.com/spreadsheets/d/1ddFKvqj1W1NEiWytbGlB1zMx_ykJDVtmfEQ-6-lIUBA/edit?usp=sharing"","&amp;"""จันทบุรี!N649"")+IMPORTRANGE(""https://docs.google.com/spreadsheets/d/1T1PQvRODqOBZk8BRht_U031fIS1beLA0Ub2CEytj2q0/edit?usp=sharing"",""ฉะเชิงเทรา!N649"")+IMPORTRANGE(""https://docs.google.com/spreadsheets/d/11tr1B-Bhyr79v2bkwVh5h_fR-PStkgjlZtkrZpYurG0/"&amp;"edit?usp=sharing"",""ชลบุรี!N649"")+IMPORTRANGE(""https://docs.google.com/spreadsheets/d/1hh-FVnSX0vozXhGluamEcS54Dw9_zqW0N7qJUWgJ0Sw/edit?usp=sharing"",""ชัยนาท!N649"")+IMPORTRANGE(""https://docs.google.com/spreadsheets/d/1jkqa6GXxSacMcY1eN8AHjMNJ_7dDXMJ"&amp;"VRLDlaFSOdPM/edit?usp=sharing"",""ตราด!N649"")+IMPORTRANGE(""https://docs.google.com/spreadsheets/d/18hSgUJ3VwClqi_qtULmmW3cLr0oe3OKaSYoKzdpTsYQ/edit?usp=sharing"",""นครนายก!N649"")+IMPORTRANGE(""https://docs.google.com/spreadsheets/d/1YTZo6WM2dQ6Ix6FSdnL"&amp;"5P7uVnVKu40sxZu975tgG10E/edit?usp=sharing"",""นครปฐม!N649"")+IMPORTRANGE(""https://docs.google.com/spreadsheets/d/1OYoGg4WDg5RIzwGeB10padOxJF9E_Vljuvvct_M7RDo/edit?usp=sharing"",""ปทุมธานี!N649"")+IMPORTRANGE(""https://docs.google.com/spreadsheets/d/1GbCI"&amp;"E4D4wk9FUozzqk7SxfDMxDVBwVmI5zcaVUSzKAc/edit?usp=sharing"",""ประจวบคีรีขันธ์!N649"")+IMPORTRANGE(""https://docs.google.com/spreadsheets/d/1vVf6wykvW_lAyu7Yo9L4hUTqHqIeP_qcVuxCtosJEbg/edit?usp=sharing"",""ปราจีนบุรี!N649"")+IMPORTRANGE(""https://docs.googl"&amp;"e.com/spreadsheets/d/1BIDqLLg5jk3v59G8NlR8rk5xfQDKne0sAvZHSj7TI6I/edit?usp=sharing"",""พระนครศรีอยุธยา!N649"")+IMPORTRANGE(""https://docs.google.com/spreadsheets/d/1YXvxf8Yu6_rV4hTBrwMqAcAnv6DfhUxh5emyM3CJp_w/edit?usp=sharing"",""เพชรบุรี!N649"")+IMPORTRA"&amp;"NGE(""https://docs.google.com/spreadsheets/d/19KBlQQs7uwvsao6t2n-KvW3Ax8J8uRRfZPq1zPbXgKc/edit?usp=sharing"",""ระยอง!N649"")+IMPORTRANGE(""https://docs.google.com/spreadsheets/d/1jQ6P4QcrGM89YfqcC_PxOHGCMq5ezhucwJd8ci-NHng/edit?usp=sharing"",""ราชบุรี!N64"&amp;"9"")+IMPORTRANGE(""https://docs.google.com/spreadsheets/d/1lufeA2cfFqM-elVq2hznhDzC6Pr7wkJ9ZG_sYNGCMCU/edit?usp=sharing"",""ลพบุรี!N649"")+IMPORTRANGE(""https://docs.google.com/spreadsheets/d/10oOiF7loTyfsTkbd4MpaIm0HQ9SwB7IYHdIUvt-U1Uc/edit?usp=sharing"""&amp;",""สระแก้ว!N649"")+IMPORTRANGE(""https://docs.google.com/spreadsheets/d/1xmPlrr1QbdSIKvl1dWUl9K4PjAfSL9oeMr_37QVzcxc/edit?usp=sharing"",""สระบุรี!N649"")+IMPORTRANGE(""https://docs.google.com/spreadsheets/d/1j51vR6CYVGhABJpv6tkstgok82RLpXieLzW1yOY5rHw/edi"&amp;"t?usp=sharing"",""สิงห์บุรี!N649"")+IMPORTRANGE(""https://docs.google.com/spreadsheets/d/1H1EalTWKUSzO4Z1-1CwzoDUaVffgrThEBe2sl74kKG0/edit?usp=sharing"",""สุพรรณบุรี!N649"")+IMPORTRANGE(""https://docs.google.com/spreadsheets/d/1BmIruG_sIrJLYao_Pdr7zVArWsf"&amp;"oBt2692TMi6x_854/edit?usp=sharing"",""อ่างทอง!N649"")"),0)</f>
        <v>0</v>
      </c>
      <c r="O650" s="77">
        <f t="shared" ca="1" si="446"/>
        <v>0</v>
      </c>
      <c r="P650" s="77">
        <f t="shared" ca="1" si="447"/>
        <v>0</v>
      </c>
      <c r="Q650" s="76">
        <f ca="1">IFERROR(__xludf.DUMMYFUNCTION("IMPORTRANGE(""https://docs.google.com/spreadsheets/d/13wPX838HrBrQMCywv1BsuMkt4PEKTChp52zj44s2izQ/edit?usp=sharing"",""กาญจนบุรี!Q649"")+IMPORTRANGE(""https://docs.google.com/spreadsheets/d/1ddFKvqj1W1NEiWytbGlB1zMx_ykJDVtmfEQ-6-lIUBA/edit?usp=sharing"","&amp;"""จันทบุรี!Q649"")+IMPORTRANGE(""https://docs.google.com/spreadsheets/d/1T1PQvRODqOBZk8BRht_U031fIS1beLA0Ub2CEytj2q0/edit?usp=sharing"",""ฉะเชิงเทรา!Q649"")+IMPORTRANGE(""https://docs.google.com/spreadsheets/d/11tr1B-Bhyr79v2bkwVh5h_fR-PStkgjlZtkrZpYurG0/"&amp;"edit?usp=sharing"",""ชลบุรี!Q649"")+IMPORTRANGE(""https://docs.google.com/spreadsheets/d/1hh-FVnSX0vozXhGluamEcS54Dw9_zqW0N7qJUWgJ0Sw/edit?usp=sharing"",""ชัยนาท!Q649"")+IMPORTRANGE(""https://docs.google.com/spreadsheets/d/1jkqa6GXxSacMcY1eN8AHjMNJ_7dDXMJ"&amp;"VRLDlaFSOdPM/edit?usp=sharing"",""ตราด!Q649"")+IMPORTRANGE(""https://docs.google.com/spreadsheets/d/18hSgUJ3VwClqi_qtULmmW3cLr0oe3OKaSYoKzdpTsYQ/edit?usp=sharing"",""นครนายก!Q649"")+IMPORTRANGE(""https://docs.google.com/spreadsheets/d/1YTZo6WM2dQ6Ix6FSdnL"&amp;"5P7uVnVKu40sxZu975tgG10E/edit?usp=sharing"",""นครปฐม!Q649"")+IMPORTRANGE(""https://docs.google.com/spreadsheets/d/1OYoGg4WDg5RIzwGeB10padOxJF9E_Vljuvvct_M7RDo/edit?usp=sharing"",""ปทุมธานี!Q649"")+IMPORTRANGE(""https://docs.google.com/spreadsheets/d/1GbCI"&amp;"E4D4wk9FUozzqk7SxfDMxDVBwVmI5zcaVUSzKAc/edit?usp=sharing"",""ประจวบคีรีขันธ์!Q649"")+IMPORTRANGE(""https://docs.google.com/spreadsheets/d/1vVf6wykvW_lAyu7Yo9L4hUTqHqIeP_qcVuxCtosJEbg/edit?usp=sharing"",""ปราจีนบุรี!Q649"")+IMPORTRANGE(""https://docs.googl"&amp;"e.com/spreadsheets/d/1BIDqLLg5jk3v59G8NlR8rk5xfQDKne0sAvZHSj7TI6I/edit?usp=sharing"",""พระนครศรีอยุธยา!Q649"")+IMPORTRANGE(""https://docs.google.com/spreadsheets/d/1YXvxf8Yu6_rV4hTBrwMqAcAnv6DfhUxh5emyM3CJp_w/edit?usp=sharing"",""เพชรบุรี!Q649"")+IMPORTRA"&amp;"NGE(""https://docs.google.com/spreadsheets/d/19KBlQQs7uwvsao6t2n-KvW3Ax8J8uRRfZPq1zPbXgKc/edit?usp=sharing"",""ระยอง!Q649"")+IMPORTRANGE(""https://docs.google.com/spreadsheets/d/1jQ6P4QcrGM89YfqcC_PxOHGCMq5ezhucwJd8ci-NHng/edit?usp=sharing"",""ราชบุรี!Q64"&amp;"9"")+IMPORTRANGE(""https://docs.google.com/spreadsheets/d/1lufeA2cfFqM-elVq2hznhDzC6Pr7wkJ9ZG_sYNGCMCU/edit?usp=sharing"",""ลพบุรี!Q649"")+IMPORTRANGE(""https://docs.google.com/spreadsheets/d/10oOiF7loTyfsTkbd4MpaIm0HQ9SwB7IYHdIUvt-U1Uc/edit?usp=sharing"""&amp;",""สระแก้ว!Q649"")+IMPORTRANGE(""https://docs.google.com/spreadsheets/d/1xmPlrr1QbdSIKvl1dWUl9K4PjAfSL9oeMr_37QVzcxc/edit?usp=sharing"",""สระบุรี!Q649"")+IMPORTRANGE(""https://docs.google.com/spreadsheets/d/1j51vR6CYVGhABJpv6tkstgok82RLpXieLzW1yOY5rHw/edi"&amp;"t?usp=sharing"",""สิงห์บุรี!Q649"")+IMPORTRANGE(""https://docs.google.com/spreadsheets/d/1H1EalTWKUSzO4Z1-1CwzoDUaVffgrThEBe2sl74kKG0/edit?usp=sharing"",""สุพรรณบุรี!Q649"")+IMPORTRANGE(""https://docs.google.com/spreadsheets/d/1BmIruG_sIrJLYao_Pdr7zVArWsf"&amp;"oBt2692TMi6x_854/edit?usp=sharing"",""อ่างทอง!Q649"")"),0)</f>
        <v>0</v>
      </c>
      <c r="R650" s="77">
        <f ca="1">IFERROR(__xludf.DUMMYFUNCTION("IMPORTRANGE(""https://docs.google.com/spreadsheets/d/13wPX838HrBrQMCywv1BsuMkt4PEKTChp52zj44s2izQ/edit?usp=sharing"",""กาญจนบุรี!R649"")+IMPORTRANGE(""https://docs.google.com/spreadsheets/d/1ddFKvqj1W1NEiWytbGlB1zMx_ykJDVtmfEQ-6-lIUBA/edit?usp=sharing"","&amp;"""จันทบุรี!R649"")+IMPORTRANGE(""https://docs.google.com/spreadsheets/d/1T1PQvRODqOBZk8BRht_U031fIS1beLA0Ub2CEytj2q0/edit?usp=sharing"",""ฉะเชิงเทรา!R649"")+IMPORTRANGE(""https://docs.google.com/spreadsheets/d/11tr1B-Bhyr79v2bkwVh5h_fR-PStkgjlZtkrZpYurG0/"&amp;"edit?usp=sharing"",""ชลบุรี!R649"")+IMPORTRANGE(""https://docs.google.com/spreadsheets/d/1hh-FVnSX0vozXhGluamEcS54Dw9_zqW0N7qJUWgJ0Sw/edit?usp=sharing"",""ชัยนาท!R649"")+IMPORTRANGE(""https://docs.google.com/spreadsheets/d/1jkqa6GXxSacMcY1eN8AHjMNJ_7dDXMJ"&amp;"VRLDlaFSOdPM/edit?usp=sharing"",""ตราด!R649"")+IMPORTRANGE(""https://docs.google.com/spreadsheets/d/18hSgUJ3VwClqi_qtULmmW3cLr0oe3OKaSYoKzdpTsYQ/edit?usp=sharing"",""นครนายก!R649"")+IMPORTRANGE(""https://docs.google.com/spreadsheets/d/1YTZo6WM2dQ6Ix6FSdnL"&amp;"5P7uVnVKu40sxZu975tgG10E/edit?usp=sharing"",""นครปฐม!R649"")+IMPORTRANGE(""https://docs.google.com/spreadsheets/d/1OYoGg4WDg5RIzwGeB10padOxJF9E_Vljuvvct_M7RDo/edit?usp=sharing"",""ปทุมธานี!R649"")+IMPORTRANGE(""https://docs.google.com/spreadsheets/d/1GbCI"&amp;"E4D4wk9FUozzqk7SxfDMxDVBwVmI5zcaVUSzKAc/edit?usp=sharing"",""ประจวบคีรีขันธ์!R649"")+IMPORTRANGE(""https://docs.google.com/spreadsheets/d/1vVf6wykvW_lAyu7Yo9L4hUTqHqIeP_qcVuxCtosJEbg/edit?usp=sharing"",""ปราจีนบุรี!R649"")+IMPORTRANGE(""https://docs.googl"&amp;"e.com/spreadsheets/d/1BIDqLLg5jk3v59G8NlR8rk5xfQDKne0sAvZHSj7TI6I/edit?usp=sharing"",""พระนครศรีอยุธยา!R649"")+IMPORTRANGE(""https://docs.google.com/spreadsheets/d/1YXvxf8Yu6_rV4hTBrwMqAcAnv6DfhUxh5emyM3CJp_w/edit?usp=sharing"",""เพชรบุรี!R649"")+IMPORTRA"&amp;"NGE(""https://docs.google.com/spreadsheets/d/19KBlQQs7uwvsao6t2n-KvW3Ax8J8uRRfZPq1zPbXgKc/edit?usp=sharing"",""ระยอง!R649"")+IMPORTRANGE(""https://docs.google.com/spreadsheets/d/1jQ6P4QcrGM89YfqcC_PxOHGCMq5ezhucwJd8ci-NHng/edit?usp=sharing"",""ราชบุรี!R64"&amp;"9"")+IMPORTRANGE(""https://docs.google.com/spreadsheets/d/1lufeA2cfFqM-elVq2hznhDzC6Pr7wkJ9ZG_sYNGCMCU/edit?usp=sharing"",""ลพบุรี!R649"")+IMPORTRANGE(""https://docs.google.com/spreadsheets/d/10oOiF7loTyfsTkbd4MpaIm0HQ9SwB7IYHdIUvt-U1Uc/edit?usp=sharing"""&amp;",""สระแก้ว!R649"")+IMPORTRANGE(""https://docs.google.com/spreadsheets/d/1xmPlrr1QbdSIKvl1dWUl9K4PjAfSL9oeMr_37QVzcxc/edit?usp=sharing"",""สระบุรี!R649"")+IMPORTRANGE(""https://docs.google.com/spreadsheets/d/1j51vR6CYVGhABJpv6tkstgok82RLpXieLzW1yOY5rHw/edi"&amp;"t?usp=sharing"",""สิงห์บุรี!R649"")+IMPORTRANGE(""https://docs.google.com/spreadsheets/d/1H1EalTWKUSzO4Z1-1CwzoDUaVffgrThEBe2sl74kKG0/edit?usp=sharing"",""สุพรรณบุรี!R649"")+IMPORTRANGE(""https://docs.google.com/spreadsheets/d/1BmIruG_sIrJLYao_Pdr7zVArWsf"&amp;"oBt2692TMi6x_854/edit?usp=sharing"",""อ่างทอง!R649"")"),0)</f>
        <v>0</v>
      </c>
      <c r="S650" s="77">
        <f ca="1">IFERROR(__xludf.DUMMYFUNCTION("IMPORTRANGE(""https://docs.google.com/spreadsheets/d/13wPX838HrBrQMCywv1BsuMkt4PEKTChp52zj44s2izQ/edit?usp=sharing"",""กาญจนบุรี!S649"")+IMPORTRANGE(""https://docs.google.com/spreadsheets/d/1ddFKvqj1W1NEiWytbGlB1zMx_ykJDVtmfEQ-6-lIUBA/edit?usp=sharing"","&amp;"""จันทบุรี!S649"")+IMPORTRANGE(""https://docs.google.com/spreadsheets/d/1T1PQvRODqOBZk8BRht_U031fIS1beLA0Ub2CEytj2q0/edit?usp=sharing"",""ฉะเชิงเทรา!S649"")+IMPORTRANGE(""https://docs.google.com/spreadsheets/d/11tr1B-Bhyr79v2bkwVh5h_fR-PStkgjlZtkrZpYurG0/"&amp;"edit?usp=sharing"",""ชลบุรี!S649"")+IMPORTRANGE(""https://docs.google.com/spreadsheets/d/1hh-FVnSX0vozXhGluamEcS54Dw9_zqW0N7qJUWgJ0Sw/edit?usp=sharing"",""ชัยนาท!S649"")+IMPORTRANGE(""https://docs.google.com/spreadsheets/d/1jkqa6GXxSacMcY1eN8AHjMNJ_7dDXMJ"&amp;"VRLDlaFSOdPM/edit?usp=sharing"",""ตราด!S649"")+IMPORTRANGE(""https://docs.google.com/spreadsheets/d/18hSgUJ3VwClqi_qtULmmW3cLr0oe3OKaSYoKzdpTsYQ/edit?usp=sharing"",""นครนายก!S649"")+IMPORTRANGE(""https://docs.google.com/spreadsheets/d/1YTZo6WM2dQ6Ix6FSdnL"&amp;"5P7uVnVKu40sxZu975tgG10E/edit?usp=sharing"",""นครปฐม!S649"")+IMPORTRANGE(""https://docs.google.com/spreadsheets/d/1OYoGg4WDg5RIzwGeB10padOxJF9E_Vljuvvct_M7RDo/edit?usp=sharing"",""ปทุมธานี!S649"")+IMPORTRANGE(""https://docs.google.com/spreadsheets/d/1GbCI"&amp;"E4D4wk9FUozzqk7SxfDMxDVBwVmI5zcaVUSzKAc/edit?usp=sharing"",""ประจวบคีรีขันธ์!S649"")+IMPORTRANGE(""https://docs.google.com/spreadsheets/d/1vVf6wykvW_lAyu7Yo9L4hUTqHqIeP_qcVuxCtosJEbg/edit?usp=sharing"",""ปราจีนบุรี!S649"")+IMPORTRANGE(""https://docs.googl"&amp;"e.com/spreadsheets/d/1BIDqLLg5jk3v59G8NlR8rk5xfQDKne0sAvZHSj7TI6I/edit?usp=sharing"",""พระนครศรีอยุธยา!S649"")+IMPORTRANGE(""https://docs.google.com/spreadsheets/d/1YXvxf8Yu6_rV4hTBrwMqAcAnv6DfhUxh5emyM3CJp_w/edit?usp=sharing"",""เพชรบุรี!S649"")+IMPORTRA"&amp;"NGE(""https://docs.google.com/spreadsheets/d/19KBlQQs7uwvsao6t2n-KvW3Ax8J8uRRfZPq1zPbXgKc/edit?usp=sharing"",""ระยอง!S649"")+IMPORTRANGE(""https://docs.google.com/spreadsheets/d/1jQ6P4QcrGM89YfqcC_PxOHGCMq5ezhucwJd8ci-NHng/edit?usp=sharing"",""ราชบุรี!S64"&amp;"9"")+IMPORTRANGE(""https://docs.google.com/spreadsheets/d/1lufeA2cfFqM-elVq2hznhDzC6Pr7wkJ9ZG_sYNGCMCU/edit?usp=sharing"",""ลพบุรี!S649"")+IMPORTRANGE(""https://docs.google.com/spreadsheets/d/10oOiF7loTyfsTkbd4MpaIm0HQ9SwB7IYHdIUvt-U1Uc/edit?usp=sharing"""&amp;",""สระแก้ว!S649"")+IMPORTRANGE(""https://docs.google.com/spreadsheets/d/1xmPlrr1QbdSIKvl1dWUl9K4PjAfSL9oeMr_37QVzcxc/edit?usp=sharing"",""สระบุรี!S649"")+IMPORTRANGE(""https://docs.google.com/spreadsheets/d/1j51vR6CYVGhABJpv6tkstgok82RLpXieLzW1yOY5rHw/edi"&amp;"t?usp=sharing"",""สิงห์บุรี!S649"")+IMPORTRANGE(""https://docs.google.com/spreadsheets/d/1H1EalTWKUSzO4Z1-1CwzoDUaVffgrThEBe2sl74kKG0/edit?usp=sharing"",""สุพรรณบุรี!S649"")+IMPORTRANGE(""https://docs.google.com/spreadsheets/d/1BmIruG_sIrJLYao_Pdr7zVArWsf"&amp;"oBt2692TMi6x_854/edit?usp=sharing"",""อ่างทอง!S649"")"),0)</f>
        <v>0</v>
      </c>
      <c r="T650" s="133">
        <f t="shared" ca="1" si="449"/>
        <v>0</v>
      </c>
      <c r="U650" s="133">
        <f t="shared" ca="1" si="450"/>
        <v>0</v>
      </c>
    </row>
    <row r="651" spans="1:21" ht="18.75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4">
        <f ca="1">IFERROR(__xludf.DUMMYFUNCTION("IMPORTRANGE(""https://docs.google.com/spreadsheets/d/13wPX838HrBrQMCywv1BsuMkt4PEKTChp52zj44s2izQ/edit?usp=sharing"",""กาญจนบุรี!L650"")+IMPORTRANGE(""https://docs.google.com/spreadsheets/d/1ddFKvqj1W1NEiWytbGlB1zMx_ykJDVtmfEQ-6-lIUBA/edit?usp=sharing"","&amp;"""จันทบุรี!L650"")+IMPORTRANGE(""https://docs.google.com/spreadsheets/d/1T1PQvRODqOBZk8BRht_U031fIS1beLA0Ub2CEytj2q0/edit?usp=sharing"",""ฉะเชิงเทรา!L650"")+IMPORTRANGE(""https://docs.google.com/spreadsheets/d/11tr1B-Bhyr79v2bkwVh5h_fR-PStkgjlZtkrZpYurG0/"&amp;"edit?usp=sharing"",""ชลบุรี!L650"")+IMPORTRANGE(""https://docs.google.com/spreadsheets/d/1hh-FVnSX0vozXhGluamEcS54Dw9_zqW0N7qJUWgJ0Sw/edit?usp=sharing"",""ชัยนาท!L650"")+IMPORTRANGE(""https://docs.google.com/spreadsheets/d/1jkqa6GXxSacMcY1eN8AHjMNJ_7dDXMJ"&amp;"VRLDlaFSOdPM/edit?usp=sharing"",""ตราด!L650"")+IMPORTRANGE(""https://docs.google.com/spreadsheets/d/18hSgUJ3VwClqi_qtULmmW3cLr0oe3OKaSYoKzdpTsYQ/edit?usp=sharing"",""นครนายก!L650"")+IMPORTRANGE(""https://docs.google.com/spreadsheets/d/1YTZo6WM2dQ6Ix6FSdnL"&amp;"5P7uVnVKu40sxZu975tgG10E/edit?usp=sharing"",""นครปฐม!L650"")+IMPORTRANGE(""https://docs.google.com/spreadsheets/d/1OYoGg4WDg5RIzwGeB10padOxJF9E_Vljuvvct_M7RDo/edit?usp=sharing"",""ปทุมธานี!L650"")+IMPORTRANGE(""https://docs.google.com/spreadsheets/d/1GbCI"&amp;"E4D4wk9FUozzqk7SxfDMxDVBwVmI5zcaVUSzKAc/edit?usp=sharing"",""ประจวบคีรีขันธ์!L650"")+IMPORTRANGE(""https://docs.google.com/spreadsheets/d/1vVf6wykvW_lAyu7Yo9L4hUTqHqIeP_qcVuxCtosJEbg/edit?usp=sharing"",""ปราจีนบุรี!L650"")+IMPORTRANGE(""https://docs.googl"&amp;"e.com/spreadsheets/d/1BIDqLLg5jk3v59G8NlR8rk5xfQDKne0sAvZHSj7TI6I/edit?usp=sharing"",""พระนครศรีอยุธยา!L650"")+IMPORTRANGE(""https://docs.google.com/spreadsheets/d/1YXvxf8Yu6_rV4hTBrwMqAcAnv6DfhUxh5emyM3CJp_w/edit?usp=sharing"",""เพชรบุรี!L650"")+IMPORTRA"&amp;"NGE(""https://docs.google.com/spreadsheets/d/19KBlQQs7uwvsao6t2n-KvW3Ax8J8uRRfZPq1zPbXgKc/edit?usp=sharing"",""ระยอง!L650"")+IMPORTRANGE(""https://docs.google.com/spreadsheets/d/1jQ6P4QcrGM89YfqcC_PxOHGCMq5ezhucwJd8ci-NHng/edit?usp=sharing"",""ราชบุรี!L65"&amp;"0"")+IMPORTRANGE(""https://docs.google.com/spreadsheets/d/1lufeA2cfFqM-elVq2hznhDzC6Pr7wkJ9ZG_sYNGCMCU/edit?usp=sharing"",""ลพบุรี!L650"")+IMPORTRANGE(""https://docs.google.com/spreadsheets/d/10oOiF7loTyfsTkbd4MpaIm0HQ9SwB7IYHdIUvt-U1Uc/edit?usp=sharing"""&amp;",""สระแก้ว!L650"")+IMPORTRANGE(""https://docs.google.com/spreadsheets/d/1xmPlrr1QbdSIKvl1dWUl9K4PjAfSL9oeMr_37QVzcxc/edit?usp=sharing"",""สระบุรี!L650"")+IMPORTRANGE(""https://docs.google.com/spreadsheets/d/1j51vR6CYVGhABJpv6tkstgok82RLpXieLzW1yOY5rHw/edi"&amp;"t?usp=sharing"",""สิงห์บุรี!L650"")+IMPORTRANGE(""https://docs.google.com/spreadsheets/d/1H1EalTWKUSzO4Z1-1CwzoDUaVffgrThEBe2sl74kKG0/edit?usp=sharing"",""สุพรรณบุรี!L650"")+IMPORTRANGE(""https://docs.google.com/spreadsheets/d/1BmIruG_sIrJLYao_Pdr7zVArWsf"&amp;"oBt2692TMi6x_854/edit?usp=sharing"",""อ่างทอง!L650"")"),0)</f>
        <v>0</v>
      </c>
      <c r="M651" s="74">
        <f ca="1">IFERROR(__xludf.DUMMYFUNCTION("IMPORTRANGE(""https://docs.google.com/spreadsheets/d/13wPX838HrBrQMCywv1BsuMkt4PEKTChp52zj44s2izQ/edit?usp=sharing"",""กาญจนบุรี!M650"")+IMPORTRANGE(""https://docs.google.com/spreadsheets/d/1ddFKvqj1W1NEiWytbGlB1zMx_ykJDVtmfEQ-6-lIUBA/edit?usp=sharing"","&amp;"""จันทบุรี!M650"")+IMPORTRANGE(""https://docs.google.com/spreadsheets/d/1T1PQvRODqOBZk8BRht_U031fIS1beLA0Ub2CEytj2q0/edit?usp=sharing"",""ฉะเชิงเทรา!M650"")+IMPORTRANGE(""https://docs.google.com/spreadsheets/d/11tr1B-Bhyr79v2bkwVh5h_fR-PStkgjlZtkrZpYurG0/"&amp;"edit?usp=sharing"",""ชลบุรี!M650"")+IMPORTRANGE(""https://docs.google.com/spreadsheets/d/1hh-FVnSX0vozXhGluamEcS54Dw9_zqW0N7qJUWgJ0Sw/edit?usp=sharing"",""ชัยนาท!M650"")+IMPORTRANGE(""https://docs.google.com/spreadsheets/d/1jkqa6GXxSacMcY1eN8AHjMNJ_7dDXMJ"&amp;"VRLDlaFSOdPM/edit?usp=sharing"",""ตราด!M650"")+IMPORTRANGE(""https://docs.google.com/spreadsheets/d/18hSgUJ3VwClqi_qtULmmW3cLr0oe3OKaSYoKzdpTsYQ/edit?usp=sharing"",""นครนายก!M650"")+IMPORTRANGE(""https://docs.google.com/spreadsheets/d/1YTZo6WM2dQ6Ix6FSdnL"&amp;"5P7uVnVKu40sxZu975tgG10E/edit?usp=sharing"",""นครปฐม!M650"")+IMPORTRANGE(""https://docs.google.com/spreadsheets/d/1OYoGg4WDg5RIzwGeB10padOxJF9E_Vljuvvct_M7RDo/edit?usp=sharing"",""ปทุมธานี!M650"")+IMPORTRANGE(""https://docs.google.com/spreadsheets/d/1GbCI"&amp;"E4D4wk9FUozzqk7SxfDMxDVBwVmI5zcaVUSzKAc/edit?usp=sharing"",""ประจวบคีรีขันธ์!M650"")+IMPORTRANGE(""https://docs.google.com/spreadsheets/d/1vVf6wykvW_lAyu7Yo9L4hUTqHqIeP_qcVuxCtosJEbg/edit?usp=sharing"",""ปราจีนบุรี!M650"")+IMPORTRANGE(""https://docs.googl"&amp;"e.com/spreadsheets/d/1BIDqLLg5jk3v59G8NlR8rk5xfQDKne0sAvZHSj7TI6I/edit?usp=sharing"",""พระนครศรีอยุธยา!M650"")+IMPORTRANGE(""https://docs.google.com/spreadsheets/d/1YXvxf8Yu6_rV4hTBrwMqAcAnv6DfhUxh5emyM3CJp_w/edit?usp=sharing"",""เพชรบุรี!M650"")+IMPORTRA"&amp;"NGE(""https://docs.google.com/spreadsheets/d/19KBlQQs7uwvsao6t2n-KvW3Ax8J8uRRfZPq1zPbXgKc/edit?usp=sharing"",""ระยอง!M650"")+IMPORTRANGE(""https://docs.google.com/spreadsheets/d/1jQ6P4QcrGM89YfqcC_PxOHGCMq5ezhucwJd8ci-NHng/edit?usp=sharing"",""ราชบุรี!M65"&amp;"0"")+IMPORTRANGE(""https://docs.google.com/spreadsheets/d/1lufeA2cfFqM-elVq2hznhDzC6Pr7wkJ9ZG_sYNGCMCU/edit?usp=sharing"",""ลพบุรี!M650"")+IMPORTRANGE(""https://docs.google.com/spreadsheets/d/10oOiF7loTyfsTkbd4MpaIm0HQ9SwB7IYHdIUvt-U1Uc/edit?usp=sharing"""&amp;",""สระแก้ว!M650"")+IMPORTRANGE(""https://docs.google.com/spreadsheets/d/1xmPlrr1QbdSIKvl1dWUl9K4PjAfSL9oeMr_37QVzcxc/edit?usp=sharing"",""สระบุรี!M650"")+IMPORTRANGE(""https://docs.google.com/spreadsheets/d/1j51vR6CYVGhABJpv6tkstgok82RLpXieLzW1yOY5rHw/edi"&amp;"t?usp=sharing"",""สิงห์บุรี!M650"")+IMPORTRANGE(""https://docs.google.com/spreadsheets/d/1H1EalTWKUSzO4Z1-1CwzoDUaVffgrThEBe2sl74kKG0/edit?usp=sharing"",""สุพรรณบุรี!M650"")+IMPORTRANGE(""https://docs.google.com/spreadsheets/d/1BmIruG_sIrJLYao_Pdr7zVArWsf"&amp;"oBt2692TMi6x_854/edit?usp=sharing"",""อ่างทอง!M650"")"),0)</f>
        <v>0</v>
      </c>
      <c r="N651" s="74">
        <f ca="1">IFERROR(__xludf.DUMMYFUNCTION("IMPORTRANGE(""https://docs.google.com/spreadsheets/d/13wPX838HrBrQMCywv1BsuMkt4PEKTChp52zj44s2izQ/edit?usp=sharing"",""กาญจนบุรี!N650"")+IMPORTRANGE(""https://docs.google.com/spreadsheets/d/1ddFKvqj1W1NEiWytbGlB1zMx_ykJDVtmfEQ-6-lIUBA/edit?usp=sharing"","&amp;"""จันทบุรี!N650"")+IMPORTRANGE(""https://docs.google.com/spreadsheets/d/1T1PQvRODqOBZk8BRht_U031fIS1beLA0Ub2CEytj2q0/edit?usp=sharing"",""ฉะเชิงเทรา!N650"")+IMPORTRANGE(""https://docs.google.com/spreadsheets/d/11tr1B-Bhyr79v2bkwVh5h_fR-PStkgjlZtkrZpYurG0/"&amp;"edit?usp=sharing"",""ชลบุรี!N650"")+IMPORTRANGE(""https://docs.google.com/spreadsheets/d/1hh-FVnSX0vozXhGluamEcS54Dw9_zqW0N7qJUWgJ0Sw/edit?usp=sharing"",""ชัยนาท!N650"")+IMPORTRANGE(""https://docs.google.com/spreadsheets/d/1jkqa6GXxSacMcY1eN8AHjMNJ_7dDXMJ"&amp;"VRLDlaFSOdPM/edit?usp=sharing"",""ตราด!N650"")+IMPORTRANGE(""https://docs.google.com/spreadsheets/d/18hSgUJ3VwClqi_qtULmmW3cLr0oe3OKaSYoKzdpTsYQ/edit?usp=sharing"",""นครนายก!N650"")+IMPORTRANGE(""https://docs.google.com/spreadsheets/d/1YTZo6WM2dQ6Ix6FSdnL"&amp;"5P7uVnVKu40sxZu975tgG10E/edit?usp=sharing"",""นครปฐม!N650"")+IMPORTRANGE(""https://docs.google.com/spreadsheets/d/1OYoGg4WDg5RIzwGeB10padOxJF9E_Vljuvvct_M7RDo/edit?usp=sharing"",""ปทุมธานี!N650"")+IMPORTRANGE(""https://docs.google.com/spreadsheets/d/1GbCI"&amp;"E4D4wk9FUozzqk7SxfDMxDVBwVmI5zcaVUSzKAc/edit?usp=sharing"",""ประจวบคีรีขันธ์!N650"")+IMPORTRANGE(""https://docs.google.com/spreadsheets/d/1vVf6wykvW_lAyu7Yo9L4hUTqHqIeP_qcVuxCtosJEbg/edit?usp=sharing"",""ปราจีนบุรี!N650"")+IMPORTRANGE(""https://docs.googl"&amp;"e.com/spreadsheets/d/1BIDqLLg5jk3v59G8NlR8rk5xfQDKne0sAvZHSj7TI6I/edit?usp=sharing"",""พระนครศรีอยุธยา!N650"")+IMPORTRANGE(""https://docs.google.com/spreadsheets/d/1YXvxf8Yu6_rV4hTBrwMqAcAnv6DfhUxh5emyM3CJp_w/edit?usp=sharing"",""เพชรบุรี!N650"")+IMPORTRA"&amp;"NGE(""https://docs.google.com/spreadsheets/d/19KBlQQs7uwvsao6t2n-KvW3Ax8J8uRRfZPq1zPbXgKc/edit?usp=sharing"",""ระยอง!N650"")+IMPORTRANGE(""https://docs.google.com/spreadsheets/d/1jQ6P4QcrGM89YfqcC_PxOHGCMq5ezhucwJd8ci-NHng/edit?usp=sharing"",""ราชบุรี!N65"&amp;"0"")+IMPORTRANGE(""https://docs.google.com/spreadsheets/d/1lufeA2cfFqM-elVq2hznhDzC6Pr7wkJ9ZG_sYNGCMCU/edit?usp=sharing"",""ลพบุรี!N650"")+IMPORTRANGE(""https://docs.google.com/spreadsheets/d/10oOiF7loTyfsTkbd4MpaIm0HQ9SwB7IYHdIUvt-U1Uc/edit?usp=sharing"""&amp;",""สระแก้ว!N650"")+IMPORTRANGE(""https://docs.google.com/spreadsheets/d/1xmPlrr1QbdSIKvl1dWUl9K4PjAfSL9oeMr_37QVzcxc/edit?usp=sharing"",""สระบุรี!N650"")+IMPORTRANGE(""https://docs.google.com/spreadsheets/d/1j51vR6CYVGhABJpv6tkstgok82RLpXieLzW1yOY5rHw/edi"&amp;"t?usp=sharing"",""สิงห์บุรี!N650"")+IMPORTRANGE(""https://docs.google.com/spreadsheets/d/1H1EalTWKUSzO4Z1-1CwzoDUaVffgrThEBe2sl74kKG0/edit?usp=sharing"",""สุพรรณบุรี!N650"")+IMPORTRANGE(""https://docs.google.com/spreadsheets/d/1BmIruG_sIrJLYao_Pdr7zVArWsf"&amp;"oBt2692TMi6x_854/edit?usp=sharing"",""อ่างทอง!N650"")"),0)</f>
        <v>0</v>
      </c>
      <c r="O651" s="74">
        <f t="shared" ca="1" si="446"/>
        <v>0</v>
      </c>
      <c r="P651" s="74">
        <f t="shared" ca="1" si="447"/>
        <v>0</v>
      </c>
      <c r="Q651" s="73">
        <f ca="1">IFERROR(__xludf.DUMMYFUNCTION("IMPORTRANGE(""https://docs.google.com/spreadsheets/d/13wPX838HrBrQMCywv1BsuMkt4PEKTChp52zj44s2izQ/edit?usp=sharing"",""กาญจนบุรี!Q650"")+IMPORTRANGE(""https://docs.google.com/spreadsheets/d/1ddFKvqj1W1NEiWytbGlB1zMx_ykJDVtmfEQ-6-lIUBA/edit?usp=sharing"","&amp;"""จันทบุรี!Q650"")+IMPORTRANGE(""https://docs.google.com/spreadsheets/d/1T1PQvRODqOBZk8BRht_U031fIS1beLA0Ub2CEytj2q0/edit?usp=sharing"",""ฉะเชิงเทรา!Q650"")+IMPORTRANGE(""https://docs.google.com/spreadsheets/d/11tr1B-Bhyr79v2bkwVh5h_fR-PStkgjlZtkrZpYurG0/"&amp;"edit?usp=sharing"",""ชลบุรี!Q650"")+IMPORTRANGE(""https://docs.google.com/spreadsheets/d/1hh-FVnSX0vozXhGluamEcS54Dw9_zqW0N7qJUWgJ0Sw/edit?usp=sharing"",""ชัยนาท!Q650"")+IMPORTRANGE(""https://docs.google.com/spreadsheets/d/1jkqa6GXxSacMcY1eN8AHjMNJ_7dDXMJ"&amp;"VRLDlaFSOdPM/edit?usp=sharing"",""ตราด!Q650"")+IMPORTRANGE(""https://docs.google.com/spreadsheets/d/18hSgUJ3VwClqi_qtULmmW3cLr0oe3OKaSYoKzdpTsYQ/edit?usp=sharing"",""นครนายก!Q650"")+IMPORTRANGE(""https://docs.google.com/spreadsheets/d/1YTZo6WM2dQ6Ix6FSdnL"&amp;"5P7uVnVKu40sxZu975tgG10E/edit?usp=sharing"",""นครปฐม!Q650"")+IMPORTRANGE(""https://docs.google.com/spreadsheets/d/1OYoGg4WDg5RIzwGeB10padOxJF9E_Vljuvvct_M7RDo/edit?usp=sharing"",""ปทุมธานี!Q650"")+IMPORTRANGE(""https://docs.google.com/spreadsheets/d/1GbCI"&amp;"E4D4wk9FUozzqk7SxfDMxDVBwVmI5zcaVUSzKAc/edit?usp=sharing"",""ประจวบคีรีขันธ์!Q650"")+IMPORTRANGE(""https://docs.google.com/spreadsheets/d/1vVf6wykvW_lAyu7Yo9L4hUTqHqIeP_qcVuxCtosJEbg/edit?usp=sharing"",""ปราจีนบุรี!Q650"")+IMPORTRANGE(""https://docs.googl"&amp;"e.com/spreadsheets/d/1BIDqLLg5jk3v59G8NlR8rk5xfQDKne0sAvZHSj7TI6I/edit?usp=sharing"",""พระนครศรีอยุธยา!Q650"")+IMPORTRANGE(""https://docs.google.com/spreadsheets/d/1YXvxf8Yu6_rV4hTBrwMqAcAnv6DfhUxh5emyM3CJp_w/edit?usp=sharing"",""เพชรบุรี!Q650"")+IMPORTRA"&amp;"NGE(""https://docs.google.com/spreadsheets/d/19KBlQQs7uwvsao6t2n-KvW3Ax8J8uRRfZPq1zPbXgKc/edit?usp=sharing"",""ระยอง!Q650"")+IMPORTRANGE(""https://docs.google.com/spreadsheets/d/1jQ6P4QcrGM89YfqcC_PxOHGCMq5ezhucwJd8ci-NHng/edit?usp=sharing"",""ราชบุรี!Q65"&amp;"0"")+IMPORTRANGE(""https://docs.google.com/spreadsheets/d/1lufeA2cfFqM-elVq2hznhDzC6Pr7wkJ9ZG_sYNGCMCU/edit?usp=sharing"",""ลพบุรี!Q650"")+IMPORTRANGE(""https://docs.google.com/spreadsheets/d/10oOiF7loTyfsTkbd4MpaIm0HQ9SwB7IYHdIUvt-U1Uc/edit?usp=sharing"""&amp;",""สระแก้ว!Q650"")+IMPORTRANGE(""https://docs.google.com/spreadsheets/d/1xmPlrr1QbdSIKvl1dWUl9K4PjAfSL9oeMr_37QVzcxc/edit?usp=sharing"",""สระบุรี!Q650"")+IMPORTRANGE(""https://docs.google.com/spreadsheets/d/1j51vR6CYVGhABJpv6tkstgok82RLpXieLzW1yOY5rHw/edi"&amp;"t?usp=sharing"",""สิงห์บุรี!Q650"")+IMPORTRANGE(""https://docs.google.com/spreadsheets/d/1H1EalTWKUSzO4Z1-1CwzoDUaVffgrThEBe2sl74kKG0/edit?usp=sharing"",""สุพรรณบุรี!Q650"")+IMPORTRANGE(""https://docs.google.com/spreadsheets/d/1BmIruG_sIrJLYao_Pdr7zVArWsf"&amp;"oBt2692TMi6x_854/edit?usp=sharing"",""อ่างทอง!Q650"")"),0)</f>
        <v>0</v>
      </c>
      <c r="R651" s="74">
        <f ca="1">IFERROR(__xludf.DUMMYFUNCTION("IMPORTRANGE(""https://docs.google.com/spreadsheets/d/13wPX838HrBrQMCywv1BsuMkt4PEKTChp52zj44s2izQ/edit?usp=sharing"",""กาญจนบุรี!R650"")+IMPORTRANGE(""https://docs.google.com/spreadsheets/d/1ddFKvqj1W1NEiWytbGlB1zMx_ykJDVtmfEQ-6-lIUBA/edit?usp=sharing"","&amp;"""จันทบุรี!R650"")+IMPORTRANGE(""https://docs.google.com/spreadsheets/d/1T1PQvRODqOBZk8BRht_U031fIS1beLA0Ub2CEytj2q0/edit?usp=sharing"",""ฉะเชิงเทรา!R650"")+IMPORTRANGE(""https://docs.google.com/spreadsheets/d/11tr1B-Bhyr79v2bkwVh5h_fR-PStkgjlZtkrZpYurG0/"&amp;"edit?usp=sharing"",""ชลบุรี!R650"")+IMPORTRANGE(""https://docs.google.com/spreadsheets/d/1hh-FVnSX0vozXhGluamEcS54Dw9_zqW0N7qJUWgJ0Sw/edit?usp=sharing"",""ชัยนาท!R650"")+IMPORTRANGE(""https://docs.google.com/spreadsheets/d/1jkqa6GXxSacMcY1eN8AHjMNJ_7dDXMJ"&amp;"VRLDlaFSOdPM/edit?usp=sharing"",""ตราด!R650"")+IMPORTRANGE(""https://docs.google.com/spreadsheets/d/18hSgUJ3VwClqi_qtULmmW3cLr0oe3OKaSYoKzdpTsYQ/edit?usp=sharing"",""นครนายก!R650"")+IMPORTRANGE(""https://docs.google.com/spreadsheets/d/1YTZo6WM2dQ6Ix6FSdnL"&amp;"5P7uVnVKu40sxZu975tgG10E/edit?usp=sharing"",""นครปฐม!R650"")+IMPORTRANGE(""https://docs.google.com/spreadsheets/d/1OYoGg4WDg5RIzwGeB10padOxJF9E_Vljuvvct_M7RDo/edit?usp=sharing"",""ปทุมธานี!R650"")+IMPORTRANGE(""https://docs.google.com/spreadsheets/d/1GbCI"&amp;"E4D4wk9FUozzqk7SxfDMxDVBwVmI5zcaVUSzKAc/edit?usp=sharing"",""ประจวบคีรีขันธ์!R650"")+IMPORTRANGE(""https://docs.google.com/spreadsheets/d/1vVf6wykvW_lAyu7Yo9L4hUTqHqIeP_qcVuxCtosJEbg/edit?usp=sharing"",""ปราจีนบุรี!R650"")+IMPORTRANGE(""https://docs.googl"&amp;"e.com/spreadsheets/d/1BIDqLLg5jk3v59G8NlR8rk5xfQDKne0sAvZHSj7TI6I/edit?usp=sharing"",""พระนครศรีอยุธยา!R650"")+IMPORTRANGE(""https://docs.google.com/spreadsheets/d/1YXvxf8Yu6_rV4hTBrwMqAcAnv6DfhUxh5emyM3CJp_w/edit?usp=sharing"",""เพชรบุรี!R650"")+IMPORTRA"&amp;"NGE(""https://docs.google.com/spreadsheets/d/19KBlQQs7uwvsao6t2n-KvW3Ax8J8uRRfZPq1zPbXgKc/edit?usp=sharing"",""ระยอง!R650"")+IMPORTRANGE(""https://docs.google.com/spreadsheets/d/1jQ6P4QcrGM89YfqcC_PxOHGCMq5ezhucwJd8ci-NHng/edit?usp=sharing"",""ราชบุรี!R65"&amp;"0"")+IMPORTRANGE(""https://docs.google.com/spreadsheets/d/1lufeA2cfFqM-elVq2hznhDzC6Pr7wkJ9ZG_sYNGCMCU/edit?usp=sharing"",""ลพบุรี!R650"")+IMPORTRANGE(""https://docs.google.com/spreadsheets/d/10oOiF7loTyfsTkbd4MpaIm0HQ9SwB7IYHdIUvt-U1Uc/edit?usp=sharing"""&amp;",""สระแก้ว!R650"")+IMPORTRANGE(""https://docs.google.com/spreadsheets/d/1xmPlrr1QbdSIKvl1dWUl9K4PjAfSL9oeMr_37QVzcxc/edit?usp=sharing"",""สระบุรี!R650"")+IMPORTRANGE(""https://docs.google.com/spreadsheets/d/1j51vR6CYVGhABJpv6tkstgok82RLpXieLzW1yOY5rHw/edi"&amp;"t?usp=sharing"",""สิงห์บุรี!R650"")+IMPORTRANGE(""https://docs.google.com/spreadsheets/d/1H1EalTWKUSzO4Z1-1CwzoDUaVffgrThEBe2sl74kKG0/edit?usp=sharing"",""สุพรรณบุรี!R650"")+IMPORTRANGE(""https://docs.google.com/spreadsheets/d/1BmIruG_sIrJLYao_Pdr7zVArWsf"&amp;"oBt2692TMi6x_854/edit?usp=sharing"",""อ่างทอง!R650"")"),0)</f>
        <v>0</v>
      </c>
      <c r="S651" s="74">
        <f ca="1">IFERROR(__xludf.DUMMYFUNCTION("IMPORTRANGE(""https://docs.google.com/spreadsheets/d/13wPX838HrBrQMCywv1BsuMkt4PEKTChp52zj44s2izQ/edit?usp=sharing"",""กาญจนบุรี!S650"")+IMPORTRANGE(""https://docs.google.com/spreadsheets/d/1ddFKvqj1W1NEiWytbGlB1zMx_ykJDVtmfEQ-6-lIUBA/edit?usp=sharing"","&amp;"""จันทบุรี!S650"")+IMPORTRANGE(""https://docs.google.com/spreadsheets/d/1T1PQvRODqOBZk8BRht_U031fIS1beLA0Ub2CEytj2q0/edit?usp=sharing"",""ฉะเชิงเทรา!S650"")+IMPORTRANGE(""https://docs.google.com/spreadsheets/d/11tr1B-Bhyr79v2bkwVh5h_fR-PStkgjlZtkrZpYurG0/"&amp;"edit?usp=sharing"",""ชลบุรี!S650"")+IMPORTRANGE(""https://docs.google.com/spreadsheets/d/1hh-FVnSX0vozXhGluamEcS54Dw9_zqW0N7qJUWgJ0Sw/edit?usp=sharing"",""ชัยนาท!S650"")+IMPORTRANGE(""https://docs.google.com/spreadsheets/d/1jkqa6GXxSacMcY1eN8AHjMNJ_7dDXMJ"&amp;"VRLDlaFSOdPM/edit?usp=sharing"",""ตราด!S650"")+IMPORTRANGE(""https://docs.google.com/spreadsheets/d/18hSgUJ3VwClqi_qtULmmW3cLr0oe3OKaSYoKzdpTsYQ/edit?usp=sharing"",""นครนายก!S650"")+IMPORTRANGE(""https://docs.google.com/spreadsheets/d/1YTZo6WM2dQ6Ix6FSdnL"&amp;"5P7uVnVKu40sxZu975tgG10E/edit?usp=sharing"",""นครปฐม!S650"")+IMPORTRANGE(""https://docs.google.com/spreadsheets/d/1OYoGg4WDg5RIzwGeB10padOxJF9E_Vljuvvct_M7RDo/edit?usp=sharing"",""ปทุมธานี!S650"")+IMPORTRANGE(""https://docs.google.com/spreadsheets/d/1GbCI"&amp;"E4D4wk9FUozzqk7SxfDMxDVBwVmI5zcaVUSzKAc/edit?usp=sharing"",""ประจวบคีรีขันธ์!S650"")+IMPORTRANGE(""https://docs.google.com/spreadsheets/d/1vVf6wykvW_lAyu7Yo9L4hUTqHqIeP_qcVuxCtosJEbg/edit?usp=sharing"",""ปราจีนบุรี!S650"")+IMPORTRANGE(""https://docs.googl"&amp;"e.com/spreadsheets/d/1BIDqLLg5jk3v59G8NlR8rk5xfQDKne0sAvZHSj7TI6I/edit?usp=sharing"",""พระนครศรีอยุธยา!S650"")+IMPORTRANGE(""https://docs.google.com/spreadsheets/d/1YXvxf8Yu6_rV4hTBrwMqAcAnv6DfhUxh5emyM3CJp_w/edit?usp=sharing"",""เพชรบุรี!S650"")+IMPORTRA"&amp;"NGE(""https://docs.google.com/spreadsheets/d/19KBlQQs7uwvsao6t2n-KvW3Ax8J8uRRfZPq1zPbXgKc/edit?usp=sharing"",""ระยอง!S650"")+IMPORTRANGE(""https://docs.google.com/spreadsheets/d/1jQ6P4QcrGM89YfqcC_PxOHGCMq5ezhucwJd8ci-NHng/edit?usp=sharing"",""ราชบุรี!S65"&amp;"0"")+IMPORTRANGE(""https://docs.google.com/spreadsheets/d/1lufeA2cfFqM-elVq2hznhDzC6Pr7wkJ9ZG_sYNGCMCU/edit?usp=sharing"",""ลพบุรี!S650"")+IMPORTRANGE(""https://docs.google.com/spreadsheets/d/10oOiF7loTyfsTkbd4MpaIm0HQ9SwB7IYHdIUvt-U1Uc/edit?usp=sharing"""&amp;",""สระแก้ว!S650"")+IMPORTRANGE(""https://docs.google.com/spreadsheets/d/1xmPlrr1QbdSIKvl1dWUl9K4PjAfSL9oeMr_37QVzcxc/edit?usp=sharing"",""สระบุรี!S650"")+IMPORTRANGE(""https://docs.google.com/spreadsheets/d/1j51vR6CYVGhABJpv6tkstgok82RLpXieLzW1yOY5rHw/edi"&amp;"t?usp=sharing"",""สิงห์บุรี!S650"")+IMPORTRANGE(""https://docs.google.com/spreadsheets/d/1H1EalTWKUSzO4Z1-1CwzoDUaVffgrThEBe2sl74kKG0/edit?usp=sharing"",""สุพรรณบุรี!S650"")+IMPORTRANGE(""https://docs.google.com/spreadsheets/d/1BmIruG_sIrJLYao_Pdr7zVArWsf"&amp;"oBt2692TMi6x_854/edit?usp=sharing"",""อ่างทอง!S650"")"),0)</f>
        <v>0</v>
      </c>
      <c r="T651" s="132">
        <f t="shared" ca="1" si="449"/>
        <v>0</v>
      </c>
      <c r="U651" s="132">
        <f t="shared" ca="1" si="450"/>
        <v>0</v>
      </c>
    </row>
    <row r="652" spans="1:21" ht="19.5" x14ac:dyDescent="0.3">
      <c r="A652" s="276"/>
      <c r="B652" s="277"/>
      <c r="C652" s="749" t="s">
        <v>18</v>
      </c>
      <c r="D652" s="750" t="s">
        <v>38</v>
      </c>
      <c r="E652" s="280"/>
      <c r="F652" s="280"/>
      <c r="G652" s="281"/>
      <c r="H652" s="310"/>
      <c r="I652" s="272"/>
      <c r="J652" s="272"/>
      <c r="K652" s="229"/>
      <c r="L652" s="229"/>
      <c r="M652" s="229"/>
      <c r="N652" s="229"/>
      <c r="O652" s="229"/>
      <c r="P652" s="229"/>
      <c r="Q652" s="86"/>
      <c r="R652" s="87"/>
      <c r="S652" s="87"/>
      <c r="T652" s="229"/>
      <c r="U652" s="229"/>
    </row>
    <row r="653" spans="1:21" ht="18.75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13wPX838HrBrQMCywv1BsuMkt4PEKTChp52zj44s2izQ/edit?usp=sharing"",""กาญจนบุรี!I652"")+IMPORTRANGE(""https://docs.google.com/spreadsheets/d/1ddFKvqj1W1NEiWytbGlB1zMx_ykJDVtmfEQ-6-lIUBA/edit?usp=sharing"","&amp;"""จันทบุรี!I652"")+IMPORTRANGE(""https://docs.google.com/spreadsheets/d/1T1PQvRODqOBZk8BRht_U031fIS1beLA0Ub2CEytj2q0/edit?usp=sharing"",""ฉะเชิงเทรา!I652"")+IMPORTRANGE(""https://docs.google.com/spreadsheets/d/11tr1B-Bhyr79v2bkwVh5h_fR-PStkgjlZtkrZpYurG0/"&amp;"edit?usp=sharing"",""ชลบุรี!I652"")+IMPORTRANGE(""https://docs.google.com/spreadsheets/d/1hh-FVnSX0vozXhGluamEcS54Dw9_zqW0N7qJUWgJ0Sw/edit?usp=sharing"",""ชัยนาท!I652"")+IMPORTRANGE(""https://docs.google.com/spreadsheets/d/1jkqa6GXxSacMcY1eN8AHjMNJ_7dDXMJ"&amp;"VRLDlaFSOdPM/edit?usp=sharing"",""ตราด!I652"")+IMPORTRANGE(""https://docs.google.com/spreadsheets/d/18hSgUJ3VwClqi_qtULmmW3cLr0oe3OKaSYoKzdpTsYQ/edit?usp=sharing"",""นครนายก!I652"")+IMPORTRANGE(""https://docs.google.com/spreadsheets/d/1YTZo6WM2dQ6Ix6FSdnL"&amp;"5P7uVnVKu40sxZu975tgG10E/edit?usp=sharing"",""นครปฐม!I652"")+IMPORTRANGE(""https://docs.google.com/spreadsheets/d/1OYoGg4WDg5RIzwGeB10padOxJF9E_Vljuvvct_M7RDo/edit?usp=sharing"",""ปทุมธานี!I652"")+IMPORTRANGE(""https://docs.google.com/spreadsheets/d/1GbCI"&amp;"E4D4wk9FUozzqk7SxfDMxDVBwVmI5zcaVUSzKAc/edit?usp=sharing"",""ประจวบคีรีขันธ์!I652"")+IMPORTRANGE(""https://docs.google.com/spreadsheets/d/1vVf6wykvW_lAyu7Yo9L4hUTqHqIeP_qcVuxCtosJEbg/edit?usp=sharing"",""ปราจีนบุรี!I652"")+IMPORTRANGE(""https://docs.googl"&amp;"e.com/spreadsheets/d/1BIDqLLg5jk3v59G8NlR8rk5xfQDKne0sAvZHSj7TI6I/edit?usp=sharing"",""พระนครศรีอยุธยา!I652"")+IMPORTRANGE(""https://docs.google.com/spreadsheets/d/1YXvxf8Yu6_rV4hTBrwMqAcAnv6DfhUxh5emyM3CJp_w/edit?usp=sharing"",""เพชรบุรี!I652"")+IMPORTRA"&amp;"NGE(""https://docs.google.com/spreadsheets/d/19KBlQQs7uwvsao6t2n-KvW3Ax8J8uRRfZPq1zPbXgKc/edit?usp=sharing"",""ระยอง!I652"")+IMPORTRANGE(""https://docs.google.com/spreadsheets/d/1jQ6P4QcrGM89YfqcC_PxOHGCMq5ezhucwJd8ci-NHng/edit?usp=sharing"",""ราชบุรี!I65"&amp;"2"")+IMPORTRANGE(""https://docs.google.com/spreadsheets/d/1lufeA2cfFqM-elVq2hznhDzC6Pr7wkJ9ZG_sYNGCMCU/edit?usp=sharing"",""ลพบุรี!I652"")+IMPORTRANGE(""https://docs.google.com/spreadsheets/d/10oOiF7loTyfsTkbd4MpaIm0HQ9SwB7IYHdIUvt-U1Uc/edit?usp=sharing"""&amp;",""สระแก้ว!I652"")+IMPORTRANGE(""https://docs.google.com/spreadsheets/d/1xmPlrr1QbdSIKvl1dWUl9K4PjAfSL9oeMr_37QVzcxc/edit?usp=sharing"",""สระบุรี!I652"")+IMPORTRANGE(""https://docs.google.com/spreadsheets/d/1j51vR6CYVGhABJpv6tkstgok82RLpXieLzW1yOY5rHw/edi"&amp;"t?usp=sharing"",""สิงห์บุรี!I652"")+IMPORTRANGE(""https://docs.google.com/spreadsheets/d/1H1EalTWKUSzO4Z1-1CwzoDUaVffgrThEBe2sl74kKG0/edit?usp=sharing"",""สุพรรณบุรี!I652"")+IMPORTRANGE(""https://docs.google.com/spreadsheets/d/1BmIruG_sIrJLYao_Pdr7zVArWsf"&amp;"oBt2692TMi6x_854/edit?usp=sharing"",""อ่างทอง!I652"")"),21)</f>
        <v>21</v>
      </c>
      <c r="J653" s="293">
        <f ca="1">IFERROR(__xludf.DUMMYFUNCTION("IMPORTRANGE(""https://docs.google.com/spreadsheets/d/13wPX838HrBrQMCywv1BsuMkt4PEKTChp52zj44s2izQ/edit?usp=sharing"",""กาญจนบุรี!J652"")+IMPORTRANGE(""https://docs.google.com/spreadsheets/d/1ddFKvqj1W1NEiWytbGlB1zMx_ykJDVtmfEQ-6-lIUBA/edit?usp=sharing"","&amp;"""จันทบุรี!J652"")+IMPORTRANGE(""https://docs.google.com/spreadsheets/d/1T1PQvRODqOBZk8BRht_U031fIS1beLA0Ub2CEytj2q0/edit?usp=sharing"",""ฉะเชิงเทรา!J652"")+IMPORTRANGE(""https://docs.google.com/spreadsheets/d/11tr1B-Bhyr79v2bkwVh5h_fR-PStkgjlZtkrZpYurG0/"&amp;"edit?usp=sharing"",""ชลบุรี!J652"")+IMPORTRANGE(""https://docs.google.com/spreadsheets/d/1hh-FVnSX0vozXhGluamEcS54Dw9_zqW0N7qJUWgJ0Sw/edit?usp=sharing"",""ชัยนาท!J652"")+IMPORTRANGE(""https://docs.google.com/spreadsheets/d/1jkqa6GXxSacMcY1eN8AHjMNJ_7dDXMJ"&amp;"VRLDlaFSOdPM/edit?usp=sharing"",""ตราด!J652"")+IMPORTRANGE(""https://docs.google.com/spreadsheets/d/18hSgUJ3VwClqi_qtULmmW3cLr0oe3OKaSYoKzdpTsYQ/edit?usp=sharing"",""นครนายก!J652"")+IMPORTRANGE(""https://docs.google.com/spreadsheets/d/1YTZo6WM2dQ6Ix6FSdnL"&amp;"5P7uVnVKu40sxZu975tgG10E/edit?usp=sharing"",""นครปฐม!J652"")+IMPORTRANGE(""https://docs.google.com/spreadsheets/d/1OYoGg4WDg5RIzwGeB10padOxJF9E_Vljuvvct_M7RDo/edit?usp=sharing"",""ปทุมธานี!J652"")+IMPORTRANGE(""https://docs.google.com/spreadsheets/d/1GbCI"&amp;"E4D4wk9FUozzqk7SxfDMxDVBwVmI5zcaVUSzKAc/edit?usp=sharing"",""ประจวบคีรีขันธ์!J652"")+IMPORTRANGE(""https://docs.google.com/spreadsheets/d/1vVf6wykvW_lAyu7Yo9L4hUTqHqIeP_qcVuxCtosJEbg/edit?usp=sharing"",""ปราจีนบุรี!J652"")+IMPORTRANGE(""https://docs.googl"&amp;"e.com/spreadsheets/d/1BIDqLLg5jk3v59G8NlR8rk5xfQDKne0sAvZHSj7TI6I/edit?usp=sharing"",""พระนครศรีอยุธยา!J652"")+IMPORTRANGE(""https://docs.google.com/spreadsheets/d/1YXvxf8Yu6_rV4hTBrwMqAcAnv6DfhUxh5emyM3CJp_w/edit?usp=sharing"",""เพชรบุรี!J652"")+IMPORTRA"&amp;"NGE(""https://docs.google.com/spreadsheets/d/19KBlQQs7uwvsao6t2n-KvW3Ax8J8uRRfZPq1zPbXgKc/edit?usp=sharing"",""ระยอง!J652"")+IMPORTRANGE(""https://docs.google.com/spreadsheets/d/1jQ6P4QcrGM89YfqcC_PxOHGCMq5ezhucwJd8ci-NHng/edit?usp=sharing"",""ราชบุรี!J65"&amp;"2"")+IMPORTRANGE(""https://docs.google.com/spreadsheets/d/1lufeA2cfFqM-elVq2hznhDzC6Pr7wkJ9ZG_sYNGCMCU/edit?usp=sharing"",""ลพบุรี!J652"")+IMPORTRANGE(""https://docs.google.com/spreadsheets/d/10oOiF7loTyfsTkbd4MpaIm0HQ9SwB7IYHdIUvt-U1Uc/edit?usp=sharing"""&amp;",""สระแก้ว!J652"")+IMPORTRANGE(""https://docs.google.com/spreadsheets/d/1xmPlrr1QbdSIKvl1dWUl9K4PjAfSL9oeMr_37QVzcxc/edit?usp=sharing"",""สระบุรี!J652"")+IMPORTRANGE(""https://docs.google.com/spreadsheets/d/1j51vR6CYVGhABJpv6tkstgok82RLpXieLzW1yOY5rHw/edi"&amp;"t?usp=sharing"",""สิงห์บุรี!J652"")+IMPORTRANGE(""https://docs.google.com/spreadsheets/d/1H1EalTWKUSzO4Z1-1CwzoDUaVffgrThEBe2sl74kKG0/edit?usp=sharing"",""สุพรรณบุรี!J652"")+IMPORTRANGE(""https://docs.google.com/spreadsheets/d/1BmIruG_sIrJLYao_Pdr7zVArWsf"&amp;"oBt2692TMi6x_854/edit?usp=sharing"",""อ่างทอง!J652"")"),0)</f>
        <v>0</v>
      </c>
      <c r="K653" s="74">
        <f t="shared" ref="K653:K655" ca="1" si="459">IF(I653&gt;0,J653*100/I653,0)</f>
        <v>0</v>
      </c>
      <c r="L653" s="87"/>
      <c r="M653" s="87"/>
      <c r="N653" s="752"/>
      <c r="O653" s="87"/>
      <c r="P653" s="87"/>
      <c r="Q653" s="86"/>
      <c r="R653" s="87"/>
      <c r="S653" s="752"/>
      <c r="T653" s="87"/>
      <c r="U653" s="87"/>
    </row>
    <row r="654" spans="1:21" ht="18.75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13wPX838HrBrQMCywv1BsuMkt4PEKTChp52zj44s2izQ/edit?usp=sharing"",""กาญจนบุรี!I653"")+IMPORTRANGE(""https://docs.google.com/spreadsheets/d/1ddFKvqj1W1NEiWytbGlB1zMx_ykJDVtmfEQ-6-lIUBA/edit?usp=sharing"","&amp;"""จันทบุรี!I653"")+IMPORTRANGE(""https://docs.google.com/spreadsheets/d/1T1PQvRODqOBZk8BRht_U031fIS1beLA0Ub2CEytj2q0/edit?usp=sharing"",""ฉะเชิงเทรา!I653"")+IMPORTRANGE(""https://docs.google.com/spreadsheets/d/11tr1B-Bhyr79v2bkwVh5h_fR-PStkgjlZtkrZpYurG0/"&amp;"edit?usp=sharing"",""ชลบุรี!I653"")+IMPORTRANGE(""https://docs.google.com/spreadsheets/d/1hh-FVnSX0vozXhGluamEcS54Dw9_zqW0N7qJUWgJ0Sw/edit?usp=sharing"",""ชัยนาท!I653"")+IMPORTRANGE(""https://docs.google.com/spreadsheets/d/1jkqa6GXxSacMcY1eN8AHjMNJ_7dDXMJ"&amp;"VRLDlaFSOdPM/edit?usp=sharing"",""ตราด!I653"")+IMPORTRANGE(""https://docs.google.com/spreadsheets/d/18hSgUJ3VwClqi_qtULmmW3cLr0oe3OKaSYoKzdpTsYQ/edit?usp=sharing"",""นครนายก!I653"")+IMPORTRANGE(""https://docs.google.com/spreadsheets/d/1YTZo6WM2dQ6Ix6FSdnL"&amp;"5P7uVnVKu40sxZu975tgG10E/edit?usp=sharing"",""นครปฐม!I653"")+IMPORTRANGE(""https://docs.google.com/spreadsheets/d/1OYoGg4WDg5RIzwGeB10padOxJF9E_Vljuvvct_M7RDo/edit?usp=sharing"",""ปทุมธานี!I653"")+IMPORTRANGE(""https://docs.google.com/spreadsheets/d/1GbCI"&amp;"E4D4wk9FUozzqk7SxfDMxDVBwVmI5zcaVUSzKAc/edit?usp=sharing"",""ประจวบคีรีขันธ์!I653"")+IMPORTRANGE(""https://docs.google.com/spreadsheets/d/1vVf6wykvW_lAyu7Yo9L4hUTqHqIeP_qcVuxCtosJEbg/edit?usp=sharing"",""ปราจีนบุรี!I653"")+IMPORTRANGE(""https://docs.googl"&amp;"e.com/spreadsheets/d/1BIDqLLg5jk3v59G8NlR8rk5xfQDKne0sAvZHSj7TI6I/edit?usp=sharing"",""พระนครศรีอยุธยา!I653"")+IMPORTRANGE(""https://docs.google.com/spreadsheets/d/1YXvxf8Yu6_rV4hTBrwMqAcAnv6DfhUxh5emyM3CJp_w/edit?usp=sharing"",""เพชรบุรี!I653"")+IMPORTRA"&amp;"NGE(""https://docs.google.com/spreadsheets/d/19KBlQQs7uwvsao6t2n-KvW3Ax8J8uRRfZPq1zPbXgKc/edit?usp=sharing"",""ระยอง!I653"")+IMPORTRANGE(""https://docs.google.com/spreadsheets/d/1jQ6P4QcrGM89YfqcC_PxOHGCMq5ezhucwJd8ci-NHng/edit?usp=sharing"",""ราชบุรี!I65"&amp;"3"")+IMPORTRANGE(""https://docs.google.com/spreadsheets/d/1lufeA2cfFqM-elVq2hznhDzC6Pr7wkJ9ZG_sYNGCMCU/edit?usp=sharing"",""ลพบุรี!I653"")+IMPORTRANGE(""https://docs.google.com/spreadsheets/d/10oOiF7loTyfsTkbd4MpaIm0HQ9SwB7IYHdIUvt-U1Uc/edit?usp=sharing"""&amp;",""สระแก้ว!I653"")+IMPORTRANGE(""https://docs.google.com/spreadsheets/d/1xmPlrr1QbdSIKvl1dWUl9K4PjAfSL9oeMr_37QVzcxc/edit?usp=sharing"",""สระบุรี!I653"")+IMPORTRANGE(""https://docs.google.com/spreadsheets/d/1j51vR6CYVGhABJpv6tkstgok82RLpXieLzW1yOY5rHw/edi"&amp;"t?usp=sharing"",""สิงห์บุรี!I653"")+IMPORTRANGE(""https://docs.google.com/spreadsheets/d/1H1EalTWKUSzO4Z1-1CwzoDUaVffgrThEBe2sl74kKG0/edit?usp=sharing"",""สุพรรณบุรี!I653"")+IMPORTRANGE(""https://docs.google.com/spreadsheets/d/1BmIruG_sIrJLYao_Pdr7zVArWsf"&amp;"oBt2692TMi6x_854/edit?usp=sharing"",""อ่างทอง!I653"")"),122)</f>
        <v>122</v>
      </c>
      <c r="J654" s="293">
        <f ca="1">IFERROR(__xludf.DUMMYFUNCTION("IMPORTRANGE(""https://docs.google.com/spreadsheets/d/13wPX838HrBrQMCywv1BsuMkt4PEKTChp52zj44s2izQ/edit?usp=sharing"",""กาญจนบุรี!J653"")+IMPORTRANGE(""https://docs.google.com/spreadsheets/d/1ddFKvqj1W1NEiWytbGlB1zMx_ykJDVtmfEQ-6-lIUBA/edit?usp=sharing"","&amp;"""จันทบุรี!J653"")+IMPORTRANGE(""https://docs.google.com/spreadsheets/d/1T1PQvRODqOBZk8BRht_U031fIS1beLA0Ub2CEytj2q0/edit?usp=sharing"",""ฉะเชิงเทรา!J653"")+IMPORTRANGE(""https://docs.google.com/spreadsheets/d/11tr1B-Bhyr79v2bkwVh5h_fR-PStkgjlZtkrZpYurG0/"&amp;"edit?usp=sharing"",""ชลบุรี!J653"")+IMPORTRANGE(""https://docs.google.com/spreadsheets/d/1hh-FVnSX0vozXhGluamEcS54Dw9_zqW0N7qJUWgJ0Sw/edit?usp=sharing"",""ชัยนาท!J653"")+IMPORTRANGE(""https://docs.google.com/spreadsheets/d/1jkqa6GXxSacMcY1eN8AHjMNJ_7dDXMJ"&amp;"VRLDlaFSOdPM/edit?usp=sharing"",""ตราด!J653"")+IMPORTRANGE(""https://docs.google.com/spreadsheets/d/18hSgUJ3VwClqi_qtULmmW3cLr0oe3OKaSYoKzdpTsYQ/edit?usp=sharing"",""นครนายก!J653"")+IMPORTRANGE(""https://docs.google.com/spreadsheets/d/1YTZo6WM2dQ6Ix6FSdnL"&amp;"5P7uVnVKu40sxZu975tgG10E/edit?usp=sharing"",""นครปฐม!J653"")+IMPORTRANGE(""https://docs.google.com/spreadsheets/d/1OYoGg4WDg5RIzwGeB10padOxJF9E_Vljuvvct_M7RDo/edit?usp=sharing"",""ปทุมธานี!J653"")+IMPORTRANGE(""https://docs.google.com/spreadsheets/d/1GbCI"&amp;"E4D4wk9FUozzqk7SxfDMxDVBwVmI5zcaVUSzKAc/edit?usp=sharing"",""ประจวบคีรีขันธ์!J653"")+IMPORTRANGE(""https://docs.google.com/spreadsheets/d/1vVf6wykvW_lAyu7Yo9L4hUTqHqIeP_qcVuxCtosJEbg/edit?usp=sharing"",""ปราจีนบุรี!J653"")+IMPORTRANGE(""https://docs.googl"&amp;"e.com/spreadsheets/d/1BIDqLLg5jk3v59G8NlR8rk5xfQDKne0sAvZHSj7TI6I/edit?usp=sharing"",""พระนครศรีอยุธยา!J653"")+IMPORTRANGE(""https://docs.google.com/spreadsheets/d/1YXvxf8Yu6_rV4hTBrwMqAcAnv6DfhUxh5emyM3CJp_w/edit?usp=sharing"",""เพชรบุรี!J653"")+IMPORTRA"&amp;"NGE(""https://docs.google.com/spreadsheets/d/19KBlQQs7uwvsao6t2n-KvW3Ax8J8uRRfZPq1zPbXgKc/edit?usp=sharing"",""ระยอง!J653"")+IMPORTRANGE(""https://docs.google.com/spreadsheets/d/1jQ6P4QcrGM89YfqcC_PxOHGCMq5ezhucwJd8ci-NHng/edit?usp=sharing"",""ราชบุรี!J65"&amp;"3"")+IMPORTRANGE(""https://docs.google.com/spreadsheets/d/1lufeA2cfFqM-elVq2hznhDzC6Pr7wkJ9ZG_sYNGCMCU/edit?usp=sharing"",""ลพบุรี!J653"")+IMPORTRANGE(""https://docs.google.com/spreadsheets/d/10oOiF7loTyfsTkbd4MpaIm0HQ9SwB7IYHdIUvt-U1Uc/edit?usp=sharing"""&amp;",""สระแก้ว!J653"")+IMPORTRANGE(""https://docs.google.com/spreadsheets/d/1xmPlrr1QbdSIKvl1dWUl9K4PjAfSL9oeMr_37QVzcxc/edit?usp=sharing"",""สระบุรี!J653"")+IMPORTRANGE(""https://docs.google.com/spreadsheets/d/1j51vR6CYVGhABJpv6tkstgok82RLpXieLzW1yOY5rHw/edi"&amp;"t?usp=sharing"",""สิงห์บุรี!J653"")+IMPORTRANGE(""https://docs.google.com/spreadsheets/d/1H1EalTWKUSzO4Z1-1CwzoDUaVffgrThEBe2sl74kKG0/edit?usp=sharing"",""สุพรรณบุรี!J653"")+IMPORTRANGE(""https://docs.google.com/spreadsheets/d/1BmIruG_sIrJLYao_Pdr7zVArWsf"&amp;"oBt2692TMi6x_854/edit?usp=sharing"",""อ่างทอง!J653"")"),7)</f>
        <v>7</v>
      </c>
      <c r="K654" s="74">
        <f t="shared" ca="1" si="459"/>
        <v>5.7377049180327866</v>
      </c>
      <c r="L654" s="87"/>
      <c r="M654" s="87"/>
      <c r="N654" s="752"/>
      <c r="O654" s="87"/>
      <c r="P654" s="87"/>
      <c r="Q654" s="86"/>
      <c r="R654" s="87"/>
      <c r="S654" s="752"/>
      <c r="T654" s="87"/>
      <c r="U654" s="87"/>
    </row>
    <row r="655" spans="1:21" ht="19.5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13wPX838HrBrQMCywv1BsuMkt4PEKTChp52zj44s2izQ/edit?usp=sharing"",""กาญจนบุรี!I654"")+IMPORTRANGE(""https://docs.google.com/spreadsheets/d/1ddFKvqj1W1NEiWytbGlB1zMx_ykJDVtmfEQ-6-lIUBA/edit?usp=sharing"","&amp;"""จันทบุรี!I654"")+IMPORTRANGE(""https://docs.google.com/spreadsheets/d/1T1PQvRODqOBZk8BRht_U031fIS1beLA0Ub2CEytj2q0/edit?usp=sharing"",""ฉะเชิงเทรา!I654"")+IMPORTRANGE(""https://docs.google.com/spreadsheets/d/11tr1B-Bhyr79v2bkwVh5h_fR-PStkgjlZtkrZpYurG0/"&amp;"edit?usp=sharing"",""ชลบุรี!I654"")+IMPORTRANGE(""https://docs.google.com/spreadsheets/d/1hh-FVnSX0vozXhGluamEcS54Dw9_zqW0N7qJUWgJ0Sw/edit?usp=sharing"",""ชัยนาท!I654"")+IMPORTRANGE(""https://docs.google.com/spreadsheets/d/1jkqa6GXxSacMcY1eN8AHjMNJ_7dDXMJ"&amp;"VRLDlaFSOdPM/edit?usp=sharing"",""ตราด!I654"")+IMPORTRANGE(""https://docs.google.com/spreadsheets/d/18hSgUJ3VwClqi_qtULmmW3cLr0oe3OKaSYoKzdpTsYQ/edit?usp=sharing"",""นครนายก!I654"")+IMPORTRANGE(""https://docs.google.com/spreadsheets/d/1YTZo6WM2dQ6Ix6FSdnL"&amp;"5P7uVnVKu40sxZu975tgG10E/edit?usp=sharing"",""นครปฐม!I654"")+IMPORTRANGE(""https://docs.google.com/spreadsheets/d/1OYoGg4WDg5RIzwGeB10padOxJF9E_Vljuvvct_M7RDo/edit?usp=sharing"",""ปทุมธานี!I654"")+IMPORTRANGE(""https://docs.google.com/spreadsheets/d/1GbCI"&amp;"E4D4wk9FUozzqk7SxfDMxDVBwVmI5zcaVUSzKAc/edit?usp=sharing"",""ประจวบคีรีขันธ์!I654"")+IMPORTRANGE(""https://docs.google.com/spreadsheets/d/1vVf6wykvW_lAyu7Yo9L4hUTqHqIeP_qcVuxCtosJEbg/edit?usp=sharing"",""ปราจีนบุรี!I654"")+IMPORTRANGE(""https://docs.googl"&amp;"e.com/spreadsheets/d/1BIDqLLg5jk3v59G8NlR8rk5xfQDKne0sAvZHSj7TI6I/edit?usp=sharing"",""พระนครศรีอยุธยา!I654"")+IMPORTRANGE(""https://docs.google.com/spreadsheets/d/1YXvxf8Yu6_rV4hTBrwMqAcAnv6DfhUxh5emyM3CJp_w/edit?usp=sharing"",""เพชรบุรี!I654"")+IMPORTRA"&amp;"NGE(""https://docs.google.com/spreadsheets/d/19KBlQQs7uwvsao6t2n-KvW3Ax8J8uRRfZPq1zPbXgKc/edit?usp=sharing"",""ระยอง!I654"")+IMPORTRANGE(""https://docs.google.com/spreadsheets/d/1jQ6P4QcrGM89YfqcC_PxOHGCMq5ezhucwJd8ci-NHng/edit?usp=sharing"",""ราชบุรี!I65"&amp;"4"")+IMPORTRANGE(""https://docs.google.com/spreadsheets/d/1lufeA2cfFqM-elVq2hznhDzC6Pr7wkJ9ZG_sYNGCMCU/edit?usp=sharing"",""ลพบุรี!I654"")+IMPORTRANGE(""https://docs.google.com/spreadsheets/d/10oOiF7loTyfsTkbd4MpaIm0HQ9SwB7IYHdIUvt-U1Uc/edit?usp=sharing"""&amp;",""สระแก้ว!I654"")+IMPORTRANGE(""https://docs.google.com/spreadsheets/d/1xmPlrr1QbdSIKvl1dWUl9K4PjAfSL9oeMr_37QVzcxc/edit?usp=sharing"",""สระบุรี!I654"")+IMPORTRANGE(""https://docs.google.com/spreadsheets/d/1j51vR6CYVGhABJpv6tkstgok82RLpXieLzW1yOY5rHw/edi"&amp;"t?usp=sharing"",""สิงห์บุรี!I654"")+IMPORTRANGE(""https://docs.google.com/spreadsheets/d/1H1EalTWKUSzO4Z1-1CwzoDUaVffgrThEBe2sl74kKG0/edit?usp=sharing"",""สุพรรณบุรี!I654"")+IMPORTRANGE(""https://docs.google.com/spreadsheets/d/1BmIruG_sIrJLYao_Pdr7zVArWsf"&amp;"oBt2692TMi6x_854/edit?usp=sharing"",""อ่างทอง!I654"")"),955)</f>
        <v>955</v>
      </c>
      <c r="J655" s="622">
        <f ca="1">J658+J661</f>
        <v>121.77</v>
      </c>
      <c r="K655" s="264">
        <f t="shared" ca="1" si="459"/>
        <v>12.750785340314136</v>
      </c>
      <c r="L655" s="87"/>
      <c r="M655" s="87"/>
      <c r="N655" s="752"/>
      <c r="O655" s="87"/>
      <c r="P655" s="87"/>
      <c r="Q655" s="86"/>
      <c r="R655" s="87"/>
      <c r="S655" s="752"/>
      <c r="T655" s="87"/>
      <c r="U655" s="87"/>
    </row>
    <row r="656" spans="1:21" ht="18.75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f ca="1">IFERROR(__xludf.DUMMYFUNCTION("IMPORTRANGE(""https://docs.google.com/spreadsheets/d/13wPX838HrBrQMCywv1BsuMkt4PEKTChp52zj44s2izQ/edit?usp=sharing"",""กาญจนบุรี!J655"")+IMPORTRANGE(""https://docs.google.com/spreadsheets/d/1ddFKvqj1W1NEiWytbGlB1zMx_ykJDVtmfEQ-6-lIUBA/edit?usp=sharing"","&amp;"""จันทบุรี!J655"")+IMPORTRANGE(""https://docs.google.com/spreadsheets/d/1T1PQvRODqOBZk8BRht_U031fIS1beLA0Ub2CEytj2q0/edit?usp=sharing"",""ฉะเชิงเทรา!J655"")+IMPORTRANGE(""https://docs.google.com/spreadsheets/d/11tr1B-Bhyr79v2bkwVh5h_fR-PStkgjlZtkrZpYurG0/"&amp;"edit?usp=sharing"",""ชลบุรี!J655"")+IMPORTRANGE(""https://docs.google.com/spreadsheets/d/1hh-FVnSX0vozXhGluamEcS54Dw9_zqW0N7qJUWgJ0Sw/edit?usp=sharing"",""ชัยนาท!J655"")+IMPORTRANGE(""https://docs.google.com/spreadsheets/d/1jkqa6GXxSacMcY1eN8AHjMNJ_7dDXMJ"&amp;"VRLDlaFSOdPM/edit?usp=sharing"",""ตราด!J655"")+IMPORTRANGE(""https://docs.google.com/spreadsheets/d/18hSgUJ3VwClqi_qtULmmW3cLr0oe3OKaSYoKzdpTsYQ/edit?usp=sharing"",""นครนายก!J655"")+IMPORTRANGE(""https://docs.google.com/spreadsheets/d/1YTZo6WM2dQ6Ix6FSdnL"&amp;"5P7uVnVKu40sxZu975tgG10E/edit?usp=sharing"",""นครปฐม!J655"")+IMPORTRANGE(""https://docs.google.com/spreadsheets/d/1OYoGg4WDg5RIzwGeB10padOxJF9E_Vljuvvct_M7RDo/edit?usp=sharing"",""ปทุมธานี!J655"")+IMPORTRANGE(""https://docs.google.com/spreadsheets/d/1GbCI"&amp;"E4D4wk9FUozzqk7SxfDMxDVBwVmI5zcaVUSzKAc/edit?usp=sharing"",""ประจวบคีรีขันธ์!J655"")+IMPORTRANGE(""https://docs.google.com/spreadsheets/d/1vVf6wykvW_lAyu7Yo9L4hUTqHqIeP_qcVuxCtosJEbg/edit?usp=sharing"",""ปราจีนบุรี!J655"")+IMPORTRANGE(""https://docs.googl"&amp;"e.com/spreadsheets/d/1BIDqLLg5jk3v59G8NlR8rk5xfQDKne0sAvZHSj7TI6I/edit?usp=sharing"",""พระนครศรีอยุธยา!J655"")+IMPORTRANGE(""https://docs.google.com/spreadsheets/d/1YXvxf8Yu6_rV4hTBrwMqAcAnv6DfhUxh5emyM3CJp_w/edit?usp=sharing"",""เพชรบุรี!J655"")+IMPORTRA"&amp;"NGE(""https://docs.google.com/spreadsheets/d/19KBlQQs7uwvsao6t2n-KvW3Ax8J8uRRfZPq1zPbXgKc/edit?usp=sharing"",""ระยอง!J655"")+IMPORTRANGE(""https://docs.google.com/spreadsheets/d/1jQ6P4QcrGM89YfqcC_PxOHGCMq5ezhucwJd8ci-NHng/edit?usp=sharing"",""ราชบุรี!J65"&amp;"5"")+IMPORTRANGE(""https://docs.google.com/spreadsheets/d/1lufeA2cfFqM-elVq2hznhDzC6Pr7wkJ9ZG_sYNGCMCU/edit?usp=sharing"",""ลพบุรี!J655"")+IMPORTRANGE(""https://docs.google.com/spreadsheets/d/10oOiF7loTyfsTkbd4MpaIm0HQ9SwB7IYHdIUvt-U1Uc/edit?usp=sharing"""&amp;",""สระแก้ว!J655"")+IMPORTRANGE(""https://docs.google.com/spreadsheets/d/1xmPlrr1QbdSIKvl1dWUl9K4PjAfSL9oeMr_37QVzcxc/edit?usp=sharing"",""สระบุรี!J655"")+IMPORTRANGE(""https://docs.google.com/spreadsheets/d/1j51vR6CYVGhABJpv6tkstgok82RLpXieLzW1yOY5rHw/edi"&amp;"t?usp=sharing"",""สิงห์บุรี!J655"")+IMPORTRANGE(""https://docs.google.com/spreadsheets/d/1H1EalTWKUSzO4Z1-1CwzoDUaVffgrThEBe2sl74kKG0/edit?usp=sharing"",""สุพรรณบุรี!J655"")+IMPORTRANGE(""https://docs.google.com/spreadsheets/d/1BmIruG_sIrJLYao_Pdr7zVArWsf"&amp;"oBt2692TMi6x_854/edit?usp=sharing"",""อ่างทอง!J655"")"),21)</f>
        <v>21</v>
      </c>
      <c r="K656" s="87"/>
      <c r="L656" s="87"/>
      <c r="M656" s="87"/>
      <c r="N656" s="752"/>
      <c r="O656" s="87"/>
      <c r="P656" s="87"/>
      <c r="Q656" s="86"/>
      <c r="R656" s="87"/>
      <c r="S656" s="752"/>
      <c r="T656" s="87"/>
      <c r="U656" s="87"/>
    </row>
    <row r="657" spans="1:21" ht="18.75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f ca="1">IFERROR(__xludf.DUMMYFUNCTION("IMPORTRANGE(""https://docs.google.com/spreadsheets/d/13wPX838HrBrQMCywv1BsuMkt4PEKTChp52zj44s2izQ/edit?usp=sharing"",""กาญจนบุรี!J656"")+IMPORTRANGE(""https://docs.google.com/spreadsheets/d/1ddFKvqj1W1NEiWytbGlB1zMx_ykJDVtmfEQ-6-lIUBA/edit?usp=sharing"","&amp;"""จันทบุรี!J656"")+IMPORTRANGE(""https://docs.google.com/spreadsheets/d/1T1PQvRODqOBZk8BRht_U031fIS1beLA0Ub2CEytj2q0/edit?usp=sharing"",""ฉะเชิงเทรา!J656"")+IMPORTRANGE(""https://docs.google.com/spreadsheets/d/11tr1B-Bhyr79v2bkwVh5h_fR-PStkgjlZtkrZpYurG0/"&amp;"edit?usp=sharing"",""ชลบุรี!J656"")+IMPORTRANGE(""https://docs.google.com/spreadsheets/d/1hh-FVnSX0vozXhGluamEcS54Dw9_zqW0N7qJUWgJ0Sw/edit?usp=sharing"",""ชัยนาท!J656"")+IMPORTRANGE(""https://docs.google.com/spreadsheets/d/1jkqa6GXxSacMcY1eN8AHjMNJ_7dDXMJ"&amp;"VRLDlaFSOdPM/edit?usp=sharing"",""ตราด!J656"")+IMPORTRANGE(""https://docs.google.com/spreadsheets/d/18hSgUJ3VwClqi_qtULmmW3cLr0oe3OKaSYoKzdpTsYQ/edit?usp=sharing"",""นครนายก!J656"")+IMPORTRANGE(""https://docs.google.com/spreadsheets/d/1YTZo6WM2dQ6Ix6FSdnL"&amp;"5P7uVnVKu40sxZu975tgG10E/edit?usp=sharing"",""นครปฐม!J656"")+IMPORTRANGE(""https://docs.google.com/spreadsheets/d/1OYoGg4WDg5RIzwGeB10padOxJF9E_Vljuvvct_M7RDo/edit?usp=sharing"",""ปทุมธานี!J656"")+IMPORTRANGE(""https://docs.google.com/spreadsheets/d/1GbCI"&amp;"E4D4wk9FUozzqk7SxfDMxDVBwVmI5zcaVUSzKAc/edit?usp=sharing"",""ประจวบคีรีขันธ์!J656"")+IMPORTRANGE(""https://docs.google.com/spreadsheets/d/1vVf6wykvW_lAyu7Yo9L4hUTqHqIeP_qcVuxCtosJEbg/edit?usp=sharing"",""ปราจีนบุรี!J656"")+IMPORTRANGE(""https://docs.googl"&amp;"e.com/spreadsheets/d/1BIDqLLg5jk3v59G8NlR8rk5xfQDKne0sAvZHSj7TI6I/edit?usp=sharing"",""พระนครศรีอยุธยา!J656"")+IMPORTRANGE(""https://docs.google.com/spreadsheets/d/1YXvxf8Yu6_rV4hTBrwMqAcAnv6DfhUxh5emyM3CJp_w/edit?usp=sharing"",""เพชรบุรี!J656"")+IMPORTRA"&amp;"NGE(""https://docs.google.com/spreadsheets/d/19KBlQQs7uwvsao6t2n-KvW3Ax8J8uRRfZPq1zPbXgKc/edit?usp=sharing"",""ระยอง!J656"")+IMPORTRANGE(""https://docs.google.com/spreadsheets/d/1jQ6P4QcrGM89YfqcC_PxOHGCMq5ezhucwJd8ci-NHng/edit?usp=sharing"",""ราชบุรี!J65"&amp;"6"")+IMPORTRANGE(""https://docs.google.com/spreadsheets/d/1lufeA2cfFqM-elVq2hznhDzC6Pr7wkJ9ZG_sYNGCMCU/edit?usp=sharing"",""ลพบุรี!J656"")+IMPORTRANGE(""https://docs.google.com/spreadsheets/d/10oOiF7loTyfsTkbd4MpaIm0HQ9SwB7IYHdIUvt-U1Uc/edit?usp=sharing"""&amp;",""สระแก้ว!J656"")+IMPORTRANGE(""https://docs.google.com/spreadsheets/d/1xmPlrr1QbdSIKvl1dWUl9K4PjAfSL9oeMr_37QVzcxc/edit?usp=sharing"",""สระบุรี!J656"")+IMPORTRANGE(""https://docs.google.com/spreadsheets/d/1j51vR6CYVGhABJpv6tkstgok82RLpXieLzW1yOY5rHw/edi"&amp;"t?usp=sharing"",""สิงห์บุรี!J656"")+IMPORTRANGE(""https://docs.google.com/spreadsheets/d/1H1EalTWKUSzO4Z1-1CwzoDUaVffgrThEBe2sl74kKG0/edit?usp=sharing"",""สุพรรณบุรี!J656"")+IMPORTRANGE(""https://docs.google.com/spreadsheets/d/1BmIruG_sIrJLYao_Pdr7zVArWsf"&amp;"oBt2692TMi6x_854/edit?usp=sharing"",""อ่างทอง!J656"")"),22)</f>
        <v>22</v>
      </c>
      <c r="K657" s="87"/>
      <c r="L657" s="87"/>
      <c r="M657" s="87"/>
      <c r="N657" s="752"/>
      <c r="O657" s="87"/>
      <c r="P657" s="87"/>
      <c r="Q657" s="86"/>
      <c r="R657" s="87"/>
      <c r="S657" s="752"/>
      <c r="T657" s="87"/>
      <c r="U657" s="87"/>
    </row>
    <row r="658" spans="1:21" ht="18.75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13wPX838HrBrQMCywv1BsuMkt4PEKTChp52zj44s2izQ/edit?usp=sharing"",""กาญจนบุรี!I657"")+IMPORTRANGE(""https://docs.google.com/spreadsheets/d/1ddFKvqj1W1NEiWytbGlB1zMx_ykJDVtmfEQ-6-lIUBA/edit?usp=sharing"","&amp;"""จันทบุรี!I657"")+IMPORTRANGE(""https://docs.google.com/spreadsheets/d/1T1PQvRODqOBZk8BRht_U031fIS1beLA0Ub2CEytj2q0/edit?usp=sharing"",""ฉะเชิงเทรา!I657"")+IMPORTRANGE(""https://docs.google.com/spreadsheets/d/11tr1B-Bhyr79v2bkwVh5h_fR-PStkgjlZtkrZpYurG0/"&amp;"edit?usp=sharing"",""ชลบุรี!I657"")+IMPORTRANGE(""https://docs.google.com/spreadsheets/d/1hh-FVnSX0vozXhGluamEcS54Dw9_zqW0N7qJUWgJ0Sw/edit?usp=sharing"",""ชัยนาท!I657"")+IMPORTRANGE(""https://docs.google.com/spreadsheets/d/1jkqa6GXxSacMcY1eN8AHjMNJ_7dDXMJ"&amp;"VRLDlaFSOdPM/edit?usp=sharing"",""ตราด!I657"")+IMPORTRANGE(""https://docs.google.com/spreadsheets/d/18hSgUJ3VwClqi_qtULmmW3cLr0oe3OKaSYoKzdpTsYQ/edit?usp=sharing"",""นครนายก!I657"")+IMPORTRANGE(""https://docs.google.com/spreadsheets/d/1YTZo6WM2dQ6Ix6FSdnL"&amp;"5P7uVnVKu40sxZu975tgG10E/edit?usp=sharing"",""นครปฐม!I657"")+IMPORTRANGE(""https://docs.google.com/spreadsheets/d/1OYoGg4WDg5RIzwGeB10padOxJF9E_Vljuvvct_M7RDo/edit?usp=sharing"",""ปทุมธานี!I657"")+IMPORTRANGE(""https://docs.google.com/spreadsheets/d/1GbCI"&amp;"E4D4wk9FUozzqk7SxfDMxDVBwVmI5zcaVUSzKAc/edit?usp=sharing"",""ประจวบคีรีขันธ์!I657"")+IMPORTRANGE(""https://docs.google.com/spreadsheets/d/1vVf6wykvW_lAyu7Yo9L4hUTqHqIeP_qcVuxCtosJEbg/edit?usp=sharing"",""ปราจีนบุรี!I657"")+IMPORTRANGE(""https://docs.googl"&amp;"e.com/spreadsheets/d/1BIDqLLg5jk3v59G8NlR8rk5xfQDKne0sAvZHSj7TI6I/edit?usp=sharing"",""พระนครศรีอยุธยา!I657"")+IMPORTRANGE(""https://docs.google.com/spreadsheets/d/1YXvxf8Yu6_rV4hTBrwMqAcAnv6DfhUxh5emyM3CJp_w/edit?usp=sharing"",""เพชรบุรี!I657"")+IMPORTRA"&amp;"NGE(""https://docs.google.com/spreadsheets/d/19KBlQQs7uwvsao6t2n-KvW3Ax8J8uRRfZPq1zPbXgKc/edit?usp=sharing"",""ระยอง!I657"")+IMPORTRANGE(""https://docs.google.com/spreadsheets/d/1jQ6P4QcrGM89YfqcC_PxOHGCMq5ezhucwJd8ci-NHng/edit?usp=sharing"",""ราชบุรี!I65"&amp;"7"")+IMPORTRANGE(""https://docs.google.com/spreadsheets/d/1lufeA2cfFqM-elVq2hznhDzC6Pr7wkJ9ZG_sYNGCMCU/edit?usp=sharing"",""ลพบุรี!I657"")+IMPORTRANGE(""https://docs.google.com/spreadsheets/d/10oOiF7loTyfsTkbd4MpaIm0HQ9SwB7IYHdIUvt-U1Uc/edit?usp=sharing"""&amp;",""สระแก้ว!I657"")+IMPORTRANGE(""https://docs.google.com/spreadsheets/d/1xmPlrr1QbdSIKvl1dWUl9K4PjAfSL9oeMr_37QVzcxc/edit?usp=sharing"",""สระบุรี!I657"")+IMPORTRANGE(""https://docs.google.com/spreadsheets/d/1j51vR6CYVGhABJpv6tkstgok82RLpXieLzW1yOY5rHw/edi"&amp;"t?usp=sharing"",""สิงห์บุรี!I657"")+IMPORTRANGE(""https://docs.google.com/spreadsheets/d/1H1EalTWKUSzO4Z1-1CwzoDUaVffgrThEBe2sl74kKG0/edit?usp=sharing"",""สุพรรณบุรี!I657"")+IMPORTRANGE(""https://docs.google.com/spreadsheets/d/1BmIruG_sIrJLYao_Pdr7zVArWsf"&amp;"oBt2692TMi6x_854/edit?usp=sharing"",""อ่างทอง!I657"")"),505)</f>
        <v>505</v>
      </c>
      <c r="J658" s="294">
        <f ca="1">IFERROR(__xludf.DUMMYFUNCTION("IMPORTRANGE(""https://docs.google.com/spreadsheets/d/13wPX838HrBrQMCywv1BsuMkt4PEKTChp52zj44s2izQ/edit?usp=sharing"",""กาญจนบุรี!J657"")+IMPORTRANGE(""https://docs.google.com/spreadsheets/d/1ddFKvqj1W1NEiWytbGlB1zMx_ykJDVtmfEQ-6-lIUBA/edit?usp=sharing"","&amp;"""จันทบุรี!J657"")+IMPORTRANGE(""https://docs.google.com/spreadsheets/d/1T1PQvRODqOBZk8BRht_U031fIS1beLA0Ub2CEytj2q0/edit?usp=sharing"",""ฉะเชิงเทรา!J657"")+IMPORTRANGE(""https://docs.google.com/spreadsheets/d/11tr1B-Bhyr79v2bkwVh5h_fR-PStkgjlZtkrZpYurG0/"&amp;"edit?usp=sharing"",""ชลบุรี!J657"")+IMPORTRANGE(""https://docs.google.com/spreadsheets/d/1hh-FVnSX0vozXhGluamEcS54Dw9_zqW0N7qJUWgJ0Sw/edit?usp=sharing"",""ชัยนาท!J657"")+IMPORTRANGE(""https://docs.google.com/spreadsheets/d/1jkqa6GXxSacMcY1eN8AHjMNJ_7dDXMJ"&amp;"VRLDlaFSOdPM/edit?usp=sharing"",""ตราด!J657"")+IMPORTRANGE(""https://docs.google.com/spreadsheets/d/18hSgUJ3VwClqi_qtULmmW3cLr0oe3OKaSYoKzdpTsYQ/edit?usp=sharing"",""นครนายก!J657"")+IMPORTRANGE(""https://docs.google.com/spreadsheets/d/1YTZo6WM2dQ6Ix6FSdnL"&amp;"5P7uVnVKu40sxZu975tgG10E/edit?usp=sharing"",""นครปฐม!J657"")+IMPORTRANGE(""https://docs.google.com/spreadsheets/d/1OYoGg4WDg5RIzwGeB10padOxJF9E_Vljuvvct_M7RDo/edit?usp=sharing"",""ปทุมธานี!J657"")+IMPORTRANGE(""https://docs.google.com/spreadsheets/d/1GbCI"&amp;"E4D4wk9FUozzqk7SxfDMxDVBwVmI5zcaVUSzKAc/edit?usp=sharing"",""ประจวบคีรีขันธ์!J657"")+IMPORTRANGE(""https://docs.google.com/spreadsheets/d/1vVf6wykvW_lAyu7Yo9L4hUTqHqIeP_qcVuxCtosJEbg/edit?usp=sharing"",""ปราจีนบุรี!J657"")+IMPORTRANGE(""https://docs.googl"&amp;"e.com/spreadsheets/d/1BIDqLLg5jk3v59G8NlR8rk5xfQDKne0sAvZHSj7TI6I/edit?usp=sharing"",""พระนครศรีอยุธยา!J657"")+IMPORTRANGE(""https://docs.google.com/spreadsheets/d/1YXvxf8Yu6_rV4hTBrwMqAcAnv6DfhUxh5emyM3CJp_w/edit?usp=sharing"",""เพชรบุรี!J657"")+IMPORTRA"&amp;"NGE(""https://docs.google.com/spreadsheets/d/19KBlQQs7uwvsao6t2n-KvW3Ax8J8uRRfZPq1zPbXgKc/edit?usp=sharing"",""ระยอง!J657"")+IMPORTRANGE(""https://docs.google.com/spreadsheets/d/1jQ6P4QcrGM89YfqcC_PxOHGCMq5ezhucwJd8ci-NHng/edit?usp=sharing"",""ราชบุรี!J65"&amp;"7"")+IMPORTRANGE(""https://docs.google.com/spreadsheets/d/1lufeA2cfFqM-elVq2hznhDzC6Pr7wkJ9ZG_sYNGCMCU/edit?usp=sharing"",""ลพบุรี!J657"")+IMPORTRANGE(""https://docs.google.com/spreadsheets/d/10oOiF7loTyfsTkbd4MpaIm0HQ9SwB7IYHdIUvt-U1Uc/edit?usp=sharing"""&amp;",""สระแก้ว!J657"")+IMPORTRANGE(""https://docs.google.com/spreadsheets/d/1xmPlrr1QbdSIKvl1dWUl9K4PjAfSL9oeMr_37QVzcxc/edit?usp=sharing"",""สระบุรี!J657"")+IMPORTRANGE(""https://docs.google.com/spreadsheets/d/1j51vR6CYVGhABJpv6tkstgok82RLpXieLzW1yOY5rHw/edi"&amp;"t?usp=sharing"",""สิงห์บุรี!J657"")+IMPORTRANGE(""https://docs.google.com/spreadsheets/d/1H1EalTWKUSzO4Z1-1CwzoDUaVffgrThEBe2sl74kKG0/edit?usp=sharing"",""สุพรรณบุรี!J657"")+IMPORTRANGE(""https://docs.google.com/spreadsheets/d/1BmIruG_sIrJLYao_Pdr7zVArWsf"&amp;"oBt2692TMi6x_854/edit?usp=sharing"",""อ่างทอง!J657"")"),121.77)</f>
        <v>121.77</v>
      </c>
      <c r="K658" s="87"/>
      <c r="L658" s="87"/>
      <c r="M658" s="87"/>
      <c r="N658" s="752"/>
      <c r="O658" s="87"/>
      <c r="P658" s="87"/>
      <c r="Q658" s="86"/>
      <c r="R658" s="87"/>
      <c r="S658" s="752"/>
      <c r="T658" s="87"/>
      <c r="U658" s="87"/>
    </row>
    <row r="659" spans="1:21" ht="18.75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f ca="1">IFERROR(__xludf.DUMMYFUNCTION("IMPORTRANGE(""https://docs.google.com/spreadsheets/d/13wPX838HrBrQMCywv1BsuMkt4PEKTChp52zj44s2izQ/edit?usp=sharing"",""กาญจนบุรี!J658"")+IMPORTRANGE(""https://docs.google.com/spreadsheets/d/1ddFKvqj1W1NEiWytbGlB1zMx_ykJDVtmfEQ-6-lIUBA/edit?usp=sharing"","&amp;"""จันทบุรี!J658"")+IMPORTRANGE(""https://docs.google.com/spreadsheets/d/1T1PQvRODqOBZk8BRht_U031fIS1beLA0Ub2CEytj2q0/edit?usp=sharing"",""ฉะเชิงเทรา!J658"")+IMPORTRANGE(""https://docs.google.com/spreadsheets/d/11tr1B-Bhyr79v2bkwVh5h_fR-PStkgjlZtkrZpYurG0/"&amp;"edit?usp=sharing"",""ชลบุรี!J658"")+IMPORTRANGE(""https://docs.google.com/spreadsheets/d/1hh-FVnSX0vozXhGluamEcS54Dw9_zqW0N7qJUWgJ0Sw/edit?usp=sharing"",""ชัยนาท!J658"")+IMPORTRANGE(""https://docs.google.com/spreadsheets/d/1jkqa6GXxSacMcY1eN8AHjMNJ_7dDXMJ"&amp;"VRLDlaFSOdPM/edit?usp=sharing"",""ตราด!J658"")+IMPORTRANGE(""https://docs.google.com/spreadsheets/d/18hSgUJ3VwClqi_qtULmmW3cLr0oe3OKaSYoKzdpTsYQ/edit?usp=sharing"",""นครนายก!J658"")+IMPORTRANGE(""https://docs.google.com/spreadsheets/d/1YTZo6WM2dQ6Ix6FSdnL"&amp;"5P7uVnVKu40sxZu975tgG10E/edit?usp=sharing"",""นครปฐม!J658"")+IMPORTRANGE(""https://docs.google.com/spreadsheets/d/1OYoGg4WDg5RIzwGeB10padOxJF9E_Vljuvvct_M7RDo/edit?usp=sharing"",""ปทุมธานี!J658"")+IMPORTRANGE(""https://docs.google.com/spreadsheets/d/1GbCI"&amp;"E4D4wk9FUozzqk7SxfDMxDVBwVmI5zcaVUSzKAc/edit?usp=sharing"",""ประจวบคีรีขันธ์!J658"")+IMPORTRANGE(""https://docs.google.com/spreadsheets/d/1vVf6wykvW_lAyu7Yo9L4hUTqHqIeP_qcVuxCtosJEbg/edit?usp=sharing"",""ปราจีนบุรี!J658"")+IMPORTRANGE(""https://docs.googl"&amp;"e.com/spreadsheets/d/1BIDqLLg5jk3v59G8NlR8rk5xfQDKne0sAvZHSj7TI6I/edit?usp=sharing"",""พระนครศรีอยุธยา!J658"")+IMPORTRANGE(""https://docs.google.com/spreadsheets/d/1YXvxf8Yu6_rV4hTBrwMqAcAnv6DfhUxh5emyM3CJp_w/edit?usp=sharing"",""เพชรบุรี!J658"")+IMPORTRA"&amp;"NGE(""https://docs.google.com/spreadsheets/d/19KBlQQs7uwvsao6t2n-KvW3Ax8J8uRRfZPq1zPbXgKc/edit?usp=sharing"",""ระยอง!J658"")+IMPORTRANGE(""https://docs.google.com/spreadsheets/d/1jQ6P4QcrGM89YfqcC_PxOHGCMq5ezhucwJd8ci-NHng/edit?usp=sharing"",""ราชบุรี!J65"&amp;"8"")+IMPORTRANGE(""https://docs.google.com/spreadsheets/d/1lufeA2cfFqM-elVq2hznhDzC6Pr7wkJ9ZG_sYNGCMCU/edit?usp=sharing"",""ลพบุรี!J658"")+IMPORTRANGE(""https://docs.google.com/spreadsheets/d/10oOiF7loTyfsTkbd4MpaIm0HQ9SwB7IYHdIUvt-U1Uc/edit?usp=sharing"""&amp;",""สระแก้ว!J658"")+IMPORTRANGE(""https://docs.google.com/spreadsheets/d/1xmPlrr1QbdSIKvl1dWUl9K4PjAfSL9oeMr_37QVzcxc/edit?usp=sharing"",""สระบุรี!J658"")+IMPORTRANGE(""https://docs.google.com/spreadsheets/d/1j51vR6CYVGhABJpv6tkstgok82RLpXieLzW1yOY5rHw/edi"&amp;"t?usp=sharing"",""สิงห์บุรี!J658"")+IMPORTRANGE(""https://docs.google.com/spreadsheets/d/1H1EalTWKUSzO4Z1-1CwzoDUaVffgrThEBe2sl74kKG0/edit?usp=sharing"",""สุพรรณบุรี!J658"")+IMPORTRANGE(""https://docs.google.com/spreadsheets/d/1BmIruG_sIrJLYao_Pdr7zVArWsf"&amp;"oBt2692TMi6x_854/edit?usp=sharing"",""อ่างทอง!J658"")"),0)</f>
        <v>0</v>
      </c>
      <c r="K659" s="87"/>
      <c r="L659" s="87"/>
      <c r="M659" s="87"/>
      <c r="N659" s="752"/>
      <c r="O659" s="87"/>
      <c r="P659" s="87"/>
      <c r="Q659" s="86"/>
      <c r="R659" s="87"/>
      <c r="S659" s="752"/>
      <c r="T659" s="87"/>
      <c r="U659" s="87"/>
    </row>
    <row r="660" spans="1:21" ht="18.75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f ca="1">IFERROR(__xludf.DUMMYFUNCTION("IMPORTRANGE(""https://docs.google.com/spreadsheets/d/13wPX838HrBrQMCywv1BsuMkt4PEKTChp52zj44s2izQ/edit?usp=sharing"",""กาญจนบุรี!J659"")+IMPORTRANGE(""https://docs.google.com/spreadsheets/d/1ddFKvqj1W1NEiWytbGlB1zMx_ykJDVtmfEQ-6-lIUBA/edit?usp=sharing"","&amp;"""จันทบุรี!J659"")+IMPORTRANGE(""https://docs.google.com/spreadsheets/d/1T1PQvRODqOBZk8BRht_U031fIS1beLA0Ub2CEytj2q0/edit?usp=sharing"",""ฉะเชิงเทรา!J659"")+IMPORTRANGE(""https://docs.google.com/spreadsheets/d/11tr1B-Bhyr79v2bkwVh5h_fR-PStkgjlZtkrZpYurG0/"&amp;"edit?usp=sharing"",""ชลบุรี!J659"")+IMPORTRANGE(""https://docs.google.com/spreadsheets/d/1hh-FVnSX0vozXhGluamEcS54Dw9_zqW0N7qJUWgJ0Sw/edit?usp=sharing"",""ชัยนาท!J659"")+IMPORTRANGE(""https://docs.google.com/spreadsheets/d/1jkqa6GXxSacMcY1eN8AHjMNJ_7dDXMJ"&amp;"VRLDlaFSOdPM/edit?usp=sharing"",""ตราด!J659"")+IMPORTRANGE(""https://docs.google.com/spreadsheets/d/18hSgUJ3VwClqi_qtULmmW3cLr0oe3OKaSYoKzdpTsYQ/edit?usp=sharing"",""นครนายก!J659"")+IMPORTRANGE(""https://docs.google.com/spreadsheets/d/1YTZo6WM2dQ6Ix6FSdnL"&amp;"5P7uVnVKu40sxZu975tgG10E/edit?usp=sharing"",""นครปฐม!J659"")+IMPORTRANGE(""https://docs.google.com/spreadsheets/d/1OYoGg4WDg5RIzwGeB10padOxJF9E_Vljuvvct_M7RDo/edit?usp=sharing"",""ปทุมธานี!J659"")+IMPORTRANGE(""https://docs.google.com/spreadsheets/d/1GbCI"&amp;"E4D4wk9FUozzqk7SxfDMxDVBwVmI5zcaVUSzKAc/edit?usp=sharing"",""ประจวบคีรีขันธ์!J659"")+IMPORTRANGE(""https://docs.google.com/spreadsheets/d/1vVf6wykvW_lAyu7Yo9L4hUTqHqIeP_qcVuxCtosJEbg/edit?usp=sharing"",""ปราจีนบุรี!J659"")+IMPORTRANGE(""https://docs.googl"&amp;"e.com/spreadsheets/d/1BIDqLLg5jk3v59G8NlR8rk5xfQDKne0sAvZHSj7TI6I/edit?usp=sharing"",""พระนครศรีอยุธยา!J659"")+IMPORTRANGE(""https://docs.google.com/spreadsheets/d/1YXvxf8Yu6_rV4hTBrwMqAcAnv6DfhUxh5emyM3CJp_w/edit?usp=sharing"",""เพชรบุรี!J659"")+IMPORTRA"&amp;"NGE(""https://docs.google.com/spreadsheets/d/19KBlQQs7uwvsao6t2n-KvW3Ax8J8uRRfZPq1zPbXgKc/edit?usp=sharing"",""ระยอง!J659"")+IMPORTRANGE(""https://docs.google.com/spreadsheets/d/1jQ6P4QcrGM89YfqcC_PxOHGCMq5ezhucwJd8ci-NHng/edit?usp=sharing"",""ราชบุรี!J65"&amp;"9"")+IMPORTRANGE(""https://docs.google.com/spreadsheets/d/1lufeA2cfFqM-elVq2hznhDzC6Pr7wkJ9ZG_sYNGCMCU/edit?usp=sharing"",""ลพบุรี!J659"")+IMPORTRANGE(""https://docs.google.com/spreadsheets/d/10oOiF7loTyfsTkbd4MpaIm0HQ9SwB7IYHdIUvt-U1Uc/edit?usp=sharing"""&amp;",""สระแก้ว!J659"")+IMPORTRANGE(""https://docs.google.com/spreadsheets/d/1xmPlrr1QbdSIKvl1dWUl9K4PjAfSL9oeMr_37QVzcxc/edit?usp=sharing"",""สระบุรี!J659"")+IMPORTRANGE(""https://docs.google.com/spreadsheets/d/1j51vR6CYVGhABJpv6tkstgok82RLpXieLzW1yOY5rHw/edi"&amp;"t?usp=sharing"",""สิงห์บุรี!J659"")+IMPORTRANGE(""https://docs.google.com/spreadsheets/d/1H1EalTWKUSzO4Z1-1CwzoDUaVffgrThEBe2sl74kKG0/edit?usp=sharing"",""สุพรรณบุรี!J659"")+IMPORTRANGE(""https://docs.google.com/spreadsheets/d/1BmIruG_sIrJLYao_Pdr7zVArWsf"&amp;"oBt2692TMi6x_854/edit?usp=sharing"",""อ่างทอง!J659"")"),0)</f>
        <v>0</v>
      </c>
      <c r="K660" s="87"/>
      <c r="L660" s="87"/>
      <c r="M660" s="87"/>
      <c r="N660" s="752"/>
      <c r="O660" s="87"/>
      <c r="P660" s="87"/>
      <c r="Q660" s="86"/>
      <c r="R660" s="87"/>
      <c r="S660" s="752"/>
      <c r="T660" s="87"/>
      <c r="U660" s="87"/>
    </row>
    <row r="661" spans="1:21" ht="18.75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13wPX838HrBrQMCywv1BsuMkt4PEKTChp52zj44s2izQ/edit?usp=sharing"",""กาญจนบุรี!I660"")+IMPORTRANGE(""https://docs.google.com/spreadsheets/d/1ddFKvqj1W1NEiWytbGlB1zMx_ykJDVtmfEQ-6-lIUBA/edit?usp=sharing"","&amp;"""จันทบุรี!I660"")+IMPORTRANGE(""https://docs.google.com/spreadsheets/d/1T1PQvRODqOBZk8BRht_U031fIS1beLA0Ub2CEytj2q0/edit?usp=sharing"",""ฉะเชิงเทรา!I660"")+IMPORTRANGE(""https://docs.google.com/spreadsheets/d/11tr1B-Bhyr79v2bkwVh5h_fR-PStkgjlZtkrZpYurG0/"&amp;"edit?usp=sharing"",""ชลบุรี!I660"")+IMPORTRANGE(""https://docs.google.com/spreadsheets/d/1hh-FVnSX0vozXhGluamEcS54Dw9_zqW0N7qJUWgJ0Sw/edit?usp=sharing"",""ชัยนาท!I660"")+IMPORTRANGE(""https://docs.google.com/spreadsheets/d/1jkqa6GXxSacMcY1eN8AHjMNJ_7dDXMJ"&amp;"VRLDlaFSOdPM/edit?usp=sharing"",""ตราด!I660"")+IMPORTRANGE(""https://docs.google.com/spreadsheets/d/18hSgUJ3VwClqi_qtULmmW3cLr0oe3OKaSYoKzdpTsYQ/edit?usp=sharing"",""นครนายก!I660"")+IMPORTRANGE(""https://docs.google.com/spreadsheets/d/1YTZo6WM2dQ6Ix6FSdnL"&amp;"5P7uVnVKu40sxZu975tgG10E/edit?usp=sharing"",""นครปฐม!I660"")+IMPORTRANGE(""https://docs.google.com/spreadsheets/d/1OYoGg4WDg5RIzwGeB10padOxJF9E_Vljuvvct_M7RDo/edit?usp=sharing"",""ปทุมธานี!I660"")+IMPORTRANGE(""https://docs.google.com/spreadsheets/d/1GbCI"&amp;"E4D4wk9FUozzqk7SxfDMxDVBwVmI5zcaVUSzKAc/edit?usp=sharing"",""ประจวบคีรีขันธ์!I660"")+IMPORTRANGE(""https://docs.google.com/spreadsheets/d/1vVf6wykvW_lAyu7Yo9L4hUTqHqIeP_qcVuxCtosJEbg/edit?usp=sharing"",""ปราจีนบุรี!I660"")+IMPORTRANGE(""https://docs.googl"&amp;"e.com/spreadsheets/d/1BIDqLLg5jk3v59G8NlR8rk5xfQDKne0sAvZHSj7TI6I/edit?usp=sharing"",""พระนครศรีอยุธยา!I660"")+IMPORTRANGE(""https://docs.google.com/spreadsheets/d/1YXvxf8Yu6_rV4hTBrwMqAcAnv6DfhUxh5emyM3CJp_w/edit?usp=sharing"",""เพชรบุรี!I660"")+IMPORTRA"&amp;"NGE(""https://docs.google.com/spreadsheets/d/19KBlQQs7uwvsao6t2n-KvW3Ax8J8uRRfZPq1zPbXgKc/edit?usp=sharing"",""ระยอง!I660"")+IMPORTRANGE(""https://docs.google.com/spreadsheets/d/1jQ6P4QcrGM89YfqcC_PxOHGCMq5ezhucwJd8ci-NHng/edit?usp=sharing"",""ราชบุรี!I66"&amp;"0"")+IMPORTRANGE(""https://docs.google.com/spreadsheets/d/1lufeA2cfFqM-elVq2hznhDzC6Pr7wkJ9ZG_sYNGCMCU/edit?usp=sharing"",""ลพบุรี!I660"")+IMPORTRANGE(""https://docs.google.com/spreadsheets/d/10oOiF7loTyfsTkbd4MpaIm0HQ9SwB7IYHdIUvt-U1Uc/edit?usp=sharing"""&amp;",""สระแก้ว!I660"")+IMPORTRANGE(""https://docs.google.com/spreadsheets/d/1xmPlrr1QbdSIKvl1dWUl9K4PjAfSL9oeMr_37QVzcxc/edit?usp=sharing"",""สระบุรี!I660"")+IMPORTRANGE(""https://docs.google.com/spreadsheets/d/1j51vR6CYVGhABJpv6tkstgok82RLpXieLzW1yOY5rHw/edi"&amp;"t?usp=sharing"",""สิงห์บุรี!I660"")+IMPORTRANGE(""https://docs.google.com/spreadsheets/d/1H1EalTWKUSzO4Z1-1CwzoDUaVffgrThEBe2sl74kKG0/edit?usp=sharing"",""สุพรรณบุรี!I660"")+IMPORTRANGE(""https://docs.google.com/spreadsheets/d/1BmIruG_sIrJLYao_Pdr7zVArWsf"&amp;"oBt2692TMi6x_854/edit?usp=sharing"",""อ่างทอง!I660"")"),450)</f>
        <v>450</v>
      </c>
      <c r="J661" s="294">
        <f ca="1">IFERROR(__xludf.DUMMYFUNCTION("IMPORTRANGE(""https://docs.google.com/spreadsheets/d/13wPX838HrBrQMCywv1BsuMkt4PEKTChp52zj44s2izQ/edit?usp=sharing"",""กาญจนบุรี!J660"")+IMPORTRANGE(""https://docs.google.com/spreadsheets/d/1ddFKvqj1W1NEiWytbGlB1zMx_ykJDVtmfEQ-6-lIUBA/edit?usp=sharing"","&amp;"""จันทบุรี!J660"")+IMPORTRANGE(""https://docs.google.com/spreadsheets/d/1T1PQvRODqOBZk8BRht_U031fIS1beLA0Ub2CEytj2q0/edit?usp=sharing"",""ฉะเชิงเทรา!J660"")+IMPORTRANGE(""https://docs.google.com/spreadsheets/d/11tr1B-Bhyr79v2bkwVh5h_fR-PStkgjlZtkrZpYurG0/"&amp;"edit?usp=sharing"",""ชลบุรี!J660"")+IMPORTRANGE(""https://docs.google.com/spreadsheets/d/1hh-FVnSX0vozXhGluamEcS54Dw9_zqW0N7qJUWgJ0Sw/edit?usp=sharing"",""ชัยนาท!J660"")+IMPORTRANGE(""https://docs.google.com/spreadsheets/d/1jkqa6GXxSacMcY1eN8AHjMNJ_7dDXMJ"&amp;"VRLDlaFSOdPM/edit?usp=sharing"",""ตราด!J660"")+IMPORTRANGE(""https://docs.google.com/spreadsheets/d/18hSgUJ3VwClqi_qtULmmW3cLr0oe3OKaSYoKzdpTsYQ/edit?usp=sharing"",""นครนายก!J660"")+IMPORTRANGE(""https://docs.google.com/spreadsheets/d/1YTZo6WM2dQ6Ix6FSdnL"&amp;"5P7uVnVKu40sxZu975tgG10E/edit?usp=sharing"",""นครปฐม!J660"")+IMPORTRANGE(""https://docs.google.com/spreadsheets/d/1OYoGg4WDg5RIzwGeB10padOxJF9E_Vljuvvct_M7RDo/edit?usp=sharing"",""ปทุมธานี!J660"")+IMPORTRANGE(""https://docs.google.com/spreadsheets/d/1GbCI"&amp;"E4D4wk9FUozzqk7SxfDMxDVBwVmI5zcaVUSzKAc/edit?usp=sharing"",""ประจวบคีรีขันธ์!J660"")+IMPORTRANGE(""https://docs.google.com/spreadsheets/d/1vVf6wykvW_lAyu7Yo9L4hUTqHqIeP_qcVuxCtosJEbg/edit?usp=sharing"",""ปราจีนบุรี!J660"")+IMPORTRANGE(""https://docs.googl"&amp;"e.com/spreadsheets/d/1BIDqLLg5jk3v59G8NlR8rk5xfQDKne0sAvZHSj7TI6I/edit?usp=sharing"",""พระนครศรีอยุธยา!J660"")+IMPORTRANGE(""https://docs.google.com/spreadsheets/d/1YXvxf8Yu6_rV4hTBrwMqAcAnv6DfhUxh5emyM3CJp_w/edit?usp=sharing"",""เพชรบุรี!J660"")+IMPORTRA"&amp;"NGE(""https://docs.google.com/spreadsheets/d/19KBlQQs7uwvsao6t2n-KvW3Ax8J8uRRfZPq1zPbXgKc/edit?usp=sharing"",""ระยอง!J660"")+IMPORTRANGE(""https://docs.google.com/spreadsheets/d/1jQ6P4QcrGM89YfqcC_PxOHGCMq5ezhucwJd8ci-NHng/edit?usp=sharing"",""ราชบุรี!J66"&amp;"0"")+IMPORTRANGE(""https://docs.google.com/spreadsheets/d/1lufeA2cfFqM-elVq2hznhDzC6Pr7wkJ9ZG_sYNGCMCU/edit?usp=sharing"",""ลพบุรี!J660"")+IMPORTRANGE(""https://docs.google.com/spreadsheets/d/10oOiF7loTyfsTkbd4MpaIm0HQ9SwB7IYHdIUvt-U1Uc/edit?usp=sharing"""&amp;",""สระแก้ว!J660"")+IMPORTRANGE(""https://docs.google.com/spreadsheets/d/1xmPlrr1QbdSIKvl1dWUl9K4PjAfSL9oeMr_37QVzcxc/edit?usp=sharing"",""สระบุรี!J660"")+IMPORTRANGE(""https://docs.google.com/spreadsheets/d/1j51vR6CYVGhABJpv6tkstgok82RLpXieLzW1yOY5rHw/edi"&amp;"t?usp=sharing"",""สิงห์บุรี!J660"")+IMPORTRANGE(""https://docs.google.com/spreadsheets/d/1H1EalTWKUSzO4Z1-1CwzoDUaVffgrThEBe2sl74kKG0/edit?usp=sharing"",""สุพรรณบุรี!J660"")+IMPORTRANGE(""https://docs.google.com/spreadsheets/d/1BmIruG_sIrJLYao_Pdr7zVArWsf"&amp;"oBt2692TMi6x_854/edit?usp=sharing"",""อ่างทอง!J660"")"),0)</f>
        <v>0</v>
      </c>
      <c r="K661" s="87"/>
      <c r="L661" s="87"/>
      <c r="M661" s="87"/>
      <c r="N661" s="752"/>
      <c r="O661" s="87"/>
      <c r="P661" s="87"/>
      <c r="Q661" s="86"/>
      <c r="R661" s="87"/>
      <c r="S661" s="752"/>
      <c r="T661" s="87"/>
      <c r="U661" s="87"/>
    </row>
    <row r="662" spans="1:21" ht="19.5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13wPX838HrBrQMCywv1BsuMkt4PEKTChp52zj44s2izQ/edit?usp=sharing"",""กาญจนบุรี!I661"")+IMPORTRANGE(""https://docs.google.com/spreadsheets/d/1ddFKvqj1W1NEiWytbGlB1zMx_ykJDVtmfEQ-6-lIUBA/edit?usp=sharing"","&amp;"""จันทบุรี!I661"")+IMPORTRANGE(""https://docs.google.com/spreadsheets/d/1T1PQvRODqOBZk8BRht_U031fIS1beLA0Ub2CEytj2q0/edit?usp=sharing"",""ฉะเชิงเทรา!I661"")+IMPORTRANGE(""https://docs.google.com/spreadsheets/d/11tr1B-Bhyr79v2bkwVh5h_fR-PStkgjlZtkrZpYurG0/"&amp;"edit?usp=sharing"",""ชลบุรี!I661"")+IMPORTRANGE(""https://docs.google.com/spreadsheets/d/1hh-FVnSX0vozXhGluamEcS54Dw9_zqW0N7qJUWgJ0Sw/edit?usp=sharing"",""ชัยนาท!I661"")+IMPORTRANGE(""https://docs.google.com/spreadsheets/d/1jkqa6GXxSacMcY1eN8AHjMNJ_7dDXMJ"&amp;"VRLDlaFSOdPM/edit?usp=sharing"",""ตราด!I661"")+IMPORTRANGE(""https://docs.google.com/spreadsheets/d/18hSgUJ3VwClqi_qtULmmW3cLr0oe3OKaSYoKzdpTsYQ/edit?usp=sharing"",""นครนายก!I661"")+IMPORTRANGE(""https://docs.google.com/spreadsheets/d/1YTZo6WM2dQ6Ix6FSdnL"&amp;"5P7uVnVKu40sxZu975tgG10E/edit?usp=sharing"",""นครปฐม!I661"")+IMPORTRANGE(""https://docs.google.com/spreadsheets/d/1OYoGg4WDg5RIzwGeB10padOxJF9E_Vljuvvct_M7RDo/edit?usp=sharing"",""ปทุมธานี!I661"")+IMPORTRANGE(""https://docs.google.com/spreadsheets/d/1GbCI"&amp;"E4D4wk9FUozzqk7SxfDMxDVBwVmI5zcaVUSzKAc/edit?usp=sharing"",""ประจวบคีรีขันธ์!I661"")+IMPORTRANGE(""https://docs.google.com/spreadsheets/d/1vVf6wykvW_lAyu7Yo9L4hUTqHqIeP_qcVuxCtosJEbg/edit?usp=sharing"",""ปราจีนบุรี!I661"")+IMPORTRANGE(""https://docs.googl"&amp;"e.com/spreadsheets/d/1BIDqLLg5jk3v59G8NlR8rk5xfQDKne0sAvZHSj7TI6I/edit?usp=sharing"",""พระนครศรีอยุธยา!I661"")+IMPORTRANGE(""https://docs.google.com/spreadsheets/d/1YXvxf8Yu6_rV4hTBrwMqAcAnv6DfhUxh5emyM3CJp_w/edit?usp=sharing"",""เพชรบุรี!I661"")+IMPORTRA"&amp;"NGE(""https://docs.google.com/spreadsheets/d/19KBlQQs7uwvsao6t2n-KvW3Ax8J8uRRfZPq1zPbXgKc/edit?usp=sharing"",""ระยอง!I661"")+IMPORTRANGE(""https://docs.google.com/spreadsheets/d/1jQ6P4QcrGM89YfqcC_PxOHGCMq5ezhucwJd8ci-NHng/edit?usp=sharing"",""ราชบุรี!I66"&amp;"1"")+IMPORTRANGE(""https://docs.google.com/spreadsheets/d/1lufeA2cfFqM-elVq2hznhDzC6Pr7wkJ9ZG_sYNGCMCU/edit?usp=sharing"",""ลพบุรี!I661"")+IMPORTRANGE(""https://docs.google.com/spreadsheets/d/10oOiF7loTyfsTkbd4MpaIm0HQ9SwB7IYHdIUvt-U1Uc/edit?usp=sharing"""&amp;",""สระแก้ว!I661"")+IMPORTRANGE(""https://docs.google.com/spreadsheets/d/1xmPlrr1QbdSIKvl1dWUl9K4PjAfSL9oeMr_37QVzcxc/edit?usp=sharing"",""สระบุรี!I661"")+IMPORTRANGE(""https://docs.google.com/spreadsheets/d/1j51vR6CYVGhABJpv6tkstgok82RLpXieLzW1yOY5rHw/edi"&amp;"t?usp=sharing"",""สิงห์บุรี!I661"")+IMPORTRANGE(""https://docs.google.com/spreadsheets/d/1H1EalTWKUSzO4Z1-1CwzoDUaVffgrThEBe2sl74kKG0/edit?usp=sharing"",""สุพรรณบุรี!I661"")+IMPORTRANGE(""https://docs.google.com/spreadsheets/d/1BmIruG_sIrJLYao_Pdr7zVArWsf"&amp;"oBt2692TMi6x_854/edit?usp=sharing"",""อ่างทอง!I661"")"),1250)</f>
        <v>1250</v>
      </c>
      <c r="J662" s="622">
        <f ca="1">J668+J671</f>
        <v>314.88</v>
      </c>
      <c r="K662" s="264">
        <f ca="1">IF(I662&gt;0,J662*100/I662,0)</f>
        <v>25.1904</v>
      </c>
      <c r="L662" s="87"/>
      <c r="M662" s="87"/>
      <c r="N662" s="752"/>
      <c r="O662" s="87"/>
      <c r="P662" s="87"/>
      <c r="Q662" s="86"/>
      <c r="R662" s="87"/>
      <c r="S662" s="752"/>
      <c r="T662" s="87"/>
      <c r="U662" s="87"/>
    </row>
    <row r="663" spans="1:21" ht="18.75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f ca="1">IFERROR(__xludf.DUMMYFUNCTION("IMPORTRANGE(""https://docs.google.com/spreadsheets/d/13wPX838HrBrQMCywv1BsuMkt4PEKTChp52zj44s2izQ/edit?usp=sharing"",""กาญจนบุรี!J662"")+IMPORTRANGE(""https://docs.google.com/spreadsheets/d/1ddFKvqj1W1NEiWytbGlB1zMx_ykJDVtmfEQ-6-lIUBA/edit?usp=sharing"","&amp;"""จันทบุรี!J662"")+IMPORTRANGE(""https://docs.google.com/spreadsheets/d/1T1PQvRODqOBZk8BRht_U031fIS1beLA0Ub2CEytj2q0/edit?usp=sharing"",""ฉะเชิงเทรา!J662"")+IMPORTRANGE(""https://docs.google.com/spreadsheets/d/11tr1B-Bhyr79v2bkwVh5h_fR-PStkgjlZtkrZpYurG0/"&amp;"edit?usp=sharing"",""ชลบุรี!J662"")+IMPORTRANGE(""https://docs.google.com/spreadsheets/d/1hh-FVnSX0vozXhGluamEcS54Dw9_zqW0N7qJUWgJ0Sw/edit?usp=sharing"",""ชัยนาท!J662"")+IMPORTRANGE(""https://docs.google.com/spreadsheets/d/1jkqa6GXxSacMcY1eN8AHjMNJ_7dDXMJ"&amp;"VRLDlaFSOdPM/edit?usp=sharing"",""ตราด!J662"")+IMPORTRANGE(""https://docs.google.com/spreadsheets/d/18hSgUJ3VwClqi_qtULmmW3cLr0oe3OKaSYoKzdpTsYQ/edit?usp=sharing"",""นครนายก!J662"")+IMPORTRANGE(""https://docs.google.com/spreadsheets/d/1YTZo6WM2dQ6Ix6FSdnL"&amp;"5P7uVnVKu40sxZu975tgG10E/edit?usp=sharing"",""นครปฐม!J662"")+IMPORTRANGE(""https://docs.google.com/spreadsheets/d/1OYoGg4WDg5RIzwGeB10padOxJF9E_Vljuvvct_M7RDo/edit?usp=sharing"",""ปทุมธานี!J662"")+IMPORTRANGE(""https://docs.google.com/spreadsheets/d/1GbCI"&amp;"E4D4wk9FUozzqk7SxfDMxDVBwVmI5zcaVUSzKAc/edit?usp=sharing"",""ประจวบคีรีขันธ์!J662"")+IMPORTRANGE(""https://docs.google.com/spreadsheets/d/1vVf6wykvW_lAyu7Yo9L4hUTqHqIeP_qcVuxCtosJEbg/edit?usp=sharing"",""ปราจีนบุรี!J662"")+IMPORTRANGE(""https://docs.googl"&amp;"e.com/spreadsheets/d/1BIDqLLg5jk3v59G8NlR8rk5xfQDKne0sAvZHSj7TI6I/edit?usp=sharing"",""พระนครศรีอยุธยา!J662"")+IMPORTRANGE(""https://docs.google.com/spreadsheets/d/1YXvxf8Yu6_rV4hTBrwMqAcAnv6DfhUxh5emyM3CJp_w/edit?usp=sharing"",""เพชรบุรี!J662"")+IMPORTRA"&amp;"NGE(""https://docs.google.com/spreadsheets/d/19KBlQQs7uwvsao6t2n-KvW3Ax8J8uRRfZPq1zPbXgKc/edit?usp=sharing"",""ระยอง!J662"")+IMPORTRANGE(""https://docs.google.com/spreadsheets/d/1jQ6P4QcrGM89YfqcC_PxOHGCMq5ezhucwJd8ci-NHng/edit?usp=sharing"",""ราชบุรี!J66"&amp;"2"")+IMPORTRANGE(""https://docs.google.com/spreadsheets/d/1lufeA2cfFqM-elVq2hznhDzC6Pr7wkJ9ZG_sYNGCMCU/edit?usp=sharing"",""ลพบุรี!J662"")+IMPORTRANGE(""https://docs.google.com/spreadsheets/d/10oOiF7loTyfsTkbd4MpaIm0HQ9SwB7IYHdIUvt-U1Uc/edit?usp=sharing"""&amp;",""สระแก้ว!J662"")+IMPORTRANGE(""https://docs.google.com/spreadsheets/d/1xmPlrr1QbdSIKvl1dWUl9K4PjAfSL9oeMr_37QVzcxc/edit?usp=sharing"",""สระบุรี!J662"")+IMPORTRANGE(""https://docs.google.com/spreadsheets/d/1j51vR6CYVGhABJpv6tkstgok82RLpXieLzW1yOY5rHw/edi"&amp;"t?usp=sharing"",""สิงห์บุรี!J662"")+IMPORTRANGE(""https://docs.google.com/spreadsheets/d/1H1EalTWKUSzO4Z1-1CwzoDUaVffgrThEBe2sl74kKG0/edit?usp=sharing"",""สุพรรณบุรี!J662"")+IMPORTRANGE(""https://docs.google.com/spreadsheets/d/1BmIruG_sIrJLYao_Pdr7zVArWsf"&amp;"oBt2692TMi6x_854/edit?usp=sharing"",""อ่างทอง!J662"")"),0)</f>
        <v>0</v>
      </c>
      <c r="K663" s="87"/>
      <c r="L663" s="752"/>
      <c r="M663" s="87"/>
      <c r="N663" s="752"/>
      <c r="O663" s="87"/>
      <c r="P663" s="87"/>
      <c r="Q663" s="754"/>
      <c r="R663" s="87"/>
      <c r="S663" s="752"/>
      <c r="T663" s="87"/>
      <c r="U663" s="87"/>
    </row>
    <row r="664" spans="1:21" ht="18.75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f ca="1">IFERROR(__xludf.DUMMYFUNCTION("IMPORTRANGE(""https://docs.google.com/spreadsheets/d/13wPX838HrBrQMCywv1BsuMkt4PEKTChp52zj44s2izQ/edit?usp=sharing"",""กาญจนบุรี!J663"")+IMPORTRANGE(""https://docs.google.com/spreadsheets/d/1ddFKvqj1W1NEiWytbGlB1zMx_ykJDVtmfEQ-6-lIUBA/edit?usp=sharing"","&amp;"""จันทบุรี!J663"")+IMPORTRANGE(""https://docs.google.com/spreadsheets/d/1T1PQvRODqOBZk8BRht_U031fIS1beLA0Ub2CEytj2q0/edit?usp=sharing"",""ฉะเชิงเทรา!J663"")+IMPORTRANGE(""https://docs.google.com/spreadsheets/d/11tr1B-Bhyr79v2bkwVh5h_fR-PStkgjlZtkrZpYurG0/"&amp;"edit?usp=sharing"",""ชลบุรี!J663"")+IMPORTRANGE(""https://docs.google.com/spreadsheets/d/1hh-FVnSX0vozXhGluamEcS54Dw9_zqW0N7qJUWgJ0Sw/edit?usp=sharing"",""ชัยนาท!J663"")+IMPORTRANGE(""https://docs.google.com/spreadsheets/d/1jkqa6GXxSacMcY1eN8AHjMNJ_7dDXMJ"&amp;"VRLDlaFSOdPM/edit?usp=sharing"",""ตราด!J663"")+IMPORTRANGE(""https://docs.google.com/spreadsheets/d/18hSgUJ3VwClqi_qtULmmW3cLr0oe3OKaSYoKzdpTsYQ/edit?usp=sharing"",""นครนายก!J663"")+IMPORTRANGE(""https://docs.google.com/spreadsheets/d/1YTZo6WM2dQ6Ix6FSdnL"&amp;"5P7uVnVKu40sxZu975tgG10E/edit?usp=sharing"",""นครปฐม!J663"")+IMPORTRANGE(""https://docs.google.com/spreadsheets/d/1OYoGg4WDg5RIzwGeB10padOxJF9E_Vljuvvct_M7RDo/edit?usp=sharing"",""ปทุมธานี!J663"")+IMPORTRANGE(""https://docs.google.com/spreadsheets/d/1GbCI"&amp;"E4D4wk9FUozzqk7SxfDMxDVBwVmI5zcaVUSzKAc/edit?usp=sharing"",""ประจวบคีรีขันธ์!J663"")+IMPORTRANGE(""https://docs.google.com/spreadsheets/d/1vVf6wykvW_lAyu7Yo9L4hUTqHqIeP_qcVuxCtosJEbg/edit?usp=sharing"",""ปราจีนบุรี!J663"")+IMPORTRANGE(""https://docs.googl"&amp;"e.com/spreadsheets/d/1BIDqLLg5jk3v59G8NlR8rk5xfQDKne0sAvZHSj7TI6I/edit?usp=sharing"",""พระนครศรีอยุธยา!J663"")+IMPORTRANGE(""https://docs.google.com/spreadsheets/d/1YXvxf8Yu6_rV4hTBrwMqAcAnv6DfhUxh5emyM3CJp_w/edit?usp=sharing"",""เพชรบุรี!J663"")+IMPORTRA"&amp;"NGE(""https://docs.google.com/spreadsheets/d/19KBlQQs7uwvsao6t2n-KvW3Ax8J8uRRfZPq1zPbXgKc/edit?usp=sharing"",""ระยอง!J663"")+IMPORTRANGE(""https://docs.google.com/spreadsheets/d/1jQ6P4QcrGM89YfqcC_PxOHGCMq5ezhucwJd8ci-NHng/edit?usp=sharing"",""ราชบุรี!J66"&amp;"3"")+IMPORTRANGE(""https://docs.google.com/spreadsheets/d/1lufeA2cfFqM-elVq2hznhDzC6Pr7wkJ9ZG_sYNGCMCU/edit?usp=sharing"",""ลพบุรี!J663"")+IMPORTRANGE(""https://docs.google.com/spreadsheets/d/10oOiF7loTyfsTkbd4MpaIm0HQ9SwB7IYHdIUvt-U1Uc/edit?usp=sharing"""&amp;",""สระแก้ว!J663"")+IMPORTRANGE(""https://docs.google.com/spreadsheets/d/1xmPlrr1QbdSIKvl1dWUl9K4PjAfSL9oeMr_37QVzcxc/edit?usp=sharing"",""สระบุรี!J663"")+IMPORTRANGE(""https://docs.google.com/spreadsheets/d/1j51vR6CYVGhABJpv6tkstgok82RLpXieLzW1yOY5rHw/edi"&amp;"t?usp=sharing"",""สิงห์บุรี!J663"")+IMPORTRANGE(""https://docs.google.com/spreadsheets/d/1H1EalTWKUSzO4Z1-1CwzoDUaVffgrThEBe2sl74kKG0/edit?usp=sharing"",""สุพรรณบุรี!J663"")+IMPORTRANGE(""https://docs.google.com/spreadsheets/d/1BmIruG_sIrJLYao_Pdr7zVArWsf"&amp;"oBt2692TMi6x_854/edit?usp=sharing"",""อ่างทอง!J663"")"),0)</f>
        <v>0</v>
      </c>
      <c r="K664" s="87"/>
      <c r="L664" s="752"/>
      <c r="M664" s="87"/>
      <c r="N664" s="752"/>
      <c r="O664" s="87"/>
      <c r="P664" s="87"/>
      <c r="Q664" s="754"/>
      <c r="R664" s="87"/>
      <c r="S664" s="752"/>
      <c r="T664" s="87"/>
      <c r="U664" s="87"/>
    </row>
    <row r="665" spans="1:21" ht="18.75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2"/>
      <c r="M665" s="87"/>
      <c r="N665" s="752"/>
      <c r="O665" s="87"/>
      <c r="P665" s="87"/>
      <c r="Q665" s="754"/>
      <c r="R665" s="87"/>
      <c r="S665" s="752"/>
      <c r="T665" s="87"/>
      <c r="U665" s="87"/>
    </row>
    <row r="666" spans="1:21" ht="18.75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f ca="1">IFERROR(__xludf.DUMMYFUNCTION("IMPORTRANGE(""https://docs.google.com/spreadsheets/d/13wPX838HrBrQMCywv1BsuMkt4PEKTChp52zj44s2izQ/edit?usp=sharing"",""กาญจนบุรี!J665"")+IMPORTRANGE(""https://docs.google.com/spreadsheets/d/1ddFKvqj1W1NEiWytbGlB1zMx_ykJDVtmfEQ-6-lIUBA/edit?usp=sharing"","&amp;"""จันทบุรี!J665"")+IMPORTRANGE(""https://docs.google.com/spreadsheets/d/1T1PQvRODqOBZk8BRht_U031fIS1beLA0Ub2CEytj2q0/edit?usp=sharing"",""ฉะเชิงเทรา!J665"")+IMPORTRANGE(""https://docs.google.com/spreadsheets/d/11tr1B-Bhyr79v2bkwVh5h_fR-PStkgjlZtkrZpYurG0/"&amp;"edit?usp=sharing"",""ชลบุรี!J665"")+IMPORTRANGE(""https://docs.google.com/spreadsheets/d/1hh-FVnSX0vozXhGluamEcS54Dw9_zqW0N7qJUWgJ0Sw/edit?usp=sharing"",""ชัยนาท!J665"")+IMPORTRANGE(""https://docs.google.com/spreadsheets/d/1jkqa6GXxSacMcY1eN8AHjMNJ_7dDXMJ"&amp;"VRLDlaFSOdPM/edit?usp=sharing"",""ตราด!J665"")+IMPORTRANGE(""https://docs.google.com/spreadsheets/d/18hSgUJ3VwClqi_qtULmmW3cLr0oe3OKaSYoKzdpTsYQ/edit?usp=sharing"",""นครนายก!J665"")+IMPORTRANGE(""https://docs.google.com/spreadsheets/d/1YTZo6WM2dQ6Ix6FSdnL"&amp;"5P7uVnVKu40sxZu975tgG10E/edit?usp=sharing"",""นครปฐม!J665"")+IMPORTRANGE(""https://docs.google.com/spreadsheets/d/1OYoGg4WDg5RIzwGeB10padOxJF9E_Vljuvvct_M7RDo/edit?usp=sharing"",""ปทุมธานี!J665"")+IMPORTRANGE(""https://docs.google.com/spreadsheets/d/1GbCI"&amp;"E4D4wk9FUozzqk7SxfDMxDVBwVmI5zcaVUSzKAc/edit?usp=sharing"",""ประจวบคีรีขันธ์!J665"")+IMPORTRANGE(""https://docs.google.com/spreadsheets/d/1vVf6wykvW_lAyu7Yo9L4hUTqHqIeP_qcVuxCtosJEbg/edit?usp=sharing"",""ปราจีนบุรี!J665"")+IMPORTRANGE(""https://docs.googl"&amp;"e.com/spreadsheets/d/1BIDqLLg5jk3v59G8NlR8rk5xfQDKne0sAvZHSj7TI6I/edit?usp=sharing"",""พระนครศรีอยุธยา!J665"")+IMPORTRANGE(""https://docs.google.com/spreadsheets/d/1YXvxf8Yu6_rV4hTBrwMqAcAnv6DfhUxh5emyM3CJp_w/edit?usp=sharing"",""เพชรบุรี!J665"")+IMPORTRA"&amp;"NGE(""https://docs.google.com/spreadsheets/d/19KBlQQs7uwvsao6t2n-KvW3Ax8J8uRRfZPq1zPbXgKc/edit?usp=sharing"",""ระยอง!J665"")+IMPORTRANGE(""https://docs.google.com/spreadsheets/d/1jQ6P4QcrGM89YfqcC_PxOHGCMq5ezhucwJd8ci-NHng/edit?usp=sharing"",""ราชบุรี!J66"&amp;"5"")+IMPORTRANGE(""https://docs.google.com/spreadsheets/d/1lufeA2cfFqM-elVq2hznhDzC6Pr7wkJ9ZG_sYNGCMCU/edit?usp=sharing"",""ลพบุรี!J665"")+IMPORTRANGE(""https://docs.google.com/spreadsheets/d/10oOiF7loTyfsTkbd4MpaIm0HQ9SwB7IYHdIUvt-U1Uc/edit?usp=sharing"""&amp;",""สระแก้ว!J665"")+IMPORTRANGE(""https://docs.google.com/spreadsheets/d/1xmPlrr1QbdSIKvl1dWUl9K4PjAfSL9oeMr_37QVzcxc/edit?usp=sharing"",""สระบุรี!J665"")+IMPORTRANGE(""https://docs.google.com/spreadsheets/d/1j51vR6CYVGhABJpv6tkstgok82RLpXieLzW1yOY5rHw/edi"&amp;"t?usp=sharing"",""สิงห์บุรี!J665"")+IMPORTRANGE(""https://docs.google.com/spreadsheets/d/1H1EalTWKUSzO4Z1-1CwzoDUaVffgrThEBe2sl74kKG0/edit?usp=sharing"",""สุพรรณบุรี!J665"")+IMPORTRANGE(""https://docs.google.com/spreadsheets/d/1BmIruG_sIrJLYao_Pdr7zVArWsf"&amp;"oBt2692TMi6x_854/edit?usp=sharing"",""อ่างทอง!J665"")"),21)</f>
        <v>21</v>
      </c>
      <c r="K666" s="87"/>
      <c r="L666" s="752"/>
      <c r="M666" s="87"/>
      <c r="N666" s="752"/>
      <c r="O666" s="87"/>
      <c r="P666" s="87"/>
      <c r="Q666" s="754"/>
      <c r="R666" s="87"/>
      <c r="S666" s="752"/>
      <c r="T666" s="87"/>
      <c r="U666" s="87"/>
    </row>
    <row r="667" spans="1:21" ht="18.75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f ca="1">IFERROR(__xludf.DUMMYFUNCTION("IMPORTRANGE(""https://docs.google.com/spreadsheets/d/13wPX838HrBrQMCywv1BsuMkt4PEKTChp52zj44s2izQ/edit?usp=sharing"",""กาญจนบุรี!J666"")+IMPORTRANGE(""https://docs.google.com/spreadsheets/d/1ddFKvqj1W1NEiWytbGlB1zMx_ykJDVtmfEQ-6-lIUBA/edit?usp=sharing"","&amp;"""จันทบุรี!J666"")+IMPORTRANGE(""https://docs.google.com/spreadsheets/d/1T1PQvRODqOBZk8BRht_U031fIS1beLA0Ub2CEytj2q0/edit?usp=sharing"",""ฉะเชิงเทรา!J666"")+IMPORTRANGE(""https://docs.google.com/spreadsheets/d/11tr1B-Bhyr79v2bkwVh5h_fR-PStkgjlZtkrZpYurG0/"&amp;"edit?usp=sharing"",""ชลบุรี!J666"")+IMPORTRANGE(""https://docs.google.com/spreadsheets/d/1hh-FVnSX0vozXhGluamEcS54Dw9_zqW0N7qJUWgJ0Sw/edit?usp=sharing"",""ชัยนาท!J666"")+IMPORTRANGE(""https://docs.google.com/spreadsheets/d/1jkqa6GXxSacMcY1eN8AHjMNJ_7dDXMJ"&amp;"VRLDlaFSOdPM/edit?usp=sharing"",""ตราด!J666"")+IMPORTRANGE(""https://docs.google.com/spreadsheets/d/18hSgUJ3VwClqi_qtULmmW3cLr0oe3OKaSYoKzdpTsYQ/edit?usp=sharing"",""นครนายก!J666"")+IMPORTRANGE(""https://docs.google.com/spreadsheets/d/1YTZo6WM2dQ6Ix6FSdnL"&amp;"5P7uVnVKu40sxZu975tgG10E/edit?usp=sharing"",""นครปฐม!J666"")+IMPORTRANGE(""https://docs.google.com/spreadsheets/d/1OYoGg4WDg5RIzwGeB10padOxJF9E_Vljuvvct_M7RDo/edit?usp=sharing"",""ปทุมธานี!J666"")+IMPORTRANGE(""https://docs.google.com/spreadsheets/d/1GbCI"&amp;"E4D4wk9FUozzqk7SxfDMxDVBwVmI5zcaVUSzKAc/edit?usp=sharing"",""ประจวบคีรีขันธ์!J666"")+IMPORTRANGE(""https://docs.google.com/spreadsheets/d/1vVf6wykvW_lAyu7Yo9L4hUTqHqIeP_qcVuxCtosJEbg/edit?usp=sharing"",""ปราจีนบุรี!J666"")+IMPORTRANGE(""https://docs.googl"&amp;"e.com/spreadsheets/d/1BIDqLLg5jk3v59G8NlR8rk5xfQDKne0sAvZHSj7TI6I/edit?usp=sharing"",""พระนครศรีอยุธยา!J666"")+IMPORTRANGE(""https://docs.google.com/spreadsheets/d/1YXvxf8Yu6_rV4hTBrwMqAcAnv6DfhUxh5emyM3CJp_w/edit?usp=sharing"",""เพชรบุรี!J666"")+IMPORTRA"&amp;"NGE(""https://docs.google.com/spreadsheets/d/19KBlQQs7uwvsao6t2n-KvW3Ax8J8uRRfZPq1zPbXgKc/edit?usp=sharing"",""ระยอง!J666"")+IMPORTRANGE(""https://docs.google.com/spreadsheets/d/1jQ6P4QcrGM89YfqcC_PxOHGCMq5ezhucwJd8ci-NHng/edit?usp=sharing"",""ราชบุรี!J66"&amp;"6"")+IMPORTRANGE(""https://docs.google.com/spreadsheets/d/1lufeA2cfFqM-elVq2hznhDzC6Pr7wkJ9ZG_sYNGCMCU/edit?usp=sharing"",""ลพบุรี!J666"")+IMPORTRANGE(""https://docs.google.com/spreadsheets/d/10oOiF7loTyfsTkbd4MpaIm0HQ9SwB7IYHdIUvt-U1Uc/edit?usp=sharing"""&amp;",""สระแก้ว!J666"")+IMPORTRANGE(""https://docs.google.com/spreadsheets/d/1xmPlrr1QbdSIKvl1dWUl9K4PjAfSL9oeMr_37QVzcxc/edit?usp=sharing"",""สระบุรี!J666"")+IMPORTRANGE(""https://docs.google.com/spreadsheets/d/1j51vR6CYVGhABJpv6tkstgok82RLpXieLzW1yOY5rHw/edi"&amp;"t?usp=sharing"",""สิงห์บุรี!J666"")+IMPORTRANGE(""https://docs.google.com/spreadsheets/d/1H1EalTWKUSzO4Z1-1CwzoDUaVffgrThEBe2sl74kKG0/edit?usp=sharing"",""สุพรรณบุรี!J666"")+IMPORTRANGE(""https://docs.google.com/spreadsheets/d/1BmIruG_sIrJLYao_Pdr7zVArWsf"&amp;"oBt2692TMi6x_854/edit?usp=sharing"",""อ่างทอง!J666"")"),22)</f>
        <v>22</v>
      </c>
      <c r="K667" s="87"/>
      <c r="L667" s="752"/>
      <c r="M667" s="87"/>
      <c r="N667" s="752"/>
      <c r="O667" s="87"/>
      <c r="P667" s="87"/>
      <c r="Q667" s="754"/>
      <c r="R667" s="87"/>
      <c r="S667" s="752"/>
      <c r="T667" s="87"/>
      <c r="U667" s="87"/>
    </row>
    <row r="668" spans="1:21" ht="18.75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f ca="1">IFERROR(__xludf.DUMMYFUNCTION("IMPORTRANGE(""https://docs.google.com/spreadsheets/d/13wPX838HrBrQMCywv1BsuMkt4PEKTChp52zj44s2izQ/edit?usp=sharing"",""กาญจนบุรี!J667"")+IMPORTRANGE(""https://docs.google.com/spreadsheets/d/1ddFKvqj1W1NEiWytbGlB1zMx_ykJDVtmfEQ-6-lIUBA/edit?usp=sharing"","&amp;"""จันทบุรี!J667"")+IMPORTRANGE(""https://docs.google.com/spreadsheets/d/1T1PQvRODqOBZk8BRht_U031fIS1beLA0Ub2CEytj2q0/edit?usp=sharing"",""ฉะเชิงเทรา!J667"")+IMPORTRANGE(""https://docs.google.com/spreadsheets/d/11tr1B-Bhyr79v2bkwVh5h_fR-PStkgjlZtkrZpYurG0/"&amp;"edit?usp=sharing"",""ชลบุรี!J667"")+IMPORTRANGE(""https://docs.google.com/spreadsheets/d/1hh-FVnSX0vozXhGluamEcS54Dw9_zqW0N7qJUWgJ0Sw/edit?usp=sharing"",""ชัยนาท!J667"")+IMPORTRANGE(""https://docs.google.com/spreadsheets/d/1jkqa6GXxSacMcY1eN8AHjMNJ_7dDXMJ"&amp;"VRLDlaFSOdPM/edit?usp=sharing"",""ตราด!J667"")+IMPORTRANGE(""https://docs.google.com/spreadsheets/d/18hSgUJ3VwClqi_qtULmmW3cLr0oe3OKaSYoKzdpTsYQ/edit?usp=sharing"",""นครนายก!J667"")+IMPORTRANGE(""https://docs.google.com/spreadsheets/d/1YTZo6WM2dQ6Ix6FSdnL"&amp;"5P7uVnVKu40sxZu975tgG10E/edit?usp=sharing"",""นครปฐม!J667"")+IMPORTRANGE(""https://docs.google.com/spreadsheets/d/1OYoGg4WDg5RIzwGeB10padOxJF9E_Vljuvvct_M7RDo/edit?usp=sharing"",""ปทุมธานี!J667"")+IMPORTRANGE(""https://docs.google.com/spreadsheets/d/1GbCI"&amp;"E4D4wk9FUozzqk7SxfDMxDVBwVmI5zcaVUSzKAc/edit?usp=sharing"",""ประจวบคีรีขันธ์!J667"")+IMPORTRANGE(""https://docs.google.com/spreadsheets/d/1vVf6wykvW_lAyu7Yo9L4hUTqHqIeP_qcVuxCtosJEbg/edit?usp=sharing"",""ปราจีนบุรี!J667"")+IMPORTRANGE(""https://docs.googl"&amp;"e.com/spreadsheets/d/1BIDqLLg5jk3v59G8NlR8rk5xfQDKne0sAvZHSj7TI6I/edit?usp=sharing"",""พระนครศรีอยุธยา!J667"")+IMPORTRANGE(""https://docs.google.com/spreadsheets/d/1YXvxf8Yu6_rV4hTBrwMqAcAnv6DfhUxh5emyM3CJp_w/edit?usp=sharing"",""เพชรบุรี!J667"")+IMPORTRA"&amp;"NGE(""https://docs.google.com/spreadsheets/d/19KBlQQs7uwvsao6t2n-KvW3Ax8J8uRRfZPq1zPbXgKc/edit?usp=sharing"",""ระยอง!J667"")+IMPORTRANGE(""https://docs.google.com/spreadsheets/d/1jQ6P4QcrGM89YfqcC_PxOHGCMq5ezhucwJd8ci-NHng/edit?usp=sharing"",""ราชบุรี!J66"&amp;"7"")+IMPORTRANGE(""https://docs.google.com/spreadsheets/d/1lufeA2cfFqM-elVq2hznhDzC6Pr7wkJ9ZG_sYNGCMCU/edit?usp=sharing"",""ลพบุรี!J667"")+IMPORTRANGE(""https://docs.google.com/spreadsheets/d/10oOiF7loTyfsTkbd4MpaIm0HQ9SwB7IYHdIUvt-U1Uc/edit?usp=sharing"""&amp;",""สระแก้ว!J667"")+IMPORTRANGE(""https://docs.google.com/spreadsheets/d/1xmPlrr1QbdSIKvl1dWUl9K4PjAfSL9oeMr_37QVzcxc/edit?usp=sharing"",""สระบุรี!J667"")+IMPORTRANGE(""https://docs.google.com/spreadsheets/d/1j51vR6CYVGhABJpv6tkstgok82RLpXieLzW1yOY5rHw/edi"&amp;"t?usp=sharing"",""สิงห์บุรี!J667"")+IMPORTRANGE(""https://docs.google.com/spreadsheets/d/1H1EalTWKUSzO4Z1-1CwzoDUaVffgrThEBe2sl74kKG0/edit?usp=sharing"",""สุพรรณบุรี!J667"")+IMPORTRANGE(""https://docs.google.com/spreadsheets/d/1BmIruG_sIrJLYao_Pdr7zVArWsf"&amp;"oBt2692TMi6x_854/edit?usp=sharing"",""อ่างทอง!J667"")"),272.88)</f>
        <v>272.88</v>
      </c>
      <c r="K668" s="87"/>
      <c r="L668" s="752"/>
      <c r="M668" s="87"/>
      <c r="N668" s="752"/>
      <c r="O668" s="87"/>
      <c r="P668" s="87"/>
      <c r="Q668" s="754"/>
      <c r="R668" s="87"/>
      <c r="S668" s="752"/>
      <c r="T668" s="87"/>
      <c r="U668" s="87"/>
    </row>
    <row r="669" spans="1:21" ht="18.75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f ca="1">IFERROR(__xludf.DUMMYFUNCTION("IMPORTRANGE(""https://docs.google.com/spreadsheets/d/13wPX838HrBrQMCywv1BsuMkt4PEKTChp52zj44s2izQ/edit?usp=sharing"",""กาญจนบุรี!J668"")+IMPORTRANGE(""https://docs.google.com/spreadsheets/d/1ddFKvqj1W1NEiWytbGlB1zMx_ykJDVtmfEQ-6-lIUBA/edit?usp=sharing"","&amp;"""จันทบุรี!J668"")+IMPORTRANGE(""https://docs.google.com/spreadsheets/d/1T1PQvRODqOBZk8BRht_U031fIS1beLA0Ub2CEytj2q0/edit?usp=sharing"",""ฉะเชิงเทรา!J668"")+IMPORTRANGE(""https://docs.google.com/spreadsheets/d/11tr1B-Bhyr79v2bkwVh5h_fR-PStkgjlZtkrZpYurG0/"&amp;"edit?usp=sharing"",""ชลบุรี!J668"")+IMPORTRANGE(""https://docs.google.com/spreadsheets/d/1hh-FVnSX0vozXhGluamEcS54Dw9_zqW0N7qJUWgJ0Sw/edit?usp=sharing"",""ชัยนาท!J668"")+IMPORTRANGE(""https://docs.google.com/spreadsheets/d/1jkqa6GXxSacMcY1eN8AHjMNJ_7dDXMJ"&amp;"VRLDlaFSOdPM/edit?usp=sharing"",""ตราด!J668"")+IMPORTRANGE(""https://docs.google.com/spreadsheets/d/18hSgUJ3VwClqi_qtULmmW3cLr0oe3OKaSYoKzdpTsYQ/edit?usp=sharing"",""นครนายก!J668"")+IMPORTRANGE(""https://docs.google.com/spreadsheets/d/1YTZo6WM2dQ6Ix6FSdnL"&amp;"5P7uVnVKu40sxZu975tgG10E/edit?usp=sharing"",""นครปฐม!J668"")+IMPORTRANGE(""https://docs.google.com/spreadsheets/d/1OYoGg4WDg5RIzwGeB10padOxJF9E_Vljuvvct_M7RDo/edit?usp=sharing"",""ปทุมธานี!J668"")+IMPORTRANGE(""https://docs.google.com/spreadsheets/d/1GbCI"&amp;"E4D4wk9FUozzqk7SxfDMxDVBwVmI5zcaVUSzKAc/edit?usp=sharing"",""ประจวบคีรีขันธ์!J668"")+IMPORTRANGE(""https://docs.google.com/spreadsheets/d/1vVf6wykvW_lAyu7Yo9L4hUTqHqIeP_qcVuxCtosJEbg/edit?usp=sharing"",""ปราจีนบุรี!J668"")+IMPORTRANGE(""https://docs.googl"&amp;"e.com/spreadsheets/d/1BIDqLLg5jk3v59G8NlR8rk5xfQDKne0sAvZHSj7TI6I/edit?usp=sharing"",""พระนครศรีอยุธยา!J668"")+IMPORTRANGE(""https://docs.google.com/spreadsheets/d/1YXvxf8Yu6_rV4hTBrwMqAcAnv6DfhUxh5emyM3CJp_w/edit?usp=sharing"",""เพชรบุรี!J668"")+IMPORTRA"&amp;"NGE(""https://docs.google.com/spreadsheets/d/19KBlQQs7uwvsao6t2n-KvW3Ax8J8uRRfZPq1zPbXgKc/edit?usp=sharing"",""ระยอง!J668"")+IMPORTRANGE(""https://docs.google.com/spreadsheets/d/1jQ6P4QcrGM89YfqcC_PxOHGCMq5ezhucwJd8ci-NHng/edit?usp=sharing"",""ราชบุรี!J66"&amp;"8"")+IMPORTRANGE(""https://docs.google.com/spreadsheets/d/1lufeA2cfFqM-elVq2hznhDzC6Pr7wkJ9ZG_sYNGCMCU/edit?usp=sharing"",""ลพบุรี!J668"")+IMPORTRANGE(""https://docs.google.com/spreadsheets/d/10oOiF7loTyfsTkbd4MpaIm0HQ9SwB7IYHdIUvt-U1Uc/edit?usp=sharing"""&amp;",""สระแก้ว!J668"")+IMPORTRANGE(""https://docs.google.com/spreadsheets/d/1xmPlrr1QbdSIKvl1dWUl9K4PjAfSL9oeMr_37QVzcxc/edit?usp=sharing"",""สระบุรี!J668"")+IMPORTRANGE(""https://docs.google.com/spreadsheets/d/1j51vR6CYVGhABJpv6tkstgok82RLpXieLzW1yOY5rHw/edi"&amp;"t?usp=sharing"",""สิงห์บุรี!J668"")+IMPORTRANGE(""https://docs.google.com/spreadsheets/d/1H1EalTWKUSzO4Z1-1CwzoDUaVffgrThEBe2sl74kKG0/edit?usp=sharing"",""สุพรรณบุรี!J668"")+IMPORTRANGE(""https://docs.google.com/spreadsheets/d/1BmIruG_sIrJLYao_Pdr7zVArWsf"&amp;"oBt2692TMi6x_854/edit?usp=sharing"",""อ่างทอง!J668"")"),4)</f>
        <v>4</v>
      </c>
      <c r="K669" s="87"/>
      <c r="L669" s="752"/>
      <c r="M669" s="87"/>
      <c r="N669" s="752"/>
      <c r="O669" s="87"/>
      <c r="P669" s="87"/>
      <c r="Q669" s="754"/>
      <c r="R669" s="87"/>
      <c r="S669" s="752"/>
      <c r="T669" s="87"/>
      <c r="U669" s="87"/>
    </row>
    <row r="670" spans="1:21" ht="18.75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f ca="1">IFERROR(__xludf.DUMMYFUNCTION("IMPORTRANGE(""https://docs.google.com/spreadsheets/d/13wPX838HrBrQMCywv1BsuMkt4PEKTChp52zj44s2izQ/edit?usp=sharing"",""กาญจนบุรี!J669"")+IMPORTRANGE(""https://docs.google.com/spreadsheets/d/1ddFKvqj1W1NEiWytbGlB1zMx_ykJDVtmfEQ-6-lIUBA/edit?usp=sharing"","&amp;"""จันทบุรี!J669"")+IMPORTRANGE(""https://docs.google.com/spreadsheets/d/1T1PQvRODqOBZk8BRht_U031fIS1beLA0Ub2CEytj2q0/edit?usp=sharing"",""ฉะเชิงเทรา!J669"")+IMPORTRANGE(""https://docs.google.com/spreadsheets/d/11tr1B-Bhyr79v2bkwVh5h_fR-PStkgjlZtkrZpYurG0/"&amp;"edit?usp=sharing"",""ชลบุรี!J669"")+IMPORTRANGE(""https://docs.google.com/spreadsheets/d/1hh-FVnSX0vozXhGluamEcS54Dw9_zqW0N7qJUWgJ0Sw/edit?usp=sharing"",""ชัยนาท!J669"")+IMPORTRANGE(""https://docs.google.com/spreadsheets/d/1jkqa6GXxSacMcY1eN8AHjMNJ_7dDXMJ"&amp;"VRLDlaFSOdPM/edit?usp=sharing"",""ตราด!J669"")+IMPORTRANGE(""https://docs.google.com/spreadsheets/d/18hSgUJ3VwClqi_qtULmmW3cLr0oe3OKaSYoKzdpTsYQ/edit?usp=sharing"",""นครนายก!J669"")+IMPORTRANGE(""https://docs.google.com/spreadsheets/d/1YTZo6WM2dQ6Ix6FSdnL"&amp;"5P7uVnVKu40sxZu975tgG10E/edit?usp=sharing"",""นครปฐม!J669"")+IMPORTRANGE(""https://docs.google.com/spreadsheets/d/1OYoGg4WDg5RIzwGeB10padOxJF9E_Vljuvvct_M7RDo/edit?usp=sharing"",""ปทุมธานี!J669"")+IMPORTRANGE(""https://docs.google.com/spreadsheets/d/1GbCI"&amp;"E4D4wk9FUozzqk7SxfDMxDVBwVmI5zcaVUSzKAc/edit?usp=sharing"",""ประจวบคีรีขันธ์!J669"")+IMPORTRANGE(""https://docs.google.com/spreadsheets/d/1vVf6wykvW_lAyu7Yo9L4hUTqHqIeP_qcVuxCtosJEbg/edit?usp=sharing"",""ปราจีนบุรี!J669"")+IMPORTRANGE(""https://docs.googl"&amp;"e.com/spreadsheets/d/1BIDqLLg5jk3v59G8NlR8rk5xfQDKne0sAvZHSj7TI6I/edit?usp=sharing"",""พระนครศรีอยุธยา!J669"")+IMPORTRANGE(""https://docs.google.com/spreadsheets/d/1YXvxf8Yu6_rV4hTBrwMqAcAnv6DfhUxh5emyM3CJp_w/edit?usp=sharing"",""เพชรบุรี!J669"")+IMPORTRA"&amp;"NGE(""https://docs.google.com/spreadsheets/d/19KBlQQs7uwvsao6t2n-KvW3Ax8J8uRRfZPq1zPbXgKc/edit?usp=sharing"",""ระยอง!J669"")+IMPORTRANGE(""https://docs.google.com/spreadsheets/d/1jQ6P4QcrGM89YfqcC_PxOHGCMq5ezhucwJd8ci-NHng/edit?usp=sharing"",""ราชบุรี!J66"&amp;"9"")+IMPORTRANGE(""https://docs.google.com/spreadsheets/d/1lufeA2cfFqM-elVq2hznhDzC6Pr7wkJ9ZG_sYNGCMCU/edit?usp=sharing"",""ลพบุรี!J669"")+IMPORTRANGE(""https://docs.google.com/spreadsheets/d/10oOiF7loTyfsTkbd4MpaIm0HQ9SwB7IYHdIUvt-U1Uc/edit?usp=sharing"""&amp;",""สระแก้ว!J669"")+IMPORTRANGE(""https://docs.google.com/spreadsheets/d/1xmPlrr1QbdSIKvl1dWUl9K4PjAfSL9oeMr_37QVzcxc/edit?usp=sharing"",""สระบุรี!J669"")+IMPORTRANGE(""https://docs.google.com/spreadsheets/d/1j51vR6CYVGhABJpv6tkstgok82RLpXieLzW1yOY5rHw/edi"&amp;"t?usp=sharing"",""สิงห์บุรี!J669"")+IMPORTRANGE(""https://docs.google.com/spreadsheets/d/1H1EalTWKUSzO4Z1-1CwzoDUaVffgrThEBe2sl74kKG0/edit?usp=sharing"",""สุพรรณบุรี!J669"")+IMPORTRANGE(""https://docs.google.com/spreadsheets/d/1BmIruG_sIrJLYao_Pdr7zVArWsf"&amp;"oBt2692TMi6x_854/edit?usp=sharing"",""อ่างทอง!J669"")"),4)</f>
        <v>4</v>
      </c>
      <c r="K670" s="87"/>
      <c r="L670" s="752"/>
      <c r="M670" s="87"/>
      <c r="N670" s="752"/>
      <c r="O670" s="87"/>
      <c r="P670" s="87"/>
      <c r="Q670" s="754"/>
      <c r="R670" s="87"/>
      <c r="S670" s="752"/>
      <c r="T670" s="87"/>
      <c r="U670" s="87"/>
    </row>
    <row r="671" spans="1:21" ht="18.75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f ca="1">IFERROR(__xludf.DUMMYFUNCTION("IMPORTRANGE(""https://docs.google.com/spreadsheets/d/13wPX838HrBrQMCywv1BsuMkt4PEKTChp52zj44s2izQ/edit?usp=sharing"",""กาญจนบุรี!J670"")+IMPORTRANGE(""https://docs.google.com/spreadsheets/d/1ddFKvqj1W1NEiWytbGlB1zMx_ykJDVtmfEQ-6-lIUBA/edit?usp=sharing"","&amp;"""จันทบุรี!J670"")+IMPORTRANGE(""https://docs.google.com/spreadsheets/d/1T1PQvRODqOBZk8BRht_U031fIS1beLA0Ub2CEytj2q0/edit?usp=sharing"",""ฉะเชิงเทรา!J670"")+IMPORTRANGE(""https://docs.google.com/spreadsheets/d/11tr1B-Bhyr79v2bkwVh5h_fR-PStkgjlZtkrZpYurG0/"&amp;"edit?usp=sharing"",""ชลบุรี!J670"")+IMPORTRANGE(""https://docs.google.com/spreadsheets/d/1hh-FVnSX0vozXhGluamEcS54Dw9_zqW0N7qJUWgJ0Sw/edit?usp=sharing"",""ชัยนาท!J670"")+IMPORTRANGE(""https://docs.google.com/spreadsheets/d/1jkqa6GXxSacMcY1eN8AHjMNJ_7dDXMJ"&amp;"VRLDlaFSOdPM/edit?usp=sharing"",""ตราด!J670"")+IMPORTRANGE(""https://docs.google.com/spreadsheets/d/18hSgUJ3VwClqi_qtULmmW3cLr0oe3OKaSYoKzdpTsYQ/edit?usp=sharing"",""นครนายก!J670"")+IMPORTRANGE(""https://docs.google.com/spreadsheets/d/1YTZo6WM2dQ6Ix6FSdnL"&amp;"5P7uVnVKu40sxZu975tgG10E/edit?usp=sharing"",""นครปฐม!J670"")+IMPORTRANGE(""https://docs.google.com/spreadsheets/d/1OYoGg4WDg5RIzwGeB10padOxJF9E_Vljuvvct_M7RDo/edit?usp=sharing"",""ปทุมธานี!J670"")+IMPORTRANGE(""https://docs.google.com/spreadsheets/d/1GbCI"&amp;"E4D4wk9FUozzqk7SxfDMxDVBwVmI5zcaVUSzKAc/edit?usp=sharing"",""ประจวบคีรีขันธ์!J670"")+IMPORTRANGE(""https://docs.google.com/spreadsheets/d/1vVf6wykvW_lAyu7Yo9L4hUTqHqIeP_qcVuxCtosJEbg/edit?usp=sharing"",""ปราจีนบุรี!J670"")+IMPORTRANGE(""https://docs.googl"&amp;"e.com/spreadsheets/d/1BIDqLLg5jk3v59G8NlR8rk5xfQDKne0sAvZHSj7TI6I/edit?usp=sharing"",""พระนครศรีอยุธยา!J670"")+IMPORTRANGE(""https://docs.google.com/spreadsheets/d/1YXvxf8Yu6_rV4hTBrwMqAcAnv6DfhUxh5emyM3CJp_w/edit?usp=sharing"",""เพชรบุรี!J670"")+IMPORTRA"&amp;"NGE(""https://docs.google.com/spreadsheets/d/19KBlQQs7uwvsao6t2n-KvW3Ax8J8uRRfZPq1zPbXgKc/edit?usp=sharing"",""ระยอง!J670"")+IMPORTRANGE(""https://docs.google.com/spreadsheets/d/1jQ6P4QcrGM89YfqcC_PxOHGCMq5ezhucwJd8ci-NHng/edit?usp=sharing"",""ราชบุรี!J67"&amp;"0"")+IMPORTRANGE(""https://docs.google.com/spreadsheets/d/1lufeA2cfFqM-elVq2hznhDzC6Pr7wkJ9ZG_sYNGCMCU/edit?usp=sharing"",""ลพบุรี!J670"")+IMPORTRANGE(""https://docs.google.com/spreadsheets/d/10oOiF7loTyfsTkbd4MpaIm0HQ9SwB7IYHdIUvt-U1Uc/edit?usp=sharing"""&amp;",""สระแก้ว!J670"")+IMPORTRANGE(""https://docs.google.com/spreadsheets/d/1xmPlrr1QbdSIKvl1dWUl9K4PjAfSL9oeMr_37QVzcxc/edit?usp=sharing"",""สระบุรี!J670"")+IMPORTRANGE(""https://docs.google.com/spreadsheets/d/1j51vR6CYVGhABJpv6tkstgok82RLpXieLzW1yOY5rHw/edi"&amp;"t?usp=sharing"",""สิงห์บุรี!J670"")+IMPORTRANGE(""https://docs.google.com/spreadsheets/d/1H1EalTWKUSzO4Z1-1CwzoDUaVffgrThEBe2sl74kKG0/edit?usp=sharing"",""สุพรรณบุรี!J670"")+IMPORTRANGE(""https://docs.google.com/spreadsheets/d/1BmIruG_sIrJLYao_Pdr7zVArWsf"&amp;"oBt2692TMi6x_854/edit?usp=sharing"",""อ่างทอง!J670"")"),42)</f>
        <v>42</v>
      </c>
      <c r="K671" s="87"/>
      <c r="L671" s="752"/>
      <c r="M671" s="87"/>
      <c r="N671" s="752"/>
      <c r="O671" s="87"/>
      <c r="P671" s="87"/>
      <c r="Q671" s="754"/>
      <c r="R671" s="87"/>
      <c r="S671" s="752"/>
      <c r="T671" s="87"/>
      <c r="U671" s="87"/>
    </row>
    <row r="672" spans="1:21" ht="18.75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13wPX838HrBrQMCywv1BsuMkt4PEKTChp52zj44s2izQ/edit?usp=sharing"",""กาญจนบุรี!J671"")+IMPORTRANGE(""https://docs.google.com/spreadsheets/d/1ddFKvqj1W1NEiWytbGlB1zMx_ykJDVtmfEQ-6-lIUBA/edit?usp=sharing"","&amp;"""จันทบุรี!J671"")+IMPORTRANGE(""https://docs.google.com/spreadsheets/d/1T1PQvRODqOBZk8BRht_U031fIS1beLA0Ub2CEytj2q0/edit?usp=sharing"",""ฉะเชิงเทรา!J671"")+IMPORTRANGE(""https://docs.google.com/spreadsheets/d/11tr1B-Bhyr79v2bkwVh5h_fR-PStkgjlZtkrZpYurG0/"&amp;"edit?usp=sharing"",""ชลบุรี!J671"")+IMPORTRANGE(""https://docs.google.com/spreadsheets/d/1hh-FVnSX0vozXhGluamEcS54Dw9_zqW0N7qJUWgJ0Sw/edit?usp=sharing"",""ชัยนาท!J671"")+IMPORTRANGE(""https://docs.google.com/spreadsheets/d/1jkqa6GXxSacMcY1eN8AHjMNJ_7dDXMJ"&amp;"VRLDlaFSOdPM/edit?usp=sharing"",""ตราด!J671"")+IMPORTRANGE(""https://docs.google.com/spreadsheets/d/18hSgUJ3VwClqi_qtULmmW3cLr0oe3OKaSYoKzdpTsYQ/edit?usp=sharing"",""นครนายก!J671"")+IMPORTRANGE(""https://docs.google.com/spreadsheets/d/1YTZo6WM2dQ6Ix6FSdnL"&amp;"5P7uVnVKu40sxZu975tgG10E/edit?usp=sharing"",""นครปฐม!J671"")+IMPORTRANGE(""https://docs.google.com/spreadsheets/d/1OYoGg4WDg5RIzwGeB10padOxJF9E_Vljuvvct_M7RDo/edit?usp=sharing"",""ปทุมธานี!J671"")+IMPORTRANGE(""https://docs.google.com/spreadsheets/d/1GbCI"&amp;"E4D4wk9FUozzqk7SxfDMxDVBwVmI5zcaVUSzKAc/edit?usp=sharing"",""ประจวบคีรีขันธ์!J671"")+IMPORTRANGE(""https://docs.google.com/spreadsheets/d/1vVf6wykvW_lAyu7Yo9L4hUTqHqIeP_qcVuxCtosJEbg/edit?usp=sharing"",""ปราจีนบุรี!J671"")+IMPORTRANGE(""https://docs.googl"&amp;"e.com/spreadsheets/d/1BIDqLLg5jk3v59G8NlR8rk5xfQDKne0sAvZHSj7TI6I/edit?usp=sharing"",""พระนครศรีอยุธยา!J671"")+IMPORTRANGE(""https://docs.google.com/spreadsheets/d/1YXvxf8Yu6_rV4hTBrwMqAcAnv6DfhUxh5emyM3CJp_w/edit?usp=sharing"",""เพชรบุรี!J671"")+IMPORTRA"&amp;"NGE(""https://docs.google.com/spreadsheets/d/19KBlQQs7uwvsao6t2n-KvW3Ax8J8uRRfZPq1zPbXgKc/edit?usp=sharing"",""ระยอง!J671"")+IMPORTRANGE(""https://docs.google.com/spreadsheets/d/1jQ6P4QcrGM89YfqcC_PxOHGCMq5ezhucwJd8ci-NHng/edit?usp=sharing"",""ราชบุรี!J67"&amp;"1"")+IMPORTRANGE(""https://docs.google.com/spreadsheets/d/1lufeA2cfFqM-elVq2hznhDzC6Pr7wkJ9ZG_sYNGCMCU/edit?usp=sharing"",""ลพบุรี!J671"")+IMPORTRANGE(""https://docs.google.com/spreadsheets/d/10oOiF7loTyfsTkbd4MpaIm0HQ9SwB7IYHdIUvt-U1Uc/edit?usp=sharing"""&amp;",""สระแก้ว!J671"")+IMPORTRANGE(""https://docs.google.com/spreadsheets/d/1xmPlrr1QbdSIKvl1dWUl9K4PjAfSL9oeMr_37QVzcxc/edit?usp=sharing"",""สระบุรี!J671"")+IMPORTRANGE(""https://docs.google.com/spreadsheets/d/1j51vR6CYVGhABJpv6tkstgok82RLpXieLzW1yOY5rHw/edi"&amp;"t?usp=sharing"",""สิงห์บุรี!J671"")+IMPORTRANGE(""https://docs.google.com/spreadsheets/d/1H1EalTWKUSzO4Z1-1CwzoDUaVffgrThEBe2sl74kKG0/edit?usp=sharing"",""สุพรรณบุรี!J671"")+IMPORTRANGE(""https://docs.google.com/spreadsheets/d/1BmIruG_sIrJLYao_Pdr7zVArWsf"&amp;"oBt2692TMi6x_854/edit?usp=sharing"",""อ่างทอง!J671"")"),35)</f>
        <v>35</v>
      </c>
      <c r="K672" s="87"/>
      <c r="L672" s="87"/>
      <c r="M672" s="87"/>
      <c r="N672" s="752"/>
      <c r="O672" s="87"/>
      <c r="P672" s="87"/>
      <c r="Q672" s="86"/>
      <c r="R672" s="87"/>
      <c r="S672" s="752"/>
      <c r="T672" s="87"/>
      <c r="U672" s="87"/>
    </row>
    <row r="673" spans="1:21" ht="18.75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13wPX838HrBrQMCywv1BsuMkt4PEKTChp52zj44s2izQ/edit?usp=sharing"",""กาญจนบุรี!J672"")+IMPORTRANGE(""https://docs.google.com/spreadsheets/d/1ddFKvqj1W1NEiWytbGlB1zMx_ykJDVtmfEQ-6-lIUBA/edit?usp=sharing"","&amp;"""จันทบุรี!J672"")+IMPORTRANGE(""https://docs.google.com/spreadsheets/d/1T1PQvRODqOBZk8BRht_U031fIS1beLA0Ub2CEytj2q0/edit?usp=sharing"",""ฉะเชิงเทรา!J672"")+IMPORTRANGE(""https://docs.google.com/spreadsheets/d/11tr1B-Bhyr79v2bkwVh5h_fR-PStkgjlZtkrZpYurG0/"&amp;"edit?usp=sharing"",""ชลบุรี!J672"")+IMPORTRANGE(""https://docs.google.com/spreadsheets/d/1hh-FVnSX0vozXhGluamEcS54Dw9_zqW0N7qJUWgJ0Sw/edit?usp=sharing"",""ชัยนาท!J672"")+IMPORTRANGE(""https://docs.google.com/spreadsheets/d/1jkqa6GXxSacMcY1eN8AHjMNJ_7dDXMJ"&amp;"VRLDlaFSOdPM/edit?usp=sharing"",""ตราด!J672"")+IMPORTRANGE(""https://docs.google.com/spreadsheets/d/18hSgUJ3VwClqi_qtULmmW3cLr0oe3OKaSYoKzdpTsYQ/edit?usp=sharing"",""นครนายก!J672"")+IMPORTRANGE(""https://docs.google.com/spreadsheets/d/1YTZo6WM2dQ6Ix6FSdnL"&amp;"5P7uVnVKu40sxZu975tgG10E/edit?usp=sharing"",""นครปฐม!J672"")+IMPORTRANGE(""https://docs.google.com/spreadsheets/d/1OYoGg4WDg5RIzwGeB10padOxJF9E_Vljuvvct_M7RDo/edit?usp=sharing"",""ปทุมธานี!J672"")+IMPORTRANGE(""https://docs.google.com/spreadsheets/d/1GbCI"&amp;"E4D4wk9FUozzqk7SxfDMxDVBwVmI5zcaVUSzKAc/edit?usp=sharing"",""ประจวบคีรีขันธ์!J672"")+IMPORTRANGE(""https://docs.google.com/spreadsheets/d/1vVf6wykvW_lAyu7Yo9L4hUTqHqIeP_qcVuxCtosJEbg/edit?usp=sharing"",""ปราจีนบุรี!J672"")+IMPORTRANGE(""https://docs.googl"&amp;"e.com/spreadsheets/d/1BIDqLLg5jk3v59G8NlR8rk5xfQDKne0sAvZHSj7TI6I/edit?usp=sharing"",""พระนครศรีอยุธยา!J672"")+IMPORTRANGE(""https://docs.google.com/spreadsheets/d/1YXvxf8Yu6_rV4hTBrwMqAcAnv6DfhUxh5emyM3CJp_w/edit?usp=sharing"",""เพชรบุรี!J672"")+IMPORTRA"&amp;"NGE(""https://docs.google.com/spreadsheets/d/19KBlQQs7uwvsao6t2n-KvW3Ax8J8uRRfZPq1zPbXgKc/edit?usp=sharing"",""ระยอง!J672"")+IMPORTRANGE(""https://docs.google.com/spreadsheets/d/1jQ6P4QcrGM89YfqcC_PxOHGCMq5ezhucwJd8ci-NHng/edit?usp=sharing"",""ราชบุรี!J67"&amp;"2"")+IMPORTRANGE(""https://docs.google.com/spreadsheets/d/1lufeA2cfFqM-elVq2hznhDzC6Pr7wkJ9ZG_sYNGCMCU/edit?usp=sharing"",""ลพบุรี!J672"")+IMPORTRANGE(""https://docs.google.com/spreadsheets/d/10oOiF7loTyfsTkbd4MpaIm0HQ9SwB7IYHdIUvt-U1Uc/edit?usp=sharing"""&amp;",""สระแก้ว!J672"")+IMPORTRANGE(""https://docs.google.com/spreadsheets/d/1xmPlrr1QbdSIKvl1dWUl9K4PjAfSL9oeMr_37QVzcxc/edit?usp=sharing"",""สระบุรี!J672"")+IMPORTRANGE(""https://docs.google.com/spreadsheets/d/1j51vR6CYVGhABJpv6tkstgok82RLpXieLzW1yOY5rHw/edi"&amp;"t?usp=sharing"",""สิงห์บุรี!J672"")+IMPORTRANGE(""https://docs.google.com/spreadsheets/d/1H1EalTWKUSzO4Z1-1CwzoDUaVffgrThEBe2sl74kKG0/edit?usp=sharing"",""สุพรรณบุรี!J672"")+IMPORTRANGE(""https://docs.google.com/spreadsheets/d/1BmIruG_sIrJLYao_Pdr7zVArWsf"&amp;"oBt2692TMi6x_854/edit?usp=sharing"",""อ่างทอง!J672"")"),40)</f>
        <v>40</v>
      </c>
      <c r="K673" s="87"/>
      <c r="L673" s="752"/>
      <c r="M673" s="87"/>
      <c r="N673" s="752"/>
      <c r="O673" s="87"/>
      <c r="P673" s="87"/>
      <c r="Q673" s="754"/>
      <c r="R673" s="87"/>
      <c r="S673" s="752"/>
      <c r="T673" s="87"/>
      <c r="U673" s="87"/>
    </row>
    <row r="674" spans="1:21" ht="18.75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13wPX838HrBrQMCywv1BsuMkt4PEKTChp52zj44s2izQ/edit?usp=sharing"",""กาญจนบุรี!I673"")+IMPORTRANGE(""https://docs.google.com/spreadsheets/d/1ddFKvqj1W1NEiWytbGlB1zMx_ykJDVtmfEQ-6-lIUBA/edit?usp=sharing"","&amp;"""จันทบุรี!I673"")+IMPORTRANGE(""https://docs.google.com/spreadsheets/d/1T1PQvRODqOBZk8BRht_U031fIS1beLA0Ub2CEytj2q0/edit?usp=sharing"",""ฉะเชิงเทรา!I673"")+IMPORTRANGE(""https://docs.google.com/spreadsheets/d/11tr1B-Bhyr79v2bkwVh5h_fR-PStkgjlZtkrZpYurG0/"&amp;"edit?usp=sharing"",""ชลบุรี!I673"")+IMPORTRANGE(""https://docs.google.com/spreadsheets/d/1hh-FVnSX0vozXhGluamEcS54Dw9_zqW0N7qJUWgJ0Sw/edit?usp=sharing"",""ชัยนาท!I673"")+IMPORTRANGE(""https://docs.google.com/spreadsheets/d/1jkqa6GXxSacMcY1eN8AHjMNJ_7dDXMJ"&amp;"VRLDlaFSOdPM/edit?usp=sharing"",""ตราด!I673"")+IMPORTRANGE(""https://docs.google.com/spreadsheets/d/18hSgUJ3VwClqi_qtULmmW3cLr0oe3OKaSYoKzdpTsYQ/edit?usp=sharing"",""นครนายก!I673"")+IMPORTRANGE(""https://docs.google.com/spreadsheets/d/1YTZo6WM2dQ6Ix6FSdnL"&amp;"5P7uVnVKu40sxZu975tgG10E/edit?usp=sharing"",""นครปฐม!I673"")+IMPORTRANGE(""https://docs.google.com/spreadsheets/d/1OYoGg4WDg5RIzwGeB10padOxJF9E_Vljuvvct_M7RDo/edit?usp=sharing"",""ปทุมธานี!I673"")+IMPORTRANGE(""https://docs.google.com/spreadsheets/d/1GbCI"&amp;"E4D4wk9FUozzqk7SxfDMxDVBwVmI5zcaVUSzKAc/edit?usp=sharing"",""ประจวบคีรีขันธ์!I673"")+IMPORTRANGE(""https://docs.google.com/spreadsheets/d/1vVf6wykvW_lAyu7Yo9L4hUTqHqIeP_qcVuxCtosJEbg/edit?usp=sharing"",""ปราจีนบุรี!I673"")+IMPORTRANGE(""https://docs.googl"&amp;"e.com/spreadsheets/d/1BIDqLLg5jk3v59G8NlR8rk5xfQDKne0sAvZHSj7TI6I/edit?usp=sharing"",""พระนครศรีอยุธยา!I673"")+IMPORTRANGE(""https://docs.google.com/spreadsheets/d/1YXvxf8Yu6_rV4hTBrwMqAcAnv6DfhUxh5emyM3CJp_w/edit?usp=sharing"",""เพชรบุรี!I673"")+IMPORTRA"&amp;"NGE(""https://docs.google.com/spreadsheets/d/19KBlQQs7uwvsao6t2n-KvW3Ax8J8uRRfZPq1zPbXgKc/edit?usp=sharing"",""ระยอง!I673"")+IMPORTRANGE(""https://docs.google.com/spreadsheets/d/1jQ6P4QcrGM89YfqcC_PxOHGCMq5ezhucwJd8ci-NHng/edit?usp=sharing"",""ราชบุรี!I67"&amp;"3"")+IMPORTRANGE(""https://docs.google.com/spreadsheets/d/1lufeA2cfFqM-elVq2hznhDzC6Pr7wkJ9ZG_sYNGCMCU/edit?usp=sharing"",""ลพบุรี!I673"")+IMPORTRANGE(""https://docs.google.com/spreadsheets/d/10oOiF7loTyfsTkbd4MpaIm0HQ9SwB7IYHdIUvt-U1Uc/edit?usp=sharing"""&amp;",""สระแก้ว!I673"")+IMPORTRANGE(""https://docs.google.com/spreadsheets/d/1xmPlrr1QbdSIKvl1dWUl9K4PjAfSL9oeMr_37QVzcxc/edit?usp=sharing"",""สระบุรี!I673"")+IMPORTRANGE(""https://docs.google.com/spreadsheets/d/1j51vR6CYVGhABJpv6tkstgok82RLpXieLzW1yOY5rHw/edi"&amp;"t?usp=sharing"",""สิงห์บุรี!I673"")+IMPORTRANGE(""https://docs.google.com/spreadsheets/d/1H1EalTWKUSzO4Z1-1CwzoDUaVffgrThEBe2sl74kKG0/edit?usp=sharing"",""สุพรรณบุรี!I673"")+IMPORTRANGE(""https://docs.google.com/spreadsheets/d/1BmIruG_sIrJLYao_Pdr7zVArWsf"&amp;"oBt2692TMi6x_854/edit?usp=sharing"",""อ่างทอง!I673"")"),2046)</f>
        <v>2046</v>
      </c>
      <c r="J674" s="293">
        <f ca="1">IFERROR(__xludf.DUMMYFUNCTION("IMPORTRANGE(""https://docs.google.com/spreadsheets/d/13wPX838HrBrQMCywv1BsuMkt4PEKTChp52zj44s2izQ/edit?usp=sharing"",""กาญจนบุรี!J673"")+IMPORTRANGE(""https://docs.google.com/spreadsheets/d/1ddFKvqj1W1NEiWytbGlB1zMx_ykJDVtmfEQ-6-lIUBA/edit?usp=sharing"","&amp;"""จันทบุรี!J673"")+IMPORTRANGE(""https://docs.google.com/spreadsheets/d/1T1PQvRODqOBZk8BRht_U031fIS1beLA0Ub2CEytj2q0/edit?usp=sharing"",""ฉะเชิงเทรา!J673"")+IMPORTRANGE(""https://docs.google.com/spreadsheets/d/11tr1B-Bhyr79v2bkwVh5h_fR-PStkgjlZtkrZpYurG0/"&amp;"edit?usp=sharing"",""ชลบุรี!J673"")+IMPORTRANGE(""https://docs.google.com/spreadsheets/d/1hh-FVnSX0vozXhGluamEcS54Dw9_zqW0N7qJUWgJ0Sw/edit?usp=sharing"",""ชัยนาท!J673"")+IMPORTRANGE(""https://docs.google.com/spreadsheets/d/1jkqa6GXxSacMcY1eN8AHjMNJ_7dDXMJ"&amp;"VRLDlaFSOdPM/edit?usp=sharing"",""ตราด!J673"")+IMPORTRANGE(""https://docs.google.com/spreadsheets/d/18hSgUJ3VwClqi_qtULmmW3cLr0oe3OKaSYoKzdpTsYQ/edit?usp=sharing"",""นครนายก!J673"")+IMPORTRANGE(""https://docs.google.com/spreadsheets/d/1YTZo6WM2dQ6Ix6FSdnL"&amp;"5P7uVnVKu40sxZu975tgG10E/edit?usp=sharing"",""นครปฐม!J673"")+IMPORTRANGE(""https://docs.google.com/spreadsheets/d/1OYoGg4WDg5RIzwGeB10padOxJF9E_Vljuvvct_M7RDo/edit?usp=sharing"",""ปทุมธานี!J673"")+IMPORTRANGE(""https://docs.google.com/spreadsheets/d/1GbCI"&amp;"E4D4wk9FUozzqk7SxfDMxDVBwVmI5zcaVUSzKAc/edit?usp=sharing"",""ประจวบคีรีขันธ์!J673"")+IMPORTRANGE(""https://docs.google.com/spreadsheets/d/1vVf6wykvW_lAyu7Yo9L4hUTqHqIeP_qcVuxCtosJEbg/edit?usp=sharing"",""ปราจีนบุรี!J673"")+IMPORTRANGE(""https://docs.googl"&amp;"e.com/spreadsheets/d/1BIDqLLg5jk3v59G8NlR8rk5xfQDKne0sAvZHSj7TI6I/edit?usp=sharing"",""พระนครศรีอยุธยา!J673"")+IMPORTRANGE(""https://docs.google.com/spreadsheets/d/1YXvxf8Yu6_rV4hTBrwMqAcAnv6DfhUxh5emyM3CJp_w/edit?usp=sharing"",""เพชรบุรี!J673"")+IMPORTRA"&amp;"NGE(""https://docs.google.com/spreadsheets/d/19KBlQQs7uwvsao6t2n-KvW3Ax8J8uRRfZPq1zPbXgKc/edit?usp=sharing"",""ระยอง!J673"")+IMPORTRANGE(""https://docs.google.com/spreadsheets/d/1jQ6P4QcrGM89YfqcC_PxOHGCMq5ezhucwJd8ci-NHng/edit?usp=sharing"",""ราชบุรี!J67"&amp;"3"")+IMPORTRANGE(""https://docs.google.com/spreadsheets/d/1lufeA2cfFqM-elVq2hznhDzC6Pr7wkJ9ZG_sYNGCMCU/edit?usp=sharing"",""ลพบุรี!J673"")+IMPORTRANGE(""https://docs.google.com/spreadsheets/d/10oOiF7loTyfsTkbd4MpaIm0HQ9SwB7IYHdIUvt-U1Uc/edit?usp=sharing"""&amp;",""สระแก้ว!J673"")+IMPORTRANGE(""https://docs.google.com/spreadsheets/d/1xmPlrr1QbdSIKvl1dWUl9K4PjAfSL9oeMr_37QVzcxc/edit?usp=sharing"",""สระบุรี!J673"")+IMPORTRANGE(""https://docs.google.com/spreadsheets/d/1j51vR6CYVGhABJpv6tkstgok82RLpXieLzW1yOY5rHw/edi"&amp;"t?usp=sharing"",""สิงห์บุรี!J673"")+IMPORTRANGE(""https://docs.google.com/spreadsheets/d/1H1EalTWKUSzO4Z1-1CwzoDUaVffgrThEBe2sl74kKG0/edit?usp=sharing"",""สุพรรณบุรี!J673"")+IMPORTRANGE(""https://docs.google.com/spreadsheets/d/1BmIruG_sIrJLYao_Pdr7zVArWsf"&amp;"oBt2692TMi6x_854/edit?usp=sharing"",""อ่างทอง!J673"")"),281.16)</f>
        <v>281.16000000000003</v>
      </c>
      <c r="K674" s="74">
        <f t="shared" ref="K674:K677" ca="1" si="460">IF(I674&gt;0,J674*100/I674,0)</f>
        <v>13.74193548387097</v>
      </c>
      <c r="L674" s="752"/>
      <c r="M674" s="87"/>
      <c r="N674" s="752"/>
      <c r="O674" s="87"/>
      <c r="P674" s="87"/>
      <c r="Q674" s="754"/>
      <c r="R674" s="87"/>
      <c r="S674" s="752"/>
      <c r="T674" s="87"/>
      <c r="U674" s="87"/>
    </row>
    <row r="675" spans="1:21" ht="19.5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13wPX838HrBrQMCywv1BsuMkt4PEKTChp52zj44s2izQ/edit?usp=sharing"",""กาญจนบุรี!I674"")+IMPORTRANGE(""https://docs.google.com/spreadsheets/d/1ddFKvqj1W1NEiWytbGlB1zMx_ykJDVtmfEQ-6-lIUBA/edit?usp=sharing"","&amp;"""จันทบุรี!I674"")+IMPORTRANGE(""https://docs.google.com/spreadsheets/d/1T1PQvRODqOBZk8BRht_U031fIS1beLA0Ub2CEytj2q0/edit?usp=sharing"",""ฉะเชิงเทรา!I674"")+IMPORTRANGE(""https://docs.google.com/spreadsheets/d/11tr1B-Bhyr79v2bkwVh5h_fR-PStkgjlZtkrZpYurG0/"&amp;"edit?usp=sharing"",""ชลบุรี!I674"")+IMPORTRANGE(""https://docs.google.com/spreadsheets/d/1hh-FVnSX0vozXhGluamEcS54Dw9_zqW0N7qJUWgJ0Sw/edit?usp=sharing"",""ชัยนาท!I674"")+IMPORTRANGE(""https://docs.google.com/spreadsheets/d/1jkqa6GXxSacMcY1eN8AHjMNJ_7dDXMJ"&amp;"VRLDlaFSOdPM/edit?usp=sharing"",""ตราด!I674"")+IMPORTRANGE(""https://docs.google.com/spreadsheets/d/18hSgUJ3VwClqi_qtULmmW3cLr0oe3OKaSYoKzdpTsYQ/edit?usp=sharing"",""นครนายก!I674"")+IMPORTRANGE(""https://docs.google.com/spreadsheets/d/1YTZo6WM2dQ6Ix6FSdnL"&amp;"5P7uVnVKu40sxZu975tgG10E/edit?usp=sharing"",""นครปฐม!I674"")+IMPORTRANGE(""https://docs.google.com/spreadsheets/d/1OYoGg4WDg5RIzwGeB10padOxJF9E_Vljuvvct_M7RDo/edit?usp=sharing"",""ปทุมธานี!I674"")+IMPORTRANGE(""https://docs.google.com/spreadsheets/d/1GbCI"&amp;"E4D4wk9FUozzqk7SxfDMxDVBwVmI5zcaVUSzKAc/edit?usp=sharing"",""ประจวบคีรีขันธ์!I674"")+IMPORTRANGE(""https://docs.google.com/spreadsheets/d/1vVf6wykvW_lAyu7Yo9L4hUTqHqIeP_qcVuxCtosJEbg/edit?usp=sharing"",""ปราจีนบุรี!I674"")+IMPORTRANGE(""https://docs.googl"&amp;"e.com/spreadsheets/d/1BIDqLLg5jk3v59G8NlR8rk5xfQDKne0sAvZHSj7TI6I/edit?usp=sharing"",""พระนครศรีอยุธยา!I674"")+IMPORTRANGE(""https://docs.google.com/spreadsheets/d/1YXvxf8Yu6_rV4hTBrwMqAcAnv6DfhUxh5emyM3CJp_w/edit?usp=sharing"",""เพชรบุรี!I674"")+IMPORTRA"&amp;"NGE(""https://docs.google.com/spreadsheets/d/19KBlQQs7uwvsao6t2n-KvW3Ax8J8uRRfZPq1zPbXgKc/edit?usp=sharing"",""ระยอง!I674"")+IMPORTRANGE(""https://docs.google.com/spreadsheets/d/1jQ6P4QcrGM89YfqcC_PxOHGCMq5ezhucwJd8ci-NHng/edit?usp=sharing"",""ราชบุรี!I67"&amp;"4"")+IMPORTRANGE(""https://docs.google.com/spreadsheets/d/1lufeA2cfFqM-elVq2hznhDzC6Pr7wkJ9ZG_sYNGCMCU/edit?usp=sharing"",""ลพบุรี!I674"")+IMPORTRANGE(""https://docs.google.com/spreadsheets/d/10oOiF7loTyfsTkbd4MpaIm0HQ9SwB7IYHdIUvt-U1Uc/edit?usp=sharing"""&amp;",""สระแก้ว!I674"")+IMPORTRANGE(""https://docs.google.com/spreadsheets/d/1xmPlrr1QbdSIKvl1dWUl9K4PjAfSL9oeMr_37QVzcxc/edit?usp=sharing"",""สระบุรี!I674"")+IMPORTRANGE(""https://docs.google.com/spreadsheets/d/1j51vR6CYVGhABJpv6tkstgok82RLpXieLzW1yOY5rHw/edi"&amp;"t?usp=sharing"",""สิงห์บุรี!I674"")+IMPORTRANGE(""https://docs.google.com/spreadsheets/d/1H1EalTWKUSzO4Z1-1CwzoDUaVffgrThEBe2sl74kKG0/edit?usp=sharing"",""สุพรรณบุรี!I674"")+IMPORTRANGE(""https://docs.google.com/spreadsheets/d/1BmIruG_sIrJLYao_Pdr7zVArWsf"&amp;"oBt2692TMi6x_854/edit?usp=sharing"",""อ่างทอง!I674"")"),268)</f>
        <v>268</v>
      </c>
      <c r="J675" s="622">
        <f ca="1">J677+J680</f>
        <v>84</v>
      </c>
      <c r="K675" s="264">
        <f t="shared" ca="1" si="460"/>
        <v>31.343283582089551</v>
      </c>
      <c r="L675" s="752"/>
      <c r="M675" s="87"/>
      <c r="N675" s="752"/>
      <c r="O675" s="87"/>
      <c r="P675" s="87"/>
      <c r="Q675" s="754"/>
      <c r="R675" s="87"/>
      <c r="S675" s="752"/>
      <c r="T675" s="87"/>
      <c r="U675" s="87"/>
    </row>
    <row r="676" spans="1:21" ht="19.5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13wPX838HrBrQMCywv1BsuMkt4PEKTChp52zj44s2izQ/edit?usp=sharing"",""กาญจนบุรี!I675"")+IMPORTRANGE(""https://docs.google.com/spreadsheets/d/1ddFKvqj1W1NEiWytbGlB1zMx_ykJDVtmfEQ-6-lIUBA/edit?usp=sharing"","&amp;"""จันทบุรี!I675"")+IMPORTRANGE(""https://docs.google.com/spreadsheets/d/1T1PQvRODqOBZk8BRht_U031fIS1beLA0Ub2CEytj2q0/edit?usp=sharing"",""ฉะเชิงเทรา!I675"")+IMPORTRANGE(""https://docs.google.com/spreadsheets/d/11tr1B-Bhyr79v2bkwVh5h_fR-PStkgjlZtkrZpYurG0/"&amp;"edit?usp=sharing"",""ชลบุรี!I675"")+IMPORTRANGE(""https://docs.google.com/spreadsheets/d/1hh-FVnSX0vozXhGluamEcS54Dw9_zqW0N7qJUWgJ0Sw/edit?usp=sharing"",""ชัยนาท!I675"")+IMPORTRANGE(""https://docs.google.com/spreadsheets/d/1jkqa6GXxSacMcY1eN8AHjMNJ_7dDXMJ"&amp;"VRLDlaFSOdPM/edit?usp=sharing"",""ตราด!I675"")+IMPORTRANGE(""https://docs.google.com/spreadsheets/d/18hSgUJ3VwClqi_qtULmmW3cLr0oe3OKaSYoKzdpTsYQ/edit?usp=sharing"",""นครนายก!I675"")+IMPORTRANGE(""https://docs.google.com/spreadsheets/d/1YTZo6WM2dQ6Ix6FSdnL"&amp;"5P7uVnVKu40sxZu975tgG10E/edit?usp=sharing"",""นครปฐม!I675"")+IMPORTRANGE(""https://docs.google.com/spreadsheets/d/1OYoGg4WDg5RIzwGeB10padOxJF9E_Vljuvvct_M7RDo/edit?usp=sharing"",""ปทุมธานี!I675"")+IMPORTRANGE(""https://docs.google.com/spreadsheets/d/1GbCI"&amp;"E4D4wk9FUozzqk7SxfDMxDVBwVmI5zcaVUSzKAc/edit?usp=sharing"",""ประจวบคีรีขันธ์!I675"")+IMPORTRANGE(""https://docs.google.com/spreadsheets/d/1vVf6wykvW_lAyu7Yo9L4hUTqHqIeP_qcVuxCtosJEbg/edit?usp=sharing"",""ปราจีนบุรี!I675"")+IMPORTRANGE(""https://docs.googl"&amp;"e.com/spreadsheets/d/1BIDqLLg5jk3v59G8NlR8rk5xfQDKne0sAvZHSj7TI6I/edit?usp=sharing"",""พระนครศรีอยุธยา!I675"")+IMPORTRANGE(""https://docs.google.com/spreadsheets/d/1YXvxf8Yu6_rV4hTBrwMqAcAnv6DfhUxh5emyM3CJp_w/edit?usp=sharing"",""เพชรบุรี!I675"")+IMPORTRA"&amp;"NGE(""https://docs.google.com/spreadsheets/d/19KBlQQs7uwvsao6t2n-KvW3Ax8J8uRRfZPq1zPbXgKc/edit?usp=sharing"",""ระยอง!I675"")+IMPORTRANGE(""https://docs.google.com/spreadsheets/d/1jQ6P4QcrGM89YfqcC_PxOHGCMq5ezhucwJd8ci-NHng/edit?usp=sharing"",""ราชบุรี!I67"&amp;"5"")+IMPORTRANGE(""https://docs.google.com/spreadsheets/d/1lufeA2cfFqM-elVq2hznhDzC6Pr7wkJ9ZG_sYNGCMCU/edit?usp=sharing"",""ลพบุรี!I675"")+IMPORTRANGE(""https://docs.google.com/spreadsheets/d/10oOiF7loTyfsTkbd4MpaIm0HQ9SwB7IYHdIUvt-U1Uc/edit?usp=sharing"""&amp;",""สระแก้ว!I675"")+IMPORTRANGE(""https://docs.google.com/spreadsheets/d/1xmPlrr1QbdSIKvl1dWUl9K4PjAfSL9oeMr_37QVzcxc/edit?usp=sharing"",""สระบุรี!I675"")+IMPORTRANGE(""https://docs.google.com/spreadsheets/d/1j51vR6CYVGhABJpv6tkstgok82RLpXieLzW1yOY5rHw/edi"&amp;"t?usp=sharing"",""สิงห์บุรี!I675"")+IMPORTRANGE(""https://docs.google.com/spreadsheets/d/1H1EalTWKUSzO4Z1-1CwzoDUaVffgrThEBe2sl74kKG0/edit?usp=sharing"",""สุพรรณบุรี!I675"")+IMPORTRANGE(""https://docs.google.com/spreadsheets/d/1BmIruG_sIrJLYao_Pdr7zVArWsf"&amp;"oBt2692TMi6x_854/edit?usp=sharing"",""อ่างทอง!I675"")"),2703)</f>
        <v>2703</v>
      </c>
      <c r="J676" s="622">
        <f ca="1">J679+J682</f>
        <v>792.99</v>
      </c>
      <c r="K676" s="264">
        <f t="shared" ca="1" si="460"/>
        <v>29.337402885682575</v>
      </c>
      <c r="L676" s="87"/>
      <c r="M676" s="87"/>
      <c r="N676" s="752"/>
      <c r="O676" s="87"/>
      <c r="P676" s="87"/>
      <c r="Q676" s="86"/>
      <c r="R676" s="87"/>
      <c r="S676" s="752"/>
      <c r="T676" s="87"/>
      <c r="U676" s="87"/>
    </row>
    <row r="677" spans="1:21" ht="18.75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13wPX838HrBrQMCywv1BsuMkt4PEKTChp52zj44s2izQ/edit?usp=sharing"",""กาญจนบุรี!I676"")+IMPORTRANGE(""https://docs.google.com/spreadsheets/d/1ddFKvqj1W1NEiWytbGlB1zMx_ykJDVtmfEQ-6-lIUBA/edit?usp=sharing"","&amp;"""จันทบุรี!I676"")+IMPORTRANGE(""https://docs.google.com/spreadsheets/d/1T1PQvRODqOBZk8BRht_U031fIS1beLA0Ub2CEytj2q0/edit?usp=sharing"",""ฉะเชิงเทรา!I676"")+IMPORTRANGE(""https://docs.google.com/spreadsheets/d/11tr1B-Bhyr79v2bkwVh5h_fR-PStkgjlZtkrZpYurG0/"&amp;"edit?usp=sharing"",""ชลบุรี!I676"")+IMPORTRANGE(""https://docs.google.com/spreadsheets/d/1hh-FVnSX0vozXhGluamEcS54Dw9_zqW0N7qJUWgJ0Sw/edit?usp=sharing"",""ชัยนาท!I676"")+IMPORTRANGE(""https://docs.google.com/spreadsheets/d/1jkqa6GXxSacMcY1eN8AHjMNJ_7dDXMJ"&amp;"VRLDlaFSOdPM/edit?usp=sharing"",""ตราด!I676"")+IMPORTRANGE(""https://docs.google.com/spreadsheets/d/18hSgUJ3VwClqi_qtULmmW3cLr0oe3OKaSYoKzdpTsYQ/edit?usp=sharing"",""นครนายก!I676"")+IMPORTRANGE(""https://docs.google.com/spreadsheets/d/1YTZo6WM2dQ6Ix6FSdnL"&amp;"5P7uVnVKu40sxZu975tgG10E/edit?usp=sharing"",""นครปฐม!I676"")+IMPORTRANGE(""https://docs.google.com/spreadsheets/d/1OYoGg4WDg5RIzwGeB10padOxJF9E_Vljuvvct_M7RDo/edit?usp=sharing"",""ปทุมธานี!I676"")+IMPORTRANGE(""https://docs.google.com/spreadsheets/d/1GbCI"&amp;"E4D4wk9FUozzqk7SxfDMxDVBwVmI5zcaVUSzKAc/edit?usp=sharing"",""ประจวบคีรีขันธ์!I676"")+IMPORTRANGE(""https://docs.google.com/spreadsheets/d/1vVf6wykvW_lAyu7Yo9L4hUTqHqIeP_qcVuxCtosJEbg/edit?usp=sharing"",""ปราจีนบุรี!I676"")+IMPORTRANGE(""https://docs.googl"&amp;"e.com/spreadsheets/d/1BIDqLLg5jk3v59G8NlR8rk5xfQDKne0sAvZHSj7TI6I/edit?usp=sharing"",""พระนครศรีอยุธยา!I676"")+IMPORTRANGE(""https://docs.google.com/spreadsheets/d/1YXvxf8Yu6_rV4hTBrwMqAcAnv6DfhUxh5emyM3CJp_w/edit?usp=sharing"",""เพชรบุรี!I676"")+IMPORTRA"&amp;"NGE(""https://docs.google.com/spreadsheets/d/19KBlQQs7uwvsao6t2n-KvW3Ax8J8uRRfZPq1zPbXgKc/edit?usp=sharing"",""ระยอง!I676"")+IMPORTRANGE(""https://docs.google.com/spreadsheets/d/1jQ6P4QcrGM89YfqcC_PxOHGCMq5ezhucwJd8ci-NHng/edit?usp=sharing"",""ราชบุรี!I67"&amp;"6"")+IMPORTRANGE(""https://docs.google.com/spreadsheets/d/1lufeA2cfFqM-elVq2hznhDzC6Pr7wkJ9ZG_sYNGCMCU/edit?usp=sharing"",""ลพบุรี!I676"")+IMPORTRANGE(""https://docs.google.com/spreadsheets/d/10oOiF7loTyfsTkbd4MpaIm0HQ9SwB7IYHdIUvt-U1Uc/edit?usp=sharing"""&amp;",""สระแก้ว!I676"")+IMPORTRANGE(""https://docs.google.com/spreadsheets/d/1xmPlrr1QbdSIKvl1dWUl9K4PjAfSL9oeMr_37QVzcxc/edit?usp=sharing"",""สระบุรี!I676"")+IMPORTRANGE(""https://docs.google.com/spreadsheets/d/1j51vR6CYVGhABJpv6tkstgok82RLpXieLzW1yOY5rHw/edi"&amp;"t?usp=sharing"",""สิงห์บุรี!I676"")+IMPORTRANGE(""https://docs.google.com/spreadsheets/d/1H1EalTWKUSzO4Z1-1CwzoDUaVffgrThEBe2sl74kKG0/edit?usp=sharing"",""สุพรรณบุรี!I676"")+IMPORTRANGE(""https://docs.google.com/spreadsheets/d/1BmIruG_sIrJLYao_Pdr7zVArWsf"&amp;"oBt2692TMi6x_854/edit?usp=sharing"",""อ่างทอง!I676"")"),173)</f>
        <v>173</v>
      </c>
      <c r="J677" s="293">
        <f ca="1">IFERROR(__xludf.DUMMYFUNCTION("IMPORTRANGE(""https://docs.google.com/spreadsheets/d/13wPX838HrBrQMCywv1BsuMkt4PEKTChp52zj44s2izQ/edit?usp=sharing"",""กาญจนบุรี!J676"")+IMPORTRANGE(""https://docs.google.com/spreadsheets/d/1ddFKvqj1W1NEiWytbGlB1zMx_ykJDVtmfEQ-6-lIUBA/edit?usp=sharing"","&amp;"""จันทบุรี!J676"")+IMPORTRANGE(""https://docs.google.com/spreadsheets/d/1T1PQvRODqOBZk8BRht_U031fIS1beLA0Ub2CEytj2q0/edit?usp=sharing"",""ฉะเชิงเทรา!J676"")+IMPORTRANGE(""https://docs.google.com/spreadsheets/d/11tr1B-Bhyr79v2bkwVh5h_fR-PStkgjlZtkrZpYurG0/"&amp;"edit?usp=sharing"",""ชลบุรี!J676"")+IMPORTRANGE(""https://docs.google.com/spreadsheets/d/1hh-FVnSX0vozXhGluamEcS54Dw9_zqW0N7qJUWgJ0Sw/edit?usp=sharing"",""ชัยนาท!J676"")+IMPORTRANGE(""https://docs.google.com/spreadsheets/d/1jkqa6GXxSacMcY1eN8AHjMNJ_7dDXMJ"&amp;"VRLDlaFSOdPM/edit?usp=sharing"",""ตราด!J676"")+IMPORTRANGE(""https://docs.google.com/spreadsheets/d/18hSgUJ3VwClqi_qtULmmW3cLr0oe3OKaSYoKzdpTsYQ/edit?usp=sharing"",""นครนายก!J676"")+IMPORTRANGE(""https://docs.google.com/spreadsheets/d/1YTZo6WM2dQ6Ix6FSdnL"&amp;"5P7uVnVKu40sxZu975tgG10E/edit?usp=sharing"",""นครปฐม!J676"")+IMPORTRANGE(""https://docs.google.com/spreadsheets/d/1OYoGg4WDg5RIzwGeB10padOxJF9E_Vljuvvct_M7RDo/edit?usp=sharing"",""ปทุมธานี!J676"")+IMPORTRANGE(""https://docs.google.com/spreadsheets/d/1GbCI"&amp;"E4D4wk9FUozzqk7SxfDMxDVBwVmI5zcaVUSzKAc/edit?usp=sharing"",""ประจวบคีรีขันธ์!J676"")+IMPORTRANGE(""https://docs.google.com/spreadsheets/d/1vVf6wykvW_lAyu7Yo9L4hUTqHqIeP_qcVuxCtosJEbg/edit?usp=sharing"",""ปราจีนบุรี!J676"")+IMPORTRANGE(""https://docs.googl"&amp;"e.com/spreadsheets/d/1BIDqLLg5jk3v59G8NlR8rk5xfQDKne0sAvZHSj7TI6I/edit?usp=sharing"",""พระนครศรีอยุธยา!J676"")+IMPORTRANGE(""https://docs.google.com/spreadsheets/d/1YXvxf8Yu6_rV4hTBrwMqAcAnv6DfhUxh5emyM3CJp_w/edit?usp=sharing"",""เพชรบุรี!J676"")+IMPORTRA"&amp;"NGE(""https://docs.google.com/spreadsheets/d/19KBlQQs7uwvsao6t2n-KvW3Ax8J8uRRfZPq1zPbXgKc/edit?usp=sharing"",""ระยอง!J676"")+IMPORTRANGE(""https://docs.google.com/spreadsheets/d/1jQ6P4QcrGM89YfqcC_PxOHGCMq5ezhucwJd8ci-NHng/edit?usp=sharing"",""ราชบุรี!J67"&amp;"6"")+IMPORTRANGE(""https://docs.google.com/spreadsheets/d/1lufeA2cfFqM-elVq2hznhDzC6Pr7wkJ9ZG_sYNGCMCU/edit?usp=sharing"",""ลพบุรี!J676"")+IMPORTRANGE(""https://docs.google.com/spreadsheets/d/10oOiF7loTyfsTkbd4MpaIm0HQ9SwB7IYHdIUvt-U1Uc/edit?usp=sharing"""&amp;",""สระแก้ว!J676"")+IMPORTRANGE(""https://docs.google.com/spreadsheets/d/1xmPlrr1QbdSIKvl1dWUl9K4PjAfSL9oeMr_37QVzcxc/edit?usp=sharing"",""สระบุรี!J676"")+IMPORTRANGE(""https://docs.google.com/spreadsheets/d/1j51vR6CYVGhABJpv6tkstgok82RLpXieLzW1yOY5rHw/edi"&amp;"t?usp=sharing"",""สิงห์บุรี!J676"")+IMPORTRANGE(""https://docs.google.com/spreadsheets/d/1H1EalTWKUSzO4Z1-1CwzoDUaVffgrThEBe2sl74kKG0/edit?usp=sharing"",""สุพรรณบุรี!J676"")+IMPORTRANGE(""https://docs.google.com/spreadsheets/d/1BmIruG_sIrJLYao_Pdr7zVArWsf"&amp;"oBt2692TMi6x_854/edit?usp=sharing"",""อ่างทอง!J676"")"),34)</f>
        <v>34</v>
      </c>
      <c r="K677" s="74">
        <f t="shared" ca="1" si="460"/>
        <v>19.653179190751445</v>
      </c>
      <c r="L677" s="87"/>
      <c r="M677" s="87"/>
      <c r="N677" s="752"/>
      <c r="O677" s="87"/>
      <c r="P677" s="87"/>
      <c r="Q677" s="86"/>
      <c r="R677" s="87"/>
      <c r="S677" s="752"/>
      <c r="T677" s="87"/>
      <c r="U677" s="87"/>
    </row>
    <row r="678" spans="1:21" ht="18.75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13wPX838HrBrQMCywv1BsuMkt4PEKTChp52zj44s2izQ/edit?usp=sharing"",""กาญจนบุรี!J677"")+IMPORTRANGE(""https://docs.google.com/spreadsheets/d/1ddFKvqj1W1NEiWytbGlB1zMx_ykJDVtmfEQ-6-lIUBA/edit?usp=sharing"","&amp;"""จันทบุรี!J677"")+IMPORTRANGE(""https://docs.google.com/spreadsheets/d/1T1PQvRODqOBZk8BRht_U031fIS1beLA0Ub2CEytj2q0/edit?usp=sharing"",""ฉะเชิงเทรา!J677"")+IMPORTRANGE(""https://docs.google.com/spreadsheets/d/11tr1B-Bhyr79v2bkwVh5h_fR-PStkgjlZtkrZpYurG0/"&amp;"edit?usp=sharing"",""ชลบุรี!J677"")+IMPORTRANGE(""https://docs.google.com/spreadsheets/d/1hh-FVnSX0vozXhGluamEcS54Dw9_zqW0N7qJUWgJ0Sw/edit?usp=sharing"",""ชัยนาท!J677"")+IMPORTRANGE(""https://docs.google.com/spreadsheets/d/1jkqa6GXxSacMcY1eN8AHjMNJ_7dDXMJ"&amp;"VRLDlaFSOdPM/edit?usp=sharing"",""ตราด!J677"")+IMPORTRANGE(""https://docs.google.com/spreadsheets/d/18hSgUJ3VwClqi_qtULmmW3cLr0oe3OKaSYoKzdpTsYQ/edit?usp=sharing"",""นครนายก!J677"")+IMPORTRANGE(""https://docs.google.com/spreadsheets/d/1YTZo6WM2dQ6Ix6FSdnL"&amp;"5P7uVnVKu40sxZu975tgG10E/edit?usp=sharing"",""นครปฐม!J677"")+IMPORTRANGE(""https://docs.google.com/spreadsheets/d/1OYoGg4WDg5RIzwGeB10padOxJF9E_Vljuvvct_M7RDo/edit?usp=sharing"",""ปทุมธานี!J677"")+IMPORTRANGE(""https://docs.google.com/spreadsheets/d/1GbCI"&amp;"E4D4wk9FUozzqk7SxfDMxDVBwVmI5zcaVUSzKAc/edit?usp=sharing"",""ประจวบคีรีขันธ์!J677"")+IMPORTRANGE(""https://docs.google.com/spreadsheets/d/1vVf6wykvW_lAyu7Yo9L4hUTqHqIeP_qcVuxCtosJEbg/edit?usp=sharing"",""ปราจีนบุรี!J677"")+IMPORTRANGE(""https://docs.googl"&amp;"e.com/spreadsheets/d/1BIDqLLg5jk3v59G8NlR8rk5xfQDKne0sAvZHSj7TI6I/edit?usp=sharing"",""พระนครศรีอยุธยา!J677"")+IMPORTRANGE(""https://docs.google.com/spreadsheets/d/1YXvxf8Yu6_rV4hTBrwMqAcAnv6DfhUxh5emyM3CJp_w/edit?usp=sharing"",""เพชรบุรี!J677"")+IMPORTRA"&amp;"NGE(""https://docs.google.com/spreadsheets/d/19KBlQQs7uwvsao6t2n-KvW3Ax8J8uRRfZPq1zPbXgKc/edit?usp=sharing"",""ระยอง!J677"")+IMPORTRANGE(""https://docs.google.com/spreadsheets/d/1jQ6P4QcrGM89YfqcC_PxOHGCMq5ezhucwJd8ci-NHng/edit?usp=sharing"",""ราชบุรี!J67"&amp;"7"")+IMPORTRANGE(""https://docs.google.com/spreadsheets/d/1lufeA2cfFqM-elVq2hznhDzC6Pr7wkJ9ZG_sYNGCMCU/edit?usp=sharing"",""ลพบุรี!J677"")+IMPORTRANGE(""https://docs.google.com/spreadsheets/d/10oOiF7loTyfsTkbd4MpaIm0HQ9SwB7IYHdIUvt-U1Uc/edit?usp=sharing"""&amp;",""สระแก้ว!J677"")+IMPORTRANGE(""https://docs.google.com/spreadsheets/d/1xmPlrr1QbdSIKvl1dWUl9K4PjAfSL9oeMr_37QVzcxc/edit?usp=sharing"",""สระบุรี!J677"")+IMPORTRANGE(""https://docs.google.com/spreadsheets/d/1j51vR6CYVGhABJpv6tkstgok82RLpXieLzW1yOY5rHw/edi"&amp;"t?usp=sharing"",""สิงห์บุรี!J677"")+IMPORTRANGE(""https://docs.google.com/spreadsheets/d/1H1EalTWKUSzO4Z1-1CwzoDUaVffgrThEBe2sl74kKG0/edit?usp=sharing"",""สุพรรณบุรี!J677"")+IMPORTRANGE(""https://docs.google.com/spreadsheets/d/1BmIruG_sIrJLYao_Pdr7zVArWsf"&amp;"oBt2692TMi6x_854/edit?usp=sharing"",""อ่างทอง!J677"")"),42)</f>
        <v>42</v>
      </c>
      <c r="K678" s="87"/>
      <c r="L678" s="752"/>
      <c r="M678" s="87"/>
      <c r="N678" s="752"/>
      <c r="O678" s="87"/>
      <c r="P678" s="87"/>
      <c r="Q678" s="754"/>
      <c r="R678" s="87"/>
      <c r="S678" s="752"/>
      <c r="T678" s="87"/>
      <c r="U678" s="87"/>
    </row>
    <row r="679" spans="1:21" ht="18.75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13wPX838HrBrQMCywv1BsuMkt4PEKTChp52zj44s2izQ/edit?usp=sharing"",""กาญจนบุรี!I678"")+IMPORTRANGE(""https://docs.google.com/spreadsheets/d/1ddFKvqj1W1NEiWytbGlB1zMx_ykJDVtmfEQ-6-lIUBA/edit?usp=sharing"","&amp;"""จันทบุรี!I678"")+IMPORTRANGE(""https://docs.google.com/spreadsheets/d/1T1PQvRODqOBZk8BRht_U031fIS1beLA0Ub2CEytj2q0/edit?usp=sharing"",""ฉะเชิงเทรา!I678"")+IMPORTRANGE(""https://docs.google.com/spreadsheets/d/11tr1B-Bhyr79v2bkwVh5h_fR-PStkgjlZtkrZpYurG0/"&amp;"edit?usp=sharing"",""ชลบุรี!I678"")+IMPORTRANGE(""https://docs.google.com/spreadsheets/d/1hh-FVnSX0vozXhGluamEcS54Dw9_zqW0N7qJUWgJ0Sw/edit?usp=sharing"",""ชัยนาท!I678"")+IMPORTRANGE(""https://docs.google.com/spreadsheets/d/1jkqa6GXxSacMcY1eN8AHjMNJ_7dDXMJ"&amp;"VRLDlaFSOdPM/edit?usp=sharing"",""ตราด!I678"")+IMPORTRANGE(""https://docs.google.com/spreadsheets/d/18hSgUJ3VwClqi_qtULmmW3cLr0oe3OKaSYoKzdpTsYQ/edit?usp=sharing"",""นครนายก!I678"")+IMPORTRANGE(""https://docs.google.com/spreadsheets/d/1YTZo6WM2dQ6Ix6FSdnL"&amp;"5P7uVnVKu40sxZu975tgG10E/edit?usp=sharing"",""นครปฐม!I678"")+IMPORTRANGE(""https://docs.google.com/spreadsheets/d/1OYoGg4WDg5RIzwGeB10padOxJF9E_Vljuvvct_M7RDo/edit?usp=sharing"",""ปทุมธานี!I678"")+IMPORTRANGE(""https://docs.google.com/spreadsheets/d/1GbCI"&amp;"E4D4wk9FUozzqk7SxfDMxDVBwVmI5zcaVUSzKAc/edit?usp=sharing"",""ประจวบคีรีขันธ์!I678"")+IMPORTRANGE(""https://docs.google.com/spreadsheets/d/1vVf6wykvW_lAyu7Yo9L4hUTqHqIeP_qcVuxCtosJEbg/edit?usp=sharing"",""ปราจีนบุรี!I678"")+IMPORTRANGE(""https://docs.googl"&amp;"e.com/spreadsheets/d/1BIDqLLg5jk3v59G8NlR8rk5xfQDKne0sAvZHSj7TI6I/edit?usp=sharing"",""พระนครศรีอยุธยา!I678"")+IMPORTRANGE(""https://docs.google.com/spreadsheets/d/1YXvxf8Yu6_rV4hTBrwMqAcAnv6DfhUxh5emyM3CJp_w/edit?usp=sharing"",""เพชรบุรี!I678"")+IMPORTRA"&amp;"NGE(""https://docs.google.com/spreadsheets/d/19KBlQQs7uwvsao6t2n-KvW3Ax8J8uRRfZPq1zPbXgKc/edit?usp=sharing"",""ระยอง!I678"")+IMPORTRANGE(""https://docs.google.com/spreadsheets/d/1jQ6P4QcrGM89YfqcC_PxOHGCMq5ezhucwJd8ci-NHng/edit?usp=sharing"",""ราชบุรี!I67"&amp;"8"")+IMPORTRANGE(""https://docs.google.com/spreadsheets/d/1lufeA2cfFqM-elVq2hznhDzC6Pr7wkJ9ZG_sYNGCMCU/edit?usp=sharing"",""ลพบุรี!I678"")+IMPORTRANGE(""https://docs.google.com/spreadsheets/d/10oOiF7loTyfsTkbd4MpaIm0HQ9SwB7IYHdIUvt-U1Uc/edit?usp=sharing"""&amp;",""สระแก้ว!I678"")+IMPORTRANGE(""https://docs.google.com/spreadsheets/d/1xmPlrr1QbdSIKvl1dWUl9K4PjAfSL9oeMr_37QVzcxc/edit?usp=sharing"",""สระบุรี!I678"")+IMPORTRANGE(""https://docs.google.com/spreadsheets/d/1j51vR6CYVGhABJpv6tkstgok82RLpXieLzW1yOY5rHw/edi"&amp;"t?usp=sharing"",""สิงห์บุรี!I678"")+IMPORTRANGE(""https://docs.google.com/spreadsheets/d/1H1EalTWKUSzO4Z1-1CwzoDUaVffgrThEBe2sl74kKG0/edit?usp=sharing"",""สุพรรณบุรี!I678"")+IMPORTRANGE(""https://docs.google.com/spreadsheets/d/1BmIruG_sIrJLYao_Pdr7zVArWsf"&amp;"oBt2692TMi6x_854/edit?usp=sharing"",""อ่างทอง!I678"")"),1751)</f>
        <v>1751</v>
      </c>
      <c r="J679" s="293">
        <f ca="1">IFERROR(__xludf.DUMMYFUNCTION("IMPORTRANGE(""https://docs.google.com/spreadsheets/d/13wPX838HrBrQMCywv1BsuMkt4PEKTChp52zj44s2izQ/edit?usp=sharing"",""กาญจนบุรี!J678"")+IMPORTRANGE(""https://docs.google.com/spreadsheets/d/1ddFKvqj1W1NEiWytbGlB1zMx_ykJDVtmfEQ-6-lIUBA/edit?usp=sharing"","&amp;"""จันทบุรี!J678"")+IMPORTRANGE(""https://docs.google.com/spreadsheets/d/1T1PQvRODqOBZk8BRht_U031fIS1beLA0Ub2CEytj2q0/edit?usp=sharing"",""ฉะเชิงเทรา!J678"")+IMPORTRANGE(""https://docs.google.com/spreadsheets/d/11tr1B-Bhyr79v2bkwVh5h_fR-PStkgjlZtkrZpYurG0/"&amp;"edit?usp=sharing"",""ชลบุรี!J678"")+IMPORTRANGE(""https://docs.google.com/spreadsheets/d/1hh-FVnSX0vozXhGluamEcS54Dw9_zqW0N7qJUWgJ0Sw/edit?usp=sharing"",""ชัยนาท!J678"")+IMPORTRANGE(""https://docs.google.com/spreadsheets/d/1jkqa6GXxSacMcY1eN8AHjMNJ_7dDXMJ"&amp;"VRLDlaFSOdPM/edit?usp=sharing"",""ตราด!J678"")+IMPORTRANGE(""https://docs.google.com/spreadsheets/d/18hSgUJ3VwClqi_qtULmmW3cLr0oe3OKaSYoKzdpTsYQ/edit?usp=sharing"",""นครนายก!J678"")+IMPORTRANGE(""https://docs.google.com/spreadsheets/d/1YTZo6WM2dQ6Ix6FSdnL"&amp;"5P7uVnVKu40sxZu975tgG10E/edit?usp=sharing"",""นครปฐม!J678"")+IMPORTRANGE(""https://docs.google.com/spreadsheets/d/1OYoGg4WDg5RIzwGeB10padOxJF9E_Vljuvvct_M7RDo/edit?usp=sharing"",""ปทุมธานี!J678"")+IMPORTRANGE(""https://docs.google.com/spreadsheets/d/1GbCI"&amp;"E4D4wk9FUozzqk7SxfDMxDVBwVmI5zcaVUSzKAc/edit?usp=sharing"",""ประจวบคีรีขันธ์!J678"")+IMPORTRANGE(""https://docs.google.com/spreadsheets/d/1vVf6wykvW_lAyu7Yo9L4hUTqHqIeP_qcVuxCtosJEbg/edit?usp=sharing"",""ปราจีนบุรี!J678"")+IMPORTRANGE(""https://docs.googl"&amp;"e.com/spreadsheets/d/1BIDqLLg5jk3v59G8NlR8rk5xfQDKne0sAvZHSj7TI6I/edit?usp=sharing"",""พระนครศรีอยุธยา!J678"")+IMPORTRANGE(""https://docs.google.com/spreadsheets/d/1YXvxf8Yu6_rV4hTBrwMqAcAnv6DfhUxh5emyM3CJp_w/edit?usp=sharing"",""เพชรบุรี!J678"")+IMPORTRA"&amp;"NGE(""https://docs.google.com/spreadsheets/d/19KBlQQs7uwvsao6t2n-KvW3Ax8J8uRRfZPq1zPbXgKc/edit?usp=sharing"",""ระยอง!J678"")+IMPORTRANGE(""https://docs.google.com/spreadsheets/d/1jQ6P4QcrGM89YfqcC_PxOHGCMq5ezhucwJd8ci-NHng/edit?usp=sharing"",""ราชบุรี!J67"&amp;"8"")+IMPORTRANGE(""https://docs.google.com/spreadsheets/d/1lufeA2cfFqM-elVq2hznhDzC6Pr7wkJ9ZG_sYNGCMCU/edit?usp=sharing"",""ลพบุรี!J678"")+IMPORTRANGE(""https://docs.google.com/spreadsheets/d/10oOiF7loTyfsTkbd4MpaIm0HQ9SwB7IYHdIUvt-U1Uc/edit?usp=sharing"""&amp;",""สระแก้ว!J678"")+IMPORTRANGE(""https://docs.google.com/spreadsheets/d/1xmPlrr1QbdSIKvl1dWUl9K4PjAfSL9oeMr_37QVzcxc/edit?usp=sharing"",""สระบุรี!J678"")+IMPORTRANGE(""https://docs.google.com/spreadsheets/d/1j51vR6CYVGhABJpv6tkstgok82RLpXieLzW1yOY5rHw/edi"&amp;"t?usp=sharing"",""สิงห์บุรี!J678"")+IMPORTRANGE(""https://docs.google.com/spreadsheets/d/1H1EalTWKUSzO4Z1-1CwzoDUaVffgrThEBe2sl74kKG0/edit?usp=sharing"",""สุพรรณบุรี!J678"")+IMPORTRANGE(""https://docs.google.com/spreadsheets/d/1BmIruG_sIrJLYao_Pdr7zVArWsf"&amp;"oBt2692TMi6x_854/edit?usp=sharing"",""อ่างทอง!J678"")"),483.94)</f>
        <v>483.94</v>
      </c>
      <c r="K679" s="74">
        <f t="shared" ref="K679:K680" ca="1" si="461">IF(I679&gt;0,J679*100/I679,0)</f>
        <v>27.637921187892633</v>
      </c>
      <c r="L679" s="752"/>
      <c r="M679" s="87"/>
      <c r="N679" s="752"/>
      <c r="O679" s="87"/>
      <c r="P679" s="87"/>
      <c r="Q679" s="754"/>
      <c r="R679" s="87"/>
      <c r="S679" s="752"/>
      <c r="T679" s="87"/>
      <c r="U679" s="87"/>
    </row>
    <row r="680" spans="1:21" ht="18.75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13wPX838HrBrQMCywv1BsuMkt4PEKTChp52zj44s2izQ/edit?usp=sharing"",""กาญจนบุรี!I679"")+IMPORTRANGE(""https://docs.google.com/spreadsheets/d/1ddFKvqj1W1NEiWytbGlB1zMx_ykJDVtmfEQ-6-lIUBA/edit?usp=sharing"","&amp;"""จันทบุรี!I679"")+IMPORTRANGE(""https://docs.google.com/spreadsheets/d/1T1PQvRODqOBZk8BRht_U031fIS1beLA0Ub2CEytj2q0/edit?usp=sharing"",""ฉะเชิงเทรา!I679"")+IMPORTRANGE(""https://docs.google.com/spreadsheets/d/11tr1B-Bhyr79v2bkwVh5h_fR-PStkgjlZtkrZpYurG0/"&amp;"edit?usp=sharing"",""ชลบุรี!I679"")+IMPORTRANGE(""https://docs.google.com/spreadsheets/d/1hh-FVnSX0vozXhGluamEcS54Dw9_zqW0N7qJUWgJ0Sw/edit?usp=sharing"",""ชัยนาท!I679"")+IMPORTRANGE(""https://docs.google.com/spreadsheets/d/1jkqa6GXxSacMcY1eN8AHjMNJ_7dDXMJ"&amp;"VRLDlaFSOdPM/edit?usp=sharing"",""ตราด!I679"")+IMPORTRANGE(""https://docs.google.com/spreadsheets/d/18hSgUJ3VwClqi_qtULmmW3cLr0oe3OKaSYoKzdpTsYQ/edit?usp=sharing"",""นครนายก!I679"")+IMPORTRANGE(""https://docs.google.com/spreadsheets/d/1YTZo6WM2dQ6Ix6FSdnL"&amp;"5P7uVnVKu40sxZu975tgG10E/edit?usp=sharing"",""นครปฐม!I679"")+IMPORTRANGE(""https://docs.google.com/spreadsheets/d/1OYoGg4WDg5RIzwGeB10padOxJF9E_Vljuvvct_M7RDo/edit?usp=sharing"",""ปทุมธานี!I679"")+IMPORTRANGE(""https://docs.google.com/spreadsheets/d/1GbCI"&amp;"E4D4wk9FUozzqk7SxfDMxDVBwVmI5zcaVUSzKAc/edit?usp=sharing"",""ประจวบคีรีขันธ์!I679"")+IMPORTRANGE(""https://docs.google.com/spreadsheets/d/1vVf6wykvW_lAyu7Yo9L4hUTqHqIeP_qcVuxCtosJEbg/edit?usp=sharing"",""ปราจีนบุรี!I679"")+IMPORTRANGE(""https://docs.googl"&amp;"e.com/spreadsheets/d/1BIDqLLg5jk3v59G8NlR8rk5xfQDKne0sAvZHSj7TI6I/edit?usp=sharing"",""พระนครศรีอยุธยา!I679"")+IMPORTRANGE(""https://docs.google.com/spreadsheets/d/1YXvxf8Yu6_rV4hTBrwMqAcAnv6DfhUxh5emyM3CJp_w/edit?usp=sharing"",""เพชรบุรี!I679"")+IMPORTRA"&amp;"NGE(""https://docs.google.com/spreadsheets/d/19KBlQQs7uwvsao6t2n-KvW3Ax8J8uRRfZPq1zPbXgKc/edit?usp=sharing"",""ระยอง!I679"")+IMPORTRANGE(""https://docs.google.com/spreadsheets/d/1jQ6P4QcrGM89YfqcC_PxOHGCMq5ezhucwJd8ci-NHng/edit?usp=sharing"",""ราชบุรี!I67"&amp;"9"")+IMPORTRANGE(""https://docs.google.com/spreadsheets/d/1lufeA2cfFqM-elVq2hznhDzC6Pr7wkJ9ZG_sYNGCMCU/edit?usp=sharing"",""ลพบุรี!I679"")+IMPORTRANGE(""https://docs.google.com/spreadsheets/d/10oOiF7loTyfsTkbd4MpaIm0HQ9SwB7IYHdIUvt-U1Uc/edit?usp=sharing"""&amp;",""สระแก้ว!I679"")+IMPORTRANGE(""https://docs.google.com/spreadsheets/d/1xmPlrr1QbdSIKvl1dWUl9K4PjAfSL9oeMr_37QVzcxc/edit?usp=sharing"",""สระบุรี!I679"")+IMPORTRANGE(""https://docs.google.com/spreadsheets/d/1j51vR6CYVGhABJpv6tkstgok82RLpXieLzW1yOY5rHw/edi"&amp;"t?usp=sharing"",""สิงห์บุรี!I679"")+IMPORTRANGE(""https://docs.google.com/spreadsheets/d/1H1EalTWKUSzO4Z1-1CwzoDUaVffgrThEBe2sl74kKG0/edit?usp=sharing"",""สุพรรณบุรี!I679"")+IMPORTRANGE(""https://docs.google.com/spreadsheets/d/1BmIruG_sIrJLYao_Pdr7zVArWsf"&amp;"oBt2692TMi6x_854/edit?usp=sharing"",""อ่างทอง!I679"")"),95)</f>
        <v>95</v>
      </c>
      <c r="J680" s="293">
        <f ca="1">IFERROR(__xludf.DUMMYFUNCTION("IMPORTRANGE(""https://docs.google.com/spreadsheets/d/13wPX838HrBrQMCywv1BsuMkt4PEKTChp52zj44s2izQ/edit?usp=sharing"",""กาญจนบุรี!J679"")+IMPORTRANGE(""https://docs.google.com/spreadsheets/d/1ddFKvqj1W1NEiWytbGlB1zMx_ykJDVtmfEQ-6-lIUBA/edit?usp=sharing"","&amp;"""จันทบุรี!J679"")+IMPORTRANGE(""https://docs.google.com/spreadsheets/d/1T1PQvRODqOBZk8BRht_U031fIS1beLA0Ub2CEytj2q0/edit?usp=sharing"",""ฉะเชิงเทรา!J679"")+IMPORTRANGE(""https://docs.google.com/spreadsheets/d/11tr1B-Bhyr79v2bkwVh5h_fR-PStkgjlZtkrZpYurG0/"&amp;"edit?usp=sharing"",""ชลบุรี!J679"")+IMPORTRANGE(""https://docs.google.com/spreadsheets/d/1hh-FVnSX0vozXhGluamEcS54Dw9_zqW0N7qJUWgJ0Sw/edit?usp=sharing"",""ชัยนาท!J679"")+IMPORTRANGE(""https://docs.google.com/spreadsheets/d/1jkqa6GXxSacMcY1eN8AHjMNJ_7dDXMJ"&amp;"VRLDlaFSOdPM/edit?usp=sharing"",""ตราด!J679"")+IMPORTRANGE(""https://docs.google.com/spreadsheets/d/18hSgUJ3VwClqi_qtULmmW3cLr0oe3OKaSYoKzdpTsYQ/edit?usp=sharing"",""นครนายก!J679"")+IMPORTRANGE(""https://docs.google.com/spreadsheets/d/1YTZo6WM2dQ6Ix6FSdnL"&amp;"5P7uVnVKu40sxZu975tgG10E/edit?usp=sharing"",""นครปฐม!J679"")+IMPORTRANGE(""https://docs.google.com/spreadsheets/d/1OYoGg4WDg5RIzwGeB10padOxJF9E_Vljuvvct_M7RDo/edit?usp=sharing"",""ปทุมธานี!J679"")+IMPORTRANGE(""https://docs.google.com/spreadsheets/d/1GbCI"&amp;"E4D4wk9FUozzqk7SxfDMxDVBwVmI5zcaVUSzKAc/edit?usp=sharing"",""ประจวบคีรีขันธ์!J679"")+IMPORTRANGE(""https://docs.google.com/spreadsheets/d/1vVf6wykvW_lAyu7Yo9L4hUTqHqIeP_qcVuxCtosJEbg/edit?usp=sharing"",""ปราจีนบุรี!J679"")+IMPORTRANGE(""https://docs.googl"&amp;"e.com/spreadsheets/d/1BIDqLLg5jk3v59G8NlR8rk5xfQDKne0sAvZHSj7TI6I/edit?usp=sharing"",""พระนครศรีอยุธยา!J679"")+IMPORTRANGE(""https://docs.google.com/spreadsheets/d/1YXvxf8Yu6_rV4hTBrwMqAcAnv6DfhUxh5emyM3CJp_w/edit?usp=sharing"",""เพชรบุรี!J679"")+IMPORTRA"&amp;"NGE(""https://docs.google.com/spreadsheets/d/19KBlQQs7uwvsao6t2n-KvW3Ax8J8uRRfZPq1zPbXgKc/edit?usp=sharing"",""ระยอง!J679"")+IMPORTRANGE(""https://docs.google.com/spreadsheets/d/1jQ6P4QcrGM89YfqcC_PxOHGCMq5ezhucwJd8ci-NHng/edit?usp=sharing"",""ราชบุรี!J67"&amp;"9"")+IMPORTRANGE(""https://docs.google.com/spreadsheets/d/1lufeA2cfFqM-elVq2hznhDzC6Pr7wkJ9ZG_sYNGCMCU/edit?usp=sharing"",""ลพบุรี!J679"")+IMPORTRANGE(""https://docs.google.com/spreadsheets/d/10oOiF7loTyfsTkbd4MpaIm0HQ9SwB7IYHdIUvt-U1Uc/edit?usp=sharing"""&amp;",""สระแก้ว!J679"")+IMPORTRANGE(""https://docs.google.com/spreadsheets/d/1xmPlrr1QbdSIKvl1dWUl9K4PjAfSL9oeMr_37QVzcxc/edit?usp=sharing"",""สระบุรี!J679"")+IMPORTRANGE(""https://docs.google.com/spreadsheets/d/1j51vR6CYVGhABJpv6tkstgok82RLpXieLzW1yOY5rHw/edi"&amp;"t?usp=sharing"",""สิงห์บุรี!J679"")+IMPORTRANGE(""https://docs.google.com/spreadsheets/d/1H1EalTWKUSzO4Z1-1CwzoDUaVffgrThEBe2sl74kKG0/edit?usp=sharing"",""สุพรรณบุรี!J679"")+IMPORTRANGE(""https://docs.google.com/spreadsheets/d/1BmIruG_sIrJLYao_Pdr7zVArWsf"&amp;"oBt2692TMi6x_854/edit?usp=sharing"",""อ่างทอง!J679"")"),50)</f>
        <v>50</v>
      </c>
      <c r="K680" s="74">
        <f t="shared" ca="1" si="461"/>
        <v>52.631578947368418</v>
      </c>
      <c r="L680" s="87"/>
      <c r="M680" s="87"/>
      <c r="N680" s="752"/>
      <c r="O680" s="87"/>
      <c r="P680" s="87"/>
      <c r="Q680" s="86"/>
      <c r="R680" s="87"/>
      <c r="S680" s="752"/>
      <c r="T680" s="87"/>
      <c r="U680" s="87"/>
    </row>
    <row r="681" spans="1:21" ht="18.75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13wPX838HrBrQMCywv1BsuMkt4PEKTChp52zj44s2izQ/edit?usp=sharing"",""กาญจนบุรี!J680"")+IMPORTRANGE(""https://docs.google.com/spreadsheets/d/1ddFKvqj1W1NEiWytbGlB1zMx_ykJDVtmfEQ-6-lIUBA/edit?usp=sharing"","&amp;"""จันทบุรี!J680"")+IMPORTRANGE(""https://docs.google.com/spreadsheets/d/1T1PQvRODqOBZk8BRht_U031fIS1beLA0Ub2CEytj2q0/edit?usp=sharing"",""ฉะเชิงเทรา!J680"")+IMPORTRANGE(""https://docs.google.com/spreadsheets/d/11tr1B-Bhyr79v2bkwVh5h_fR-PStkgjlZtkrZpYurG0/"&amp;"edit?usp=sharing"",""ชลบุรี!J680"")+IMPORTRANGE(""https://docs.google.com/spreadsheets/d/1hh-FVnSX0vozXhGluamEcS54Dw9_zqW0N7qJUWgJ0Sw/edit?usp=sharing"",""ชัยนาท!J680"")+IMPORTRANGE(""https://docs.google.com/spreadsheets/d/1jkqa6GXxSacMcY1eN8AHjMNJ_7dDXMJ"&amp;"VRLDlaFSOdPM/edit?usp=sharing"",""ตราด!J680"")+IMPORTRANGE(""https://docs.google.com/spreadsheets/d/18hSgUJ3VwClqi_qtULmmW3cLr0oe3OKaSYoKzdpTsYQ/edit?usp=sharing"",""นครนายก!J680"")+IMPORTRANGE(""https://docs.google.com/spreadsheets/d/1YTZo6WM2dQ6Ix6FSdnL"&amp;"5P7uVnVKu40sxZu975tgG10E/edit?usp=sharing"",""นครปฐม!J680"")+IMPORTRANGE(""https://docs.google.com/spreadsheets/d/1OYoGg4WDg5RIzwGeB10padOxJF9E_Vljuvvct_M7RDo/edit?usp=sharing"",""ปทุมธานี!J680"")+IMPORTRANGE(""https://docs.google.com/spreadsheets/d/1GbCI"&amp;"E4D4wk9FUozzqk7SxfDMxDVBwVmI5zcaVUSzKAc/edit?usp=sharing"",""ประจวบคีรีขันธ์!J680"")+IMPORTRANGE(""https://docs.google.com/spreadsheets/d/1vVf6wykvW_lAyu7Yo9L4hUTqHqIeP_qcVuxCtosJEbg/edit?usp=sharing"",""ปราจีนบุรี!J680"")+IMPORTRANGE(""https://docs.googl"&amp;"e.com/spreadsheets/d/1BIDqLLg5jk3v59G8NlR8rk5xfQDKne0sAvZHSj7TI6I/edit?usp=sharing"",""พระนครศรีอยุธยา!J680"")+IMPORTRANGE(""https://docs.google.com/spreadsheets/d/1YXvxf8Yu6_rV4hTBrwMqAcAnv6DfhUxh5emyM3CJp_w/edit?usp=sharing"",""เพชรบุรี!J680"")+IMPORTRA"&amp;"NGE(""https://docs.google.com/spreadsheets/d/19KBlQQs7uwvsao6t2n-KvW3Ax8J8uRRfZPq1zPbXgKc/edit?usp=sharing"",""ระยอง!J680"")+IMPORTRANGE(""https://docs.google.com/spreadsheets/d/1jQ6P4QcrGM89YfqcC_PxOHGCMq5ezhucwJd8ci-NHng/edit?usp=sharing"",""ราชบุรี!J68"&amp;"0"")+IMPORTRANGE(""https://docs.google.com/spreadsheets/d/1lufeA2cfFqM-elVq2hznhDzC6Pr7wkJ9ZG_sYNGCMCU/edit?usp=sharing"",""ลพบุรี!J680"")+IMPORTRANGE(""https://docs.google.com/spreadsheets/d/10oOiF7loTyfsTkbd4MpaIm0HQ9SwB7IYHdIUvt-U1Uc/edit?usp=sharing"""&amp;",""สระแก้ว!J680"")+IMPORTRANGE(""https://docs.google.com/spreadsheets/d/1xmPlrr1QbdSIKvl1dWUl9K4PjAfSL9oeMr_37QVzcxc/edit?usp=sharing"",""สระบุรี!J680"")+IMPORTRANGE(""https://docs.google.com/spreadsheets/d/1j51vR6CYVGhABJpv6tkstgok82RLpXieLzW1yOY5rHw/edi"&amp;"t?usp=sharing"",""สิงห์บุรี!J680"")+IMPORTRANGE(""https://docs.google.com/spreadsheets/d/1H1EalTWKUSzO4Z1-1CwzoDUaVffgrThEBe2sl74kKG0/edit?usp=sharing"",""สุพรรณบุรี!J680"")+IMPORTRANGE(""https://docs.google.com/spreadsheets/d/1BmIruG_sIrJLYao_Pdr7zVArWsf"&amp;"oBt2692TMi6x_854/edit?usp=sharing"",""อ่างทอง!J680"")"),59)</f>
        <v>59</v>
      </c>
      <c r="K681" s="87"/>
      <c r="L681" s="752"/>
      <c r="M681" s="87"/>
      <c r="N681" s="752"/>
      <c r="O681" s="87"/>
      <c r="P681" s="87"/>
      <c r="Q681" s="754"/>
      <c r="R681" s="87"/>
      <c r="S681" s="752"/>
      <c r="T681" s="87"/>
      <c r="U681" s="87"/>
    </row>
    <row r="682" spans="1:21" ht="18.75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13wPX838HrBrQMCywv1BsuMkt4PEKTChp52zj44s2izQ/edit?usp=sharing"",""กาญจนบุรี!I681"")+IMPORTRANGE(""https://docs.google.com/spreadsheets/d/1ddFKvqj1W1NEiWytbGlB1zMx_ykJDVtmfEQ-6-lIUBA/edit?usp=sharing"","&amp;"""จันทบุรี!I681"")+IMPORTRANGE(""https://docs.google.com/spreadsheets/d/1T1PQvRODqOBZk8BRht_U031fIS1beLA0Ub2CEytj2q0/edit?usp=sharing"",""ฉะเชิงเทรา!I681"")+IMPORTRANGE(""https://docs.google.com/spreadsheets/d/11tr1B-Bhyr79v2bkwVh5h_fR-PStkgjlZtkrZpYurG0/"&amp;"edit?usp=sharing"",""ชลบุรี!I681"")+IMPORTRANGE(""https://docs.google.com/spreadsheets/d/1hh-FVnSX0vozXhGluamEcS54Dw9_zqW0N7qJUWgJ0Sw/edit?usp=sharing"",""ชัยนาท!I681"")+IMPORTRANGE(""https://docs.google.com/spreadsheets/d/1jkqa6GXxSacMcY1eN8AHjMNJ_7dDXMJ"&amp;"VRLDlaFSOdPM/edit?usp=sharing"",""ตราด!I681"")+IMPORTRANGE(""https://docs.google.com/spreadsheets/d/18hSgUJ3VwClqi_qtULmmW3cLr0oe3OKaSYoKzdpTsYQ/edit?usp=sharing"",""นครนายก!I681"")+IMPORTRANGE(""https://docs.google.com/spreadsheets/d/1YTZo6WM2dQ6Ix6FSdnL"&amp;"5P7uVnVKu40sxZu975tgG10E/edit?usp=sharing"",""นครปฐม!I681"")+IMPORTRANGE(""https://docs.google.com/spreadsheets/d/1OYoGg4WDg5RIzwGeB10padOxJF9E_Vljuvvct_M7RDo/edit?usp=sharing"",""ปทุมธานี!I681"")+IMPORTRANGE(""https://docs.google.com/spreadsheets/d/1GbCI"&amp;"E4D4wk9FUozzqk7SxfDMxDVBwVmI5zcaVUSzKAc/edit?usp=sharing"",""ประจวบคีรีขันธ์!I681"")+IMPORTRANGE(""https://docs.google.com/spreadsheets/d/1vVf6wykvW_lAyu7Yo9L4hUTqHqIeP_qcVuxCtosJEbg/edit?usp=sharing"",""ปราจีนบุรี!I681"")+IMPORTRANGE(""https://docs.googl"&amp;"e.com/spreadsheets/d/1BIDqLLg5jk3v59G8NlR8rk5xfQDKne0sAvZHSj7TI6I/edit?usp=sharing"",""พระนครศรีอยุธยา!I681"")+IMPORTRANGE(""https://docs.google.com/spreadsheets/d/1YXvxf8Yu6_rV4hTBrwMqAcAnv6DfhUxh5emyM3CJp_w/edit?usp=sharing"",""เพชรบุรี!I681"")+IMPORTRA"&amp;"NGE(""https://docs.google.com/spreadsheets/d/19KBlQQs7uwvsao6t2n-KvW3Ax8J8uRRfZPq1zPbXgKc/edit?usp=sharing"",""ระยอง!I681"")+IMPORTRANGE(""https://docs.google.com/spreadsheets/d/1jQ6P4QcrGM89YfqcC_PxOHGCMq5ezhucwJd8ci-NHng/edit?usp=sharing"",""ราชบุรี!I68"&amp;"1"")+IMPORTRANGE(""https://docs.google.com/spreadsheets/d/1lufeA2cfFqM-elVq2hznhDzC6Pr7wkJ9ZG_sYNGCMCU/edit?usp=sharing"",""ลพบุรี!I681"")+IMPORTRANGE(""https://docs.google.com/spreadsheets/d/10oOiF7loTyfsTkbd4MpaIm0HQ9SwB7IYHdIUvt-U1Uc/edit?usp=sharing"""&amp;",""สระแก้ว!I681"")+IMPORTRANGE(""https://docs.google.com/spreadsheets/d/1xmPlrr1QbdSIKvl1dWUl9K4PjAfSL9oeMr_37QVzcxc/edit?usp=sharing"",""สระบุรี!I681"")+IMPORTRANGE(""https://docs.google.com/spreadsheets/d/1j51vR6CYVGhABJpv6tkstgok82RLpXieLzW1yOY5rHw/edi"&amp;"t?usp=sharing"",""สิงห์บุรี!I681"")+IMPORTRANGE(""https://docs.google.com/spreadsheets/d/1H1EalTWKUSzO4Z1-1CwzoDUaVffgrThEBe2sl74kKG0/edit?usp=sharing"",""สุพรรณบุรี!I681"")+IMPORTRANGE(""https://docs.google.com/spreadsheets/d/1BmIruG_sIrJLYao_Pdr7zVArWsf"&amp;"oBt2692TMi6x_854/edit?usp=sharing"",""อ่างทอง!I681"")"),952)</f>
        <v>952</v>
      </c>
      <c r="J682" s="293">
        <f ca="1">IFERROR(__xludf.DUMMYFUNCTION("IMPORTRANGE(""https://docs.google.com/spreadsheets/d/13wPX838HrBrQMCywv1BsuMkt4PEKTChp52zj44s2izQ/edit?usp=sharing"",""กาญจนบุรี!J681"")+IMPORTRANGE(""https://docs.google.com/spreadsheets/d/1ddFKvqj1W1NEiWytbGlB1zMx_ykJDVtmfEQ-6-lIUBA/edit?usp=sharing"","&amp;"""จันทบุรี!J681"")+IMPORTRANGE(""https://docs.google.com/spreadsheets/d/1T1PQvRODqOBZk8BRht_U031fIS1beLA0Ub2CEytj2q0/edit?usp=sharing"",""ฉะเชิงเทรา!J681"")+IMPORTRANGE(""https://docs.google.com/spreadsheets/d/11tr1B-Bhyr79v2bkwVh5h_fR-PStkgjlZtkrZpYurG0/"&amp;"edit?usp=sharing"",""ชลบุรี!J681"")+IMPORTRANGE(""https://docs.google.com/spreadsheets/d/1hh-FVnSX0vozXhGluamEcS54Dw9_zqW0N7qJUWgJ0Sw/edit?usp=sharing"",""ชัยนาท!J681"")+IMPORTRANGE(""https://docs.google.com/spreadsheets/d/1jkqa6GXxSacMcY1eN8AHjMNJ_7dDXMJ"&amp;"VRLDlaFSOdPM/edit?usp=sharing"",""ตราด!J681"")+IMPORTRANGE(""https://docs.google.com/spreadsheets/d/18hSgUJ3VwClqi_qtULmmW3cLr0oe3OKaSYoKzdpTsYQ/edit?usp=sharing"",""นครนายก!J681"")+IMPORTRANGE(""https://docs.google.com/spreadsheets/d/1YTZo6WM2dQ6Ix6FSdnL"&amp;"5P7uVnVKu40sxZu975tgG10E/edit?usp=sharing"",""นครปฐม!J681"")+IMPORTRANGE(""https://docs.google.com/spreadsheets/d/1OYoGg4WDg5RIzwGeB10padOxJF9E_Vljuvvct_M7RDo/edit?usp=sharing"",""ปทุมธานี!J681"")+IMPORTRANGE(""https://docs.google.com/spreadsheets/d/1GbCI"&amp;"E4D4wk9FUozzqk7SxfDMxDVBwVmI5zcaVUSzKAc/edit?usp=sharing"",""ประจวบคีรีขันธ์!J681"")+IMPORTRANGE(""https://docs.google.com/spreadsheets/d/1vVf6wykvW_lAyu7Yo9L4hUTqHqIeP_qcVuxCtosJEbg/edit?usp=sharing"",""ปราจีนบุรี!J681"")+IMPORTRANGE(""https://docs.googl"&amp;"e.com/spreadsheets/d/1BIDqLLg5jk3v59G8NlR8rk5xfQDKne0sAvZHSj7TI6I/edit?usp=sharing"",""พระนครศรีอยุธยา!J681"")+IMPORTRANGE(""https://docs.google.com/spreadsheets/d/1YXvxf8Yu6_rV4hTBrwMqAcAnv6DfhUxh5emyM3CJp_w/edit?usp=sharing"",""เพชรบุรี!J681"")+IMPORTRA"&amp;"NGE(""https://docs.google.com/spreadsheets/d/19KBlQQs7uwvsao6t2n-KvW3Ax8J8uRRfZPq1zPbXgKc/edit?usp=sharing"",""ระยอง!J681"")+IMPORTRANGE(""https://docs.google.com/spreadsheets/d/1jQ6P4QcrGM89YfqcC_PxOHGCMq5ezhucwJd8ci-NHng/edit?usp=sharing"",""ราชบุรี!J68"&amp;"1"")+IMPORTRANGE(""https://docs.google.com/spreadsheets/d/1lufeA2cfFqM-elVq2hznhDzC6Pr7wkJ9ZG_sYNGCMCU/edit?usp=sharing"",""ลพบุรี!J681"")+IMPORTRANGE(""https://docs.google.com/spreadsheets/d/10oOiF7loTyfsTkbd4MpaIm0HQ9SwB7IYHdIUvt-U1Uc/edit?usp=sharing"""&amp;",""สระแก้ว!J681"")+IMPORTRANGE(""https://docs.google.com/spreadsheets/d/1xmPlrr1QbdSIKvl1dWUl9K4PjAfSL9oeMr_37QVzcxc/edit?usp=sharing"",""สระบุรี!J681"")+IMPORTRANGE(""https://docs.google.com/spreadsheets/d/1j51vR6CYVGhABJpv6tkstgok82RLpXieLzW1yOY5rHw/edi"&amp;"t?usp=sharing"",""สิงห์บุรี!J681"")+IMPORTRANGE(""https://docs.google.com/spreadsheets/d/1H1EalTWKUSzO4Z1-1CwzoDUaVffgrThEBe2sl74kKG0/edit?usp=sharing"",""สุพรรณบุรี!J681"")+IMPORTRANGE(""https://docs.google.com/spreadsheets/d/1BmIruG_sIrJLYao_Pdr7zVArWsf"&amp;"oBt2692TMi6x_854/edit?usp=sharing"",""อ่างทอง!J681"")"),309.05)</f>
        <v>309.05</v>
      </c>
      <c r="K682" s="74">
        <f t="shared" ref="K682:K683" ca="1" si="462">IF(I682&gt;0,J682*100/I682,0)</f>
        <v>32.463235294117645</v>
      </c>
      <c r="L682" s="752"/>
      <c r="M682" s="87"/>
      <c r="N682" s="752"/>
      <c r="O682" s="87"/>
      <c r="P682" s="87"/>
      <c r="Q682" s="754"/>
      <c r="R682" s="87"/>
      <c r="S682" s="752"/>
      <c r="T682" s="87"/>
      <c r="U682" s="87"/>
    </row>
    <row r="683" spans="1:21" ht="19.5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13wPX838HrBrQMCywv1BsuMkt4PEKTChp52zj44s2izQ/edit?usp=sharing"",""กาญจนบุรี!I682"")+IMPORTRANGE(""https://docs.google.com/spreadsheets/d/1ddFKvqj1W1NEiWytbGlB1zMx_ykJDVtmfEQ-6-lIUBA/edit?usp=sharing"","&amp;"""จันทบุรี!I682"")+IMPORTRANGE(""https://docs.google.com/spreadsheets/d/1T1PQvRODqOBZk8BRht_U031fIS1beLA0Ub2CEytj2q0/edit?usp=sharing"",""ฉะเชิงเทรา!I682"")+IMPORTRANGE(""https://docs.google.com/spreadsheets/d/11tr1B-Bhyr79v2bkwVh5h_fR-PStkgjlZtkrZpYurG0/"&amp;"edit?usp=sharing"",""ชลบุรี!I682"")+IMPORTRANGE(""https://docs.google.com/spreadsheets/d/1hh-FVnSX0vozXhGluamEcS54Dw9_zqW0N7qJUWgJ0Sw/edit?usp=sharing"",""ชัยนาท!I682"")+IMPORTRANGE(""https://docs.google.com/spreadsheets/d/1jkqa6GXxSacMcY1eN8AHjMNJ_7dDXMJ"&amp;"VRLDlaFSOdPM/edit?usp=sharing"",""ตราด!I682"")+IMPORTRANGE(""https://docs.google.com/spreadsheets/d/18hSgUJ3VwClqi_qtULmmW3cLr0oe3OKaSYoKzdpTsYQ/edit?usp=sharing"",""นครนายก!I682"")+IMPORTRANGE(""https://docs.google.com/spreadsheets/d/1YTZo6WM2dQ6Ix6FSdnL"&amp;"5P7uVnVKu40sxZu975tgG10E/edit?usp=sharing"",""นครปฐม!I682"")+IMPORTRANGE(""https://docs.google.com/spreadsheets/d/1OYoGg4WDg5RIzwGeB10padOxJF9E_Vljuvvct_M7RDo/edit?usp=sharing"",""ปทุมธานี!I682"")+IMPORTRANGE(""https://docs.google.com/spreadsheets/d/1GbCI"&amp;"E4D4wk9FUozzqk7SxfDMxDVBwVmI5zcaVUSzKAc/edit?usp=sharing"",""ประจวบคีรีขันธ์!I682"")+IMPORTRANGE(""https://docs.google.com/spreadsheets/d/1vVf6wykvW_lAyu7Yo9L4hUTqHqIeP_qcVuxCtosJEbg/edit?usp=sharing"",""ปราจีนบุรี!I682"")+IMPORTRANGE(""https://docs.googl"&amp;"e.com/spreadsheets/d/1BIDqLLg5jk3v59G8NlR8rk5xfQDKne0sAvZHSj7TI6I/edit?usp=sharing"",""พระนครศรีอยุธยา!I682"")+IMPORTRANGE(""https://docs.google.com/spreadsheets/d/1YXvxf8Yu6_rV4hTBrwMqAcAnv6DfhUxh5emyM3CJp_w/edit?usp=sharing"",""เพชรบุรี!I682"")+IMPORTRA"&amp;"NGE(""https://docs.google.com/spreadsheets/d/19KBlQQs7uwvsao6t2n-KvW3Ax8J8uRRfZPq1zPbXgKc/edit?usp=sharing"",""ระยอง!I682"")+IMPORTRANGE(""https://docs.google.com/spreadsheets/d/1jQ6P4QcrGM89YfqcC_PxOHGCMq5ezhucwJd8ci-NHng/edit?usp=sharing"",""ราชบุรี!I68"&amp;"2"")+IMPORTRANGE(""https://docs.google.com/spreadsheets/d/1lufeA2cfFqM-elVq2hznhDzC6Pr7wkJ9ZG_sYNGCMCU/edit?usp=sharing"",""ลพบุรี!I682"")+IMPORTRANGE(""https://docs.google.com/spreadsheets/d/10oOiF7loTyfsTkbd4MpaIm0HQ9SwB7IYHdIUvt-U1Uc/edit?usp=sharing"""&amp;",""สระแก้ว!I682"")+IMPORTRANGE(""https://docs.google.com/spreadsheets/d/1xmPlrr1QbdSIKvl1dWUl9K4PjAfSL9oeMr_37QVzcxc/edit?usp=sharing"",""สระบุรี!I682"")+IMPORTRANGE(""https://docs.google.com/spreadsheets/d/1j51vR6CYVGhABJpv6tkstgok82RLpXieLzW1yOY5rHw/edi"&amp;"t?usp=sharing"",""สิงห์บุรี!I682"")+IMPORTRANGE(""https://docs.google.com/spreadsheets/d/1H1EalTWKUSzO4Z1-1CwzoDUaVffgrThEBe2sl74kKG0/edit?usp=sharing"",""สุพรรณบุรี!I682"")+IMPORTRANGE(""https://docs.google.com/spreadsheets/d/1BmIruG_sIrJLYao_Pdr7zVArWsf"&amp;"oBt2692TMi6x_854/edit?usp=sharing"",""อ่างทอง!I682"")"),657)</f>
        <v>657</v>
      </c>
      <c r="J683" s="622">
        <f ca="1">J686+J689</f>
        <v>151.61000000000001</v>
      </c>
      <c r="K683" s="264">
        <f t="shared" ca="1" si="462"/>
        <v>23.076103500761036</v>
      </c>
      <c r="L683" s="87"/>
      <c r="M683" s="87"/>
      <c r="N683" s="752"/>
      <c r="O683" s="87"/>
      <c r="P683" s="87"/>
      <c r="Q683" s="86"/>
      <c r="R683" s="87"/>
      <c r="S683" s="752"/>
      <c r="T683" s="87"/>
      <c r="U683" s="87"/>
    </row>
    <row r="684" spans="1:21" ht="18.75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f ca="1">IFERROR(__xludf.DUMMYFUNCTION("IMPORTRANGE(""https://docs.google.com/spreadsheets/d/13wPX838HrBrQMCywv1BsuMkt4PEKTChp52zj44s2izQ/edit?usp=sharing"",""กาญจนบุรี!J683"")+IMPORTRANGE(""https://docs.google.com/spreadsheets/d/1ddFKvqj1W1NEiWytbGlB1zMx_ykJDVtmfEQ-6-lIUBA/edit?usp=sharing"","&amp;"""จันทบุรี!J683"")+IMPORTRANGE(""https://docs.google.com/spreadsheets/d/1T1PQvRODqOBZk8BRht_U031fIS1beLA0Ub2CEytj2q0/edit?usp=sharing"",""ฉะเชิงเทรา!J683"")+IMPORTRANGE(""https://docs.google.com/spreadsheets/d/11tr1B-Bhyr79v2bkwVh5h_fR-PStkgjlZtkrZpYurG0/"&amp;"edit?usp=sharing"",""ชลบุรี!J683"")+IMPORTRANGE(""https://docs.google.com/spreadsheets/d/1hh-FVnSX0vozXhGluamEcS54Dw9_zqW0N7qJUWgJ0Sw/edit?usp=sharing"",""ชัยนาท!J683"")+IMPORTRANGE(""https://docs.google.com/spreadsheets/d/1jkqa6GXxSacMcY1eN8AHjMNJ_7dDXMJ"&amp;"VRLDlaFSOdPM/edit?usp=sharing"",""ตราด!J683"")+IMPORTRANGE(""https://docs.google.com/spreadsheets/d/18hSgUJ3VwClqi_qtULmmW3cLr0oe3OKaSYoKzdpTsYQ/edit?usp=sharing"",""นครนายก!J683"")+IMPORTRANGE(""https://docs.google.com/spreadsheets/d/1YTZo6WM2dQ6Ix6FSdnL"&amp;"5P7uVnVKu40sxZu975tgG10E/edit?usp=sharing"",""นครปฐม!J683"")+IMPORTRANGE(""https://docs.google.com/spreadsheets/d/1OYoGg4WDg5RIzwGeB10padOxJF9E_Vljuvvct_M7RDo/edit?usp=sharing"",""ปทุมธานี!J683"")+IMPORTRANGE(""https://docs.google.com/spreadsheets/d/1GbCI"&amp;"E4D4wk9FUozzqk7SxfDMxDVBwVmI5zcaVUSzKAc/edit?usp=sharing"",""ประจวบคีรีขันธ์!J683"")+IMPORTRANGE(""https://docs.google.com/spreadsheets/d/1vVf6wykvW_lAyu7Yo9L4hUTqHqIeP_qcVuxCtosJEbg/edit?usp=sharing"",""ปราจีนบุรี!J683"")+IMPORTRANGE(""https://docs.googl"&amp;"e.com/spreadsheets/d/1BIDqLLg5jk3v59G8NlR8rk5xfQDKne0sAvZHSj7TI6I/edit?usp=sharing"",""พระนครศรีอยุธยา!J683"")+IMPORTRANGE(""https://docs.google.com/spreadsheets/d/1YXvxf8Yu6_rV4hTBrwMqAcAnv6DfhUxh5emyM3CJp_w/edit?usp=sharing"",""เพชรบุรี!J683"")+IMPORTRA"&amp;"NGE(""https://docs.google.com/spreadsheets/d/19KBlQQs7uwvsao6t2n-KvW3Ax8J8uRRfZPq1zPbXgKc/edit?usp=sharing"",""ระยอง!J683"")+IMPORTRANGE(""https://docs.google.com/spreadsheets/d/1jQ6P4QcrGM89YfqcC_PxOHGCMq5ezhucwJd8ci-NHng/edit?usp=sharing"",""ราชบุรี!J68"&amp;"3"")+IMPORTRANGE(""https://docs.google.com/spreadsheets/d/1lufeA2cfFqM-elVq2hznhDzC6Pr7wkJ9ZG_sYNGCMCU/edit?usp=sharing"",""ลพบุรี!J683"")+IMPORTRANGE(""https://docs.google.com/spreadsheets/d/10oOiF7loTyfsTkbd4MpaIm0HQ9SwB7IYHdIUvt-U1Uc/edit?usp=sharing"""&amp;",""สระแก้ว!J683"")+IMPORTRANGE(""https://docs.google.com/spreadsheets/d/1xmPlrr1QbdSIKvl1dWUl9K4PjAfSL9oeMr_37QVzcxc/edit?usp=sharing"",""สระบุรี!J683"")+IMPORTRANGE(""https://docs.google.com/spreadsheets/d/1j51vR6CYVGhABJpv6tkstgok82RLpXieLzW1yOY5rHw/edi"&amp;"t?usp=sharing"",""สิงห์บุรี!J683"")+IMPORTRANGE(""https://docs.google.com/spreadsheets/d/1H1EalTWKUSzO4Z1-1CwzoDUaVffgrThEBe2sl74kKG0/edit?usp=sharing"",""สุพรรณบุรี!J683"")+IMPORTRANGE(""https://docs.google.com/spreadsheets/d/1BmIruG_sIrJLYao_Pdr7zVArWsf"&amp;"oBt2692TMi6x_854/edit?usp=sharing"",""อ่างทอง!J683"")"),15)</f>
        <v>15</v>
      </c>
      <c r="K684" s="87"/>
      <c r="L684" s="752"/>
      <c r="M684" s="87"/>
      <c r="N684" s="752"/>
      <c r="O684" s="87"/>
      <c r="P684" s="87"/>
      <c r="Q684" s="754"/>
      <c r="R684" s="87"/>
      <c r="S684" s="752"/>
      <c r="T684" s="87"/>
      <c r="U684" s="87"/>
    </row>
    <row r="685" spans="1:21" ht="18.75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f ca="1">IFERROR(__xludf.DUMMYFUNCTION("IMPORTRANGE(""https://docs.google.com/spreadsheets/d/13wPX838HrBrQMCywv1BsuMkt4PEKTChp52zj44s2izQ/edit?usp=sharing"",""กาญจนบุรี!J684"")+IMPORTRANGE(""https://docs.google.com/spreadsheets/d/1ddFKvqj1W1NEiWytbGlB1zMx_ykJDVtmfEQ-6-lIUBA/edit?usp=sharing"","&amp;"""จันทบุรี!J684"")+IMPORTRANGE(""https://docs.google.com/spreadsheets/d/1T1PQvRODqOBZk8BRht_U031fIS1beLA0Ub2CEytj2q0/edit?usp=sharing"",""ฉะเชิงเทรา!J684"")+IMPORTRANGE(""https://docs.google.com/spreadsheets/d/11tr1B-Bhyr79v2bkwVh5h_fR-PStkgjlZtkrZpYurG0/"&amp;"edit?usp=sharing"",""ชลบุรี!J684"")+IMPORTRANGE(""https://docs.google.com/spreadsheets/d/1hh-FVnSX0vozXhGluamEcS54Dw9_zqW0N7qJUWgJ0Sw/edit?usp=sharing"",""ชัยนาท!J684"")+IMPORTRANGE(""https://docs.google.com/spreadsheets/d/1jkqa6GXxSacMcY1eN8AHjMNJ_7dDXMJ"&amp;"VRLDlaFSOdPM/edit?usp=sharing"",""ตราด!J684"")+IMPORTRANGE(""https://docs.google.com/spreadsheets/d/18hSgUJ3VwClqi_qtULmmW3cLr0oe3OKaSYoKzdpTsYQ/edit?usp=sharing"",""นครนายก!J684"")+IMPORTRANGE(""https://docs.google.com/spreadsheets/d/1YTZo6WM2dQ6Ix6FSdnL"&amp;"5P7uVnVKu40sxZu975tgG10E/edit?usp=sharing"",""นครปฐม!J684"")+IMPORTRANGE(""https://docs.google.com/spreadsheets/d/1OYoGg4WDg5RIzwGeB10padOxJF9E_Vljuvvct_M7RDo/edit?usp=sharing"",""ปทุมธานี!J684"")+IMPORTRANGE(""https://docs.google.com/spreadsheets/d/1GbCI"&amp;"E4D4wk9FUozzqk7SxfDMxDVBwVmI5zcaVUSzKAc/edit?usp=sharing"",""ประจวบคีรีขันธ์!J684"")+IMPORTRANGE(""https://docs.google.com/spreadsheets/d/1vVf6wykvW_lAyu7Yo9L4hUTqHqIeP_qcVuxCtosJEbg/edit?usp=sharing"",""ปราจีนบุรี!J684"")+IMPORTRANGE(""https://docs.googl"&amp;"e.com/spreadsheets/d/1BIDqLLg5jk3v59G8NlR8rk5xfQDKne0sAvZHSj7TI6I/edit?usp=sharing"",""พระนครศรีอยุธยา!J684"")+IMPORTRANGE(""https://docs.google.com/spreadsheets/d/1YXvxf8Yu6_rV4hTBrwMqAcAnv6DfhUxh5emyM3CJp_w/edit?usp=sharing"",""เพชรบุรี!J684"")+IMPORTRA"&amp;"NGE(""https://docs.google.com/spreadsheets/d/19KBlQQs7uwvsao6t2n-KvW3Ax8J8uRRfZPq1zPbXgKc/edit?usp=sharing"",""ระยอง!J684"")+IMPORTRANGE(""https://docs.google.com/spreadsheets/d/1jQ6P4QcrGM89YfqcC_PxOHGCMq5ezhucwJd8ci-NHng/edit?usp=sharing"",""ราชบุรี!J68"&amp;"4"")+IMPORTRANGE(""https://docs.google.com/spreadsheets/d/1lufeA2cfFqM-elVq2hznhDzC6Pr7wkJ9ZG_sYNGCMCU/edit?usp=sharing"",""ลพบุรี!J684"")+IMPORTRANGE(""https://docs.google.com/spreadsheets/d/10oOiF7loTyfsTkbd4MpaIm0HQ9SwB7IYHdIUvt-U1Uc/edit?usp=sharing"""&amp;",""สระแก้ว!J684"")+IMPORTRANGE(""https://docs.google.com/spreadsheets/d/1xmPlrr1QbdSIKvl1dWUl9K4PjAfSL9oeMr_37QVzcxc/edit?usp=sharing"",""สระบุรี!J684"")+IMPORTRANGE(""https://docs.google.com/spreadsheets/d/1j51vR6CYVGhABJpv6tkstgok82RLpXieLzW1yOY5rHw/edi"&amp;"t?usp=sharing"",""สิงห์บุรี!J684"")+IMPORTRANGE(""https://docs.google.com/spreadsheets/d/1H1EalTWKUSzO4Z1-1CwzoDUaVffgrThEBe2sl74kKG0/edit?usp=sharing"",""สุพรรณบุรี!J684"")+IMPORTRANGE(""https://docs.google.com/spreadsheets/d/1BmIruG_sIrJLYao_Pdr7zVArWsf"&amp;"oBt2692TMi6x_854/edit?usp=sharing"",""อ่างทอง!J684"")"),11)</f>
        <v>11</v>
      </c>
      <c r="K685" s="87"/>
      <c r="L685" s="752"/>
      <c r="M685" s="87"/>
      <c r="N685" s="752"/>
      <c r="O685" s="87"/>
      <c r="P685" s="87"/>
      <c r="Q685" s="754"/>
      <c r="R685" s="87"/>
      <c r="S685" s="752"/>
      <c r="T685" s="87"/>
      <c r="U685" s="87"/>
    </row>
    <row r="686" spans="1:21" ht="18.75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f ca="1">IFERROR(__xludf.DUMMYFUNCTION("IMPORTRANGE(""https://docs.google.com/spreadsheets/d/13wPX838HrBrQMCywv1BsuMkt4PEKTChp52zj44s2izQ/edit?usp=sharing"",""กาญจนบุรี!J685"")+IMPORTRANGE(""https://docs.google.com/spreadsheets/d/1ddFKvqj1W1NEiWytbGlB1zMx_ykJDVtmfEQ-6-lIUBA/edit?usp=sharing"","&amp;"""จันทบุรี!J685"")+IMPORTRANGE(""https://docs.google.com/spreadsheets/d/1T1PQvRODqOBZk8BRht_U031fIS1beLA0Ub2CEytj2q0/edit?usp=sharing"",""ฉะเชิงเทรา!J685"")+IMPORTRANGE(""https://docs.google.com/spreadsheets/d/11tr1B-Bhyr79v2bkwVh5h_fR-PStkgjlZtkrZpYurG0/"&amp;"edit?usp=sharing"",""ชลบุรี!J685"")+IMPORTRANGE(""https://docs.google.com/spreadsheets/d/1hh-FVnSX0vozXhGluamEcS54Dw9_zqW0N7qJUWgJ0Sw/edit?usp=sharing"",""ชัยนาท!J685"")+IMPORTRANGE(""https://docs.google.com/spreadsheets/d/1jkqa6GXxSacMcY1eN8AHjMNJ_7dDXMJ"&amp;"VRLDlaFSOdPM/edit?usp=sharing"",""ตราด!J685"")+IMPORTRANGE(""https://docs.google.com/spreadsheets/d/18hSgUJ3VwClqi_qtULmmW3cLr0oe3OKaSYoKzdpTsYQ/edit?usp=sharing"",""นครนายก!J685"")+IMPORTRANGE(""https://docs.google.com/spreadsheets/d/1YTZo6WM2dQ6Ix6FSdnL"&amp;"5P7uVnVKu40sxZu975tgG10E/edit?usp=sharing"",""นครปฐม!J685"")+IMPORTRANGE(""https://docs.google.com/spreadsheets/d/1OYoGg4WDg5RIzwGeB10padOxJF9E_Vljuvvct_M7RDo/edit?usp=sharing"",""ปทุมธานี!J685"")+IMPORTRANGE(""https://docs.google.com/spreadsheets/d/1GbCI"&amp;"E4D4wk9FUozzqk7SxfDMxDVBwVmI5zcaVUSzKAc/edit?usp=sharing"",""ประจวบคีรีขันธ์!J685"")+IMPORTRANGE(""https://docs.google.com/spreadsheets/d/1vVf6wykvW_lAyu7Yo9L4hUTqHqIeP_qcVuxCtosJEbg/edit?usp=sharing"",""ปราจีนบุรี!J685"")+IMPORTRANGE(""https://docs.googl"&amp;"e.com/spreadsheets/d/1BIDqLLg5jk3v59G8NlR8rk5xfQDKne0sAvZHSj7TI6I/edit?usp=sharing"",""พระนครศรีอยุธยา!J685"")+IMPORTRANGE(""https://docs.google.com/spreadsheets/d/1YXvxf8Yu6_rV4hTBrwMqAcAnv6DfhUxh5emyM3CJp_w/edit?usp=sharing"",""เพชรบุรี!J685"")+IMPORTRA"&amp;"NGE(""https://docs.google.com/spreadsheets/d/19KBlQQs7uwvsao6t2n-KvW3Ax8J8uRRfZPq1zPbXgKc/edit?usp=sharing"",""ระยอง!J685"")+IMPORTRANGE(""https://docs.google.com/spreadsheets/d/1jQ6P4QcrGM89YfqcC_PxOHGCMq5ezhucwJd8ci-NHng/edit?usp=sharing"",""ราชบุรี!J68"&amp;"5"")+IMPORTRANGE(""https://docs.google.com/spreadsheets/d/1lufeA2cfFqM-elVq2hznhDzC6Pr7wkJ9ZG_sYNGCMCU/edit?usp=sharing"",""ลพบุรี!J685"")+IMPORTRANGE(""https://docs.google.com/spreadsheets/d/10oOiF7loTyfsTkbd4MpaIm0HQ9SwB7IYHdIUvt-U1Uc/edit?usp=sharing"""&amp;",""สระแก้ว!J685"")+IMPORTRANGE(""https://docs.google.com/spreadsheets/d/1xmPlrr1QbdSIKvl1dWUl9K4PjAfSL9oeMr_37QVzcxc/edit?usp=sharing"",""สระบุรี!J685"")+IMPORTRANGE(""https://docs.google.com/spreadsheets/d/1j51vR6CYVGhABJpv6tkstgok82RLpXieLzW1yOY5rHw/edi"&amp;"t?usp=sharing"",""สิงห์บุรี!J685"")+IMPORTRANGE(""https://docs.google.com/spreadsheets/d/1H1EalTWKUSzO4Z1-1CwzoDUaVffgrThEBe2sl74kKG0/edit?usp=sharing"",""สุพรรณบุรี!J685"")+IMPORTRANGE(""https://docs.google.com/spreadsheets/d/1BmIruG_sIrJLYao_Pdr7zVArWsf"&amp;"oBt2692TMi6x_854/edit?usp=sharing"",""อ่างทอง!J685"")"),112.61)</f>
        <v>112.61</v>
      </c>
      <c r="K686" s="87"/>
      <c r="L686" s="752"/>
      <c r="M686" s="87"/>
      <c r="N686" s="752"/>
      <c r="O686" s="87"/>
      <c r="P686" s="87"/>
      <c r="Q686" s="754"/>
      <c r="R686" s="87"/>
      <c r="S686" s="752"/>
      <c r="T686" s="87"/>
      <c r="U686" s="87"/>
    </row>
    <row r="687" spans="1:21" ht="18.75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f ca="1">IFERROR(__xludf.DUMMYFUNCTION("IMPORTRANGE(""https://docs.google.com/spreadsheets/d/13wPX838HrBrQMCywv1BsuMkt4PEKTChp52zj44s2izQ/edit?usp=sharing"",""กาญจนบุรี!J686"")+IMPORTRANGE(""https://docs.google.com/spreadsheets/d/1ddFKvqj1W1NEiWytbGlB1zMx_ykJDVtmfEQ-6-lIUBA/edit?usp=sharing"","&amp;"""จันทบุรี!J686"")+IMPORTRANGE(""https://docs.google.com/spreadsheets/d/1T1PQvRODqOBZk8BRht_U031fIS1beLA0Ub2CEytj2q0/edit?usp=sharing"",""ฉะเชิงเทรา!J686"")+IMPORTRANGE(""https://docs.google.com/spreadsheets/d/11tr1B-Bhyr79v2bkwVh5h_fR-PStkgjlZtkrZpYurG0/"&amp;"edit?usp=sharing"",""ชลบุรี!J686"")+IMPORTRANGE(""https://docs.google.com/spreadsheets/d/1hh-FVnSX0vozXhGluamEcS54Dw9_zqW0N7qJUWgJ0Sw/edit?usp=sharing"",""ชัยนาท!J686"")+IMPORTRANGE(""https://docs.google.com/spreadsheets/d/1jkqa6GXxSacMcY1eN8AHjMNJ_7dDXMJ"&amp;"VRLDlaFSOdPM/edit?usp=sharing"",""ตราด!J686"")+IMPORTRANGE(""https://docs.google.com/spreadsheets/d/18hSgUJ3VwClqi_qtULmmW3cLr0oe3OKaSYoKzdpTsYQ/edit?usp=sharing"",""นครนายก!J686"")+IMPORTRANGE(""https://docs.google.com/spreadsheets/d/1YTZo6WM2dQ6Ix6FSdnL"&amp;"5P7uVnVKu40sxZu975tgG10E/edit?usp=sharing"",""นครปฐม!J686"")+IMPORTRANGE(""https://docs.google.com/spreadsheets/d/1OYoGg4WDg5RIzwGeB10padOxJF9E_Vljuvvct_M7RDo/edit?usp=sharing"",""ปทุมธานี!J686"")+IMPORTRANGE(""https://docs.google.com/spreadsheets/d/1GbCI"&amp;"E4D4wk9FUozzqk7SxfDMxDVBwVmI5zcaVUSzKAc/edit?usp=sharing"",""ประจวบคีรีขันธ์!J686"")+IMPORTRANGE(""https://docs.google.com/spreadsheets/d/1vVf6wykvW_lAyu7Yo9L4hUTqHqIeP_qcVuxCtosJEbg/edit?usp=sharing"",""ปราจีนบุรี!J686"")+IMPORTRANGE(""https://docs.googl"&amp;"e.com/spreadsheets/d/1BIDqLLg5jk3v59G8NlR8rk5xfQDKne0sAvZHSj7TI6I/edit?usp=sharing"",""พระนครศรีอยุธยา!J686"")+IMPORTRANGE(""https://docs.google.com/spreadsheets/d/1YXvxf8Yu6_rV4hTBrwMqAcAnv6DfhUxh5emyM3CJp_w/edit?usp=sharing"",""เพชรบุรี!J686"")+IMPORTRA"&amp;"NGE(""https://docs.google.com/spreadsheets/d/19KBlQQs7uwvsao6t2n-KvW3Ax8J8uRRfZPq1zPbXgKc/edit?usp=sharing"",""ระยอง!J686"")+IMPORTRANGE(""https://docs.google.com/spreadsheets/d/1jQ6P4QcrGM89YfqcC_PxOHGCMq5ezhucwJd8ci-NHng/edit?usp=sharing"",""ราชบุรี!J68"&amp;"6"")+IMPORTRANGE(""https://docs.google.com/spreadsheets/d/1lufeA2cfFqM-elVq2hznhDzC6Pr7wkJ9ZG_sYNGCMCU/edit?usp=sharing"",""ลพบุรี!J686"")+IMPORTRANGE(""https://docs.google.com/spreadsheets/d/10oOiF7loTyfsTkbd4MpaIm0HQ9SwB7IYHdIUvt-U1Uc/edit?usp=sharing"""&amp;",""สระแก้ว!J686"")+IMPORTRANGE(""https://docs.google.com/spreadsheets/d/1xmPlrr1QbdSIKvl1dWUl9K4PjAfSL9oeMr_37QVzcxc/edit?usp=sharing"",""สระบุรี!J686"")+IMPORTRANGE(""https://docs.google.com/spreadsheets/d/1j51vR6CYVGhABJpv6tkstgok82RLpXieLzW1yOY5rHw/edi"&amp;"t?usp=sharing"",""สิงห์บุรี!J686"")+IMPORTRANGE(""https://docs.google.com/spreadsheets/d/1H1EalTWKUSzO4Z1-1CwzoDUaVffgrThEBe2sl74kKG0/edit?usp=sharing"",""สุพรรณบุรี!J686"")+IMPORTRANGE(""https://docs.google.com/spreadsheets/d/1BmIruG_sIrJLYao_Pdr7zVArWsf"&amp;"oBt2692TMi6x_854/edit?usp=sharing"",""อ่างทอง!J686"")"),15)</f>
        <v>15</v>
      </c>
      <c r="K687" s="87"/>
      <c r="L687" s="752"/>
      <c r="M687" s="87"/>
      <c r="N687" s="752"/>
      <c r="O687" s="87"/>
      <c r="P687" s="87"/>
      <c r="Q687" s="754"/>
      <c r="R687" s="87"/>
      <c r="S687" s="752"/>
      <c r="T687" s="87"/>
      <c r="U687" s="87"/>
    </row>
    <row r="688" spans="1:21" ht="18.75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f ca="1">IFERROR(__xludf.DUMMYFUNCTION("IMPORTRANGE(""https://docs.google.com/spreadsheets/d/13wPX838HrBrQMCywv1BsuMkt4PEKTChp52zj44s2izQ/edit?usp=sharing"",""กาญจนบุรี!J687"")+IMPORTRANGE(""https://docs.google.com/spreadsheets/d/1ddFKvqj1W1NEiWytbGlB1zMx_ykJDVtmfEQ-6-lIUBA/edit?usp=sharing"","&amp;"""จันทบุรี!J687"")+IMPORTRANGE(""https://docs.google.com/spreadsheets/d/1T1PQvRODqOBZk8BRht_U031fIS1beLA0Ub2CEytj2q0/edit?usp=sharing"",""ฉะเชิงเทรา!J687"")+IMPORTRANGE(""https://docs.google.com/spreadsheets/d/11tr1B-Bhyr79v2bkwVh5h_fR-PStkgjlZtkrZpYurG0/"&amp;"edit?usp=sharing"",""ชลบุรี!J687"")+IMPORTRANGE(""https://docs.google.com/spreadsheets/d/1hh-FVnSX0vozXhGluamEcS54Dw9_zqW0N7qJUWgJ0Sw/edit?usp=sharing"",""ชัยนาท!J687"")+IMPORTRANGE(""https://docs.google.com/spreadsheets/d/1jkqa6GXxSacMcY1eN8AHjMNJ_7dDXMJ"&amp;"VRLDlaFSOdPM/edit?usp=sharing"",""ตราด!J687"")+IMPORTRANGE(""https://docs.google.com/spreadsheets/d/18hSgUJ3VwClqi_qtULmmW3cLr0oe3OKaSYoKzdpTsYQ/edit?usp=sharing"",""นครนายก!J687"")+IMPORTRANGE(""https://docs.google.com/spreadsheets/d/1YTZo6WM2dQ6Ix6FSdnL"&amp;"5P7uVnVKu40sxZu975tgG10E/edit?usp=sharing"",""นครปฐม!J687"")+IMPORTRANGE(""https://docs.google.com/spreadsheets/d/1OYoGg4WDg5RIzwGeB10padOxJF9E_Vljuvvct_M7RDo/edit?usp=sharing"",""ปทุมธานี!J687"")+IMPORTRANGE(""https://docs.google.com/spreadsheets/d/1GbCI"&amp;"E4D4wk9FUozzqk7SxfDMxDVBwVmI5zcaVUSzKAc/edit?usp=sharing"",""ประจวบคีรีขันธ์!J687"")+IMPORTRANGE(""https://docs.google.com/spreadsheets/d/1vVf6wykvW_lAyu7Yo9L4hUTqHqIeP_qcVuxCtosJEbg/edit?usp=sharing"",""ปราจีนบุรี!J687"")+IMPORTRANGE(""https://docs.googl"&amp;"e.com/spreadsheets/d/1BIDqLLg5jk3v59G8NlR8rk5xfQDKne0sAvZHSj7TI6I/edit?usp=sharing"",""พระนครศรีอยุธยา!J687"")+IMPORTRANGE(""https://docs.google.com/spreadsheets/d/1YXvxf8Yu6_rV4hTBrwMqAcAnv6DfhUxh5emyM3CJp_w/edit?usp=sharing"",""เพชรบุรี!J687"")+IMPORTRA"&amp;"NGE(""https://docs.google.com/spreadsheets/d/19KBlQQs7uwvsao6t2n-KvW3Ax8J8uRRfZPq1zPbXgKc/edit?usp=sharing"",""ระยอง!J687"")+IMPORTRANGE(""https://docs.google.com/spreadsheets/d/1jQ6P4QcrGM89YfqcC_PxOHGCMq5ezhucwJd8ci-NHng/edit?usp=sharing"",""ราชบุรี!J68"&amp;"7"")+IMPORTRANGE(""https://docs.google.com/spreadsheets/d/1lufeA2cfFqM-elVq2hznhDzC6Pr7wkJ9ZG_sYNGCMCU/edit?usp=sharing"",""ลพบุรี!J687"")+IMPORTRANGE(""https://docs.google.com/spreadsheets/d/10oOiF7loTyfsTkbd4MpaIm0HQ9SwB7IYHdIUvt-U1Uc/edit?usp=sharing"""&amp;",""สระแก้ว!J687"")+IMPORTRANGE(""https://docs.google.com/spreadsheets/d/1xmPlrr1QbdSIKvl1dWUl9K4PjAfSL9oeMr_37QVzcxc/edit?usp=sharing"",""สระบุรี!J687"")+IMPORTRANGE(""https://docs.google.com/spreadsheets/d/1j51vR6CYVGhABJpv6tkstgok82RLpXieLzW1yOY5rHw/edi"&amp;"t?usp=sharing"",""สิงห์บุรี!J687"")+IMPORTRANGE(""https://docs.google.com/spreadsheets/d/1H1EalTWKUSzO4Z1-1CwzoDUaVffgrThEBe2sl74kKG0/edit?usp=sharing"",""สุพรรณบุรี!J687"")+IMPORTRANGE(""https://docs.google.com/spreadsheets/d/1BmIruG_sIrJLYao_Pdr7zVArWsf"&amp;"oBt2692TMi6x_854/edit?usp=sharing"",""อ่างทอง!J687"")"),3)</f>
        <v>3</v>
      </c>
      <c r="K688" s="87"/>
      <c r="L688" s="752"/>
      <c r="M688" s="87"/>
      <c r="N688" s="752"/>
      <c r="O688" s="87"/>
      <c r="P688" s="87"/>
      <c r="Q688" s="754"/>
      <c r="R688" s="87"/>
      <c r="S688" s="752"/>
      <c r="T688" s="87"/>
      <c r="U688" s="87"/>
    </row>
    <row r="689" spans="1:21" ht="19.5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f ca="1">IFERROR(__xludf.DUMMYFUNCTION("IMPORTRANGE(""https://docs.google.com/spreadsheets/d/13wPX838HrBrQMCywv1BsuMkt4PEKTChp52zj44s2izQ/edit?usp=sharing"",""กาญจนบุรี!J688"")+IMPORTRANGE(""https://docs.google.com/spreadsheets/d/1ddFKvqj1W1NEiWytbGlB1zMx_ykJDVtmfEQ-6-lIUBA/edit?usp=sharing"","&amp;"""จันทบุรี!J688"")+IMPORTRANGE(""https://docs.google.com/spreadsheets/d/1T1PQvRODqOBZk8BRht_U031fIS1beLA0Ub2CEytj2q0/edit?usp=sharing"",""ฉะเชิงเทรา!J688"")+IMPORTRANGE(""https://docs.google.com/spreadsheets/d/11tr1B-Bhyr79v2bkwVh5h_fR-PStkgjlZtkrZpYurG0/"&amp;"edit?usp=sharing"",""ชลบุรี!J688"")+IMPORTRANGE(""https://docs.google.com/spreadsheets/d/1hh-FVnSX0vozXhGluamEcS54Dw9_zqW0N7qJUWgJ0Sw/edit?usp=sharing"",""ชัยนาท!J688"")+IMPORTRANGE(""https://docs.google.com/spreadsheets/d/1jkqa6GXxSacMcY1eN8AHjMNJ_7dDXMJ"&amp;"VRLDlaFSOdPM/edit?usp=sharing"",""ตราด!J688"")+IMPORTRANGE(""https://docs.google.com/spreadsheets/d/18hSgUJ3VwClqi_qtULmmW3cLr0oe3OKaSYoKzdpTsYQ/edit?usp=sharing"",""นครนายก!J688"")+IMPORTRANGE(""https://docs.google.com/spreadsheets/d/1YTZo6WM2dQ6Ix6FSdnL"&amp;"5P7uVnVKu40sxZu975tgG10E/edit?usp=sharing"",""นครปฐม!J688"")+IMPORTRANGE(""https://docs.google.com/spreadsheets/d/1OYoGg4WDg5RIzwGeB10padOxJF9E_Vljuvvct_M7RDo/edit?usp=sharing"",""ปทุมธานี!J688"")+IMPORTRANGE(""https://docs.google.com/spreadsheets/d/1GbCI"&amp;"E4D4wk9FUozzqk7SxfDMxDVBwVmI5zcaVUSzKAc/edit?usp=sharing"",""ประจวบคีรีขันธ์!J688"")+IMPORTRANGE(""https://docs.google.com/spreadsheets/d/1vVf6wykvW_lAyu7Yo9L4hUTqHqIeP_qcVuxCtosJEbg/edit?usp=sharing"",""ปราจีนบุรี!J688"")+IMPORTRANGE(""https://docs.googl"&amp;"e.com/spreadsheets/d/1BIDqLLg5jk3v59G8NlR8rk5xfQDKne0sAvZHSj7TI6I/edit?usp=sharing"",""พระนครศรีอยุธยา!J688"")+IMPORTRANGE(""https://docs.google.com/spreadsheets/d/1YXvxf8Yu6_rV4hTBrwMqAcAnv6DfhUxh5emyM3CJp_w/edit?usp=sharing"",""เพชรบุรี!J688"")+IMPORTRA"&amp;"NGE(""https://docs.google.com/spreadsheets/d/19KBlQQs7uwvsao6t2n-KvW3Ax8J8uRRfZPq1zPbXgKc/edit?usp=sharing"",""ระยอง!J688"")+IMPORTRANGE(""https://docs.google.com/spreadsheets/d/1jQ6P4QcrGM89YfqcC_PxOHGCMq5ezhucwJd8ci-NHng/edit?usp=sharing"",""ราชบุรี!J68"&amp;"8"")+IMPORTRANGE(""https://docs.google.com/spreadsheets/d/1lufeA2cfFqM-elVq2hznhDzC6Pr7wkJ9ZG_sYNGCMCU/edit?usp=sharing"",""ลพบุรี!J688"")+IMPORTRANGE(""https://docs.google.com/spreadsheets/d/10oOiF7loTyfsTkbd4MpaIm0HQ9SwB7IYHdIUvt-U1Uc/edit?usp=sharing"""&amp;",""สระแก้ว!J688"")+IMPORTRANGE(""https://docs.google.com/spreadsheets/d/1xmPlrr1QbdSIKvl1dWUl9K4PjAfSL9oeMr_37QVzcxc/edit?usp=sharing"",""สระบุรี!J688"")+IMPORTRANGE(""https://docs.google.com/spreadsheets/d/1j51vR6CYVGhABJpv6tkstgok82RLpXieLzW1yOY5rHw/edi"&amp;"t?usp=sharing"",""สิงห์บุรี!J688"")+IMPORTRANGE(""https://docs.google.com/spreadsheets/d/1H1EalTWKUSzO4Z1-1CwzoDUaVffgrThEBe2sl74kKG0/edit?usp=sharing"",""สุพรรณบุรี!J688"")+IMPORTRANGE(""https://docs.google.com/spreadsheets/d/1BmIruG_sIrJLYao_Pdr7zVArWsf"&amp;"oBt2692TMi6x_854/edit?usp=sharing"",""อ่างทอง!J688"")"),39)</f>
        <v>39</v>
      </c>
      <c r="K689" s="98"/>
      <c r="L689" s="762"/>
      <c r="M689" s="98"/>
      <c r="N689" s="762"/>
      <c r="O689" s="98"/>
      <c r="P689" s="98"/>
      <c r="Q689" s="763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64" t="s">
        <v>35</v>
      </c>
      <c r="I690" s="765">
        <f t="shared" ref="I690:J690" ca="1" si="463">I708</f>
        <v>668</v>
      </c>
      <c r="J690" s="765">
        <f t="shared" ca="1" si="463"/>
        <v>55</v>
      </c>
      <c r="K690" s="766">
        <f ca="1">IF(I690&gt;0,J690*100/I690,0)</f>
        <v>8.2335329341317358</v>
      </c>
      <c r="L690" s="733"/>
      <c r="M690" s="733"/>
      <c r="N690" s="733"/>
      <c r="O690" s="733"/>
      <c r="P690" s="733"/>
      <c r="Q690" s="734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42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264">
        <f t="shared" ref="L691:N691" ca="1" si="464">L692+L693</f>
        <v>0</v>
      </c>
      <c r="M691" s="264">
        <f t="shared" ca="1" si="464"/>
        <v>0</v>
      </c>
      <c r="N691" s="264">
        <f t="shared" ca="1" si="464"/>
        <v>0</v>
      </c>
      <c r="O691" s="264">
        <f t="shared" ref="O691:O699" ca="1" si="465">IF(L691&gt;0,N691*100/L691,0)</f>
        <v>0</v>
      </c>
      <c r="P691" s="264">
        <f t="shared" ref="P691:P699" ca="1" si="466">IF(M691&gt;0,N691*100/M691,0)</f>
        <v>0</v>
      </c>
      <c r="Q691" s="214">
        <f t="shared" ref="Q691:S691" ca="1" si="467">Q692+Q693</f>
        <v>2322060</v>
      </c>
      <c r="R691" s="215">
        <f t="shared" ca="1" si="467"/>
        <v>2322060</v>
      </c>
      <c r="S691" s="215">
        <f t="shared" ca="1" si="467"/>
        <v>104051</v>
      </c>
      <c r="T691" s="215">
        <f t="shared" ref="T691:T699" ca="1" si="468">IF(Q691&gt;0,S691*100/Q691,0)</f>
        <v>4.4809780970345301</v>
      </c>
      <c r="U691" s="215">
        <f t="shared" ref="U691:U699" ca="1" si="469">IF(R691&gt;0,S691*100/R691,0)</f>
        <v>4.4809780970345301</v>
      </c>
    </row>
    <row r="692" spans="1:21" ht="18.75" x14ac:dyDescent="0.25">
      <c r="A692" s="257"/>
      <c r="B692" s="269"/>
      <c r="C692" s="269"/>
      <c r="D692" s="290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7">
        <f t="shared" ref="L692:N692" ca="1" si="470">L695+L698</f>
        <v>0</v>
      </c>
      <c r="M692" s="77">
        <f t="shared" ca="1" si="470"/>
        <v>0</v>
      </c>
      <c r="N692" s="77">
        <f t="shared" ca="1" si="470"/>
        <v>0</v>
      </c>
      <c r="O692" s="77">
        <f t="shared" ca="1" si="465"/>
        <v>0</v>
      </c>
      <c r="P692" s="77">
        <f t="shared" ca="1" si="466"/>
        <v>0</v>
      </c>
      <c r="Q692" s="217">
        <f t="shared" ref="Q692:S692" ca="1" si="471">Q695+Q698</f>
        <v>0</v>
      </c>
      <c r="R692" s="133">
        <f t="shared" ca="1" si="471"/>
        <v>0</v>
      </c>
      <c r="S692" s="133">
        <f t="shared" ca="1" si="471"/>
        <v>0</v>
      </c>
      <c r="T692" s="133">
        <f t="shared" ca="1" si="468"/>
        <v>0</v>
      </c>
      <c r="U692" s="133">
        <f t="shared" ca="1" si="469"/>
        <v>0</v>
      </c>
    </row>
    <row r="693" spans="1:21" ht="18.75" x14ac:dyDescent="0.25">
      <c r="A693" s="257"/>
      <c r="B693" s="269"/>
      <c r="C693" s="269"/>
      <c r="D693" s="290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4">
        <f t="shared" ref="L693:N693" ca="1" si="472">L696+L699</f>
        <v>0</v>
      </c>
      <c r="M693" s="74">
        <f t="shared" ca="1" si="472"/>
        <v>0</v>
      </c>
      <c r="N693" s="74">
        <f t="shared" ca="1" si="472"/>
        <v>0</v>
      </c>
      <c r="O693" s="74">
        <f t="shared" ca="1" si="465"/>
        <v>0</v>
      </c>
      <c r="P693" s="74">
        <f t="shared" ca="1" si="466"/>
        <v>0</v>
      </c>
      <c r="Q693" s="131">
        <f t="shared" ref="Q693:S693" ca="1" si="473">Q696+Q699</f>
        <v>2322060</v>
      </c>
      <c r="R693" s="132">
        <f t="shared" ca="1" si="473"/>
        <v>2322060</v>
      </c>
      <c r="S693" s="132">
        <f t="shared" ca="1" si="473"/>
        <v>104051</v>
      </c>
      <c r="T693" s="132">
        <f t="shared" ca="1" si="468"/>
        <v>4.4809780970345301</v>
      </c>
      <c r="U693" s="132">
        <f t="shared" ca="1" si="469"/>
        <v>4.4809780970345301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4">
        <f t="shared" ref="L694:N694" ca="1" si="474">L695+L696</f>
        <v>0</v>
      </c>
      <c r="M694" s="74">
        <f t="shared" ca="1" si="474"/>
        <v>0</v>
      </c>
      <c r="N694" s="74">
        <f t="shared" ca="1" si="474"/>
        <v>0</v>
      </c>
      <c r="O694" s="74">
        <f t="shared" ca="1" si="465"/>
        <v>0</v>
      </c>
      <c r="P694" s="74">
        <f t="shared" ca="1" si="466"/>
        <v>0</v>
      </c>
      <c r="Q694" s="131">
        <f t="shared" ref="Q694:S694" ca="1" si="475">Q695+Q696</f>
        <v>2322060</v>
      </c>
      <c r="R694" s="132">
        <f t="shared" ca="1" si="475"/>
        <v>2322060</v>
      </c>
      <c r="S694" s="132">
        <f t="shared" ca="1" si="475"/>
        <v>104051</v>
      </c>
      <c r="T694" s="132">
        <f t="shared" ca="1" si="468"/>
        <v>4.4809780970345301</v>
      </c>
      <c r="U694" s="132">
        <f t="shared" ca="1" si="469"/>
        <v>4.4809780970345301</v>
      </c>
    </row>
    <row r="695" spans="1:21" ht="18.75" x14ac:dyDescent="0.25">
      <c r="A695" s="257"/>
      <c r="B695" s="269"/>
      <c r="C695" s="269"/>
      <c r="D695" s="290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7">
        <f ca="1">IFERROR(__xludf.DUMMYFUNCTION("IMPORTRANGE(""https://docs.google.com/spreadsheets/d/13wPX838HrBrQMCywv1BsuMkt4PEKTChp52zj44s2izQ/edit?usp=sharing"",""กาญจนบุรี!L694"")+IMPORTRANGE(""https://docs.google.com/spreadsheets/d/1ddFKvqj1W1NEiWytbGlB1zMx_ykJDVtmfEQ-6-lIUBA/edit?usp=sharing"","&amp;"""จันทบุรี!L694"")+IMPORTRANGE(""https://docs.google.com/spreadsheets/d/1T1PQvRODqOBZk8BRht_U031fIS1beLA0Ub2CEytj2q0/edit?usp=sharing"",""ฉะเชิงเทรา!L694"")+IMPORTRANGE(""https://docs.google.com/spreadsheets/d/11tr1B-Bhyr79v2bkwVh5h_fR-PStkgjlZtkrZpYurG0/"&amp;"edit?usp=sharing"",""ชลบุรี!L694"")+IMPORTRANGE(""https://docs.google.com/spreadsheets/d/1hh-FVnSX0vozXhGluamEcS54Dw9_zqW0N7qJUWgJ0Sw/edit?usp=sharing"",""ชัยนาท!L694"")+IMPORTRANGE(""https://docs.google.com/spreadsheets/d/1jkqa6GXxSacMcY1eN8AHjMNJ_7dDXMJ"&amp;"VRLDlaFSOdPM/edit?usp=sharing"",""ตราด!L694"")+IMPORTRANGE(""https://docs.google.com/spreadsheets/d/18hSgUJ3VwClqi_qtULmmW3cLr0oe3OKaSYoKzdpTsYQ/edit?usp=sharing"",""นครนายก!L694"")+IMPORTRANGE(""https://docs.google.com/spreadsheets/d/1YTZo6WM2dQ6Ix6FSdnL"&amp;"5P7uVnVKu40sxZu975tgG10E/edit?usp=sharing"",""นครปฐม!L694"")+IMPORTRANGE(""https://docs.google.com/spreadsheets/d/1OYoGg4WDg5RIzwGeB10padOxJF9E_Vljuvvct_M7RDo/edit?usp=sharing"",""ปทุมธานี!L694"")+IMPORTRANGE(""https://docs.google.com/spreadsheets/d/1GbCI"&amp;"E4D4wk9FUozzqk7SxfDMxDVBwVmI5zcaVUSzKAc/edit?usp=sharing"",""ประจวบคีรีขันธ์!L694"")+IMPORTRANGE(""https://docs.google.com/spreadsheets/d/1vVf6wykvW_lAyu7Yo9L4hUTqHqIeP_qcVuxCtosJEbg/edit?usp=sharing"",""ปราจีนบุรี!L694"")+IMPORTRANGE(""https://docs.googl"&amp;"e.com/spreadsheets/d/1BIDqLLg5jk3v59G8NlR8rk5xfQDKne0sAvZHSj7TI6I/edit?usp=sharing"",""พระนครศรีอยุธยา!L694"")+IMPORTRANGE(""https://docs.google.com/spreadsheets/d/1YXvxf8Yu6_rV4hTBrwMqAcAnv6DfhUxh5emyM3CJp_w/edit?usp=sharing"",""เพชรบุรี!L694"")+IMPORTRA"&amp;"NGE(""https://docs.google.com/spreadsheets/d/19KBlQQs7uwvsao6t2n-KvW3Ax8J8uRRfZPq1zPbXgKc/edit?usp=sharing"",""ระยอง!L694"")+IMPORTRANGE(""https://docs.google.com/spreadsheets/d/1jQ6P4QcrGM89YfqcC_PxOHGCMq5ezhucwJd8ci-NHng/edit?usp=sharing"",""ราชบุรี!L69"&amp;"4"")+IMPORTRANGE(""https://docs.google.com/spreadsheets/d/1lufeA2cfFqM-elVq2hznhDzC6Pr7wkJ9ZG_sYNGCMCU/edit?usp=sharing"",""ลพบุรี!L694"")+IMPORTRANGE(""https://docs.google.com/spreadsheets/d/10oOiF7loTyfsTkbd4MpaIm0HQ9SwB7IYHdIUvt-U1Uc/edit?usp=sharing"""&amp;",""สระแก้ว!L694"")+IMPORTRANGE(""https://docs.google.com/spreadsheets/d/1xmPlrr1QbdSIKvl1dWUl9K4PjAfSL9oeMr_37QVzcxc/edit?usp=sharing"",""สระบุรี!L694"")+IMPORTRANGE(""https://docs.google.com/spreadsheets/d/1j51vR6CYVGhABJpv6tkstgok82RLpXieLzW1yOY5rHw/edi"&amp;"t?usp=sharing"",""สิงห์บุรี!L694"")+IMPORTRANGE(""https://docs.google.com/spreadsheets/d/1H1EalTWKUSzO4Z1-1CwzoDUaVffgrThEBe2sl74kKG0/edit?usp=sharing"",""สุพรรณบุรี!L694"")+IMPORTRANGE(""https://docs.google.com/spreadsheets/d/1BmIruG_sIrJLYao_Pdr7zVArWsf"&amp;"oBt2692TMi6x_854/edit?usp=sharing"",""อ่างทอง!L694"")"),0)</f>
        <v>0</v>
      </c>
      <c r="M695" s="77">
        <f ca="1">IFERROR(__xludf.DUMMYFUNCTION("IMPORTRANGE(""https://docs.google.com/spreadsheets/d/13wPX838HrBrQMCywv1BsuMkt4PEKTChp52zj44s2izQ/edit?usp=sharing"",""กาญจนบุรี!M694"")+IMPORTRANGE(""https://docs.google.com/spreadsheets/d/1ddFKvqj1W1NEiWytbGlB1zMx_ykJDVtmfEQ-6-lIUBA/edit?usp=sharing"","&amp;"""จันทบุรี!M694"")+IMPORTRANGE(""https://docs.google.com/spreadsheets/d/1T1PQvRODqOBZk8BRht_U031fIS1beLA0Ub2CEytj2q0/edit?usp=sharing"",""ฉะเชิงเทรา!M694"")+IMPORTRANGE(""https://docs.google.com/spreadsheets/d/11tr1B-Bhyr79v2bkwVh5h_fR-PStkgjlZtkrZpYurG0/"&amp;"edit?usp=sharing"",""ชลบุรี!M694"")+IMPORTRANGE(""https://docs.google.com/spreadsheets/d/1hh-FVnSX0vozXhGluamEcS54Dw9_zqW0N7qJUWgJ0Sw/edit?usp=sharing"",""ชัยนาท!M694"")+IMPORTRANGE(""https://docs.google.com/spreadsheets/d/1jkqa6GXxSacMcY1eN8AHjMNJ_7dDXMJ"&amp;"VRLDlaFSOdPM/edit?usp=sharing"",""ตราด!M694"")+IMPORTRANGE(""https://docs.google.com/spreadsheets/d/18hSgUJ3VwClqi_qtULmmW3cLr0oe3OKaSYoKzdpTsYQ/edit?usp=sharing"",""นครนายก!M694"")+IMPORTRANGE(""https://docs.google.com/spreadsheets/d/1YTZo6WM2dQ6Ix6FSdnL"&amp;"5P7uVnVKu40sxZu975tgG10E/edit?usp=sharing"",""นครปฐม!M694"")+IMPORTRANGE(""https://docs.google.com/spreadsheets/d/1OYoGg4WDg5RIzwGeB10padOxJF9E_Vljuvvct_M7RDo/edit?usp=sharing"",""ปทุมธานี!M694"")+IMPORTRANGE(""https://docs.google.com/spreadsheets/d/1GbCI"&amp;"E4D4wk9FUozzqk7SxfDMxDVBwVmI5zcaVUSzKAc/edit?usp=sharing"",""ประจวบคีรีขันธ์!M694"")+IMPORTRANGE(""https://docs.google.com/spreadsheets/d/1vVf6wykvW_lAyu7Yo9L4hUTqHqIeP_qcVuxCtosJEbg/edit?usp=sharing"",""ปราจีนบุรี!M694"")+IMPORTRANGE(""https://docs.googl"&amp;"e.com/spreadsheets/d/1BIDqLLg5jk3v59G8NlR8rk5xfQDKne0sAvZHSj7TI6I/edit?usp=sharing"",""พระนครศรีอยุธยา!M694"")+IMPORTRANGE(""https://docs.google.com/spreadsheets/d/1YXvxf8Yu6_rV4hTBrwMqAcAnv6DfhUxh5emyM3CJp_w/edit?usp=sharing"",""เพชรบุรี!M694"")+IMPORTRA"&amp;"NGE(""https://docs.google.com/spreadsheets/d/19KBlQQs7uwvsao6t2n-KvW3Ax8J8uRRfZPq1zPbXgKc/edit?usp=sharing"",""ระยอง!M694"")+IMPORTRANGE(""https://docs.google.com/spreadsheets/d/1jQ6P4QcrGM89YfqcC_PxOHGCMq5ezhucwJd8ci-NHng/edit?usp=sharing"",""ราชบุรี!M69"&amp;"4"")+IMPORTRANGE(""https://docs.google.com/spreadsheets/d/1lufeA2cfFqM-elVq2hznhDzC6Pr7wkJ9ZG_sYNGCMCU/edit?usp=sharing"",""ลพบุรี!M694"")+IMPORTRANGE(""https://docs.google.com/spreadsheets/d/10oOiF7loTyfsTkbd4MpaIm0HQ9SwB7IYHdIUvt-U1Uc/edit?usp=sharing"""&amp;",""สระแก้ว!M694"")+IMPORTRANGE(""https://docs.google.com/spreadsheets/d/1xmPlrr1QbdSIKvl1dWUl9K4PjAfSL9oeMr_37QVzcxc/edit?usp=sharing"",""สระบุรี!M694"")+IMPORTRANGE(""https://docs.google.com/spreadsheets/d/1j51vR6CYVGhABJpv6tkstgok82RLpXieLzW1yOY5rHw/edi"&amp;"t?usp=sharing"",""สิงห์บุรี!M694"")+IMPORTRANGE(""https://docs.google.com/spreadsheets/d/1H1EalTWKUSzO4Z1-1CwzoDUaVffgrThEBe2sl74kKG0/edit?usp=sharing"",""สุพรรณบุรี!M694"")+IMPORTRANGE(""https://docs.google.com/spreadsheets/d/1BmIruG_sIrJLYao_Pdr7zVArWsf"&amp;"oBt2692TMi6x_854/edit?usp=sharing"",""อ่างทอง!M694"")"),0)</f>
        <v>0</v>
      </c>
      <c r="N695" s="77">
        <f ca="1">IFERROR(__xludf.DUMMYFUNCTION("IMPORTRANGE(""https://docs.google.com/spreadsheets/d/13wPX838HrBrQMCywv1BsuMkt4PEKTChp52zj44s2izQ/edit?usp=sharing"",""กาญจนบุรี!N694"")+IMPORTRANGE(""https://docs.google.com/spreadsheets/d/1ddFKvqj1W1NEiWytbGlB1zMx_ykJDVtmfEQ-6-lIUBA/edit?usp=sharing"","&amp;"""จันทบุรี!N694"")+IMPORTRANGE(""https://docs.google.com/spreadsheets/d/1T1PQvRODqOBZk8BRht_U031fIS1beLA0Ub2CEytj2q0/edit?usp=sharing"",""ฉะเชิงเทรา!N694"")+IMPORTRANGE(""https://docs.google.com/spreadsheets/d/11tr1B-Bhyr79v2bkwVh5h_fR-PStkgjlZtkrZpYurG0/"&amp;"edit?usp=sharing"",""ชลบุรี!N694"")+IMPORTRANGE(""https://docs.google.com/spreadsheets/d/1hh-FVnSX0vozXhGluamEcS54Dw9_zqW0N7qJUWgJ0Sw/edit?usp=sharing"",""ชัยนาท!N694"")+IMPORTRANGE(""https://docs.google.com/spreadsheets/d/1jkqa6GXxSacMcY1eN8AHjMNJ_7dDXMJ"&amp;"VRLDlaFSOdPM/edit?usp=sharing"",""ตราด!N694"")+IMPORTRANGE(""https://docs.google.com/spreadsheets/d/18hSgUJ3VwClqi_qtULmmW3cLr0oe3OKaSYoKzdpTsYQ/edit?usp=sharing"",""นครนายก!N694"")+IMPORTRANGE(""https://docs.google.com/spreadsheets/d/1YTZo6WM2dQ6Ix6FSdnL"&amp;"5P7uVnVKu40sxZu975tgG10E/edit?usp=sharing"",""นครปฐม!N694"")+IMPORTRANGE(""https://docs.google.com/spreadsheets/d/1OYoGg4WDg5RIzwGeB10padOxJF9E_Vljuvvct_M7RDo/edit?usp=sharing"",""ปทุมธานี!N694"")+IMPORTRANGE(""https://docs.google.com/spreadsheets/d/1GbCI"&amp;"E4D4wk9FUozzqk7SxfDMxDVBwVmI5zcaVUSzKAc/edit?usp=sharing"",""ประจวบคีรีขันธ์!N694"")+IMPORTRANGE(""https://docs.google.com/spreadsheets/d/1vVf6wykvW_lAyu7Yo9L4hUTqHqIeP_qcVuxCtosJEbg/edit?usp=sharing"",""ปราจีนบุรี!N694"")+IMPORTRANGE(""https://docs.googl"&amp;"e.com/spreadsheets/d/1BIDqLLg5jk3v59G8NlR8rk5xfQDKne0sAvZHSj7TI6I/edit?usp=sharing"",""พระนครศรีอยุธยา!N694"")+IMPORTRANGE(""https://docs.google.com/spreadsheets/d/1YXvxf8Yu6_rV4hTBrwMqAcAnv6DfhUxh5emyM3CJp_w/edit?usp=sharing"",""เพชรบุรี!N694"")+IMPORTRA"&amp;"NGE(""https://docs.google.com/spreadsheets/d/19KBlQQs7uwvsao6t2n-KvW3Ax8J8uRRfZPq1zPbXgKc/edit?usp=sharing"",""ระยอง!N694"")+IMPORTRANGE(""https://docs.google.com/spreadsheets/d/1jQ6P4QcrGM89YfqcC_PxOHGCMq5ezhucwJd8ci-NHng/edit?usp=sharing"",""ราชบุรี!N69"&amp;"4"")+IMPORTRANGE(""https://docs.google.com/spreadsheets/d/1lufeA2cfFqM-elVq2hznhDzC6Pr7wkJ9ZG_sYNGCMCU/edit?usp=sharing"",""ลพบุรี!N694"")+IMPORTRANGE(""https://docs.google.com/spreadsheets/d/10oOiF7loTyfsTkbd4MpaIm0HQ9SwB7IYHdIUvt-U1Uc/edit?usp=sharing"""&amp;",""สระแก้ว!N694"")+IMPORTRANGE(""https://docs.google.com/spreadsheets/d/1xmPlrr1QbdSIKvl1dWUl9K4PjAfSL9oeMr_37QVzcxc/edit?usp=sharing"",""สระบุรี!N694"")+IMPORTRANGE(""https://docs.google.com/spreadsheets/d/1j51vR6CYVGhABJpv6tkstgok82RLpXieLzW1yOY5rHw/edi"&amp;"t?usp=sharing"",""สิงห์บุรี!N694"")+IMPORTRANGE(""https://docs.google.com/spreadsheets/d/1H1EalTWKUSzO4Z1-1CwzoDUaVffgrThEBe2sl74kKG0/edit?usp=sharing"",""สุพรรณบุรี!N694"")+IMPORTRANGE(""https://docs.google.com/spreadsheets/d/1BmIruG_sIrJLYao_Pdr7zVArWsf"&amp;"oBt2692TMi6x_854/edit?usp=sharing"",""อ่างทอง!N694"")"),0)</f>
        <v>0</v>
      </c>
      <c r="O695" s="77">
        <f t="shared" ca="1" si="465"/>
        <v>0</v>
      </c>
      <c r="P695" s="77">
        <f t="shared" ca="1" si="466"/>
        <v>0</v>
      </c>
      <c r="Q695" s="76">
        <f ca="1">IFERROR(__xludf.DUMMYFUNCTION("IMPORTRANGE(""https://docs.google.com/spreadsheets/d/13wPX838HrBrQMCywv1BsuMkt4PEKTChp52zj44s2izQ/edit?usp=sharing"",""กาญจนบุรี!Q694"")+IMPORTRANGE(""https://docs.google.com/spreadsheets/d/1ddFKvqj1W1NEiWytbGlB1zMx_ykJDVtmfEQ-6-lIUBA/edit?usp=sharing"","&amp;"""จันทบุรี!Q694"")+IMPORTRANGE(""https://docs.google.com/spreadsheets/d/1T1PQvRODqOBZk8BRht_U031fIS1beLA0Ub2CEytj2q0/edit?usp=sharing"",""ฉะเชิงเทรา!Q694"")+IMPORTRANGE(""https://docs.google.com/spreadsheets/d/11tr1B-Bhyr79v2bkwVh5h_fR-PStkgjlZtkrZpYurG0/"&amp;"edit?usp=sharing"",""ชลบุรี!Q694"")+IMPORTRANGE(""https://docs.google.com/spreadsheets/d/1hh-FVnSX0vozXhGluamEcS54Dw9_zqW0N7qJUWgJ0Sw/edit?usp=sharing"",""ชัยนาท!Q694"")+IMPORTRANGE(""https://docs.google.com/spreadsheets/d/1jkqa6GXxSacMcY1eN8AHjMNJ_7dDXMJ"&amp;"VRLDlaFSOdPM/edit?usp=sharing"",""ตราด!Q694"")+IMPORTRANGE(""https://docs.google.com/spreadsheets/d/18hSgUJ3VwClqi_qtULmmW3cLr0oe3OKaSYoKzdpTsYQ/edit?usp=sharing"",""นครนายก!Q694"")+IMPORTRANGE(""https://docs.google.com/spreadsheets/d/1YTZo6WM2dQ6Ix6FSdnL"&amp;"5P7uVnVKu40sxZu975tgG10E/edit?usp=sharing"",""นครปฐม!Q694"")+IMPORTRANGE(""https://docs.google.com/spreadsheets/d/1OYoGg4WDg5RIzwGeB10padOxJF9E_Vljuvvct_M7RDo/edit?usp=sharing"",""ปทุมธานี!Q694"")+IMPORTRANGE(""https://docs.google.com/spreadsheets/d/1GbCI"&amp;"E4D4wk9FUozzqk7SxfDMxDVBwVmI5zcaVUSzKAc/edit?usp=sharing"",""ประจวบคีรีขันธ์!Q694"")+IMPORTRANGE(""https://docs.google.com/spreadsheets/d/1vVf6wykvW_lAyu7Yo9L4hUTqHqIeP_qcVuxCtosJEbg/edit?usp=sharing"",""ปราจีนบุรี!Q694"")+IMPORTRANGE(""https://docs.googl"&amp;"e.com/spreadsheets/d/1BIDqLLg5jk3v59G8NlR8rk5xfQDKne0sAvZHSj7TI6I/edit?usp=sharing"",""พระนครศรีอยุธยา!Q694"")+IMPORTRANGE(""https://docs.google.com/spreadsheets/d/1YXvxf8Yu6_rV4hTBrwMqAcAnv6DfhUxh5emyM3CJp_w/edit?usp=sharing"",""เพชรบุรี!Q694"")+IMPORTRA"&amp;"NGE(""https://docs.google.com/spreadsheets/d/19KBlQQs7uwvsao6t2n-KvW3Ax8J8uRRfZPq1zPbXgKc/edit?usp=sharing"",""ระยอง!Q694"")+IMPORTRANGE(""https://docs.google.com/spreadsheets/d/1jQ6P4QcrGM89YfqcC_PxOHGCMq5ezhucwJd8ci-NHng/edit?usp=sharing"",""ราชบุรี!Q69"&amp;"4"")+IMPORTRANGE(""https://docs.google.com/spreadsheets/d/1lufeA2cfFqM-elVq2hznhDzC6Pr7wkJ9ZG_sYNGCMCU/edit?usp=sharing"",""ลพบุรี!Q694"")+IMPORTRANGE(""https://docs.google.com/spreadsheets/d/10oOiF7loTyfsTkbd4MpaIm0HQ9SwB7IYHdIUvt-U1Uc/edit?usp=sharing"""&amp;",""สระแก้ว!Q694"")+IMPORTRANGE(""https://docs.google.com/spreadsheets/d/1xmPlrr1QbdSIKvl1dWUl9K4PjAfSL9oeMr_37QVzcxc/edit?usp=sharing"",""สระบุรี!Q694"")+IMPORTRANGE(""https://docs.google.com/spreadsheets/d/1j51vR6CYVGhABJpv6tkstgok82RLpXieLzW1yOY5rHw/edi"&amp;"t?usp=sharing"",""สิงห์บุรี!Q694"")+IMPORTRANGE(""https://docs.google.com/spreadsheets/d/1H1EalTWKUSzO4Z1-1CwzoDUaVffgrThEBe2sl74kKG0/edit?usp=sharing"",""สุพรรณบุรี!Q694"")+IMPORTRANGE(""https://docs.google.com/spreadsheets/d/1BmIruG_sIrJLYao_Pdr7zVArWsf"&amp;"oBt2692TMi6x_854/edit?usp=sharing"",""อ่างทอง!Q694"")"),0)</f>
        <v>0</v>
      </c>
      <c r="R695" s="77">
        <f ca="1">IFERROR(__xludf.DUMMYFUNCTION("IMPORTRANGE(""https://docs.google.com/spreadsheets/d/13wPX838HrBrQMCywv1BsuMkt4PEKTChp52zj44s2izQ/edit?usp=sharing"",""กาญจนบุรี!R694"")+IMPORTRANGE(""https://docs.google.com/spreadsheets/d/1ddFKvqj1W1NEiWytbGlB1zMx_ykJDVtmfEQ-6-lIUBA/edit?usp=sharing"","&amp;"""จันทบุรี!R694"")+IMPORTRANGE(""https://docs.google.com/spreadsheets/d/1T1PQvRODqOBZk8BRht_U031fIS1beLA0Ub2CEytj2q0/edit?usp=sharing"",""ฉะเชิงเทรา!R694"")+IMPORTRANGE(""https://docs.google.com/spreadsheets/d/11tr1B-Bhyr79v2bkwVh5h_fR-PStkgjlZtkrZpYurG0/"&amp;"edit?usp=sharing"",""ชลบุรี!R694"")+IMPORTRANGE(""https://docs.google.com/spreadsheets/d/1hh-FVnSX0vozXhGluamEcS54Dw9_zqW0N7qJUWgJ0Sw/edit?usp=sharing"",""ชัยนาท!R694"")+IMPORTRANGE(""https://docs.google.com/spreadsheets/d/1jkqa6GXxSacMcY1eN8AHjMNJ_7dDXMJ"&amp;"VRLDlaFSOdPM/edit?usp=sharing"",""ตราด!R694"")+IMPORTRANGE(""https://docs.google.com/spreadsheets/d/18hSgUJ3VwClqi_qtULmmW3cLr0oe3OKaSYoKzdpTsYQ/edit?usp=sharing"",""นครนายก!R694"")+IMPORTRANGE(""https://docs.google.com/spreadsheets/d/1YTZo6WM2dQ6Ix6FSdnL"&amp;"5P7uVnVKu40sxZu975tgG10E/edit?usp=sharing"",""นครปฐม!R694"")+IMPORTRANGE(""https://docs.google.com/spreadsheets/d/1OYoGg4WDg5RIzwGeB10padOxJF9E_Vljuvvct_M7RDo/edit?usp=sharing"",""ปทุมธานี!R694"")+IMPORTRANGE(""https://docs.google.com/spreadsheets/d/1GbCI"&amp;"E4D4wk9FUozzqk7SxfDMxDVBwVmI5zcaVUSzKAc/edit?usp=sharing"",""ประจวบคีรีขันธ์!R694"")+IMPORTRANGE(""https://docs.google.com/spreadsheets/d/1vVf6wykvW_lAyu7Yo9L4hUTqHqIeP_qcVuxCtosJEbg/edit?usp=sharing"",""ปราจีนบุรี!R694"")+IMPORTRANGE(""https://docs.googl"&amp;"e.com/spreadsheets/d/1BIDqLLg5jk3v59G8NlR8rk5xfQDKne0sAvZHSj7TI6I/edit?usp=sharing"",""พระนครศรีอยุธยา!R694"")+IMPORTRANGE(""https://docs.google.com/spreadsheets/d/1YXvxf8Yu6_rV4hTBrwMqAcAnv6DfhUxh5emyM3CJp_w/edit?usp=sharing"",""เพชรบุรี!R694"")+IMPORTRA"&amp;"NGE(""https://docs.google.com/spreadsheets/d/19KBlQQs7uwvsao6t2n-KvW3Ax8J8uRRfZPq1zPbXgKc/edit?usp=sharing"",""ระยอง!R694"")+IMPORTRANGE(""https://docs.google.com/spreadsheets/d/1jQ6P4QcrGM89YfqcC_PxOHGCMq5ezhucwJd8ci-NHng/edit?usp=sharing"",""ราชบุรี!R69"&amp;"4"")+IMPORTRANGE(""https://docs.google.com/spreadsheets/d/1lufeA2cfFqM-elVq2hznhDzC6Pr7wkJ9ZG_sYNGCMCU/edit?usp=sharing"",""ลพบุรี!R694"")+IMPORTRANGE(""https://docs.google.com/spreadsheets/d/10oOiF7loTyfsTkbd4MpaIm0HQ9SwB7IYHdIUvt-U1Uc/edit?usp=sharing"""&amp;",""สระแก้ว!R694"")+IMPORTRANGE(""https://docs.google.com/spreadsheets/d/1xmPlrr1QbdSIKvl1dWUl9K4PjAfSL9oeMr_37QVzcxc/edit?usp=sharing"",""สระบุรี!R694"")+IMPORTRANGE(""https://docs.google.com/spreadsheets/d/1j51vR6CYVGhABJpv6tkstgok82RLpXieLzW1yOY5rHw/edi"&amp;"t?usp=sharing"",""สิงห์บุรี!R694"")+IMPORTRANGE(""https://docs.google.com/spreadsheets/d/1H1EalTWKUSzO4Z1-1CwzoDUaVffgrThEBe2sl74kKG0/edit?usp=sharing"",""สุพรรณบุรี!R694"")+IMPORTRANGE(""https://docs.google.com/spreadsheets/d/1BmIruG_sIrJLYao_Pdr7zVArWsf"&amp;"oBt2692TMi6x_854/edit?usp=sharing"",""อ่างทอง!R694"")"),0)</f>
        <v>0</v>
      </c>
      <c r="S695" s="77">
        <f ca="1">IFERROR(__xludf.DUMMYFUNCTION("IMPORTRANGE(""https://docs.google.com/spreadsheets/d/13wPX838HrBrQMCywv1BsuMkt4PEKTChp52zj44s2izQ/edit?usp=sharing"",""กาญจนบุรี!S694"")+IMPORTRANGE(""https://docs.google.com/spreadsheets/d/1ddFKvqj1W1NEiWytbGlB1zMx_ykJDVtmfEQ-6-lIUBA/edit?usp=sharing"","&amp;"""จันทบุรี!S694"")+IMPORTRANGE(""https://docs.google.com/spreadsheets/d/1T1PQvRODqOBZk8BRht_U031fIS1beLA0Ub2CEytj2q0/edit?usp=sharing"",""ฉะเชิงเทรา!S694"")+IMPORTRANGE(""https://docs.google.com/spreadsheets/d/11tr1B-Bhyr79v2bkwVh5h_fR-PStkgjlZtkrZpYurG0/"&amp;"edit?usp=sharing"",""ชลบุรี!S694"")+IMPORTRANGE(""https://docs.google.com/spreadsheets/d/1hh-FVnSX0vozXhGluamEcS54Dw9_zqW0N7qJUWgJ0Sw/edit?usp=sharing"",""ชัยนาท!S694"")+IMPORTRANGE(""https://docs.google.com/spreadsheets/d/1jkqa6GXxSacMcY1eN8AHjMNJ_7dDXMJ"&amp;"VRLDlaFSOdPM/edit?usp=sharing"",""ตราด!S694"")+IMPORTRANGE(""https://docs.google.com/spreadsheets/d/18hSgUJ3VwClqi_qtULmmW3cLr0oe3OKaSYoKzdpTsYQ/edit?usp=sharing"",""นครนายก!S694"")+IMPORTRANGE(""https://docs.google.com/spreadsheets/d/1YTZo6WM2dQ6Ix6FSdnL"&amp;"5P7uVnVKu40sxZu975tgG10E/edit?usp=sharing"",""นครปฐม!S694"")+IMPORTRANGE(""https://docs.google.com/spreadsheets/d/1OYoGg4WDg5RIzwGeB10padOxJF9E_Vljuvvct_M7RDo/edit?usp=sharing"",""ปทุมธานี!S694"")+IMPORTRANGE(""https://docs.google.com/spreadsheets/d/1GbCI"&amp;"E4D4wk9FUozzqk7SxfDMxDVBwVmI5zcaVUSzKAc/edit?usp=sharing"",""ประจวบคีรีขันธ์!S694"")+IMPORTRANGE(""https://docs.google.com/spreadsheets/d/1vVf6wykvW_lAyu7Yo9L4hUTqHqIeP_qcVuxCtosJEbg/edit?usp=sharing"",""ปราจีนบุรี!S694"")+IMPORTRANGE(""https://docs.googl"&amp;"e.com/spreadsheets/d/1BIDqLLg5jk3v59G8NlR8rk5xfQDKne0sAvZHSj7TI6I/edit?usp=sharing"",""พระนครศรีอยุธยา!S694"")+IMPORTRANGE(""https://docs.google.com/spreadsheets/d/1YXvxf8Yu6_rV4hTBrwMqAcAnv6DfhUxh5emyM3CJp_w/edit?usp=sharing"",""เพชรบุรี!S694"")+IMPORTRA"&amp;"NGE(""https://docs.google.com/spreadsheets/d/19KBlQQs7uwvsao6t2n-KvW3Ax8J8uRRfZPq1zPbXgKc/edit?usp=sharing"",""ระยอง!S694"")+IMPORTRANGE(""https://docs.google.com/spreadsheets/d/1jQ6P4QcrGM89YfqcC_PxOHGCMq5ezhucwJd8ci-NHng/edit?usp=sharing"",""ราชบุรี!S69"&amp;"4"")+IMPORTRANGE(""https://docs.google.com/spreadsheets/d/1lufeA2cfFqM-elVq2hznhDzC6Pr7wkJ9ZG_sYNGCMCU/edit?usp=sharing"",""ลพบุรี!S694"")+IMPORTRANGE(""https://docs.google.com/spreadsheets/d/10oOiF7loTyfsTkbd4MpaIm0HQ9SwB7IYHdIUvt-U1Uc/edit?usp=sharing"""&amp;",""สระแก้ว!S694"")+IMPORTRANGE(""https://docs.google.com/spreadsheets/d/1xmPlrr1QbdSIKvl1dWUl9K4PjAfSL9oeMr_37QVzcxc/edit?usp=sharing"",""สระบุรี!S694"")+IMPORTRANGE(""https://docs.google.com/spreadsheets/d/1j51vR6CYVGhABJpv6tkstgok82RLpXieLzW1yOY5rHw/edi"&amp;"t?usp=sharing"",""สิงห์บุรี!S694"")+IMPORTRANGE(""https://docs.google.com/spreadsheets/d/1H1EalTWKUSzO4Z1-1CwzoDUaVffgrThEBe2sl74kKG0/edit?usp=sharing"",""สุพรรณบุรี!S694"")+IMPORTRANGE(""https://docs.google.com/spreadsheets/d/1BmIruG_sIrJLYao_Pdr7zVArWsf"&amp;"oBt2692TMi6x_854/edit?usp=sharing"",""อ่างทอง!S694"")"),0)</f>
        <v>0</v>
      </c>
      <c r="T695" s="133">
        <f t="shared" ca="1" si="468"/>
        <v>0</v>
      </c>
      <c r="U695" s="133">
        <f t="shared" ca="1" si="469"/>
        <v>0</v>
      </c>
    </row>
    <row r="696" spans="1:21" ht="18.75" x14ac:dyDescent="0.25">
      <c r="A696" s="257"/>
      <c r="B696" s="269"/>
      <c r="C696" s="269"/>
      <c r="D696" s="290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4">
        <f ca="1">IFERROR(__xludf.DUMMYFUNCTION("IMPORTRANGE(""https://docs.google.com/spreadsheets/d/13wPX838HrBrQMCywv1BsuMkt4PEKTChp52zj44s2izQ/edit?usp=sharing"",""กาญจนบุรี!L695"")+IMPORTRANGE(""https://docs.google.com/spreadsheets/d/1ddFKvqj1W1NEiWytbGlB1zMx_ykJDVtmfEQ-6-lIUBA/edit?usp=sharing"","&amp;"""จันทบุรี!L695"")+IMPORTRANGE(""https://docs.google.com/spreadsheets/d/1T1PQvRODqOBZk8BRht_U031fIS1beLA0Ub2CEytj2q0/edit?usp=sharing"",""ฉะเชิงเทรา!L695"")+IMPORTRANGE(""https://docs.google.com/spreadsheets/d/11tr1B-Bhyr79v2bkwVh5h_fR-PStkgjlZtkrZpYurG0/"&amp;"edit?usp=sharing"",""ชลบุรี!L695"")+IMPORTRANGE(""https://docs.google.com/spreadsheets/d/1hh-FVnSX0vozXhGluamEcS54Dw9_zqW0N7qJUWgJ0Sw/edit?usp=sharing"",""ชัยนาท!L695"")+IMPORTRANGE(""https://docs.google.com/spreadsheets/d/1jkqa6GXxSacMcY1eN8AHjMNJ_7dDXMJ"&amp;"VRLDlaFSOdPM/edit?usp=sharing"",""ตราด!L695"")+IMPORTRANGE(""https://docs.google.com/spreadsheets/d/18hSgUJ3VwClqi_qtULmmW3cLr0oe3OKaSYoKzdpTsYQ/edit?usp=sharing"",""นครนายก!L695"")+IMPORTRANGE(""https://docs.google.com/spreadsheets/d/1YTZo6WM2dQ6Ix6FSdnL"&amp;"5P7uVnVKu40sxZu975tgG10E/edit?usp=sharing"",""นครปฐม!L695"")+IMPORTRANGE(""https://docs.google.com/spreadsheets/d/1OYoGg4WDg5RIzwGeB10padOxJF9E_Vljuvvct_M7RDo/edit?usp=sharing"",""ปทุมธานี!L695"")+IMPORTRANGE(""https://docs.google.com/spreadsheets/d/1GbCI"&amp;"E4D4wk9FUozzqk7SxfDMxDVBwVmI5zcaVUSzKAc/edit?usp=sharing"",""ประจวบคีรีขันธ์!L695"")+IMPORTRANGE(""https://docs.google.com/spreadsheets/d/1vVf6wykvW_lAyu7Yo9L4hUTqHqIeP_qcVuxCtosJEbg/edit?usp=sharing"",""ปราจีนบุรี!L695"")+IMPORTRANGE(""https://docs.googl"&amp;"e.com/spreadsheets/d/1BIDqLLg5jk3v59G8NlR8rk5xfQDKne0sAvZHSj7TI6I/edit?usp=sharing"",""พระนครศรีอยุธยา!L695"")+IMPORTRANGE(""https://docs.google.com/spreadsheets/d/1YXvxf8Yu6_rV4hTBrwMqAcAnv6DfhUxh5emyM3CJp_w/edit?usp=sharing"",""เพชรบุรี!L695"")+IMPORTRA"&amp;"NGE(""https://docs.google.com/spreadsheets/d/19KBlQQs7uwvsao6t2n-KvW3Ax8J8uRRfZPq1zPbXgKc/edit?usp=sharing"",""ระยอง!L695"")+IMPORTRANGE(""https://docs.google.com/spreadsheets/d/1jQ6P4QcrGM89YfqcC_PxOHGCMq5ezhucwJd8ci-NHng/edit?usp=sharing"",""ราชบุรี!L69"&amp;"5"")+IMPORTRANGE(""https://docs.google.com/spreadsheets/d/1lufeA2cfFqM-elVq2hznhDzC6Pr7wkJ9ZG_sYNGCMCU/edit?usp=sharing"",""ลพบุรี!L695"")+IMPORTRANGE(""https://docs.google.com/spreadsheets/d/10oOiF7loTyfsTkbd4MpaIm0HQ9SwB7IYHdIUvt-U1Uc/edit?usp=sharing"""&amp;",""สระแก้ว!L695"")+IMPORTRANGE(""https://docs.google.com/spreadsheets/d/1xmPlrr1QbdSIKvl1dWUl9K4PjAfSL9oeMr_37QVzcxc/edit?usp=sharing"",""สระบุรี!L695"")+IMPORTRANGE(""https://docs.google.com/spreadsheets/d/1j51vR6CYVGhABJpv6tkstgok82RLpXieLzW1yOY5rHw/edi"&amp;"t?usp=sharing"",""สิงห์บุรี!L695"")+IMPORTRANGE(""https://docs.google.com/spreadsheets/d/1H1EalTWKUSzO4Z1-1CwzoDUaVffgrThEBe2sl74kKG0/edit?usp=sharing"",""สุพรรณบุรี!L695"")+IMPORTRANGE(""https://docs.google.com/spreadsheets/d/1BmIruG_sIrJLYao_Pdr7zVArWsf"&amp;"oBt2692TMi6x_854/edit?usp=sharing"",""อ่างทอง!L695"")"),0)</f>
        <v>0</v>
      </c>
      <c r="M696" s="74">
        <f ca="1">IFERROR(__xludf.DUMMYFUNCTION("IMPORTRANGE(""https://docs.google.com/spreadsheets/d/13wPX838HrBrQMCywv1BsuMkt4PEKTChp52zj44s2izQ/edit?usp=sharing"",""กาญจนบุรี!M695"")+IMPORTRANGE(""https://docs.google.com/spreadsheets/d/1ddFKvqj1W1NEiWytbGlB1zMx_ykJDVtmfEQ-6-lIUBA/edit?usp=sharing"","&amp;"""จันทบุรี!M695"")+IMPORTRANGE(""https://docs.google.com/spreadsheets/d/1T1PQvRODqOBZk8BRht_U031fIS1beLA0Ub2CEytj2q0/edit?usp=sharing"",""ฉะเชิงเทรา!M695"")+IMPORTRANGE(""https://docs.google.com/spreadsheets/d/11tr1B-Bhyr79v2bkwVh5h_fR-PStkgjlZtkrZpYurG0/"&amp;"edit?usp=sharing"",""ชลบุรี!M695"")+IMPORTRANGE(""https://docs.google.com/spreadsheets/d/1hh-FVnSX0vozXhGluamEcS54Dw9_zqW0N7qJUWgJ0Sw/edit?usp=sharing"",""ชัยนาท!M695"")+IMPORTRANGE(""https://docs.google.com/spreadsheets/d/1jkqa6GXxSacMcY1eN8AHjMNJ_7dDXMJ"&amp;"VRLDlaFSOdPM/edit?usp=sharing"",""ตราด!M695"")+IMPORTRANGE(""https://docs.google.com/spreadsheets/d/18hSgUJ3VwClqi_qtULmmW3cLr0oe3OKaSYoKzdpTsYQ/edit?usp=sharing"",""นครนายก!M695"")+IMPORTRANGE(""https://docs.google.com/spreadsheets/d/1YTZo6WM2dQ6Ix6FSdnL"&amp;"5P7uVnVKu40sxZu975tgG10E/edit?usp=sharing"",""นครปฐม!M695"")+IMPORTRANGE(""https://docs.google.com/spreadsheets/d/1OYoGg4WDg5RIzwGeB10padOxJF9E_Vljuvvct_M7RDo/edit?usp=sharing"",""ปทุมธานี!M695"")+IMPORTRANGE(""https://docs.google.com/spreadsheets/d/1GbCI"&amp;"E4D4wk9FUozzqk7SxfDMxDVBwVmI5zcaVUSzKAc/edit?usp=sharing"",""ประจวบคีรีขันธ์!M695"")+IMPORTRANGE(""https://docs.google.com/spreadsheets/d/1vVf6wykvW_lAyu7Yo9L4hUTqHqIeP_qcVuxCtosJEbg/edit?usp=sharing"",""ปราจีนบุรี!M695"")+IMPORTRANGE(""https://docs.googl"&amp;"e.com/spreadsheets/d/1BIDqLLg5jk3v59G8NlR8rk5xfQDKne0sAvZHSj7TI6I/edit?usp=sharing"",""พระนครศรีอยุธยา!M695"")+IMPORTRANGE(""https://docs.google.com/spreadsheets/d/1YXvxf8Yu6_rV4hTBrwMqAcAnv6DfhUxh5emyM3CJp_w/edit?usp=sharing"",""เพชรบุรี!M695"")+IMPORTRA"&amp;"NGE(""https://docs.google.com/spreadsheets/d/19KBlQQs7uwvsao6t2n-KvW3Ax8J8uRRfZPq1zPbXgKc/edit?usp=sharing"",""ระยอง!M695"")+IMPORTRANGE(""https://docs.google.com/spreadsheets/d/1jQ6P4QcrGM89YfqcC_PxOHGCMq5ezhucwJd8ci-NHng/edit?usp=sharing"",""ราชบุรี!M69"&amp;"5"")+IMPORTRANGE(""https://docs.google.com/spreadsheets/d/1lufeA2cfFqM-elVq2hznhDzC6Pr7wkJ9ZG_sYNGCMCU/edit?usp=sharing"",""ลพบุรี!M695"")+IMPORTRANGE(""https://docs.google.com/spreadsheets/d/10oOiF7loTyfsTkbd4MpaIm0HQ9SwB7IYHdIUvt-U1Uc/edit?usp=sharing"""&amp;",""สระแก้ว!M695"")+IMPORTRANGE(""https://docs.google.com/spreadsheets/d/1xmPlrr1QbdSIKvl1dWUl9K4PjAfSL9oeMr_37QVzcxc/edit?usp=sharing"",""สระบุรี!M695"")+IMPORTRANGE(""https://docs.google.com/spreadsheets/d/1j51vR6CYVGhABJpv6tkstgok82RLpXieLzW1yOY5rHw/edi"&amp;"t?usp=sharing"",""สิงห์บุรี!M695"")+IMPORTRANGE(""https://docs.google.com/spreadsheets/d/1H1EalTWKUSzO4Z1-1CwzoDUaVffgrThEBe2sl74kKG0/edit?usp=sharing"",""สุพรรณบุรี!M695"")+IMPORTRANGE(""https://docs.google.com/spreadsheets/d/1BmIruG_sIrJLYao_Pdr7zVArWsf"&amp;"oBt2692TMi6x_854/edit?usp=sharing"",""อ่างทอง!M695"")"),0)</f>
        <v>0</v>
      </c>
      <c r="N696" s="74">
        <f ca="1">IFERROR(__xludf.DUMMYFUNCTION("IMPORTRANGE(""https://docs.google.com/spreadsheets/d/13wPX838HrBrQMCywv1BsuMkt4PEKTChp52zj44s2izQ/edit?usp=sharing"",""กาญจนบุรี!N695"")+IMPORTRANGE(""https://docs.google.com/spreadsheets/d/1ddFKvqj1W1NEiWytbGlB1zMx_ykJDVtmfEQ-6-lIUBA/edit?usp=sharing"","&amp;"""จันทบุรี!N695"")+IMPORTRANGE(""https://docs.google.com/spreadsheets/d/1T1PQvRODqOBZk8BRht_U031fIS1beLA0Ub2CEytj2q0/edit?usp=sharing"",""ฉะเชิงเทรา!N695"")+IMPORTRANGE(""https://docs.google.com/spreadsheets/d/11tr1B-Bhyr79v2bkwVh5h_fR-PStkgjlZtkrZpYurG0/"&amp;"edit?usp=sharing"",""ชลบุรี!N695"")+IMPORTRANGE(""https://docs.google.com/spreadsheets/d/1hh-FVnSX0vozXhGluamEcS54Dw9_zqW0N7qJUWgJ0Sw/edit?usp=sharing"",""ชัยนาท!N695"")+IMPORTRANGE(""https://docs.google.com/spreadsheets/d/1jkqa6GXxSacMcY1eN8AHjMNJ_7dDXMJ"&amp;"VRLDlaFSOdPM/edit?usp=sharing"",""ตราด!N695"")+IMPORTRANGE(""https://docs.google.com/spreadsheets/d/18hSgUJ3VwClqi_qtULmmW3cLr0oe3OKaSYoKzdpTsYQ/edit?usp=sharing"",""นครนายก!N695"")+IMPORTRANGE(""https://docs.google.com/spreadsheets/d/1YTZo6WM2dQ6Ix6FSdnL"&amp;"5P7uVnVKu40sxZu975tgG10E/edit?usp=sharing"",""นครปฐม!N695"")+IMPORTRANGE(""https://docs.google.com/spreadsheets/d/1OYoGg4WDg5RIzwGeB10padOxJF9E_Vljuvvct_M7RDo/edit?usp=sharing"",""ปทุมธานี!N695"")+IMPORTRANGE(""https://docs.google.com/spreadsheets/d/1GbCI"&amp;"E4D4wk9FUozzqk7SxfDMxDVBwVmI5zcaVUSzKAc/edit?usp=sharing"",""ประจวบคีรีขันธ์!N695"")+IMPORTRANGE(""https://docs.google.com/spreadsheets/d/1vVf6wykvW_lAyu7Yo9L4hUTqHqIeP_qcVuxCtosJEbg/edit?usp=sharing"",""ปราจีนบุรี!N695"")+IMPORTRANGE(""https://docs.googl"&amp;"e.com/spreadsheets/d/1BIDqLLg5jk3v59G8NlR8rk5xfQDKne0sAvZHSj7TI6I/edit?usp=sharing"",""พระนครศรีอยุธยา!N695"")+IMPORTRANGE(""https://docs.google.com/spreadsheets/d/1YXvxf8Yu6_rV4hTBrwMqAcAnv6DfhUxh5emyM3CJp_w/edit?usp=sharing"",""เพชรบุรี!N695"")+IMPORTRA"&amp;"NGE(""https://docs.google.com/spreadsheets/d/19KBlQQs7uwvsao6t2n-KvW3Ax8J8uRRfZPq1zPbXgKc/edit?usp=sharing"",""ระยอง!N695"")+IMPORTRANGE(""https://docs.google.com/spreadsheets/d/1jQ6P4QcrGM89YfqcC_PxOHGCMq5ezhucwJd8ci-NHng/edit?usp=sharing"",""ราชบุรี!N69"&amp;"5"")+IMPORTRANGE(""https://docs.google.com/spreadsheets/d/1lufeA2cfFqM-elVq2hznhDzC6Pr7wkJ9ZG_sYNGCMCU/edit?usp=sharing"",""ลพบุรี!N695"")+IMPORTRANGE(""https://docs.google.com/spreadsheets/d/10oOiF7loTyfsTkbd4MpaIm0HQ9SwB7IYHdIUvt-U1Uc/edit?usp=sharing"""&amp;",""สระแก้ว!N695"")+IMPORTRANGE(""https://docs.google.com/spreadsheets/d/1xmPlrr1QbdSIKvl1dWUl9K4PjAfSL9oeMr_37QVzcxc/edit?usp=sharing"",""สระบุรี!N695"")+IMPORTRANGE(""https://docs.google.com/spreadsheets/d/1j51vR6CYVGhABJpv6tkstgok82RLpXieLzW1yOY5rHw/edi"&amp;"t?usp=sharing"",""สิงห์บุรี!N695"")+IMPORTRANGE(""https://docs.google.com/spreadsheets/d/1H1EalTWKUSzO4Z1-1CwzoDUaVffgrThEBe2sl74kKG0/edit?usp=sharing"",""สุพรรณบุรี!N695"")+IMPORTRANGE(""https://docs.google.com/spreadsheets/d/1BmIruG_sIrJLYao_Pdr7zVArWsf"&amp;"oBt2692TMi6x_854/edit?usp=sharing"",""อ่างทอง!N695"")"),0)</f>
        <v>0</v>
      </c>
      <c r="O696" s="74">
        <f t="shared" ca="1" si="465"/>
        <v>0</v>
      </c>
      <c r="P696" s="74">
        <f t="shared" ca="1" si="466"/>
        <v>0</v>
      </c>
      <c r="Q696" s="131">
        <f ca="1">IFERROR(__xludf.DUMMYFUNCTION("IMPORTRANGE(""https://docs.google.com/spreadsheets/d/13wPX838HrBrQMCywv1BsuMkt4PEKTChp52zj44s2izQ/edit?usp=sharing"",""กาญจนบุรี!Q695"")+IMPORTRANGE(""https://docs.google.com/spreadsheets/d/1ddFKvqj1W1NEiWytbGlB1zMx_ykJDVtmfEQ-6-lIUBA/edit?usp=sharing"","&amp;"""จันทบุรี!Q695"")+IMPORTRANGE(""https://docs.google.com/spreadsheets/d/1T1PQvRODqOBZk8BRht_U031fIS1beLA0Ub2CEytj2q0/edit?usp=sharing"",""ฉะเชิงเทรา!Q695"")+IMPORTRANGE(""https://docs.google.com/spreadsheets/d/11tr1B-Bhyr79v2bkwVh5h_fR-PStkgjlZtkrZpYurG0/"&amp;"edit?usp=sharing"",""ชลบุรี!Q695"")+IMPORTRANGE(""https://docs.google.com/spreadsheets/d/1hh-FVnSX0vozXhGluamEcS54Dw9_zqW0N7qJUWgJ0Sw/edit?usp=sharing"",""ชัยนาท!Q695"")+IMPORTRANGE(""https://docs.google.com/spreadsheets/d/1jkqa6GXxSacMcY1eN8AHjMNJ_7dDXMJ"&amp;"VRLDlaFSOdPM/edit?usp=sharing"",""ตราด!Q695"")+IMPORTRANGE(""https://docs.google.com/spreadsheets/d/18hSgUJ3VwClqi_qtULmmW3cLr0oe3OKaSYoKzdpTsYQ/edit?usp=sharing"",""นครนายก!Q695"")+IMPORTRANGE(""https://docs.google.com/spreadsheets/d/1YTZo6WM2dQ6Ix6FSdnL"&amp;"5P7uVnVKu40sxZu975tgG10E/edit?usp=sharing"",""นครปฐม!Q695"")+IMPORTRANGE(""https://docs.google.com/spreadsheets/d/1OYoGg4WDg5RIzwGeB10padOxJF9E_Vljuvvct_M7RDo/edit?usp=sharing"",""ปทุมธานี!Q695"")+IMPORTRANGE(""https://docs.google.com/spreadsheets/d/1GbCI"&amp;"E4D4wk9FUozzqk7SxfDMxDVBwVmI5zcaVUSzKAc/edit?usp=sharing"",""ประจวบคีรีขันธ์!Q695"")+IMPORTRANGE(""https://docs.google.com/spreadsheets/d/1vVf6wykvW_lAyu7Yo9L4hUTqHqIeP_qcVuxCtosJEbg/edit?usp=sharing"",""ปราจีนบุรี!Q695"")+IMPORTRANGE(""https://docs.googl"&amp;"e.com/spreadsheets/d/1BIDqLLg5jk3v59G8NlR8rk5xfQDKne0sAvZHSj7TI6I/edit?usp=sharing"",""พระนครศรีอยุธยา!Q695"")+IMPORTRANGE(""https://docs.google.com/spreadsheets/d/1YXvxf8Yu6_rV4hTBrwMqAcAnv6DfhUxh5emyM3CJp_w/edit?usp=sharing"",""เพชรบุรี!Q695"")+IMPORTRA"&amp;"NGE(""https://docs.google.com/spreadsheets/d/19KBlQQs7uwvsao6t2n-KvW3Ax8J8uRRfZPq1zPbXgKc/edit?usp=sharing"",""ระยอง!Q695"")+IMPORTRANGE(""https://docs.google.com/spreadsheets/d/1jQ6P4QcrGM89YfqcC_PxOHGCMq5ezhucwJd8ci-NHng/edit?usp=sharing"",""ราชบุรี!Q69"&amp;"5"")+IMPORTRANGE(""https://docs.google.com/spreadsheets/d/1lufeA2cfFqM-elVq2hznhDzC6Pr7wkJ9ZG_sYNGCMCU/edit?usp=sharing"",""ลพบุรี!Q695"")+IMPORTRANGE(""https://docs.google.com/spreadsheets/d/10oOiF7loTyfsTkbd4MpaIm0HQ9SwB7IYHdIUvt-U1Uc/edit?usp=sharing"""&amp;",""สระแก้ว!Q695"")+IMPORTRANGE(""https://docs.google.com/spreadsheets/d/1xmPlrr1QbdSIKvl1dWUl9K4PjAfSL9oeMr_37QVzcxc/edit?usp=sharing"",""สระบุรี!Q695"")+IMPORTRANGE(""https://docs.google.com/spreadsheets/d/1j51vR6CYVGhABJpv6tkstgok82RLpXieLzW1yOY5rHw/edi"&amp;"t?usp=sharing"",""สิงห์บุรี!Q695"")+IMPORTRANGE(""https://docs.google.com/spreadsheets/d/1H1EalTWKUSzO4Z1-1CwzoDUaVffgrThEBe2sl74kKG0/edit?usp=sharing"",""สุพรรณบุรี!Q695"")+IMPORTRANGE(""https://docs.google.com/spreadsheets/d/1BmIruG_sIrJLYao_Pdr7zVArWsf"&amp;"oBt2692TMi6x_854/edit?usp=sharing"",""อ่างทอง!Q695"")"),2322060)</f>
        <v>2322060</v>
      </c>
      <c r="R696" s="132">
        <f ca="1">IFERROR(__xludf.DUMMYFUNCTION("IMPORTRANGE(""https://docs.google.com/spreadsheets/d/13wPX838HrBrQMCywv1BsuMkt4PEKTChp52zj44s2izQ/edit?usp=sharing"",""กาญจนบุรี!R695"")+IMPORTRANGE(""https://docs.google.com/spreadsheets/d/1ddFKvqj1W1NEiWytbGlB1zMx_ykJDVtmfEQ-6-lIUBA/edit?usp=sharing"","&amp;"""จันทบุรี!R695"")+IMPORTRANGE(""https://docs.google.com/spreadsheets/d/1T1PQvRODqOBZk8BRht_U031fIS1beLA0Ub2CEytj2q0/edit?usp=sharing"",""ฉะเชิงเทรา!R695"")+IMPORTRANGE(""https://docs.google.com/spreadsheets/d/11tr1B-Bhyr79v2bkwVh5h_fR-PStkgjlZtkrZpYurG0/"&amp;"edit?usp=sharing"",""ชลบุรี!R695"")+IMPORTRANGE(""https://docs.google.com/spreadsheets/d/1hh-FVnSX0vozXhGluamEcS54Dw9_zqW0N7qJUWgJ0Sw/edit?usp=sharing"",""ชัยนาท!R695"")+IMPORTRANGE(""https://docs.google.com/spreadsheets/d/1jkqa6GXxSacMcY1eN8AHjMNJ_7dDXMJ"&amp;"VRLDlaFSOdPM/edit?usp=sharing"",""ตราด!R695"")+IMPORTRANGE(""https://docs.google.com/spreadsheets/d/18hSgUJ3VwClqi_qtULmmW3cLr0oe3OKaSYoKzdpTsYQ/edit?usp=sharing"",""นครนายก!R695"")+IMPORTRANGE(""https://docs.google.com/spreadsheets/d/1YTZo6WM2dQ6Ix6FSdnL"&amp;"5P7uVnVKu40sxZu975tgG10E/edit?usp=sharing"",""นครปฐม!R695"")+IMPORTRANGE(""https://docs.google.com/spreadsheets/d/1OYoGg4WDg5RIzwGeB10padOxJF9E_Vljuvvct_M7RDo/edit?usp=sharing"",""ปทุมธานี!R695"")+IMPORTRANGE(""https://docs.google.com/spreadsheets/d/1GbCI"&amp;"E4D4wk9FUozzqk7SxfDMxDVBwVmI5zcaVUSzKAc/edit?usp=sharing"",""ประจวบคีรีขันธ์!R695"")+IMPORTRANGE(""https://docs.google.com/spreadsheets/d/1vVf6wykvW_lAyu7Yo9L4hUTqHqIeP_qcVuxCtosJEbg/edit?usp=sharing"",""ปราจีนบุรี!R695"")+IMPORTRANGE(""https://docs.googl"&amp;"e.com/spreadsheets/d/1BIDqLLg5jk3v59G8NlR8rk5xfQDKne0sAvZHSj7TI6I/edit?usp=sharing"",""พระนครศรีอยุธยา!R695"")+IMPORTRANGE(""https://docs.google.com/spreadsheets/d/1YXvxf8Yu6_rV4hTBrwMqAcAnv6DfhUxh5emyM3CJp_w/edit?usp=sharing"",""เพชรบุรี!R695"")+IMPORTRA"&amp;"NGE(""https://docs.google.com/spreadsheets/d/19KBlQQs7uwvsao6t2n-KvW3Ax8J8uRRfZPq1zPbXgKc/edit?usp=sharing"",""ระยอง!R695"")+IMPORTRANGE(""https://docs.google.com/spreadsheets/d/1jQ6P4QcrGM89YfqcC_PxOHGCMq5ezhucwJd8ci-NHng/edit?usp=sharing"",""ราชบุรี!R69"&amp;"5"")+IMPORTRANGE(""https://docs.google.com/spreadsheets/d/1lufeA2cfFqM-elVq2hznhDzC6Pr7wkJ9ZG_sYNGCMCU/edit?usp=sharing"",""ลพบุรี!R695"")+IMPORTRANGE(""https://docs.google.com/spreadsheets/d/10oOiF7loTyfsTkbd4MpaIm0HQ9SwB7IYHdIUvt-U1Uc/edit?usp=sharing"""&amp;",""สระแก้ว!R695"")+IMPORTRANGE(""https://docs.google.com/spreadsheets/d/1xmPlrr1QbdSIKvl1dWUl9K4PjAfSL9oeMr_37QVzcxc/edit?usp=sharing"",""สระบุรี!R695"")+IMPORTRANGE(""https://docs.google.com/spreadsheets/d/1j51vR6CYVGhABJpv6tkstgok82RLpXieLzW1yOY5rHw/edi"&amp;"t?usp=sharing"",""สิงห์บุรี!R695"")+IMPORTRANGE(""https://docs.google.com/spreadsheets/d/1H1EalTWKUSzO4Z1-1CwzoDUaVffgrThEBe2sl74kKG0/edit?usp=sharing"",""สุพรรณบุรี!R695"")+IMPORTRANGE(""https://docs.google.com/spreadsheets/d/1BmIruG_sIrJLYao_Pdr7zVArWsf"&amp;"oBt2692TMi6x_854/edit?usp=sharing"",""อ่างทอง!R695"")"),2322060)</f>
        <v>2322060</v>
      </c>
      <c r="S696" s="132">
        <f ca="1">IFERROR(__xludf.DUMMYFUNCTION("IMPORTRANGE(""https://docs.google.com/spreadsheets/d/13wPX838HrBrQMCywv1BsuMkt4PEKTChp52zj44s2izQ/edit?usp=sharing"",""กาญจนบุรี!S695"")+IMPORTRANGE(""https://docs.google.com/spreadsheets/d/1ddFKvqj1W1NEiWytbGlB1zMx_ykJDVtmfEQ-6-lIUBA/edit?usp=sharing"","&amp;"""จันทบุรี!S695"")+IMPORTRANGE(""https://docs.google.com/spreadsheets/d/1T1PQvRODqOBZk8BRht_U031fIS1beLA0Ub2CEytj2q0/edit?usp=sharing"",""ฉะเชิงเทรา!S695"")+IMPORTRANGE(""https://docs.google.com/spreadsheets/d/11tr1B-Bhyr79v2bkwVh5h_fR-PStkgjlZtkrZpYurG0/"&amp;"edit?usp=sharing"",""ชลบุรี!S695"")+IMPORTRANGE(""https://docs.google.com/spreadsheets/d/1hh-FVnSX0vozXhGluamEcS54Dw9_zqW0N7qJUWgJ0Sw/edit?usp=sharing"",""ชัยนาท!S695"")+IMPORTRANGE(""https://docs.google.com/spreadsheets/d/1jkqa6GXxSacMcY1eN8AHjMNJ_7dDXMJ"&amp;"VRLDlaFSOdPM/edit?usp=sharing"",""ตราด!S695"")+IMPORTRANGE(""https://docs.google.com/spreadsheets/d/18hSgUJ3VwClqi_qtULmmW3cLr0oe3OKaSYoKzdpTsYQ/edit?usp=sharing"",""นครนายก!S695"")+IMPORTRANGE(""https://docs.google.com/spreadsheets/d/1YTZo6WM2dQ6Ix6FSdnL"&amp;"5P7uVnVKu40sxZu975tgG10E/edit?usp=sharing"",""นครปฐม!S695"")+IMPORTRANGE(""https://docs.google.com/spreadsheets/d/1OYoGg4WDg5RIzwGeB10padOxJF9E_Vljuvvct_M7RDo/edit?usp=sharing"",""ปทุมธานี!S695"")+IMPORTRANGE(""https://docs.google.com/spreadsheets/d/1GbCI"&amp;"E4D4wk9FUozzqk7SxfDMxDVBwVmI5zcaVUSzKAc/edit?usp=sharing"",""ประจวบคีรีขันธ์!S695"")+IMPORTRANGE(""https://docs.google.com/spreadsheets/d/1vVf6wykvW_lAyu7Yo9L4hUTqHqIeP_qcVuxCtosJEbg/edit?usp=sharing"",""ปราจีนบุรี!S695"")+IMPORTRANGE(""https://docs.googl"&amp;"e.com/spreadsheets/d/1BIDqLLg5jk3v59G8NlR8rk5xfQDKne0sAvZHSj7TI6I/edit?usp=sharing"",""พระนครศรีอยุธยา!S695"")+IMPORTRANGE(""https://docs.google.com/spreadsheets/d/1YXvxf8Yu6_rV4hTBrwMqAcAnv6DfhUxh5emyM3CJp_w/edit?usp=sharing"",""เพชรบุรี!S695"")+IMPORTRA"&amp;"NGE(""https://docs.google.com/spreadsheets/d/19KBlQQs7uwvsao6t2n-KvW3Ax8J8uRRfZPq1zPbXgKc/edit?usp=sharing"",""ระยอง!S695"")+IMPORTRANGE(""https://docs.google.com/spreadsheets/d/1jQ6P4QcrGM89YfqcC_PxOHGCMq5ezhucwJd8ci-NHng/edit?usp=sharing"",""ราชบุรี!S69"&amp;"5"")+IMPORTRANGE(""https://docs.google.com/spreadsheets/d/1lufeA2cfFqM-elVq2hznhDzC6Pr7wkJ9ZG_sYNGCMCU/edit?usp=sharing"",""ลพบุรี!S695"")+IMPORTRANGE(""https://docs.google.com/spreadsheets/d/10oOiF7loTyfsTkbd4MpaIm0HQ9SwB7IYHdIUvt-U1Uc/edit?usp=sharing"""&amp;",""สระแก้ว!S695"")+IMPORTRANGE(""https://docs.google.com/spreadsheets/d/1xmPlrr1QbdSIKvl1dWUl9K4PjAfSL9oeMr_37QVzcxc/edit?usp=sharing"",""สระบุรี!S695"")+IMPORTRANGE(""https://docs.google.com/spreadsheets/d/1j51vR6CYVGhABJpv6tkstgok82RLpXieLzW1yOY5rHw/edi"&amp;"t?usp=sharing"",""สิงห์บุรี!S695"")+IMPORTRANGE(""https://docs.google.com/spreadsheets/d/1H1EalTWKUSzO4Z1-1CwzoDUaVffgrThEBe2sl74kKG0/edit?usp=sharing"",""สุพรรณบุรี!S695"")+IMPORTRANGE(""https://docs.google.com/spreadsheets/d/1BmIruG_sIrJLYao_Pdr7zVArWsf"&amp;"oBt2692TMi6x_854/edit?usp=sharing"",""อ่างทอง!S695"")"),104051)</f>
        <v>104051</v>
      </c>
      <c r="T696" s="132">
        <f t="shared" ca="1" si="468"/>
        <v>4.4809780970345301</v>
      </c>
      <c r="U696" s="132">
        <f t="shared" ca="1" si="469"/>
        <v>4.4809780970345301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4">
        <f t="shared" ref="L697:N697" ca="1" si="476">L698+L699</f>
        <v>0</v>
      </c>
      <c r="M697" s="74">
        <f t="shared" ca="1" si="476"/>
        <v>0</v>
      </c>
      <c r="N697" s="74">
        <f t="shared" ca="1" si="476"/>
        <v>0</v>
      </c>
      <c r="O697" s="74">
        <f t="shared" ca="1" si="465"/>
        <v>0</v>
      </c>
      <c r="P697" s="74">
        <f t="shared" ca="1" si="466"/>
        <v>0</v>
      </c>
      <c r="Q697" s="131">
        <f t="shared" ref="Q697:S697" ca="1" si="477">Q698+Q699</f>
        <v>0</v>
      </c>
      <c r="R697" s="132">
        <f t="shared" ca="1" si="477"/>
        <v>0</v>
      </c>
      <c r="S697" s="132">
        <f t="shared" ca="1" si="477"/>
        <v>0</v>
      </c>
      <c r="T697" s="132">
        <f t="shared" ca="1" si="468"/>
        <v>0</v>
      </c>
      <c r="U697" s="132">
        <f t="shared" ca="1" si="469"/>
        <v>0</v>
      </c>
    </row>
    <row r="698" spans="1:21" ht="18.75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7">
        <f ca="1">IFERROR(__xludf.DUMMYFUNCTION("IMPORTRANGE(""https://docs.google.com/spreadsheets/d/13wPX838HrBrQMCywv1BsuMkt4PEKTChp52zj44s2izQ/edit?usp=sharing"",""กาญจนบุรี!L697"")+IMPORTRANGE(""https://docs.google.com/spreadsheets/d/1ddFKvqj1W1NEiWytbGlB1zMx_ykJDVtmfEQ-6-lIUBA/edit?usp=sharing"","&amp;"""จันทบุรี!L697"")+IMPORTRANGE(""https://docs.google.com/spreadsheets/d/1T1PQvRODqOBZk8BRht_U031fIS1beLA0Ub2CEytj2q0/edit?usp=sharing"",""ฉะเชิงเทรา!L697"")+IMPORTRANGE(""https://docs.google.com/spreadsheets/d/11tr1B-Bhyr79v2bkwVh5h_fR-PStkgjlZtkrZpYurG0/"&amp;"edit?usp=sharing"",""ชลบุรี!L697"")+IMPORTRANGE(""https://docs.google.com/spreadsheets/d/1hh-FVnSX0vozXhGluamEcS54Dw9_zqW0N7qJUWgJ0Sw/edit?usp=sharing"",""ชัยนาท!L697"")+IMPORTRANGE(""https://docs.google.com/spreadsheets/d/1jkqa6GXxSacMcY1eN8AHjMNJ_7dDXMJ"&amp;"VRLDlaFSOdPM/edit?usp=sharing"",""ตราด!L697"")+IMPORTRANGE(""https://docs.google.com/spreadsheets/d/18hSgUJ3VwClqi_qtULmmW3cLr0oe3OKaSYoKzdpTsYQ/edit?usp=sharing"",""นครนายก!L697"")+IMPORTRANGE(""https://docs.google.com/spreadsheets/d/1YTZo6WM2dQ6Ix6FSdnL"&amp;"5P7uVnVKu40sxZu975tgG10E/edit?usp=sharing"",""นครปฐม!L697"")+IMPORTRANGE(""https://docs.google.com/spreadsheets/d/1OYoGg4WDg5RIzwGeB10padOxJF9E_Vljuvvct_M7RDo/edit?usp=sharing"",""ปทุมธานี!L697"")+IMPORTRANGE(""https://docs.google.com/spreadsheets/d/1GbCI"&amp;"E4D4wk9FUozzqk7SxfDMxDVBwVmI5zcaVUSzKAc/edit?usp=sharing"",""ประจวบคีรีขันธ์!L697"")+IMPORTRANGE(""https://docs.google.com/spreadsheets/d/1vVf6wykvW_lAyu7Yo9L4hUTqHqIeP_qcVuxCtosJEbg/edit?usp=sharing"",""ปราจีนบุรี!L697"")+IMPORTRANGE(""https://docs.googl"&amp;"e.com/spreadsheets/d/1BIDqLLg5jk3v59G8NlR8rk5xfQDKne0sAvZHSj7TI6I/edit?usp=sharing"",""พระนครศรีอยุธยา!L697"")+IMPORTRANGE(""https://docs.google.com/spreadsheets/d/1YXvxf8Yu6_rV4hTBrwMqAcAnv6DfhUxh5emyM3CJp_w/edit?usp=sharing"",""เพชรบุรี!L697"")+IMPORTRA"&amp;"NGE(""https://docs.google.com/spreadsheets/d/19KBlQQs7uwvsao6t2n-KvW3Ax8J8uRRfZPq1zPbXgKc/edit?usp=sharing"",""ระยอง!L697"")+IMPORTRANGE(""https://docs.google.com/spreadsheets/d/1jQ6P4QcrGM89YfqcC_PxOHGCMq5ezhucwJd8ci-NHng/edit?usp=sharing"",""ราชบุรี!L69"&amp;"7"")+IMPORTRANGE(""https://docs.google.com/spreadsheets/d/1lufeA2cfFqM-elVq2hznhDzC6Pr7wkJ9ZG_sYNGCMCU/edit?usp=sharing"",""ลพบุรี!L697"")+IMPORTRANGE(""https://docs.google.com/spreadsheets/d/10oOiF7loTyfsTkbd4MpaIm0HQ9SwB7IYHdIUvt-U1Uc/edit?usp=sharing"""&amp;",""สระแก้ว!L697"")+IMPORTRANGE(""https://docs.google.com/spreadsheets/d/1xmPlrr1QbdSIKvl1dWUl9K4PjAfSL9oeMr_37QVzcxc/edit?usp=sharing"",""สระบุรี!L697"")+IMPORTRANGE(""https://docs.google.com/spreadsheets/d/1j51vR6CYVGhABJpv6tkstgok82RLpXieLzW1yOY5rHw/edi"&amp;"t?usp=sharing"",""สิงห์บุรี!L697"")+IMPORTRANGE(""https://docs.google.com/spreadsheets/d/1H1EalTWKUSzO4Z1-1CwzoDUaVffgrThEBe2sl74kKG0/edit?usp=sharing"",""สุพรรณบุรี!L697"")+IMPORTRANGE(""https://docs.google.com/spreadsheets/d/1BmIruG_sIrJLYao_Pdr7zVArWsf"&amp;"oBt2692TMi6x_854/edit?usp=sharing"",""อ่างทอง!L697"")"),0)</f>
        <v>0</v>
      </c>
      <c r="M698" s="77">
        <f ca="1">IFERROR(__xludf.DUMMYFUNCTION("IMPORTRANGE(""https://docs.google.com/spreadsheets/d/13wPX838HrBrQMCywv1BsuMkt4PEKTChp52zj44s2izQ/edit?usp=sharing"",""กาญจนบุรี!M697"")+IMPORTRANGE(""https://docs.google.com/spreadsheets/d/1ddFKvqj1W1NEiWytbGlB1zMx_ykJDVtmfEQ-6-lIUBA/edit?usp=sharing"","&amp;"""จันทบุรี!M697"")+IMPORTRANGE(""https://docs.google.com/spreadsheets/d/1T1PQvRODqOBZk8BRht_U031fIS1beLA0Ub2CEytj2q0/edit?usp=sharing"",""ฉะเชิงเทรา!M697"")+IMPORTRANGE(""https://docs.google.com/spreadsheets/d/11tr1B-Bhyr79v2bkwVh5h_fR-PStkgjlZtkrZpYurG0/"&amp;"edit?usp=sharing"",""ชลบุรี!M697"")+IMPORTRANGE(""https://docs.google.com/spreadsheets/d/1hh-FVnSX0vozXhGluamEcS54Dw9_zqW0N7qJUWgJ0Sw/edit?usp=sharing"",""ชัยนาท!M697"")+IMPORTRANGE(""https://docs.google.com/spreadsheets/d/1jkqa6GXxSacMcY1eN8AHjMNJ_7dDXMJ"&amp;"VRLDlaFSOdPM/edit?usp=sharing"",""ตราด!M697"")+IMPORTRANGE(""https://docs.google.com/spreadsheets/d/18hSgUJ3VwClqi_qtULmmW3cLr0oe3OKaSYoKzdpTsYQ/edit?usp=sharing"",""นครนายก!M697"")+IMPORTRANGE(""https://docs.google.com/spreadsheets/d/1YTZo6WM2dQ6Ix6FSdnL"&amp;"5P7uVnVKu40sxZu975tgG10E/edit?usp=sharing"",""นครปฐม!M697"")+IMPORTRANGE(""https://docs.google.com/spreadsheets/d/1OYoGg4WDg5RIzwGeB10padOxJF9E_Vljuvvct_M7RDo/edit?usp=sharing"",""ปทุมธานี!M697"")+IMPORTRANGE(""https://docs.google.com/spreadsheets/d/1GbCI"&amp;"E4D4wk9FUozzqk7SxfDMxDVBwVmI5zcaVUSzKAc/edit?usp=sharing"",""ประจวบคีรีขันธ์!M697"")+IMPORTRANGE(""https://docs.google.com/spreadsheets/d/1vVf6wykvW_lAyu7Yo9L4hUTqHqIeP_qcVuxCtosJEbg/edit?usp=sharing"",""ปราจีนบุรี!M697"")+IMPORTRANGE(""https://docs.googl"&amp;"e.com/spreadsheets/d/1BIDqLLg5jk3v59G8NlR8rk5xfQDKne0sAvZHSj7TI6I/edit?usp=sharing"",""พระนครศรีอยุธยา!M697"")+IMPORTRANGE(""https://docs.google.com/spreadsheets/d/1YXvxf8Yu6_rV4hTBrwMqAcAnv6DfhUxh5emyM3CJp_w/edit?usp=sharing"",""เพชรบุรี!M697"")+IMPORTRA"&amp;"NGE(""https://docs.google.com/spreadsheets/d/19KBlQQs7uwvsao6t2n-KvW3Ax8J8uRRfZPq1zPbXgKc/edit?usp=sharing"",""ระยอง!M697"")+IMPORTRANGE(""https://docs.google.com/spreadsheets/d/1jQ6P4QcrGM89YfqcC_PxOHGCMq5ezhucwJd8ci-NHng/edit?usp=sharing"",""ราชบุรี!M69"&amp;"7"")+IMPORTRANGE(""https://docs.google.com/spreadsheets/d/1lufeA2cfFqM-elVq2hznhDzC6Pr7wkJ9ZG_sYNGCMCU/edit?usp=sharing"",""ลพบุรี!M697"")+IMPORTRANGE(""https://docs.google.com/spreadsheets/d/10oOiF7loTyfsTkbd4MpaIm0HQ9SwB7IYHdIUvt-U1Uc/edit?usp=sharing"""&amp;",""สระแก้ว!M697"")+IMPORTRANGE(""https://docs.google.com/spreadsheets/d/1xmPlrr1QbdSIKvl1dWUl9K4PjAfSL9oeMr_37QVzcxc/edit?usp=sharing"",""สระบุรี!M697"")+IMPORTRANGE(""https://docs.google.com/spreadsheets/d/1j51vR6CYVGhABJpv6tkstgok82RLpXieLzW1yOY5rHw/edi"&amp;"t?usp=sharing"",""สิงห์บุรี!M697"")+IMPORTRANGE(""https://docs.google.com/spreadsheets/d/1H1EalTWKUSzO4Z1-1CwzoDUaVffgrThEBe2sl74kKG0/edit?usp=sharing"",""สุพรรณบุรี!M697"")+IMPORTRANGE(""https://docs.google.com/spreadsheets/d/1BmIruG_sIrJLYao_Pdr7zVArWsf"&amp;"oBt2692TMi6x_854/edit?usp=sharing"",""อ่างทอง!M697"")"),0)</f>
        <v>0</v>
      </c>
      <c r="N698" s="77">
        <f ca="1">IFERROR(__xludf.DUMMYFUNCTION("IMPORTRANGE(""https://docs.google.com/spreadsheets/d/13wPX838HrBrQMCywv1BsuMkt4PEKTChp52zj44s2izQ/edit?usp=sharing"",""กาญจนบุรี!N697"")+IMPORTRANGE(""https://docs.google.com/spreadsheets/d/1ddFKvqj1W1NEiWytbGlB1zMx_ykJDVtmfEQ-6-lIUBA/edit?usp=sharing"","&amp;"""จันทบุรี!N697"")+IMPORTRANGE(""https://docs.google.com/spreadsheets/d/1T1PQvRODqOBZk8BRht_U031fIS1beLA0Ub2CEytj2q0/edit?usp=sharing"",""ฉะเชิงเทรา!N697"")+IMPORTRANGE(""https://docs.google.com/spreadsheets/d/11tr1B-Bhyr79v2bkwVh5h_fR-PStkgjlZtkrZpYurG0/"&amp;"edit?usp=sharing"",""ชลบุรี!N697"")+IMPORTRANGE(""https://docs.google.com/spreadsheets/d/1hh-FVnSX0vozXhGluamEcS54Dw9_zqW0N7qJUWgJ0Sw/edit?usp=sharing"",""ชัยนาท!N697"")+IMPORTRANGE(""https://docs.google.com/spreadsheets/d/1jkqa6GXxSacMcY1eN8AHjMNJ_7dDXMJ"&amp;"VRLDlaFSOdPM/edit?usp=sharing"",""ตราด!N697"")+IMPORTRANGE(""https://docs.google.com/spreadsheets/d/18hSgUJ3VwClqi_qtULmmW3cLr0oe3OKaSYoKzdpTsYQ/edit?usp=sharing"",""นครนายก!N697"")+IMPORTRANGE(""https://docs.google.com/spreadsheets/d/1YTZo6WM2dQ6Ix6FSdnL"&amp;"5P7uVnVKu40sxZu975tgG10E/edit?usp=sharing"",""นครปฐม!N697"")+IMPORTRANGE(""https://docs.google.com/spreadsheets/d/1OYoGg4WDg5RIzwGeB10padOxJF9E_Vljuvvct_M7RDo/edit?usp=sharing"",""ปทุมธานี!N697"")+IMPORTRANGE(""https://docs.google.com/spreadsheets/d/1GbCI"&amp;"E4D4wk9FUozzqk7SxfDMxDVBwVmI5zcaVUSzKAc/edit?usp=sharing"",""ประจวบคีรีขันธ์!N697"")+IMPORTRANGE(""https://docs.google.com/spreadsheets/d/1vVf6wykvW_lAyu7Yo9L4hUTqHqIeP_qcVuxCtosJEbg/edit?usp=sharing"",""ปราจีนบุรี!N697"")+IMPORTRANGE(""https://docs.googl"&amp;"e.com/spreadsheets/d/1BIDqLLg5jk3v59G8NlR8rk5xfQDKne0sAvZHSj7TI6I/edit?usp=sharing"",""พระนครศรีอยุธยา!N697"")+IMPORTRANGE(""https://docs.google.com/spreadsheets/d/1YXvxf8Yu6_rV4hTBrwMqAcAnv6DfhUxh5emyM3CJp_w/edit?usp=sharing"",""เพชรบุรี!N697"")+IMPORTRA"&amp;"NGE(""https://docs.google.com/spreadsheets/d/19KBlQQs7uwvsao6t2n-KvW3Ax8J8uRRfZPq1zPbXgKc/edit?usp=sharing"",""ระยอง!N697"")+IMPORTRANGE(""https://docs.google.com/spreadsheets/d/1jQ6P4QcrGM89YfqcC_PxOHGCMq5ezhucwJd8ci-NHng/edit?usp=sharing"",""ราชบุรี!N69"&amp;"7"")+IMPORTRANGE(""https://docs.google.com/spreadsheets/d/1lufeA2cfFqM-elVq2hznhDzC6Pr7wkJ9ZG_sYNGCMCU/edit?usp=sharing"",""ลพบุรี!N697"")+IMPORTRANGE(""https://docs.google.com/spreadsheets/d/10oOiF7loTyfsTkbd4MpaIm0HQ9SwB7IYHdIUvt-U1Uc/edit?usp=sharing"""&amp;",""สระแก้ว!N697"")+IMPORTRANGE(""https://docs.google.com/spreadsheets/d/1xmPlrr1QbdSIKvl1dWUl9K4PjAfSL9oeMr_37QVzcxc/edit?usp=sharing"",""สระบุรี!N697"")+IMPORTRANGE(""https://docs.google.com/spreadsheets/d/1j51vR6CYVGhABJpv6tkstgok82RLpXieLzW1yOY5rHw/edi"&amp;"t?usp=sharing"",""สิงห์บุรี!N697"")+IMPORTRANGE(""https://docs.google.com/spreadsheets/d/1H1EalTWKUSzO4Z1-1CwzoDUaVffgrThEBe2sl74kKG0/edit?usp=sharing"",""สุพรรณบุรี!N697"")+IMPORTRANGE(""https://docs.google.com/spreadsheets/d/1BmIruG_sIrJLYao_Pdr7zVArWsf"&amp;"oBt2692TMi6x_854/edit?usp=sharing"",""อ่างทอง!N697"")"),0)</f>
        <v>0</v>
      </c>
      <c r="O698" s="77">
        <f t="shared" ca="1" si="465"/>
        <v>0</v>
      </c>
      <c r="P698" s="77">
        <f t="shared" ca="1" si="466"/>
        <v>0</v>
      </c>
      <c r="Q698" s="76">
        <f ca="1">IFERROR(__xludf.DUMMYFUNCTION("IMPORTRANGE(""https://docs.google.com/spreadsheets/d/13wPX838HrBrQMCywv1BsuMkt4PEKTChp52zj44s2izQ/edit?usp=sharing"",""กาญจนบุรี!Q697"")+IMPORTRANGE(""https://docs.google.com/spreadsheets/d/1ddFKvqj1W1NEiWytbGlB1zMx_ykJDVtmfEQ-6-lIUBA/edit?usp=sharing"","&amp;"""จันทบุรี!Q697"")+IMPORTRANGE(""https://docs.google.com/spreadsheets/d/1T1PQvRODqOBZk8BRht_U031fIS1beLA0Ub2CEytj2q0/edit?usp=sharing"",""ฉะเชิงเทรา!Q697"")+IMPORTRANGE(""https://docs.google.com/spreadsheets/d/11tr1B-Bhyr79v2bkwVh5h_fR-PStkgjlZtkrZpYurG0/"&amp;"edit?usp=sharing"",""ชลบุรี!Q697"")+IMPORTRANGE(""https://docs.google.com/spreadsheets/d/1hh-FVnSX0vozXhGluamEcS54Dw9_zqW0N7qJUWgJ0Sw/edit?usp=sharing"",""ชัยนาท!Q697"")+IMPORTRANGE(""https://docs.google.com/spreadsheets/d/1jkqa6GXxSacMcY1eN8AHjMNJ_7dDXMJ"&amp;"VRLDlaFSOdPM/edit?usp=sharing"",""ตราด!Q697"")+IMPORTRANGE(""https://docs.google.com/spreadsheets/d/18hSgUJ3VwClqi_qtULmmW3cLr0oe3OKaSYoKzdpTsYQ/edit?usp=sharing"",""นครนายก!Q697"")+IMPORTRANGE(""https://docs.google.com/spreadsheets/d/1YTZo6WM2dQ6Ix6FSdnL"&amp;"5P7uVnVKu40sxZu975tgG10E/edit?usp=sharing"",""นครปฐม!Q697"")+IMPORTRANGE(""https://docs.google.com/spreadsheets/d/1OYoGg4WDg5RIzwGeB10padOxJF9E_Vljuvvct_M7RDo/edit?usp=sharing"",""ปทุมธานี!Q697"")+IMPORTRANGE(""https://docs.google.com/spreadsheets/d/1GbCI"&amp;"E4D4wk9FUozzqk7SxfDMxDVBwVmI5zcaVUSzKAc/edit?usp=sharing"",""ประจวบคีรีขันธ์!Q697"")+IMPORTRANGE(""https://docs.google.com/spreadsheets/d/1vVf6wykvW_lAyu7Yo9L4hUTqHqIeP_qcVuxCtosJEbg/edit?usp=sharing"",""ปราจีนบุรี!Q697"")+IMPORTRANGE(""https://docs.googl"&amp;"e.com/spreadsheets/d/1BIDqLLg5jk3v59G8NlR8rk5xfQDKne0sAvZHSj7TI6I/edit?usp=sharing"",""พระนครศรีอยุธยา!Q697"")+IMPORTRANGE(""https://docs.google.com/spreadsheets/d/1YXvxf8Yu6_rV4hTBrwMqAcAnv6DfhUxh5emyM3CJp_w/edit?usp=sharing"",""เพชรบุรี!Q697"")+IMPORTRA"&amp;"NGE(""https://docs.google.com/spreadsheets/d/19KBlQQs7uwvsao6t2n-KvW3Ax8J8uRRfZPq1zPbXgKc/edit?usp=sharing"",""ระยอง!Q697"")+IMPORTRANGE(""https://docs.google.com/spreadsheets/d/1jQ6P4QcrGM89YfqcC_PxOHGCMq5ezhucwJd8ci-NHng/edit?usp=sharing"",""ราชบุรี!Q69"&amp;"7"")+IMPORTRANGE(""https://docs.google.com/spreadsheets/d/1lufeA2cfFqM-elVq2hznhDzC6Pr7wkJ9ZG_sYNGCMCU/edit?usp=sharing"",""ลพบุรี!Q697"")+IMPORTRANGE(""https://docs.google.com/spreadsheets/d/10oOiF7loTyfsTkbd4MpaIm0HQ9SwB7IYHdIUvt-U1Uc/edit?usp=sharing"""&amp;",""สระแก้ว!Q697"")+IMPORTRANGE(""https://docs.google.com/spreadsheets/d/1xmPlrr1QbdSIKvl1dWUl9K4PjAfSL9oeMr_37QVzcxc/edit?usp=sharing"",""สระบุรี!Q697"")+IMPORTRANGE(""https://docs.google.com/spreadsheets/d/1j51vR6CYVGhABJpv6tkstgok82RLpXieLzW1yOY5rHw/edi"&amp;"t?usp=sharing"",""สิงห์บุรี!Q697"")+IMPORTRANGE(""https://docs.google.com/spreadsheets/d/1H1EalTWKUSzO4Z1-1CwzoDUaVffgrThEBe2sl74kKG0/edit?usp=sharing"",""สุพรรณบุรี!Q697"")+IMPORTRANGE(""https://docs.google.com/spreadsheets/d/1BmIruG_sIrJLYao_Pdr7zVArWsf"&amp;"oBt2692TMi6x_854/edit?usp=sharing"",""อ่างทอง!Q697"")"),0)</f>
        <v>0</v>
      </c>
      <c r="R698" s="77">
        <f ca="1">IFERROR(__xludf.DUMMYFUNCTION("IMPORTRANGE(""https://docs.google.com/spreadsheets/d/13wPX838HrBrQMCywv1BsuMkt4PEKTChp52zj44s2izQ/edit?usp=sharing"",""กาญจนบุรี!R697"")+IMPORTRANGE(""https://docs.google.com/spreadsheets/d/1ddFKvqj1W1NEiWytbGlB1zMx_ykJDVtmfEQ-6-lIUBA/edit?usp=sharing"","&amp;"""จันทบุรี!R697"")+IMPORTRANGE(""https://docs.google.com/spreadsheets/d/1T1PQvRODqOBZk8BRht_U031fIS1beLA0Ub2CEytj2q0/edit?usp=sharing"",""ฉะเชิงเทรา!R697"")+IMPORTRANGE(""https://docs.google.com/spreadsheets/d/11tr1B-Bhyr79v2bkwVh5h_fR-PStkgjlZtkrZpYurG0/"&amp;"edit?usp=sharing"",""ชลบุรี!R697"")+IMPORTRANGE(""https://docs.google.com/spreadsheets/d/1hh-FVnSX0vozXhGluamEcS54Dw9_zqW0N7qJUWgJ0Sw/edit?usp=sharing"",""ชัยนาท!R697"")+IMPORTRANGE(""https://docs.google.com/spreadsheets/d/1jkqa6GXxSacMcY1eN8AHjMNJ_7dDXMJ"&amp;"VRLDlaFSOdPM/edit?usp=sharing"",""ตราด!R697"")+IMPORTRANGE(""https://docs.google.com/spreadsheets/d/18hSgUJ3VwClqi_qtULmmW3cLr0oe3OKaSYoKzdpTsYQ/edit?usp=sharing"",""นครนายก!R697"")+IMPORTRANGE(""https://docs.google.com/spreadsheets/d/1YTZo6WM2dQ6Ix6FSdnL"&amp;"5P7uVnVKu40sxZu975tgG10E/edit?usp=sharing"",""นครปฐม!R697"")+IMPORTRANGE(""https://docs.google.com/spreadsheets/d/1OYoGg4WDg5RIzwGeB10padOxJF9E_Vljuvvct_M7RDo/edit?usp=sharing"",""ปทุมธานี!R697"")+IMPORTRANGE(""https://docs.google.com/spreadsheets/d/1GbCI"&amp;"E4D4wk9FUozzqk7SxfDMxDVBwVmI5zcaVUSzKAc/edit?usp=sharing"",""ประจวบคีรีขันธ์!R697"")+IMPORTRANGE(""https://docs.google.com/spreadsheets/d/1vVf6wykvW_lAyu7Yo9L4hUTqHqIeP_qcVuxCtosJEbg/edit?usp=sharing"",""ปราจีนบุรี!R697"")+IMPORTRANGE(""https://docs.googl"&amp;"e.com/spreadsheets/d/1BIDqLLg5jk3v59G8NlR8rk5xfQDKne0sAvZHSj7TI6I/edit?usp=sharing"",""พระนครศรีอยุธยา!R697"")+IMPORTRANGE(""https://docs.google.com/spreadsheets/d/1YXvxf8Yu6_rV4hTBrwMqAcAnv6DfhUxh5emyM3CJp_w/edit?usp=sharing"",""เพชรบุรี!R697"")+IMPORTRA"&amp;"NGE(""https://docs.google.com/spreadsheets/d/19KBlQQs7uwvsao6t2n-KvW3Ax8J8uRRfZPq1zPbXgKc/edit?usp=sharing"",""ระยอง!R697"")+IMPORTRANGE(""https://docs.google.com/spreadsheets/d/1jQ6P4QcrGM89YfqcC_PxOHGCMq5ezhucwJd8ci-NHng/edit?usp=sharing"",""ราชบุรี!R69"&amp;"7"")+IMPORTRANGE(""https://docs.google.com/spreadsheets/d/1lufeA2cfFqM-elVq2hznhDzC6Pr7wkJ9ZG_sYNGCMCU/edit?usp=sharing"",""ลพบุรี!R697"")+IMPORTRANGE(""https://docs.google.com/spreadsheets/d/10oOiF7loTyfsTkbd4MpaIm0HQ9SwB7IYHdIUvt-U1Uc/edit?usp=sharing"""&amp;",""สระแก้ว!R697"")+IMPORTRANGE(""https://docs.google.com/spreadsheets/d/1xmPlrr1QbdSIKvl1dWUl9K4PjAfSL9oeMr_37QVzcxc/edit?usp=sharing"",""สระบุรี!R697"")+IMPORTRANGE(""https://docs.google.com/spreadsheets/d/1j51vR6CYVGhABJpv6tkstgok82RLpXieLzW1yOY5rHw/edi"&amp;"t?usp=sharing"",""สิงห์บุรี!R697"")+IMPORTRANGE(""https://docs.google.com/spreadsheets/d/1H1EalTWKUSzO4Z1-1CwzoDUaVffgrThEBe2sl74kKG0/edit?usp=sharing"",""สุพรรณบุรี!R697"")+IMPORTRANGE(""https://docs.google.com/spreadsheets/d/1BmIruG_sIrJLYao_Pdr7zVArWsf"&amp;"oBt2692TMi6x_854/edit?usp=sharing"",""อ่างทอง!R697"")"),0)</f>
        <v>0</v>
      </c>
      <c r="S698" s="77">
        <f ca="1">IFERROR(__xludf.DUMMYFUNCTION("IMPORTRANGE(""https://docs.google.com/spreadsheets/d/13wPX838HrBrQMCywv1BsuMkt4PEKTChp52zj44s2izQ/edit?usp=sharing"",""กาญจนบุรี!S697"")+IMPORTRANGE(""https://docs.google.com/spreadsheets/d/1ddFKvqj1W1NEiWytbGlB1zMx_ykJDVtmfEQ-6-lIUBA/edit?usp=sharing"","&amp;"""จันทบุรี!S697"")+IMPORTRANGE(""https://docs.google.com/spreadsheets/d/1T1PQvRODqOBZk8BRht_U031fIS1beLA0Ub2CEytj2q0/edit?usp=sharing"",""ฉะเชิงเทรา!S697"")+IMPORTRANGE(""https://docs.google.com/spreadsheets/d/11tr1B-Bhyr79v2bkwVh5h_fR-PStkgjlZtkrZpYurG0/"&amp;"edit?usp=sharing"",""ชลบุรี!S697"")+IMPORTRANGE(""https://docs.google.com/spreadsheets/d/1hh-FVnSX0vozXhGluamEcS54Dw9_zqW0N7qJUWgJ0Sw/edit?usp=sharing"",""ชัยนาท!S697"")+IMPORTRANGE(""https://docs.google.com/spreadsheets/d/1jkqa6GXxSacMcY1eN8AHjMNJ_7dDXMJ"&amp;"VRLDlaFSOdPM/edit?usp=sharing"",""ตราด!S697"")+IMPORTRANGE(""https://docs.google.com/spreadsheets/d/18hSgUJ3VwClqi_qtULmmW3cLr0oe3OKaSYoKzdpTsYQ/edit?usp=sharing"",""นครนายก!S697"")+IMPORTRANGE(""https://docs.google.com/spreadsheets/d/1YTZo6WM2dQ6Ix6FSdnL"&amp;"5P7uVnVKu40sxZu975tgG10E/edit?usp=sharing"",""นครปฐม!S697"")+IMPORTRANGE(""https://docs.google.com/spreadsheets/d/1OYoGg4WDg5RIzwGeB10padOxJF9E_Vljuvvct_M7RDo/edit?usp=sharing"",""ปทุมธานี!S697"")+IMPORTRANGE(""https://docs.google.com/spreadsheets/d/1GbCI"&amp;"E4D4wk9FUozzqk7SxfDMxDVBwVmI5zcaVUSzKAc/edit?usp=sharing"",""ประจวบคีรีขันธ์!S697"")+IMPORTRANGE(""https://docs.google.com/spreadsheets/d/1vVf6wykvW_lAyu7Yo9L4hUTqHqIeP_qcVuxCtosJEbg/edit?usp=sharing"",""ปราจีนบุรี!S697"")+IMPORTRANGE(""https://docs.googl"&amp;"e.com/spreadsheets/d/1BIDqLLg5jk3v59G8NlR8rk5xfQDKne0sAvZHSj7TI6I/edit?usp=sharing"",""พระนครศรีอยุธยา!S697"")+IMPORTRANGE(""https://docs.google.com/spreadsheets/d/1YXvxf8Yu6_rV4hTBrwMqAcAnv6DfhUxh5emyM3CJp_w/edit?usp=sharing"",""เพชรบุรี!S697"")+IMPORTRA"&amp;"NGE(""https://docs.google.com/spreadsheets/d/19KBlQQs7uwvsao6t2n-KvW3Ax8J8uRRfZPq1zPbXgKc/edit?usp=sharing"",""ระยอง!S697"")+IMPORTRANGE(""https://docs.google.com/spreadsheets/d/1jQ6P4QcrGM89YfqcC_PxOHGCMq5ezhucwJd8ci-NHng/edit?usp=sharing"",""ราชบุรี!S69"&amp;"7"")+IMPORTRANGE(""https://docs.google.com/spreadsheets/d/1lufeA2cfFqM-elVq2hznhDzC6Pr7wkJ9ZG_sYNGCMCU/edit?usp=sharing"",""ลพบุรี!S697"")+IMPORTRANGE(""https://docs.google.com/spreadsheets/d/10oOiF7loTyfsTkbd4MpaIm0HQ9SwB7IYHdIUvt-U1Uc/edit?usp=sharing"""&amp;",""สระแก้ว!S697"")+IMPORTRANGE(""https://docs.google.com/spreadsheets/d/1xmPlrr1QbdSIKvl1dWUl9K4PjAfSL9oeMr_37QVzcxc/edit?usp=sharing"",""สระบุรี!S697"")+IMPORTRANGE(""https://docs.google.com/spreadsheets/d/1j51vR6CYVGhABJpv6tkstgok82RLpXieLzW1yOY5rHw/edi"&amp;"t?usp=sharing"",""สิงห์บุรี!S697"")+IMPORTRANGE(""https://docs.google.com/spreadsheets/d/1H1EalTWKUSzO4Z1-1CwzoDUaVffgrThEBe2sl74kKG0/edit?usp=sharing"",""สุพรรณบุรี!S697"")+IMPORTRANGE(""https://docs.google.com/spreadsheets/d/1BmIruG_sIrJLYao_Pdr7zVArWsf"&amp;"oBt2692TMi6x_854/edit?usp=sharing"",""อ่างทอง!S697"")"),0)</f>
        <v>0</v>
      </c>
      <c r="T698" s="133">
        <f t="shared" ca="1" si="468"/>
        <v>0</v>
      </c>
      <c r="U698" s="133">
        <f t="shared" ca="1" si="469"/>
        <v>0</v>
      </c>
    </row>
    <row r="699" spans="1:21" ht="18.75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4">
        <f ca="1">IFERROR(__xludf.DUMMYFUNCTION("IMPORTRANGE(""https://docs.google.com/spreadsheets/d/13wPX838HrBrQMCywv1BsuMkt4PEKTChp52zj44s2izQ/edit?usp=sharing"",""กาญจนบุรี!L698"")+IMPORTRANGE(""https://docs.google.com/spreadsheets/d/1ddFKvqj1W1NEiWytbGlB1zMx_ykJDVtmfEQ-6-lIUBA/edit?usp=sharing"","&amp;"""จันทบุรี!L698"")+IMPORTRANGE(""https://docs.google.com/spreadsheets/d/1T1PQvRODqOBZk8BRht_U031fIS1beLA0Ub2CEytj2q0/edit?usp=sharing"",""ฉะเชิงเทรา!L698"")+IMPORTRANGE(""https://docs.google.com/spreadsheets/d/11tr1B-Bhyr79v2bkwVh5h_fR-PStkgjlZtkrZpYurG0/"&amp;"edit?usp=sharing"",""ชลบุรี!L698"")+IMPORTRANGE(""https://docs.google.com/spreadsheets/d/1hh-FVnSX0vozXhGluamEcS54Dw9_zqW0N7qJUWgJ0Sw/edit?usp=sharing"",""ชัยนาท!L698"")+IMPORTRANGE(""https://docs.google.com/spreadsheets/d/1jkqa6GXxSacMcY1eN8AHjMNJ_7dDXMJ"&amp;"VRLDlaFSOdPM/edit?usp=sharing"",""ตราด!L698"")+IMPORTRANGE(""https://docs.google.com/spreadsheets/d/18hSgUJ3VwClqi_qtULmmW3cLr0oe3OKaSYoKzdpTsYQ/edit?usp=sharing"",""นครนายก!L698"")+IMPORTRANGE(""https://docs.google.com/spreadsheets/d/1YTZo6WM2dQ6Ix6FSdnL"&amp;"5P7uVnVKu40sxZu975tgG10E/edit?usp=sharing"",""นครปฐม!L698"")+IMPORTRANGE(""https://docs.google.com/spreadsheets/d/1OYoGg4WDg5RIzwGeB10padOxJF9E_Vljuvvct_M7RDo/edit?usp=sharing"",""ปทุมธานี!L698"")+IMPORTRANGE(""https://docs.google.com/spreadsheets/d/1GbCI"&amp;"E4D4wk9FUozzqk7SxfDMxDVBwVmI5zcaVUSzKAc/edit?usp=sharing"",""ประจวบคีรีขันธ์!L698"")+IMPORTRANGE(""https://docs.google.com/spreadsheets/d/1vVf6wykvW_lAyu7Yo9L4hUTqHqIeP_qcVuxCtosJEbg/edit?usp=sharing"",""ปราจีนบุรี!L698"")+IMPORTRANGE(""https://docs.googl"&amp;"e.com/spreadsheets/d/1BIDqLLg5jk3v59G8NlR8rk5xfQDKne0sAvZHSj7TI6I/edit?usp=sharing"",""พระนครศรีอยุธยา!L698"")+IMPORTRANGE(""https://docs.google.com/spreadsheets/d/1YXvxf8Yu6_rV4hTBrwMqAcAnv6DfhUxh5emyM3CJp_w/edit?usp=sharing"",""เพชรบุรี!L698"")+IMPORTRA"&amp;"NGE(""https://docs.google.com/spreadsheets/d/19KBlQQs7uwvsao6t2n-KvW3Ax8J8uRRfZPq1zPbXgKc/edit?usp=sharing"",""ระยอง!L698"")+IMPORTRANGE(""https://docs.google.com/spreadsheets/d/1jQ6P4QcrGM89YfqcC_PxOHGCMq5ezhucwJd8ci-NHng/edit?usp=sharing"",""ราชบุรี!L69"&amp;"8"")+IMPORTRANGE(""https://docs.google.com/spreadsheets/d/1lufeA2cfFqM-elVq2hznhDzC6Pr7wkJ9ZG_sYNGCMCU/edit?usp=sharing"",""ลพบุรี!L698"")+IMPORTRANGE(""https://docs.google.com/spreadsheets/d/10oOiF7loTyfsTkbd4MpaIm0HQ9SwB7IYHdIUvt-U1Uc/edit?usp=sharing"""&amp;",""สระแก้ว!L698"")+IMPORTRANGE(""https://docs.google.com/spreadsheets/d/1xmPlrr1QbdSIKvl1dWUl9K4PjAfSL9oeMr_37QVzcxc/edit?usp=sharing"",""สระบุรี!L698"")+IMPORTRANGE(""https://docs.google.com/spreadsheets/d/1j51vR6CYVGhABJpv6tkstgok82RLpXieLzW1yOY5rHw/edi"&amp;"t?usp=sharing"",""สิงห์บุรี!L698"")+IMPORTRANGE(""https://docs.google.com/spreadsheets/d/1H1EalTWKUSzO4Z1-1CwzoDUaVffgrThEBe2sl74kKG0/edit?usp=sharing"",""สุพรรณบุรี!L698"")+IMPORTRANGE(""https://docs.google.com/spreadsheets/d/1BmIruG_sIrJLYao_Pdr7zVArWsf"&amp;"oBt2692TMi6x_854/edit?usp=sharing"",""อ่างทอง!L698"")"),0)</f>
        <v>0</v>
      </c>
      <c r="M699" s="74">
        <f ca="1">IFERROR(__xludf.DUMMYFUNCTION("IMPORTRANGE(""https://docs.google.com/spreadsheets/d/13wPX838HrBrQMCywv1BsuMkt4PEKTChp52zj44s2izQ/edit?usp=sharing"",""กาญจนบุรี!M698"")+IMPORTRANGE(""https://docs.google.com/spreadsheets/d/1ddFKvqj1W1NEiWytbGlB1zMx_ykJDVtmfEQ-6-lIUBA/edit?usp=sharing"","&amp;"""จันทบุรี!M698"")+IMPORTRANGE(""https://docs.google.com/spreadsheets/d/1T1PQvRODqOBZk8BRht_U031fIS1beLA0Ub2CEytj2q0/edit?usp=sharing"",""ฉะเชิงเทรา!M698"")+IMPORTRANGE(""https://docs.google.com/spreadsheets/d/11tr1B-Bhyr79v2bkwVh5h_fR-PStkgjlZtkrZpYurG0/"&amp;"edit?usp=sharing"",""ชลบุรี!M698"")+IMPORTRANGE(""https://docs.google.com/spreadsheets/d/1hh-FVnSX0vozXhGluamEcS54Dw9_zqW0N7qJUWgJ0Sw/edit?usp=sharing"",""ชัยนาท!M698"")+IMPORTRANGE(""https://docs.google.com/spreadsheets/d/1jkqa6GXxSacMcY1eN8AHjMNJ_7dDXMJ"&amp;"VRLDlaFSOdPM/edit?usp=sharing"",""ตราด!M698"")+IMPORTRANGE(""https://docs.google.com/spreadsheets/d/18hSgUJ3VwClqi_qtULmmW3cLr0oe3OKaSYoKzdpTsYQ/edit?usp=sharing"",""นครนายก!M698"")+IMPORTRANGE(""https://docs.google.com/spreadsheets/d/1YTZo6WM2dQ6Ix6FSdnL"&amp;"5P7uVnVKu40sxZu975tgG10E/edit?usp=sharing"",""นครปฐม!M698"")+IMPORTRANGE(""https://docs.google.com/spreadsheets/d/1OYoGg4WDg5RIzwGeB10padOxJF9E_Vljuvvct_M7RDo/edit?usp=sharing"",""ปทุมธานี!M698"")+IMPORTRANGE(""https://docs.google.com/spreadsheets/d/1GbCI"&amp;"E4D4wk9FUozzqk7SxfDMxDVBwVmI5zcaVUSzKAc/edit?usp=sharing"",""ประจวบคีรีขันธ์!M698"")+IMPORTRANGE(""https://docs.google.com/spreadsheets/d/1vVf6wykvW_lAyu7Yo9L4hUTqHqIeP_qcVuxCtosJEbg/edit?usp=sharing"",""ปราจีนบุรี!M698"")+IMPORTRANGE(""https://docs.googl"&amp;"e.com/spreadsheets/d/1BIDqLLg5jk3v59G8NlR8rk5xfQDKne0sAvZHSj7TI6I/edit?usp=sharing"",""พระนครศรีอยุธยา!M698"")+IMPORTRANGE(""https://docs.google.com/spreadsheets/d/1YXvxf8Yu6_rV4hTBrwMqAcAnv6DfhUxh5emyM3CJp_w/edit?usp=sharing"",""เพชรบุรี!M698"")+IMPORTRA"&amp;"NGE(""https://docs.google.com/spreadsheets/d/19KBlQQs7uwvsao6t2n-KvW3Ax8J8uRRfZPq1zPbXgKc/edit?usp=sharing"",""ระยอง!M698"")+IMPORTRANGE(""https://docs.google.com/spreadsheets/d/1jQ6P4QcrGM89YfqcC_PxOHGCMq5ezhucwJd8ci-NHng/edit?usp=sharing"",""ราชบุรี!M69"&amp;"8"")+IMPORTRANGE(""https://docs.google.com/spreadsheets/d/1lufeA2cfFqM-elVq2hznhDzC6Pr7wkJ9ZG_sYNGCMCU/edit?usp=sharing"",""ลพบุรี!M698"")+IMPORTRANGE(""https://docs.google.com/spreadsheets/d/10oOiF7loTyfsTkbd4MpaIm0HQ9SwB7IYHdIUvt-U1Uc/edit?usp=sharing"""&amp;",""สระแก้ว!M698"")+IMPORTRANGE(""https://docs.google.com/spreadsheets/d/1xmPlrr1QbdSIKvl1dWUl9K4PjAfSL9oeMr_37QVzcxc/edit?usp=sharing"",""สระบุรี!M698"")+IMPORTRANGE(""https://docs.google.com/spreadsheets/d/1j51vR6CYVGhABJpv6tkstgok82RLpXieLzW1yOY5rHw/edi"&amp;"t?usp=sharing"",""สิงห์บุรี!M698"")+IMPORTRANGE(""https://docs.google.com/spreadsheets/d/1H1EalTWKUSzO4Z1-1CwzoDUaVffgrThEBe2sl74kKG0/edit?usp=sharing"",""สุพรรณบุรี!M698"")+IMPORTRANGE(""https://docs.google.com/spreadsheets/d/1BmIruG_sIrJLYao_Pdr7zVArWsf"&amp;"oBt2692TMi6x_854/edit?usp=sharing"",""อ่างทอง!M698"")"),0)</f>
        <v>0</v>
      </c>
      <c r="N699" s="74">
        <f ca="1">IFERROR(__xludf.DUMMYFUNCTION("IMPORTRANGE(""https://docs.google.com/spreadsheets/d/13wPX838HrBrQMCywv1BsuMkt4PEKTChp52zj44s2izQ/edit?usp=sharing"",""กาญจนบุรี!N698"")+IMPORTRANGE(""https://docs.google.com/spreadsheets/d/1ddFKvqj1W1NEiWytbGlB1zMx_ykJDVtmfEQ-6-lIUBA/edit?usp=sharing"","&amp;"""จันทบุรี!N698"")+IMPORTRANGE(""https://docs.google.com/spreadsheets/d/1T1PQvRODqOBZk8BRht_U031fIS1beLA0Ub2CEytj2q0/edit?usp=sharing"",""ฉะเชิงเทรา!N698"")+IMPORTRANGE(""https://docs.google.com/spreadsheets/d/11tr1B-Bhyr79v2bkwVh5h_fR-PStkgjlZtkrZpYurG0/"&amp;"edit?usp=sharing"",""ชลบุรี!N698"")+IMPORTRANGE(""https://docs.google.com/spreadsheets/d/1hh-FVnSX0vozXhGluamEcS54Dw9_zqW0N7qJUWgJ0Sw/edit?usp=sharing"",""ชัยนาท!N698"")+IMPORTRANGE(""https://docs.google.com/spreadsheets/d/1jkqa6GXxSacMcY1eN8AHjMNJ_7dDXMJ"&amp;"VRLDlaFSOdPM/edit?usp=sharing"",""ตราด!N698"")+IMPORTRANGE(""https://docs.google.com/spreadsheets/d/18hSgUJ3VwClqi_qtULmmW3cLr0oe3OKaSYoKzdpTsYQ/edit?usp=sharing"",""นครนายก!N698"")+IMPORTRANGE(""https://docs.google.com/spreadsheets/d/1YTZo6WM2dQ6Ix6FSdnL"&amp;"5P7uVnVKu40sxZu975tgG10E/edit?usp=sharing"",""นครปฐม!N698"")+IMPORTRANGE(""https://docs.google.com/spreadsheets/d/1OYoGg4WDg5RIzwGeB10padOxJF9E_Vljuvvct_M7RDo/edit?usp=sharing"",""ปทุมธานี!N698"")+IMPORTRANGE(""https://docs.google.com/spreadsheets/d/1GbCI"&amp;"E4D4wk9FUozzqk7SxfDMxDVBwVmI5zcaVUSzKAc/edit?usp=sharing"",""ประจวบคีรีขันธ์!N698"")+IMPORTRANGE(""https://docs.google.com/spreadsheets/d/1vVf6wykvW_lAyu7Yo9L4hUTqHqIeP_qcVuxCtosJEbg/edit?usp=sharing"",""ปราจีนบุรี!N698"")+IMPORTRANGE(""https://docs.googl"&amp;"e.com/spreadsheets/d/1BIDqLLg5jk3v59G8NlR8rk5xfQDKne0sAvZHSj7TI6I/edit?usp=sharing"",""พระนครศรีอยุธยา!N698"")+IMPORTRANGE(""https://docs.google.com/spreadsheets/d/1YXvxf8Yu6_rV4hTBrwMqAcAnv6DfhUxh5emyM3CJp_w/edit?usp=sharing"",""เพชรบุรี!N698"")+IMPORTRA"&amp;"NGE(""https://docs.google.com/spreadsheets/d/19KBlQQs7uwvsao6t2n-KvW3Ax8J8uRRfZPq1zPbXgKc/edit?usp=sharing"",""ระยอง!N698"")+IMPORTRANGE(""https://docs.google.com/spreadsheets/d/1jQ6P4QcrGM89YfqcC_PxOHGCMq5ezhucwJd8ci-NHng/edit?usp=sharing"",""ราชบุรี!N69"&amp;"8"")+IMPORTRANGE(""https://docs.google.com/spreadsheets/d/1lufeA2cfFqM-elVq2hznhDzC6Pr7wkJ9ZG_sYNGCMCU/edit?usp=sharing"",""ลพบุรี!N698"")+IMPORTRANGE(""https://docs.google.com/spreadsheets/d/10oOiF7loTyfsTkbd4MpaIm0HQ9SwB7IYHdIUvt-U1Uc/edit?usp=sharing"""&amp;",""สระแก้ว!N698"")+IMPORTRANGE(""https://docs.google.com/spreadsheets/d/1xmPlrr1QbdSIKvl1dWUl9K4PjAfSL9oeMr_37QVzcxc/edit?usp=sharing"",""สระบุรี!N698"")+IMPORTRANGE(""https://docs.google.com/spreadsheets/d/1j51vR6CYVGhABJpv6tkstgok82RLpXieLzW1yOY5rHw/edi"&amp;"t?usp=sharing"",""สิงห์บุรี!N698"")+IMPORTRANGE(""https://docs.google.com/spreadsheets/d/1H1EalTWKUSzO4Z1-1CwzoDUaVffgrThEBe2sl74kKG0/edit?usp=sharing"",""สุพรรณบุรี!N698"")+IMPORTRANGE(""https://docs.google.com/spreadsheets/d/1BmIruG_sIrJLYao_Pdr7zVArWsf"&amp;"oBt2692TMi6x_854/edit?usp=sharing"",""อ่างทอง!N698"")"),0)</f>
        <v>0</v>
      </c>
      <c r="O699" s="74">
        <f t="shared" ca="1" si="465"/>
        <v>0</v>
      </c>
      <c r="P699" s="74">
        <f t="shared" ca="1" si="466"/>
        <v>0</v>
      </c>
      <c r="Q699" s="73">
        <f ca="1">IFERROR(__xludf.DUMMYFUNCTION("IMPORTRANGE(""https://docs.google.com/spreadsheets/d/13wPX838HrBrQMCywv1BsuMkt4PEKTChp52zj44s2izQ/edit?usp=sharing"",""กาญจนบุรี!Q698"")+IMPORTRANGE(""https://docs.google.com/spreadsheets/d/1ddFKvqj1W1NEiWytbGlB1zMx_ykJDVtmfEQ-6-lIUBA/edit?usp=sharing"","&amp;"""จันทบุรี!Q698"")+IMPORTRANGE(""https://docs.google.com/spreadsheets/d/1T1PQvRODqOBZk8BRht_U031fIS1beLA0Ub2CEytj2q0/edit?usp=sharing"",""ฉะเชิงเทรา!Q698"")+IMPORTRANGE(""https://docs.google.com/spreadsheets/d/11tr1B-Bhyr79v2bkwVh5h_fR-PStkgjlZtkrZpYurG0/"&amp;"edit?usp=sharing"",""ชลบุรี!Q698"")+IMPORTRANGE(""https://docs.google.com/spreadsheets/d/1hh-FVnSX0vozXhGluamEcS54Dw9_zqW0N7qJUWgJ0Sw/edit?usp=sharing"",""ชัยนาท!Q698"")+IMPORTRANGE(""https://docs.google.com/spreadsheets/d/1jkqa6GXxSacMcY1eN8AHjMNJ_7dDXMJ"&amp;"VRLDlaFSOdPM/edit?usp=sharing"",""ตราด!Q698"")+IMPORTRANGE(""https://docs.google.com/spreadsheets/d/18hSgUJ3VwClqi_qtULmmW3cLr0oe3OKaSYoKzdpTsYQ/edit?usp=sharing"",""นครนายก!Q698"")+IMPORTRANGE(""https://docs.google.com/spreadsheets/d/1YTZo6WM2dQ6Ix6FSdnL"&amp;"5P7uVnVKu40sxZu975tgG10E/edit?usp=sharing"",""นครปฐม!Q698"")+IMPORTRANGE(""https://docs.google.com/spreadsheets/d/1OYoGg4WDg5RIzwGeB10padOxJF9E_Vljuvvct_M7RDo/edit?usp=sharing"",""ปทุมธานี!Q698"")+IMPORTRANGE(""https://docs.google.com/spreadsheets/d/1GbCI"&amp;"E4D4wk9FUozzqk7SxfDMxDVBwVmI5zcaVUSzKAc/edit?usp=sharing"",""ประจวบคีรีขันธ์!Q698"")+IMPORTRANGE(""https://docs.google.com/spreadsheets/d/1vVf6wykvW_lAyu7Yo9L4hUTqHqIeP_qcVuxCtosJEbg/edit?usp=sharing"",""ปราจีนบุรี!Q698"")+IMPORTRANGE(""https://docs.googl"&amp;"e.com/spreadsheets/d/1BIDqLLg5jk3v59G8NlR8rk5xfQDKne0sAvZHSj7TI6I/edit?usp=sharing"",""พระนครศรีอยุธยา!Q698"")+IMPORTRANGE(""https://docs.google.com/spreadsheets/d/1YXvxf8Yu6_rV4hTBrwMqAcAnv6DfhUxh5emyM3CJp_w/edit?usp=sharing"",""เพชรบุรี!Q698"")+IMPORTRA"&amp;"NGE(""https://docs.google.com/spreadsheets/d/19KBlQQs7uwvsao6t2n-KvW3Ax8J8uRRfZPq1zPbXgKc/edit?usp=sharing"",""ระยอง!Q698"")+IMPORTRANGE(""https://docs.google.com/spreadsheets/d/1jQ6P4QcrGM89YfqcC_PxOHGCMq5ezhucwJd8ci-NHng/edit?usp=sharing"",""ราชบุรี!Q69"&amp;"8"")+IMPORTRANGE(""https://docs.google.com/spreadsheets/d/1lufeA2cfFqM-elVq2hznhDzC6Pr7wkJ9ZG_sYNGCMCU/edit?usp=sharing"",""ลพบุรี!Q698"")+IMPORTRANGE(""https://docs.google.com/spreadsheets/d/10oOiF7loTyfsTkbd4MpaIm0HQ9SwB7IYHdIUvt-U1Uc/edit?usp=sharing"""&amp;",""สระแก้ว!Q698"")+IMPORTRANGE(""https://docs.google.com/spreadsheets/d/1xmPlrr1QbdSIKvl1dWUl9K4PjAfSL9oeMr_37QVzcxc/edit?usp=sharing"",""สระบุรี!Q698"")+IMPORTRANGE(""https://docs.google.com/spreadsheets/d/1j51vR6CYVGhABJpv6tkstgok82RLpXieLzW1yOY5rHw/edi"&amp;"t?usp=sharing"",""สิงห์บุรี!Q698"")+IMPORTRANGE(""https://docs.google.com/spreadsheets/d/1H1EalTWKUSzO4Z1-1CwzoDUaVffgrThEBe2sl74kKG0/edit?usp=sharing"",""สุพรรณบุรี!Q698"")+IMPORTRANGE(""https://docs.google.com/spreadsheets/d/1BmIruG_sIrJLYao_Pdr7zVArWsf"&amp;"oBt2692TMi6x_854/edit?usp=sharing"",""อ่างทอง!Q698"")"),0)</f>
        <v>0</v>
      </c>
      <c r="R699" s="74">
        <f ca="1">IFERROR(__xludf.DUMMYFUNCTION("IMPORTRANGE(""https://docs.google.com/spreadsheets/d/13wPX838HrBrQMCywv1BsuMkt4PEKTChp52zj44s2izQ/edit?usp=sharing"",""กาญจนบุรี!R698"")+IMPORTRANGE(""https://docs.google.com/spreadsheets/d/1ddFKvqj1W1NEiWytbGlB1zMx_ykJDVtmfEQ-6-lIUBA/edit?usp=sharing"","&amp;"""จันทบุรี!R698"")+IMPORTRANGE(""https://docs.google.com/spreadsheets/d/1T1PQvRODqOBZk8BRht_U031fIS1beLA0Ub2CEytj2q0/edit?usp=sharing"",""ฉะเชิงเทรา!R698"")+IMPORTRANGE(""https://docs.google.com/spreadsheets/d/11tr1B-Bhyr79v2bkwVh5h_fR-PStkgjlZtkrZpYurG0/"&amp;"edit?usp=sharing"",""ชลบุรี!R698"")+IMPORTRANGE(""https://docs.google.com/spreadsheets/d/1hh-FVnSX0vozXhGluamEcS54Dw9_zqW0N7qJUWgJ0Sw/edit?usp=sharing"",""ชัยนาท!R698"")+IMPORTRANGE(""https://docs.google.com/spreadsheets/d/1jkqa6GXxSacMcY1eN8AHjMNJ_7dDXMJ"&amp;"VRLDlaFSOdPM/edit?usp=sharing"",""ตราด!R698"")+IMPORTRANGE(""https://docs.google.com/spreadsheets/d/18hSgUJ3VwClqi_qtULmmW3cLr0oe3OKaSYoKzdpTsYQ/edit?usp=sharing"",""นครนายก!R698"")+IMPORTRANGE(""https://docs.google.com/spreadsheets/d/1YTZo6WM2dQ6Ix6FSdnL"&amp;"5P7uVnVKu40sxZu975tgG10E/edit?usp=sharing"",""นครปฐม!R698"")+IMPORTRANGE(""https://docs.google.com/spreadsheets/d/1OYoGg4WDg5RIzwGeB10padOxJF9E_Vljuvvct_M7RDo/edit?usp=sharing"",""ปทุมธานี!R698"")+IMPORTRANGE(""https://docs.google.com/spreadsheets/d/1GbCI"&amp;"E4D4wk9FUozzqk7SxfDMxDVBwVmI5zcaVUSzKAc/edit?usp=sharing"",""ประจวบคีรีขันธ์!R698"")+IMPORTRANGE(""https://docs.google.com/spreadsheets/d/1vVf6wykvW_lAyu7Yo9L4hUTqHqIeP_qcVuxCtosJEbg/edit?usp=sharing"",""ปราจีนบุรี!R698"")+IMPORTRANGE(""https://docs.googl"&amp;"e.com/spreadsheets/d/1BIDqLLg5jk3v59G8NlR8rk5xfQDKne0sAvZHSj7TI6I/edit?usp=sharing"",""พระนครศรีอยุธยา!R698"")+IMPORTRANGE(""https://docs.google.com/spreadsheets/d/1YXvxf8Yu6_rV4hTBrwMqAcAnv6DfhUxh5emyM3CJp_w/edit?usp=sharing"",""เพชรบุรี!R698"")+IMPORTRA"&amp;"NGE(""https://docs.google.com/spreadsheets/d/19KBlQQs7uwvsao6t2n-KvW3Ax8J8uRRfZPq1zPbXgKc/edit?usp=sharing"",""ระยอง!R698"")+IMPORTRANGE(""https://docs.google.com/spreadsheets/d/1jQ6P4QcrGM89YfqcC_PxOHGCMq5ezhucwJd8ci-NHng/edit?usp=sharing"",""ราชบุรี!R69"&amp;"8"")+IMPORTRANGE(""https://docs.google.com/spreadsheets/d/1lufeA2cfFqM-elVq2hznhDzC6Pr7wkJ9ZG_sYNGCMCU/edit?usp=sharing"",""ลพบุรี!R698"")+IMPORTRANGE(""https://docs.google.com/spreadsheets/d/10oOiF7loTyfsTkbd4MpaIm0HQ9SwB7IYHdIUvt-U1Uc/edit?usp=sharing"""&amp;",""สระแก้ว!R698"")+IMPORTRANGE(""https://docs.google.com/spreadsheets/d/1xmPlrr1QbdSIKvl1dWUl9K4PjAfSL9oeMr_37QVzcxc/edit?usp=sharing"",""สระบุรี!R698"")+IMPORTRANGE(""https://docs.google.com/spreadsheets/d/1j51vR6CYVGhABJpv6tkstgok82RLpXieLzW1yOY5rHw/edi"&amp;"t?usp=sharing"",""สิงห์บุรี!R698"")+IMPORTRANGE(""https://docs.google.com/spreadsheets/d/1H1EalTWKUSzO4Z1-1CwzoDUaVffgrThEBe2sl74kKG0/edit?usp=sharing"",""สุพรรณบุรี!R698"")+IMPORTRANGE(""https://docs.google.com/spreadsheets/d/1BmIruG_sIrJLYao_Pdr7zVArWsf"&amp;"oBt2692TMi6x_854/edit?usp=sharing"",""อ่างทอง!R698"")"),0)</f>
        <v>0</v>
      </c>
      <c r="S699" s="74">
        <f ca="1">IFERROR(__xludf.DUMMYFUNCTION("IMPORTRANGE(""https://docs.google.com/spreadsheets/d/13wPX838HrBrQMCywv1BsuMkt4PEKTChp52zj44s2izQ/edit?usp=sharing"",""กาญจนบุรี!S698"")+IMPORTRANGE(""https://docs.google.com/spreadsheets/d/1ddFKvqj1W1NEiWytbGlB1zMx_ykJDVtmfEQ-6-lIUBA/edit?usp=sharing"","&amp;"""จันทบุรี!S698"")+IMPORTRANGE(""https://docs.google.com/spreadsheets/d/1T1PQvRODqOBZk8BRht_U031fIS1beLA0Ub2CEytj2q0/edit?usp=sharing"",""ฉะเชิงเทรา!S698"")+IMPORTRANGE(""https://docs.google.com/spreadsheets/d/11tr1B-Bhyr79v2bkwVh5h_fR-PStkgjlZtkrZpYurG0/"&amp;"edit?usp=sharing"",""ชลบุรี!S698"")+IMPORTRANGE(""https://docs.google.com/spreadsheets/d/1hh-FVnSX0vozXhGluamEcS54Dw9_zqW0N7qJUWgJ0Sw/edit?usp=sharing"",""ชัยนาท!S698"")+IMPORTRANGE(""https://docs.google.com/spreadsheets/d/1jkqa6GXxSacMcY1eN8AHjMNJ_7dDXMJ"&amp;"VRLDlaFSOdPM/edit?usp=sharing"",""ตราด!S698"")+IMPORTRANGE(""https://docs.google.com/spreadsheets/d/18hSgUJ3VwClqi_qtULmmW3cLr0oe3OKaSYoKzdpTsYQ/edit?usp=sharing"",""นครนายก!S698"")+IMPORTRANGE(""https://docs.google.com/spreadsheets/d/1YTZo6WM2dQ6Ix6FSdnL"&amp;"5P7uVnVKu40sxZu975tgG10E/edit?usp=sharing"",""นครปฐม!S698"")+IMPORTRANGE(""https://docs.google.com/spreadsheets/d/1OYoGg4WDg5RIzwGeB10padOxJF9E_Vljuvvct_M7RDo/edit?usp=sharing"",""ปทุมธานี!S698"")+IMPORTRANGE(""https://docs.google.com/spreadsheets/d/1GbCI"&amp;"E4D4wk9FUozzqk7SxfDMxDVBwVmI5zcaVUSzKAc/edit?usp=sharing"",""ประจวบคีรีขันธ์!S698"")+IMPORTRANGE(""https://docs.google.com/spreadsheets/d/1vVf6wykvW_lAyu7Yo9L4hUTqHqIeP_qcVuxCtosJEbg/edit?usp=sharing"",""ปราจีนบุรี!S698"")+IMPORTRANGE(""https://docs.googl"&amp;"e.com/spreadsheets/d/1BIDqLLg5jk3v59G8NlR8rk5xfQDKne0sAvZHSj7TI6I/edit?usp=sharing"",""พระนครศรีอยุธยา!S698"")+IMPORTRANGE(""https://docs.google.com/spreadsheets/d/1YXvxf8Yu6_rV4hTBrwMqAcAnv6DfhUxh5emyM3CJp_w/edit?usp=sharing"",""เพชรบุรี!S698"")+IMPORTRA"&amp;"NGE(""https://docs.google.com/spreadsheets/d/19KBlQQs7uwvsao6t2n-KvW3Ax8J8uRRfZPq1zPbXgKc/edit?usp=sharing"",""ระยอง!S698"")+IMPORTRANGE(""https://docs.google.com/spreadsheets/d/1jQ6P4QcrGM89YfqcC_PxOHGCMq5ezhucwJd8ci-NHng/edit?usp=sharing"",""ราชบุรี!S69"&amp;"8"")+IMPORTRANGE(""https://docs.google.com/spreadsheets/d/1lufeA2cfFqM-elVq2hznhDzC6Pr7wkJ9ZG_sYNGCMCU/edit?usp=sharing"",""ลพบุรี!S698"")+IMPORTRANGE(""https://docs.google.com/spreadsheets/d/10oOiF7loTyfsTkbd4MpaIm0HQ9SwB7IYHdIUvt-U1Uc/edit?usp=sharing"""&amp;",""สระแก้ว!S698"")+IMPORTRANGE(""https://docs.google.com/spreadsheets/d/1xmPlrr1QbdSIKvl1dWUl9K4PjAfSL9oeMr_37QVzcxc/edit?usp=sharing"",""สระบุรี!S698"")+IMPORTRANGE(""https://docs.google.com/spreadsheets/d/1j51vR6CYVGhABJpv6tkstgok82RLpXieLzW1yOY5rHw/edi"&amp;"t?usp=sharing"",""สิงห์บุรี!S698"")+IMPORTRANGE(""https://docs.google.com/spreadsheets/d/1H1EalTWKUSzO4Z1-1CwzoDUaVffgrThEBe2sl74kKG0/edit?usp=sharing"",""สุพรรณบุรี!S698"")+IMPORTRANGE(""https://docs.google.com/spreadsheets/d/1BmIruG_sIrJLYao_Pdr7zVArWsf"&amp;"oBt2692TMi6x_854/edit?usp=sharing"",""อ่างทอง!S698"")"),0)</f>
        <v>0</v>
      </c>
      <c r="T699" s="132">
        <f t="shared" ca="1" si="468"/>
        <v>0</v>
      </c>
      <c r="U699" s="132">
        <f t="shared" ca="1" si="469"/>
        <v>0</v>
      </c>
    </row>
    <row r="700" spans="1:21" ht="19.5" x14ac:dyDescent="0.3">
      <c r="A700" s="276"/>
      <c r="B700" s="277"/>
      <c r="C700" s="309" t="s">
        <v>18</v>
      </c>
      <c r="D700" s="279" t="s">
        <v>38</v>
      </c>
      <c r="E700" s="280"/>
      <c r="F700" s="280"/>
      <c r="G700" s="280"/>
      <c r="H700" s="310"/>
      <c r="I700" s="272"/>
      <c r="J700" s="272"/>
      <c r="K700" s="229"/>
      <c r="L700" s="87"/>
      <c r="M700" s="87"/>
      <c r="N700" s="87"/>
      <c r="O700" s="87"/>
      <c r="P700" s="87"/>
      <c r="Q700" s="86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0"/>
      <c r="E701" s="767" t="s">
        <v>256</v>
      </c>
      <c r="F701" s="290"/>
      <c r="G701" s="282"/>
      <c r="H701" s="275" t="s">
        <v>257</v>
      </c>
      <c r="I701" s="293">
        <f ca="1">IFERROR(__xludf.DUMMYFUNCTION("IMPORTRANGE(""https://docs.google.com/spreadsheets/d/13wPX838HrBrQMCywv1BsuMkt4PEKTChp52zj44s2izQ/edit?usp=sharing"",""กาญจนบุรี!I700"")+IMPORTRANGE(""https://docs.google.com/spreadsheets/d/1ddFKvqj1W1NEiWytbGlB1zMx_ykJDVtmfEQ-6-lIUBA/edit?usp=sharing"","&amp;"""จันทบุรี!I700"")+IMPORTRANGE(""https://docs.google.com/spreadsheets/d/1T1PQvRODqOBZk8BRht_U031fIS1beLA0Ub2CEytj2q0/edit?usp=sharing"",""ฉะเชิงเทรา!I700"")+IMPORTRANGE(""https://docs.google.com/spreadsheets/d/11tr1B-Bhyr79v2bkwVh5h_fR-PStkgjlZtkrZpYurG0/"&amp;"edit?usp=sharing"",""ชลบุรี!I700"")+IMPORTRANGE(""https://docs.google.com/spreadsheets/d/1hh-FVnSX0vozXhGluamEcS54Dw9_zqW0N7qJUWgJ0Sw/edit?usp=sharing"",""ชัยนาท!I700"")+IMPORTRANGE(""https://docs.google.com/spreadsheets/d/1jkqa6GXxSacMcY1eN8AHjMNJ_7dDXMJ"&amp;"VRLDlaFSOdPM/edit?usp=sharing"",""ตราด!I700"")+IMPORTRANGE(""https://docs.google.com/spreadsheets/d/18hSgUJ3VwClqi_qtULmmW3cLr0oe3OKaSYoKzdpTsYQ/edit?usp=sharing"",""นครนายก!I700"")+IMPORTRANGE(""https://docs.google.com/spreadsheets/d/1YTZo6WM2dQ6Ix6FSdnL"&amp;"5P7uVnVKu40sxZu975tgG10E/edit?usp=sharing"",""นครปฐม!I700"")+IMPORTRANGE(""https://docs.google.com/spreadsheets/d/1OYoGg4WDg5RIzwGeB10padOxJF9E_Vljuvvct_M7RDo/edit?usp=sharing"",""ปทุมธานี!I700"")+IMPORTRANGE(""https://docs.google.com/spreadsheets/d/1GbCI"&amp;"E4D4wk9FUozzqk7SxfDMxDVBwVmI5zcaVUSzKAc/edit?usp=sharing"",""ประจวบคีรีขันธ์!I700"")+IMPORTRANGE(""https://docs.google.com/spreadsheets/d/1vVf6wykvW_lAyu7Yo9L4hUTqHqIeP_qcVuxCtosJEbg/edit?usp=sharing"",""ปราจีนบุรี!I700"")+IMPORTRANGE(""https://docs.googl"&amp;"e.com/spreadsheets/d/1BIDqLLg5jk3v59G8NlR8rk5xfQDKne0sAvZHSj7TI6I/edit?usp=sharing"",""พระนครศรีอยุธยา!I700"")+IMPORTRANGE(""https://docs.google.com/spreadsheets/d/1YXvxf8Yu6_rV4hTBrwMqAcAnv6DfhUxh5emyM3CJp_w/edit?usp=sharing"",""เพชรบุรี!I700"")+IMPORTRA"&amp;"NGE(""https://docs.google.com/spreadsheets/d/19KBlQQs7uwvsao6t2n-KvW3Ax8J8uRRfZPq1zPbXgKc/edit?usp=sharing"",""ระยอง!I700"")+IMPORTRANGE(""https://docs.google.com/spreadsheets/d/1jQ6P4QcrGM89YfqcC_PxOHGCMq5ezhucwJd8ci-NHng/edit?usp=sharing"",""ราชบุรี!I70"&amp;"0"")+IMPORTRANGE(""https://docs.google.com/spreadsheets/d/1lufeA2cfFqM-elVq2hznhDzC6Pr7wkJ9ZG_sYNGCMCU/edit?usp=sharing"",""ลพบุรี!I700"")+IMPORTRANGE(""https://docs.google.com/spreadsheets/d/10oOiF7loTyfsTkbd4MpaIm0HQ9SwB7IYHdIUvt-U1Uc/edit?usp=sharing"""&amp;",""สระแก้ว!I700"")+IMPORTRANGE(""https://docs.google.com/spreadsheets/d/1xmPlrr1QbdSIKvl1dWUl9K4PjAfSL9oeMr_37QVzcxc/edit?usp=sharing"",""สระบุรี!I700"")+IMPORTRANGE(""https://docs.google.com/spreadsheets/d/1j51vR6CYVGhABJpv6tkstgok82RLpXieLzW1yOY5rHw/edi"&amp;"t?usp=sharing"",""สิงห์บุรี!I700"")+IMPORTRANGE(""https://docs.google.com/spreadsheets/d/1H1EalTWKUSzO4Z1-1CwzoDUaVffgrThEBe2sl74kKG0/edit?usp=sharing"",""สุพรรณบุรี!I700"")+IMPORTRANGE(""https://docs.google.com/spreadsheets/d/1BmIruG_sIrJLYao_Pdr7zVArWsf"&amp;"oBt2692TMi6x_854/edit?usp=sharing"",""อ่างทอง!I700"")"),4)</f>
        <v>4</v>
      </c>
      <c r="J701" s="294">
        <f ca="1">IFERROR(__xludf.DUMMYFUNCTION("IMPORTRANGE(""https://docs.google.com/spreadsheets/d/13wPX838HrBrQMCywv1BsuMkt4PEKTChp52zj44s2izQ/edit?usp=sharing"",""กาญจนบุรี!J700"")+IMPORTRANGE(""https://docs.google.com/spreadsheets/d/1ddFKvqj1W1NEiWytbGlB1zMx_ykJDVtmfEQ-6-lIUBA/edit?usp=sharing"","&amp;"""จันทบุรี!J700"")+IMPORTRANGE(""https://docs.google.com/spreadsheets/d/1T1PQvRODqOBZk8BRht_U031fIS1beLA0Ub2CEytj2q0/edit?usp=sharing"",""ฉะเชิงเทรา!J700"")+IMPORTRANGE(""https://docs.google.com/spreadsheets/d/11tr1B-Bhyr79v2bkwVh5h_fR-PStkgjlZtkrZpYurG0/"&amp;"edit?usp=sharing"",""ชลบุรี!J700"")+IMPORTRANGE(""https://docs.google.com/spreadsheets/d/1hh-FVnSX0vozXhGluamEcS54Dw9_zqW0N7qJUWgJ0Sw/edit?usp=sharing"",""ชัยนาท!J700"")+IMPORTRANGE(""https://docs.google.com/spreadsheets/d/1jkqa6GXxSacMcY1eN8AHjMNJ_7dDXMJ"&amp;"VRLDlaFSOdPM/edit?usp=sharing"",""ตราด!J700"")+IMPORTRANGE(""https://docs.google.com/spreadsheets/d/18hSgUJ3VwClqi_qtULmmW3cLr0oe3OKaSYoKzdpTsYQ/edit?usp=sharing"",""นครนายก!J700"")+IMPORTRANGE(""https://docs.google.com/spreadsheets/d/1YTZo6WM2dQ6Ix6FSdnL"&amp;"5P7uVnVKu40sxZu975tgG10E/edit?usp=sharing"",""นครปฐม!J700"")+IMPORTRANGE(""https://docs.google.com/spreadsheets/d/1OYoGg4WDg5RIzwGeB10padOxJF9E_Vljuvvct_M7RDo/edit?usp=sharing"",""ปทุมธานี!J700"")+IMPORTRANGE(""https://docs.google.com/spreadsheets/d/1GbCI"&amp;"E4D4wk9FUozzqk7SxfDMxDVBwVmI5zcaVUSzKAc/edit?usp=sharing"",""ประจวบคีรีขันธ์!J700"")+IMPORTRANGE(""https://docs.google.com/spreadsheets/d/1vVf6wykvW_lAyu7Yo9L4hUTqHqIeP_qcVuxCtosJEbg/edit?usp=sharing"",""ปราจีนบุรี!J700"")+IMPORTRANGE(""https://docs.googl"&amp;"e.com/spreadsheets/d/1BIDqLLg5jk3v59G8NlR8rk5xfQDKne0sAvZHSj7TI6I/edit?usp=sharing"",""พระนครศรีอยุธยา!J700"")+IMPORTRANGE(""https://docs.google.com/spreadsheets/d/1YXvxf8Yu6_rV4hTBrwMqAcAnv6DfhUxh5emyM3CJp_w/edit?usp=sharing"",""เพชรบุรี!J700"")+IMPORTRA"&amp;"NGE(""https://docs.google.com/spreadsheets/d/19KBlQQs7uwvsao6t2n-KvW3Ax8J8uRRfZPq1zPbXgKc/edit?usp=sharing"",""ระยอง!J700"")+IMPORTRANGE(""https://docs.google.com/spreadsheets/d/1jQ6P4QcrGM89YfqcC_PxOHGCMq5ezhucwJd8ci-NHng/edit?usp=sharing"",""ราชบุรี!J70"&amp;"0"")+IMPORTRANGE(""https://docs.google.com/spreadsheets/d/1lufeA2cfFqM-elVq2hznhDzC6Pr7wkJ9ZG_sYNGCMCU/edit?usp=sharing"",""ลพบุรี!J700"")+IMPORTRANGE(""https://docs.google.com/spreadsheets/d/10oOiF7loTyfsTkbd4MpaIm0HQ9SwB7IYHdIUvt-U1Uc/edit?usp=sharing"""&amp;",""สระแก้ว!J700"")+IMPORTRANGE(""https://docs.google.com/spreadsheets/d/1xmPlrr1QbdSIKvl1dWUl9K4PjAfSL9oeMr_37QVzcxc/edit?usp=sharing"",""สระบุรี!J700"")+IMPORTRANGE(""https://docs.google.com/spreadsheets/d/1j51vR6CYVGhABJpv6tkstgok82RLpXieLzW1yOY5rHw/edi"&amp;"t?usp=sharing"",""สิงห์บุรี!J700"")+IMPORTRANGE(""https://docs.google.com/spreadsheets/d/1H1EalTWKUSzO4Z1-1CwzoDUaVffgrThEBe2sl74kKG0/edit?usp=sharing"",""สุพรรณบุรี!J700"")+IMPORTRANGE(""https://docs.google.com/spreadsheets/d/1BmIruG_sIrJLYao_Pdr7zVArWsf"&amp;"oBt2692TMi6x_854/edit?usp=sharing"",""อ่างทอง!J700"")"),0)</f>
        <v>0</v>
      </c>
      <c r="K701" s="768">
        <f t="shared" ref="K701:K711" ca="1" si="478">IF(I701&gt;0,J701*100/I701,0)</f>
        <v>0</v>
      </c>
      <c r="L701" s="229"/>
      <c r="M701" s="229"/>
      <c r="N701" s="87"/>
      <c r="O701" s="229"/>
      <c r="P701" s="229"/>
      <c r="Q701" s="228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0"/>
      <c r="E702" s="769" t="s">
        <v>258</v>
      </c>
      <c r="F702" s="290"/>
      <c r="G702" s="282"/>
      <c r="H702" s="262" t="s">
        <v>35</v>
      </c>
      <c r="I702" s="622">
        <f t="shared" ref="I702:J702" ca="1" si="479">I704+I706</f>
        <v>717</v>
      </c>
      <c r="J702" s="622">
        <f t="shared" ca="1" si="479"/>
        <v>56</v>
      </c>
      <c r="K702" s="264">
        <f t="shared" ca="1" si="478"/>
        <v>7.8103207810320781</v>
      </c>
      <c r="L702" s="229"/>
      <c r="M702" s="229"/>
      <c r="N702" s="229"/>
      <c r="O702" s="229"/>
      <c r="P702" s="229"/>
      <c r="Q702" s="228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0"/>
      <c r="E703" s="290"/>
      <c r="F703" s="290"/>
      <c r="G703" s="282"/>
      <c r="H703" s="262" t="s">
        <v>46</v>
      </c>
      <c r="I703" s="622">
        <v>0</v>
      </c>
      <c r="J703" s="622">
        <f ca="1">J705+J707</f>
        <v>16.57</v>
      </c>
      <c r="K703" s="264">
        <f t="shared" si="478"/>
        <v>0</v>
      </c>
      <c r="L703" s="229"/>
      <c r="M703" s="229"/>
      <c r="N703" s="229"/>
      <c r="O703" s="229"/>
      <c r="P703" s="229"/>
      <c r="Q703" s="228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0"/>
      <c r="E704" s="290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13wPX838HrBrQMCywv1BsuMkt4PEKTChp52zj44s2izQ/edit?usp=sharing"",""กาญจนบุรี!I703"")+IMPORTRANGE(""https://docs.google.com/spreadsheets/d/1ddFKvqj1W1NEiWytbGlB1zMx_ykJDVtmfEQ-6-lIUBA/edit?usp=sharing"","&amp;"""จันทบุรี!I703"")+IMPORTRANGE(""https://docs.google.com/spreadsheets/d/1T1PQvRODqOBZk8BRht_U031fIS1beLA0Ub2CEytj2q0/edit?usp=sharing"",""ฉะเชิงเทรา!I703"")+IMPORTRANGE(""https://docs.google.com/spreadsheets/d/11tr1B-Bhyr79v2bkwVh5h_fR-PStkgjlZtkrZpYurG0/"&amp;"edit?usp=sharing"",""ชลบุรี!I703"")+IMPORTRANGE(""https://docs.google.com/spreadsheets/d/1hh-FVnSX0vozXhGluamEcS54Dw9_zqW0N7qJUWgJ0Sw/edit?usp=sharing"",""ชัยนาท!I703"")+IMPORTRANGE(""https://docs.google.com/spreadsheets/d/1jkqa6GXxSacMcY1eN8AHjMNJ_7dDXMJ"&amp;"VRLDlaFSOdPM/edit?usp=sharing"",""ตราด!I703"")+IMPORTRANGE(""https://docs.google.com/spreadsheets/d/18hSgUJ3VwClqi_qtULmmW3cLr0oe3OKaSYoKzdpTsYQ/edit?usp=sharing"",""นครนายก!I703"")+IMPORTRANGE(""https://docs.google.com/spreadsheets/d/1YTZo6WM2dQ6Ix6FSdnL"&amp;"5P7uVnVKu40sxZu975tgG10E/edit?usp=sharing"",""นครปฐม!I703"")+IMPORTRANGE(""https://docs.google.com/spreadsheets/d/1OYoGg4WDg5RIzwGeB10padOxJF9E_Vljuvvct_M7RDo/edit?usp=sharing"",""ปทุมธานี!I703"")+IMPORTRANGE(""https://docs.google.com/spreadsheets/d/1GbCI"&amp;"E4D4wk9FUozzqk7SxfDMxDVBwVmI5zcaVUSzKAc/edit?usp=sharing"",""ประจวบคีรีขันธ์!I703"")+IMPORTRANGE(""https://docs.google.com/spreadsheets/d/1vVf6wykvW_lAyu7Yo9L4hUTqHqIeP_qcVuxCtosJEbg/edit?usp=sharing"",""ปราจีนบุรี!I703"")+IMPORTRANGE(""https://docs.googl"&amp;"e.com/spreadsheets/d/1BIDqLLg5jk3v59G8NlR8rk5xfQDKne0sAvZHSj7TI6I/edit?usp=sharing"",""พระนครศรีอยุธยา!I703"")+IMPORTRANGE(""https://docs.google.com/spreadsheets/d/1YXvxf8Yu6_rV4hTBrwMqAcAnv6DfhUxh5emyM3CJp_w/edit?usp=sharing"",""เพชรบุรี!I703"")+IMPORTRA"&amp;"NGE(""https://docs.google.com/spreadsheets/d/19KBlQQs7uwvsao6t2n-KvW3Ax8J8uRRfZPq1zPbXgKc/edit?usp=sharing"",""ระยอง!I703"")+IMPORTRANGE(""https://docs.google.com/spreadsheets/d/1jQ6P4QcrGM89YfqcC_PxOHGCMq5ezhucwJd8ci-NHng/edit?usp=sharing"",""ราชบุรี!I70"&amp;"3"")+IMPORTRANGE(""https://docs.google.com/spreadsheets/d/1lufeA2cfFqM-elVq2hznhDzC6Pr7wkJ9ZG_sYNGCMCU/edit?usp=sharing"",""ลพบุรี!I703"")+IMPORTRANGE(""https://docs.google.com/spreadsheets/d/10oOiF7loTyfsTkbd4MpaIm0HQ9SwB7IYHdIUvt-U1Uc/edit?usp=sharing"""&amp;",""สระแก้ว!I703"")+IMPORTRANGE(""https://docs.google.com/spreadsheets/d/1xmPlrr1QbdSIKvl1dWUl9K4PjAfSL9oeMr_37QVzcxc/edit?usp=sharing"",""สระบุรี!I703"")+IMPORTRANGE(""https://docs.google.com/spreadsheets/d/1j51vR6CYVGhABJpv6tkstgok82RLpXieLzW1yOY5rHw/edi"&amp;"t?usp=sharing"",""สิงห์บุรี!I703"")+IMPORTRANGE(""https://docs.google.com/spreadsheets/d/1H1EalTWKUSzO4Z1-1CwzoDUaVffgrThEBe2sl74kKG0/edit?usp=sharing"",""สุพรรณบุรี!I703"")+IMPORTRANGE(""https://docs.google.com/spreadsheets/d/1BmIruG_sIrJLYao_Pdr7zVArWsf"&amp;"oBt2692TMi6x_854/edit?usp=sharing"",""อ่างทอง!I703"")"),668)</f>
        <v>668</v>
      </c>
      <c r="J704" s="293">
        <f ca="1">IFERROR(__xludf.DUMMYFUNCTION("IMPORTRANGE(""https://docs.google.com/spreadsheets/d/13wPX838HrBrQMCywv1BsuMkt4PEKTChp52zj44s2izQ/edit?usp=sharing"",""กาญจนบุรี!J703"")+IMPORTRANGE(""https://docs.google.com/spreadsheets/d/1ddFKvqj1W1NEiWytbGlB1zMx_ykJDVtmfEQ-6-lIUBA/edit?usp=sharing"","&amp;"""จันทบุรี!J703"")+IMPORTRANGE(""https://docs.google.com/spreadsheets/d/1T1PQvRODqOBZk8BRht_U031fIS1beLA0Ub2CEytj2q0/edit?usp=sharing"",""ฉะเชิงเทรา!J703"")+IMPORTRANGE(""https://docs.google.com/spreadsheets/d/11tr1B-Bhyr79v2bkwVh5h_fR-PStkgjlZtkrZpYurG0/"&amp;"edit?usp=sharing"",""ชลบุรี!J703"")+IMPORTRANGE(""https://docs.google.com/spreadsheets/d/1hh-FVnSX0vozXhGluamEcS54Dw9_zqW0N7qJUWgJ0Sw/edit?usp=sharing"",""ชัยนาท!J703"")+IMPORTRANGE(""https://docs.google.com/spreadsheets/d/1jkqa6GXxSacMcY1eN8AHjMNJ_7dDXMJ"&amp;"VRLDlaFSOdPM/edit?usp=sharing"",""ตราด!J703"")+IMPORTRANGE(""https://docs.google.com/spreadsheets/d/18hSgUJ3VwClqi_qtULmmW3cLr0oe3OKaSYoKzdpTsYQ/edit?usp=sharing"",""นครนายก!J703"")+IMPORTRANGE(""https://docs.google.com/spreadsheets/d/1YTZo6WM2dQ6Ix6FSdnL"&amp;"5P7uVnVKu40sxZu975tgG10E/edit?usp=sharing"",""นครปฐม!J703"")+IMPORTRANGE(""https://docs.google.com/spreadsheets/d/1OYoGg4WDg5RIzwGeB10padOxJF9E_Vljuvvct_M7RDo/edit?usp=sharing"",""ปทุมธานี!J703"")+IMPORTRANGE(""https://docs.google.com/spreadsheets/d/1GbCI"&amp;"E4D4wk9FUozzqk7SxfDMxDVBwVmI5zcaVUSzKAc/edit?usp=sharing"",""ประจวบคีรีขันธ์!J703"")+IMPORTRANGE(""https://docs.google.com/spreadsheets/d/1vVf6wykvW_lAyu7Yo9L4hUTqHqIeP_qcVuxCtosJEbg/edit?usp=sharing"",""ปราจีนบุรี!J703"")+IMPORTRANGE(""https://docs.googl"&amp;"e.com/spreadsheets/d/1BIDqLLg5jk3v59G8NlR8rk5xfQDKne0sAvZHSj7TI6I/edit?usp=sharing"",""พระนครศรีอยุธยา!J703"")+IMPORTRANGE(""https://docs.google.com/spreadsheets/d/1YXvxf8Yu6_rV4hTBrwMqAcAnv6DfhUxh5emyM3CJp_w/edit?usp=sharing"",""เพชรบุรี!J703"")+IMPORTRA"&amp;"NGE(""https://docs.google.com/spreadsheets/d/19KBlQQs7uwvsao6t2n-KvW3Ax8J8uRRfZPq1zPbXgKc/edit?usp=sharing"",""ระยอง!J703"")+IMPORTRANGE(""https://docs.google.com/spreadsheets/d/1jQ6P4QcrGM89YfqcC_PxOHGCMq5ezhucwJd8ci-NHng/edit?usp=sharing"",""ราชบุรี!J70"&amp;"3"")+IMPORTRANGE(""https://docs.google.com/spreadsheets/d/1lufeA2cfFqM-elVq2hznhDzC6Pr7wkJ9ZG_sYNGCMCU/edit?usp=sharing"",""ลพบุรี!J703"")+IMPORTRANGE(""https://docs.google.com/spreadsheets/d/10oOiF7loTyfsTkbd4MpaIm0HQ9SwB7IYHdIUvt-U1Uc/edit?usp=sharing"""&amp;",""สระแก้ว!J703"")+IMPORTRANGE(""https://docs.google.com/spreadsheets/d/1xmPlrr1QbdSIKvl1dWUl9K4PjAfSL9oeMr_37QVzcxc/edit?usp=sharing"",""สระบุรี!J703"")+IMPORTRANGE(""https://docs.google.com/spreadsheets/d/1j51vR6CYVGhABJpv6tkstgok82RLpXieLzW1yOY5rHw/edi"&amp;"t?usp=sharing"",""สิงห์บุรี!J703"")+IMPORTRANGE(""https://docs.google.com/spreadsheets/d/1H1EalTWKUSzO4Z1-1CwzoDUaVffgrThEBe2sl74kKG0/edit?usp=sharing"",""สุพรรณบุรี!J703"")+IMPORTRANGE(""https://docs.google.com/spreadsheets/d/1BmIruG_sIrJLYao_Pdr7zVArWsf"&amp;"oBt2692TMi6x_854/edit?usp=sharing"",""อ่างทอง!J703"")"),56)</f>
        <v>56</v>
      </c>
      <c r="K704" s="74">
        <f t="shared" ca="1" si="478"/>
        <v>8.3832335329341312</v>
      </c>
      <c r="L704" s="229"/>
      <c r="M704" s="229"/>
      <c r="N704" s="229"/>
      <c r="O704" s="229"/>
      <c r="P704" s="229"/>
      <c r="Q704" s="228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0"/>
      <c r="E705" s="290"/>
      <c r="F705" s="290"/>
      <c r="G705" s="282"/>
      <c r="H705" s="275" t="s">
        <v>46</v>
      </c>
      <c r="I705" s="293">
        <v>0</v>
      </c>
      <c r="J705" s="293">
        <f ca="1">IFERROR(__xludf.DUMMYFUNCTION("IMPORTRANGE(""https://docs.google.com/spreadsheets/d/13wPX838HrBrQMCywv1BsuMkt4PEKTChp52zj44s2izQ/edit?usp=sharing"",""กาญจนบุรี!J704"")+IMPORTRANGE(""https://docs.google.com/spreadsheets/d/1ddFKvqj1W1NEiWytbGlB1zMx_ykJDVtmfEQ-6-lIUBA/edit?usp=sharing"","&amp;"""จันทบุรี!J704"")+IMPORTRANGE(""https://docs.google.com/spreadsheets/d/1T1PQvRODqOBZk8BRht_U031fIS1beLA0Ub2CEytj2q0/edit?usp=sharing"",""ฉะเชิงเทรา!J704"")+IMPORTRANGE(""https://docs.google.com/spreadsheets/d/11tr1B-Bhyr79v2bkwVh5h_fR-PStkgjlZtkrZpYurG0/"&amp;"edit?usp=sharing"",""ชลบุรี!J704"")+IMPORTRANGE(""https://docs.google.com/spreadsheets/d/1hh-FVnSX0vozXhGluamEcS54Dw9_zqW0N7qJUWgJ0Sw/edit?usp=sharing"",""ชัยนาท!J704"")+IMPORTRANGE(""https://docs.google.com/spreadsheets/d/1jkqa6GXxSacMcY1eN8AHjMNJ_7dDXMJ"&amp;"VRLDlaFSOdPM/edit?usp=sharing"",""ตราด!J704"")+IMPORTRANGE(""https://docs.google.com/spreadsheets/d/18hSgUJ3VwClqi_qtULmmW3cLr0oe3OKaSYoKzdpTsYQ/edit?usp=sharing"",""นครนายก!J704"")+IMPORTRANGE(""https://docs.google.com/spreadsheets/d/1YTZo6WM2dQ6Ix6FSdnL"&amp;"5P7uVnVKu40sxZu975tgG10E/edit?usp=sharing"",""นครปฐม!J704"")+IMPORTRANGE(""https://docs.google.com/spreadsheets/d/1OYoGg4WDg5RIzwGeB10padOxJF9E_Vljuvvct_M7RDo/edit?usp=sharing"",""ปทุมธานี!J704"")+IMPORTRANGE(""https://docs.google.com/spreadsheets/d/1GbCI"&amp;"E4D4wk9FUozzqk7SxfDMxDVBwVmI5zcaVUSzKAc/edit?usp=sharing"",""ประจวบคีรีขันธ์!J704"")+IMPORTRANGE(""https://docs.google.com/spreadsheets/d/1vVf6wykvW_lAyu7Yo9L4hUTqHqIeP_qcVuxCtosJEbg/edit?usp=sharing"",""ปราจีนบุรี!J704"")+IMPORTRANGE(""https://docs.googl"&amp;"e.com/spreadsheets/d/1BIDqLLg5jk3v59G8NlR8rk5xfQDKne0sAvZHSj7TI6I/edit?usp=sharing"",""พระนครศรีอยุธยา!J704"")+IMPORTRANGE(""https://docs.google.com/spreadsheets/d/1YXvxf8Yu6_rV4hTBrwMqAcAnv6DfhUxh5emyM3CJp_w/edit?usp=sharing"",""เพชรบุรี!J704"")+IMPORTRA"&amp;"NGE(""https://docs.google.com/spreadsheets/d/19KBlQQs7uwvsao6t2n-KvW3Ax8J8uRRfZPq1zPbXgKc/edit?usp=sharing"",""ระยอง!J704"")+IMPORTRANGE(""https://docs.google.com/spreadsheets/d/1jQ6P4QcrGM89YfqcC_PxOHGCMq5ezhucwJd8ci-NHng/edit?usp=sharing"",""ราชบุรี!J70"&amp;"4"")+IMPORTRANGE(""https://docs.google.com/spreadsheets/d/1lufeA2cfFqM-elVq2hznhDzC6Pr7wkJ9ZG_sYNGCMCU/edit?usp=sharing"",""ลพบุรี!J704"")+IMPORTRANGE(""https://docs.google.com/spreadsheets/d/10oOiF7loTyfsTkbd4MpaIm0HQ9SwB7IYHdIUvt-U1Uc/edit?usp=sharing"""&amp;",""สระแก้ว!J704"")+IMPORTRANGE(""https://docs.google.com/spreadsheets/d/1xmPlrr1QbdSIKvl1dWUl9K4PjAfSL9oeMr_37QVzcxc/edit?usp=sharing"",""สระบุรี!J704"")+IMPORTRANGE(""https://docs.google.com/spreadsheets/d/1j51vR6CYVGhABJpv6tkstgok82RLpXieLzW1yOY5rHw/edi"&amp;"t?usp=sharing"",""สิงห์บุรี!J704"")+IMPORTRANGE(""https://docs.google.com/spreadsheets/d/1H1EalTWKUSzO4Z1-1CwzoDUaVffgrThEBe2sl74kKG0/edit?usp=sharing"",""สุพรรณบุรี!J704"")+IMPORTRANGE(""https://docs.google.com/spreadsheets/d/1BmIruG_sIrJLYao_Pdr7zVArWsf"&amp;"oBt2692TMi6x_854/edit?usp=sharing"",""อ่างทอง!J704"")"),16.57)</f>
        <v>16.57</v>
      </c>
      <c r="K705" s="74">
        <f t="shared" si="478"/>
        <v>0</v>
      </c>
      <c r="L705" s="229"/>
      <c r="M705" s="229"/>
      <c r="N705" s="229"/>
      <c r="O705" s="229"/>
      <c r="P705" s="229"/>
      <c r="Q705" s="228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0"/>
      <c r="E706" s="290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13wPX838HrBrQMCywv1BsuMkt4PEKTChp52zj44s2izQ/edit?usp=sharing"",""กาญจนบุรี!I705"")+IMPORTRANGE(""https://docs.google.com/spreadsheets/d/1ddFKvqj1W1NEiWytbGlB1zMx_ykJDVtmfEQ-6-lIUBA/edit?usp=sharing"","&amp;"""จันทบุรี!I705"")+IMPORTRANGE(""https://docs.google.com/spreadsheets/d/1T1PQvRODqOBZk8BRht_U031fIS1beLA0Ub2CEytj2q0/edit?usp=sharing"",""ฉะเชิงเทรา!I705"")+IMPORTRANGE(""https://docs.google.com/spreadsheets/d/11tr1B-Bhyr79v2bkwVh5h_fR-PStkgjlZtkrZpYurG0/"&amp;"edit?usp=sharing"",""ชลบุรี!I705"")+IMPORTRANGE(""https://docs.google.com/spreadsheets/d/1hh-FVnSX0vozXhGluamEcS54Dw9_zqW0N7qJUWgJ0Sw/edit?usp=sharing"",""ชัยนาท!I705"")+IMPORTRANGE(""https://docs.google.com/spreadsheets/d/1jkqa6GXxSacMcY1eN8AHjMNJ_7dDXMJ"&amp;"VRLDlaFSOdPM/edit?usp=sharing"",""ตราด!I705"")+IMPORTRANGE(""https://docs.google.com/spreadsheets/d/18hSgUJ3VwClqi_qtULmmW3cLr0oe3OKaSYoKzdpTsYQ/edit?usp=sharing"",""นครนายก!I705"")+IMPORTRANGE(""https://docs.google.com/spreadsheets/d/1YTZo6WM2dQ6Ix6FSdnL"&amp;"5P7uVnVKu40sxZu975tgG10E/edit?usp=sharing"",""นครปฐม!I705"")+IMPORTRANGE(""https://docs.google.com/spreadsheets/d/1OYoGg4WDg5RIzwGeB10padOxJF9E_Vljuvvct_M7RDo/edit?usp=sharing"",""ปทุมธานี!I705"")+IMPORTRANGE(""https://docs.google.com/spreadsheets/d/1GbCI"&amp;"E4D4wk9FUozzqk7SxfDMxDVBwVmI5zcaVUSzKAc/edit?usp=sharing"",""ประจวบคีรีขันธ์!I705"")+IMPORTRANGE(""https://docs.google.com/spreadsheets/d/1vVf6wykvW_lAyu7Yo9L4hUTqHqIeP_qcVuxCtosJEbg/edit?usp=sharing"",""ปราจีนบุรี!I705"")+IMPORTRANGE(""https://docs.googl"&amp;"e.com/spreadsheets/d/1BIDqLLg5jk3v59G8NlR8rk5xfQDKne0sAvZHSj7TI6I/edit?usp=sharing"",""พระนครศรีอยุธยา!I705"")+IMPORTRANGE(""https://docs.google.com/spreadsheets/d/1YXvxf8Yu6_rV4hTBrwMqAcAnv6DfhUxh5emyM3CJp_w/edit?usp=sharing"",""เพชรบุรี!I705"")+IMPORTRA"&amp;"NGE(""https://docs.google.com/spreadsheets/d/19KBlQQs7uwvsao6t2n-KvW3Ax8J8uRRfZPq1zPbXgKc/edit?usp=sharing"",""ระยอง!I705"")+IMPORTRANGE(""https://docs.google.com/spreadsheets/d/1jQ6P4QcrGM89YfqcC_PxOHGCMq5ezhucwJd8ci-NHng/edit?usp=sharing"",""ราชบุรี!I70"&amp;"5"")+IMPORTRANGE(""https://docs.google.com/spreadsheets/d/1lufeA2cfFqM-elVq2hznhDzC6Pr7wkJ9ZG_sYNGCMCU/edit?usp=sharing"",""ลพบุรี!I705"")+IMPORTRANGE(""https://docs.google.com/spreadsheets/d/10oOiF7loTyfsTkbd4MpaIm0HQ9SwB7IYHdIUvt-U1Uc/edit?usp=sharing"""&amp;",""สระแก้ว!I705"")+IMPORTRANGE(""https://docs.google.com/spreadsheets/d/1xmPlrr1QbdSIKvl1dWUl9K4PjAfSL9oeMr_37QVzcxc/edit?usp=sharing"",""สระบุรี!I705"")+IMPORTRANGE(""https://docs.google.com/spreadsheets/d/1j51vR6CYVGhABJpv6tkstgok82RLpXieLzW1yOY5rHw/edi"&amp;"t?usp=sharing"",""สิงห์บุรี!I705"")+IMPORTRANGE(""https://docs.google.com/spreadsheets/d/1H1EalTWKUSzO4Z1-1CwzoDUaVffgrThEBe2sl74kKG0/edit?usp=sharing"",""สุพรรณบุรี!I705"")+IMPORTRANGE(""https://docs.google.com/spreadsheets/d/1BmIruG_sIrJLYao_Pdr7zVArWsf"&amp;"oBt2692TMi6x_854/edit?usp=sharing"",""อ่างทอง!I705"")"),49)</f>
        <v>49</v>
      </c>
      <c r="J706" s="293">
        <f ca="1">IFERROR(__xludf.DUMMYFUNCTION("IMPORTRANGE(""https://docs.google.com/spreadsheets/d/13wPX838HrBrQMCywv1BsuMkt4PEKTChp52zj44s2izQ/edit?usp=sharing"",""กาญจนบุรี!J705"")+IMPORTRANGE(""https://docs.google.com/spreadsheets/d/1ddFKvqj1W1NEiWytbGlB1zMx_ykJDVtmfEQ-6-lIUBA/edit?usp=sharing"","&amp;"""จันทบุรี!J705"")+IMPORTRANGE(""https://docs.google.com/spreadsheets/d/1T1PQvRODqOBZk8BRht_U031fIS1beLA0Ub2CEytj2q0/edit?usp=sharing"",""ฉะเชิงเทรา!J705"")+IMPORTRANGE(""https://docs.google.com/spreadsheets/d/11tr1B-Bhyr79v2bkwVh5h_fR-PStkgjlZtkrZpYurG0/"&amp;"edit?usp=sharing"",""ชลบุรี!J705"")+IMPORTRANGE(""https://docs.google.com/spreadsheets/d/1hh-FVnSX0vozXhGluamEcS54Dw9_zqW0N7qJUWgJ0Sw/edit?usp=sharing"",""ชัยนาท!J705"")+IMPORTRANGE(""https://docs.google.com/spreadsheets/d/1jkqa6GXxSacMcY1eN8AHjMNJ_7dDXMJ"&amp;"VRLDlaFSOdPM/edit?usp=sharing"",""ตราด!J705"")+IMPORTRANGE(""https://docs.google.com/spreadsheets/d/18hSgUJ3VwClqi_qtULmmW3cLr0oe3OKaSYoKzdpTsYQ/edit?usp=sharing"",""นครนายก!J705"")+IMPORTRANGE(""https://docs.google.com/spreadsheets/d/1YTZo6WM2dQ6Ix6FSdnL"&amp;"5P7uVnVKu40sxZu975tgG10E/edit?usp=sharing"",""นครปฐม!J705"")+IMPORTRANGE(""https://docs.google.com/spreadsheets/d/1OYoGg4WDg5RIzwGeB10padOxJF9E_Vljuvvct_M7RDo/edit?usp=sharing"",""ปทุมธานี!J705"")+IMPORTRANGE(""https://docs.google.com/spreadsheets/d/1GbCI"&amp;"E4D4wk9FUozzqk7SxfDMxDVBwVmI5zcaVUSzKAc/edit?usp=sharing"",""ประจวบคีรีขันธ์!J705"")+IMPORTRANGE(""https://docs.google.com/spreadsheets/d/1vVf6wykvW_lAyu7Yo9L4hUTqHqIeP_qcVuxCtosJEbg/edit?usp=sharing"",""ปราจีนบุรี!J705"")+IMPORTRANGE(""https://docs.googl"&amp;"e.com/spreadsheets/d/1BIDqLLg5jk3v59G8NlR8rk5xfQDKne0sAvZHSj7TI6I/edit?usp=sharing"",""พระนครศรีอยุธยา!J705"")+IMPORTRANGE(""https://docs.google.com/spreadsheets/d/1YXvxf8Yu6_rV4hTBrwMqAcAnv6DfhUxh5emyM3CJp_w/edit?usp=sharing"",""เพชรบุรี!J705"")+IMPORTRA"&amp;"NGE(""https://docs.google.com/spreadsheets/d/19KBlQQs7uwvsao6t2n-KvW3Ax8J8uRRfZPq1zPbXgKc/edit?usp=sharing"",""ระยอง!J705"")+IMPORTRANGE(""https://docs.google.com/spreadsheets/d/1jQ6P4QcrGM89YfqcC_PxOHGCMq5ezhucwJd8ci-NHng/edit?usp=sharing"",""ราชบุรี!J70"&amp;"5"")+IMPORTRANGE(""https://docs.google.com/spreadsheets/d/1lufeA2cfFqM-elVq2hznhDzC6Pr7wkJ9ZG_sYNGCMCU/edit?usp=sharing"",""ลพบุรี!J705"")+IMPORTRANGE(""https://docs.google.com/spreadsheets/d/10oOiF7loTyfsTkbd4MpaIm0HQ9SwB7IYHdIUvt-U1Uc/edit?usp=sharing"""&amp;",""สระแก้ว!J705"")+IMPORTRANGE(""https://docs.google.com/spreadsheets/d/1xmPlrr1QbdSIKvl1dWUl9K4PjAfSL9oeMr_37QVzcxc/edit?usp=sharing"",""สระบุรี!J705"")+IMPORTRANGE(""https://docs.google.com/spreadsheets/d/1j51vR6CYVGhABJpv6tkstgok82RLpXieLzW1yOY5rHw/edi"&amp;"t?usp=sharing"",""สิงห์บุรี!J705"")+IMPORTRANGE(""https://docs.google.com/spreadsheets/d/1H1EalTWKUSzO4Z1-1CwzoDUaVffgrThEBe2sl74kKG0/edit?usp=sharing"",""สุพรรณบุรี!J705"")+IMPORTRANGE(""https://docs.google.com/spreadsheets/d/1BmIruG_sIrJLYao_Pdr7zVArWsf"&amp;"oBt2692TMi6x_854/edit?usp=sharing"",""อ่างทอง!J705"")"),0)</f>
        <v>0</v>
      </c>
      <c r="K706" s="768">
        <f t="shared" ca="1" si="478"/>
        <v>0</v>
      </c>
      <c r="L706" s="229"/>
      <c r="M706" s="229"/>
      <c r="N706" s="229"/>
      <c r="O706" s="229"/>
      <c r="P706" s="229"/>
      <c r="Q706" s="228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0"/>
      <c r="E707" s="290"/>
      <c r="F707" s="290"/>
      <c r="G707" s="282"/>
      <c r="H707" s="275" t="s">
        <v>46</v>
      </c>
      <c r="I707" s="293">
        <v>0</v>
      </c>
      <c r="J707" s="293">
        <f ca="1">IFERROR(__xludf.DUMMYFUNCTION("IMPORTRANGE(""https://docs.google.com/spreadsheets/d/13wPX838HrBrQMCywv1BsuMkt4PEKTChp52zj44s2izQ/edit?usp=sharing"",""กาญจนบุรี!J706"")+IMPORTRANGE(""https://docs.google.com/spreadsheets/d/1ddFKvqj1W1NEiWytbGlB1zMx_ykJDVtmfEQ-6-lIUBA/edit?usp=sharing"","&amp;"""จันทบุรี!J706"")+IMPORTRANGE(""https://docs.google.com/spreadsheets/d/1T1PQvRODqOBZk8BRht_U031fIS1beLA0Ub2CEytj2q0/edit?usp=sharing"",""ฉะเชิงเทรา!J706"")+IMPORTRANGE(""https://docs.google.com/spreadsheets/d/11tr1B-Bhyr79v2bkwVh5h_fR-PStkgjlZtkrZpYurG0/"&amp;"edit?usp=sharing"",""ชลบุรี!J706"")+IMPORTRANGE(""https://docs.google.com/spreadsheets/d/1hh-FVnSX0vozXhGluamEcS54Dw9_zqW0N7qJUWgJ0Sw/edit?usp=sharing"",""ชัยนาท!J706"")+IMPORTRANGE(""https://docs.google.com/spreadsheets/d/1jkqa6GXxSacMcY1eN8AHjMNJ_7dDXMJ"&amp;"VRLDlaFSOdPM/edit?usp=sharing"",""ตราด!J706"")+IMPORTRANGE(""https://docs.google.com/spreadsheets/d/18hSgUJ3VwClqi_qtULmmW3cLr0oe3OKaSYoKzdpTsYQ/edit?usp=sharing"",""นครนายก!J706"")+IMPORTRANGE(""https://docs.google.com/spreadsheets/d/1YTZo6WM2dQ6Ix6FSdnL"&amp;"5P7uVnVKu40sxZu975tgG10E/edit?usp=sharing"",""นครปฐม!J706"")+IMPORTRANGE(""https://docs.google.com/spreadsheets/d/1OYoGg4WDg5RIzwGeB10padOxJF9E_Vljuvvct_M7RDo/edit?usp=sharing"",""ปทุมธานี!J706"")+IMPORTRANGE(""https://docs.google.com/spreadsheets/d/1GbCI"&amp;"E4D4wk9FUozzqk7SxfDMxDVBwVmI5zcaVUSzKAc/edit?usp=sharing"",""ประจวบคีรีขันธ์!J706"")+IMPORTRANGE(""https://docs.google.com/spreadsheets/d/1vVf6wykvW_lAyu7Yo9L4hUTqHqIeP_qcVuxCtosJEbg/edit?usp=sharing"",""ปราจีนบุรี!J706"")+IMPORTRANGE(""https://docs.googl"&amp;"e.com/spreadsheets/d/1BIDqLLg5jk3v59G8NlR8rk5xfQDKne0sAvZHSj7TI6I/edit?usp=sharing"",""พระนครศรีอยุธยา!J706"")+IMPORTRANGE(""https://docs.google.com/spreadsheets/d/1YXvxf8Yu6_rV4hTBrwMqAcAnv6DfhUxh5emyM3CJp_w/edit?usp=sharing"",""เพชรบุรี!J706"")+IMPORTRA"&amp;"NGE(""https://docs.google.com/spreadsheets/d/19KBlQQs7uwvsao6t2n-KvW3Ax8J8uRRfZPq1zPbXgKc/edit?usp=sharing"",""ระยอง!J706"")+IMPORTRANGE(""https://docs.google.com/spreadsheets/d/1jQ6P4QcrGM89YfqcC_PxOHGCMq5ezhucwJd8ci-NHng/edit?usp=sharing"",""ราชบุรี!J70"&amp;"6"")+IMPORTRANGE(""https://docs.google.com/spreadsheets/d/1lufeA2cfFqM-elVq2hznhDzC6Pr7wkJ9ZG_sYNGCMCU/edit?usp=sharing"",""ลพบุรี!J706"")+IMPORTRANGE(""https://docs.google.com/spreadsheets/d/10oOiF7loTyfsTkbd4MpaIm0HQ9SwB7IYHdIUvt-U1Uc/edit?usp=sharing"""&amp;",""สระแก้ว!J706"")+IMPORTRANGE(""https://docs.google.com/spreadsheets/d/1xmPlrr1QbdSIKvl1dWUl9K4PjAfSL9oeMr_37QVzcxc/edit?usp=sharing"",""สระบุรี!J706"")+IMPORTRANGE(""https://docs.google.com/spreadsheets/d/1j51vR6CYVGhABJpv6tkstgok82RLpXieLzW1yOY5rHw/edi"&amp;"t?usp=sharing"",""สิงห์บุรี!J706"")+IMPORTRANGE(""https://docs.google.com/spreadsheets/d/1H1EalTWKUSzO4Z1-1CwzoDUaVffgrThEBe2sl74kKG0/edit?usp=sharing"",""สุพรรณบุรี!J706"")+IMPORTRANGE(""https://docs.google.com/spreadsheets/d/1BmIruG_sIrJLYao_Pdr7zVArWsf"&amp;"oBt2692TMi6x_854/edit?usp=sharing"",""อ่างทอง!J706"")"),0)</f>
        <v>0</v>
      </c>
      <c r="K707" s="74">
        <f t="shared" si="478"/>
        <v>0</v>
      </c>
      <c r="L707" s="229"/>
      <c r="M707" s="229"/>
      <c r="N707" s="229"/>
      <c r="O707" s="229"/>
      <c r="P707" s="229"/>
      <c r="Q707" s="228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0"/>
      <c r="E708" s="767" t="s">
        <v>261</v>
      </c>
      <c r="F708" s="290"/>
      <c r="G708" s="282"/>
      <c r="H708" s="271" t="s">
        <v>35</v>
      </c>
      <c r="I708" s="293">
        <f ca="1">IFERROR(__xludf.DUMMYFUNCTION("IMPORTRANGE(""https://docs.google.com/spreadsheets/d/13wPX838HrBrQMCywv1BsuMkt4PEKTChp52zj44s2izQ/edit?usp=sharing"",""กาญจนบุรี!I707"")+IMPORTRANGE(""https://docs.google.com/spreadsheets/d/1ddFKvqj1W1NEiWytbGlB1zMx_ykJDVtmfEQ-6-lIUBA/edit?usp=sharing"","&amp;"""จันทบุรี!I707"")+IMPORTRANGE(""https://docs.google.com/spreadsheets/d/1T1PQvRODqOBZk8BRht_U031fIS1beLA0Ub2CEytj2q0/edit?usp=sharing"",""ฉะเชิงเทรา!I707"")+IMPORTRANGE(""https://docs.google.com/spreadsheets/d/11tr1B-Bhyr79v2bkwVh5h_fR-PStkgjlZtkrZpYurG0/"&amp;"edit?usp=sharing"",""ชลบุรี!I707"")+IMPORTRANGE(""https://docs.google.com/spreadsheets/d/1hh-FVnSX0vozXhGluamEcS54Dw9_zqW0N7qJUWgJ0Sw/edit?usp=sharing"",""ชัยนาท!I707"")+IMPORTRANGE(""https://docs.google.com/spreadsheets/d/1jkqa6GXxSacMcY1eN8AHjMNJ_7dDXMJ"&amp;"VRLDlaFSOdPM/edit?usp=sharing"",""ตราด!I707"")+IMPORTRANGE(""https://docs.google.com/spreadsheets/d/18hSgUJ3VwClqi_qtULmmW3cLr0oe3OKaSYoKzdpTsYQ/edit?usp=sharing"",""นครนายก!I707"")+IMPORTRANGE(""https://docs.google.com/spreadsheets/d/1YTZo6WM2dQ6Ix6FSdnL"&amp;"5P7uVnVKu40sxZu975tgG10E/edit?usp=sharing"",""นครปฐม!I707"")+IMPORTRANGE(""https://docs.google.com/spreadsheets/d/1OYoGg4WDg5RIzwGeB10padOxJF9E_Vljuvvct_M7RDo/edit?usp=sharing"",""ปทุมธานี!I707"")+IMPORTRANGE(""https://docs.google.com/spreadsheets/d/1GbCI"&amp;"E4D4wk9FUozzqk7SxfDMxDVBwVmI5zcaVUSzKAc/edit?usp=sharing"",""ประจวบคีรีขันธ์!I707"")+IMPORTRANGE(""https://docs.google.com/spreadsheets/d/1vVf6wykvW_lAyu7Yo9L4hUTqHqIeP_qcVuxCtosJEbg/edit?usp=sharing"",""ปราจีนบุรี!I707"")+IMPORTRANGE(""https://docs.googl"&amp;"e.com/spreadsheets/d/1BIDqLLg5jk3v59G8NlR8rk5xfQDKne0sAvZHSj7TI6I/edit?usp=sharing"",""พระนครศรีอยุธยา!I707"")+IMPORTRANGE(""https://docs.google.com/spreadsheets/d/1YXvxf8Yu6_rV4hTBrwMqAcAnv6DfhUxh5emyM3CJp_w/edit?usp=sharing"",""เพชรบุรี!I707"")+IMPORTRA"&amp;"NGE(""https://docs.google.com/spreadsheets/d/19KBlQQs7uwvsao6t2n-KvW3Ax8J8uRRfZPq1zPbXgKc/edit?usp=sharing"",""ระยอง!I707"")+IMPORTRANGE(""https://docs.google.com/spreadsheets/d/1jQ6P4QcrGM89YfqcC_PxOHGCMq5ezhucwJd8ci-NHng/edit?usp=sharing"",""ราชบุรี!I70"&amp;"7"")+IMPORTRANGE(""https://docs.google.com/spreadsheets/d/1lufeA2cfFqM-elVq2hznhDzC6Pr7wkJ9ZG_sYNGCMCU/edit?usp=sharing"",""ลพบุรี!I707"")+IMPORTRANGE(""https://docs.google.com/spreadsheets/d/10oOiF7loTyfsTkbd4MpaIm0HQ9SwB7IYHdIUvt-U1Uc/edit?usp=sharing"""&amp;",""สระแก้ว!I707"")+IMPORTRANGE(""https://docs.google.com/spreadsheets/d/1xmPlrr1QbdSIKvl1dWUl9K4PjAfSL9oeMr_37QVzcxc/edit?usp=sharing"",""สระบุรี!I707"")+IMPORTRANGE(""https://docs.google.com/spreadsheets/d/1j51vR6CYVGhABJpv6tkstgok82RLpXieLzW1yOY5rHw/edi"&amp;"t?usp=sharing"",""สิงห์บุรี!I707"")+IMPORTRANGE(""https://docs.google.com/spreadsheets/d/1H1EalTWKUSzO4Z1-1CwzoDUaVffgrThEBe2sl74kKG0/edit?usp=sharing"",""สุพรรณบุรี!I707"")+IMPORTRANGE(""https://docs.google.com/spreadsheets/d/1BmIruG_sIrJLYao_Pdr7zVArWsf"&amp;"oBt2692TMi6x_854/edit?usp=sharing"",""อ่างทอง!I707"")"),668)</f>
        <v>668</v>
      </c>
      <c r="J708" s="293">
        <f ca="1">IFERROR(__xludf.DUMMYFUNCTION("IMPORTRANGE(""https://docs.google.com/spreadsheets/d/13wPX838HrBrQMCywv1BsuMkt4PEKTChp52zj44s2izQ/edit?usp=sharing"",""กาญจนบุรี!J707"")+IMPORTRANGE(""https://docs.google.com/spreadsheets/d/1ddFKvqj1W1NEiWytbGlB1zMx_ykJDVtmfEQ-6-lIUBA/edit?usp=sharing"","&amp;"""จันทบุรี!J707"")+IMPORTRANGE(""https://docs.google.com/spreadsheets/d/1T1PQvRODqOBZk8BRht_U031fIS1beLA0Ub2CEytj2q0/edit?usp=sharing"",""ฉะเชิงเทรา!J707"")+IMPORTRANGE(""https://docs.google.com/spreadsheets/d/11tr1B-Bhyr79v2bkwVh5h_fR-PStkgjlZtkrZpYurG0/"&amp;"edit?usp=sharing"",""ชลบุรี!J707"")+IMPORTRANGE(""https://docs.google.com/spreadsheets/d/1hh-FVnSX0vozXhGluamEcS54Dw9_zqW0N7qJUWgJ0Sw/edit?usp=sharing"",""ชัยนาท!J707"")+IMPORTRANGE(""https://docs.google.com/spreadsheets/d/1jkqa6GXxSacMcY1eN8AHjMNJ_7dDXMJ"&amp;"VRLDlaFSOdPM/edit?usp=sharing"",""ตราด!J707"")+IMPORTRANGE(""https://docs.google.com/spreadsheets/d/18hSgUJ3VwClqi_qtULmmW3cLr0oe3OKaSYoKzdpTsYQ/edit?usp=sharing"",""นครนายก!J707"")+IMPORTRANGE(""https://docs.google.com/spreadsheets/d/1YTZo6WM2dQ6Ix6FSdnL"&amp;"5P7uVnVKu40sxZu975tgG10E/edit?usp=sharing"",""นครปฐม!J707"")+IMPORTRANGE(""https://docs.google.com/spreadsheets/d/1OYoGg4WDg5RIzwGeB10padOxJF9E_Vljuvvct_M7RDo/edit?usp=sharing"",""ปทุมธานี!J707"")+IMPORTRANGE(""https://docs.google.com/spreadsheets/d/1GbCI"&amp;"E4D4wk9FUozzqk7SxfDMxDVBwVmI5zcaVUSzKAc/edit?usp=sharing"",""ประจวบคีรีขันธ์!J707"")+IMPORTRANGE(""https://docs.google.com/spreadsheets/d/1vVf6wykvW_lAyu7Yo9L4hUTqHqIeP_qcVuxCtosJEbg/edit?usp=sharing"",""ปราจีนบุรี!J707"")+IMPORTRANGE(""https://docs.googl"&amp;"e.com/spreadsheets/d/1BIDqLLg5jk3v59G8NlR8rk5xfQDKne0sAvZHSj7TI6I/edit?usp=sharing"",""พระนครศรีอยุธยา!J707"")+IMPORTRANGE(""https://docs.google.com/spreadsheets/d/1YXvxf8Yu6_rV4hTBrwMqAcAnv6DfhUxh5emyM3CJp_w/edit?usp=sharing"",""เพชรบุรี!J707"")+IMPORTRA"&amp;"NGE(""https://docs.google.com/spreadsheets/d/19KBlQQs7uwvsao6t2n-KvW3Ax8J8uRRfZPq1zPbXgKc/edit?usp=sharing"",""ระยอง!J707"")+IMPORTRANGE(""https://docs.google.com/spreadsheets/d/1jQ6P4QcrGM89YfqcC_PxOHGCMq5ezhucwJd8ci-NHng/edit?usp=sharing"",""ราชบุรี!J70"&amp;"7"")+IMPORTRANGE(""https://docs.google.com/spreadsheets/d/1lufeA2cfFqM-elVq2hznhDzC6Pr7wkJ9ZG_sYNGCMCU/edit?usp=sharing"",""ลพบุรี!J707"")+IMPORTRANGE(""https://docs.google.com/spreadsheets/d/10oOiF7loTyfsTkbd4MpaIm0HQ9SwB7IYHdIUvt-U1Uc/edit?usp=sharing"""&amp;",""สระแก้ว!J707"")+IMPORTRANGE(""https://docs.google.com/spreadsheets/d/1xmPlrr1QbdSIKvl1dWUl9K4PjAfSL9oeMr_37QVzcxc/edit?usp=sharing"",""สระบุรี!J707"")+IMPORTRANGE(""https://docs.google.com/spreadsheets/d/1j51vR6CYVGhABJpv6tkstgok82RLpXieLzW1yOY5rHw/edi"&amp;"t?usp=sharing"",""สิงห์บุรี!J707"")+IMPORTRANGE(""https://docs.google.com/spreadsheets/d/1H1EalTWKUSzO4Z1-1CwzoDUaVffgrThEBe2sl74kKG0/edit?usp=sharing"",""สุพรรณบุรี!J707"")+IMPORTRANGE(""https://docs.google.com/spreadsheets/d/1BmIruG_sIrJLYao_Pdr7zVArWsf"&amp;"oBt2692TMi6x_854/edit?usp=sharing"",""อ่างทอง!J707"")"),55)</f>
        <v>55</v>
      </c>
      <c r="K708" s="74">
        <f t="shared" ca="1" si="478"/>
        <v>8.2335329341317358</v>
      </c>
      <c r="L708" s="229"/>
      <c r="M708" s="229"/>
      <c r="N708" s="229"/>
      <c r="O708" s="229"/>
      <c r="P708" s="229"/>
      <c r="Q708" s="228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0"/>
      <c r="E709" s="770" t="s">
        <v>262</v>
      </c>
      <c r="F709" s="290"/>
      <c r="G709" s="282"/>
      <c r="H709" s="271" t="s">
        <v>46</v>
      </c>
      <c r="I709" s="293">
        <v>0</v>
      </c>
      <c r="J709" s="293">
        <f ca="1">IFERROR(__xludf.DUMMYFUNCTION("IMPORTRANGE(""https://docs.google.com/spreadsheets/d/13wPX838HrBrQMCywv1BsuMkt4PEKTChp52zj44s2izQ/edit?usp=sharing"",""กาญจนบุรี!J708"")+IMPORTRANGE(""https://docs.google.com/spreadsheets/d/1ddFKvqj1W1NEiWytbGlB1zMx_ykJDVtmfEQ-6-lIUBA/edit?usp=sharing"","&amp;"""จันทบุรี!J708"")+IMPORTRANGE(""https://docs.google.com/spreadsheets/d/1T1PQvRODqOBZk8BRht_U031fIS1beLA0Ub2CEytj2q0/edit?usp=sharing"",""ฉะเชิงเทรา!J708"")+IMPORTRANGE(""https://docs.google.com/spreadsheets/d/11tr1B-Bhyr79v2bkwVh5h_fR-PStkgjlZtkrZpYurG0/"&amp;"edit?usp=sharing"",""ชลบุรี!J708"")+IMPORTRANGE(""https://docs.google.com/spreadsheets/d/1hh-FVnSX0vozXhGluamEcS54Dw9_zqW0N7qJUWgJ0Sw/edit?usp=sharing"",""ชัยนาท!J708"")+IMPORTRANGE(""https://docs.google.com/spreadsheets/d/1jkqa6GXxSacMcY1eN8AHjMNJ_7dDXMJ"&amp;"VRLDlaFSOdPM/edit?usp=sharing"",""ตราด!J708"")+IMPORTRANGE(""https://docs.google.com/spreadsheets/d/18hSgUJ3VwClqi_qtULmmW3cLr0oe3OKaSYoKzdpTsYQ/edit?usp=sharing"",""นครนายก!J708"")+IMPORTRANGE(""https://docs.google.com/spreadsheets/d/1YTZo6WM2dQ6Ix6FSdnL"&amp;"5P7uVnVKu40sxZu975tgG10E/edit?usp=sharing"",""นครปฐม!J708"")+IMPORTRANGE(""https://docs.google.com/spreadsheets/d/1OYoGg4WDg5RIzwGeB10padOxJF9E_Vljuvvct_M7RDo/edit?usp=sharing"",""ปทุมธานี!J708"")+IMPORTRANGE(""https://docs.google.com/spreadsheets/d/1GbCI"&amp;"E4D4wk9FUozzqk7SxfDMxDVBwVmI5zcaVUSzKAc/edit?usp=sharing"",""ประจวบคีรีขันธ์!J708"")+IMPORTRANGE(""https://docs.google.com/spreadsheets/d/1vVf6wykvW_lAyu7Yo9L4hUTqHqIeP_qcVuxCtosJEbg/edit?usp=sharing"",""ปราจีนบุรี!J708"")+IMPORTRANGE(""https://docs.googl"&amp;"e.com/spreadsheets/d/1BIDqLLg5jk3v59G8NlR8rk5xfQDKne0sAvZHSj7TI6I/edit?usp=sharing"",""พระนครศรีอยุธยา!J708"")+IMPORTRANGE(""https://docs.google.com/spreadsheets/d/1YXvxf8Yu6_rV4hTBrwMqAcAnv6DfhUxh5emyM3CJp_w/edit?usp=sharing"",""เพชรบุรี!J708"")+IMPORTRA"&amp;"NGE(""https://docs.google.com/spreadsheets/d/19KBlQQs7uwvsao6t2n-KvW3Ax8J8uRRfZPq1zPbXgKc/edit?usp=sharing"",""ระยอง!J708"")+IMPORTRANGE(""https://docs.google.com/spreadsheets/d/1jQ6P4QcrGM89YfqcC_PxOHGCMq5ezhucwJd8ci-NHng/edit?usp=sharing"",""ราชบุรี!J70"&amp;"8"")+IMPORTRANGE(""https://docs.google.com/spreadsheets/d/1lufeA2cfFqM-elVq2hznhDzC6Pr7wkJ9ZG_sYNGCMCU/edit?usp=sharing"",""ลพบุรี!J708"")+IMPORTRANGE(""https://docs.google.com/spreadsheets/d/10oOiF7loTyfsTkbd4MpaIm0HQ9SwB7IYHdIUvt-U1Uc/edit?usp=sharing"""&amp;",""สระแก้ว!J708"")+IMPORTRANGE(""https://docs.google.com/spreadsheets/d/1xmPlrr1QbdSIKvl1dWUl9K4PjAfSL9oeMr_37QVzcxc/edit?usp=sharing"",""สระบุรี!J708"")+IMPORTRANGE(""https://docs.google.com/spreadsheets/d/1j51vR6CYVGhABJpv6tkstgok82RLpXieLzW1yOY5rHw/edi"&amp;"t?usp=sharing"",""สิงห์บุรี!J708"")+IMPORTRANGE(""https://docs.google.com/spreadsheets/d/1H1EalTWKUSzO4Z1-1CwzoDUaVffgrThEBe2sl74kKG0/edit?usp=sharing"",""สุพรรณบุรี!J708"")+IMPORTRANGE(""https://docs.google.com/spreadsheets/d/1BmIruG_sIrJLYao_Pdr7zVArWsf"&amp;"oBt2692TMi6x_854/edit?usp=sharing"",""อ่างทอง!J708"")"),16)</f>
        <v>16</v>
      </c>
      <c r="K709" s="74">
        <f t="shared" si="478"/>
        <v>0</v>
      </c>
      <c r="L709" s="229"/>
      <c r="M709" s="229"/>
      <c r="N709" s="229"/>
      <c r="O709" s="229"/>
      <c r="P709" s="229"/>
      <c r="Q709" s="228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13wPX838HrBrQMCywv1BsuMkt4PEKTChp52zj44s2izQ/edit?usp=sharing"",""กาญจนบุรี!I709"")+IMPORTRANGE(""https://docs.google.com/spreadsheets/d/1ddFKvqj1W1NEiWytbGlB1zMx_ykJDVtmfEQ-6-lIUBA/edit?usp=sharing"","&amp;"""จันทบุรี!I709"")+IMPORTRANGE(""https://docs.google.com/spreadsheets/d/1T1PQvRODqOBZk8BRht_U031fIS1beLA0Ub2CEytj2q0/edit?usp=sharing"",""ฉะเชิงเทรา!I709"")+IMPORTRANGE(""https://docs.google.com/spreadsheets/d/11tr1B-Bhyr79v2bkwVh5h_fR-PStkgjlZtkrZpYurG0/"&amp;"edit?usp=sharing"",""ชลบุรี!I709"")+IMPORTRANGE(""https://docs.google.com/spreadsheets/d/1hh-FVnSX0vozXhGluamEcS54Dw9_zqW0N7qJUWgJ0Sw/edit?usp=sharing"",""ชัยนาท!I709"")+IMPORTRANGE(""https://docs.google.com/spreadsheets/d/1jkqa6GXxSacMcY1eN8AHjMNJ_7dDXMJ"&amp;"VRLDlaFSOdPM/edit?usp=sharing"",""ตราด!I709"")+IMPORTRANGE(""https://docs.google.com/spreadsheets/d/18hSgUJ3VwClqi_qtULmmW3cLr0oe3OKaSYoKzdpTsYQ/edit?usp=sharing"",""นครนายก!I709"")+IMPORTRANGE(""https://docs.google.com/spreadsheets/d/1YTZo6WM2dQ6Ix6FSdnL"&amp;"5P7uVnVKu40sxZu975tgG10E/edit?usp=sharing"",""นครปฐม!I709"")+IMPORTRANGE(""https://docs.google.com/spreadsheets/d/1OYoGg4WDg5RIzwGeB10padOxJF9E_Vljuvvct_M7RDo/edit?usp=sharing"",""ปทุมธานี!I709"")+IMPORTRANGE(""https://docs.google.com/spreadsheets/d/1GbCI"&amp;"E4D4wk9FUozzqk7SxfDMxDVBwVmI5zcaVUSzKAc/edit?usp=sharing"",""ประจวบคีรีขันธ์!I709"")+IMPORTRANGE(""https://docs.google.com/spreadsheets/d/1vVf6wykvW_lAyu7Yo9L4hUTqHqIeP_qcVuxCtosJEbg/edit?usp=sharing"",""ปราจีนบุรี!I709"")+IMPORTRANGE(""https://docs.googl"&amp;"e.com/spreadsheets/d/1BIDqLLg5jk3v59G8NlR8rk5xfQDKne0sAvZHSj7TI6I/edit?usp=sharing"",""พระนครศรีอยุธยา!I709"")+IMPORTRANGE(""https://docs.google.com/spreadsheets/d/1YXvxf8Yu6_rV4hTBrwMqAcAnv6DfhUxh5emyM3CJp_w/edit?usp=sharing"",""เพชรบุรี!I709"")+IMPORTRA"&amp;"NGE(""https://docs.google.com/spreadsheets/d/19KBlQQs7uwvsao6t2n-KvW3Ax8J8uRRfZPq1zPbXgKc/edit?usp=sharing"",""ระยอง!I709"")+IMPORTRANGE(""https://docs.google.com/spreadsheets/d/1jQ6P4QcrGM89YfqcC_PxOHGCMq5ezhucwJd8ci-NHng/edit?usp=sharing"",""ราชบุรี!I70"&amp;"9"")+IMPORTRANGE(""https://docs.google.com/spreadsheets/d/1lufeA2cfFqM-elVq2hznhDzC6Pr7wkJ9ZG_sYNGCMCU/edit?usp=sharing"",""ลพบุรี!I709"")+IMPORTRANGE(""https://docs.google.com/spreadsheets/d/10oOiF7loTyfsTkbd4MpaIm0HQ9SwB7IYHdIUvt-U1Uc/edit?usp=sharing"""&amp;",""สระแก้ว!I709"")+IMPORTRANGE(""https://docs.google.com/spreadsheets/d/1xmPlrr1QbdSIKvl1dWUl9K4PjAfSL9oeMr_37QVzcxc/edit?usp=sharing"",""สระบุรี!I709"")+IMPORTRANGE(""https://docs.google.com/spreadsheets/d/1j51vR6CYVGhABJpv6tkstgok82RLpXieLzW1yOY5rHw/edi"&amp;"t?usp=sharing"",""สิงห์บุรี!I709"")+IMPORTRANGE(""https://docs.google.com/spreadsheets/d/1H1EalTWKUSzO4Z1-1CwzoDUaVffgrThEBe2sl74kKG0/edit?usp=sharing"",""สุพรรณบุรี!I709"")+IMPORTRANGE(""https://docs.google.com/spreadsheets/d/1BmIruG_sIrJLYao_Pdr7zVArWsf"&amp;"oBt2692TMi6x_854/edit?usp=sharing"",""อ่างทอง!I709"")"),49)</f>
        <v>49</v>
      </c>
      <c r="J710" s="293">
        <f ca="1">IFERROR(__xludf.DUMMYFUNCTION("IMPORTRANGE(""https://docs.google.com/spreadsheets/d/13wPX838HrBrQMCywv1BsuMkt4PEKTChp52zj44s2izQ/edit?usp=sharing"",""กาญจนบุรี!J709"")+IMPORTRANGE(""https://docs.google.com/spreadsheets/d/1ddFKvqj1W1NEiWytbGlB1zMx_ykJDVtmfEQ-6-lIUBA/edit?usp=sharing"","&amp;"""จันทบุรี!J709"")+IMPORTRANGE(""https://docs.google.com/spreadsheets/d/1T1PQvRODqOBZk8BRht_U031fIS1beLA0Ub2CEytj2q0/edit?usp=sharing"",""ฉะเชิงเทรา!J709"")+IMPORTRANGE(""https://docs.google.com/spreadsheets/d/11tr1B-Bhyr79v2bkwVh5h_fR-PStkgjlZtkrZpYurG0/"&amp;"edit?usp=sharing"",""ชลบุรี!J709"")+IMPORTRANGE(""https://docs.google.com/spreadsheets/d/1hh-FVnSX0vozXhGluamEcS54Dw9_zqW0N7qJUWgJ0Sw/edit?usp=sharing"",""ชัยนาท!J709"")+IMPORTRANGE(""https://docs.google.com/spreadsheets/d/1jkqa6GXxSacMcY1eN8AHjMNJ_7dDXMJ"&amp;"VRLDlaFSOdPM/edit?usp=sharing"",""ตราด!J709"")+IMPORTRANGE(""https://docs.google.com/spreadsheets/d/18hSgUJ3VwClqi_qtULmmW3cLr0oe3OKaSYoKzdpTsYQ/edit?usp=sharing"",""นครนายก!J709"")+IMPORTRANGE(""https://docs.google.com/spreadsheets/d/1YTZo6WM2dQ6Ix6FSdnL"&amp;"5P7uVnVKu40sxZu975tgG10E/edit?usp=sharing"",""นครปฐม!J709"")+IMPORTRANGE(""https://docs.google.com/spreadsheets/d/1OYoGg4WDg5RIzwGeB10padOxJF9E_Vljuvvct_M7RDo/edit?usp=sharing"",""ปทุมธานี!J709"")+IMPORTRANGE(""https://docs.google.com/spreadsheets/d/1GbCI"&amp;"E4D4wk9FUozzqk7SxfDMxDVBwVmI5zcaVUSzKAc/edit?usp=sharing"",""ประจวบคีรีขันธ์!J709"")+IMPORTRANGE(""https://docs.google.com/spreadsheets/d/1vVf6wykvW_lAyu7Yo9L4hUTqHqIeP_qcVuxCtosJEbg/edit?usp=sharing"",""ปราจีนบุรี!J709"")+IMPORTRANGE(""https://docs.googl"&amp;"e.com/spreadsheets/d/1BIDqLLg5jk3v59G8NlR8rk5xfQDKne0sAvZHSj7TI6I/edit?usp=sharing"",""พระนครศรีอยุธยา!J709"")+IMPORTRANGE(""https://docs.google.com/spreadsheets/d/1YXvxf8Yu6_rV4hTBrwMqAcAnv6DfhUxh5emyM3CJp_w/edit?usp=sharing"",""เพชรบุรี!J709"")+IMPORTRA"&amp;"NGE(""https://docs.google.com/spreadsheets/d/19KBlQQs7uwvsao6t2n-KvW3Ax8J8uRRfZPq1zPbXgKc/edit?usp=sharing"",""ระยอง!J709"")+IMPORTRANGE(""https://docs.google.com/spreadsheets/d/1jQ6P4QcrGM89YfqcC_PxOHGCMq5ezhucwJd8ci-NHng/edit?usp=sharing"",""ราชบุรี!J70"&amp;"9"")+IMPORTRANGE(""https://docs.google.com/spreadsheets/d/1lufeA2cfFqM-elVq2hznhDzC6Pr7wkJ9ZG_sYNGCMCU/edit?usp=sharing"",""ลพบุรี!J709"")+IMPORTRANGE(""https://docs.google.com/spreadsheets/d/10oOiF7loTyfsTkbd4MpaIm0HQ9SwB7IYHdIUvt-U1Uc/edit?usp=sharing"""&amp;",""สระแก้ว!J709"")+IMPORTRANGE(""https://docs.google.com/spreadsheets/d/1xmPlrr1QbdSIKvl1dWUl9K4PjAfSL9oeMr_37QVzcxc/edit?usp=sharing"",""สระบุรี!J709"")+IMPORTRANGE(""https://docs.google.com/spreadsheets/d/1j51vR6CYVGhABJpv6tkstgok82RLpXieLzW1yOY5rHw/edi"&amp;"t?usp=sharing"",""สิงห์บุรี!J709"")+IMPORTRANGE(""https://docs.google.com/spreadsheets/d/1H1EalTWKUSzO4Z1-1CwzoDUaVffgrThEBe2sl74kKG0/edit?usp=sharing"",""สุพรรณบุรี!J709"")+IMPORTRANGE(""https://docs.google.com/spreadsheets/d/1BmIruG_sIrJLYao_Pdr7zVArWsf"&amp;"oBt2692TMi6x_854/edit?usp=sharing"",""อ่างทอง!J709"")"),0)</f>
        <v>0</v>
      </c>
      <c r="K710" s="74">
        <f t="shared" ca="1" si="478"/>
        <v>0</v>
      </c>
      <c r="L710" s="87"/>
      <c r="M710" s="87"/>
      <c r="N710" s="87"/>
      <c r="O710" s="87"/>
      <c r="P710" s="87"/>
      <c r="Q710" s="86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13wPX838HrBrQMCywv1BsuMkt4PEKTChp52zj44s2izQ/edit?usp=sharing"",""กาญจนบุรี!J710"")+IMPORTRANGE(""https://docs.google.com/spreadsheets/d/1ddFKvqj1W1NEiWytbGlB1zMx_ykJDVtmfEQ-6-lIUBA/edit?usp=sharing"","&amp;"""จันทบุรี!J710"")+IMPORTRANGE(""https://docs.google.com/spreadsheets/d/1T1PQvRODqOBZk8BRht_U031fIS1beLA0Ub2CEytj2q0/edit?usp=sharing"",""ฉะเชิงเทรา!J710"")+IMPORTRANGE(""https://docs.google.com/spreadsheets/d/11tr1B-Bhyr79v2bkwVh5h_fR-PStkgjlZtkrZpYurG0/"&amp;"edit?usp=sharing"",""ชลบุรี!J710"")+IMPORTRANGE(""https://docs.google.com/spreadsheets/d/1hh-FVnSX0vozXhGluamEcS54Dw9_zqW0N7qJUWgJ0Sw/edit?usp=sharing"",""ชัยนาท!J710"")+IMPORTRANGE(""https://docs.google.com/spreadsheets/d/1jkqa6GXxSacMcY1eN8AHjMNJ_7dDXMJ"&amp;"VRLDlaFSOdPM/edit?usp=sharing"",""ตราด!J710"")+IMPORTRANGE(""https://docs.google.com/spreadsheets/d/18hSgUJ3VwClqi_qtULmmW3cLr0oe3OKaSYoKzdpTsYQ/edit?usp=sharing"",""นครนายก!J710"")+IMPORTRANGE(""https://docs.google.com/spreadsheets/d/1YTZo6WM2dQ6Ix6FSdnL"&amp;"5P7uVnVKu40sxZu975tgG10E/edit?usp=sharing"",""นครปฐม!J710"")+IMPORTRANGE(""https://docs.google.com/spreadsheets/d/1OYoGg4WDg5RIzwGeB10padOxJF9E_Vljuvvct_M7RDo/edit?usp=sharing"",""ปทุมธานี!J710"")+IMPORTRANGE(""https://docs.google.com/spreadsheets/d/1GbCI"&amp;"E4D4wk9FUozzqk7SxfDMxDVBwVmI5zcaVUSzKAc/edit?usp=sharing"",""ประจวบคีรีขันธ์!J710"")+IMPORTRANGE(""https://docs.google.com/spreadsheets/d/1vVf6wykvW_lAyu7Yo9L4hUTqHqIeP_qcVuxCtosJEbg/edit?usp=sharing"",""ปราจีนบุรี!J710"")+IMPORTRANGE(""https://docs.googl"&amp;"e.com/spreadsheets/d/1BIDqLLg5jk3v59G8NlR8rk5xfQDKne0sAvZHSj7TI6I/edit?usp=sharing"",""พระนครศรีอยุธยา!J710"")+IMPORTRANGE(""https://docs.google.com/spreadsheets/d/1YXvxf8Yu6_rV4hTBrwMqAcAnv6DfhUxh5emyM3CJp_w/edit?usp=sharing"",""เพชรบุรี!J710"")+IMPORTRA"&amp;"NGE(""https://docs.google.com/spreadsheets/d/19KBlQQs7uwvsao6t2n-KvW3Ax8J8uRRfZPq1zPbXgKc/edit?usp=sharing"",""ระยอง!J710"")+IMPORTRANGE(""https://docs.google.com/spreadsheets/d/1jQ6P4QcrGM89YfqcC_PxOHGCMq5ezhucwJd8ci-NHng/edit?usp=sharing"",""ราชบุรี!J71"&amp;"0"")+IMPORTRANGE(""https://docs.google.com/spreadsheets/d/1lufeA2cfFqM-elVq2hznhDzC6Pr7wkJ9ZG_sYNGCMCU/edit?usp=sharing"",""ลพบุรี!J710"")+IMPORTRANGE(""https://docs.google.com/spreadsheets/d/10oOiF7loTyfsTkbd4MpaIm0HQ9SwB7IYHdIUvt-U1Uc/edit?usp=sharing"""&amp;",""สระแก้ว!J710"")+IMPORTRANGE(""https://docs.google.com/spreadsheets/d/1xmPlrr1QbdSIKvl1dWUl9K4PjAfSL9oeMr_37QVzcxc/edit?usp=sharing"",""สระบุรี!J710"")+IMPORTRANGE(""https://docs.google.com/spreadsheets/d/1j51vR6CYVGhABJpv6tkstgok82RLpXieLzW1yOY5rHw/edi"&amp;"t?usp=sharing"",""สิงห์บุรี!J710"")+IMPORTRANGE(""https://docs.google.com/spreadsheets/d/1H1EalTWKUSzO4Z1-1CwzoDUaVffgrThEBe2sl74kKG0/edit?usp=sharing"",""สุพรรณบุรี!J710"")+IMPORTRANGE(""https://docs.google.com/spreadsheets/d/1BmIruG_sIrJLYao_Pdr7zVArWsf"&amp;"oBt2692TMi6x_854/edit?usp=sharing"",""อ่างทอง!J710"")"),0)</f>
        <v>0</v>
      </c>
      <c r="K711" s="74">
        <f t="shared" si="478"/>
        <v>0</v>
      </c>
      <c r="L711" s="87"/>
      <c r="M711" s="87"/>
      <c r="N711" s="87"/>
      <c r="O711" s="87"/>
      <c r="P711" s="87"/>
      <c r="Q711" s="86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1"/>
      <c r="M712" s="601"/>
      <c r="N712" s="601"/>
      <c r="O712" s="601"/>
      <c r="P712" s="601"/>
      <c r="Q712" s="602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73">
        <f>J725</f>
        <v>0</v>
      </c>
      <c r="K713" s="774">
        <f>IF(I713&gt;0,J713*100/I713,0)</f>
        <v>0</v>
      </c>
      <c r="L713" s="733"/>
      <c r="M713" s="733"/>
      <c r="N713" s="733"/>
      <c r="O713" s="733"/>
      <c r="P713" s="733"/>
      <c r="Q713" s="734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3"/>
      <c r="M714" s="733"/>
      <c r="N714" s="733"/>
      <c r="O714" s="733"/>
      <c r="P714" s="733"/>
      <c r="Q714" s="734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45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264">
        <f t="shared" ref="L715:N715" ca="1" si="480">L716+L717</f>
        <v>0</v>
      </c>
      <c r="M715" s="264">
        <f t="shared" ca="1" si="480"/>
        <v>0</v>
      </c>
      <c r="N715" s="264">
        <f t="shared" ca="1" si="480"/>
        <v>0</v>
      </c>
      <c r="O715" s="264">
        <f t="shared" ref="O715:O723" ca="1" si="481">IF(L715&gt;0,N715*100/L715,0)</f>
        <v>0</v>
      </c>
      <c r="P715" s="264">
        <f t="shared" ref="P715:P723" ca="1" si="482">IF(M715&gt;0,N715*100/M715,0)</f>
        <v>0</v>
      </c>
      <c r="Q715" s="214">
        <f t="shared" ref="Q715:S715" ca="1" si="483">Q716+Q717</f>
        <v>0</v>
      </c>
      <c r="R715" s="215">
        <f t="shared" ca="1" si="483"/>
        <v>0</v>
      </c>
      <c r="S715" s="215">
        <f t="shared" ca="1" si="483"/>
        <v>0</v>
      </c>
      <c r="T715" s="215">
        <f t="shared" ref="T715:T723" ca="1" si="484">IF(Q715&gt;0,S715*100/Q715,0)</f>
        <v>0</v>
      </c>
      <c r="U715" s="215">
        <f t="shared" ref="U715:U723" ca="1" si="485">IF(R715&gt;0,S715*100/R715,0)</f>
        <v>0</v>
      </c>
    </row>
    <row r="716" spans="1:21" ht="18.75" hidden="1" x14ac:dyDescent="0.25">
      <c r="A716" s="257"/>
      <c r="B716" s="269"/>
      <c r="C716" s="269"/>
      <c r="D716" s="290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7">
        <f t="shared" ref="L716:N716" ca="1" si="486">L719+L722</f>
        <v>0</v>
      </c>
      <c r="M716" s="77">
        <f t="shared" ca="1" si="486"/>
        <v>0</v>
      </c>
      <c r="N716" s="77">
        <f t="shared" ca="1" si="486"/>
        <v>0</v>
      </c>
      <c r="O716" s="77">
        <f t="shared" ca="1" si="481"/>
        <v>0</v>
      </c>
      <c r="P716" s="77">
        <f t="shared" ca="1" si="482"/>
        <v>0</v>
      </c>
      <c r="Q716" s="217">
        <f t="shared" ref="Q716:S716" ca="1" si="487">Q719+Q722</f>
        <v>0</v>
      </c>
      <c r="R716" s="133">
        <f t="shared" ca="1" si="487"/>
        <v>0</v>
      </c>
      <c r="S716" s="133">
        <f t="shared" ca="1" si="487"/>
        <v>0</v>
      </c>
      <c r="T716" s="133">
        <f t="shared" ca="1" si="484"/>
        <v>0</v>
      </c>
      <c r="U716" s="133">
        <f t="shared" ca="1" si="485"/>
        <v>0</v>
      </c>
    </row>
    <row r="717" spans="1:21" ht="18.75" hidden="1" x14ac:dyDescent="0.25">
      <c r="A717" s="257"/>
      <c r="B717" s="269"/>
      <c r="C717" s="269"/>
      <c r="D717" s="290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4">
        <f t="shared" ref="L717:N717" ca="1" si="488">L720+L723</f>
        <v>0</v>
      </c>
      <c r="M717" s="74">
        <f t="shared" ca="1" si="488"/>
        <v>0</v>
      </c>
      <c r="N717" s="74">
        <f t="shared" ca="1" si="488"/>
        <v>0</v>
      </c>
      <c r="O717" s="74">
        <f t="shared" ca="1" si="481"/>
        <v>0</v>
      </c>
      <c r="P717" s="74">
        <f t="shared" ca="1" si="482"/>
        <v>0</v>
      </c>
      <c r="Q717" s="131">
        <f t="shared" ref="Q717:S717" ca="1" si="489">Q720+Q723</f>
        <v>0</v>
      </c>
      <c r="R717" s="132">
        <f t="shared" ca="1" si="489"/>
        <v>0</v>
      </c>
      <c r="S717" s="132">
        <f t="shared" ca="1" si="489"/>
        <v>0</v>
      </c>
      <c r="T717" s="132">
        <f t="shared" ca="1" si="484"/>
        <v>0</v>
      </c>
      <c r="U717" s="132">
        <f t="shared" ca="1" si="485"/>
        <v>0</v>
      </c>
    </row>
    <row r="718" spans="1:21" ht="19.5" hidden="1" x14ac:dyDescent="0.3">
      <c r="A718" s="257"/>
      <c r="B718" s="269"/>
      <c r="C718" s="269"/>
      <c r="D718" s="70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4">
        <f t="shared" ref="L718:N718" ca="1" si="490">L719+L720</f>
        <v>0</v>
      </c>
      <c r="M718" s="74">
        <f t="shared" ca="1" si="490"/>
        <v>0</v>
      </c>
      <c r="N718" s="74">
        <f t="shared" ca="1" si="490"/>
        <v>0</v>
      </c>
      <c r="O718" s="74">
        <f t="shared" ca="1" si="481"/>
        <v>0</v>
      </c>
      <c r="P718" s="74">
        <f t="shared" ca="1" si="482"/>
        <v>0</v>
      </c>
      <c r="Q718" s="131">
        <f t="shared" ref="Q718:S718" ca="1" si="491">Q719+Q720</f>
        <v>0</v>
      </c>
      <c r="R718" s="132">
        <f t="shared" ca="1" si="491"/>
        <v>0</v>
      </c>
      <c r="S718" s="132">
        <f t="shared" ca="1" si="491"/>
        <v>0</v>
      </c>
      <c r="T718" s="132">
        <f t="shared" ca="1" si="484"/>
        <v>0</v>
      </c>
      <c r="U718" s="132">
        <f t="shared" ca="1" si="485"/>
        <v>0</v>
      </c>
    </row>
    <row r="719" spans="1:21" ht="18.75" hidden="1" x14ac:dyDescent="0.25">
      <c r="A719" s="257"/>
      <c r="B719" s="269"/>
      <c r="C719" s="269"/>
      <c r="D719" s="290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7">
        <f ca="1">IFERROR(__xludf.DUMMYFUNCTION("IMPORTRANGE(""https://docs.google.com/spreadsheets/d/13wPX838HrBrQMCywv1BsuMkt4PEKTChp52zj44s2izQ/edit?usp=sharing"",""กาญจนบุรี!L718"")+IMPORTRANGE(""https://docs.google.com/spreadsheets/d/1ddFKvqj1W1NEiWytbGlB1zMx_ykJDVtmfEQ-6-lIUBA/edit?usp=sharing"","&amp;"""จันทบุรี!L718"")+IMPORTRANGE(""https://docs.google.com/spreadsheets/d/1T1PQvRODqOBZk8BRht_U031fIS1beLA0Ub2CEytj2q0/edit?usp=sharing"",""ฉะเชิงเทรา!L718"")+IMPORTRANGE(""https://docs.google.com/spreadsheets/d/11tr1B-Bhyr79v2bkwVh5h_fR-PStkgjlZtkrZpYurG0/"&amp;"edit?usp=sharing"",""ชลบุรี!L718"")+IMPORTRANGE(""https://docs.google.com/spreadsheets/d/1hh-FVnSX0vozXhGluamEcS54Dw9_zqW0N7qJUWgJ0Sw/edit?usp=sharing"",""ชัยนาท!L718"")+IMPORTRANGE(""https://docs.google.com/spreadsheets/d/1jkqa6GXxSacMcY1eN8AHjMNJ_7dDXMJ"&amp;"VRLDlaFSOdPM/edit?usp=sharing"",""ตราด!L718"")+IMPORTRANGE(""https://docs.google.com/spreadsheets/d/18hSgUJ3VwClqi_qtULmmW3cLr0oe3OKaSYoKzdpTsYQ/edit?usp=sharing"",""นครนายก!L718"")+IMPORTRANGE(""https://docs.google.com/spreadsheets/d/1YTZo6WM2dQ6Ix6FSdnL"&amp;"5P7uVnVKu40sxZu975tgG10E/edit?usp=sharing"",""นครปฐม!L718"")+IMPORTRANGE(""https://docs.google.com/spreadsheets/d/1OYoGg4WDg5RIzwGeB10padOxJF9E_Vljuvvct_M7RDo/edit?usp=sharing"",""ปทุมธานี!L718"")+IMPORTRANGE(""https://docs.google.com/spreadsheets/d/1GbCI"&amp;"E4D4wk9FUozzqk7SxfDMxDVBwVmI5zcaVUSzKAc/edit?usp=sharing"",""ประจวบคีรีขันธ์!L718"")+IMPORTRANGE(""https://docs.google.com/spreadsheets/d/1vVf6wykvW_lAyu7Yo9L4hUTqHqIeP_qcVuxCtosJEbg/edit?usp=sharing"",""ปราจีนบุรี!L718"")+IMPORTRANGE(""https://docs.googl"&amp;"e.com/spreadsheets/d/1BIDqLLg5jk3v59G8NlR8rk5xfQDKne0sAvZHSj7TI6I/edit?usp=sharing"",""พระนครศรีอยุธยา!L718"")+IMPORTRANGE(""https://docs.google.com/spreadsheets/d/1YXvxf8Yu6_rV4hTBrwMqAcAnv6DfhUxh5emyM3CJp_w/edit?usp=sharing"",""เพชรบุรี!L718"")+IMPORTRA"&amp;"NGE(""https://docs.google.com/spreadsheets/d/19KBlQQs7uwvsao6t2n-KvW3Ax8J8uRRfZPq1zPbXgKc/edit?usp=sharing"",""ระยอง!L718"")+IMPORTRANGE(""https://docs.google.com/spreadsheets/d/1jQ6P4QcrGM89YfqcC_PxOHGCMq5ezhucwJd8ci-NHng/edit?usp=sharing"",""ราชบุรี!L71"&amp;"8"")+IMPORTRANGE(""https://docs.google.com/spreadsheets/d/1lufeA2cfFqM-elVq2hznhDzC6Pr7wkJ9ZG_sYNGCMCU/edit?usp=sharing"",""ลพบุรี!L718"")+IMPORTRANGE(""https://docs.google.com/spreadsheets/d/10oOiF7loTyfsTkbd4MpaIm0HQ9SwB7IYHdIUvt-U1Uc/edit?usp=sharing"""&amp;",""สระแก้ว!L718"")+IMPORTRANGE(""https://docs.google.com/spreadsheets/d/1xmPlrr1QbdSIKvl1dWUl9K4PjAfSL9oeMr_37QVzcxc/edit?usp=sharing"",""สระบุรี!L718"")+IMPORTRANGE(""https://docs.google.com/spreadsheets/d/1j51vR6CYVGhABJpv6tkstgok82RLpXieLzW1yOY5rHw/edi"&amp;"t?usp=sharing"",""สิงห์บุรี!L718"")+IMPORTRANGE(""https://docs.google.com/spreadsheets/d/1H1EalTWKUSzO4Z1-1CwzoDUaVffgrThEBe2sl74kKG0/edit?usp=sharing"",""สุพรรณบุรี!L718"")+IMPORTRANGE(""https://docs.google.com/spreadsheets/d/1BmIruG_sIrJLYao_Pdr7zVArWsf"&amp;"oBt2692TMi6x_854/edit?usp=sharing"",""อ่างทอง!L718"")"),0)</f>
        <v>0</v>
      </c>
      <c r="M719" s="77">
        <f ca="1">IFERROR(__xludf.DUMMYFUNCTION("IMPORTRANGE(""https://docs.google.com/spreadsheets/d/13wPX838HrBrQMCywv1BsuMkt4PEKTChp52zj44s2izQ/edit?usp=sharing"",""กาญจนบุรี!M718"")+IMPORTRANGE(""https://docs.google.com/spreadsheets/d/1ddFKvqj1W1NEiWytbGlB1zMx_ykJDVtmfEQ-6-lIUBA/edit?usp=sharing"","&amp;"""จันทบุรี!M718"")+IMPORTRANGE(""https://docs.google.com/spreadsheets/d/1T1PQvRODqOBZk8BRht_U031fIS1beLA0Ub2CEytj2q0/edit?usp=sharing"",""ฉะเชิงเทรา!M718"")+IMPORTRANGE(""https://docs.google.com/spreadsheets/d/11tr1B-Bhyr79v2bkwVh5h_fR-PStkgjlZtkrZpYurG0/"&amp;"edit?usp=sharing"",""ชลบุรี!M718"")+IMPORTRANGE(""https://docs.google.com/spreadsheets/d/1hh-FVnSX0vozXhGluamEcS54Dw9_zqW0N7qJUWgJ0Sw/edit?usp=sharing"",""ชัยนาท!M718"")+IMPORTRANGE(""https://docs.google.com/spreadsheets/d/1jkqa6GXxSacMcY1eN8AHjMNJ_7dDXMJ"&amp;"VRLDlaFSOdPM/edit?usp=sharing"",""ตราด!M718"")+IMPORTRANGE(""https://docs.google.com/spreadsheets/d/18hSgUJ3VwClqi_qtULmmW3cLr0oe3OKaSYoKzdpTsYQ/edit?usp=sharing"",""นครนายก!M718"")+IMPORTRANGE(""https://docs.google.com/spreadsheets/d/1YTZo6WM2dQ6Ix6FSdnL"&amp;"5P7uVnVKu40sxZu975tgG10E/edit?usp=sharing"",""นครปฐม!M718"")+IMPORTRANGE(""https://docs.google.com/spreadsheets/d/1OYoGg4WDg5RIzwGeB10padOxJF9E_Vljuvvct_M7RDo/edit?usp=sharing"",""ปทุมธานี!M718"")+IMPORTRANGE(""https://docs.google.com/spreadsheets/d/1GbCI"&amp;"E4D4wk9FUozzqk7SxfDMxDVBwVmI5zcaVUSzKAc/edit?usp=sharing"",""ประจวบคีรีขันธ์!M718"")+IMPORTRANGE(""https://docs.google.com/spreadsheets/d/1vVf6wykvW_lAyu7Yo9L4hUTqHqIeP_qcVuxCtosJEbg/edit?usp=sharing"",""ปราจีนบุรี!M718"")+IMPORTRANGE(""https://docs.googl"&amp;"e.com/spreadsheets/d/1BIDqLLg5jk3v59G8NlR8rk5xfQDKne0sAvZHSj7TI6I/edit?usp=sharing"",""พระนครศรีอยุธยา!M718"")+IMPORTRANGE(""https://docs.google.com/spreadsheets/d/1YXvxf8Yu6_rV4hTBrwMqAcAnv6DfhUxh5emyM3CJp_w/edit?usp=sharing"",""เพชรบุรี!M718"")+IMPORTRA"&amp;"NGE(""https://docs.google.com/spreadsheets/d/19KBlQQs7uwvsao6t2n-KvW3Ax8J8uRRfZPq1zPbXgKc/edit?usp=sharing"",""ระยอง!M718"")+IMPORTRANGE(""https://docs.google.com/spreadsheets/d/1jQ6P4QcrGM89YfqcC_PxOHGCMq5ezhucwJd8ci-NHng/edit?usp=sharing"",""ราชบุรี!M71"&amp;"8"")+IMPORTRANGE(""https://docs.google.com/spreadsheets/d/1lufeA2cfFqM-elVq2hznhDzC6Pr7wkJ9ZG_sYNGCMCU/edit?usp=sharing"",""ลพบุรี!M718"")+IMPORTRANGE(""https://docs.google.com/spreadsheets/d/10oOiF7loTyfsTkbd4MpaIm0HQ9SwB7IYHdIUvt-U1Uc/edit?usp=sharing"""&amp;",""สระแก้ว!M718"")+IMPORTRANGE(""https://docs.google.com/spreadsheets/d/1xmPlrr1QbdSIKvl1dWUl9K4PjAfSL9oeMr_37QVzcxc/edit?usp=sharing"",""สระบุรี!M718"")+IMPORTRANGE(""https://docs.google.com/spreadsheets/d/1j51vR6CYVGhABJpv6tkstgok82RLpXieLzW1yOY5rHw/edi"&amp;"t?usp=sharing"",""สิงห์บุรี!M718"")+IMPORTRANGE(""https://docs.google.com/spreadsheets/d/1H1EalTWKUSzO4Z1-1CwzoDUaVffgrThEBe2sl74kKG0/edit?usp=sharing"",""สุพรรณบุรี!M718"")+IMPORTRANGE(""https://docs.google.com/spreadsheets/d/1BmIruG_sIrJLYao_Pdr7zVArWsf"&amp;"oBt2692TMi6x_854/edit?usp=sharing"",""อ่างทอง!M718"")"),0)</f>
        <v>0</v>
      </c>
      <c r="N719" s="77">
        <f ca="1">IFERROR(__xludf.DUMMYFUNCTION("IMPORTRANGE(""https://docs.google.com/spreadsheets/d/13wPX838HrBrQMCywv1BsuMkt4PEKTChp52zj44s2izQ/edit?usp=sharing"",""กาญจนบุรี!N718"")+IMPORTRANGE(""https://docs.google.com/spreadsheets/d/1ddFKvqj1W1NEiWytbGlB1zMx_ykJDVtmfEQ-6-lIUBA/edit?usp=sharing"","&amp;"""จันทบุรี!N718"")+IMPORTRANGE(""https://docs.google.com/spreadsheets/d/1T1PQvRODqOBZk8BRht_U031fIS1beLA0Ub2CEytj2q0/edit?usp=sharing"",""ฉะเชิงเทรา!N718"")+IMPORTRANGE(""https://docs.google.com/spreadsheets/d/11tr1B-Bhyr79v2bkwVh5h_fR-PStkgjlZtkrZpYurG0/"&amp;"edit?usp=sharing"",""ชลบุรี!N718"")+IMPORTRANGE(""https://docs.google.com/spreadsheets/d/1hh-FVnSX0vozXhGluamEcS54Dw9_zqW0N7qJUWgJ0Sw/edit?usp=sharing"",""ชัยนาท!N718"")+IMPORTRANGE(""https://docs.google.com/spreadsheets/d/1jkqa6GXxSacMcY1eN8AHjMNJ_7dDXMJ"&amp;"VRLDlaFSOdPM/edit?usp=sharing"",""ตราด!N718"")+IMPORTRANGE(""https://docs.google.com/spreadsheets/d/18hSgUJ3VwClqi_qtULmmW3cLr0oe3OKaSYoKzdpTsYQ/edit?usp=sharing"",""นครนายก!N718"")+IMPORTRANGE(""https://docs.google.com/spreadsheets/d/1YTZo6WM2dQ6Ix6FSdnL"&amp;"5P7uVnVKu40sxZu975tgG10E/edit?usp=sharing"",""นครปฐม!N718"")+IMPORTRANGE(""https://docs.google.com/spreadsheets/d/1OYoGg4WDg5RIzwGeB10padOxJF9E_Vljuvvct_M7RDo/edit?usp=sharing"",""ปทุมธานี!N718"")+IMPORTRANGE(""https://docs.google.com/spreadsheets/d/1GbCI"&amp;"E4D4wk9FUozzqk7SxfDMxDVBwVmI5zcaVUSzKAc/edit?usp=sharing"",""ประจวบคีรีขันธ์!N718"")+IMPORTRANGE(""https://docs.google.com/spreadsheets/d/1vVf6wykvW_lAyu7Yo9L4hUTqHqIeP_qcVuxCtosJEbg/edit?usp=sharing"",""ปราจีนบุรี!N718"")+IMPORTRANGE(""https://docs.googl"&amp;"e.com/spreadsheets/d/1BIDqLLg5jk3v59G8NlR8rk5xfQDKne0sAvZHSj7TI6I/edit?usp=sharing"",""พระนครศรีอยุธยา!N718"")+IMPORTRANGE(""https://docs.google.com/spreadsheets/d/1YXvxf8Yu6_rV4hTBrwMqAcAnv6DfhUxh5emyM3CJp_w/edit?usp=sharing"",""เพชรบุรี!N718"")+IMPORTRA"&amp;"NGE(""https://docs.google.com/spreadsheets/d/19KBlQQs7uwvsao6t2n-KvW3Ax8J8uRRfZPq1zPbXgKc/edit?usp=sharing"",""ระยอง!N718"")+IMPORTRANGE(""https://docs.google.com/spreadsheets/d/1jQ6P4QcrGM89YfqcC_PxOHGCMq5ezhucwJd8ci-NHng/edit?usp=sharing"",""ราชบุรี!N71"&amp;"8"")+IMPORTRANGE(""https://docs.google.com/spreadsheets/d/1lufeA2cfFqM-elVq2hznhDzC6Pr7wkJ9ZG_sYNGCMCU/edit?usp=sharing"",""ลพบุรี!N718"")+IMPORTRANGE(""https://docs.google.com/spreadsheets/d/10oOiF7loTyfsTkbd4MpaIm0HQ9SwB7IYHdIUvt-U1Uc/edit?usp=sharing"""&amp;",""สระแก้ว!N718"")+IMPORTRANGE(""https://docs.google.com/spreadsheets/d/1xmPlrr1QbdSIKvl1dWUl9K4PjAfSL9oeMr_37QVzcxc/edit?usp=sharing"",""สระบุรี!N718"")+IMPORTRANGE(""https://docs.google.com/spreadsheets/d/1j51vR6CYVGhABJpv6tkstgok82RLpXieLzW1yOY5rHw/edi"&amp;"t?usp=sharing"",""สิงห์บุรี!N718"")+IMPORTRANGE(""https://docs.google.com/spreadsheets/d/1H1EalTWKUSzO4Z1-1CwzoDUaVffgrThEBe2sl74kKG0/edit?usp=sharing"",""สุพรรณบุรี!N718"")+IMPORTRANGE(""https://docs.google.com/spreadsheets/d/1BmIruG_sIrJLYao_Pdr7zVArWsf"&amp;"oBt2692TMi6x_854/edit?usp=sharing"",""อ่างทอง!N718"")"),0)</f>
        <v>0</v>
      </c>
      <c r="O719" s="77">
        <f t="shared" ca="1" si="481"/>
        <v>0</v>
      </c>
      <c r="P719" s="77">
        <f t="shared" ca="1" si="482"/>
        <v>0</v>
      </c>
      <c r="Q719" s="76">
        <f ca="1">IFERROR(__xludf.DUMMYFUNCTION("IMPORTRANGE(""https://docs.google.com/spreadsheets/d/13wPX838HrBrQMCywv1BsuMkt4PEKTChp52zj44s2izQ/edit?usp=sharing"",""กาญจนบุรี!Q718"")+IMPORTRANGE(""https://docs.google.com/spreadsheets/d/1ddFKvqj1W1NEiWytbGlB1zMx_ykJDVtmfEQ-6-lIUBA/edit?usp=sharing"","&amp;"""จันทบุรี!Q718"")+IMPORTRANGE(""https://docs.google.com/spreadsheets/d/1T1PQvRODqOBZk8BRht_U031fIS1beLA0Ub2CEytj2q0/edit?usp=sharing"",""ฉะเชิงเทรา!Q718"")+IMPORTRANGE(""https://docs.google.com/spreadsheets/d/11tr1B-Bhyr79v2bkwVh5h_fR-PStkgjlZtkrZpYurG0/"&amp;"edit?usp=sharing"",""ชลบุรี!Q718"")+IMPORTRANGE(""https://docs.google.com/spreadsheets/d/1hh-FVnSX0vozXhGluamEcS54Dw9_zqW0N7qJUWgJ0Sw/edit?usp=sharing"",""ชัยนาท!Q718"")+IMPORTRANGE(""https://docs.google.com/spreadsheets/d/1jkqa6GXxSacMcY1eN8AHjMNJ_7dDXMJ"&amp;"VRLDlaFSOdPM/edit?usp=sharing"",""ตราด!Q718"")+IMPORTRANGE(""https://docs.google.com/spreadsheets/d/18hSgUJ3VwClqi_qtULmmW3cLr0oe3OKaSYoKzdpTsYQ/edit?usp=sharing"",""นครนายก!Q718"")+IMPORTRANGE(""https://docs.google.com/spreadsheets/d/1YTZo6WM2dQ6Ix6FSdnL"&amp;"5P7uVnVKu40sxZu975tgG10E/edit?usp=sharing"",""นครปฐม!Q718"")+IMPORTRANGE(""https://docs.google.com/spreadsheets/d/1OYoGg4WDg5RIzwGeB10padOxJF9E_Vljuvvct_M7RDo/edit?usp=sharing"",""ปทุมธานี!Q718"")+IMPORTRANGE(""https://docs.google.com/spreadsheets/d/1GbCI"&amp;"E4D4wk9FUozzqk7SxfDMxDVBwVmI5zcaVUSzKAc/edit?usp=sharing"",""ประจวบคีรีขันธ์!Q718"")+IMPORTRANGE(""https://docs.google.com/spreadsheets/d/1vVf6wykvW_lAyu7Yo9L4hUTqHqIeP_qcVuxCtosJEbg/edit?usp=sharing"",""ปราจีนบุรี!Q718"")+IMPORTRANGE(""https://docs.googl"&amp;"e.com/spreadsheets/d/1BIDqLLg5jk3v59G8NlR8rk5xfQDKne0sAvZHSj7TI6I/edit?usp=sharing"",""พระนครศรีอยุธยา!Q718"")+IMPORTRANGE(""https://docs.google.com/spreadsheets/d/1YXvxf8Yu6_rV4hTBrwMqAcAnv6DfhUxh5emyM3CJp_w/edit?usp=sharing"",""เพชรบุรี!Q718"")+IMPORTRA"&amp;"NGE(""https://docs.google.com/spreadsheets/d/19KBlQQs7uwvsao6t2n-KvW3Ax8J8uRRfZPq1zPbXgKc/edit?usp=sharing"",""ระยอง!Q718"")+IMPORTRANGE(""https://docs.google.com/spreadsheets/d/1jQ6P4QcrGM89YfqcC_PxOHGCMq5ezhucwJd8ci-NHng/edit?usp=sharing"",""ราชบุรี!Q71"&amp;"8"")+IMPORTRANGE(""https://docs.google.com/spreadsheets/d/1lufeA2cfFqM-elVq2hznhDzC6Pr7wkJ9ZG_sYNGCMCU/edit?usp=sharing"",""ลพบุรี!Q718"")+IMPORTRANGE(""https://docs.google.com/spreadsheets/d/10oOiF7loTyfsTkbd4MpaIm0HQ9SwB7IYHdIUvt-U1Uc/edit?usp=sharing"""&amp;",""สระแก้ว!Q718"")+IMPORTRANGE(""https://docs.google.com/spreadsheets/d/1xmPlrr1QbdSIKvl1dWUl9K4PjAfSL9oeMr_37QVzcxc/edit?usp=sharing"",""สระบุรี!Q718"")+IMPORTRANGE(""https://docs.google.com/spreadsheets/d/1j51vR6CYVGhABJpv6tkstgok82RLpXieLzW1yOY5rHw/edi"&amp;"t?usp=sharing"",""สิงห์บุรี!Q718"")+IMPORTRANGE(""https://docs.google.com/spreadsheets/d/1H1EalTWKUSzO4Z1-1CwzoDUaVffgrThEBe2sl74kKG0/edit?usp=sharing"",""สุพรรณบุรี!Q718"")+IMPORTRANGE(""https://docs.google.com/spreadsheets/d/1BmIruG_sIrJLYao_Pdr7zVArWsf"&amp;"oBt2692TMi6x_854/edit?usp=sharing"",""อ่างทอง!Q718"")"),0)</f>
        <v>0</v>
      </c>
      <c r="R719" s="77">
        <f ca="1">IFERROR(__xludf.DUMMYFUNCTION("IMPORTRANGE(""https://docs.google.com/spreadsheets/d/13wPX838HrBrQMCywv1BsuMkt4PEKTChp52zj44s2izQ/edit?usp=sharing"",""กาญจนบุรี!R718"")+IMPORTRANGE(""https://docs.google.com/spreadsheets/d/1ddFKvqj1W1NEiWytbGlB1zMx_ykJDVtmfEQ-6-lIUBA/edit?usp=sharing"","&amp;"""จันทบุรี!R718"")+IMPORTRANGE(""https://docs.google.com/spreadsheets/d/1T1PQvRODqOBZk8BRht_U031fIS1beLA0Ub2CEytj2q0/edit?usp=sharing"",""ฉะเชิงเทรา!R718"")+IMPORTRANGE(""https://docs.google.com/spreadsheets/d/11tr1B-Bhyr79v2bkwVh5h_fR-PStkgjlZtkrZpYurG0/"&amp;"edit?usp=sharing"",""ชลบุรี!R718"")+IMPORTRANGE(""https://docs.google.com/spreadsheets/d/1hh-FVnSX0vozXhGluamEcS54Dw9_zqW0N7qJUWgJ0Sw/edit?usp=sharing"",""ชัยนาท!R718"")+IMPORTRANGE(""https://docs.google.com/spreadsheets/d/1jkqa6GXxSacMcY1eN8AHjMNJ_7dDXMJ"&amp;"VRLDlaFSOdPM/edit?usp=sharing"",""ตราด!R718"")+IMPORTRANGE(""https://docs.google.com/spreadsheets/d/18hSgUJ3VwClqi_qtULmmW3cLr0oe3OKaSYoKzdpTsYQ/edit?usp=sharing"",""นครนายก!R718"")+IMPORTRANGE(""https://docs.google.com/spreadsheets/d/1YTZo6WM2dQ6Ix6FSdnL"&amp;"5P7uVnVKu40sxZu975tgG10E/edit?usp=sharing"",""นครปฐม!R718"")+IMPORTRANGE(""https://docs.google.com/spreadsheets/d/1OYoGg4WDg5RIzwGeB10padOxJF9E_Vljuvvct_M7RDo/edit?usp=sharing"",""ปทุมธานี!R718"")+IMPORTRANGE(""https://docs.google.com/spreadsheets/d/1GbCI"&amp;"E4D4wk9FUozzqk7SxfDMxDVBwVmI5zcaVUSzKAc/edit?usp=sharing"",""ประจวบคีรีขันธ์!R718"")+IMPORTRANGE(""https://docs.google.com/spreadsheets/d/1vVf6wykvW_lAyu7Yo9L4hUTqHqIeP_qcVuxCtosJEbg/edit?usp=sharing"",""ปราจีนบุรี!R718"")+IMPORTRANGE(""https://docs.googl"&amp;"e.com/spreadsheets/d/1BIDqLLg5jk3v59G8NlR8rk5xfQDKne0sAvZHSj7TI6I/edit?usp=sharing"",""พระนครศรีอยุธยา!R718"")+IMPORTRANGE(""https://docs.google.com/spreadsheets/d/1YXvxf8Yu6_rV4hTBrwMqAcAnv6DfhUxh5emyM3CJp_w/edit?usp=sharing"",""เพชรบุรี!R718"")+IMPORTRA"&amp;"NGE(""https://docs.google.com/spreadsheets/d/19KBlQQs7uwvsao6t2n-KvW3Ax8J8uRRfZPq1zPbXgKc/edit?usp=sharing"",""ระยอง!R718"")+IMPORTRANGE(""https://docs.google.com/spreadsheets/d/1jQ6P4QcrGM89YfqcC_PxOHGCMq5ezhucwJd8ci-NHng/edit?usp=sharing"",""ราชบุรี!R71"&amp;"8"")+IMPORTRANGE(""https://docs.google.com/spreadsheets/d/1lufeA2cfFqM-elVq2hznhDzC6Pr7wkJ9ZG_sYNGCMCU/edit?usp=sharing"",""ลพบุรี!R718"")+IMPORTRANGE(""https://docs.google.com/spreadsheets/d/10oOiF7loTyfsTkbd4MpaIm0HQ9SwB7IYHdIUvt-U1Uc/edit?usp=sharing"""&amp;",""สระแก้ว!R718"")+IMPORTRANGE(""https://docs.google.com/spreadsheets/d/1xmPlrr1QbdSIKvl1dWUl9K4PjAfSL9oeMr_37QVzcxc/edit?usp=sharing"",""สระบุรี!R718"")+IMPORTRANGE(""https://docs.google.com/spreadsheets/d/1j51vR6CYVGhABJpv6tkstgok82RLpXieLzW1yOY5rHw/edi"&amp;"t?usp=sharing"",""สิงห์บุรี!R718"")+IMPORTRANGE(""https://docs.google.com/spreadsheets/d/1H1EalTWKUSzO4Z1-1CwzoDUaVffgrThEBe2sl74kKG0/edit?usp=sharing"",""สุพรรณบุรี!R718"")+IMPORTRANGE(""https://docs.google.com/spreadsheets/d/1BmIruG_sIrJLYao_Pdr7zVArWsf"&amp;"oBt2692TMi6x_854/edit?usp=sharing"",""อ่างทอง!R718"")"),0)</f>
        <v>0</v>
      </c>
      <c r="S719" s="77">
        <f ca="1">IFERROR(__xludf.DUMMYFUNCTION("IMPORTRANGE(""https://docs.google.com/spreadsheets/d/13wPX838HrBrQMCywv1BsuMkt4PEKTChp52zj44s2izQ/edit?usp=sharing"",""กาญจนบุรี!S718"")+IMPORTRANGE(""https://docs.google.com/spreadsheets/d/1ddFKvqj1W1NEiWytbGlB1zMx_ykJDVtmfEQ-6-lIUBA/edit?usp=sharing"","&amp;"""จันทบุรี!S718"")+IMPORTRANGE(""https://docs.google.com/spreadsheets/d/1T1PQvRODqOBZk8BRht_U031fIS1beLA0Ub2CEytj2q0/edit?usp=sharing"",""ฉะเชิงเทรา!S718"")+IMPORTRANGE(""https://docs.google.com/spreadsheets/d/11tr1B-Bhyr79v2bkwVh5h_fR-PStkgjlZtkrZpYurG0/"&amp;"edit?usp=sharing"",""ชลบุรี!S718"")+IMPORTRANGE(""https://docs.google.com/spreadsheets/d/1hh-FVnSX0vozXhGluamEcS54Dw9_zqW0N7qJUWgJ0Sw/edit?usp=sharing"",""ชัยนาท!S718"")+IMPORTRANGE(""https://docs.google.com/spreadsheets/d/1jkqa6GXxSacMcY1eN8AHjMNJ_7dDXMJ"&amp;"VRLDlaFSOdPM/edit?usp=sharing"",""ตราด!S718"")+IMPORTRANGE(""https://docs.google.com/spreadsheets/d/18hSgUJ3VwClqi_qtULmmW3cLr0oe3OKaSYoKzdpTsYQ/edit?usp=sharing"",""นครนายก!S718"")+IMPORTRANGE(""https://docs.google.com/spreadsheets/d/1YTZo6WM2dQ6Ix6FSdnL"&amp;"5P7uVnVKu40sxZu975tgG10E/edit?usp=sharing"",""นครปฐม!S718"")+IMPORTRANGE(""https://docs.google.com/spreadsheets/d/1OYoGg4WDg5RIzwGeB10padOxJF9E_Vljuvvct_M7RDo/edit?usp=sharing"",""ปทุมธานี!S718"")+IMPORTRANGE(""https://docs.google.com/spreadsheets/d/1GbCI"&amp;"E4D4wk9FUozzqk7SxfDMxDVBwVmI5zcaVUSzKAc/edit?usp=sharing"",""ประจวบคีรีขันธ์!S718"")+IMPORTRANGE(""https://docs.google.com/spreadsheets/d/1vVf6wykvW_lAyu7Yo9L4hUTqHqIeP_qcVuxCtosJEbg/edit?usp=sharing"",""ปราจีนบุรี!S718"")+IMPORTRANGE(""https://docs.googl"&amp;"e.com/spreadsheets/d/1BIDqLLg5jk3v59G8NlR8rk5xfQDKne0sAvZHSj7TI6I/edit?usp=sharing"",""พระนครศรีอยุธยา!S718"")+IMPORTRANGE(""https://docs.google.com/spreadsheets/d/1YXvxf8Yu6_rV4hTBrwMqAcAnv6DfhUxh5emyM3CJp_w/edit?usp=sharing"",""เพชรบุรี!S718"")+IMPORTRA"&amp;"NGE(""https://docs.google.com/spreadsheets/d/19KBlQQs7uwvsao6t2n-KvW3Ax8J8uRRfZPq1zPbXgKc/edit?usp=sharing"",""ระยอง!S718"")+IMPORTRANGE(""https://docs.google.com/spreadsheets/d/1jQ6P4QcrGM89YfqcC_PxOHGCMq5ezhucwJd8ci-NHng/edit?usp=sharing"",""ราชบุรี!S71"&amp;"8"")+IMPORTRANGE(""https://docs.google.com/spreadsheets/d/1lufeA2cfFqM-elVq2hznhDzC6Pr7wkJ9ZG_sYNGCMCU/edit?usp=sharing"",""ลพบุรี!S718"")+IMPORTRANGE(""https://docs.google.com/spreadsheets/d/10oOiF7loTyfsTkbd4MpaIm0HQ9SwB7IYHdIUvt-U1Uc/edit?usp=sharing"""&amp;",""สระแก้ว!S718"")+IMPORTRANGE(""https://docs.google.com/spreadsheets/d/1xmPlrr1QbdSIKvl1dWUl9K4PjAfSL9oeMr_37QVzcxc/edit?usp=sharing"",""สระบุรี!S718"")+IMPORTRANGE(""https://docs.google.com/spreadsheets/d/1j51vR6CYVGhABJpv6tkstgok82RLpXieLzW1yOY5rHw/edi"&amp;"t?usp=sharing"",""สิงห์บุรี!S718"")+IMPORTRANGE(""https://docs.google.com/spreadsheets/d/1H1EalTWKUSzO4Z1-1CwzoDUaVffgrThEBe2sl74kKG0/edit?usp=sharing"",""สุพรรณบุรี!S718"")+IMPORTRANGE(""https://docs.google.com/spreadsheets/d/1BmIruG_sIrJLYao_Pdr7zVArWsf"&amp;"oBt2692TMi6x_854/edit?usp=sharing"",""อ่างทอง!S718"")"),0)</f>
        <v>0</v>
      </c>
      <c r="T719" s="133">
        <f t="shared" ca="1" si="484"/>
        <v>0</v>
      </c>
      <c r="U719" s="133">
        <f t="shared" ca="1" si="485"/>
        <v>0</v>
      </c>
    </row>
    <row r="720" spans="1:21" ht="18.75" hidden="1" x14ac:dyDescent="0.25">
      <c r="A720" s="257"/>
      <c r="B720" s="269"/>
      <c r="C720" s="269"/>
      <c r="D720" s="290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4">
        <f ca="1">IFERROR(__xludf.DUMMYFUNCTION("IMPORTRANGE(""https://docs.google.com/spreadsheets/d/13wPX838HrBrQMCywv1BsuMkt4PEKTChp52zj44s2izQ/edit?usp=sharing"",""กาญจนบุรี!L719"")+IMPORTRANGE(""https://docs.google.com/spreadsheets/d/1ddFKvqj1W1NEiWytbGlB1zMx_ykJDVtmfEQ-6-lIUBA/edit?usp=sharing"","&amp;"""จันทบุรี!L719"")+IMPORTRANGE(""https://docs.google.com/spreadsheets/d/1T1PQvRODqOBZk8BRht_U031fIS1beLA0Ub2CEytj2q0/edit?usp=sharing"",""ฉะเชิงเทรา!L719"")+IMPORTRANGE(""https://docs.google.com/spreadsheets/d/11tr1B-Bhyr79v2bkwVh5h_fR-PStkgjlZtkrZpYurG0/"&amp;"edit?usp=sharing"",""ชลบุรี!L719"")+IMPORTRANGE(""https://docs.google.com/spreadsheets/d/1hh-FVnSX0vozXhGluamEcS54Dw9_zqW0N7qJUWgJ0Sw/edit?usp=sharing"",""ชัยนาท!L719"")+IMPORTRANGE(""https://docs.google.com/spreadsheets/d/1jkqa6GXxSacMcY1eN8AHjMNJ_7dDXMJ"&amp;"VRLDlaFSOdPM/edit?usp=sharing"",""ตราด!L719"")+IMPORTRANGE(""https://docs.google.com/spreadsheets/d/18hSgUJ3VwClqi_qtULmmW3cLr0oe3OKaSYoKzdpTsYQ/edit?usp=sharing"",""นครนายก!L719"")+IMPORTRANGE(""https://docs.google.com/spreadsheets/d/1YTZo6WM2dQ6Ix6FSdnL"&amp;"5P7uVnVKu40sxZu975tgG10E/edit?usp=sharing"",""นครปฐม!L719"")+IMPORTRANGE(""https://docs.google.com/spreadsheets/d/1OYoGg4WDg5RIzwGeB10padOxJF9E_Vljuvvct_M7RDo/edit?usp=sharing"",""ปทุมธานี!L719"")+IMPORTRANGE(""https://docs.google.com/spreadsheets/d/1GbCI"&amp;"E4D4wk9FUozzqk7SxfDMxDVBwVmI5zcaVUSzKAc/edit?usp=sharing"",""ประจวบคีรีขันธ์!L719"")+IMPORTRANGE(""https://docs.google.com/spreadsheets/d/1vVf6wykvW_lAyu7Yo9L4hUTqHqIeP_qcVuxCtosJEbg/edit?usp=sharing"",""ปราจีนบุรี!L719"")+IMPORTRANGE(""https://docs.googl"&amp;"e.com/spreadsheets/d/1BIDqLLg5jk3v59G8NlR8rk5xfQDKne0sAvZHSj7TI6I/edit?usp=sharing"",""พระนครศรีอยุธยา!L719"")+IMPORTRANGE(""https://docs.google.com/spreadsheets/d/1YXvxf8Yu6_rV4hTBrwMqAcAnv6DfhUxh5emyM3CJp_w/edit?usp=sharing"",""เพชรบุรี!L719"")+IMPORTRA"&amp;"NGE(""https://docs.google.com/spreadsheets/d/19KBlQQs7uwvsao6t2n-KvW3Ax8J8uRRfZPq1zPbXgKc/edit?usp=sharing"",""ระยอง!L719"")+IMPORTRANGE(""https://docs.google.com/spreadsheets/d/1jQ6P4QcrGM89YfqcC_PxOHGCMq5ezhucwJd8ci-NHng/edit?usp=sharing"",""ราชบุรี!L71"&amp;"9"")+IMPORTRANGE(""https://docs.google.com/spreadsheets/d/1lufeA2cfFqM-elVq2hznhDzC6Pr7wkJ9ZG_sYNGCMCU/edit?usp=sharing"",""ลพบุรี!L719"")+IMPORTRANGE(""https://docs.google.com/spreadsheets/d/10oOiF7loTyfsTkbd4MpaIm0HQ9SwB7IYHdIUvt-U1Uc/edit?usp=sharing"""&amp;",""สระแก้ว!L719"")+IMPORTRANGE(""https://docs.google.com/spreadsheets/d/1xmPlrr1QbdSIKvl1dWUl9K4PjAfSL9oeMr_37QVzcxc/edit?usp=sharing"",""สระบุรี!L719"")+IMPORTRANGE(""https://docs.google.com/spreadsheets/d/1j51vR6CYVGhABJpv6tkstgok82RLpXieLzW1yOY5rHw/edi"&amp;"t?usp=sharing"",""สิงห์บุรี!L719"")+IMPORTRANGE(""https://docs.google.com/spreadsheets/d/1H1EalTWKUSzO4Z1-1CwzoDUaVffgrThEBe2sl74kKG0/edit?usp=sharing"",""สุพรรณบุรี!L719"")+IMPORTRANGE(""https://docs.google.com/spreadsheets/d/1BmIruG_sIrJLYao_Pdr7zVArWsf"&amp;"oBt2692TMi6x_854/edit?usp=sharing"",""อ่างทอง!L719"")"),0)</f>
        <v>0</v>
      </c>
      <c r="M720" s="74">
        <f ca="1">IFERROR(__xludf.DUMMYFUNCTION("IMPORTRANGE(""https://docs.google.com/spreadsheets/d/13wPX838HrBrQMCywv1BsuMkt4PEKTChp52zj44s2izQ/edit?usp=sharing"",""กาญจนบุรี!M719"")+IMPORTRANGE(""https://docs.google.com/spreadsheets/d/1ddFKvqj1W1NEiWytbGlB1zMx_ykJDVtmfEQ-6-lIUBA/edit?usp=sharing"","&amp;"""จันทบุรี!M719"")+IMPORTRANGE(""https://docs.google.com/spreadsheets/d/1T1PQvRODqOBZk8BRht_U031fIS1beLA0Ub2CEytj2q0/edit?usp=sharing"",""ฉะเชิงเทรา!M719"")+IMPORTRANGE(""https://docs.google.com/spreadsheets/d/11tr1B-Bhyr79v2bkwVh5h_fR-PStkgjlZtkrZpYurG0/"&amp;"edit?usp=sharing"",""ชลบุรี!M719"")+IMPORTRANGE(""https://docs.google.com/spreadsheets/d/1hh-FVnSX0vozXhGluamEcS54Dw9_zqW0N7qJUWgJ0Sw/edit?usp=sharing"",""ชัยนาท!M719"")+IMPORTRANGE(""https://docs.google.com/spreadsheets/d/1jkqa6GXxSacMcY1eN8AHjMNJ_7dDXMJ"&amp;"VRLDlaFSOdPM/edit?usp=sharing"",""ตราด!M719"")+IMPORTRANGE(""https://docs.google.com/spreadsheets/d/18hSgUJ3VwClqi_qtULmmW3cLr0oe3OKaSYoKzdpTsYQ/edit?usp=sharing"",""นครนายก!M719"")+IMPORTRANGE(""https://docs.google.com/spreadsheets/d/1YTZo6WM2dQ6Ix6FSdnL"&amp;"5P7uVnVKu40sxZu975tgG10E/edit?usp=sharing"",""นครปฐม!M719"")+IMPORTRANGE(""https://docs.google.com/spreadsheets/d/1OYoGg4WDg5RIzwGeB10padOxJF9E_Vljuvvct_M7RDo/edit?usp=sharing"",""ปทุมธานี!M719"")+IMPORTRANGE(""https://docs.google.com/spreadsheets/d/1GbCI"&amp;"E4D4wk9FUozzqk7SxfDMxDVBwVmI5zcaVUSzKAc/edit?usp=sharing"",""ประจวบคีรีขันธ์!M719"")+IMPORTRANGE(""https://docs.google.com/spreadsheets/d/1vVf6wykvW_lAyu7Yo9L4hUTqHqIeP_qcVuxCtosJEbg/edit?usp=sharing"",""ปราจีนบุรี!M719"")+IMPORTRANGE(""https://docs.googl"&amp;"e.com/spreadsheets/d/1BIDqLLg5jk3v59G8NlR8rk5xfQDKne0sAvZHSj7TI6I/edit?usp=sharing"",""พระนครศรีอยุธยา!M719"")+IMPORTRANGE(""https://docs.google.com/spreadsheets/d/1YXvxf8Yu6_rV4hTBrwMqAcAnv6DfhUxh5emyM3CJp_w/edit?usp=sharing"",""เพชรบุรี!M719"")+IMPORTRA"&amp;"NGE(""https://docs.google.com/spreadsheets/d/19KBlQQs7uwvsao6t2n-KvW3Ax8J8uRRfZPq1zPbXgKc/edit?usp=sharing"",""ระยอง!M719"")+IMPORTRANGE(""https://docs.google.com/spreadsheets/d/1jQ6P4QcrGM89YfqcC_PxOHGCMq5ezhucwJd8ci-NHng/edit?usp=sharing"",""ราชบุรี!M71"&amp;"9"")+IMPORTRANGE(""https://docs.google.com/spreadsheets/d/1lufeA2cfFqM-elVq2hznhDzC6Pr7wkJ9ZG_sYNGCMCU/edit?usp=sharing"",""ลพบุรี!M719"")+IMPORTRANGE(""https://docs.google.com/spreadsheets/d/10oOiF7loTyfsTkbd4MpaIm0HQ9SwB7IYHdIUvt-U1Uc/edit?usp=sharing"""&amp;",""สระแก้ว!M719"")+IMPORTRANGE(""https://docs.google.com/spreadsheets/d/1xmPlrr1QbdSIKvl1dWUl9K4PjAfSL9oeMr_37QVzcxc/edit?usp=sharing"",""สระบุรี!M719"")+IMPORTRANGE(""https://docs.google.com/spreadsheets/d/1j51vR6CYVGhABJpv6tkstgok82RLpXieLzW1yOY5rHw/edi"&amp;"t?usp=sharing"",""สิงห์บุรี!M719"")+IMPORTRANGE(""https://docs.google.com/spreadsheets/d/1H1EalTWKUSzO4Z1-1CwzoDUaVffgrThEBe2sl74kKG0/edit?usp=sharing"",""สุพรรณบุรี!M719"")+IMPORTRANGE(""https://docs.google.com/spreadsheets/d/1BmIruG_sIrJLYao_Pdr7zVArWsf"&amp;"oBt2692TMi6x_854/edit?usp=sharing"",""อ่างทอง!M719"")"),0)</f>
        <v>0</v>
      </c>
      <c r="N720" s="74">
        <f ca="1">IFERROR(__xludf.DUMMYFUNCTION("IMPORTRANGE(""https://docs.google.com/spreadsheets/d/13wPX838HrBrQMCywv1BsuMkt4PEKTChp52zj44s2izQ/edit?usp=sharing"",""กาญจนบุรี!N719"")+IMPORTRANGE(""https://docs.google.com/spreadsheets/d/1ddFKvqj1W1NEiWytbGlB1zMx_ykJDVtmfEQ-6-lIUBA/edit?usp=sharing"","&amp;"""จันทบุรี!N719"")+IMPORTRANGE(""https://docs.google.com/spreadsheets/d/1T1PQvRODqOBZk8BRht_U031fIS1beLA0Ub2CEytj2q0/edit?usp=sharing"",""ฉะเชิงเทรา!N719"")+IMPORTRANGE(""https://docs.google.com/spreadsheets/d/11tr1B-Bhyr79v2bkwVh5h_fR-PStkgjlZtkrZpYurG0/"&amp;"edit?usp=sharing"",""ชลบุรี!N719"")+IMPORTRANGE(""https://docs.google.com/spreadsheets/d/1hh-FVnSX0vozXhGluamEcS54Dw9_zqW0N7qJUWgJ0Sw/edit?usp=sharing"",""ชัยนาท!N719"")+IMPORTRANGE(""https://docs.google.com/spreadsheets/d/1jkqa6GXxSacMcY1eN8AHjMNJ_7dDXMJ"&amp;"VRLDlaFSOdPM/edit?usp=sharing"",""ตราด!N719"")+IMPORTRANGE(""https://docs.google.com/spreadsheets/d/18hSgUJ3VwClqi_qtULmmW3cLr0oe3OKaSYoKzdpTsYQ/edit?usp=sharing"",""นครนายก!N719"")+IMPORTRANGE(""https://docs.google.com/spreadsheets/d/1YTZo6WM2dQ6Ix6FSdnL"&amp;"5P7uVnVKu40sxZu975tgG10E/edit?usp=sharing"",""นครปฐม!N719"")+IMPORTRANGE(""https://docs.google.com/spreadsheets/d/1OYoGg4WDg5RIzwGeB10padOxJF9E_Vljuvvct_M7RDo/edit?usp=sharing"",""ปทุมธานี!N719"")+IMPORTRANGE(""https://docs.google.com/spreadsheets/d/1GbCI"&amp;"E4D4wk9FUozzqk7SxfDMxDVBwVmI5zcaVUSzKAc/edit?usp=sharing"",""ประจวบคีรีขันธ์!N719"")+IMPORTRANGE(""https://docs.google.com/spreadsheets/d/1vVf6wykvW_lAyu7Yo9L4hUTqHqIeP_qcVuxCtosJEbg/edit?usp=sharing"",""ปราจีนบุรี!N719"")+IMPORTRANGE(""https://docs.googl"&amp;"e.com/spreadsheets/d/1BIDqLLg5jk3v59G8NlR8rk5xfQDKne0sAvZHSj7TI6I/edit?usp=sharing"",""พระนครศรีอยุธยา!N719"")+IMPORTRANGE(""https://docs.google.com/spreadsheets/d/1YXvxf8Yu6_rV4hTBrwMqAcAnv6DfhUxh5emyM3CJp_w/edit?usp=sharing"",""เพชรบุรี!N719"")+IMPORTRA"&amp;"NGE(""https://docs.google.com/spreadsheets/d/19KBlQQs7uwvsao6t2n-KvW3Ax8J8uRRfZPq1zPbXgKc/edit?usp=sharing"",""ระยอง!N719"")+IMPORTRANGE(""https://docs.google.com/spreadsheets/d/1jQ6P4QcrGM89YfqcC_PxOHGCMq5ezhucwJd8ci-NHng/edit?usp=sharing"",""ราชบุรี!N71"&amp;"9"")+IMPORTRANGE(""https://docs.google.com/spreadsheets/d/1lufeA2cfFqM-elVq2hznhDzC6Pr7wkJ9ZG_sYNGCMCU/edit?usp=sharing"",""ลพบุรี!N719"")+IMPORTRANGE(""https://docs.google.com/spreadsheets/d/10oOiF7loTyfsTkbd4MpaIm0HQ9SwB7IYHdIUvt-U1Uc/edit?usp=sharing"""&amp;",""สระแก้ว!N719"")+IMPORTRANGE(""https://docs.google.com/spreadsheets/d/1xmPlrr1QbdSIKvl1dWUl9K4PjAfSL9oeMr_37QVzcxc/edit?usp=sharing"",""สระบุรี!N719"")+IMPORTRANGE(""https://docs.google.com/spreadsheets/d/1j51vR6CYVGhABJpv6tkstgok82RLpXieLzW1yOY5rHw/edi"&amp;"t?usp=sharing"",""สิงห์บุรี!N719"")+IMPORTRANGE(""https://docs.google.com/spreadsheets/d/1H1EalTWKUSzO4Z1-1CwzoDUaVffgrThEBe2sl74kKG0/edit?usp=sharing"",""สุพรรณบุรี!N719"")+IMPORTRANGE(""https://docs.google.com/spreadsheets/d/1BmIruG_sIrJLYao_Pdr7zVArWsf"&amp;"oBt2692TMi6x_854/edit?usp=sharing"",""อ่างทอง!N719"")"),0)</f>
        <v>0</v>
      </c>
      <c r="O720" s="74">
        <f t="shared" ca="1" si="481"/>
        <v>0</v>
      </c>
      <c r="P720" s="74">
        <f t="shared" ca="1" si="482"/>
        <v>0</v>
      </c>
      <c r="Q720" s="73">
        <f ca="1">IFERROR(__xludf.DUMMYFUNCTION("IMPORTRANGE(""https://docs.google.com/spreadsheets/d/13wPX838HrBrQMCywv1BsuMkt4PEKTChp52zj44s2izQ/edit?usp=sharing"",""กาญจนบุรี!Q719"")+IMPORTRANGE(""https://docs.google.com/spreadsheets/d/1ddFKvqj1W1NEiWytbGlB1zMx_ykJDVtmfEQ-6-lIUBA/edit?usp=sharing"","&amp;"""จันทบุรี!Q719"")+IMPORTRANGE(""https://docs.google.com/spreadsheets/d/1T1PQvRODqOBZk8BRht_U031fIS1beLA0Ub2CEytj2q0/edit?usp=sharing"",""ฉะเชิงเทรา!Q719"")+IMPORTRANGE(""https://docs.google.com/spreadsheets/d/11tr1B-Bhyr79v2bkwVh5h_fR-PStkgjlZtkrZpYurG0/"&amp;"edit?usp=sharing"",""ชลบุรี!Q719"")+IMPORTRANGE(""https://docs.google.com/spreadsheets/d/1hh-FVnSX0vozXhGluamEcS54Dw9_zqW0N7qJUWgJ0Sw/edit?usp=sharing"",""ชัยนาท!Q719"")+IMPORTRANGE(""https://docs.google.com/spreadsheets/d/1jkqa6GXxSacMcY1eN8AHjMNJ_7dDXMJ"&amp;"VRLDlaFSOdPM/edit?usp=sharing"",""ตราด!Q719"")+IMPORTRANGE(""https://docs.google.com/spreadsheets/d/18hSgUJ3VwClqi_qtULmmW3cLr0oe3OKaSYoKzdpTsYQ/edit?usp=sharing"",""นครนายก!Q719"")+IMPORTRANGE(""https://docs.google.com/spreadsheets/d/1YTZo6WM2dQ6Ix6FSdnL"&amp;"5P7uVnVKu40sxZu975tgG10E/edit?usp=sharing"",""นครปฐม!Q719"")+IMPORTRANGE(""https://docs.google.com/spreadsheets/d/1OYoGg4WDg5RIzwGeB10padOxJF9E_Vljuvvct_M7RDo/edit?usp=sharing"",""ปทุมธานี!Q719"")+IMPORTRANGE(""https://docs.google.com/spreadsheets/d/1GbCI"&amp;"E4D4wk9FUozzqk7SxfDMxDVBwVmI5zcaVUSzKAc/edit?usp=sharing"",""ประจวบคีรีขันธ์!Q719"")+IMPORTRANGE(""https://docs.google.com/spreadsheets/d/1vVf6wykvW_lAyu7Yo9L4hUTqHqIeP_qcVuxCtosJEbg/edit?usp=sharing"",""ปราจีนบุรี!Q719"")+IMPORTRANGE(""https://docs.googl"&amp;"e.com/spreadsheets/d/1BIDqLLg5jk3v59G8NlR8rk5xfQDKne0sAvZHSj7TI6I/edit?usp=sharing"",""พระนครศรีอยุธยา!Q719"")+IMPORTRANGE(""https://docs.google.com/spreadsheets/d/1YXvxf8Yu6_rV4hTBrwMqAcAnv6DfhUxh5emyM3CJp_w/edit?usp=sharing"",""เพชรบุรี!Q719"")+IMPORTRA"&amp;"NGE(""https://docs.google.com/spreadsheets/d/19KBlQQs7uwvsao6t2n-KvW3Ax8J8uRRfZPq1zPbXgKc/edit?usp=sharing"",""ระยอง!Q719"")+IMPORTRANGE(""https://docs.google.com/spreadsheets/d/1jQ6P4QcrGM89YfqcC_PxOHGCMq5ezhucwJd8ci-NHng/edit?usp=sharing"",""ราชบุรี!Q71"&amp;"9"")+IMPORTRANGE(""https://docs.google.com/spreadsheets/d/1lufeA2cfFqM-elVq2hznhDzC6Pr7wkJ9ZG_sYNGCMCU/edit?usp=sharing"",""ลพบุรี!Q719"")+IMPORTRANGE(""https://docs.google.com/spreadsheets/d/10oOiF7loTyfsTkbd4MpaIm0HQ9SwB7IYHdIUvt-U1Uc/edit?usp=sharing"""&amp;",""สระแก้ว!Q719"")+IMPORTRANGE(""https://docs.google.com/spreadsheets/d/1xmPlrr1QbdSIKvl1dWUl9K4PjAfSL9oeMr_37QVzcxc/edit?usp=sharing"",""สระบุรี!Q719"")+IMPORTRANGE(""https://docs.google.com/spreadsheets/d/1j51vR6CYVGhABJpv6tkstgok82RLpXieLzW1yOY5rHw/edi"&amp;"t?usp=sharing"",""สิงห์บุรี!Q719"")+IMPORTRANGE(""https://docs.google.com/spreadsheets/d/1H1EalTWKUSzO4Z1-1CwzoDUaVffgrThEBe2sl74kKG0/edit?usp=sharing"",""สุพรรณบุรี!Q719"")+IMPORTRANGE(""https://docs.google.com/spreadsheets/d/1BmIruG_sIrJLYao_Pdr7zVArWsf"&amp;"oBt2692TMi6x_854/edit?usp=sharing"",""อ่างทอง!Q719"")"),0)</f>
        <v>0</v>
      </c>
      <c r="R720" s="74">
        <f ca="1">IFERROR(__xludf.DUMMYFUNCTION("IMPORTRANGE(""https://docs.google.com/spreadsheets/d/13wPX838HrBrQMCywv1BsuMkt4PEKTChp52zj44s2izQ/edit?usp=sharing"",""กาญจนบุรี!R719"")+IMPORTRANGE(""https://docs.google.com/spreadsheets/d/1ddFKvqj1W1NEiWytbGlB1zMx_ykJDVtmfEQ-6-lIUBA/edit?usp=sharing"","&amp;"""จันทบุรี!R719"")+IMPORTRANGE(""https://docs.google.com/spreadsheets/d/1T1PQvRODqOBZk8BRht_U031fIS1beLA0Ub2CEytj2q0/edit?usp=sharing"",""ฉะเชิงเทรา!R719"")+IMPORTRANGE(""https://docs.google.com/spreadsheets/d/11tr1B-Bhyr79v2bkwVh5h_fR-PStkgjlZtkrZpYurG0/"&amp;"edit?usp=sharing"",""ชลบุรี!R719"")+IMPORTRANGE(""https://docs.google.com/spreadsheets/d/1hh-FVnSX0vozXhGluamEcS54Dw9_zqW0N7qJUWgJ0Sw/edit?usp=sharing"",""ชัยนาท!R719"")+IMPORTRANGE(""https://docs.google.com/spreadsheets/d/1jkqa6GXxSacMcY1eN8AHjMNJ_7dDXMJ"&amp;"VRLDlaFSOdPM/edit?usp=sharing"",""ตราด!R719"")+IMPORTRANGE(""https://docs.google.com/spreadsheets/d/18hSgUJ3VwClqi_qtULmmW3cLr0oe3OKaSYoKzdpTsYQ/edit?usp=sharing"",""นครนายก!R719"")+IMPORTRANGE(""https://docs.google.com/spreadsheets/d/1YTZo6WM2dQ6Ix6FSdnL"&amp;"5P7uVnVKu40sxZu975tgG10E/edit?usp=sharing"",""นครปฐม!R719"")+IMPORTRANGE(""https://docs.google.com/spreadsheets/d/1OYoGg4WDg5RIzwGeB10padOxJF9E_Vljuvvct_M7RDo/edit?usp=sharing"",""ปทุมธานี!R719"")+IMPORTRANGE(""https://docs.google.com/spreadsheets/d/1GbCI"&amp;"E4D4wk9FUozzqk7SxfDMxDVBwVmI5zcaVUSzKAc/edit?usp=sharing"",""ประจวบคีรีขันธ์!R719"")+IMPORTRANGE(""https://docs.google.com/spreadsheets/d/1vVf6wykvW_lAyu7Yo9L4hUTqHqIeP_qcVuxCtosJEbg/edit?usp=sharing"",""ปราจีนบุรี!R719"")+IMPORTRANGE(""https://docs.googl"&amp;"e.com/spreadsheets/d/1BIDqLLg5jk3v59G8NlR8rk5xfQDKne0sAvZHSj7TI6I/edit?usp=sharing"",""พระนครศรีอยุธยา!R719"")+IMPORTRANGE(""https://docs.google.com/spreadsheets/d/1YXvxf8Yu6_rV4hTBrwMqAcAnv6DfhUxh5emyM3CJp_w/edit?usp=sharing"",""เพชรบุรี!R719"")+IMPORTRA"&amp;"NGE(""https://docs.google.com/spreadsheets/d/19KBlQQs7uwvsao6t2n-KvW3Ax8J8uRRfZPq1zPbXgKc/edit?usp=sharing"",""ระยอง!R719"")+IMPORTRANGE(""https://docs.google.com/spreadsheets/d/1jQ6P4QcrGM89YfqcC_PxOHGCMq5ezhucwJd8ci-NHng/edit?usp=sharing"",""ราชบุรี!R71"&amp;"9"")+IMPORTRANGE(""https://docs.google.com/spreadsheets/d/1lufeA2cfFqM-elVq2hznhDzC6Pr7wkJ9ZG_sYNGCMCU/edit?usp=sharing"",""ลพบุรี!R719"")+IMPORTRANGE(""https://docs.google.com/spreadsheets/d/10oOiF7loTyfsTkbd4MpaIm0HQ9SwB7IYHdIUvt-U1Uc/edit?usp=sharing"""&amp;",""สระแก้ว!R719"")+IMPORTRANGE(""https://docs.google.com/spreadsheets/d/1xmPlrr1QbdSIKvl1dWUl9K4PjAfSL9oeMr_37QVzcxc/edit?usp=sharing"",""สระบุรี!R719"")+IMPORTRANGE(""https://docs.google.com/spreadsheets/d/1j51vR6CYVGhABJpv6tkstgok82RLpXieLzW1yOY5rHw/edi"&amp;"t?usp=sharing"",""สิงห์บุรี!R719"")+IMPORTRANGE(""https://docs.google.com/spreadsheets/d/1H1EalTWKUSzO4Z1-1CwzoDUaVffgrThEBe2sl74kKG0/edit?usp=sharing"",""สุพรรณบุรี!R719"")+IMPORTRANGE(""https://docs.google.com/spreadsheets/d/1BmIruG_sIrJLYao_Pdr7zVArWsf"&amp;"oBt2692TMi6x_854/edit?usp=sharing"",""อ่างทอง!R719"")"),0)</f>
        <v>0</v>
      </c>
      <c r="S720" s="74">
        <f ca="1">IFERROR(__xludf.DUMMYFUNCTION("IMPORTRANGE(""https://docs.google.com/spreadsheets/d/13wPX838HrBrQMCywv1BsuMkt4PEKTChp52zj44s2izQ/edit?usp=sharing"",""กาญจนบุรี!S719"")+IMPORTRANGE(""https://docs.google.com/spreadsheets/d/1ddFKvqj1W1NEiWytbGlB1zMx_ykJDVtmfEQ-6-lIUBA/edit?usp=sharing"","&amp;"""จันทบุรี!S719"")+IMPORTRANGE(""https://docs.google.com/spreadsheets/d/1T1PQvRODqOBZk8BRht_U031fIS1beLA0Ub2CEytj2q0/edit?usp=sharing"",""ฉะเชิงเทรา!S719"")+IMPORTRANGE(""https://docs.google.com/spreadsheets/d/11tr1B-Bhyr79v2bkwVh5h_fR-PStkgjlZtkrZpYurG0/"&amp;"edit?usp=sharing"",""ชลบุรี!S719"")+IMPORTRANGE(""https://docs.google.com/spreadsheets/d/1hh-FVnSX0vozXhGluamEcS54Dw9_zqW0N7qJUWgJ0Sw/edit?usp=sharing"",""ชัยนาท!S719"")+IMPORTRANGE(""https://docs.google.com/spreadsheets/d/1jkqa6GXxSacMcY1eN8AHjMNJ_7dDXMJ"&amp;"VRLDlaFSOdPM/edit?usp=sharing"",""ตราด!S719"")+IMPORTRANGE(""https://docs.google.com/spreadsheets/d/18hSgUJ3VwClqi_qtULmmW3cLr0oe3OKaSYoKzdpTsYQ/edit?usp=sharing"",""นครนายก!S719"")+IMPORTRANGE(""https://docs.google.com/spreadsheets/d/1YTZo6WM2dQ6Ix6FSdnL"&amp;"5P7uVnVKu40sxZu975tgG10E/edit?usp=sharing"",""นครปฐม!S719"")+IMPORTRANGE(""https://docs.google.com/spreadsheets/d/1OYoGg4WDg5RIzwGeB10padOxJF9E_Vljuvvct_M7RDo/edit?usp=sharing"",""ปทุมธานี!S719"")+IMPORTRANGE(""https://docs.google.com/spreadsheets/d/1GbCI"&amp;"E4D4wk9FUozzqk7SxfDMxDVBwVmI5zcaVUSzKAc/edit?usp=sharing"",""ประจวบคีรีขันธ์!S719"")+IMPORTRANGE(""https://docs.google.com/spreadsheets/d/1vVf6wykvW_lAyu7Yo9L4hUTqHqIeP_qcVuxCtosJEbg/edit?usp=sharing"",""ปราจีนบุรี!S719"")+IMPORTRANGE(""https://docs.googl"&amp;"e.com/spreadsheets/d/1BIDqLLg5jk3v59G8NlR8rk5xfQDKne0sAvZHSj7TI6I/edit?usp=sharing"",""พระนครศรีอยุธยา!S719"")+IMPORTRANGE(""https://docs.google.com/spreadsheets/d/1YXvxf8Yu6_rV4hTBrwMqAcAnv6DfhUxh5emyM3CJp_w/edit?usp=sharing"",""เพชรบุรี!S719"")+IMPORTRA"&amp;"NGE(""https://docs.google.com/spreadsheets/d/19KBlQQs7uwvsao6t2n-KvW3Ax8J8uRRfZPq1zPbXgKc/edit?usp=sharing"",""ระยอง!S719"")+IMPORTRANGE(""https://docs.google.com/spreadsheets/d/1jQ6P4QcrGM89YfqcC_PxOHGCMq5ezhucwJd8ci-NHng/edit?usp=sharing"",""ราชบุรี!S71"&amp;"9"")+IMPORTRANGE(""https://docs.google.com/spreadsheets/d/1lufeA2cfFqM-elVq2hznhDzC6Pr7wkJ9ZG_sYNGCMCU/edit?usp=sharing"",""ลพบุรี!S719"")+IMPORTRANGE(""https://docs.google.com/spreadsheets/d/10oOiF7loTyfsTkbd4MpaIm0HQ9SwB7IYHdIUvt-U1Uc/edit?usp=sharing"""&amp;",""สระแก้ว!S719"")+IMPORTRANGE(""https://docs.google.com/spreadsheets/d/1xmPlrr1QbdSIKvl1dWUl9K4PjAfSL9oeMr_37QVzcxc/edit?usp=sharing"",""สระบุรี!S719"")+IMPORTRANGE(""https://docs.google.com/spreadsheets/d/1j51vR6CYVGhABJpv6tkstgok82RLpXieLzW1yOY5rHw/edi"&amp;"t?usp=sharing"",""สิงห์บุรี!S719"")+IMPORTRANGE(""https://docs.google.com/spreadsheets/d/1H1EalTWKUSzO4Z1-1CwzoDUaVffgrThEBe2sl74kKG0/edit?usp=sharing"",""สุพรรณบุรี!S719"")+IMPORTRANGE(""https://docs.google.com/spreadsheets/d/1BmIruG_sIrJLYao_Pdr7zVArWsf"&amp;"oBt2692TMi6x_854/edit?usp=sharing"",""อ่างทอง!S719"")"),0)</f>
        <v>0</v>
      </c>
      <c r="T720" s="132">
        <f t="shared" ca="1" si="484"/>
        <v>0</v>
      </c>
      <c r="U720" s="132">
        <f t="shared" ca="1" si="485"/>
        <v>0</v>
      </c>
    </row>
    <row r="721" spans="1:21" ht="19.5" hidden="1" x14ac:dyDescent="0.3">
      <c r="A721" s="257"/>
      <c r="B721" s="269"/>
      <c r="C721" s="269"/>
      <c r="D721" s="70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4">
        <f t="shared" ref="L721:N721" ca="1" si="492">L722+L723</f>
        <v>0</v>
      </c>
      <c r="M721" s="74">
        <f t="shared" ca="1" si="492"/>
        <v>0</v>
      </c>
      <c r="N721" s="74">
        <f t="shared" ca="1" si="492"/>
        <v>0</v>
      </c>
      <c r="O721" s="74">
        <f t="shared" ca="1" si="481"/>
        <v>0</v>
      </c>
      <c r="P721" s="74">
        <f t="shared" ca="1" si="482"/>
        <v>0</v>
      </c>
      <c r="Q721" s="131">
        <f t="shared" ref="Q721:S721" ca="1" si="493">Q722+Q723</f>
        <v>0</v>
      </c>
      <c r="R721" s="132">
        <f t="shared" ca="1" si="493"/>
        <v>0</v>
      </c>
      <c r="S721" s="132">
        <f t="shared" ca="1" si="493"/>
        <v>0</v>
      </c>
      <c r="T721" s="132">
        <f t="shared" ca="1" si="484"/>
        <v>0</v>
      </c>
      <c r="U721" s="132">
        <f t="shared" ca="1" si="485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7">
        <f ca="1">IFERROR(__xludf.DUMMYFUNCTION("IMPORTRANGE(""https://docs.google.com/spreadsheets/d/13wPX838HrBrQMCywv1BsuMkt4PEKTChp52zj44s2izQ/edit?usp=sharing"",""กาญจนบุรี!L721"")+IMPORTRANGE(""https://docs.google.com/spreadsheets/d/1ddFKvqj1W1NEiWytbGlB1zMx_ykJDVtmfEQ-6-lIUBA/edit?usp=sharing"","&amp;"""จันทบุรี!L721"")+IMPORTRANGE(""https://docs.google.com/spreadsheets/d/1T1PQvRODqOBZk8BRht_U031fIS1beLA0Ub2CEytj2q0/edit?usp=sharing"",""ฉะเชิงเทรา!L721"")+IMPORTRANGE(""https://docs.google.com/spreadsheets/d/11tr1B-Bhyr79v2bkwVh5h_fR-PStkgjlZtkrZpYurG0/"&amp;"edit?usp=sharing"",""ชลบุรี!L721"")+IMPORTRANGE(""https://docs.google.com/spreadsheets/d/1hh-FVnSX0vozXhGluamEcS54Dw9_zqW0N7qJUWgJ0Sw/edit?usp=sharing"",""ชัยนาท!L721"")+IMPORTRANGE(""https://docs.google.com/spreadsheets/d/1jkqa6GXxSacMcY1eN8AHjMNJ_7dDXMJ"&amp;"VRLDlaFSOdPM/edit?usp=sharing"",""ตราด!L721"")+IMPORTRANGE(""https://docs.google.com/spreadsheets/d/18hSgUJ3VwClqi_qtULmmW3cLr0oe3OKaSYoKzdpTsYQ/edit?usp=sharing"",""นครนายก!L721"")+IMPORTRANGE(""https://docs.google.com/spreadsheets/d/1YTZo6WM2dQ6Ix6FSdnL"&amp;"5P7uVnVKu40sxZu975tgG10E/edit?usp=sharing"",""นครปฐม!L721"")+IMPORTRANGE(""https://docs.google.com/spreadsheets/d/1OYoGg4WDg5RIzwGeB10padOxJF9E_Vljuvvct_M7RDo/edit?usp=sharing"",""ปทุมธานี!L721"")+IMPORTRANGE(""https://docs.google.com/spreadsheets/d/1GbCI"&amp;"E4D4wk9FUozzqk7SxfDMxDVBwVmI5zcaVUSzKAc/edit?usp=sharing"",""ประจวบคีรีขันธ์!L721"")+IMPORTRANGE(""https://docs.google.com/spreadsheets/d/1vVf6wykvW_lAyu7Yo9L4hUTqHqIeP_qcVuxCtosJEbg/edit?usp=sharing"",""ปราจีนบุรี!L721"")+IMPORTRANGE(""https://docs.googl"&amp;"e.com/spreadsheets/d/1BIDqLLg5jk3v59G8NlR8rk5xfQDKne0sAvZHSj7TI6I/edit?usp=sharing"",""พระนครศรีอยุธยา!L721"")+IMPORTRANGE(""https://docs.google.com/spreadsheets/d/1YXvxf8Yu6_rV4hTBrwMqAcAnv6DfhUxh5emyM3CJp_w/edit?usp=sharing"",""เพชรบุรี!L721"")+IMPORTRA"&amp;"NGE(""https://docs.google.com/spreadsheets/d/19KBlQQs7uwvsao6t2n-KvW3Ax8J8uRRfZPq1zPbXgKc/edit?usp=sharing"",""ระยอง!L721"")+IMPORTRANGE(""https://docs.google.com/spreadsheets/d/1jQ6P4QcrGM89YfqcC_PxOHGCMq5ezhucwJd8ci-NHng/edit?usp=sharing"",""ราชบุรี!L72"&amp;"1"")+IMPORTRANGE(""https://docs.google.com/spreadsheets/d/1lufeA2cfFqM-elVq2hznhDzC6Pr7wkJ9ZG_sYNGCMCU/edit?usp=sharing"",""ลพบุรี!L721"")+IMPORTRANGE(""https://docs.google.com/spreadsheets/d/10oOiF7loTyfsTkbd4MpaIm0HQ9SwB7IYHdIUvt-U1Uc/edit?usp=sharing"""&amp;",""สระแก้ว!L721"")+IMPORTRANGE(""https://docs.google.com/spreadsheets/d/1xmPlrr1QbdSIKvl1dWUl9K4PjAfSL9oeMr_37QVzcxc/edit?usp=sharing"",""สระบุรี!L721"")+IMPORTRANGE(""https://docs.google.com/spreadsheets/d/1j51vR6CYVGhABJpv6tkstgok82RLpXieLzW1yOY5rHw/edi"&amp;"t?usp=sharing"",""สิงห์บุรี!L721"")+IMPORTRANGE(""https://docs.google.com/spreadsheets/d/1H1EalTWKUSzO4Z1-1CwzoDUaVffgrThEBe2sl74kKG0/edit?usp=sharing"",""สุพรรณบุรี!L721"")+IMPORTRANGE(""https://docs.google.com/spreadsheets/d/1BmIruG_sIrJLYao_Pdr7zVArWsf"&amp;"oBt2692TMi6x_854/edit?usp=sharing"",""อ่างทอง!L721"")"),0)</f>
        <v>0</v>
      </c>
      <c r="M722" s="77">
        <f ca="1">IFERROR(__xludf.DUMMYFUNCTION("IMPORTRANGE(""https://docs.google.com/spreadsheets/d/13wPX838HrBrQMCywv1BsuMkt4PEKTChp52zj44s2izQ/edit?usp=sharing"",""กาญจนบุรี!M721"")+IMPORTRANGE(""https://docs.google.com/spreadsheets/d/1ddFKvqj1W1NEiWytbGlB1zMx_ykJDVtmfEQ-6-lIUBA/edit?usp=sharing"","&amp;"""จันทบุรี!M721"")+IMPORTRANGE(""https://docs.google.com/spreadsheets/d/1T1PQvRODqOBZk8BRht_U031fIS1beLA0Ub2CEytj2q0/edit?usp=sharing"",""ฉะเชิงเทรา!M721"")+IMPORTRANGE(""https://docs.google.com/spreadsheets/d/11tr1B-Bhyr79v2bkwVh5h_fR-PStkgjlZtkrZpYurG0/"&amp;"edit?usp=sharing"",""ชลบุรี!M721"")+IMPORTRANGE(""https://docs.google.com/spreadsheets/d/1hh-FVnSX0vozXhGluamEcS54Dw9_zqW0N7qJUWgJ0Sw/edit?usp=sharing"",""ชัยนาท!M721"")+IMPORTRANGE(""https://docs.google.com/spreadsheets/d/1jkqa6GXxSacMcY1eN8AHjMNJ_7dDXMJ"&amp;"VRLDlaFSOdPM/edit?usp=sharing"",""ตราด!M721"")+IMPORTRANGE(""https://docs.google.com/spreadsheets/d/18hSgUJ3VwClqi_qtULmmW3cLr0oe3OKaSYoKzdpTsYQ/edit?usp=sharing"",""นครนายก!M721"")+IMPORTRANGE(""https://docs.google.com/spreadsheets/d/1YTZo6WM2dQ6Ix6FSdnL"&amp;"5P7uVnVKu40sxZu975tgG10E/edit?usp=sharing"",""นครปฐม!M721"")+IMPORTRANGE(""https://docs.google.com/spreadsheets/d/1OYoGg4WDg5RIzwGeB10padOxJF9E_Vljuvvct_M7RDo/edit?usp=sharing"",""ปทุมธานี!M721"")+IMPORTRANGE(""https://docs.google.com/spreadsheets/d/1GbCI"&amp;"E4D4wk9FUozzqk7SxfDMxDVBwVmI5zcaVUSzKAc/edit?usp=sharing"",""ประจวบคีรีขันธ์!M721"")+IMPORTRANGE(""https://docs.google.com/spreadsheets/d/1vVf6wykvW_lAyu7Yo9L4hUTqHqIeP_qcVuxCtosJEbg/edit?usp=sharing"",""ปราจีนบุรี!M721"")+IMPORTRANGE(""https://docs.googl"&amp;"e.com/spreadsheets/d/1BIDqLLg5jk3v59G8NlR8rk5xfQDKne0sAvZHSj7TI6I/edit?usp=sharing"",""พระนครศรีอยุธยา!M721"")+IMPORTRANGE(""https://docs.google.com/spreadsheets/d/1YXvxf8Yu6_rV4hTBrwMqAcAnv6DfhUxh5emyM3CJp_w/edit?usp=sharing"",""เพชรบุรี!M721"")+IMPORTRA"&amp;"NGE(""https://docs.google.com/spreadsheets/d/19KBlQQs7uwvsao6t2n-KvW3Ax8J8uRRfZPq1zPbXgKc/edit?usp=sharing"",""ระยอง!M721"")+IMPORTRANGE(""https://docs.google.com/spreadsheets/d/1jQ6P4QcrGM89YfqcC_PxOHGCMq5ezhucwJd8ci-NHng/edit?usp=sharing"",""ราชบุรี!M72"&amp;"1"")+IMPORTRANGE(""https://docs.google.com/spreadsheets/d/1lufeA2cfFqM-elVq2hznhDzC6Pr7wkJ9ZG_sYNGCMCU/edit?usp=sharing"",""ลพบุรี!M721"")+IMPORTRANGE(""https://docs.google.com/spreadsheets/d/10oOiF7loTyfsTkbd4MpaIm0HQ9SwB7IYHdIUvt-U1Uc/edit?usp=sharing"""&amp;",""สระแก้ว!M721"")+IMPORTRANGE(""https://docs.google.com/spreadsheets/d/1xmPlrr1QbdSIKvl1dWUl9K4PjAfSL9oeMr_37QVzcxc/edit?usp=sharing"",""สระบุรี!M721"")+IMPORTRANGE(""https://docs.google.com/spreadsheets/d/1j51vR6CYVGhABJpv6tkstgok82RLpXieLzW1yOY5rHw/edi"&amp;"t?usp=sharing"",""สิงห์บุรี!M721"")+IMPORTRANGE(""https://docs.google.com/spreadsheets/d/1H1EalTWKUSzO4Z1-1CwzoDUaVffgrThEBe2sl74kKG0/edit?usp=sharing"",""สุพรรณบุรี!M721"")+IMPORTRANGE(""https://docs.google.com/spreadsheets/d/1BmIruG_sIrJLYao_Pdr7zVArWsf"&amp;"oBt2692TMi6x_854/edit?usp=sharing"",""อ่างทอง!M721"")"),0)</f>
        <v>0</v>
      </c>
      <c r="N722" s="77">
        <f ca="1">IFERROR(__xludf.DUMMYFUNCTION("IMPORTRANGE(""https://docs.google.com/spreadsheets/d/13wPX838HrBrQMCywv1BsuMkt4PEKTChp52zj44s2izQ/edit?usp=sharing"",""กาญจนบุรี!N721"")+IMPORTRANGE(""https://docs.google.com/spreadsheets/d/1ddFKvqj1W1NEiWytbGlB1zMx_ykJDVtmfEQ-6-lIUBA/edit?usp=sharing"","&amp;"""จันทบุรี!N721"")+IMPORTRANGE(""https://docs.google.com/spreadsheets/d/1T1PQvRODqOBZk8BRht_U031fIS1beLA0Ub2CEytj2q0/edit?usp=sharing"",""ฉะเชิงเทรา!N721"")+IMPORTRANGE(""https://docs.google.com/spreadsheets/d/11tr1B-Bhyr79v2bkwVh5h_fR-PStkgjlZtkrZpYurG0/"&amp;"edit?usp=sharing"",""ชลบุรี!N721"")+IMPORTRANGE(""https://docs.google.com/spreadsheets/d/1hh-FVnSX0vozXhGluamEcS54Dw9_zqW0N7qJUWgJ0Sw/edit?usp=sharing"",""ชัยนาท!N721"")+IMPORTRANGE(""https://docs.google.com/spreadsheets/d/1jkqa6GXxSacMcY1eN8AHjMNJ_7dDXMJ"&amp;"VRLDlaFSOdPM/edit?usp=sharing"",""ตราด!N721"")+IMPORTRANGE(""https://docs.google.com/spreadsheets/d/18hSgUJ3VwClqi_qtULmmW3cLr0oe3OKaSYoKzdpTsYQ/edit?usp=sharing"",""นครนายก!N721"")+IMPORTRANGE(""https://docs.google.com/spreadsheets/d/1YTZo6WM2dQ6Ix6FSdnL"&amp;"5P7uVnVKu40sxZu975tgG10E/edit?usp=sharing"",""นครปฐม!N721"")+IMPORTRANGE(""https://docs.google.com/spreadsheets/d/1OYoGg4WDg5RIzwGeB10padOxJF9E_Vljuvvct_M7RDo/edit?usp=sharing"",""ปทุมธานี!N721"")+IMPORTRANGE(""https://docs.google.com/spreadsheets/d/1GbCI"&amp;"E4D4wk9FUozzqk7SxfDMxDVBwVmI5zcaVUSzKAc/edit?usp=sharing"",""ประจวบคีรีขันธ์!N721"")+IMPORTRANGE(""https://docs.google.com/spreadsheets/d/1vVf6wykvW_lAyu7Yo9L4hUTqHqIeP_qcVuxCtosJEbg/edit?usp=sharing"",""ปราจีนบุรี!N721"")+IMPORTRANGE(""https://docs.googl"&amp;"e.com/spreadsheets/d/1BIDqLLg5jk3v59G8NlR8rk5xfQDKne0sAvZHSj7TI6I/edit?usp=sharing"",""พระนครศรีอยุธยา!N721"")+IMPORTRANGE(""https://docs.google.com/spreadsheets/d/1YXvxf8Yu6_rV4hTBrwMqAcAnv6DfhUxh5emyM3CJp_w/edit?usp=sharing"",""เพชรบุรี!N721"")+IMPORTRA"&amp;"NGE(""https://docs.google.com/spreadsheets/d/19KBlQQs7uwvsao6t2n-KvW3Ax8J8uRRfZPq1zPbXgKc/edit?usp=sharing"",""ระยอง!N721"")+IMPORTRANGE(""https://docs.google.com/spreadsheets/d/1jQ6P4QcrGM89YfqcC_PxOHGCMq5ezhucwJd8ci-NHng/edit?usp=sharing"",""ราชบุรี!N72"&amp;"1"")+IMPORTRANGE(""https://docs.google.com/spreadsheets/d/1lufeA2cfFqM-elVq2hznhDzC6Pr7wkJ9ZG_sYNGCMCU/edit?usp=sharing"",""ลพบุรี!N721"")+IMPORTRANGE(""https://docs.google.com/spreadsheets/d/10oOiF7loTyfsTkbd4MpaIm0HQ9SwB7IYHdIUvt-U1Uc/edit?usp=sharing"""&amp;",""สระแก้ว!N721"")+IMPORTRANGE(""https://docs.google.com/spreadsheets/d/1xmPlrr1QbdSIKvl1dWUl9K4PjAfSL9oeMr_37QVzcxc/edit?usp=sharing"",""สระบุรี!N721"")+IMPORTRANGE(""https://docs.google.com/spreadsheets/d/1j51vR6CYVGhABJpv6tkstgok82RLpXieLzW1yOY5rHw/edi"&amp;"t?usp=sharing"",""สิงห์บุรี!N721"")+IMPORTRANGE(""https://docs.google.com/spreadsheets/d/1H1EalTWKUSzO4Z1-1CwzoDUaVffgrThEBe2sl74kKG0/edit?usp=sharing"",""สุพรรณบุรี!N721"")+IMPORTRANGE(""https://docs.google.com/spreadsheets/d/1BmIruG_sIrJLYao_Pdr7zVArWsf"&amp;"oBt2692TMi6x_854/edit?usp=sharing"",""อ่างทอง!N721"")"),0)</f>
        <v>0</v>
      </c>
      <c r="O722" s="77">
        <f t="shared" ca="1" si="481"/>
        <v>0</v>
      </c>
      <c r="P722" s="77">
        <f t="shared" ca="1" si="482"/>
        <v>0</v>
      </c>
      <c r="Q722" s="76">
        <f ca="1">IFERROR(__xludf.DUMMYFUNCTION("IMPORTRANGE(""https://docs.google.com/spreadsheets/d/13wPX838HrBrQMCywv1BsuMkt4PEKTChp52zj44s2izQ/edit?usp=sharing"",""กาญจนบุรี!Q721"")+IMPORTRANGE(""https://docs.google.com/spreadsheets/d/1ddFKvqj1W1NEiWytbGlB1zMx_ykJDVtmfEQ-6-lIUBA/edit?usp=sharing"","&amp;"""จันทบุรี!Q721"")+IMPORTRANGE(""https://docs.google.com/spreadsheets/d/1T1PQvRODqOBZk8BRht_U031fIS1beLA0Ub2CEytj2q0/edit?usp=sharing"",""ฉะเชิงเทรา!Q721"")+IMPORTRANGE(""https://docs.google.com/spreadsheets/d/11tr1B-Bhyr79v2bkwVh5h_fR-PStkgjlZtkrZpYurG0/"&amp;"edit?usp=sharing"",""ชลบุรี!Q721"")+IMPORTRANGE(""https://docs.google.com/spreadsheets/d/1hh-FVnSX0vozXhGluamEcS54Dw9_zqW0N7qJUWgJ0Sw/edit?usp=sharing"",""ชัยนาท!Q721"")+IMPORTRANGE(""https://docs.google.com/spreadsheets/d/1jkqa6GXxSacMcY1eN8AHjMNJ_7dDXMJ"&amp;"VRLDlaFSOdPM/edit?usp=sharing"",""ตราด!Q721"")+IMPORTRANGE(""https://docs.google.com/spreadsheets/d/18hSgUJ3VwClqi_qtULmmW3cLr0oe3OKaSYoKzdpTsYQ/edit?usp=sharing"",""นครนายก!Q721"")+IMPORTRANGE(""https://docs.google.com/spreadsheets/d/1YTZo6WM2dQ6Ix6FSdnL"&amp;"5P7uVnVKu40sxZu975tgG10E/edit?usp=sharing"",""นครปฐม!Q721"")+IMPORTRANGE(""https://docs.google.com/spreadsheets/d/1OYoGg4WDg5RIzwGeB10padOxJF9E_Vljuvvct_M7RDo/edit?usp=sharing"",""ปทุมธานี!Q721"")+IMPORTRANGE(""https://docs.google.com/spreadsheets/d/1GbCI"&amp;"E4D4wk9FUozzqk7SxfDMxDVBwVmI5zcaVUSzKAc/edit?usp=sharing"",""ประจวบคีรีขันธ์!Q721"")+IMPORTRANGE(""https://docs.google.com/spreadsheets/d/1vVf6wykvW_lAyu7Yo9L4hUTqHqIeP_qcVuxCtosJEbg/edit?usp=sharing"",""ปราจีนบุรี!Q721"")+IMPORTRANGE(""https://docs.googl"&amp;"e.com/spreadsheets/d/1BIDqLLg5jk3v59G8NlR8rk5xfQDKne0sAvZHSj7TI6I/edit?usp=sharing"",""พระนครศรีอยุธยา!Q721"")+IMPORTRANGE(""https://docs.google.com/spreadsheets/d/1YXvxf8Yu6_rV4hTBrwMqAcAnv6DfhUxh5emyM3CJp_w/edit?usp=sharing"",""เพชรบุรี!Q721"")+IMPORTRA"&amp;"NGE(""https://docs.google.com/spreadsheets/d/19KBlQQs7uwvsao6t2n-KvW3Ax8J8uRRfZPq1zPbXgKc/edit?usp=sharing"",""ระยอง!Q721"")+IMPORTRANGE(""https://docs.google.com/spreadsheets/d/1jQ6P4QcrGM89YfqcC_PxOHGCMq5ezhucwJd8ci-NHng/edit?usp=sharing"",""ราชบุรี!Q72"&amp;"1"")+IMPORTRANGE(""https://docs.google.com/spreadsheets/d/1lufeA2cfFqM-elVq2hznhDzC6Pr7wkJ9ZG_sYNGCMCU/edit?usp=sharing"",""ลพบุรี!Q721"")+IMPORTRANGE(""https://docs.google.com/spreadsheets/d/10oOiF7loTyfsTkbd4MpaIm0HQ9SwB7IYHdIUvt-U1Uc/edit?usp=sharing"""&amp;",""สระแก้ว!Q721"")+IMPORTRANGE(""https://docs.google.com/spreadsheets/d/1xmPlrr1QbdSIKvl1dWUl9K4PjAfSL9oeMr_37QVzcxc/edit?usp=sharing"",""สระบุรี!Q721"")+IMPORTRANGE(""https://docs.google.com/spreadsheets/d/1j51vR6CYVGhABJpv6tkstgok82RLpXieLzW1yOY5rHw/edi"&amp;"t?usp=sharing"",""สิงห์บุรี!Q721"")+IMPORTRANGE(""https://docs.google.com/spreadsheets/d/1H1EalTWKUSzO4Z1-1CwzoDUaVffgrThEBe2sl74kKG0/edit?usp=sharing"",""สุพรรณบุรี!Q721"")+IMPORTRANGE(""https://docs.google.com/spreadsheets/d/1BmIruG_sIrJLYao_Pdr7zVArWsf"&amp;"oBt2692TMi6x_854/edit?usp=sharing"",""อ่างทอง!Q721"")"),0)</f>
        <v>0</v>
      </c>
      <c r="R722" s="77">
        <f ca="1">IFERROR(__xludf.DUMMYFUNCTION("IMPORTRANGE(""https://docs.google.com/spreadsheets/d/13wPX838HrBrQMCywv1BsuMkt4PEKTChp52zj44s2izQ/edit?usp=sharing"",""กาญจนบุรี!R721"")+IMPORTRANGE(""https://docs.google.com/spreadsheets/d/1ddFKvqj1W1NEiWytbGlB1zMx_ykJDVtmfEQ-6-lIUBA/edit?usp=sharing"","&amp;"""จันทบุรี!R721"")+IMPORTRANGE(""https://docs.google.com/spreadsheets/d/1T1PQvRODqOBZk8BRht_U031fIS1beLA0Ub2CEytj2q0/edit?usp=sharing"",""ฉะเชิงเทรา!R721"")+IMPORTRANGE(""https://docs.google.com/spreadsheets/d/11tr1B-Bhyr79v2bkwVh5h_fR-PStkgjlZtkrZpYurG0/"&amp;"edit?usp=sharing"",""ชลบุรี!R721"")+IMPORTRANGE(""https://docs.google.com/spreadsheets/d/1hh-FVnSX0vozXhGluamEcS54Dw9_zqW0N7qJUWgJ0Sw/edit?usp=sharing"",""ชัยนาท!R721"")+IMPORTRANGE(""https://docs.google.com/spreadsheets/d/1jkqa6GXxSacMcY1eN8AHjMNJ_7dDXMJ"&amp;"VRLDlaFSOdPM/edit?usp=sharing"",""ตราด!R721"")+IMPORTRANGE(""https://docs.google.com/spreadsheets/d/18hSgUJ3VwClqi_qtULmmW3cLr0oe3OKaSYoKzdpTsYQ/edit?usp=sharing"",""นครนายก!R721"")+IMPORTRANGE(""https://docs.google.com/spreadsheets/d/1YTZo6WM2dQ6Ix6FSdnL"&amp;"5P7uVnVKu40sxZu975tgG10E/edit?usp=sharing"",""นครปฐม!R721"")+IMPORTRANGE(""https://docs.google.com/spreadsheets/d/1OYoGg4WDg5RIzwGeB10padOxJF9E_Vljuvvct_M7RDo/edit?usp=sharing"",""ปทุมธานี!R721"")+IMPORTRANGE(""https://docs.google.com/spreadsheets/d/1GbCI"&amp;"E4D4wk9FUozzqk7SxfDMxDVBwVmI5zcaVUSzKAc/edit?usp=sharing"",""ประจวบคีรีขันธ์!R721"")+IMPORTRANGE(""https://docs.google.com/spreadsheets/d/1vVf6wykvW_lAyu7Yo9L4hUTqHqIeP_qcVuxCtosJEbg/edit?usp=sharing"",""ปราจีนบุรี!R721"")+IMPORTRANGE(""https://docs.googl"&amp;"e.com/spreadsheets/d/1BIDqLLg5jk3v59G8NlR8rk5xfQDKne0sAvZHSj7TI6I/edit?usp=sharing"",""พระนครศรีอยุธยา!R721"")+IMPORTRANGE(""https://docs.google.com/spreadsheets/d/1YXvxf8Yu6_rV4hTBrwMqAcAnv6DfhUxh5emyM3CJp_w/edit?usp=sharing"",""เพชรบุรี!R721"")+IMPORTRA"&amp;"NGE(""https://docs.google.com/spreadsheets/d/19KBlQQs7uwvsao6t2n-KvW3Ax8J8uRRfZPq1zPbXgKc/edit?usp=sharing"",""ระยอง!R721"")+IMPORTRANGE(""https://docs.google.com/spreadsheets/d/1jQ6P4QcrGM89YfqcC_PxOHGCMq5ezhucwJd8ci-NHng/edit?usp=sharing"",""ราชบุรี!R72"&amp;"1"")+IMPORTRANGE(""https://docs.google.com/spreadsheets/d/1lufeA2cfFqM-elVq2hznhDzC6Pr7wkJ9ZG_sYNGCMCU/edit?usp=sharing"",""ลพบุรี!R721"")+IMPORTRANGE(""https://docs.google.com/spreadsheets/d/10oOiF7loTyfsTkbd4MpaIm0HQ9SwB7IYHdIUvt-U1Uc/edit?usp=sharing"""&amp;",""สระแก้ว!R721"")+IMPORTRANGE(""https://docs.google.com/spreadsheets/d/1xmPlrr1QbdSIKvl1dWUl9K4PjAfSL9oeMr_37QVzcxc/edit?usp=sharing"",""สระบุรี!R721"")+IMPORTRANGE(""https://docs.google.com/spreadsheets/d/1j51vR6CYVGhABJpv6tkstgok82RLpXieLzW1yOY5rHw/edi"&amp;"t?usp=sharing"",""สิงห์บุรี!R721"")+IMPORTRANGE(""https://docs.google.com/spreadsheets/d/1H1EalTWKUSzO4Z1-1CwzoDUaVffgrThEBe2sl74kKG0/edit?usp=sharing"",""สุพรรณบุรี!R721"")+IMPORTRANGE(""https://docs.google.com/spreadsheets/d/1BmIruG_sIrJLYao_Pdr7zVArWsf"&amp;"oBt2692TMi6x_854/edit?usp=sharing"",""อ่างทอง!R721"")"),0)</f>
        <v>0</v>
      </c>
      <c r="S722" s="77">
        <f ca="1">IFERROR(__xludf.DUMMYFUNCTION("IMPORTRANGE(""https://docs.google.com/spreadsheets/d/13wPX838HrBrQMCywv1BsuMkt4PEKTChp52zj44s2izQ/edit?usp=sharing"",""กาญจนบุรี!S721"")+IMPORTRANGE(""https://docs.google.com/spreadsheets/d/1ddFKvqj1W1NEiWytbGlB1zMx_ykJDVtmfEQ-6-lIUBA/edit?usp=sharing"","&amp;"""จันทบุรี!S721"")+IMPORTRANGE(""https://docs.google.com/spreadsheets/d/1T1PQvRODqOBZk8BRht_U031fIS1beLA0Ub2CEytj2q0/edit?usp=sharing"",""ฉะเชิงเทรา!S721"")+IMPORTRANGE(""https://docs.google.com/spreadsheets/d/11tr1B-Bhyr79v2bkwVh5h_fR-PStkgjlZtkrZpYurG0/"&amp;"edit?usp=sharing"",""ชลบุรี!S721"")+IMPORTRANGE(""https://docs.google.com/spreadsheets/d/1hh-FVnSX0vozXhGluamEcS54Dw9_zqW0N7qJUWgJ0Sw/edit?usp=sharing"",""ชัยนาท!S721"")+IMPORTRANGE(""https://docs.google.com/spreadsheets/d/1jkqa6GXxSacMcY1eN8AHjMNJ_7dDXMJ"&amp;"VRLDlaFSOdPM/edit?usp=sharing"",""ตราด!S721"")+IMPORTRANGE(""https://docs.google.com/spreadsheets/d/18hSgUJ3VwClqi_qtULmmW3cLr0oe3OKaSYoKzdpTsYQ/edit?usp=sharing"",""นครนายก!S721"")+IMPORTRANGE(""https://docs.google.com/spreadsheets/d/1YTZo6WM2dQ6Ix6FSdnL"&amp;"5P7uVnVKu40sxZu975tgG10E/edit?usp=sharing"",""นครปฐม!S721"")+IMPORTRANGE(""https://docs.google.com/spreadsheets/d/1OYoGg4WDg5RIzwGeB10padOxJF9E_Vljuvvct_M7RDo/edit?usp=sharing"",""ปทุมธานี!S721"")+IMPORTRANGE(""https://docs.google.com/spreadsheets/d/1GbCI"&amp;"E4D4wk9FUozzqk7SxfDMxDVBwVmI5zcaVUSzKAc/edit?usp=sharing"",""ประจวบคีรีขันธ์!S721"")+IMPORTRANGE(""https://docs.google.com/spreadsheets/d/1vVf6wykvW_lAyu7Yo9L4hUTqHqIeP_qcVuxCtosJEbg/edit?usp=sharing"",""ปราจีนบุรี!S721"")+IMPORTRANGE(""https://docs.googl"&amp;"e.com/spreadsheets/d/1BIDqLLg5jk3v59G8NlR8rk5xfQDKne0sAvZHSj7TI6I/edit?usp=sharing"",""พระนครศรีอยุธยา!S721"")+IMPORTRANGE(""https://docs.google.com/spreadsheets/d/1YXvxf8Yu6_rV4hTBrwMqAcAnv6DfhUxh5emyM3CJp_w/edit?usp=sharing"",""เพชรบุรี!S721"")+IMPORTRA"&amp;"NGE(""https://docs.google.com/spreadsheets/d/19KBlQQs7uwvsao6t2n-KvW3Ax8J8uRRfZPq1zPbXgKc/edit?usp=sharing"",""ระยอง!S721"")+IMPORTRANGE(""https://docs.google.com/spreadsheets/d/1jQ6P4QcrGM89YfqcC_PxOHGCMq5ezhucwJd8ci-NHng/edit?usp=sharing"",""ราชบุรี!S72"&amp;"1"")+IMPORTRANGE(""https://docs.google.com/spreadsheets/d/1lufeA2cfFqM-elVq2hznhDzC6Pr7wkJ9ZG_sYNGCMCU/edit?usp=sharing"",""ลพบุรี!S721"")+IMPORTRANGE(""https://docs.google.com/spreadsheets/d/10oOiF7loTyfsTkbd4MpaIm0HQ9SwB7IYHdIUvt-U1Uc/edit?usp=sharing"""&amp;",""สระแก้ว!S721"")+IMPORTRANGE(""https://docs.google.com/spreadsheets/d/1xmPlrr1QbdSIKvl1dWUl9K4PjAfSL9oeMr_37QVzcxc/edit?usp=sharing"",""สระบุรี!S721"")+IMPORTRANGE(""https://docs.google.com/spreadsheets/d/1j51vR6CYVGhABJpv6tkstgok82RLpXieLzW1yOY5rHw/edi"&amp;"t?usp=sharing"",""สิงห์บุรี!S721"")+IMPORTRANGE(""https://docs.google.com/spreadsheets/d/1H1EalTWKUSzO4Z1-1CwzoDUaVffgrThEBe2sl74kKG0/edit?usp=sharing"",""สุพรรณบุรี!S721"")+IMPORTRANGE(""https://docs.google.com/spreadsheets/d/1BmIruG_sIrJLYao_Pdr7zVArWsf"&amp;"oBt2692TMi6x_854/edit?usp=sharing"",""อ่างทอง!S721"")"),0)</f>
        <v>0</v>
      </c>
      <c r="T722" s="133">
        <f t="shared" ca="1" si="484"/>
        <v>0</v>
      </c>
      <c r="U722" s="133">
        <f t="shared" ca="1" si="485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4">
        <f ca="1">IFERROR(__xludf.DUMMYFUNCTION("IMPORTRANGE(""https://docs.google.com/spreadsheets/d/13wPX838HrBrQMCywv1BsuMkt4PEKTChp52zj44s2izQ/edit?usp=sharing"",""กาญจนบุรี!L722"")+IMPORTRANGE(""https://docs.google.com/spreadsheets/d/1ddFKvqj1W1NEiWytbGlB1zMx_ykJDVtmfEQ-6-lIUBA/edit?usp=sharing"","&amp;"""จันทบุรี!L722"")+IMPORTRANGE(""https://docs.google.com/spreadsheets/d/1T1PQvRODqOBZk8BRht_U031fIS1beLA0Ub2CEytj2q0/edit?usp=sharing"",""ฉะเชิงเทรา!L722"")+IMPORTRANGE(""https://docs.google.com/spreadsheets/d/11tr1B-Bhyr79v2bkwVh5h_fR-PStkgjlZtkrZpYurG0/"&amp;"edit?usp=sharing"",""ชลบุรี!L722"")+IMPORTRANGE(""https://docs.google.com/spreadsheets/d/1hh-FVnSX0vozXhGluamEcS54Dw9_zqW0N7qJUWgJ0Sw/edit?usp=sharing"",""ชัยนาท!L722"")+IMPORTRANGE(""https://docs.google.com/spreadsheets/d/1jkqa6GXxSacMcY1eN8AHjMNJ_7dDXMJ"&amp;"VRLDlaFSOdPM/edit?usp=sharing"",""ตราด!L722"")+IMPORTRANGE(""https://docs.google.com/spreadsheets/d/18hSgUJ3VwClqi_qtULmmW3cLr0oe3OKaSYoKzdpTsYQ/edit?usp=sharing"",""นครนายก!L722"")+IMPORTRANGE(""https://docs.google.com/spreadsheets/d/1YTZo6WM2dQ6Ix6FSdnL"&amp;"5P7uVnVKu40sxZu975tgG10E/edit?usp=sharing"",""นครปฐม!L722"")+IMPORTRANGE(""https://docs.google.com/spreadsheets/d/1OYoGg4WDg5RIzwGeB10padOxJF9E_Vljuvvct_M7RDo/edit?usp=sharing"",""ปทุมธานี!L722"")+IMPORTRANGE(""https://docs.google.com/spreadsheets/d/1GbCI"&amp;"E4D4wk9FUozzqk7SxfDMxDVBwVmI5zcaVUSzKAc/edit?usp=sharing"",""ประจวบคีรีขันธ์!L722"")+IMPORTRANGE(""https://docs.google.com/spreadsheets/d/1vVf6wykvW_lAyu7Yo9L4hUTqHqIeP_qcVuxCtosJEbg/edit?usp=sharing"",""ปราจีนบุรี!L722"")+IMPORTRANGE(""https://docs.googl"&amp;"e.com/spreadsheets/d/1BIDqLLg5jk3v59G8NlR8rk5xfQDKne0sAvZHSj7TI6I/edit?usp=sharing"",""พระนครศรีอยุธยา!L722"")+IMPORTRANGE(""https://docs.google.com/spreadsheets/d/1YXvxf8Yu6_rV4hTBrwMqAcAnv6DfhUxh5emyM3CJp_w/edit?usp=sharing"",""เพชรบุรี!L722"")+IMPORTRA"&amp;"NGE(""https://docs.google.com/spreadsheets/d/19KBlQQs7uwvsao6t2n-KvW3Ax8J8uRRfZPq1zPbXgKc/edit?usp=sharing"",""ระยอง!L722"")+IMPORTRANGE(""https://docs.google.com/spreadsheets/d/1jQ6P4QcrGM89YfqcC_PxOHGCMq5ezhucwJd8ci-NHng/edit?usp=sharing"",""ราชบุรี!L72"&amp;"2"")+IMPORTRANGE(""https://docs.google.com/spreadsheets/d/1lufeA2cfFqM-elVq2hznhDzC6Pr7wkJ9ZG_sYNGCMCU/edit?usp=sharing"",""ลพบุรี!L722"")+IMPORTRANGE(""https://docs.google.com/spreadsheets/d/10oOiF7loTyfsTkbd4MpaIm0HQ9SwB7IYHdIUvt-U1Uc/edit?usp=sharing"""&amp;",""สระแก้ว!L722"")+IMPORTRANGE(""https://docs.google.com/spreadsheets/d/1xmPlrr1QbdSIKvl1dWUl9K4PjAfSL9oeMr_37QVzcxc/edit?usp=sharing"",""สระบุรี!L722"")+IMPORTRANGE(""https://docs.google.com/spreadsheets/d/1j51vR6CYVGhABJpv6tkstgok82RLpXieLzW1yOY5rHw/edi"&amp;"t?usp=sharing"",""สิงห์บุรี!L722"")+IMPORTRANGE(""https://docs.google.com/spreadsheets/d/1H1EalTWKUSzO4Z1-1CwzoDUaVffgrThEBe2sl74kKG0/edit?usp=sharing"",""สุพรรณบุรี!L722"")+IMPORTRANGE(""https://docs.google.com/spreadsheets/d/1BmIruG_sIrJLYao_Pdr7zVArWsf"&amp;"oBt2692TMi6x_854/edit?usp=sharing"",""อ่างทอง!L722"")"),0)</f>
        <v>0</v>
      </c>
      <c r="M723" s="74">
        <f ca="1">IFERROR(__xludf.DUMMYFUNCTION("IMPORTRANGE(""https://docs.google.com/spreadsheets/d/13wPX838HrBrQMCywv1BsuMkt4PEKTChp52zj44s2izQ/edit?usp=sharing"",""กาญจนบุรี!M722"")+IMPORTRANGE(""https://docs.google.com/spreadsheets/d/1ddFKvqj1W1NEiWytbGlB1zMx_ykJDVtmfEQ-6-lIUBA/edit?usp=sharing"","&amp;"""จันทบุรี!M722"")+IMPORTRANGE(""https://docs.google.com/spreadsheets/d/1T1PQvRODqOBZk8BRht_U031fIS1beLA0Ub2CEytj2q0/edit?usp=sharing"",""ฉะเชิงเทรา!M722"")+IMPORTRANGE(""https://docs.google.com/spreadsheets/d/11tr1B-Bhyr79v2bkwVh5h_fR-PStkgjlZtkrZpYurG0/"&amp;"edit?usp=sharing"",""ชลบุรี!M722"")+IMPORTRANGE(""https://docs.google.com/spreadsheets/d/1hh-FVnSX0vozXhGluamEcS54Dw9_zqW0N7qJUWgJ0Sw/edit?usp=sharing"",""ชัยนาท!M722"")+IMPORTRANGE(""https://docs.google.com/spreadsheets/d/1jkqa6GXxSacMcY1eN8AHjMNJ_7dDXMJ"&amp;"VRLDlaFSOdPM/edit?usp=sharing"",""ตราด!M722"")+IMPORTRANGE(""https://docs.google.com/spreadsheets/d/18hSgUJ3VwClqi_qtULmmW3cLr0oe3OKaSYoKzdpTsYQ/edit?usp=sharing"",""นครนายก!M722"")+IMPORTRANGE(""https://docs.google.com/spreadsheets/d/1YTZo6WM2dQ6Ix6FSdnL"&amp;"5P7uVnVKu40sxZu975tgG10E/edit?usp=sharing"",""นครปฐม!M722"")+IMPORTRANGE(""https://docs.google.com/spreadsheets/d/1OYoGg4WDg5RIzwGeB10padOxJF9E_Vljuvvct_M7RDo/edit?usp=sharing"",""ปทุมธานี!M722"")+IMPORTRANGE(""https://docs.google.com/spreadsheets/d/1GbCI"&amp;"E4D4wk9FUozzqk7SxfDMxDVBwVmI5zcaVUSzKAc/edit?usp=sharing"",""ประจวบคีรีขันธ์!M722"")+IMPORTRANGE(""https://docs.google.com/spreadsheets/d/1vVf6wykvW_lAyu7Yo9L4hUTqHqIeP_qcVuxCtosJEbg/edit?usp=sharing"",""ปราจีนบุรี!M722"")+IMPORTRANGE(""https://docs.googl"&amp;"e.com/spreadsheets/d/1BIDqLLg5jk3v59G8NlR8rk5xfQDKne0sAvZHSj7TI6I/edit?usp=sharing"",""พระนครศรีอยุธยา!M722"")+IMPORTRANGE(""https://docs.google.com/spreadsheets/d/1YXvxf8Yu6_rV4hTBrwMqAcAnv6DfhUxh5emyM3CJp_w/edit?usp=sharing"",""เพชรบุรี!M722"")+IMPORTRA"&amp;"NGE(""https://docs.google.com/spreadsheets/d/19KBlQQs7uwvsao6t2n-KvW3Ax8J8uRRfZPq1zPbXgKc/edit?usp=sharing"",""ระยอง!M722"")+IMPORTRANGE(""https://docs.google.com/spreadsheets/d/1jQ6P4QcrGM89YfqcC_PxOHGCMq5ezhucwJd8ci-NHng/edit?usp=sharing"",""ราชบุรี!M72"&amp;"2"")+IMPORTRANGE(""https://docs.google.com/spreadsheets/d/1lufeA2cfFqM-elVq2hznhDzC6Pr7wkJ9ZG_sYNGCMCU/edit?usp=sharing"",""ลพบุรี!M722"")+IMPORTRANGE(""https://docs.google.com/spreadsheets/d/10oOiF7loTyfsTkbd4MpaIm0HQ9SwB7IYHdIUvt-U1Uc/edit?usp=sharing"""&amp;",""สระแก้ว!M722"")+IMPORTRANGE(""https://docs.google.com/spreadsheets/d/1xmPlrr1QbdSIKvl1dWUl9K4PjAfSL9oeMr_37QVzcxc/edit?usp=sharing"",""สระบุรี!M722"")+IMPORTRANGE(""https://docs.google.com/spreadsheets/d/1j51vR6CYVGhABJpv6tkstgok82RLpXieLzW1yOY5rHw/edi"&amp;"t?usp=sharing"",""สิงห์บุรี!M722"")+IMPORTRANGE(""https://docs.google.com/spreadsheets/d/1H1EalTWKUSzO4Z1-1CwzoDUaVffgrThEBe2sl74kKG0/edit?usp=sharing"",""สุพรรณบุรี!M722"")+IMPORTRANGE(""https://docs.google.com/spreadsheets/d/1BmIruG_sIrJLYao_Pdr7zVArWsf"&amp;"oBt2692TMi6x_854/edit?usp=sharing"",""อ่างทอง!M722"")"),0)</f>
        <v>0</v>
      </c>
      <c r="N723" s="74">
        <f ca="1">IFERROR(__xludf.DUMMYFUNCTION("IMPORTRANGE(""https://docs.google.com/spreadsheets/d/13wPX838HrBrQMCywv1BsuMkt4PEKTChp52zj44s2izQ/edit?usp=sharing"",""กาญจนบุรี!N722"")+IMPORTRANGE(""https://docs.google.com/spreadsheets/d/1ddFKvqj1W1NEiWytbGlB1zMx_ykJDVtmfEQ-6-lIUBA/edit?usp=sharing"","&amp;"""จันทบุรี!N722"")+IMPORTRANGE(""https://docs.google.com/spreadsheets/d/1T1PQvRODqOBZk8BRht_U031fIS1beLA0Ub2CEytj2q0/edit?usp=sharing"",""ฉะเชิงเทรา!N722"")+IMPORTRANGE(""https://docs.google.com/spreadsheets/d/11tr1B-Bhyr79v2bkwVh5h_fR-PStkgjlZtkrZpYurG0/"&amp;"edit?usp=sharing"",""ชลบุรี!N722"")+IMPORTRANGE(""https://docs.google.com/spreadsheets/d/1hh-FVnSX0vozXhGluamEcS54Dw9_zqW0N7qJUWgJ0Sw/edit?usp=sharing"",""ชัยนาท!N722"")+IMPORTRANGE(""https://docs.google.com/spreadsheets/d/1jkqa6GXxSacMcY1eN8AHjMNJ_7dDXMJ"&amp;"VRLDlaFSOdPM/edit?usp=sharing"",""ตราด!N722"")+IMPORTRANGE(""https://docs.google.com/spreadsheets/d/18hSgUJ3VwClqi_qtULmmW3cLr0oe3OKaSYoKzdpTsYQ/edit?usp=sharing"",""นครนายก!N722"")+IMPORTRANGE(""https://docs.google.com/spreadsheets/d/1YTZo6WM2dQ6Ix6FSdnL"&amp;"5P7uVnVKu40sxZu975tgG10E/edit?usp=sharing"",""นครปฐม!N722"")+IMPORTRANGE(""https://docs.google.com/spreadsheets/d/1OYoGg4WDg5RIzwGeB10padOxJF9E_Vljuvvct_M7RDo/edit?usp=sharing"",""ปทุมธานี!N722"")+IMPORTRANGE(""https://docs.google.com/spreadsheets/d/1GbCI"&amp;"E4D4wk9FUozzqk7SxfDMxDVBwVmI5zcaVUSzKAc/edit?usp=sharing"",""ประจวบคีรีขันธ์!N722"")+IMPORTRANGE(""https://docs.google.com/spreadsheets/d/1vVf6wykvW_lAyu7Yo9L4hUTqHqIeP_qcVuxCtosJEbg/edit?usp=sharing"",""ปราจีนบุรี!N722"")+IMPORTRANGE(""https://docs.googl"&amp;"e.com/spreadsheets/d/1BIDqLLg5jk3v59G8NlR8rk5xfQDKne0sAvZHSj7TI6I/edit?usp=sharing"",""พระนครศรีอยุธยา!N722"")+IMPORTRANGE(""https://docs.google.com/spreadsheets/d/1YXvxf8Yu6_rV4hTBrwMqAcAnv6DfhUxh5emyM3CJp_w/edit?usp=sharing"",""เพชรบุรี!N722"")+IMPORTRA"&amp;"NGE(""https://docs.google.com/spreadsheets/d/19KBlQQs7uwvsao6t2n-KvW3Ax8J8uRRfZPq1zPbXgKc/edit?usp=sharing"",""ระยอง!N722"")+IMPORTRANGE(""https://docs.google.com/spreadsheets/d/1jQ6P4QcrGM89YfqcC_PxOHGCMq5ezhucwJd8ci-NHng/edit?usp=sharing"",""ราชบุรี!N72"&amp;"2"")+IMPORTRANGE(""https://docs.google.com/spreadsheets/d/1lufeA2cfFqM-elVq2hznhDzC6Pr7wkJ9ZG_sYNGCMCU/edit?usp=sharing"",""ลพบุรี!N722"")+IMPORTRANGE(""https://docs.google.com/spreadsheets/d/10oOiF7loTyfsTkbd4MpaIm0HQ9SwB7IYHdIUvt-U1Uc/edit?usp=sharing"""&amp;",""สระแก้ว!N722"")+IMPORTRANGE(""https://docs.google.com/spreadsheets/d/1xmPlrr1QbdSIKvl1dWUl9K4PjAfSL9oeMr_37QVzcxc/edit?usp=sharing"",""สระบุรี!N722"")+IMPORTRANGE(""https://docs.google.com/spreadsheets/d/1j51vR6CYVGhABJpv6tkstgok82RLpXieLzW1yOY5rHw/edi"&amp;"t?usp=sharing"",""สิงห์บุรี!N722"")+IMPORTRANGE(""https://docs.google.com/spreadsheets/d/1H1EalTWKUSzO4Z1-1CwzoDUaVffgrThEBe2sl74kKG0/edit?usp=sharing"",""สุพรรณบุรี!N722"")+IMPORTRANGE(""https://docs.google.com/spreadsheets/d/1BmIruG_sIrJLYao_Pdr7zVArWsf"&amp;"oBt2692TMi6x_854/edit?usp=sharing"",""อ่างทอง!N722"")"),0)</f>
        <v>0</v>
      </c>
      <c r="O723" s="74">
        <f t="shared" ca="1" si="481"/>
        <v>0</v>
      </c>
      <c r="P723" s="74">
        <f t="shared" ca="1" si="482"/>
        <v>0</v>
      </c>
      <c r="Q723" s="73">
        <f ca="1">IFERROR(__xludf.DUMMYFUNCTION("IMPORTRANGE(""https://docs.google.com/spreadsheets/d/13wPX838HrBrQMCywv1BsuMkt4PEKTChp52zj44s2izQ/edit?usp=sharing"",""กาญจนบุรี!Q722"")+IMPORTRANGE(""https://docs.google.com/spreadsheets/d/1ddFKvqj1W1NEiWytbGlB1zMx_ykJDVtmfEQ-6-lIUBA/edit?usp=sharing"","&amp;"""จันทบุรี!Q722"")+IMPORTRANGE(""https://docs.google.com/spreadsheets/d/1T1PQvRODqOBZk8BRht_U031fIS1beLA0Ub2CEytj2q0/edit?usp=sharing"",""ฉะเชิงเทรา!Q722"")+IMPORTRANGE(""https://docs.google.com/spreadsheets/d/11tr1B-Bhyr79v2bkwVh5h_fR-PStkgjlZtkrZpYurG0/"&amp;"edit?usp=sharing"",""ชลบุรี!Q722"")+IMPORTRANGE(""https://docs.google.com/spreadsheets/d/1hh-FVnSX0vozXhGluamEcS54Dw9_zqW0N7qJUWgJ0Sw/edit?usp=sharing"",""ชัยนาท!Q722"")+IMPORTRANGE(""https://docs.google.com/spreadsheets/d/1jkqa6GXxSacMcY1eN8AHjMNJ_7dDXMJ"&amp;"VRLDlaFSOdPM/edit?usp=sharing"",""ตราด!Q722"")+IMPORTRANGE(""https://docs.google.com/spreadsheets/d/18hSgUJ3VwClqi_qtULmmW3cLr0oe3OKaSYoKzdpTsYQ/edit?usp=sharing"",""นครนายก!Q722"")+IMPORTRANGE(""https://docs.google.com/spreadsheets/d/1YTZo6WM2dQ6Ix6FSdnL"&amp;"5P7uVnVKu40sxZu975tgG10E/edit?usp=sharing"",""นครปฐม!Q722"")+IMPORTRANGE(""https://docs.google.com/spreadsheets/d/1OYoGg4WDg5RIzwGeB10padOxJF9E_Vljuvvct_M7RDo/edit?usp=sharing"",""ปทุมธานี!Q722"")+IMPORTRANGE(""https://docs.google.com/spreadsheets/d/1GbCI"&amp;"E4D4wk9FUozzqk7SxfDMxDVBwVmI5zcaVUSzKAc/edit?usp=sharing"",""ประจวบคีรีขันธ์!Q722"")+IMPORTRANGE(""https://docs.google.com/spreadsheets/d/1vVf6wykvW_lAyu7Yo9L4hUTqHqIeP_qcVuxCtosJEbg/edit?usp=sharing"",""ปราจีนบุรี!Q722"")+IMPORTRANGE(""https://docs.googl"&amp;"e.com/spreadsheets/d/1BIDqLLg5jk3v59G8NlR8rk5xfQDKne0sAvZHSj7TI6I/edit?usp=sharing"",""พระนครศรีอยุธยา!Q722"")+IMPORTRANGE(""https://docs.google.com/spreadsheets/d/1YXvxf8Yu6_rV4hTBrwMqAcAnv6DfhUxh5emyM3CJp_w/edit?usp=sharing"",""เพชรบุรี!Q722"")+IMPORTRA"&amp;"NGE(""https://docs.google.com/spreadsheets/d/19KBlQQs7uwvsao6t2n-KvW3Ax8J8uRRfZPq1zPbXgKc/edit?usp=sharing"",""ระยอง!Q722"")+IMPORTRANGE(""https://docs.google.com/spreadsheets/d/1jQ6P4QcrGM89YfqcC_PxOHGCMq5ezhucwJd8ci-NHng/edit?usp=sharing"",""ราชบุรี!Q72"&amp;"2"")+IMPORTRANGE(""https://docs.google.com/spreadsheets/d/1lufeA2cfFqM-elVq2hznhDzC6Pr7wkJ9ZG_sYNGCMCU/edit?usp=sharing"",""ลพบุรี!Q722"")+IMPORTRANGE(""https://docs.google.com/spreadsheets/d/10oOiF7loTyfsTkbd4MpaIm0HQ9SwB7IYHdIUvt-U1Uc/edit?usp=sharing"""&amp;",""สระแก้ว!Q722"")+IMPORTRANGE(""https://docs.google.com/spreadsheets/d/1xmPlrr1QbdSIKvl1dWUl9K4PjAfSL9oeMr_37QVzcxc/edit?usp=sharing"",""สระบุรี!Q722"")+IMPORTRANGE(""https://docs.google.com/spreadsheets/d/1j51vR6CYVGhABJpv6tkstgok82RLpXieLzW1yOY5rHw/edi"&amp;"t?usp=sharing"",""สิงห์บุรี!Q722"")+IMPORTRANGE(""https://docs.google.com/spreadsheets/d/1H1EalTWKUSzO4Z1-1CwzoDUaVffgrThEBe2sl74kKG0/edit?usp=sharing"",""สุพรรณบุรี!Q722"")+IMPORTRANGE(""https://docs.google.com/spreadsheets/d/1BmIruG_sIrJLYao_Pdr7zVArWsf"&amp;"oBt2692TMi6x_854/edit?usp=sharing"",""อ่างทอง!Q722"")"),0)</f>
        <v>0</v>
      </c>
      <c r="R723" s="74">
        <f ca="1">IFERROR(__xludf.DUMMYFUNCTION("IMPORTRANGE(""https://docs.google.com/spreadsheets/d/13wPX838HrBrQMCywv1BsuMkt4PEKTChp52zj44s2izQ/edit?usp=sharing"",""กาญจนบุรี!R722"")+IMPORTRANGE(""https://docs.google.com/spreadsheets/d/1ddFKvqj1W1NEiWytbGlB1zMx_ykJDVtmfEQ-6-lIUBA/edit?usp=sharing"","&amp;"""จันทบุรี!R722"")+IMPORTRANGE(""https://docs.google.com/spreadsheets/d/1T1PQvRODqOBZk8BRht_U031fIS1beLA0Ub2CEytj2q0/edit?usp=sharing"",""ฉะเชิงเทรา!R722"")+IMPORTRANGE(""https://docs.google.com/spreadsheets/d/11tr1B-Bhyr79v2bkwVh5h_fR-PStkgjlZtkrZpYurG0/"&amp;"edit?usp=sharing"",""ชลบุรี!R722"")+IMPORTRANGE(""https://docs.google.com/spreadsheets/d/1hh-FVnSX0vozXhGluamEcS54Dw9_zqW0N7qJUWgJ0Sw/edit?usp=sharing"",""ชัยนาท!R722"")+IMPORTRANGE(""https://docs.google.com/spreadsheets/d/1jkqa6GXxSacMcY1eN8AHjMNJ_7dDXMJ"&amp;"VRLDlaFSOdPM/edit?usp=sharing"",""ตราด!R722"")+IMPORTRANGE(""https://docs.google.com/spreadsheets/d/18hSgUJ3VwClqi_qtULmmW3cLr0oe3OKaSYoKzdpTsYQ/edit?usp=sharing"",""นครนายก!R722"")+IMPORTRANGE(""https://docs.google.com/spreadsheets/d/1YTZo6WM2dQ6Ix6FSdnL"&amp;"5P7uVnVKu40sxZu975tgG10E/edit?usp=sharing"",""นครปฐม!R722"")+IMPORTRANGE(""https://docs.google.com/spreadsheets/d/1OYoGg4WDg5RIzwGeB10padOxJF9E_Vljuvvct_M7RDo/edit?usp=sharing"",""ปทุมธานี!R722"")+IMPORTRANGE(""https://docs.google.com/spreadsheets/d/1GbCI"&amp;"E4D4wk9FUozzqk7SxfDMxDVBwVmI5zcaVUSzKAc/edit?usp=sharing"",""ประจวบคีรีขันธ์!R722"")+IMPORTRANGE(""https://docs.google.com/spreadsheets/d/1vVf6wykvW_lAyu7Yo9L4hUTqHqIeP_qcVuxCtosJEbg/edit?usp=sharing"",""ปราจีนบุรี!R722"")+IMPORTRANGE(""https://docs.googl"&amp;"e.com/spreadsheets/d/1BIDqLLg5jk3v59G8NlR8rk5xfQDKne0sAvZHSj7TI6I/edit?usp=sharing"",""พระนครศรีอยุธยา!R722"")+IMPORTRANGE(""https://docs.google.com/spreadsheets/d/1YXvxf8Yu6_rV4hTBrwMqAcAnv6DfhUxh5emyM3CJp_w/edit?usp=sharing"",""เพชรบุรี!R722"")+IMPORTRA"&amp;"NGE(""https://docs.google.com/spreadsheets/d/19KBlQQs7uwvsao6t2n-KvW3Ax8J8uRRfZPq1zPbXgKc/edit?usp=sharing"",""ระยอง!R722"")+IMPORTRANGE(""https://docs.google.com/spreadsheets/d/1jQ6P4QcrGM89YfqcC_PxOHGCMq5ezhucwJd8ci-NHng/edit?usp=sharing"",""ราชบุรี!R72"&amp;"2"")+IMPORTRANGE(""https://docs.google.com/spreadsheets/d/1lufeA2cfFqM-elVq2hznhDzC6Pr7wkJ9ZG_sYNGCMCU/edit?usp=sharing"",""ลพบุรี!R722"")+IMPORTRANGE(""https://docs.google.com/spreadsheets/d/10oOiF7loTyfsTkbd4MpaIm0HQ9SwB7IYHdIUvt-U1Uc/edit?usp=sharing"""&amp;",""สระแก้ว!R722"")+IMPORTRANGE(""https://docs.google.com/spreadsheets/d/1xmPlrr1QbdSIKvl1dWUl9K4PjAfSL9oeMr_37QVzcxc/edit?usp=sharing"",""สระบุรี!R722"")+IMPORTRANGE(""https://docs.google.com/spreadsheets/d/1j51vR6CYVGhABJpv6tkstgok82RLpXieLzW1yOY5rHw/edi"&amp;"t?usp=sharing"",""สิงห์บุรี!R722"")+IMPORTRANGE(""https://docs.google.com/spreadsheets/d/1H1EalTWKUSzO4Z1-1CwzoDUaVffgrThEBe2sl74kKG0/edit?usp=sharing"",""สุพรรณบุรี!R722"")+IMPORTRANGE(""https://docs.google.com/spreadsheets/d/1BmIruG_sIrJLYao_Pdr7zVArWsf"&amp;"oBt2692TMi6x_854/edit?usp=sharing"",""อ่างทอง!R722"")"),0)</f>
        <v>0</v>
      </c>
      <c r="S723" s="74">
        <f ca="1">IFERROR(__xludf.DUMMYFUNCTION("IMPORTRANGE(""https://docs.google.com/spreadsheets/d/13wPX838HrBrQMCywv1BsuMkt4PEKTChp52zj44s2izQ/edit?usp=sharing"",""กาญจนบุรี!S722"")+IMPORTRANGE(""https://docs.google.com/spreadsheets/d/1ddFKvqj1W1NEiWytbGlB1zMx_ykJDVtmfEQ-6-lIUBA/edit?usp=sharing"","&amp;"""จันทบุรี!S722"")+IMPORTRANGE(""https://docs.google.com/spreadsheets/d/1T1PQvRODqOBZk8BRht_U031fIS1beLA0Ub2CEytj2q0/edit?usp=sharing"",""ฉะเชิงเทรา!S722"")+IMPORTRANGE(""https://docs.google.com/spreadsheets/d/11tr1B-Bhyr79v2bkwVh5h_fR-PStkgjlZtkrZpYurG0/"&amp;"edit?usp=sharing"",""ชลบุรี!S722"")+IMPORTRANGE(""https://docs.google.com/spreadsheets/d/1hh-FVnSX0vozXhGluamEcS54Dw9_zqW0N7qJUWgJ0Sw/edit?usp=sharing"",""ชัยนาท!S722"")+IMPORTRANGE(""https://docs.google.com/spreadsheets/d/1jkqa6GXxSacMcY1eN8AHjMNJ_7dDXMJ"&amp;"VRLDlaFSOdPM/edit?usp=sharing"",""ตราด!S722"")+IMPORTRANGE(""https://docs.google.com/spreadsheets/d/18hSgUJ3VwClqi_qtULmmW3cLr0oe3OKaSYoKzdpTsYQ/edit?usp=sharing"",""นครนายก!S722"")+IMPORTRANGE(""https://docs.google.com/spreadsheets/d/1YTZo6WM2dQ6Ix6FSdnL"&amp;"5P7uVnVKu40sxZu975tgG10E/edit?usp=sharing"",""นครปฐม!S722"")+IMPORTRANGE(""https://docs.google.com/spreadsheets/d/1OYoGg4WDg5RIzwGeB10padOxJF9E_Vljuvvct_M7RDo/edit?usp=sharing"",""ปทุมธานี!S722"")+IMPORTRANGE(""https://docs.google.com/spreadsheets/d/1GbCI"&amp;"E4D4wk9FUozzqk7SxfDMxDVBwVmI5zcaVUSzKAc/edit?usp=sharing"",""ประจวบคีรีขันธ์!S722"")+IMPORTRANGE(""https://docs.google.com/spreadsheets/d/1vVf6wykvW_lAyu7Yo9L4hUTqHqIeP_qcVuxCtosJEbg/edit?usp=sharing"",""ปราจีนบุรี!S722"")+IMPORTRANGE(""https://docs.googl"&amp;"e.com/spreadsheets/d/1BIDqLLg5jk3v59G8NlR8rk5xfQDKne0sAvZHSj7TI6I/edit?usp=sharing"",""พระนครศรีอยุธยา!S722"")+IMPORTRANGE(""https://docs.google.com/spreadsheets/d/1YXvxf8Yu6_rV4hTBrwMqAcAnv6DfhUxh5emyM3CJp_w/edit?usp=sharing"",""เพชรบุรี!S722"")+IMPORTRA"&amp;"NGE(""https://docs.google.com/spreadsheets/d/19KBlQQs7uwvsao6t2n-KvW3Ax8J8uRRfZPq1zPbXgKc/edit?usp=sharing"",""ระยอง!S722"")+IMPORTRANGE(""https://docs.google.com/spreadsheets/d/1jQ6P4QcrGM89YfqcC_PxOHGCMq5ezhucwJd8ci-NHng/edit?usp=sharing"",""ราชบุรี!S72"&amp;"2"")+IMPORTRANGE(""https://docs.google.com/spreadsheets/d/1lufeA2cfFqM-elVq2hznhDzC6Pr7wkJ9ZG_sYNGCMCU/edit?usp=sharing"",""ลพบุรี!S722"")+IMPORTRANGE(""https://docs.google.com/spreadsheets/d/10oOiF7loTyfsTkbd4MpaIm0HQ9SwB7IYHdIUvt-U1Uc/edit?usp=sharing"""&amp;",""สระแก้ว!S722"")+IMPORTRANGE(""https://docs.google.com/spreadsheets/d/1xmPlrr1QbdSIKvl1dWUl9K4PjAfSL9oeMr_37QVzcxc/edit?usp=sharing"",""สระบุรี!S722"")+IMPORTRANGE(""https://docs.google.com/spreadsheets/d/1j51vR6CYVGhABJpv6tkstgok82RLpXieLzW1yOY5rHw/edi"&amp;"t?usp=sharing"",""สิงห์บุรี!S722"")+IMPORTRANGE(""https://docs.google.com/spreadsheets/d/1H1EalTWKUSzO4Z1-1CwzoDUaVffgrThEBe2sl74kKG0/edit?usp=sharing"",""สุพรรณบุรี!S722"")+IMPORTRANGE(""https://docs.google.com/spreadsheets/d/1BmIruG_sIrJLYao_Pdr7zVArWsf"&amp;"oBt2692TMi6x_854/edit?usp=sharing"",""อ่างทอง!S722"")"),0)</f>
        <v>0</v>
      </c>
      <c r="T723" s="132">
        <f t="shared" ca="1" si="484"/>
        <v>0</v>
      </c>
      <c r="U723" s="132">
        <f t="shared" ca="1" si="485"/>
        <v>0</v>
      </c>
    </row>
    <row r="724" spans="1:21" ht="19.5" hidden="1" x14ac:dyDescent="0.3">
      <c r="A724" s="276"/>
      <c r="B724" s="277"/>
      <c r="C724" s="775" t="s">
        <v>18</v>
      </c>
      <c r="D724" s="776" t="s">
        <v>38</v>
      </c>
      <c r="E724" s="280"/>
      <c r="F724" s="280"/>
      <c r="G724" s="281"/>
      <c r="H724" s="310"/>
      <c r="I724" s="272"/>
      <c r="J724" s="272"/>
      <c r="K724" s="229"/>
      <c r="L724" s="229"/>
      <c r="M724" s="229"/>
      <c r="N724" s="229"/>
      <c r="O724" s="229"/>
      <c r="P724" s="229"/>
      <c r="Q724" s="228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7"/>
      <c r="M725" s="87"/>
      <c r="N725" s="87"/>
      <c r="O725" s="87"/>
      <c r="P725" s="87"/>
      <c r="Q725" s="86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8"/>
      <c r="M726" s="98"/>
      <c r="N726" s="98"/>
      <c r="O726" s="98"/>
      <c r="P726" s="98"/>
      <c r="Q726" s="97"/>
      <c r="R726" s="98"/>
      <c r="S726" s="98"/>
      <c r="T726" s="98"/>
      <c r="U726" s="98"/>
    </row>
    <row r="727" spans="1:21" ht="19.5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13wPX838HrBrQMCywv1BsuMkt4PEKTChp52zj44s2izQ/edit?usp=sharing"",""กาญจนบุรี!I726"")+IMPORTRANGE(""https://docs.google.com/spreadsheets/d/1ddFKvqj1W1NEiWytbGlB1zMx_ykJDVtmfEQ-6-lIUBA/edit?usp=sharing"","&amp;"""จันทบุรี!I726"")+IMPORTRANGE(""https://docs.google.com/spreadsheets/d/1T1PQvRODqOBZk8BRht_U031fIS1beLA0Ub2CEytj2q0/edit?usp=sharing"",""ฉะเชิงเทรา!I726"")+IMPORTRANGE(""https://docs.google.com/spreadsheets/d/11tr1B-Bhyr79v2bkwVh5h_fR-PStkgjlZtkrZpYurG0/"&amp;"edit?usp=sharing"",""ชลบุรี!I726"")+IMPORTRANGE(""https://docs.google.com/spreadsheets/d/1hh-FVnSX0vozXhGluamEcS54Dw9_zqW0N7qJUWgJ0Sw/edit?usp=sharing"",""ชัยนาท!I726"")+IMPORTRANGE(""https://docs.google.com/spreadsheets/d/1jkqa6GXxSacMcY1eN8AHjMNJ_7dDXMJ"&amp;"VRLDlaFSOdPM/edit?usp=sharing"",""ตราด!I726"")+IMPORTRANGE(""https://docs.google.com/spreadsheets/d/18hSgUJ3VwClqi_qtULmmW3cLr0oe3OKaSYoKzdpTsYQ/edit?usp=sharing"",""นครนายก!I726"")+IMPORTRANGE(""https://docs.google.com/spreadsheets/d/1YTZo6WM2dQ6Ix6FSdnL"&amp;"5P7uVnVKu40sxZu975tgG10E/edit?usp=sharing"",""นครปฐม!I726"")+IMPORTRANGE(""https://docs.google.com/spreadsheets/d/1OYoGg4WDg5RIzwGeB10padOxJF9E_Vljuvvct_M7RDo/edit?usp=sharing"",""ปทุมธานี!I726"")+IMPORTRANGE(""https://docs.google.com/spreadsheets/d/1GbCI"&amp;"E4D4wk9FUozzqk7SxfDMxDVBwVmI5zcaVUSzKAc/edit?usp=sharing"",""ประจวบคีรีขันธ์!I726"")+IMPORTRANGE(""https://docs.google.com/spreadsheets/d/1vVf6wykvW_lAyu7Yo9L4hUTqHqIeP_qcVuxCtosJEbg/edit?usp=sharing"",""ปราจีนบุรี!I726"")+IMPORTRANGE(""https://docs.googl"&amp;"e.com/spreadsheets/d/1BIDqLLg5jk3v59G8NlR8rk5xfQDKne0sAvZHSj7TI6I/edit?usp=sharing"",""พระนครศรีอยุธยา!I726"")+IMPORTRANGE(""https://docs.google.com/spreadsheets/d/1YXvxf8Yu6_rV4hTBrwMqAcAnv6DfhUxh5emyM3CJp_w/edit?usp=sharing"",""เพชรบุรี!I726"")+IMPORTRA"&amp;"NGE(""https://docs.google.com/spreadsheets/d/19KBlQQs7uwvsao6t2n-KvW3Ax8J8uRRfZPq1zPbXgKc/edit?usp=sharing"",""ระยอง!I726"")+IMPORTRANGE(""https://docs.google.com/spreadsheets/d/1jQ6P4QcrGM89YfqcC_PxOHGCMq5ezhucwJd8ci-NHng/edit?usp=sharing"",""ราชบุรี!I72"&amp;"6"")+IMPORTRANGE(""https://docs.google.com/spreadsheets/d/1lufeA2cfFqM-elVq2hznhDzC6Pr7wkJ9ZG_sYNGCMCU/edit?usp=sharing"",""ลพบุรี!I726"")+IMPORTRANGE(""https://docs.google.com/spreadsheets/d/10oOiF7loTyfsTkbd4MpaIm0HQ9SwB7IYHdIUvt-U1Uc/edit?usp=sharing"""&amp;",""สระแก้ว!I726"")+IMPORTRANGE(""https://docs.google.com/spreadsheets/d/1xmPlrr1QbdSIKvl1dWUl9K4PjAfSL9oeMr_37QVzcxc/edit?usp=sharing"",""สระบุรี!I726"")+IMPORTRANGE(""https://docs.google.com/spreadsheets/d/1j51vR6CYVGhABJpv6tkstgok82RLpXieLzW1yOY5rHw/edi"&amp;"t?usp=sharing"",""สิงห์บุรี!I726"")+IMPORTRANGE(""https://docs.google.com/spreadsheets/d/1H1EalTWKUSzO4Z1-1CwzoDUaVffgrThEBe2sl74kKG0/edit?usp=sharing"",""สุพรรณบุรี!I726"")+IMPORTRANGE(""https://docs.google.com/spreadsheets/d/1BmIruG_sIrJLYao_Pdr7zVArWsf"&amp;"oBt2692TMi6x_854/edit?usp=sharing"",""อ่างทอง!I726"")"),703)</f>
        <v>703</v>
      </c>
      <c r="J727" s="781">
        <f ca="1">J743+J747+J750</f>
        <v>100</v>
      </c>
      <c r="K727" s="766">
        <f t="shared" ref="K727:K728" ca="1" si="494">IF(I727&gt;0,J727*100/I727,0)</f>
        <v>14.22475106685633</v>
      </c>
      <c r="L727" s="733"/>
      <c r="M727" s="733"/>
      <c r="N727" s="733"/>
      <c r="O727" s="733"/>
      <c r="P727" s="733"/>
      <c r="Q727" s="734"/>
      <c r="R727" s="733"/>
      <c r="S727" s="733"/>
      <c r="T727" s="733"/>
      <c r="U727" s="733"/>
    </row>
    <row r="728" spans="1:21" ht="19.5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13wPX838HrBrQMCywv1BsuMkt4PEKTChp52zj44s2izQ/edit?usp=sharing"",""กาญจนบุรี!I727"")+IMPORTRANGE(""https://docs.google.com/spreadsheets/d/1ddFKvqj1W1NEiWytbGlB1zMx_ykJDVtmfEQ-6-lIUBA/edit?usp=sharing"","&amp;"""จันทบุรี!I727"")+IMPORTRANGE(""https://docs.google.com/spreadsheets/d/1T1PQvRODqOBZk8BRht_U031fIS1beLA0Ub2CEytj2q0/edit?usp=sharing"",""ฉะเชิงเทรา!I727"")+IMPORTRANGE(""https://docs.google.com/spreadsheets/d/11tr1B-Bhyr79v2bkwVh5h_fR-PStkgjlZtkrZpYurG0/"&amp;"edit?usp=sharing"",""ชลบุรี!I727"")+IMPORTRANGE(""https://docs.google.com/spreadsheets/d/1hh-FVnSX0vozXhGluamEcS54Dw9_zqW0N7qJUWgJ0Sw/edit?usp=sharing"",""ชัยนาท!I727"")+IMPORTRANGE(""https://docs.google.com/spreadsheets/d/1jkqa6GXxSacMcY1eN8AHjMNJ_7dDXMJ"&amp;"VRLDlaFSOdPM/edit?usp=sharing"",""ตราด!I727"")+IMPORTRANGE(""https://docs.google.com/spreadsheets/d/18hSgUJ3VwClqi_qtULmmW3cLr0oe3OKaSYoKzdpTsYQ/edit?usp=sharing"",""นครนายก!I727"")+IMPORTRANGE(""https://docs.google.com/spreadsheets/d/1YTZo6WM2dQ6Ix6FSdnL"&amp;"5P7uVnVKu40sxZu975tgG10E/edit?usp=sharing"",""นครปฐม!I727"")+IMPORTRANGE(""https://docs.google.com/spreadsheets/d/1OYoGg4WDg5RIzwGeB10padOxJF9E_Vljuvvct_M7RDo/edit?usp=sharing"",""ปทุมธานี!I727"")+IMPORTRANGE(""https://docs.google.com/spreadsheets/d/1GbCI"&amp;"E4D4wk9FUozzqk7SxfDMxDVBwVmI5zcaVUSzKAc/edit?usp=sharing"",""ประจวบคีรีขันธ์!I727"")+IMPORTRANGE(""https://docs.google.com/spreadsheets/d/1vVf6wykvW_lAyu7Yo9L4hUTqHqIeP_qcVuxCtosJEbg/edit?usp=sharing"",""ปราจีนบุรี!I727"")+IMPORTRANGE(""https://docs.googl"&amp;"e.com/spreadsheets/d/1BIDqLLg5jk3v59G8NlR8rk5xfQDKne0sAvZHSj7TI6I/edit?usp=sharing"",""พระนครศรีอยุธยา!I727"")+IMPORTRANGE(""https://docs.google.com/spreadsheets/d/1YXvxf8Yu6_rV4hTBrwMqAcAnv6DfhUxh5emyM3CJp_w/edit?usp=sharing"",""เพชรบุรี!I727"")+IMPORTRA"&amp;"NGE(""https://docs.google.com/spreadsheets/d/19KBlQQs7uwvsao6t2n-KvW3Ax8J8uRRfZPq1zPbXgKc/edit?usp=sharing"",""ระยอง!I727"")+IMPORTRANGE(""https://docs.google.com/spreadsheets/d/1jQ6P4QcrGM89YfqcC_PxOHGCMq5ezhucwJd8ci-NHng/edit?usp=sharing"",""ราชบุรี!I72"&amp;"7"")+IMPORTRANGE(""https://docs.google.com/spreadsheets/d/1lufeA2cfFqM-elVq2hznhDzC6Pr7wkJ9ZG_sYNGCMCU/edit?usp=sharing"",""ลพบุรี!I727"")+IMPORTRANGE(""https://docs.google.com/spreadsheets/d/10oOiF7loTyfsTkbd4MpaIm0HQ9SwB7IYHdIUvt-U1Uc/edit?usp=sharing"""&amp;",""สระแก้ว!I727"")+IMPORTRANGE(""https://docs.google.com/spreadsheets/d/1xmPlrr1QbdSIKvl1dWUl9K4PjAfSL9oeMr_37QVzcxc/edit?usp=sharing"",""สระบุรี!I727"")+IMPORTRANGE(""https://docs.google.com/spreadsheets/d/1j51vR6CYVGhABJpv6tkstgok82RLpXieLzW1yOY5rHw/edi"&amp;"t?usp=sharing"",""สิงห์บุรี!I727"")+IMPORTRANGE(""https://docs.google.com/spreadsheets/d/1H1EalTWKUSzO4Z1-1CwzoDUaVffgrThEBe2sl74kKG0/edit?usp=sharing"",""สุพรรณบุรี!I727"")+IMPORTRANGE(""https://docs.google.com/spreadsheets/d/1BmIruG_sIrJLYao_Pdr7zVArWsf"&amp;"oBt2692TMi6x_854/edit?usp=sharing"",""อ่างทอง!I727"")"),6800)</f>
        <v>6800</v>
      </c>
      <c r="J728" s="781">
        <f ca="1">J753+J756</f>
        <v>0</v>
      </c>
      <c r="K728" s="766">
        <f t="shared" ca="1" si="494"/>
        <v>0</v>
      </c>
      <c r="L728" s="733"/>
      <c r="M728" s="733"/>
      <c r="N728" s="733"/>
      <c r="O728" s="733"/>
      <c r="P728" s="733"/>
      <c r="Q728" s="734"/>
      <c r="R728" s="733"/>
      <c r="S728" s="733"/>
      <c r="T728" s="733"/>
      <c r="U728" s="733"/>
    </row>
    <row r="729" spans="1:21" ht="19.5" x14ac:dyDescent="0.3">
      <c r="A729" s="257"/>
      <c r="B729" s="269"/>
      <c r="C729" s="309" t="s">
        <v>18</v>
      </c>
      <c r="D729" s="1342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264">
        <f t="shared" ref="L729:N729" ca="1" si="495">L730+L731</f>
        <v>0</v>
      </c>
      <c r="M729" s="264">
        <f t="shared" ca="1" si="495"/>
        <v>0</v>
      </c>
      <c r="N729" s="264">
        <f t="shared" ca="1" si="495"/>
        <v>0</v>
      </c>
      <c r="O729" s="264">
        <f t="shared" ref="O729:O737" ca="1" si="496">IF(L729&gt;0,N729*100/L729,0)</f>
        <v>0</v>
      </c>
      <c r="P729" s="264">
        <f t="shared" ref="P729:P737" ca="1" si="497">IF(M729&gt;0,N729*100/M729,0)</f>
        <v>0</v>
      </c>
      <c r="Q729" s="214">
        <f t="shared" ref="Q729:S729" ca="1" si="498">Q730+Q731</f>
        <v>5615326</v>
      </c>
      <c r="R729" s="215">
        <f t="shared" ca="1" si="498"/>
        <v>5615326</v>
      </c>
      <c r="S729" s="215">
        <f t="shared" ca="1" si="498"/>
        <v>62507</v>
      </c>
      <c r="T729" s="215">
        <f t="shared" ref="T729:T737" ca="1" si="499">IF(Q729&gt;0,S729*100/Q729,0)</f>
        <v>1.1131499756202934</v>
      </c>
      <c r="U729" s="215">
        <f t="shared" ref="U729:U737" ca="1" si="500">IF(R729&gt;0,S729*100/R729,0)</f>
        <v>1.1131499756202934</v>
      </c>
    </row>
    <row r="730" spans="1:21" ht="18.75" x14ac:dyDescent="0.25">
      <c r="A730" s="257"/>
      <c r="B730" s="269"/>
      <c r="C730" s="269"/>
      <c r="D730" s="290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7">
        <f t="shared" ref="L730:N730" ca="1" si="501">L733+L736</f>
        <v>0</v>
      </c>
      <c r="M730" s="77">
        <f t="shared" ca="1" si="501"/>
        <v>0</v>
      </c>
      <c r="N730" s="77">
        <f t="shared" ca="1" si="501"/>
        <v>0</v>
      </c>
      <c r="O730" s="77">
        <f t="shared" ca="1" si="496"/>
        <v>0</v>
      </c>
      <c r="P730" s="77">
        <f t="shared" ca="1" si="497"/>
        <v>0</v>
      </c>
      <c r="Q730" s="217">
        <f t="shared" ref="Q730:S730" ca="1" si="502">Q733+Q736</f>
        <v>0</v>
      </c>
      <c r="R730" s="133">
        <f t="shared" ca="1" si="502"/>
        <v>0</v>
      </c>
      <c r="S730" s="133">
        <f t="shared" ca="1" si="502"/>
        <v>0</v>
      </c>
      <c r="T730" s="133">
        <f t="shared" ca="1" si="499"/>
        <v>0</v>
      </c>
      <c r="U730" s="133">
        <f t="shared" ca="1" si="500"/>
        <v>0</v>
      </c>
    </row>
    <row r="731" spans="1:21" ht="18.75" x14ac:dyDescent="0.25">
      <c r="A731" s="257"/>
      <c r="B731" s="269"/>
      <c r="C731" s="269"/>
      <c r="D731" s="290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4">
        <f t="shared" ref="L731:N731" ca="1" si="503">L734+L737</f>
        <v>0</v>
      </c>
      <c r="M731" s="74">
        <f t="shared" ca="1" si="503"/>
        <v>0</v>
      </c>
      <c r="N731" s="74">
        <f t="shared" ca="1" si="503"/>
        <v>0</v>
      </c>
      <c r="O731" s="74">
        <f t="shared" ca="1" si="496"/>
        <v>0</v>
      </c>
      <c r="P731" s="74">
        <f t="shared" ca="1" si="497"/>
        <v>0</v>
      </c>
      <c r="Q731" s="131">
        <f t="shared" ref="Q731:S731" ca="1" si="504">Q734+Q737</f>
        <v>5615326</v>
      </c>
      <c r="R731" s="132">
        <f t="shared" ca="1" si="504"/>
        <v>5615326</v>
      </c>
      <c r="S731" s="132">
        <f t="shared" ca="1" si="504"/>
        <v>62507</v>
      </c>
      <c r="T731" s="132">
        <f t="shared" ca="1" si="499"/>
        <v>1.1131499756202934</v>
      </c>
      <c r="U731" s="132">
        <f t="shared" ca="1" si="500"/>
        <v>1.1131499756202934</v>
      </c>
    </row>
    <row r="732" spans="1:21" ht="18.75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4">
        <f t="shared" ref="L732:N732" ca="1" si="505">L733+L734</f>
        <v>0</v>
      </c>
      <c r="M732" s="74">
        <f t="shared" ca="1" si="505"/>
        <v>0</v>
      </c>
      <c r="N732" s="74">
        <f t="shared" ca="1" si="505"/>
        <v>0</v>
      </c>
      <c r="O732" s="74">
        <f t="shared" ca="1" si="496"/>
        <v>0</v>
      </c>
      <c r="P732" s="74">
        <f t="shared" ca="1" si="497"/>
        <v>0</v>
      </c>
      <c r="Q732" s="131">
        <f t="shared" ref="Q732:S732" ca="1" si="506">Q733+Q734</f>
        <v>5615326</v>
      </c>
      <c r="R732" s="132">
        <f t="shared" ca="1" si="506"/>
        <v>5615326</v>
      </c>
      <c r="S732" s="132">
        <f t="shared" ca="1" si="506"/>
        <v>62507</v>
      </c>
      <c r="T732" s="132">
        <f t="shared" ca="1" si="499"/>
        <v>1.1131499756202934</v>
      </c>
      <c r="U732" s="132">
        <f t="shared" ca="1" si="500"/>
        <v>1.1131499756202934</v>
      </c>
    </row>
    <row r="733" spans="1:21" ht="18.75" x14ac:dyDescent="0.25">
      <c r="A733" s="257"/>
      <c r="B733" s="269"/>
      <c r="C733" s="269"/>
      <c r="D733" s="290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7">
        <f ca="1">IFERROR(__xludf.DUMMYFUNCTION("IMPORTRANGE(""https://docs.google.com/spreadsheets/d/13wPX838HrBrQMCywv1BsuMkt4PEKTChp52zj44s2izQ/edit?usp=sharing"",""กาญจนบุรี!L732"")+IMPORTRANGE(""https://docs.google.com/spreadsheets/d/1ddFKvqj1W1NEiWytbGlB1zMx_ykJDVtmfEQ-6-lIUBA/edit?usp=sharing"","&amp;"""จันทบุรี!L732"")+IMPORTRANGE(""https://docs.google.com/spreadsheets/d/1T1PQvRODqOBZk8BRht_U031fIS1beLA0Ub2CEytj2q0/edit?usp=sharing"",""ฉะเชิงเทรา!L732"")+IMPORTRANGE(""https://docs.google.com/spreadsheets/d/11tr1B-Bhyr79v2bkwVh5h_fR-PStkgjlZtkrZpYurG0/"&amp;"edit?usp=sharing"",""ชลบุรี!L732"")+IMPORTRANGE(""https://docs.google.com/spreadsheets/d/1hh-FVnSX0vozXhGluamEcS54Dw9_zqW0N7qJUWgJ0Sw/edit?usp=sharing"",""ชัยนาท!L732"")+IMPORTRANGE(""https://docs.google.com/spreadsheets/d/1jkqa6GXxSacMcY1eN8AHjMNJ_7dDXMJ"&amp;"VRLDlaFSOdPM/edit?usp=sharing"",""ตราด!L732"")+IMPORTRANGE(""https://docs.google.com/spreadsheets/d/18hSgUJ3VwClqi_qtULmmW3cLr0oe3OKaSYoKzdpTsYQ/edit?usp=sharing"",""นครนายก!L732"")+IMPORTRANGE(""https://docs.google.com/spreadsheets/d/1YTZo6WM2dQ6Ix6FSdnL"&amp;"5P7uVnVKu40sxZu975tgG10E/edit?usp=sharing"",""นครปฐม!L732"")+IMPORTRANGE(""https://docs.google.com/spreadsheets/d/1OYoGg4WDg5RIzwGeB10padOxJF9E_Vljuvvct_M7RDo/edit?usp=sharing"",""ปทุมธานี!L732"")+IMPORTRANGE(""https://docs.google.com/spreadsheets/d/1GbCI"&amp;"E4D4wk9FUozzqk7SxfDMxDVBwVmI5zcaVUSzKAc/edit?usp=sharing"",""ประจวบคีรีขันธ์!L732"")+IMPORTRANGE(""https://docs.google.com/spreadsheets/d/1vVf6wykvW_lAyu7Yo9L4hUTqHqIeP_qcVuxCtosJEbg/edit?usp=sharing"",""ปราจีนบุรี!L732"")+IMPORTRANGE(""https://docs.googl"&amp;"e.com/spreadsheets/d/1BIDqLLg5jk3v59G8NlR8rk5xfQDKne0sAvZHSj7TI6I/edit?usp=sharing"",""พระนครศรีอยุธยา!L732"")+IMPORTRANGE(""https://docs.google.com/spreadsheets/d/1YXvxf8Yu6_rV4hTBrwMqAcAnv6DfhUxh5emyM3CJp_w/edit?usp=sharing"",""เพชรบุรี!L732"")+IMPORTRA"&amp;"NGE(""https://docs.google.com/spreadsheets/d/19KBlQQs7uwvsao6t2n-KvW3Ax8J8uRRfZPq1zPbXgKc/edit?usp=sharing"",""ระยอง!L732"")+IMPORTRANGE(""https://docs.google.com/spreadsheets/d/1jQ6P4QcrGM89YfqcC_PxOHGCMq5ezhucwJd8ci-NHng/edit?usp=sharing"",""ราชบุรี!L73"&amp;"2"")+IMPORTRANGE(""https://docs.google.com/spreadsheets/d/1lufeA2cfFqM-elVq2hznhDzC6Pr7wkJ9ZG_sYNGCMCU/edit?usp=sharing"",""ลพบุรี!L732"")+IMPORTRANGE(""https://docs.google.com/spreadsheets/d/10oOiF7loTyfsTkbd4MpaIm0HQ9SwB7IYHdIUvt-U1Uc/edit?usp=sharing"""&amp;",""สระแก้ว!L732"")+IMPORTRANGE(""https://docs.google.com/spreadsheets/d/1xmPlrr1QbdSIKvl1dWUl9K4PjAfSL9oeMr_37QVzcxc/edit?usp=sharing"",""สระบุรี!L732"")+IMPORTRANGE(""https://docs.google.com/spreadsheets/d/1j51vR6CYVGhABJpv6tkstgok82RLpXieLzW1yOY5rHw/edi"&amp;"t?usp=sharing"",""สิงห์บุรี!L732"")+IMPORTRANGE(""https://docs.google.com/spreadsheets/d/1H1EalTWKUSzO4Z1-1CwzoDUaVffgrThEBe2sl74kKG0/edit?usp=sharing"",""สุพรรณบุรี!L732"")+IMPORTRANGE(""https://docs.google.com/spreadsheets/d/1BmIruG_sIrJLYao_Pdr7zVArWsf"&amp;"oBt2692TMi6x_854/edit?usp=sharing"",""อ่างทอง!L732"")"),0)</f>
        <v>0</v>
      </c>
      <c r="M733" s="77">
        <f ca="1">IFERROR(__xludf.DUMMYFUNCTION("IMPORTRANGE(""https://docs.google.com/spreadsheets/d/13wPX838HrBrQMCywv1BsuMkt4PEKTChp52zj44s2izQ/edit?usp=sharing"",""กาญจนบุรี!M732"")+IMPORTRANGE(""https://docs.google.com/spreadsheets/d/1ddFKvqj1W1NEiWytbGlB1zMx_ykJDVtmfEQ-6-lIUBA/edit?usp=sharing"","&amp;"""จันทบุรี!M732"")+IMPORTRANGE(""https://docs.google.com/spreadsheets/d/1T1PQvRODqOBZk8BRht_U031fIS1beLA0Ub2CEytj2q0/edit?usp=sharing"",""ฉะเชิงเทรา!M732"")+IMPORTRANGE(""https://docs.google.com/spreadsheets/d/11tr1B-Bhyr79v2bkwVh5h_fR-PStkgjlZtkrZpYurG0/"&amp;"edit?usp=sharing"",""ชลบุรี!M732"")+IMPORTRANGE(""https://docs.google.com/spreadsheets/d/1hh-FVnSX0vozXhGluamEcS54Dw9_zqW0N7qJUWgJ0Sw/edit?usp=sharing"",""ชัยนาท!M732"")+IMPORTRANGE(""https://docs.google.com/spreadsheets/d/1jkqa6GXxSacMcY1eN8AHjMNJ_7dDXMJ"&amp;"VRLDlaFSOdPM/edit?usp=sharing"",""ตราด!M732"")+IMPORTRANGE(""https://docs.google.com/spreadsheets/d/18hSgUJ3VwClqi_qtULmmW3cLr0oe3OKaSYoKzdpTsYQ/edit?usp=sharing"",""นครนายก!M732"")+IMPORTRANGE(""https://docs.google.com/spreadsheets/d/1YTZo6WM2dQ6Ix6FSdnL"&amp;"5P7uVnVKu40sxZu975tgG10E/edit?usp=sharing"",""นครปฐม!M732"")+IMPORTRANGE(""https://docs.google.com/spreadsheets/d/1OYoGg4WDg5RIzwGeB10padOxJF9E_Vljuvvct_M7RDo/edit?usp=sharing"",""ปทุมธานี!M732"")+IMPORTRANGE(""https://docs.google.com/spreadsheets/d/1GbCI"&amp;"E4D4wk9FUozzqk7SxfDMxDVBwVmI5zcaVUSzKAc/edit?usp=sharing"",""ประจวบคีรีขันธ์!M732"")+IMPORTRANGE(""https://docs.google.com/spreadsheets/d/1vVf6wykvW_lAyu7Yo9L4hUTqHqIeP_qcVuxCtosJEbg/edit?usp=sharing"",""ปราจีนบุรี!M732"")+IMPORTRANGE(""https://docs.googl"&amp;"e.com/spreadsheets/d/1BIDqLLg5jk3v59G8NlR8rk5xfQDKne0sAvZHSj7TI6I/edit?usp=sharing"",""พระนครศรีอยุธยา!M732"")+IMPORTRANGE(""https://docs.google.com/spreadsheets/d/1YXvxf8Yu6_rV4hTBrwMqAcAnv6DfhUxh5emyM3CJp_w/edit?usp=sharing"",""เพชรบุรี!M732"")+IMPORTRA"&amp;"NGE(""https://docs.google.com/spreadsheets/d/19KBlQQs7uwvsao6t2n-KvW3Ax8J8uRRfZPq1zPbXgKc/edit?usp=sharing"",""ระยอง!M732"")+IMPORTRANGE(""https://docs.google.com/spreadsheets/d/1jQ6P4QcrGM89YfqcC_PxOHGCMq5ezhucwJd8ci-NHng/edit?usp=sharing"",""ราชบุรี!M73"&amp;"2"")+IMPORTRANGE(""https://docs.google.com/spreadsheets/d/1lufeA2cfFqM-elVq2hznhDzC6Pr7wkJ9ZG_sYNGCMCU/edit?usp=sharing"",""ลพบุรี!M732"")+IMPORTRANGE(""https://docs.google.com/spreadsheets/d/10oOiF7loTyfsTkbd4MpaIm0HQ9SwB7IYHdIUvt-U1Uc/edit?usp=sharing"""&amp;",""สระแก้ว!M732"")+IMPORTRANGE(""https://docs.google.com/spreadsheets/d/1xmPlrr1QbdSIKvl1dWUl9K4PjAfSL9oeMr_37QVzcxc/edit?usp=sharing"",""สระบุรี!M732"")+IMPORTRANGE(""https://docs.google.com/spreadsheets/d/1j51vR6CYVGhABJpv6tkstgok82RLpXieLzW1yOY5rHw/edi"&amp;"t?usp=sharing"",""สิงห์บุรี!M732"")+IMPORTRANGE(""https://docs.google.com/spreadsheets/d/1H1EalTWKUSzO4Z1-1CwzoDUaVffgrThEBe2sl74kKG0/edit?usp=sharing"",""สุพรรณบุรี!M732"")+IMPORTRANGE(""https://docs.google.com/spreadsheets/d/1BmIruG_sIrJLYao_Pdr7zVArWsf"&amp;"oBt2692TMi6x_854/edit?usp=sharing"",""อ่างทอง!M732"")"),0)</f>
        <v>0</v>
      </c>
      <c r="N733" s="77">
        <f ca="1">IFERROR(__xludf.DUMMYFUNCTION("IMPORTRANGE(""https://docs.google.com/spreadsheets/d/13wPX838HrBrQMCywv1BsuMkt4PEKTChp52zj44s2izQ/edit?usp=sharing"",""กาญจนบุรี!N732"")+IMPORTRANGE(""https://docs.google.com/spreadsheets/d/1ddFKvqj1W1NEiWytbGlB1zMx_ykJDVtmfEQ-6-lIUBA/edit?usp=sharing"","&amp;"""จันทบุรี!N732"")+IMPORTRANGE(""https://docs.google.com/spreadsheets/d/1T1PQvRODqOBZk8BRht_U031fIS1beLA0Ub2CEytj2q0/edit?usp=sharing"",""ฉะเชิงเทรา!N732"")+IMPORTRANGE(""https://docs.google.com/spreadsheets/d/11tr1B-Bhyr79v2bkwVh5h_fR-PStkgjlZtkrZpYurG0/"&amp;"edit?usp=sharing"",""ชลบุรี!N732"")+IMPORTRANGE(""https://docs.google.com/spreadsheets/d/1hh-FVnSX0vozXhGluamEcS54Dw9_zqW0N7qJUWgJ0Sw/edit?usp=sharing"",""ชัยนาท!N732"")+IMPORTRANGE(""https://docs.google.com/spreadsheets/d/1jkqa6GXxSacMcY1eN8AHjMNJ_7dDXMJ"&amp;"VRLDlaFSOdPM/edit?usp=sharing"",""ตราด!N732"")+IMPORTRANGE(""https://docs.google.com/spreadsheets/d/18hSgUJ3VwClqi_qtULmmW3cLr0oe3OKaSYoKzdpTsYQ/edit?usp=sharing"",""นครนายก!N732"")+IMPORTRANGE(""https://docs.google.com/spreadsheets/d/1YTZo6WM2dQ6Ix6FSdnL"&amp;"5P7uVnVKu40sxZu975tgG10E/edit?usp=sharing"",""นครปฐม!N732"")+IMPORTRANGE(""https://docs.google.com/spreadsheets/d/1OYoGg4WDg5RIzwGeB10padOxJF9E_Vljuvvct_M7RDo/edit?usp=sharing"",""ปทุมธานี!N732"")+IMPORTRANGE(""https://docs.google.com/spreadsheets/d/1GbCI"&amp;"E4D4wk9FUozzqk7SxfDMxDVBwVmI5zcaVUSzKAc/edit?usp=sharing"",""ประจวบคีรีขันธ์!N732"")+IMPORTRANGE(""https://docs.google.com/spreadsheets/d/1vVf6wykvW_lAyu7Yo9L4hUTqHqIeP_qcVuxCtosJEbg/edit?usp=sharing"",""ปราจีนบุรี!N732"")+IMPORTRANGE(""https://docs.googl"&amp;"e.com/spreadsheets/d/1BIDqLLg5jk3v59G8NlR8rk5xfQDKne0sAvZHSj7TI6I/edit?usp=sharing"",""พระนครศรีอยุธยา!N732"")+IMPORTRANGE(""https://docs.google.com/spreadsheets/d/1YXvxf8Yu6_rV4hTBrwMqAcAnv6DfhUxh5emyM3CJp_w/edit?usp=sharing"",""เพชรบุรี!N732"")+IMPORTRA"&amp;"NGE(""https://docs.google.com/spreadsheets/d/19KBlQQs7uwvsao6t2n-KvW3Ax8J8uRRfZPq1zPbXgKc/edit?usp=sharing"",""ระยอง!N732"")+IMPORTRANGE(""https://docs.google.com/spreadsheets/d/1jQ6P4QcrGM89YfqcC_PxOHGCMq5ezhucwJd8ci-NHng/edit?usp=sharing"",""ราชบุรี!N73"&amp;"2"")+IMPORTRANGE(""https://docs.google.com/spreadsheets/d/1lufeA2cfFqM-elVq2hznhDzC6Pr7wkJ9ZG_sYNGCMCU/edit?usp=sharing"",""ลพบุรี!N732"")+IMPORTRANGE(""https://docs.google.com/spreadsheets/d/10oOiF7loTyfsTkbd4MpaIm0HQ9SwB7IYHdIUvt-U1Uc/edit?usp=sharing"""&amp;",""สระแก้ว!N732"")+IMPORTRANGE(""https://docs.google.com/spreadsheets/d/1xmPlrr1QbdSIKvl1dWUl9K4PjAfSL9oeMr_37QVzcxc/edit?usp=sharing"",""สระบุรี!N732"")+IMPORTRANGE(""https://docs.google.com/spreadsheets/d/1j51vR6CYVGhABJpv6tkstgok82RLpXieLzW1yOY5rHw/edi"&amp;"t?usp=sharing"",""สิงห์บุรี!N732"")+IMPORTRANGE(""https://docs.google.com/spreadsheets/d/1H1EalTWKUSzO4Z1-1CwzoDUaVffgrThEBe2sl74kKG0/edit?usp=sharing"",""สุพรรณบุรี!N732"")+IMPORTRANGE(""https://docs.google.com/spreadsheets/d/1BmIruG_sIrJLYao_Pdr7zVArWsf"&amp;"oBt2692TMi6x_854/edit?usp=sharing"",""อ่างทอง!N732"")"),0)</f>
        <v>0</v>
      </c>
      <c r="O733" s="77">
        <f t="shared" ca="1" si="496"/>
        <v>0</v>
      </c>
      <c r="P733" s="77">
        <f t="shared" ca="1" si="497"/>
        <v>0</v>
      </c>
      <c r="Q733" s="76">
        <f ca="1">IFERROR(__xludf.DUMMYFUNCTION("IMPORTRANGE(""https://docs.google.com/spreadsheets/d/13wPX838HrBrQMCywv1BsuMkt4PEKTChp52zj44s2izQ/edit?usp=sharing"",""กาญจนบุรี!Q732"")+IMPORTRANGE(""https://docs.google.com/spreadsheets/d/1ddFKvqj1W1NEiWytbGlB1zMx_ykJDVtmfEQ-6-lIUBA/edit?usp=sharing"","&amp;"""จันทบุรี!Q732"")+IMPORTRANGE(""https://docs.google.com/spreadsheets/d/1T1PQvRODqOBZk8BRht_U031fIS1beLA0Ub2CEytj2q0/edit?usp=sharing"",""ฉะเชิงเทรา!Q732"")+IMPORTRANGE(""https://docs.google.com/spreadsheets/d/11tr1B-Bhyr79v2bkwVh5h_fR-PStkgjlZtkrZpYurG0/"&amp;"edit?usp=sharing"",""ชลบุรี!Q732"")+IMPORTRANGE(""https://docs.google.com/spreadsheets/d/1hh-FVnSX0vozXhGluamEcS54Dw9_zqW0N7qJUWgJ0Sw/edit?usp=sharing"",""ชัยนาท!Q732"")+IMPORTRANGE(""https://docs.google.com/spreadsheets/d/1jkqa6GXxSacMcY1eN8AHjMNJ_7dDXMJ"&amp;"VRLDlaFSOdPM/edit?usp=sharing"",""ตราด!Q732"")+IMPORTRANGE(""https://docs.google.com/spreadsheets/d/18hSgUJ3VwClqi_qtULmmW3cLr0oe3OKaSYoKzdpTsYQ/edit?usp=sharing"",""นครนายก!Q732"")+IMPORTRANGE(""https://docs.google.com/spreadsheets/d/1YTZo6WM2dQ6Ix6FSdnL"&amp;"5P7uVnVKu40sxZu975tgG10E/edit?usp=sharing"",""นครปฐม!Q732"")+IMPORTRANGE(""https://docs.google.com/spreadsheets/d/1OYoGg4WDg5RIzwGeB10padOxJF9E_Vljuvvct_M7RDo/edit?usp=sharing"",""ปทุมธานี!Q732"")+IMPORTRANGE(""https://docs.google.com/spreadsheets/d/1GbCI"&amp;"E4D4wk9FUozzqk7SxfDMxDVBwVmI5zcaVUSzKAc/edit?usp=sharing"",""ประจวบคีรีขันธ์!Q732"")+IMPORTRANGE(""https://docs.google.com/spreadsheets/d/1vVf6wykvW_lAyu7Yo9L4hUTqHqIeP_qcVuxCtosJEbg/edit?usp=sharing"",""ปราจีนบุรี!Q732"")+IMPORTRANGE(""https://docs.googl"&amp;"e.com/spreadsheets/d/1BIDqLLg5jk3v59G8NlR8rk5xfQDKne0sAvZHSj7TI6I/edit?usp=sharing"",""พระนครศรีอยุธยา!Q732"")+IMPORTRANGE(""https://docs.google.com/spreadsheets/d/1YXvxf8Yu6_rV4hTBrwMqAcAnv6DfhUxh5emyM3CJp_w/edit?usp=sharing"",""เพชรบุรี!Q732"")+IMPORTRA"&amp;"NGE(""https://docs.google.com/spreadsheets/d/19KBlQQs7uwvsao6t2n-KvW3Ax8J8uRRfZPq1zPbXgKc/edit?usp=sharing"",""ระยอง!Q732"")+IMPORTRANGE(""https://docs.google.com/spreadsheets/d/1jQ6P4QcrGM89YfqcC_PxOHGCMq5ezhucwJd8ci-NHng/edit?usp=sharing"",""ราชบุรี!Q73"&amp;"2"")+IMPORTRANGE(""https://docs.google.com/spreadsheets/d/1lufeA2cfFqM-elVq2hznhDzC6Pr7wkJ9ZG_sYNGCMCU/edit?usp=sharing"",""ลพบุรี!Q732"")+IMPORTRANGE(""https://docs.google.com/spreadsheets/d/10oOiF7loTyfsTkbd4MpaIm0HQ9SwB7IYHdIUvt-U1Uc/edit?usp=sharing"""&amp;",""สระแก้ว!Q732"")+IMPORTRANGE(""https://docs.google.com/spreadsheets/d/1xmPlrr1QbdSIKvl1dWUl9K4PjAfSL9oeMr_37QVzcxc/edit?usp=sharing"",""สระบุรี!Q732"")+IMPORTRANGE(""https://docs.google.com/spreadsheets/d/1j51vR6CYVGhABJpv6tkstgok82RLpXieLzW1yOY5rHw/edi"&amp;"t?usp=sharing"",""สิงห์บุรี!Q732"")+IMPORTRANGE(""https://docs.google.com/spreadsheets/d/1H1EalTWKUSzO4Z1-1CwzoDUaVffgrThEBe2sl74kKG0/edit?usp=sharing"",""สุพรรณบุรี!Q732"")+IMPORTRANGE(""https://docs.google.com/spreadsheets/d/1BmIruG_sIrJLYao_Pdr7zVArWsf"&amp;"oBt2692TMi6x_854/edit?usp=sharing"",""อ่างทอง!Q732"")"),0)</f>
        <v>0</v>
      </c>
      <c r="R733" s="77">
        <f ca="1">IFERROR(__xludf.DUMMYFUNCTION("IMPORTRANGE(""https://docs.google.com/spreadsheets/d/13wPX838HrBrQMCywv1BsuMkt4PEKTChp52zj44s2izQ/edit?usp=sharing"",""กาญจนบุรี!R732"")+IMPORTRANGE(""https://docs.google.com/spreadsheets/d/1ddFKvqj1W1NEiWytbGlB1zMx_ykJDVtmfEQ-6-lIUBA/edit?usp=sharing"","&amp;"""จันทบุรี!R732"")+IMPORTRANGE(""https://docs.google.com/spreadsheets/d/1T1PQvRODqOBZk8BRht_U031fIS1beLA0Ub2CEytj2q0/edit?usp=sharing"",""ฉะเชิงเทรา!R732"")+IMPORTRANGE(""https://docs.google.com/spreadsheets/d/11tr1B-Bhyr79v2bkwVh5h_fR-PStkgjlZtkrZpYurG0/"&amp;"edit?usp=sharing"",""ชลบุรี!R732"")+IMPORTRANGE(""https://docs.google.com/spreadsheets/d/1hh-FVnSX0vozXhGluamEcS54Dw9_zqW0N7qJUWgJ0Sw/edit?usp=sharing"",""ชัยนาท!R732"")+IMPORTRANGE(""https://docs.google.com/spreadsheets/d/1jkqa6GXxSacMcY1eN8AHjMNJ_7dDXMJ"&amp;"VRLDlaFSOdPM/edit?usp=sharing"",""ตราด!R732"")+IMPORTRANGE(""https://docs.google.com/spreadsheets/d/18hSgUJ3VwClqi_qtULmmW3cLr0oe3OKaSYoKzdpTsYQ/edit?usp=sharing"",""นครนายก!R732"")+IMPORTRANGE(""https://docs.google.com/spreadsheets/d/1YTZo6WM2dQ6Ix6FSdnL"&amp;"5P7uVnVKu40sxZu975tgG10E/edit?usp=sharing"",""นครปฐม!R732"")+IMPORTRANGE(""https://docs.google.com/spreadsheets/d/1OYoGg4WDg5RIzwGeB10padOxJF9E_Vljuvvct_M7RDo/edit?usp=sharing"",""ปทุมธานี!R732"")+IMPORTRANGE(""https://docs.google.com/spreadsheets/d/1GbCI"&amp;"E4D4wk9FUozzqk7SxfDMxDVBwVmI5zcaVUSzKAc/edit?usp=sharing"",""ประจวบคีรีขันธ์!R732"")+IMPORTRANGE(""https://docs.google.com/spreadsheets/d/1vVf6wykvW_lAyu7Yo9L4hUTqHqIeP_qcVuxCtosJEbg/edit?usp=sharing"",""ปราจีนบุรี!R732"")+IMPORTRANGE(""https://docs.googl"&amp;"e.com/spreadsheets/d/1BIDqLLg5jk3v59G8NlR8rk5xfQDKne0sAvZHSj7TI6I/edit?usp=sharing"",""พระนครศรีอยุธยา!R732"")+IMPORTRANGE(""https://docs.google.com/spreadsheets/d/1YXvxf8Yu6_rV4hTBrwMqAcAnv6DfhUxh5emyM3CJp_w/edit?usp=sharing"",""เพชรบุรี!R732"")+IMPORTRA"&amp;"NGE(""https://docs.google.com/spreadsheets/d/19KBlQQs7uwvsao6t2n-KvW3Ax8J8uRRfZPq1zPbXgKc/edit?usp=sharing"",""ระยอง!R732"")+IMPORTRANGE(""https://docs.google.com/spreadsheets/d/1jQ6P4QcrGM89YfqcC_PxOHGCMq5ezhucwJd8ci-NHng/edit?usp=sharing"",""ราชบุรี!R73"&amp;"2"")+IMPORTRANGE(""https://docs.google.com/spreadsheets/d/1lufeA2cfFqM-elVq2hznhDzC6Pr7wkJ9ZG_sYNGCMCU/edit?usp=sharing"",""ลพบุรี!R732"")+IMPORTRANGE(""https://docs.google.com/spreadsheets/d/10oOiF7loTyfsTkbd4MpaIm0HQ9SwB7IYHdIUvt-U1Uc/edit?usp=sharing"""&amp;",""สระแก้ว!R732"")+IMPORTRANGE(""https://docs.google.com/spreadsheets/d/1xmPlrr1QbdSIKvl1dWUl9K4PjAfSL9oeMr_37QVzcxc/edit?usp=sharing"",""สระบุรี!R732"")+IMPORTRANGE(""https://docs.google.com/spreadsheets/d/1j51vR6CYVGhABJpv6tkstgok82RLpXieLzW1yOY5rHw/edi"&amp;"t?usp=sharing"",""สิงห์บุรี!R732"")+IMPORTRANGE(""https://docs.google.com/spreadsheets/d/1H1EalTWKUSzO4Z1-1CwzoDUaVffgrThEBe2sl74kKG0/edit?usp=sharing"",""สุพรรณบุรี!R732"")+IMPORTRANGE(""https://docs.google.com/spreadsheets/d/1BmIruG_sIrJLYao_Pdr7zVArWsf"&amp;"oBt2692TMi6x_854/edit?usp=sharing"",""อ่างทอง!R732"")"),0)</f>
        <v>0</v>
      </c>
      <c r="S733" s="77">
        <f ca="1">IFERROR(__xludf.DUMMYFUNCTION("IMPORTRANGE(""https://docs.google.com/spreadsheets/d/13wPX838HrBrQMCywv1BsuMkt4PEKTChp52zj44s2izQ/edit?usp=sharing"",""กาญจนบุรี!S732"")+IMPORTRANGE(""https://docs.google.com/spreadsheets/d/1ddFKvqj1W1NEiWytbGlB1zMx_ykJDVtmfEQ-6-lIUBA/edit?usp=sharing"","&amp;"""จันทบุรี!S732"")+IMPORTRANGE(""https://docs.google.com/spreadsheets/d/1T1PQvRODqOBZk8BRht_U031fIS1beLA0Ub2CEytj2q0/edit?usp=sharing"",""ฉะเชิงเทรา!S732"")+IMPORTRANGE(""https://docs.google.com/spreadsheets/d/11tr1B-Bhyr79v2bkwVh5h_fR-PStkgjlZtkrZpYurG0/"&amp;"edit?usp=sharing"",""ชลบุรี!S732"")+IMPORTRANGE(""https://docs.google.com/spreadsheets/d/1hh-FVnSX0vozXhGluamEcS54Dw9_zqW0N7qJUWgJ0Sw/edit?usp=sharing"",""ชัยนาท!S732"")+IMPORTRANGE(""https://docs.google.com/spreadsheets/d/1jkqa6GXxSacMcY1eN8AHjMNJ_7dDXMJ"&amp;"VRLDlaFSOdPM/edit?usp=sharing"",""ตราด!S732"")+IMPORTRANGE(""https://docs.google.com/spreadsheets/d/18hSgUJ3VwClqi_qtULmmW3cLr0oe3OKaSYoKzdpTsYQ/edit?usp=sharing"",""นครนายก!S732"")+IMPORTRANGE(""https://docs.google.com/spreadsheets/d/1YTZo6WM2dQ6Ix6FSdnL"&amp;"5P7uVnVKu40sxZu975tgG10E/edit?usp=sharing"",""นครปฐม!S732"")+IMPORTRANGE(""https://docs.google.com/spreadsheets/d/1OYoGg4WDg5RIzwGeB10padOxJF9E_Vljuvvct_M7RDo/edit?usp=sharing"",""ปทุมธานี!S732"")+IMPORTRANGE(""https://docs.google.com/spreadsheets/d/1GbCI"&amp;"E4D4wk9FUozzqk7SxfDMxDVBwVmI5zcaVUSzKAc/edit?usp=sharing"",""ประจวบคีรีขันธ์!S732"")+IMPORTRANGE(""https://docs.google.com/spreadsheets/d/1vVf6wykvW_lAyu7Yo9L4hUTqHqIeP_qcVuxCtosJEbg/edit?usp=sharing"",""ปราจีนบุรี!S732"")+IMPORTRANGE(""https://docs.googl"&amp;"e.com/spreadsheets/d/1BIDqLLg5jk3v59G8NlR8rk5xfQDKne0sAvZHSj7TI6I/edit?usp=sharing"",""พระนครศรีอยุธยา!S732"")+IMPORTRANGE(""https://docs.google.com/spreadsheets/d/1YXvxf8Yu6_rV4hTBrwMqAcAnv6DfhUxh5emyM3CJp_w/edit?usp=sharing"",""เพชรบุรี!S732"")+IMPORTRA"&amp;"NGE(""https://docs.google.com/spreadsheets/d/19KBlQQs7uwvsao6t2n-KvW3Ax8J8uRRfZPq1zPbXgKc/edit?usp=sharing"",""ระยอง!S732"")+IMPORTRANGE(""https://docs.google.com/spreadsheets/d/1jQ6P4QcrGM89YfqcC_PxOHGCMq5ezhucwJd8ci-NHng/edit?usp=sharing"",""ราชบุรี!S73"&amp;"2"")+IMPORTRANGE(""https://docs.google.com/spreadsheets/d/1lufeA2cfFqM-elVq2hznhDzC6Pr7wkJ9ZG_sYNGCMCU/edit?usp=sharing"",""ลพบุรี!S732"")+IMPORTRANGE(""https://docs.google.com/spreadsheets/d/10oOiF7loTyfsTkbd4MpaIm0HQ9SwB7IYHdIUvt-U1Uc/edit?usp=sharing"""&amp;",""สระแก้ว!S732"")+IMPORTRANGE(""https://docs.google.com/spreadsheets/d/1xmPlrr1QbdSIKvl1dWUl9K4PjAfSL9oeMr_37QVzcxc/edit?usp=sharing"",""สระบุรี!S732"")+IMPORTRANGE(""https://docs.google.com/spreadsheets/d/1j51vR6CYVGhABJpv6tkstgok82RLpXieLzW1yOY5rHw/edi"&amp;"t?usp=sharing"",""สิงห์บุรี!S732"")+IMPORTRANGE(""https://docs.google.com/spreadsheets/d/1H1EalTWKUSzO4Z1-1CwzoDUaVffgrThEBe2sl74kKG0/edit?usp=sharing"",""สุพรรณบุรี!S732"")+IMPORTRANGE(""https://docs.google.com/spreadsheets/d/1BmIruG_sIrJLYao_Pdr7zVArWsf"&amp;"oBt2692TMi6x_854/edit?usp=sharing"",""อ่างทอง!S732"")"),0)</f>
        <v>0</v>
      </c>
      <c r="T733" s="133">
        <f t="shared" ca="1" si="499"/>
        <v>0</v>
      </c>
      <c r="U733" s="133">
        <f t="shared" ca="1" si="500"/>
        <v>0</v>
      </c>
    </row>
    <row r="734" spans="1:21" ht="18.75" x14ac:dyDescent="0.25">
      <c r="A734" s="257"/>
      <c r="B734" s="269"/>
      <c r="C734" s="269"/>
      <c r="D734" s="290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4">
        <f ca="1">IFERROR(__xludf.DUMMYFUNCTION("IMPORTRANGE(""https://docs.google.com/spreadsheets/d/13wPX838HrBrQMCywv1BsuMkt4PEKTChp52zj44s2izQ/edit?usp=sharing"",""กาญจนบุรี!L733"")+IMPORTRANGE(""https://docs.google.com/spreadsheets/d/1ddFKvqj1W1NEiWytbGlB1zMx_ykJDVtmfEQ-6-lIUBA/edit?usp=sharing"","&amp;"""จันทบุรี!L733"")+IMPORTRANGE(""https://docs.google.com/spreadsheets/d/1T1PQvRODqOBZk8BRht_U031fIS1beLA0Ub2CEytj2q0/edit?usp=sharing"",""ฉะเชิงเทรา!L733"")+IMPORTRANGE(""https://docs.google.com/spreadsheets/d/11tr1B-Bhyr79v2bkwVh5h_fR-PStkgjlZtkrZpYurG0/"&amp;"edit?usp=sharing"",""ชลบุรี!L733"")+IMPORTRANGE(""https://docs.google.com/spreadsheets/d/1hh-FVnSX0vozXhGluamEcS54Dw9_zqW0N7qJUWgJ0Sw/edit?usp=sharing"",""ชัยนาท!L733"")+IMPORTRANGE(""https://docs.google.com/spreadsheets/d/1jkqa6GXxSacMcY1eN8AHjMNJ_7dDXMJ"&amp;"VRLDlaFSOdPM/edit?usp=sharing"",""ตราด!L733"")+IMPORTRANGE(""https://docs.google.com/spreadsheets/d/18hSgUJ3VwClqi_qtULmmW3cLr0oe3OKaSYoKzdpTsYQ/edit?usp=sharing"",""นครนายก!L733"")+IMPORTRANGE(""https://docs.google.com/spreadsheets/d/1YTZo6WM2dQ6Ix6FSdnL"&amp;"5P7uVnVKu40sxZu975tgG10E/edit?usp=sharing"",""นครปฐม!L733"")+IMPORTRANGE(""https://docs.google.com/spreadsheets/d/1OYoGg4WDg5RIzwGeB10padOxJF9E_Vljuvvct_M7RDo/edit?usp=sharing"",""ปทุมธานี!L733"")+IMPORTRANGE(""https://docs.google.com/spreadsheets/d/1GbCI"&amp;"E4D4wk9FUozzqk7SxfDMxDVBwVmI5zcaVUSzKAc/edit?usp=sharing"",""ประจวบคีรีขันธ์!L733"")+IMPORTRANGE(""https://docs.google.com/spreadsheets/d/1vVf6wykvW_lAyu7Yo9L4hUTqHqIeP_qcVuxCtosJEbg/edit?usp=sharing"",""ปราจีนบุรี!L733"")+IMPORTRANGE(""https://docs.googl"&amp;"e.com/spreadsheets/d/1BIDqLLg5jk3v59G8NlR8rk5xfQDKne0sAvZHSj7TI6I/edit?usp=sharing"",""พระนครศรีอยุธยา!L733"")+IMPORTRANGE(""https://docs.google.com/spreadsheets/d/1YXvxf8Yu6_rV4hTBrwMqAcAnv6DfhUxh5emyM3CJp_w/edit?usp=sharing"",""เพชรบุรี!L733"")+IMPORTRA"&amp;"NGE(""https://docs.google.com/spreadsheets/d/19KBlQQs7uwvsao6t2n-KvW3Ax8J8uRRfZPq1zPbXgKc/edit?usp=sharing"",""ระยอง!L733"")+IMPORTRANGE(""https://docs.google.com/spreadsheets/d/1jQ6P4QcrGM89YfqcC_PxOHGCMq5ezhucwJd8ci-NHng/edit?usp=sharing"",""ราชบุรี!L73"&amp;"3"")+IMPORTRANGE(""https://docs.google.com/spreadsheets/d/1lufeA2cfFqM-elVq2hznhDzC6Pr7wkJ9ZG_sYNGCMCU/edit?usp=sharing"",""ลพบุรี!L733"")+IMPORTRANGE(""https://docs.google.com/spreadsheets/d/10oOiF7loTyfsTkbd4MpaIm0HQ9SwB7IYHdIUvt-U1Uc/edit?usp=sharing"""&amp;",""สระแก้ว!L733"")+IMPORTRANGE(""https://docs.google.com/spreadsheets/d/1xmPlrr1QbdSIKvl1dWUl9K4PjAfSL9oeMr_37QVzcxc/edit?usp=sharing"",""สระบุรี!L733"")+IMPORTRANGE(""https://docs.google.com/spreadsheets/d/1j51vR6CYVGhABJpv6tkstgok82RLpXieLzW1yOY5rHw/edi"&amp;"t?usp=sharing"",""สิงห์บุรี!L733"")+IMPORTRANGE(""https://docs.google.com/spreadsheets/d/1H1EalTWKUSzO4Z1-1CwzoDUaVffgrThEBe2sl74kKG0/edit?usp=sharing"",""สุพรรณบุรี!L733"")+IMPORTRANGE(""https://docs.google.com/spreadsheets/d/1BmIruG_sIrJLYao_Pdr7zVArWsf"&amp;"oBt2692TMi6x_854/edit?usp=sharing"",""อ่างทอง!L733"")"),0)</f>
        <v>0</v>
      </c>
      <c r="M734" s="74">
        <f ca="1">IFERROR(__xludf.DUMMYFUNCTION("IMPORTRANGE(""https://docs.google.com/spreadsheets/d/13wPX838HrBrQMCywv1BsuMkt4PEKTChp52zj44s2izQ/edit?usp=sharing"",""กาญจนบุรี!M733"")+IMPORTRANGE(""https://docs.google.com/spreadsheets/d/1ddFKvqj1W1NEiWytbGlB1zMx_ykJDVtmfEQ-6-lIUBA/edit?usp=sharing"","&amp;"""จันทบุรี!M733"")+IMPORTRANGE(""https://docs.google.com/spreadsheets/d/1T1PQvRODqOBZk8BRht_U031fIS1beLA0Ub2CEytj2q0/edit?usp=sharing"",""ฉะเชิงเทรา!M733"")+IMPORTRANGE(""https://docs.google.com/spreadsheets/d/11tr1B-Bhyr79v2bkwVh5h_fR-PStkgjlZtkrZpYurG0/"&amp;"edit?usp=sharing"",""ชลบุรี!M733"")+IMPORTRANGE(""https://docs.google.com/spreadsheets/d/1hh-FVnSX0vozXhGluamEcS54Dw9_zqW0N7qJUWgJ0Sw/edit?usp=sharing"",""ชัยนาท!M733"")+IMPORTRANGE(""https://docs.google.com/spreadsheets/d/1jkqa6GXxSacMcY1eN8AHjMNJ_7dDXMJ"&amp;"VRLDlaFSOdPM/edit?usp=sharing"",""ตราด!M733"")+IMPORTRANGE(""https://docs.google.com/spreadsheets/d/18hSgUJ3VwClqi_qtULmmW3cLr0oe3OKaSYoKzdpTsYQ/edit?usp=sharing"",""นครนายก!M733"")+IMPORTRANGE(""https://docs.google.com/spreadsheets/d/1YTZo6WM2dQ6Ix6FSdnL"&amp;"5P7uVnVKu40sxZu975tgG10E/edit?usp=sharing"",""นครปฐม!M733"")+IMPORTRANGE(""https://docs.google.com/spreadsheets/d/1OYoGg4WDg5RIzwGeB10padOxJF9E_Vljuvvct_M7RDo/edit?usp=sharing"",""ปทุมธานี!M733"")+IMPORTRANGE(""https://docs.google.com/spreadsheets/d/1GbCI"&amp;"E4D4wk9FUozzqk7SxfDMxDVBwVmI5zcaVUSzKAc/edit?usp=sharing"",""ประจวบคีรีขันธ์!M733"")+IMPORTRANGE(""https://docs.google.com/spreadsheets/d/1vVf6wykvW_lAyu7Yo9L4hUTqHqIeP_qcVuxCtosJEbg/edit?usp=sharing"",""ปราจีนบุรี!M733"")+IMPORTRANGE(""https://docs.googl"&amp;"e.com/spreadsheets/d/1BIDqLLg5jk3v59G8NlR8rk5xfQDKne0sAvZHSj7TI6I/edit?usp=sharing"",""พระนครศรีอยุธยา!M733"")+IMPORTRANGE(""https://docs.google.com/spreadsheets/d/1YXvxf8Yu6_rV4hTBrwMqAcAnv6DfhUxh5emyM3CJp_w/edit?usp=sharing"",""เพชรบุรี!M733"")+IMPORTRA"&amp;"NGE(""https://docs.google.com/spreadsheets/d/19KBlQQs7uwvsao6t2n-KvW3Ax8J8uRRfZPq1zPbXgKc/edit?usp=sharing"",""ระยอง!M733"")+IMPORTRANGE(""https://docs.google.com/spreadsheets/d/1jQ6P4QcrGM89YfqcC_PxOHGCMq5ezhucwJd8ci-NHng/edit?usp=sharing"",""ราชบุรี!M73"&amp;"3"")+IMPORTRANGE(""https://docs.google.com/spreadsheets/d/1lufeA2cfFqM-elVq2hznhDzC6Pr7wkJ9ZG_sYNGCMCU/edit?usp=sharing"",""ลพบุรี!M733"")+IMPORTRANGE(""https://docs.google.com/spreadsheets/d/10oOiF7loTyfsTkbd4MpaIm0HQ9SwB7IYHdIUvt-U1Uc/edit?usp=sharing"""&amp;",""สระแก้ว!M733"")+IMPORTRANGE(""https://docs.google.com/spreadsheets/d/1xmPlrr1QbdSIKvl1dWUl9K4PjAfSL9oeMr_37QVzcxc/edit?usp=sharing"",""สระบุรี!M733"")+IMPORTRANGE(""https://docs.google.com/spreadsheets/d/1j51vR6CYVGhABJpv6tkstgok82RLpXieLzW1yOY5rHw/edi"&amp;"t?usp=sharing"",""สิงห์บุรี!M733"")+IMPORTRANGE(""https://docs.google.com/spreadsheets/d/1H1EalTWKUSzO4Z1-1CwzoDUaVffgrThEBe2sl74kKG0/edit?usp=sharing"",""สุพรรณบุรี!M733"")+IMPORTRANGE(""https://docs.google.com/spreadsheets/d/1BmIruG_sIrJLYao_Pdr7zVArWsf"&amp;"oBt2692TMi6x_854/edit?usp=sharing"",""อ่างทอง!M733"")"),0)</f>
        <v>0</v>
      </c>
      <c r="N734" s="74">
        <f ca="1">IFERROR(__xludf.DUMMYFUNCTION("IMPORTRANGE(""https://docs.google.com/spreadsheets/d/13wPX838HrBrQMCywv1BsuMkt4PEKTChp52zj44s2izQ/edit?usp=sharing"",""กาญจนบุรี!N733"")+IMPORTRANGE(""https://docs.google.com/spreadsheets/d/1ddFKvqj1W1NEiWytbGlB1zMx_ykJDVtmfEQ-6-lIUBA/edit?usp=sharing"","&amp;"""จันทบุรี!N733"")+IMPORTRANGE(""https://docs.google.com/spreadsheets/d/1T1PQvRODqOBZk8BRht_U031fIS1beLA0Ub2CEytj2q0/edit?usp=sharing"",""ฉะเชิงเทรา!N733"")+IMPORTRANGE(""https://docs.google.com/spreadsheets/d/11tr1B-Bhyr79v2bkwVh5h_fR-PStkgjlZtkrZpYurG0/"&amp;"edit?usp=sharing"",""ชลบุรี!N733"")+IMPORTRANGE(""https://docs.google.com/spreadsheets/d/1hh-FVnSX0vozXhGluamEcS54Dw9_zqW0N7qJUWgJ0Sw/edit?usp=sharing"",""ชัยนาท!N733"")+IMPORTRANGE(""https://docs.google.com/spreadsheets/d/1jkqa6GXxSacMcY1eN8AHjMNJ_7dDXMJ"&amp;"VRLDlaFSOdPM/edit?usp=sharing"",""ตราด!N733"")+IMPORTRANGE(""https://docs.google.com/spreadsheets/d/18hSgUJ3VwClqi_qtULmmW3cLr0oe3OKaSYoKzdpTsYQ/edit?usp=sharing"",""นครนายก!N733"")+IMPORTRANGE(""https://docs.google.com/spreadsheets/d/1YTZo6WM2dQ6Ix6FSdnL"&amp;"5P7uVnVKu40sxZu975tgG10E/edit?usp=sharing"",""นครปฐม!N733"")+IMPORTRANGE(""https://docs.google.com/spreadsheets/d/1OYoGg4WDg5RIzwGeB10padOxJF9E_Vljuvvct_M7RDo/edit?usp=sharing"",""ปทุมธานี!N733"")+IMPORTRANGE(""https://docs.google.com/spreadsheets/d/1GbCI"&amp;"E4D4wk9FUozzqk7SxfDMxDVBwVmI5zcaVUSzKAc/edit?usp=sharing"",""ประจวบคีรีขันธ์!N733"")+IMPORTRANGE(""https://docs.google.com/spreadsheets/d/1vVf6wykvW_lAyu7Yo9L4hUTqHqIeP_qcVuxCtosJEbg/edit?usp=sharing"",""ปราจีนบุรี!N733"")+IMPORTRANGE(""https://docs.googl"&amp;"e.com/spreadsheets/d/1BIDqLLg5jk3v59G8NlR8rk5xfQDKne0sAvZHSj7TI6I/edit?usp=sharing"",""พระนครศรีอยุธยา!N733"")+IMPORTRANGE(""https://docs.google.com/spreadsheets/d/1YXvxf8Yu6_rV4hTBrwMqAcAnv6DfhUxh5emyM3CJp_w/edit?usp=sharing"",""เพชรบุรี!N733"")+IMPORTRA"&amp;"NGE(""https://docs.google.com/spreadsheets/d/19KBlQQs7uwvsao6t2n-KvW3Ax8J8uRRfZPq1zPbXgKc/edit?usp=sharing"",""ระยอง!N733"")+IMPORTRANGE(""https://docs.google.com/spreadsheets/d/1jQ6P4QcrGM89YfqcC_PxOHGCMq5ezhucwJd8ci-NHng/edit?usp=sharing"",""ราชบุรี!N73"&amp;"3"")+IMPORTRANGE(""https://docs.google.com/spreadsheets/d/1lufeA2cfFqM-elVq2hznhDzC6Pr7wkJ9ZG_sYNGCMCU/edit?usp=sharing"",""ลพบุรี!N733"")+IMPORTRANGE(""https://docs.google.com/spreadsheets/d/10oOiF7loTyfsTkbd4MpaIm0HQ9SwB7IYHdIUvt-U1Uc/edit?usp=sharing"""&amp;",""สระแก้ว!N733"")+IMPORTRANGE(""https://docs.google.com/spreadsheets/d/1xmPlrr1QbdSIKvl1dWUl9K4PjAfSL9oeMr_37QVzcxc/edit?usp=sharing"",""สระบุรี!N733"")+IMPORTRANGE(""https://docs.google.com/spreadsheets/d/1j51vR6CYVGhABJpv6tkstgok82RLpXieLzW1yOY5rHw/edi"&amp;"t?usp=sharing"",""สิงห์บุรี!N733"")+IMPORTRANGE(""https://docs.google.com/spreadsheets/d/1H1EalTWKUSzO4Z1-1CwzoDUaVffgrThEBe2sl74kKG0/edit?usp=sharing"",""สุพรรณบุรี!N733"")+IMPORTRANGE(""https://docs.google.com/spreadsheets/d/1BmIruG_sIrJLYao_Pdr7zVArWsf"&amp;"oBt2692TMi6x_854/edit?usp=sharing"",""อ่างทอง!N733"")"),0)</f>
        <v>0</v>
      </c>
      <c r="O734" s="74">
        <f t="shared" ca="1" si="496"/>
        <v>0</v>
      </c>
      <c r="P734" s="74">
        <f t="shared" ca="1" si="497"/>
        <v>0</v>
      </c>
      <c r="Q734" s="131">
        <f ca="1">IFERROR(__xludf.DUMMYFUNCTION("IMPORTRANGE(""https://docs.google.com/spreadsheets/d/13wPX838HrBrQMCywv1BsuMkt4PEKTChp52zj44s2izQ/edit?usp=sharing"",""กาญจนบุรี!Q733"")+IMPORTRANGE(""https://docs.google.com/spreadsheets/d/1ddFKvqj1W1NEiWytbGlB1zMx_ykJDVtmfEQ-6-lIUBA/edit?usp=sharing"","&amp;"""จันทบุรี!Q733"")+IMPORTRANGE(""https://docs.google.com/spreadsheets/d/1T1PQvRODqOBZk8BRht_U031fIS1beLA0Ub2CEytj2q0/edit?usp=sharing"",""ฉะเชิงเทรา!Q733"")+IMPORTRANGE(""https://docs.google.com/spreadsheets/d/11tr1B-Bhyr79v2bkwVh5h_fR-PStkgjlZtkrZpYurG0/"&amp;"edit?usp=sharing"",""ชลบุรี!Q733"")+IMPORTRANGE(""https://docs.google.com/spreadsheets/d/1hh-FVnSX0vozXhGluamEcS54Dw9_zqW0N7qJUWgJ0Sw/edit?usp=sharing"",""ชัยนาท!Q733"")+IMPORTRANGE(""https://docs.google.com/spreadsheets/d/1jkqa6GXxSacMcY1eN8AHjMNJ_7dDXMJ"&amp;"VRLDlaFSOdPM/edit?usp=sharing"",""ตราด!Q733"")+IMPORTRANGE(""https://docs.google.com/spreadsheets/d/18hSgUJ3VwClqi_qtULmmW3cLr0oe3OKaSYoKzdpTsYQ/edit?usp=sharing"",""นครนายก!Q733"")+IMPORTRANGE(""https://docs.google.com/spreadsheets/d/1YTZo6WM2dQ6Ix6FSdnL"&amp;"5P7uVnVKu40sxZu975tgG10E/edit?usp=sharing"",""นครปฐม!Q733"")+IMPORTRANGE(""https://docs.google.com/spreadsheets/d/1OYoGg4WDg5RIzwGeB10padOxJF9E_Vljuvvct_M7RDo/edit?usp=sharing"",""ปทุมธานี!Q733"")+IMPORTRANGE(""https://docs.google.com/spreadsheets/d/1GbCI"&amp;"E4D4wk9FUozzqk7SxfDMxDVBwVmI5zcaVUSzKAc/edit?usp=sharing"",""ประจวบคีรีขันธ์!Q733"")+IMPORTRANGE(""https://docs.google.com/spreadsheets/d/1vVf6wykvW_lAyu7Yo9L4hUTqHqIeP_qcVuxCtosJEbg/edit?usp=sharing"",""ปราจีนบุรี!Q733"")+IMPORTRANGE(""https://docs.googl"&amp;"e.com/spreadsheets/d/1BIDqLLg5jk3v59G8NlR8rk5xfQDKne0sAvZHSj7TI6I/edit?usp=sharing"",""พระนครศรีอยุธยา!Q733"")+IMPORTRANGE(""https://docs.google.com/spreadsheets/d/1YXvxf8Yu6_rV4hTBrwMqAcAnv6DfhUxh5emyM3CJp_w/edit?usp=sharing"",""เพชรบุรี!Q733"")+IMPORTRA"&amp;"NGE(""https://docs.google.com/spreadsheets/d/19KBlQQs7uwvsao6t2n-KvW3Ax8J8uRRfZPq1zPbXgKc/edit?usp=sharing"",""ระยอง!Q733"")+IMPORTRANGE(""https://docs.google.com/spreadsheets/d/1jQ6P4QcrGM89YfqcC_PxOHGCMq5ezhucwJd8ci-NHng/edit?usp=sharing"",""ราชบุรี!Q73"&amp;"3"")+IMPORTRANGE(""https://docs.google.com/spreadsheets/d/1lufeA2cfFqM-elVq2hznhDzC6Pr7wkJ9ZG_sYNGCMCU/edit?usp=sharing"",""ลพบุรี!Q733"")+IMPORTRANGE(""https://docs.google.com/spreadsheets/d/10oOiF7loTyfsTkbd4MpaIm0HQ9SwB7IYHdIUvt-U1Uc/edit?usp=sharing"""&amp;",""สระแก้ว!Q733"")+IMPORTRANGE(""https://docs.google.com/spreadsheets/d/1xmPlrr1QbdSIKvl1dWUl9K4PjAfSL9oeMr_37QVzcxc/edit?usp=sharing"",""สระบุรี!Q733"")+IMPORTRANGE(""https://docs.google.com/spreadsheets/d/1j51vR6CYVGhABJpv6tkstgok82RLpXieLzW1yOY5rHw/edi"&amp;"t?usp=sharing"",""สิงห์บุรี!Q733"")+IMPORTRANGE(""https://docs.google.com/spreadsheets/d/1H1EalTWKUSzO4Z1-1CwzoDUaVffgrThEBe2sl74kKG0/edit?usp=sharing"",""สุพรรณบุรี!Q733"")+IMPORTRANGE(""https://docs.google.com/spreadsheets/d/1BmIruG_sIrJLYao_Pdr7zVArWsf"&amp;"oBt2692TMi6x_854/edit?usp=sharing"",""อ่างทอง!Q733"")"),5615326)</f>
        <v>5615326</v>
      </c>
      <c r="R734" s="132">
        <f ca="1">IFERROR(__xludf.DUMMYFUNCTION("IMPORTRANGE(""https://docs.google.com/spreadsheets/d/13wPX838HrBrQMCywv1BsuMkt4PEKTChp52zj44s2izQ/edit?usp=sharing"",""กาญจนบุรี!R733"")+IMPORTRANGE(""https://docs.google.com/spreadsheets/d/1ddFKvqj1W1NEiWytbGlB1zMx_ykJDVtmfEQ-6-lIUBA/edit?usp=sharing"","&amp;"""จันทบุรี!R733"")+IMPORTRANGE(""https://docs.google.com/spreadsheets/d/1T1PQvRODqOBZk8BRht_U031fIS1beLA0Ub2CEytj2q0/edit?usp=sharing"",""ฉะเชิงเทรา!R733"")+IMPORTRANGE(""https://docs.google.com/spreadsheets/d/11tr1B-Bhyr79v2bkwVh5h_fR-PStkgjlZtkrZpYurG0/"&amp;"edit?usp=sharing"",""ชลบุรี!R733"")+IMPORTRANGE(""https://docs.google.com/spreadsheets/d/1hh-FVnSX0vozXhGluamEcS54Dw9_zqW0N7qJUWgJ0Sw/edit?usp=sharing"",""ชัยนาท!R733"")+IMPORTRANGE(""https://docs.google.com/spreadsheets/d/1jkqa6GXxSacMcY1eN8AHjMNJ_7dDXMJ"&amp;"VRLDlaFSOdPM/edit?usp=sharing"",""ตราด!R733"")+IMPORTRANGE(""https://docs.google.com/spreadsheets/d/18hSgUJ3VwClqi_qtULmmW3cLr0oe3OKaSYoKzdpTsYQ/edit?usp=sharing"",""นครนายก!R733"")+IMPORTRANGE(""https://docs.google.com/spreadsheets/d/1YTZo6WM2dQ6Ix6FSdnL"&amp;"5P7uVnVKu40sxZu975tgG10E/edit?usp=sharing"",""นครปฐม!R733"")+IMPORTRANGE(""https://docs.google.com/spreadsheets/d/1OYoGg4WDg5RIzwGeB10padOxJF9E_Vljuvvct_M7RDo/edit?usp=sharing"",""ปทุมธานี!R733"")+IMPORTRANGE(""https://docs.google.com/spreadsheets/d/1GbCI"&amp;"E4D4wk9FUozzqk7SxfDMxDVBwVmI5zcaVUSzKAc/edit?usp=sharing"",""ประจวบคีรีขันธ์!R733"")+IMPORTRANGE(""https://docs.google.com/spreadsheets/d/1vVf6wykvW_lAyu7Yo9L4hUTqHqIeP_qcVuxCtosJEbg/edit?usp=sharing"",""ปราจีนบุรี!R733"")+IMPORTRANGE(""https://docs.googl"&amp;"e.com/spreadsheets/d/1BIDqLLg5jk3v59G8NlR8rk5xfQDKne0sAvZHSj7TI6I/edit?usp=sharing"",""พระนครศรีอยุธยา!R733"")+IMPORTRANGE(""https://docs.google.com/spreadsheets/d/1YXvxf8Yu6_rV4hTBrwMqAcAnv6DfhUxh5emyM3CJp_w/edit?usp=sharing"",""เพชรบุรี!R733"")+IMPORTRA"&amp;"NGE(""https://docs.google.com/spreadsheets/d/19KBlQQs7uwvsao6t2n-KvW3Ax8J8uRRfZPq1zPbXgKc/edit?usp=sharing"",""ระยอง!R733"")+IMPORTRANGE(""https://docs.google.com/spreadsheets/d/1jQ6P4QcrGM89YfqcC_PxOHGCMq5ezhucwJd8ci-NHng/edit?usp=sharing"",""ราชบุรี!R73"&amp;"3"")+IMPORTRANGE(""https://docs.google.com/spreadsheets/d/1lufeA2cfFqM-elVq2hznhDzC6Pr7wkJ9ZG_sYNGCMCU/edit?usp=sharing"",""ลพบุรี!R733"")+IMPORTRANGE(""https://docs.google.com/spreadsheets/d/10oOiF7loTyfsTkbd4MpaIm0HQ9SwB7IYHdIUvt-U1Uc/edit?usp=sharing"""&amp;",""สระแก้ว!R733"")+IMPORTRANGE(""https://docs.google.com/spreadsheets/d/1xmPlrr1QbdSIKvl1dWUl9K4PjAfSL9oeMr_37QVzcxc/edit?usp=sharing"",""สระบุรี!R733"")+IMPORTRANGE(""https://docs.google.com/spreadsheets/d/1j51vR6CYVGhABJpv6tkstgok82RLpXieLzW1yOY5rHw/edi"&amp;"t?usp=sharing"",""สิงห์บุรี!R733"")+IMPORTRANGE(""https://docs.google.com/spreadsheets/d/1H1EalTWKUSzO4Z1-1CwzoDUaVffgrThEBe2sl74kKG0/edit?usp=sharing"",""สุพรรณบุรี!R733"")+IMPORTRANGE(""https://docs.google.com/spreadsheets/d/1BmIruG_sIrJLYao_Pdr7zVArWsf"&amp;"oBt2692TMi6x_854/edit?usp=sharing"",""อ่างทอง!R733"")"),5615326)</f>
        <v>5615326</v>
      </c>
      <c r="S734" s="132">
        <f ca="1">IFERROR(__xludf.DUMMYFUNCTION("IMPORTRANGE(""https://docs.google.com/spreadsheets/d/13wPX838HrBrQMCywv1BsuMkt4PEKTChp52zj44s2izQ/edit?usp=sharing"",""กาญจนบุรี!S733"")+IMPORTRANGE(""https://docs.google.com/spreadsheets/d/1ddFKvqj1W1NEiWytbGlB1zMx_ykJDVtmfEQ-6-lIUBA/edit?usp=sharing"","&amp;"""จันทบุรี!S733"")+IMPORTRANGE(""https://docs.google.com/spreadsheets/d/1T1PQvRODqOBZk8BRht_U031fIS1beLA0Ub2CEytj2q0/edit?usp=sharing"",""ฉะเชิงเทรา!S733"")+IMPORTRANGE(""https://docs.google.com/spreadsheets/d/11tr1B-Bhyr79v2bkwVh5h_fR-PStkgjlZtkrZpYurG0/"&amp;"edit?usp=sharing"",""ชลบุรี!S733"")+IMPORTRANGE(""https://docs.google.com/spreadsheets/d/1hh-FVnSX0vozXhGluamEcS54Dw9_zqW0N7qJUWgJ0Sw/edit?usp=sharing"",""ชัยนาท!S733"")+IMPORTRANGE(""https://docs.google.com/spreadsheets/d/1jkqa6GXxSacMcY1eN8AHjMNJ_7dDXMJ"&amp;"VRLDlaFSOdPM/edit?usp=sharing"",""ตราด!S733"")+IMPORTRANGE(""https://docs.google.com/spreadsheets/d/18hSgUJ3VwClqi_qtULmmW3cLr0oe3OKaSYoKzdpTsYQ/edit?usp=sharing"",""นครนายก!S733"")+IMPORTRANGE(""https://docs.google.com/spreadsheets/d/1YTZo6WM2dQ6Ix6FSdnL"&amp;"5P7uVnVKu40sxZu975tgG10E/edit?usp=sharing"",""นครปฐม!S733"")+IMPORTRANGE(""https://docs.google.com/spreadsheets/d/1OYoGg4WDg5RIzwGeB10padOxJF9E_Vljuvvct_M7RDo/edit?usp=sharing"",""ปทุมธานี!S733"")+IMPORTRANGE(""https://docs.google.com/spreadsheets/d/1GbCI"&amp;"E4D4wk9FUozzqk7SxfDMxDVBwVmI5zcaVUSzKAc/edit?usp=sharing"",""ประจวบคีรีขันธ์!S733"")+IMPORTRANGE(""https://docs.google.com/spreadsheets/d/1vVf6wykvW_lAyu7Yo9L4hUTqHqIeP_qcVuxCtosJEbg/edit?usp=sharing"",""ปราจีนบุรี!S733"")+IMPORTRANGE(""https://docs.googl"&amp;"e.com/spreadsheets/d/1BIDqLLg5jk3v59G8NlR8rk5xfQDKne0sAvZHSj7TI6I/edit?usp=sharing"",""พระนครศรีอยุธยา!S733"")+IMPORTRANGE(""https://docs.google.com/spreadsheets/d/1YXvxf8Yu6_rV4hTBrwMqAcAnv6DfhUxh5emyM3CJp_w/edit?usp=sharing"",""เพชรบุรี!S733"")+IMPORTRA"&amp;"NGE(""https://docs.google.com/spreadsheets/d/19KBlQQs7uwvsao6t2n-KvW3Ax8J8uRRfZPq1zPbXgKc/edit?usp=sharing"",""ระยอง!S733"")+IMPORTRANGE(""https://docs.google.com/spreadsheets/d/1jQ6P4QcrGM89YfqcC_PxOHGCMq5ezhucwJd8ci-NHng/edit?usp=sharing"",""ราชบุรี!S73"&amp;"3"")+IMPORTRANGE(""https://docs.google.com/spreadsheets/d/1lufeA2cfFqM-elVq2hznhDzC6Pr7wkJ9ZG_sYNGCMCU/edit?usp=sharing"",""ลพบุรี!S733"")+IMPORTRANGE(""https://docs.google.com/spreadsheets/d/10oOiF7loTyfsTkbd4MpaIm0HQ9SwB7IYHdIUvt-U1Uc/edit?usp=sharing"""&amp;",""สระแก้ว!S733"")+IMPORTRANGE(""https://docs.google.com/spreadsheets/d/1xmPlrr1QbdSIKvl1dWUl9K4PjAfSL9oeMr_37QVzcxc/edit?usp=sharing"",""สระบุรี!S733"")+IMPORTRANGE(""https://docs.google.com/spreadsheets/d/1j51vR6CYVGhABJpv6tkstgok82RLpXieLzW1yOY5rHw/edi"&amp;"t?usp=sharing"",""สิงห์บุรี!S733"")+IMPORTRANGE(""https://docs.google.com/spreadsheets/d/1H1EalTWKUSzO4Z1-1CwzoDUaVffgrThEBe2sl74kKG0/edit?usp=sharing"",""สุพรรณบุรี!S733"")+IMPORTRANGE(""https://docs.google.com/spreadsheets/d/1BmIruG_sIrJLYao_Pdr7zVArWsf"&amp;"oBt2692TMi6x_854/edit?usp=sharing"",""อ่างทอง!S733"")"),62507)</f>
        <v>62507</v>
      </c>
      <c r="T734" s="132">
        <f t="shared" ca="1" si="499"/>
        <v>1.1131499756202934</v>
      </c>
      <c r="U734" s="132">
        <f t="shared" ca="1" si="500"/>
        <v>1.1131499756202934</v>
      </c>
    </row>
    <row r="735" spans="1:21" ht="18.75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4">
        <f t="shared" ref="L735:N735" ca="1" si="507">L736+L737</f>
        <v>0</v>
      </c>
      <c r="M735" s="74">
        <f t="shared" ca="1" si="507"/>
        <v>0</v>
      </c>
      <c r="N735" s="74">
        <f t="shared" ca="1" si="507"/>
        <v>0</v>
      </c>
      <c r="O735" s="74">
        <f t="shared" ca="1" si="496"/>
        <v>0</v>
      </c>
      <c r="P735" s="74">
        <f t="shared" ca="1" si="497"/>
        <v>0</v>
      </c>
      <c r="Q735" s="131">
        <f t="shared" ref="Q735:S735" ca="1" si="508">Q736+Q737</f>
        <v>0</v>
      </c>
      <c r="R735" s="132">
        <f t="shared" ca="1" si="508"/>
        <v>0</v>
      </c>
      <c r="S735" s="132">
        <f t="shared" ca="1" si="508"/>
        <v>0</v>
      </c>
      <c r="T735" s="132">
        <f t="shared" ca="1" si="499"/>
        <v>0</v>
      </c>
      <c r="U735" s="132">
        <f t="shared" ca="1" si="500"/>
        <v>0</v>
      </c>
    </row>
    <row r="736" spans="1:21" ht="18.75" x14ac:dyDescent="0.25">
      <c r="A736" s="257"/>
      <c r="B736" s="269"/>
      <c r="C736" s="269"/>
      <c r="D736" s="269"/>
      <c r="E736" s="591" t="s">
        <v>20</v>
      </c>
      <c r="F736" s="269"/>
      <c r="G736" s="261"/>
      <c r="H736" s="273" t="s">
        <v>14</v>
      </c>
      <c r="I736" s="272"/>
      <c r="J736" s="272"/>
      <c r="K736" s="229"/>
      <c r="L736" s="77">
        <f ca="1">IFERROR(__xludf.DUMMYFUNCTION("IMPORTRANGE(""https://docs.google.com/spreadsheets/d/13wPX838HrBrQMCywv1BsuMkt4PEKTChp52zj44s2izQ/edit?usp=sharing"",""กาญจนบุรี!L735"")+IMPORTRANGE(""https://docs.google.com/spreadsheets/d/1ddFKvqj1W1NEiWytbGlB1zMx_ykJDVtmfEQ-6-lIUBA/edit?usp=sharing"","&amp;"""จันทบุรี!L735"")+IMPORTRANGE(""https://docs.google.com/spreadsheets/d/1T1PQvRODqOBZk8BRht_U031fIS1beLA0Ub2CEytj2q0/edit?usp=sharing"",""ฉะเชิงเทรา!L735"")+IMPORTRANGE(""https://docs.google.com/spreadsheets/d/11tr1B-Bhyr79v2bkwVh5h_fR-PStkgjlZtkrZpYurG0/"&amp;"edit?usp=sharing"",""ชลบุรี!L735"")+IMPORTRANGE(""https://docs.google.com/spreadsheets/d/1hh-FVnSX0vozXhGluamEcS54Dw9_zqW0N7qJUWgJ0Sw/edit?usp=sharing"",""ชัยนาท!L735"")+IMPORTRANGE(""https://docs.google.com/spreadsheets/d/1jkqa6GXxSacMcY1eN8AHjMNJ_7dDXMJ"&amp;"VRLDlaFSOdPM/edit?usp=sharing"",""ตราด!L735"")+IMPORTRANGE(""https://docs.google.com/spreadsheets/d/18hSgUJ3VwClqi_qtULmmW3cLr0oe3OKaSYoKzdpTsYQ/edit?usp=sharing"",""นครนายก!L735"")+IMPORTRANGE(""https://docs.google.com/spreadsheets/d/1YTZo6WM2dQ6Ix6FSdnL"&amp;"5P7uVnVKu40sxZu975tgG10E/edit?usp=sharing"",""นครปฐม!L735"")+IMPORTRANGE(""https://docs.google.com/spreadsheets/d/1OYoGg4WDg5RIzwGeB10padOxJF9E_Vljuvvct_M7RDo/edit?usp=sharing"",""ปทุมธานี!L735"")+IMPORTRANGE(""https://docs.google.com/spreadsheets/d/1GbCI"&amp;"E4D4wk9FUozzqk7SxfDMxDVBwVmI5zcaVUSzKAc/edit?usp=sharing"",""ประจวบคีรีขันธ์!L735"")+IMPORTRANGE(""https://docs.google.com/spreadsheets/d/1vVf6wykvW_lAyu7Yo9L4hUTqHqIeP_qcVuxCtosJEbg/edit?usp=sharing"",""ปราจีนบุรี!L735"")+IMPORTRANGE(""https://docs.googl"&amp;"e.com/spreadsheets/d/1BIDqLLg5jk3v59G8NlR8rk5xfQDKne0sAvZHSj7TI6I/edit?usp=sharing"",""พระนครศรีอยุธยา!L735"")+IMPORTRANGE(""https://docs.google.com/spreadsheets/d/1YXvxf8Yu6_rV4hTBrwMqAcAnv6DfhUxh5emyM3CJp_w/edit?usp=sharing"",""เพชรบุรี!L735"")+IMPORTRA"&amp;"NGE(""https://docs.google.com/spreadsheets/d/19KBlQQs7uwvsao6t2n-KvW3Ax8J8uRRfZPq1zPbXgKc/edit?usp=sharing"",""ระยอง!L735"")+IMPORTRANGE(""https://docs.google.com/spreadsheets/d/1jQ6P4QcrGM89YfqcC_PxOHGCMq5ezhucwJd8ci-NHng/edit?usp=sharing"",""ราชบุรี!L73"&amp;"5"")+IMPORTRANGE(""https://docs.google.com/spreadsheets/d/1lufeA2cfFqM-elVq2hznhDzC6Pr7wkJ9ZG_sYNGCMCU/edit?usp=sharing"",""ลพบุรี!L735"")+IMPORTRANGE(""https://docs.google.com/spreadsheets/d/10oOiF7loTyfsTkbd4MpaIm0HQ9SwB7IYHdIUvt-U1Uc/edit?usp=sharing"""&amp;",""สระแก้ว!L735"")+IMPORTRANGE(""https://docs.google.com/spreadsheets/d/1xmPlrr1QbdSIKvl1dWUl9K4PjAfSL9oeMr_37QVzcxc/edit?usp=sharing"",""สระบุรี!L735"")+IMPORTRANGE(""https://docs.google.com/spreadsheets/d/1j51vR6CYVGhABJpv6tkstgok82RLpXieLzW1yOY5rHw/edi"&amp;"t?usp=sharing"",""สิงห์บุรี!L735"")+IMPORTRANGE(""https://docs.google.com/spreadsheets/d/1H1EalTWKUSzO4Z1-1CwzoDUaVffgrThEBe2sl74kKG0/edit?usp=sharing"",""สุพรรณบุรี!L735"")+IMPORTRANGE(""https://docs.google.com/spreadsheets/d/1BmIruG_sIrJLYao_Pdr7zVArWsf"&amp;"oBt2692TMi6x_854/edit?usp=sharing"",""อ่างทอง!L735"")"),0)</f>
        <v>0</v>
      </c>
      <c r="M736" s="77">
        <f ca="1">IFERROR(__xludf.DUMMYFUNCTION("IMPORTRANGE(""https://docs.google.com/spreadsheets/d/13wPX838HrBrQMCywv1BsuMkt4PEKTChp52zj44s2izQ/edit?usp=sharing"",""กาญจนบุรี!M735"")+IMPORTRANGE(""https://docs.google.com/spreadsheets/d/1ddFKvqj1W1NEiWytbGlB1zMx_ykJDVtmfEQ-6-lIUBA/edit?usp=sharing"","&amp;"""จันทบุรี!M735"")+IMPORTRANGE(""https://docs.google.com/spreadsheets/d/1T1PQvRODqOBZk8BRht_U031fIS1beLA0Ub2CEytj2q0/edit?usp=sharing"",""ฉะเชิงเทรา!M735"")+IMPORTRANGE(""https://docs.google.com/spreadsheets/d/11tr1B-Bhyr79v2bkwVh5h_fR-PStkgjlZtkrZpYurG0/"&amp;"edit?usp=sharing"",""ชลบุรี!M735"")+IMPORTRANGE(""https://docs.google.com/spreadsheets/d/1hh-FVnSX0vozXhGluamEcS54Dw9_zqW0N7qJUWgJ0Sw/edit?usp=sharing"",""ชัยนาท!M735"")+IMPORTRANGE(""https://docs.google.com/spreadsheets/d/1jkqa6GXxSacMcY1eN8AHjMNJ_7dDXMJ"&amp;"VRLDlaFSOdPM/edit?usp=sharing"",""ตราด!M735"")+IMPORTRANGE(""https://docs.google.com/spreadsheets/d/18hSgUJ3VwClqi_qtULmmW3cLr0oe3OKaSYoKzdpTsYQ/edit?usp=sharing"",""นครนายก!M735"")+IMPORTRANGE(""https://docs.google.com/spreadsheets/d/1YTZo6WM2dQ6Ix6FSdnL"&amp;"5P7uVnVKu40sxZu975tgG10E/edit?usp=sharing"",""นครปฐม!M735"")+IMPORTRANGE(""https://docs.google.com/spreadsheets/d/1OYoGg4WDg5RIzwGeB10padOxJF9E_Vljuvvct_M7RDo/edit?usp=sharing"",""ปทุมธานี!M735"")+IMPORTRANGE(""https://docs.google.com/spreadsheets/d/1GbCI"&amp;"E4D4wk9FUozzqk7SxfDMxDVBwVmI5zcaVUSzKAc/edit?usp=sharing"",""ประจวบคีรีขันธ์!M735"")+IMPORTRANGE(""https://docs.google.com/spreadsheets/d/1vVf6wykvW_lAyu7Yo9L4hUTqHqIeP_qcVuxCtosJEbg/edit?usp=sharing"",""ปราจีนบุรี!M735"")+IMPORTRANGE(""https://docs.googl"&amp;"e.com/spreadsheets/d/1BIDqLLg5jk3v59G8NlR8rk5xfQDKne0sAvZHSj7TI6I/edit?usp=sharing"",""พระนครศรีอยุธยา!M735"")+IMPORTRANGE(""https://docs.google.com/spreadsheets/d/1YXvxf8Yu6_rV4hTBrwMqAcAnv6DfhUxh5emyM3CJp_w/edit?usp=sharing"",""เพชรบุรี!M735"")+IMPORTRA"&amp;"NGE(""https://docs.google.com/spreadsheets/d/19KBlQQs7uwvsao6t2n-KvW3Ax8J8uRRfZPq1zPbXgKc/edit?usp=sharing"",""ระยอง!M735"")+IMPORTRANGE(""https://docs.google.com/spreadsheets/d/1jQ6P4QcrGM89YfqcC_PxOHGCMq5ezhucwJd8ci-NHng/edit?usp=sharing"",""ราชบุรี!M73"&amp;"5"")+IMPORTRANGE(""https://docs.google.com/spreadsheets/d/1lufeA2cfFqM-elVq2hznhDzC6Pr7wkJ9ZG_sYNGCMCU/edit?usp=sharing"",""ลพบุรี!M735"")+IMPORTRANGE(""https://docs.google.com/spreadsheets/d/10oOiF7loTyfsTkbd4MpaIm0HQ9SwB7IYHdIUvt-U1Uc/edit?usp=sharing"""&amp;",""สระแก้ว!M735"")+IMPORTRANGE(""https://docs.google.com/spreadsheets/d/1xmPlrr1QbdSIKvl1dWUl9K4PjAfSL9oeMr_37QVzcxc/edit?usp=sharing"",""สระบุรี!M735"")+IMPORTRANGE(""https://docs.google.com/spreadsheets/d/1j51vR6CYVGhABJpv6tkstgok82RLpXieLzW1yOY5rHw/edi"&amp;"t?usp=sharing"",""สิงห์บุรี!M735"")+IMPORTRANGE(""https://docs.google.com/spreadsheets/d/1H1EalTWKUSzO4Z1-1CwzoDUaVffgrThEBe2sl74kKG0/edit?usp=sharing"",""สุพรรณบุรี!M735"")+IMPORTRANGE(""https://docs.google.com/spreadsheets/d/1BmIruG_sIrJLYao_Pdr7zVArWsf"&amp;"oBt2692TMi6x_854/edit?usp=sharing"",""อ่างทอง!M735"")"),0)</f>
        <v>0</v>
      </c>
      <c r="N736" s="77">
        <f ca="1">IFERROR(__xludf.DUMMYFUNCTION("IMPORTRANGE(""https://docs.google.com/spreadsheets/d/13wPX838HrBrQMCywv1BsuMkt4PEKTChp52zj44s2izQ/edit?usp=sharing"",""กาญจนบุรี!N735"")+IMPORTRANGE(""https://docs.google.com/spreadsheets/d/1ddFKvqj1W1NEiWytbGlB1zMx_ykJDVtmfEQ-6-lIUBA/edit?usp=sharing"","&amp;"""จันทบุรี!N735"")+IMPORTRANGE(""https://docs.google.com/spreadsheets/d/1T1PQvRODqOBZk8BRht_U031fIS1beLA0Ub2CEytj2q0/edit?usp=sharing"",""ฉะเชิงเทรา!N735"")+IMPORTRANGE(""https://docs.google.com/spreadsheets/d/11tr1B-Bhyr79v2bkwVh5h_fR-PStkgjlZtkrZpYurG0/"&amp;"edit?usp=sharing"",""ชลบุรี!N735"")+IMPORTRANGE(""https://docs.google.com/spreadsheets/d/1hh-FVnSX0vozXhGluamEcS54Dw9_zqW0N7qJUWgJ0Sw/edit?usp=sharing"",""ชัยนาท!N735"")+IMPORTRANGE(""https://docs.google.com/spreadsheets/d/1jkqa6GXxSacMcY1eN8AHjMNJ_7dDXMJ"&amp;"VRLDlaFSOdPM/edit?usp=sharing"",""ตราด!N735"")+IMPORTRANGE(""https://docs.google.com/spreadsheets/d/18hSgUJ3VwClqi_qtULmmW3cLr0oe3OKaSYoKzdpTsYQ/edit?usp=sharing"",""นครนายก!N735"")+IMPORTRANGE(""https://docs.google.com/spreadsheets/d/1YTZo6WM2dQ6Ix6FSdnL"&amp;"5P7uVnVKu40sxZu975tgG10E/edit?usp=sharing"",""นครปฐม!N735"")+IMPORTRANGE(""https://docs.google.com/spreadsheets/d/1OYoGg4WDg5RIzwGeB10padOxJF9E_Vljuvvct_M7RDo/edit?usp=sharing"",""ปทุมธานี!N735"")+IMPORTRANGE(""https://docs.google.com/spreadsheets/d/1GbCI"&amp;"E4D4wk9FUozzqk7SxfDMxDVBwVmI5zcaVUSzKAc/edit?usp=sharing"",""ประจวบคีรีขันธ์!N735"")+IMPORTRANGE(""https://docs.google.com/spreadsheets/d/1vVf6wykvW_lAyu7Yo9L4hUTqHqIeP_qcVuxCtosJEbg/edit?usp=sharing"",""ปราจีนบุรี!N735"")+IMPORTRANGE(""https://docs.googl"&amp;"e.com/spreadsheets/d/1BIDqLLg5jk3v59G8NlR8rk5xfQDKne0sAvZHSj7TI6I/edit?usp=sharing"",""พระนครศรีอยุธยา!N735"")+IMPORTRANGE(""https://docs.google.com/spreadsheets/d/1YXvxf8Yu6_rV4hTBrwMqAcAnv6DfhUxh5emyM3CJp_w/edit?usp=sharing"",""เพชรบุรี!N735"")+IMPORTRA"&amp;"NGE(""https://docs.google.com/spreadsheets/d/19KBlQQs7uwvsao6t2n-KvW3Ax8J8uRRfZPq1zPbXgKc/edit?usp=sharing"",""ระยอง!N735"")+IMPORTRANGE(""https://docs.google.com/spreadsheets/d/1jQ6P4QcrGM89YfqcC_PxOHGCMq5ezhucwJd8ci-NHng/edit?usp=sharing"",""ราชบุรี!N73"&amp;"5"")+IMPORTRANGE(""https://docs.google.com/spreadsheets/d/1lufeA2cfFqM-elVq2hznhDzC6Pr7wkJ9ZG_sYNGCMCU/edit?usp=sharing"",""ลพบุรี!N735"")+IMPORTRANGE(""https://docs.google.com/spreadsheets/d/10oOiF7loTyfsTkbd4MpaIm0HQ9SwB7IYHdIUvt-U1Uc/edit?usp=sharing"""&amp;",""สระแก้ว!N735"")+IMPORTRANGE(""https://docs.google.com/spreadsheets/d/1xmPlrr1QbdSIKvl1dWUl9K4PjAfSL9oeMr_37QVzcxc/edit?usp=sharing"",""สระบุรี!N735"")+IMPORTRANGE(""https://docs.google.com/spreadsheets/d/1j51vR6CYVGhABJpv6tkstgok82RLpXieLzW1yOY5rHw/edi"&amp;"t?usp=sharing"",""สิงห์บุรี!N735"")+IMPORTRANGE(""https://docs.google.com/spreadsheets/d/1H1EalTWKUSzO4Z1-1CwzoDUaVffgrThEBe2sl74kKG0/edit?usp=sharing"",""สุพรรณบุรี!N735"")+IMPORTRANGE(""https://docs.google.com/spreadsheets/d/1BmIruG_sIrJLYao_Pdr7zVArWsf"&amp;"oBt2692TMi6x_854/edit?usp=sharing"",""อ่างทอง!N735"")"),0)</f>
        <v>0</v>
      </c>
      <c r="O736" s="77">
        <f t="shared" ca="1" si="496"/>
        <v>0</v>
      </c>
      <c r="P736" s="77">
        <f t="shared" ca="1" si="497"/>
        <v>0</v>
      </c>
      <c r="Q736" s="76">
        <f ca="1">IFERROR(__xludf.DUMMYFUNCTION("IMPORTRANGE(""https://docs.google.com/spreadsheets/d/13wPX838HrBrQMCywv1BsuMkt4PEKTChp52zj44s2izQ/edit?usp=sharing"",""กาญจนบุรี!Q735"")+IMPORTRANGE(""https://docs.google.com/spreadsheets/d/1ddFKvqj1W1NEiWytbGlB1zMx_ykJDVtmfEQ-6-lIUBA/edit?usp=sharing"","&amp;"""จันทบุรี!Q735"")+IMPORTRANGE(""https://docs.google.com/spreadsheets/d/1T1PQvRODqOBZk8BRht_U031fIS1beLA0Ub2CEytj2q0/edit?usp=sharing"",""ฉะเชิงเทรา!Q735"")+IMPORTRANGE(""https://docs.google.com/spreadsheets/d/11tr1B-Bhyr79v2bkwVh5h_fR-PStkgjlZtkrZpYurG0/"&amp;"edit?usp=sharing"",""ชลบุรี!Q735"")+IMPORTRANGE(""https://docs.google.com/spreadsheets/d/1hh-FVnSX0vozXhGluamEcS54Dw9_zqW0N7qJUWgJ0Sw/edit?usp=sharing"",""ชัยนาท!Q735"")+IMPORTRANGE(""https://docs.google.com/spreadsheets/d/1jkqa6GXxSacMcY1eN8AHjMNJ_7dDXMJ"&amp;"VRLDlaFSOdPM/edit?usp=sharing"",""ตราด!Q735"")+IMPORTRANGE(""https://docs.google.com/spreadsheets/d/18hSgUJ3VwClqi_qtULmmW3cLr0oe3OKaSYoKzdpTsYQ/edit?usp=sharing"",""นครนายก!Q735"")+IMPORTRANGE(""https://docs.google.com/spreadsheets/d/1YTZo6WM2dQ6Ix6FSdnL"&amp;"5P7uVnVKu40sxZu975tgG10E/edit?usp=sharing"",""นครปฐม!Q735"")+IMPORTRANGE(""https://docs.google.com/spreadsheets/d/1OYoGg4WDg5RIzwGeB10padOxJF9E_Vljuvvct_M7RDo/edit?usp=sharing"",""ปทุมธานี!Q735"")+IMPORTRANGE(""https://docs.google.com/spreadsheets/d/1GbCI"&amp;"E4D4wk9FUozzqk7SxfDMxDVBwVmI5zcaVUSzKAc/edit?usp=sharing"",""ประจวบคีรีขันธ์!Q735"")+IMPORTRANGE(""https://docs.google.com/spreadsheets/d/1vVf6wykvW_lAyu7Yo9L4hUTqHqIeP_qcVuxCtosJEbg/edit?usp=sharing"",""ปราจีนบุรี!Q735"")+IMPORTRANGE(""https://docs.googl"&amp;"e.com/spreadsheets/d/1BIDqLLg5jk3v59G8NlR8rk5xfQDKne0sAvZHSj7TI6I/edit?usp=sharing"",""พระนครศรีอยุธยา!Q735"")+IMPORTRANGE(""https://docs.google.com/spreadsheets/d/1YXvxf8Yu6_rV4hTBrwMqAcAnv6DfhUxh5emyM3CJp_w/edit?usp=sharing"",""เพชรบุรี!Q735"")+IMPORTRA"&amp;"NGE(""https://docs.google.com/spreadsheets/d/19KBlQQs7uwvsao6t2n-KvW3Ax8J8uRRfZPq1zPbXgKc/edit?usp=sharing"",""ระยอง!Q735"")+IMPORTRANGE(""https://docs.google.com/spreadsheets/d/1jQ6P4QcrGM89YfqcC_PxOHGCMq5ezhucwJd8ci-NHng/edit?usp=sharing"",""ราชบุรี!Q73"&amp;"5"")+IMPORTRANGE(""https://docs.google.com/spreadsheets/d/1lufeA2cfFqM-elVq2hznhDzC6Pr7wkJ9ZG_sYNGCMCU/edit?usp=sharing"",""ลพบุรี!Q735"")+IMPORTRANGE(""https://docs.google.com/spreadsheets/d/10oOiF7loTyfsTkbd4MpaIm0HQ9SwB7IYHdIUvt-U1Uc/edit?usp=sharing"""&amp;",""สระแก้ว!Q735"")+IMPORTRANGE(""https://docs.google.com/spreadsheets/d/1xmPlrr1QbdSIKvl1dWUl9K4PjAfSL9oeMr_37QVzcxc/edit?usp=sharing"",""สระบุรี!Q735"")+IMPORTRANGE(""https://docs.google.com/spreadsheets/d/1j51vR6CYVGhABJpv6tkstgok82RLpXieLzW1yOY5rHw/edi"&amp;"t?usp=sharing"",""สิงห์บุรี!Q735"")+IMPORTRANGE(""https://docs.google.com/spreadsheets/d/1H1EalTWKUSzO4Z1-1CwzoDUaVffgrThEBe2sl74kKG0/edit?usp=sharing"",""สุพรรณบุรี!Q735"")+IMPORTRANGE(""https://docs.google.com/spreadsheets/d/1BmIruG_sIrJLYao_Pdr7zVArWsf"&amp;"oBt2692TMi6x_854/edit?usp=sharing"",""อ่างทอง!Q735"")"),0)</f>
        <v>0</v>
      </c>
      <c r="R736" s="77">
        <f ca="1">IFERROR(__xludf.DUMMYFUNCTION("IMPORTRANGE(""https://docs.google.com/spreadsheets/d/13wPX838HrBrQMCywv1BsuMkt4PEKTChp52zj44s2izQ/edit?usp=sharing"",""กาญจนบุรี!R735"")+IMPORTRANGE(""https://docs.google.com/spreadsheets/d/1ddFKvqj1W1NEiWytbGlB1zMx_ykJDVtmfEQ-6-lIUBA/edit?usp=sharing"","&amp;"""จันทบุรี!R735"")+IMPORTRANGE(""https://docs.google.com/spreadsheets/d/1T1PQvRODqOBZk8BRht_U031fIS1beLA0Ub2CEytj2q0/edit?usp=sharing"",""ฉะเชิงเทรา!R735"")+IMPORTRANGE(""https://docs.google.com/spreadsheets/d/11tr1B-Bhyr79v2bkwVh5h_fR-PStkgjlZtkrZpYurG0/"&amp;"edit?usp=sharing"",""ชลบุรี!R735"")+IMPORTRANGE(""https://docs.google.com/spreadsheets/d/1hh-FVnSX0vozXhGluamEcS54Dw9_zqW0N7qJUWgJ0Sw/edit?usp=sharing"",""ชัยนาท!R735"")+IMPORTRANGE(""https://docs.google.com/spreadsheets/d/1jkqa6GXxSacMcY1eN8AHjMNJ_7dDXMJ"&amp;"VRLDlaFSOdPM/edit?usp=sharing"",""ตราด!R735"")+IMPORTRANGE(""https://docs.google.com/spreadsheets/d/18hSgUJ3VwClqi_qtULmmW3cLr0oe3OKaSYoKzdpTsYQ/edit?usp=sharing"",""นครนายก!R735"")+IMPORTRANGE(""https://docs.google.com/spreadsheets/d/1YTZo6WM2dQ6Ix6FSdnL"&amp;"5P7uVnVKu40sxZu975tgG10E/edit?usp=sharing"",""นครปฐม!R735"")+IMPORTRANGE(""https://docs.google.com/spreadsheets/d/1OYoGg4WDg5RIzwGeB10padOxJF9E_Vljuvvct_M7RDo/edit?usp=sharing"",""ปทุมธานี!R735"")+IMPORTRANGE(""https://docs.google.com/spreadsheets/d/1GbCI"&amp;"E4D4wk9FUozzqk7SxfDMxDVBwVmI5zcaVUSzKAc/edit?usp=sharing"",""ประจวบคีรีขันธ์!R735"")+IMPORTRANGE(""https://docs.google.com/spreadsheets/d/1vVf6wykvW_lAyu7Yo9L4hUTqHqIeP_qcVuxCtosJEbg/edit?usp=sharing"",""ปราจีนบุรี!R735"")+IMPORTRANGE(""https://docs.googl"&amp;"e.com/spreadsheets/d/1BIDqLLg5jk3v59G8NlR8rk5xfQDKne0sAvZHSj7TI6I/edit?usp=sharing"",""พระนครศรีอยุธยา!R735"")+IMPORTRANGE(""https://docs.google.com/spreadsheets/d/1YXvxf8Yu6_rV4hTBrwMqAcAnv6DfhUxh5emyM3CJp_w/edit?usp=sharing"",""เพชรบุรี!R735"")+IMPORTRA"&amp;"NGE(""https://docs.google.com/spreadsheets/d/19KBlQQs7uwvsao6t2n-KvW3Ax8J8uRRfZPq1zPbXgKc/edit?usp=sharing"",""ระยอง!R735"")+IMPORTRANGE(""https://docs.google.com/spreadsheets/d/1jQ6P4QcrGM89YfqcC_PxOHGCMq5ezhucwJd8ci-NHng/edit?usp=sharing"",""ราชบุรี!R73"&amp;"5"")+IMPORTRANGE(""https://docs.google.com/spreadsheets/d/1lufeA2cfFqM-elVq2hznhDzC6Pr7wkJ9ZG_sYNGCMCU/edit?usp=sharing"",""ลพบุรี!R735"")+IMPORTRANGE(""https://docs.google.com/spreadsheets/d/10oOiF7loTyfsTkbd4MpaIm0HQ9SwB7IYHdIUvt-U1Uc/edit?usp=sharing"""&amp;",""สระแก้ว!R735"")+IMPORTRANGE(""https://docs.google.com/spreadsheets/d/1xmPlrr1QbdSIKvl1dWUl9K4PjAfSL9oeMr_37QVzcxc/edit?usp=sharing"",""สระบุรี!R735"")+IMPORTRANGE(""https://docs.google.com/spreadsheets/d/1j51vR6CYVGhABJpv6tkstgok82RLpXieLzW1yOY5rHw/edi"&amp;"t?usp=sharing"",""สิงห์บุรี!R735"")+IMPORTRANGE(""https://docs.google.com/spreadsheets/d/1H1EalTWKUSzO4Z1-1CwzoDUaVffgrThEBe2sl74kKG0/edit?usp=sharing"",""สุพรรณบุรี!R735"")+IMPORTRANGE(""https://docs.google.com/spreadsheets/d/1BmIruG_sIrJLYao_Pdr7zVArWsf"&amp;"oBt2692TMi6x_854/edit?usp=sharing"",""อ่างทอง!R735"")"),0)</f>
        <v>0</v>
      </c>
      <c r="S736" s="77">
        <f ca="1">IFERROR(__xludf.DUMMYFUNCTION("IMPORTRANGE(""https://docs.google.com/spreadsheets/d/13wPX838HrBrQMCywv1BsuMkt4PEKTChp52zj44s2izQ/edit?usp=sharing"",""กาญจนบุรี!S735"")+IMPORTRANGE(""https://docs.google.com/spreadsheets/d/1ddFKvqj1W1NEiWytbGlB1zMx_ykJDVtmfEQ-6-lIUBA/edit?usp=sharing"","&amp;"""จันทบุรี!S735"")+IMPORTRANGE(""https://docs.google.com/spreadsheets/d/1T1PQvRODqOBZk8BRht_U031fIS1beLA0Ub2CEytj2q0/edit?usp=sharing"",""ฉะเชิงเทรา!S735"")+IMPORTRANGE(""https://docs.google.com/spreadsheets/d/11tr1B-Bhyr79v2bkwVh5h_fR-PStkgjlZtkrZpYurG0/"&amp;"edit?usp=sharing"",""ชลบุรี!S735"")+IMPORTRANGE(""https://docs.google.com/spreadsheets/d/1hh-FVnSX0vozXhGluamEcS54Dw9_zqW0N7qJUWgJ0Sw/edit?usp=sharing"",""ชัยนาท!S735"")+IMPORTRANGE(""https://docs.google.com/spreadsheets/d/1jkqa6GXxSacMcY1eN8AHjMNJ_7dDXMJ"&amp;"VRLDlaFSOdPM/edit?usp=sharing"",""ตราด!S735"")+IMPORTRANGE(""https://docs.google.com/spreadsheets/d/18hSgUJ3VwClqi_qtULmmW3cLr0oe3OKaSYoKzdpTsYQ/edit?usp=sharing"",""นครนายก!S735"")+IMPORTRANGE(""https://docs.google.com/spreadsheets/d/1YTZo6WM2dQ6Ix6FSdnL"&amp;"5P7uVnVKu40sxZu975tgG10E/edit?usp=sharing"",""นครปฐม!S735"")+IMPORTRANGE(""https://docs.google.com/spreadsheets/d/1OYoGg4WDg5RIzwGeB10padOxJF9E_Vljuvvct_M7RDo/edit?usp=sharing"",""ปทุมธานี!S735"")+IMPORTRANGE(""https://docs.google.com/spreadsheets/d/1GbCI"&amp;"E4D4wk9FUozzqk7SxfDMxDVBwVmI5zcaVUSzKAc/edit?usp=sharing"",""ประจวบคีรีขันธ์!S735"")+IMPORTRANGE(""https://docs.google.com/spreadsheets/d/1vVf6wykvW_lAyu7Yo9L4hUTqHqIeP_qcVuxCtosJEbg/edit?usp=sharing"",""ปราจีนบุรี!S735"")+IMPORTRANGE(""https://docs.googl"&amp;"e.com/spreadsheets/d/1BIDqLLg5jk3v59G8NlR8rk5xfQDKne0sAvZHSj7TI6I/edit?usp=sharing"",""พระนครศรีอยุธยา!S735"")+IMPORTRANGE(""https://docs.google.com/spreadsheets/d/1YXvxf8Yu6_rV4hTBrwMqAcAnv6DfhUxh5emyM3CJp_w/edit?usp=sharing"",""เพชรบุรี!S735"")+IMPORTRA"&amp;"NGE(""https://docs.google.com/spreadsheets/d/19KBlQQs7uwvsao6t2n-KvW3Ax8J8uRRfZPq1zPbXgKc/edit?usp=sharing"",""ระยอง!S735"")+IMPORTRANGE(""https://docs.google.com/spreadsheets/d/1jQ6P4QcrGM89YfqcC_PxOHGCMq5ezhucwJd8ci-NHng/edit?usp=sharing"",""ราชบุรี!S73"&amp;"5"")+IMPORTRANGE(""https://docs.google.com/spreadsheets/d/1lufeA2cfFqM-elVq2hznhDzC6Pr7wkJ9ZG_sYNGCMCU/edit?usp=sharing"",""ลพบุรี!S735"")+IMPORTRANGE(""https://docs.google.com/spreadsheets/d/10oOiF7loTyfsTkbd4MpaIm0HQ9SwB7IYHdIUvt-U1Uc/edit?usp=sharing"""&amp;",""สระแก้ว!S735"")+IMPORTRANGE(""https://docs.google.com/spreadsheets/d/1xmPlrr1QbdSIKvl1dWUl9K4PjAfSL9oeMr_37QVzcxc/edit?usp=sharing"",""สระบุรี!S735"")+IMPORTRANGE(""https://docs.google.com/spreadsheets/d/1j51vR6CYVGhABJpv6tkstgok82RLpXieLzW1yOY5rHw/edi"&amp;"t?usp=sharing"",""สิงห์บุรี!S735"")+IMPORTRANGE(""https://docs.google.com/spreadsheets/d/1H1EalTWKUSzO4Z1-1CwzoDUaVffgrThEBe2sl74kKG0/edit?usp=sharing"",""สุพรรณบุรี!S735"")+IMPORTRANGE(""https://docs.google.com/spreadsheets/d/1BmIruG_sIrJLYao_Pdr7zVArWsf"&amp;"oBt2692TMi6x_854/edit?usp=sharing"",""อ่างทอง!S735"")"),0)</f>
        <v>0</v>
      </c>
      <c r="T736" s="133">
        <f t="shared" ca="1" si="499"/>
        <v>0</v>
      </c>
      <c r="U736" s="133">
        <f t="shared" ca="1" si="500"/>
        <v>0</v>
      </c>
    </row>
    <row r="737" spans="1:21" ht="18.75" x14ac:dyDescent="0.25">
      <c r="A737" s="257"/>
      <c r="B737" s="269"/>
      <c r="C737" s="269"/>
      <c r="D737" s="269"/>
      <c r="E737" s="589" t="s">
        <v>21</v>
      </c>
      <c r="F737" s="269"/>
      <c r="G737" s="261"/>
      <c r="H737" s="275" t="s">
        <v>14</v>
      </c>
      <c r="I737" s="272"/>
      <c r="J737" s="272"/>
      <c r="K737" s="229"/>
      <c r="L737" s="74">
        <f ca="1">IFERROR(__xludf.DUMMYFUNCTION("IMPORTRANGE(""https://docs.google.com/spreadsheets/d/13wPX838HrBrQMCywv1BsuMkt4PEKTChp52zj44s2izQ/edit?usp=sharing"",""กาญจนบุรี!L736"")+IMPORTRANGE(""https://docs.google.com/spreadsheets/d/1ddFKvqj1W1NEiWytbGlB1zMx_ykJDVtmfEQ-6-lIUBA/edit?usp=sharing"","&amp;"""จันทบุรี!L736"")+IMPORTRANGE(""https://docs.google.com/spreadsheets/d/1T1PQvRODqOBZk8BRht_U031fIS1beLA0Ub2CEytj2q0/edit?usp=sharing"",""ฉะเชิงเทรา!L736"")+IMPORTRANGE(""https://docs.google.com/spreadsheets/d/11tr1B-Bhyr79v2bkwVh5h_fR-PStkgjlZtkrZpYurG0/"&amp;"edit?usp=sharing"",""ชลบุรี!L736"")+IMPORTRANGE(""https://docs.google.com/spreadsheets/d/1hh-FVnSX0vozXhGluamEcS54Dw9_zqW0N7qJUWgJ0Sw/edit?usp=sharing"",""ชัยนาท!L736"")+IMPORTRANGE(""https://docs.google.com/spreadsheets/d/1jkqa6GXxSacMcY1eN8AHjMNJ_7dDXMJ"&amp;"VRLDlaFSOdPM/edit?usp=sharing"",""ตราด!L736"")+IMPORTRANGE(""https://docs.google.com/spreadsheets/d/18hSgUJ3VwClqi_qtULmmW3cLr0oe3OKaSYoKzdpTsYQ/edit?usp=sharing"",""นครนายก!L736"")+IMPORTRANGE(""https://docs.google.com/spreadsheets/d/1YTZo6WM2dQ6Ix6FSdnL"&amp;"5P7uVnVKu40sxZu975tgG10E/edit?usp=sharing"",""นครปฐม!L736"")+IMPORTRANGE(""https://docs.google.com/spreadsheets/d/1OYoGg4WDg5RIzwGeB10padOxJF9E_Vljuvvct_M7RDo/edit?usp=sharing"",""ปทุมธานี!L736"")+IMPORTRANGE(""https://docs.google.com/spreadsheets/d/1GbCI"&amp;"E4D4wk9FUozzqk7SxfDMxDVBwVmI5zcaVUSzKAc/edit?usp=sharing"",""ประจวบคีรีขันธ์!L736"")+IMPORTRANGE(""https://docs.google.com/spreadsheets/d/1vVf6wykvW_lAyu7Yo9L4hUTqHqIeP_qcVuxCtosJEbg/edit?usp=sharing"",""ปราจีนบุรี!L736"")+IMPORTRANGE(""https://docs.googl"&amp;"e.com/spreadsheets/d/1BIDqLLg5jk3v59G8NlR8rk5xfQDKne0sAvZHSj7TI6I/edit?usp=sharing"",""พระนครศรีอยุธยา!L736"")+IMPORTRANGE(""https://docs.google.com/spreadsheets/d/1YXvxf8Yu6_rV4hTBrwMqAcAnv6DfhUxh5emyM3CJp_w/edit?usp=sharing"",""เพชรบุรี!L736"")+IMPORTRA"&amp;"NGE(""https://docs.google.com/spreadsheets/d/19KBlQQs7uwvsao6t2n-KvW3Ax8J8uRRfZPq1zPbXgKc/edit?usp=sharing"",""ระยอง!L736"")+IMPORTRANGE(""https://docs.google.com/spreadsheets/d/1jQ6P4QcrGM89YfqcC_PxOHGCMq5ezhucwJd8ci-NHng/edit?usp=sharing"",""ราชบุรี!L73"&amp;"6"")+IMPORTRANGE(""https://docs.google.com/spreadsheets/d/1lufeA2cfFqM-elVq2hznhDzC6Pr7wkJ9ZG_sYNGCMCU/edit?usp=sharing"",""ลพบุรี!L736"")+IMPORTRANGE(""https://docs.google.com/spreadsheets/d/10oOiF7loTyfsTkbd4MpaIm0HQ9SwB7IYHdIUvt-U1Uc/edit?usp=sharing"""&amp;",""สระแก้ว!L736"")+IMPORTRANGE(""https://docs.google.com/spreadsheets/d/1xmPlrr1QbdSIKvl1dWUl9K4PjAfSL9oeMr_37QVzcxc/edit?usp=sharing"",""สระบุรี!L736"")+IMPORTRANGE(""https://docs.google.com/spreadsheets/d/1j51vR6CYVGhABJpv6tkstgok82RLpXieLzW1yOY5rHw/edi"&amp;"t?usp=sharing"",""สิงห์บุรี!L736"")+IMPORTRANGE(""https://docs.google.com/spreadsheets/d/1H1EalTWKUSzO4Z1-1CwzoDUaVffgrThEBe2sl74kKG0/edit?usp=sharing"",""สุพรรณบุรี!L736"")+IMPORTRANGE(""https://docs.google.com/spreadsheets/d/1BmIruG_sIrJLYao_Pdr7zVArWsf"&amp;"oBt2692TMi6x_854/edit?usp=sharing"",""อ่างทอง!L736"")"),0)</f>
        <v>0</v>
      </c>
      <c r="M737" s="74">
        <f ca="1">IFERROR(__xludf.DUMMYFUNCTION("IMPORTRANGE(""https://docs.google.com/spreadsheets/d/13wPX838HrBrQMCywv1BsuMkt4PEKTChp52zj44s2izQ/edit?usp=sharing"",""กาญจนบุรี!M736"")+IMPORTRANGE(""https://docs.google.com/spreadsheets/d/1ddFKvqj1W1NEiWytbGlB1zMx_ykJDVtmfEQ-6-lIUBA/edit?usp=sharing"","&amp;"""จันทบุรี!M736"")+IMPORTRANGE(""https://docs.google.com/spreadsheets/d/1T1PQvRODqOBZk8BRht_U031fIS1beLA0Ub2CEytj2q0/edit?usp=sharing"",""ฉะเชิงเทรา!M736"")+IMPORTRANGE(""https://docs.google.com/spreadsheets/d/11tr1B-Bhyr79v2bkwVh5h_fR-PStkgjlZtkrZpYurG0/"&amp;"edit?usp=sharing"",""ชลบุรี!M736"")+IMPORTRANGE(""https://docs.google.com/spreadsheets/d/1hh-FVnSX0vozXhGluamEcS54Dw9_zqW0N7qJUWgJ0Sw/edit?usp=sharing"",""ชัยนาท!M736"")+IMPORTRANGE(""https://docs.google.com/spreadsheets/d/1jkqa6GXxSacMcY1eN8AHjMNJ_7dDXMJ"&amp;"VRLDlaFSOdPM/edit?usp=sharing"",""ตราด!M736"")+IMPORTRANGE(""https://docs.google.com/spreadsheets/d/18hSgUJ3VwClqi_qtULmmW3cLr0oe3OKaSYoKzdpTsYQ/edit?usp=sharing"",""นครนายก!M736"")+IMPORTRANGE(""https://docs.google.com/spreadsheets/d/1YTZo6WM2dQ6Ix6FSdnL"&amp;"5P7uVnVKu40sxZu975tgG10E/edit?usp=sharing"",""นครปฐม!M736"")+IMPORTRANGE(""https://docs.google.com/spreadsheets/d/1OYoGg4WDg5RIzwGeB10padOxJF9E_Vljuvvct_M7RDo/edit?usp=sharing"",""ปทุมธานี!M736"")+IMPORTRANGE(""https://docs.google.com/spreadsheets/d/1GbCI"&amp;"E4D4wk9FUozzqk7SxfDMxDVBwVmI5zcaVUSzKAc/edit?usp=sharing"",""ประจวบคีรีขันธ์!M736"")+IMPORTRANGE(""https://docs.google.com/spreadsheets/d/1vVf6wykvW_lAyu7Yo9L4hUTqHqIeP_qcVuxCtosJEbg/edit?usp=sharing"",""ปราจีนบุรี!M736"")+IMPORTRANGE(""https://docs.googl"&amp;"e.com/spreadsheets/d/1BIDqLLg5jk3v59G8NlR8rk5xfQDKne0sAvZHSj7TI6I/edit?usp=sharing"",""พระนครศรีอยุธยา!M736"")+IMPORTRANGE(""https://docs.google.com/spreadsheets/d/1YXvxf8Yu6_rV4hTBrwMqAcAnv6DfhUxh5emyM3CJp_w/edit?usp=sharing"",""เพชรบุรี!M736"")+IMPORTRA"&amp;"NGE(""https://docs.google.com/spreadsheets/d/19KBlQQs7uwvsao6t2n-KvW3Ax8J8uRRfZPq1zPbXgKc/edit?usp=sharing"",""ระยอง!M736"")+IMPORTRANGE(""https://docs.google.com/spreadsheets/d/1jQ6P4QcrGM89YfqcC_PxOHGCMq5ezhucwJd8ci-NHng/edit?usp=sharing"",""ราชบุรี!M73"&amp;"6"")+IMPORTRANGE(""https://docs.google.com/spreadsheets/d/1lufeA2cfFqM-elVq2hznhDzC6Pr7wkJ9ZG_sYNGCMCU/edit?usp=sharing"",""ลพบุรี!M736"")+IMPORTRANGE(""https://docs.google.com/spreadsheets/d/10oOiF7loTyfsTkbd4MpaIm0HQ9SwB7IYHdIUvt-U1Uc/edit?usp=sharing"""&amp;",""สระแก้ว!M736"")+IMPORTRANGE(""https://docs.google.com/spreadsheets/d/1xmPlrr1QbdSIKvl1dWUl9K4PjAfSL9oeMr_37QVzcxc/edit?usp=sharing"",""สระบุรี!M736"")+IMPORTRANGE(""https://docs.google.com/spreadsheets/d/1j51vR6CYVGhABJpv6tkstgok82RLpXieLzW1yOY5rHw/edi"&amp;"t?usp=sharing"",""สิงห์บุรี!M736"")+IMPORTRANGE(""https://docs.google.com/spreadsheets/d/1H1EalTWKUSzO4Z1-1CwzoDUaVffgrThEBe2sl74kKG0/edit?usp=sharing"",""สุพรรณบุรี!M736"")+IMPORTRANGE(""https://docs.google.com/spreadsheets/d/1BmIruG_sIrJLYao_Pdr7zVArWsf"&amp;"oBt2692TMi6x_854/edit?usp=sharing"",""อ่างทอง!M736"")"),0)</f>
        <v>0</v>
      </c>
      <c r="N737" s="74">
        <f ca="1">IFERROR(__xludf.DUMMYFUNCTION("IMPORTRANGE(""https://docs.google.com/spreadsheets/d/13wPX838HrBrQMCywv1BsuMkt4PEKTChp52zj44s2izQ/edit?usp=sharing"",""กาญจนบุรี!N736"")+IMPORTRANGE(""https://docs.google.com/spreadsheets/d/1ddFKvqj1W1NEiWytbGlB1zMx_ykJDVtmfEQ-6-lIUBA/edit?usp=sharing"","&amp;"""จันทบุรี!N736"")+IMPORTRANGE(""https://docs.google.com/spreadsheets/d/1T1PQvRODqOBZk8BRht_U031fIS1beLA0Ub2CEytj2q0/edit?usp=sharing"",""ฉะเชิงเทรา!N736"")+IMPORTRANGE(""https://docs.google.com/spreadsheets/d/11tr1B-Bhyr79v2bkwVh5h_fR-PStkgjlZtkrZpYurG0/"&amp;"edit?usp=sharing"",""ชลบุรี!N736"")+IMPORTRANGE(""https://docs.google.com/spreadsheets/d/1hh-FVnSX0vozXhGluamEcS54Dw9_zqW0N7qJUWgJ0Sw/edit?usp=sharing"",""ชัยนาท!N736"")+IMPORTRANGE(""https://docs.google.com/spreadsheets/d/1jkqa6GXxSacMcY1eN8AHjMNJ_7dDXMJ"&amp;"VRLDlaFSOdPM/edit?usp=sharing"",""ตราด!N736"")+IMPORTRANGE(""https://docs.google.com/spreadsheets/d/18hSgUJ3VwClqi_qtULmmW3cLr0oe3OKaSYoKzdpTsYQ/edit?usp=sharing"",""นครนายก!N736"")+IMPORTRANGE(""https://docs.google.com/spreadsheets/d/1YTZo6WM2dQ6Ix6FSdnL"&amp;"5P7uVnVKu40sxZu975tgG10E/edit?usp=sharing"",""นครปฐม!N736"")+IMPORTRANGE(""https://docs.google.com/spreadsheets/d/1OYoGg4WDg5RIzwGeB10padOxJF9E_Vljuvvct_M7RDo/edit?usp=sharing"",""ปทุมธานี!N736"")+IMPORTRANGE(""https://docs.google.com/spreadsheets/d/1GbCI"&amp;"E4D4wk9FUozzqk7SxfDMxDVBwVmI5zcaVUSzKAc/edit?usp=sharing"",""ประจวบคีรีขันธ์!N736"")+IMPORTRANGE(""https://docs.google.com/spreadsheets/d/1vVf6wykvW_lAyu7Yo9L4hUTqHqIeP_qcVuxCtosJEbg/edit?usp=sharing"",""ปราจีนบุรี!N736"")+IMPORTRANGE(""https://docs.googl"&amp;"e.com/spreadsheets/d/1BIDqLLg5jk3v59G8NlR8rk5xfQDKne0sAvZHSj7TI6I/edit?usp=sharing"",""พระนครศรีอยุธยา!N736"")+IMPORTRANGE(""https://docs.google.com/spreadsheets/d/1YXvxf8Yu6_rV4hTBrwMqAcAnv6DfhUxh5emyM3CJp_w/edit?usp=sharing"",""เพชรบุรี!N736"")+IMPORTRA"&amp;"NGE(""https://docs.google.com/spreadsheets/d/19KBlQQs7uwvsao6t2n-KvW3Ax8J8uRRfZPq1zPbXgKc/edit?usp=sharing"",""ระยอง!N736"")+IMPORTRANGE(""https://docs.google.com/spreadsheets/d/1jQ6P4QcrGM89YfqcC_PxOHGCMq5ezhucwJd8ci-NHng/edit?usp=sharing"",""ราชบุรี!N73"&amp;"6"")+IMPORTRANGE(""https://docs.google.com/spreadsheets/d/1lufeA2cfFqM-elVq2hznhDzC6Pr7wkJ9ZG_sYNGCMCU/edit?usp=sharing"",""ลพบุรี!N736"")+IMPORTRANGE(""https://docs.google.com/spreadsheets/d/10oOiF7loTyfsTkbd4MpaIm0HQ9SwB7IYHdIUvt-U1Uc/edit?usp=sharing"""&amp;",""สระแก้ว!N736"")+IMPORTRANGE(""https://docs.google.com/spreadsheets/d/1xmPlrr1QbdSIKvl1dWUl9K4PjAfSL9oeMr_37QVzcxc/edit?usp=sharing"",""สระบุรี!N736"")+IMPORTRANGE(""https://docs.google.com/spreadsheets/d/1j51vR6CYVGhABJpv6tkstgok82RLpXieLzW1yOY5rHw/edi"&amp;"t?usp=sharing"",""สิงห์บุรี!N736"")+IMPORTRANGE(""https://docs.google.com/spreadsheets/d/1H1EalTWKUSzO4Z1-1CwzoDUaVffgrThEBe2sl74kKG0/edit?usp=sharing"",""สุพรรณบุรี!N736"")+IMPORTRANGE(""https://docs.google.com/spreadsheets/d/1BmIruG_sIrJLYao_Pdr7zVArWsf"&amp;"oBt2692TMi6x_854/edit?usp=sharing"",""อ่างทอง!N736"")"),0)</f>
        <v>0</v>
      </c>
      <c r="O737" s="74">
        <f t="shared" ca="1" si="496"/>
        <v>0</v>
      </c>
      <c r="P737" s="74">
        <f t="shared" ca="1" si="497"/>
        <v>0</v>
      </c>
      <c r="Q737" s="73">
        <f ca="1">IFERROR(__xludf.DUMMYFUNCTION("IMPORTRANGE(""https://docs.google.com/spreadsheets/d/13wPX838HrBrQMCywv1BsuMkt4PEKTChp52zj44s2izQ/edit?usp=sharing"",""กาญจนบุรี!Q736"")+IMPORTRANGE(""https://docs.google.com/spreadsheets/d/1ddFKvqj1W1NEiWytbGlB1zMx_ykJDVtmfEQ-6-lIUBA/edit?usp=sharing"","&amp;"""จันทบุรี!Q736"")+IMPORTRANGE(""https://docs.google.com/spreadsheets/d/1T1PQvRODqOBZk8BRht_U031fIS1beLA0Ub2CEytj2q0/edit?usp=sharing"",""ฉะเชิงเทรา!Q736"")+IMPORTRANGE(""https://docs.google.com/spreadsheets/d/11tr1B-Bhyr79v2bkwVh5h_fR-PStkgjlZtkrZpYurG0/"&amp;"edit?usp=sharing"",""ชลบุรี!Q736"")+IMPORTRANGE(""https://docs.google.com/spreadsheets/d/1hh-FVnSX0vozXhGluamEcS54Dw9_zqW0N7qJUWgJ0Sw/edit?usp=sharing"",""ชัยนาท!Q736"")+IMPORTRANGE(""https://docs.google.com/spreadsheets/d/1jkqa6GXxSacMcY1eN8AHjMNJ_7dDXMJ"&amp;"VRLDlaFSOdPM/edit?usp=sharing"",""ตราด!Q736"")+IMPORTRANGE(""https://docs.google.com/spreadsheets/d/18hSgUJ3VwClqi_qtULmmW3cLr0oe3OKaSYoKzdpTsYQ/edit?usp=sharing"",""นครนายก!Q736"")+IMPORTRANGE(""https://docs.google.com/spreadsheets/d/1YTZo6WM2dQ6Ix6FSdnL"&amp;"5P7uVnVKu40sxZu975tgG10E/edit?usp=sharing"",""นครปฐม!Q736"")+IMPORTRANGE(""https://docs.google.com/spreadsheets/d/1OYoGg4WDg5RIzwGeB10padOxJF9E_Vljuvvct_M7RDo/edit?usp=sharing"",""ปทุมธานี!Q736"")+IMPORTRANGE(""https://docs.google.com/spreadsheets/d/1GbCI"&amp;"E4D4wk9FUozzqk7SxfDMxDVBwVmI5zcaVUSzKAc/edit?usp=sharing"",""ประจวบคีรีขันธ์!Q736"")+IMPORTRANGE(""https://docs.google.com/spreadsheets/d/1vVf6wykvW_lAyu7Yo9L4hUTqHqIeP_qcVuxCtosJEbg/edit?usp=sharing"",""ปราจีนบุรี!Q736"")+IMPORTRANGE(""https://docs.googl"&amp;"e.com/spreadsheets/d/1BIDqLLg5jk3v59G8NlR8rk5xfQDKne0sAvZHSj7TI6I/edit?usp=sharing"",""พระนครศรีอยุธยา!Q736"")+IMPORTRANGE(""https://docs.google.com/spreadsheets/d/1YXvxf8Yu6_rV4hTBrwMqAcAnv6DfhUxh5emyM3CJp_w/edit?usp=sharing"",""เพชรบุรี!Q736"")+IMPORTRA"&amp;"NGE(""https://docs.google.com/spreadsheets/d/19KBlQQs7uwvsao6t2n-KvW3Ax8J8uRRfZPq1zPbXgKc/edit?usp=sharing"",""ระยอง!Q736"")+IMPORTRANGE(""https://docs.google.com/spreadsheets/d/1jQ6P4QcrGM89YfqcC_PxOHGCMq5ezhucwJd8ci-NHng/edit?usp=sharing"",""ราชบุรี!Q73"&amp;"6"")+IMPORTRANGE(""https://docs.google.com/spreadsheets/d/1lufeA2cfFqM-elVq2hznhDzC6Pr7wkJ9ZG_sYNGCMCU/edit?usp=sharing"",""ลพบุรี!Q736"")+IMPORTRANGE(""https://docs.google.com/spreadsheets/d/10oOiF7loTyfsTkbd4MpaIm0HQ9SwB7IYHdIUvt-U1Uc/edit?usp=sharing"""&amp;",""สระแก้ว!Q736"")+IMPORTRANGE(""https://docs.google.com/spreadsheets/d/1xmPlrr1QbdSIKvl1dWUl9K4PjAfSL9oeMr_37QVzcxc/edit?usp=sharing"",""สระบุรี!Q736"")+IMPORTRANGE(""https://docs.google.com/spreadsheets/d/1j51vR6CYVGhABJpv6tkstgok82RLpXieLzW1yOY5rHw/edi"&amp;"t?usp=sharing"",""สิงห์บุรี!Q736"")+IMPORTRANGE(""https://docs.google.com/spreadsheets/d/1H1EalTWKUSzO4Z1-1CwzoDUaVffgrThEBe2sl74kKG0/edit?usp=sharing"",""สุพรรณบุรี!Q736"")+IMPORTRANGE(""https://docs.google.com/spreadsheets/d/1BmIruG_sIrJLYao_Pdr7zVArWsf"&amp;"oBt2692TMi6x_854/edit?usp=sharing"",""อ่างทอง!Q736"")"),0)</f>
        <v>0</v>
      </c>
      <c r="R737" s="74">
        <f ca="1">IFERROR(__xludf.DUMMYFUNCTION("IMPORTRANGE(""https://docs.google.com/spreadsheets/d/13wPX838HrBrQMCywv1BsuMkt4PEKTChp52zj44s2izQ/edit?usp=sharing"",""กาญจนบุรี!R736"")+IMPORTRANGE(""https://docs.google.com/spreadsheets/d/1ddFKvqj1W1NEiWytbGlB1zMx_ykJDVtmfEQ-6-lIUBA/edit?usp=sharing"","&amp;"""จันทบุรี!R736"")+IMPORTRANGE(""https://docs.google.com/spreadsheets/d/1T1PQvRODqOBZk8BRht_U031fIS1beLA0Ub2CEytj2q0/edit?usp=sharing"",""ฉะเชิงเทรา!R736"")+IMPORTRANGE(""https://docs.google.com/spreadsheets/d/11tr1B-Bhyr79v2bkwVh5h_fR-PStkgjlZtkrZpYurG0/"&amp;"edit?usp=sharing"",""ชลบุรี!R736"")+IMPORTRANGE(""https://docs.google.com/spreadsheets/d/1hh-FVnSX0vozXhGluamEcS54Dw9_zqW0N7qJUWgJ0Sw/edit?usp=sharing"",""ชัยนาท!R736"")+IMPORTRANGE(""https://docs.google.com/spreadsheets/d/1jkqa6GXxSacMcY1eN8AHjMNJ_7dDXMJ"&amp;"VRLDlaFSOdPM/edit?usp=sharing"",""ตราด!R736"")+IMPORTRANGE(""https://docs.google.com/spreadsheets/d/18hSgUJ3VwClqi_qtULmmW3cLr0oe3OKaSYoKzdpTsYQ/edit?usp=sharing"",""นครนายก!R736"")+IMPORTRANGE(""https://docs.google.com/spreadsheets/d/1YTZo6WM2dQ6Ix6FSdnL"&amp;"5P7uVnVKu40sxZu975tgG10E/edit?usp=sharing"",""นครปฐม!R736"")+IMPORTRANGE(""https://docs.google.com/spreadsheets/d/1OYoGg4WDg5RIzwGeB10padOxJF9E_Vljuvvct_M7RDo/edit?usp=sharing"",""ปทุมธานี!R736"")+IMPORTRANGE(""https://docs.google.com/spreadsheets/d/1GbCI"&amp;"E4D4wk9FUozzqk7SxfDMxDVBwVmI5zcaVUSzKAc/edit?usp=sharing"",""ประจวบคีรีขันธ์!R736"")+IMPORTRANGE(""https://docs.google.com/spreadsheets/d/1vVf6wykvW_lAyu7Yo9L4hUTqHqIeP_qcVuxCtosJEbg/edit?usp=sharing"",""ปราจีนบุรี!R736"")+IMPORTRANGE(""https://docs.googl"&amp;"e.com/spreadsheets/d/1BIDqLLg5jk3v59G8NlR8rk5xfQDKne0sAvZHSj7TI6I/edit?usp=sharing"",""พระนครศรีอยุธยา!R736"")+IMPORTRANGE(""https://docs.google.com/spreadsheets/d/1YXvxf8Yu6_rV4hTBrwMqAcAnv6DfhUxh5emyM3CJp_w/edit?usp=sharing"",""เพชรบุรี!R736"")+IMPORTRA"&amp;"NGE(""https://docs.google.com/spreadsheets/d/19KBlQQs7uwvsao6t2n-KvW3Ax8J8uRRfZPq1zPbXgKc/edit?usp=sharing"",""ระยอง!R736"")+IMPORTRANGE(""https://docs.google.com/spreadsheets/d/1jQ6P4QcrGM89YfqcC_PxOHGCMq5ezhucwJd8ci-NHng/edit?usp=sharing"",""ราชบุรี!R73"&amp;"6"")+IMPORTRANGE(""https://docs.google.com/spreadsheets/d/1lufeA2cfFqM-elVq2hznhDzC6Pr7wkJ9ZG_sYNGCMCU/edit?usp=sharing"",""ลพบุรี!R736"")+IMPORTRANGE(""https://docs.google.com/spreadsheets/d/10oOiF7loTyfsTkbd4MpaIm0HQ9SwB7IYHdIUvt-U1Uc/edit?usp=sharing"""&amp;",""สระแก้ว!R736"")+IMPORTRANGE(""https://docs.google.com/spreadsheets/d/1xmPlrr1QbdSIKvl1dWUl9K4PjAfSL9oeMr_37QVzcxc/edit?usp=sharing"",""สระบุรี!R736"")+IMPORTRANGE(""https://docs.google.com/spreadsheets/d/1j51vR6CYVGhABJpv6tkstgok82RLpXieLzW1yOY5rHw/edi"&amp;"t?usp=sharing"",""สิงห์บุรี!R736"")+IMPORTRANGE(""https://docs.google.com/spreadsheets/d/1H1EalTWKUSzO4Z1-1CwzoDUaVffgrThEBe2sl74kKG0/edit?usp=sharing"",""สุพรรณบุรี!R736"")+IMPORTRANGE(""https://docs.google.com/spreadsheets/d/1BmIruG_sIrJLYao_Pdr7zVArWsf"&amp;"oBt2692TMi6x_854/edit?usp=sharing"",""อ่างทอง!R736"")"),0)</f>
        <v>0</v>
      </c>
      <c r="S737" s="74">
        <f ca="1">IFERROR(__xludf.DUMMYFUNCTION("IMPORTRANGE(""https://docs.google.com/spreadsheets/d/13wPX838HrBrQMCywv1BsuMkt4PEKTChp52zj44s2izQ/edit?usp=sharing"",""กาญจนบุรี!S736"")+IMPORTRANGE(""https://docs.google.com/spreadsheets/d/1ddFKvqj1W1NEiWytbGlB1zMx_ykJDVtmfEQ-6-lIUBA/edit?usp=sharing"","&amp;"""จันทบุรี!S736"")+IMPORTRANGE(""https://docs.google.com/spreadsheets/d/1T1PQvRODqOBZk8BRht_U031fIS1beLA0Ub2CEytj2q0/edit?usp=sharing"",""ฉะเชิงเทรา!S736"")+IMPORTRANGE(""https://docs.google.com/spreadsheets/d/11tr1B-Bhyr79v2bkwVh5h_fR-PStkgjlZtkrZpYurG0/"&amp;"edit?usp=sharing"",""ชลบุรี!S736"")+IMPORTRANGE(""https://docs.google.com/spreadsheets/d/1hh-FVnSX0vozXhGluamEcS54Dw9_zqW0N7qJUWgJ0Sw/edit?usp=sharing"",""ชัยนาท!S736"")+IMPORTRANGE(""https://docs.google.com/spreadsheets/d/1jkqa6GXxSacMcY1eN8AHjMNJ_7dDXMJ"&amp;"VRLDlaFSOdPM/edit?usp=sharing"",""ตราด!S736"")+IMPORTRANGE(""https://docs.google.com/spreadsheets/d/18hSgUJ3VwClqi_qtULmmW3cLr0oe3OKaSYoKzdpTsYQ/edit?usp=sharing"",""นครนายก!S736"")+IMPORTRANGE(""https://docs.google.com/spreadsheets/d/1YTZo6WM2dQ6Ix6FSdnL"&amp;"5P7uVnVKu40sxZu975tgG10E/edit?usp=sharing"",""นครปฐม!S736"")+IMPORTRANGE(""https://docs.google.com/spreadsheets/d/1OYoGg4WDg5RIzwGeB10padOxJF9E_Vljuvvct_M7RDo/edit?usp=sharing"",""ปทุมธานี!S736"")+IMPORTRANGE(""https://docs.google.com/spreadsheets/d/1GbCI"&amp;"E4D4wk9FUozzqk7SxfDMxDVBwVmI5zcaVUSzKAc/edit?usp=sharing"",""ประจวบคีรีขันธ์!S736"")+IMPORTRANGE(""https://docs.google.com/spreadsheets/d/1vVf6wykvW_lAyu7Yo9L4hUTqHqIeP_qcVuxCtosJEbg/edit?usp=sharing"",""ปราจีนบุรี!S736"")+IMPORTRANGE(""https://docs.googl"&amp;"e.com/spreadsheets/d/1BIDqLLg5jk3v59G8NlR8rk5xfQDKne0sAvZHSj7TI6I/edit?usp=sharing"",""พระนครศรีอยุธยา!S736"")+IMPORTRANGE(""https://docs.google.com/spreadsheets/d/1YXvxf8Yu6_rV4hTBrwMqAcAnv6DfhUxh5emyM3CJp_w/edit?usp=sharing"",""เพชรบุรี!S736"")+IMPORTRA"&amp;"NGE(""https://docs.google.com/spreadsheets/d/19KBlQQs7uwvsao6t2n-KvW3Ax8J8uRRfZPq1zPbXgKc/edit?usp=sharing"",""ระยอง!S736"")+IMPORTRANGE(""https://docs.google.com/spreadsheets/d/1jQ6P4QcrGM89YfqcC_PxOHGCMq5ezhucwJd8ci-NHng/edit?usp=sharing"",""ราชบุรี!S73"&amp;"6"")+IMPORTRANGE(""https://docs.google.com/spreadsheets/d/1lufeA2cfFqM-elVq2hznhDzC6Pr7wkJ9ZG_sYNGCMCU/edit?usp=sharing"",""ลพบุรี!S736"")+IMPORTRANGE(""https://docs.google.com/spreadsheets/d/10oOiF7loTyfsTkbd4MpaIm0HQ9SwB7IYHdIUvt-U1Uc/edit?usp=sharing"""&amp;",""สระแก้ว!S736"")+IMPORTRANGE(""https://docs.google.com/spreadsheets/d/1xmPlrr1QbdSIKvl1dWUl9K4PjAfSL9oeMr_37QVzcxc/edit?usp=sharing"",""สระบุรี!S736"")+IMPORTRANGE(""https://docs.google.com/spreadsheets/d/1j51vR6CYVGhABJpv6tkstgok82RLpXieLzW1yOY5rHw/edi"&amp;"t?usp=sharing"",""สิงห์บุรี!S736"")+IMPORTRANGE(""https://docs.google.com/spreadsheets/d/1H1EalTWKUSzO4Z1-1CwzoDUaVffgrThEBe2sl74kKG0/edit?usp=sharing"",""สุพรรณบุรี!S736"")+IMPORTRANGE(""https://docs.google.com/spreadsheets/d/1BmIruG_sIrJLYao_Pdr7zVArWsf"&amp;"oBt2692TMi6x_854/edit?usp=sharing"",""อ่างทอง!S736"")"),0)</f>
        <v>0</v>
      </c>
      <c r="T737" s="132">
        <f t="shared" ca="1" si="499"/>
        <v>0</v>
      </c>
      <c r="U737" s="132">
        <f t="shared" ca="1" si="500"/>
        <v>0</v>
      </c>
    </row>
    <row r="738" spans="1:21" ht="19.5" x14ac:dyDescent="0.3">
      <c r="A738" s="276"/>
      <c r="B738" s="277"/>
      <c r="C738" s="309" t="s">
        <v>18</v>
      </c>
      <c r="D738" s="590" t="s">
        <v>38</v>
      </c>
      <c r="E738" s="783"/>
      <c r="F738" s="280"/>
      <c r="G738" s="281"/>
      <c r="H738" s="310"/>
      <c r="I738" s="263"/>
      <c r="J738" s="263"/>
      <c r="K738" s="87"/>
      <c r="L738" s="87"/>
      <c r="M738" s="87"/>
      <c r="N738" s="87"/>
      <c r="O738" s="87"/>
      <c r="P738" s="87"/>
      <c r="Q738" s="86"/>
      <c r="R738" s="87"/>
      <c r="S738" s="87"/>
      <c r="T738" s="87"/>
      <c r="U738" s="87"/>
    </row>
    <row r="739" spans="1:21" ht="19.5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7"/>
      <c r="M739" s="87"/>
      <c r="N739" s="87"/>
      <c r="O739" s="87"/>
      <c r="P739" s="87"/>
      <c r="Q739" s="86"/>
      <c r="R739" s="87"/>
      <c r="S739" s="87"/>
      <c r="T739" s="87"/>
      <c r="U739" s="87"/>
    </row>
    <row r="740" spans="1:21" ht="18.75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7"/>
      <c r="M740" s="87"/>
      <c r="N740" s="87"/>
      <c r="O740" s="87"/>
      <c r="P740" s="87"/>
      <c r="Q740" s="86"/>
      <c r="R740" s="87"/>
      <c r="S740" s="87"/>
      <c r="T740" s="87"/>
      <c r="U740" s="87"/>
    </row>
    <row r="741" spans="1:21" ht="18.75" x14ac:dyDescent="0.25">
      <c r="A741" s="276"/>
      <c r="B741" s="277"/>
      <c r="C741" s="277"/>
      <c r="D741" s="277"/>
      <c r="E741" s="277"/>
      <c r="F741" s="745" t="s">
        <v>271</v>
      </c>
      <c r="G741" s="282"/>
      <c r="H741" s="268" t="s">
        <v>46</v>
      </c>
      <c r="I741" s="293">
        <f ca="1">IFERROR(__xludf.DUMMYFUNCTION("IMPORTRANGE(""https://docs.google.com/spreadsheets/d/13wPX838HrBrQMCywv1BsuMkt4PEKTChp52zj44s2izQ/edit?usp=sharing"",""กาญจนบุรี!I740"")+IMPORTRANGE(""https://docs.google.com/spreadsheets/d/1ddFKvqj1W1NEiWytbGlB1zMx_ykJDVtmfEQ-6-lIUBA/edit?usp=sharing"","&amp;"""จันทบุรี!I740"")+IMPORTRANGE(""https://docs.google.com/spreadsheets/d/1T1PQvRODqOBZk8BRht_U031fIS1beLA0Ub2CEytj2q0/edit?usp=sharing"",""ฉะเชิงเทรา!I740"")+IMPORTRANGE(""https://docs.google.com/spreadsheets/d/11tr1B-Bhyr79v2bkwVh5h_fR-PStkgjlZtkrZpYurG0/"&amp;"edit?usp=sharing"",""ชลบุรี!I740"")+IMPORTRANGE(""https://docs.google.com/spreadsheets/d/1hh-FVnSX0vozXhGluamEcS54Dw9_zqW0N7qJUWgJ0Sw/edit?usp=sharing"",""ชัยนาท!I740"")+IMPORTRANGE(""https://docs.google.com/spreadsheets/d/1jkqa6GXxSacMcY1eN8AHjMNJ_7dDXMJ"&amp;"VRLDlaFSOdPM/edit?usp=sharing"",""ตราด!I740"")+IMPORTRANGE(""https://docs.google.com/spreadsheets/d/18hSgUJ3VwClqi_qtULmmW3cLr0oe3OKaSYoKzdpTsYQ/edit?usp=sharing"",""นครนายก!I740"")+IMPORTRANGE(""https://docs.google.com/spreadsheets/d/1YTZo6WM2dQ6Ix6FSdnL"&amp;"5P7uVnVKu40sxZu975tgG10E/edit?usp=sharing"",""นครปฐม!I740"")+IMPORTRANGE(""https://docs.google.com/spreadsheets/d/1OYoGg4WDg5RIzwGeB10padOxJF9E_Vljuvvct_M7RDo/edit?usp=sharing"",""ปทุมธานี!I740"")+IMPORTRANGE(""https://docs.google.com/spreadsheets/d/1GbCI"&amp;"E4D4wk9FUozzqk7SxfDMxDVBwVmI5zcaVUSzKAc/edit?usp=sharing"",""ประจวบคีรีขันธ์!I740"")+IMPORTRANGE(""https://docs.google.com/spreadsheets/d/1vVf6wykvW_lAyu7Yo9L4hUTqHqIeP_qcVuxCtosJEbg/edit?usp=sharing"",""ปราจีนบุรี!I740"")+IMPORTRANGE(""https://docs.googl"&amp;"e.com/spreadsheets/d/1BIDqLLg5jk3v59G8NlR8rk5xfQDKne0sAvZHSj7TI6I/edit?usp=sharing"",""พระนครศรีอยุธยา!I740"")+IMPORTRANGE(""https://docs.google.com/spreadsheets/d/1YXvxf8Yu6_rV4hTBrwMqAcAnv6DfhUxh5emyM3CJp_w/edit?usp=sharing"",""เพชรบุรี!I740"")+IMPORTRA"&amp;"NGE(""https://docs.google.com/spreadsheets/d/19KBlQQs7uwvsao6t2n-KvW3Ax8J8uRRfZPq1zPbXgKc/edit?usp=sharing"",""ระยอง!I740"")+IMPORTRANGE(""https://docs.google.com/spreadsheets/d/1jQ6P4QcrGM89YfqcC_PxOHGCMq5ezhucwJd8ci-NHng/edit?usp=sharing"",""ราชบุรี!I74"&amp;"0"")+IMPORTRANGE(""https://docs.google.com/spreadsheets/d/1lufeA2cfFqM-elVq2hznhDzC6Pr7wkJ9ZG_sYNGCMCU/edit?usp=sharing"",""ลพบุรี!I740"")+IMPORTRANGE(""https://docs.google.com/spreadsheets/d/10oOiF7loTyfsTkbd4MpaIm0HQ9SwB7IYHdIUvt-U1Uc/edit?usp=sharing"""&amp;",""สระแก้ว!I740"")+IMPORTRANGE(""https://docs.google.com/spreadsheets/d/1xmPlrr1QbdSIKvl1dWUl9K4PjAfSL9oeMr_37QVzcxc/edit?usp=sharing"",""สระบุรี!I740"")+IMPORTRANGE(""https://docs.google.com/spreadsheets/d/1j51vR6CYVGhABJpv6tkstgok82RLpXieLzW1yOY5rHw/edi"&amp;"t?usp=sharing"",""สิงห์บุรี!I740"")+IMPORTRANGE(""https://docs.google.com/spreadsheets/d/1H1EalTWKUSzO4Z1-1CwzoDUaVffgrThEBe2sl74kKG0/edit?usp=sharing"",""สุพรรณบุรี!I740"")+IMPORTRANGE(""https://docs.google.com/spreadsheets/d/1BmIruG_sIrJLYao_Pdr7zVArWsf"&amp;"oBt2692TMi6x_854/edit?usp=sharing"",""อ่างทอง!I740"")"),5440)</f>
        <v>5440</v>
      </c>
      <c r="J741" s="294">
        <f ca="1">IFERROR(__xludf.DUMMYFUNCTION("IMPORTRANGE(""https://docs.google.com/spreadsheets/d/13wPX838HrBrQMCywv1BsuMkt4PEKTChp52zj44s2izQ/edit?usp=sharing"",""กาญจนบุรี!J740"")+IMPORTRANGE(""https://docs.google.com/spreadsheets/d/1ddFKvqj1W1NEiWytbGlB1zMx_ykJDVtmfEQ-6-lIUBA/edit?usp=sharing"","&amp;"""จันทบุรี!J740"")+IMPORTRANGE(""https://docs.google.com/spreadsheets/d/1T1PQvRODqOBZk8BRht_U031fIS1beLA0Ub2CEytj2q0/edit?usp=sharing"",""ฉะเชิงเทรา!J740"")+IMPORTRANGE(""https://docs.google.com/spreadsheets/d/11tr1B-Bhyr79v2bkwVh5h_fR-PStkgjlZtkrZpYurG0/"&amp;"edit?usp=sharing"",""ชลบุรี!J740"")+IMPORTRANGE(""https://docs.google.com/spreadsheets/d/1hh-FVnSX0vozXhGluamEcS54Dw9_zqW0N7qJUWgJ0Sw/edit?usp=sharing"",""ชัยนาท!J740"")+IMPORTRANGE(""https://docs.google.com/spreadsheets/d/1jkqa6GXxSacMcY1eN8AHjMNJ_7dDXMJ"&amp;"VRLDlaFSOdPM/edit?usp=sharing"",""ตราด!J740"")+IMPORTRANGE(""https://docs.google.com/spreadsheets/d/18hSgUJ3VwClqi_qtULmmW3cLr0oe3OKaSYoKzdpTsYQ/edit?usp=sharing"",""นครนายก!J740"")+IMPORTRANGE(""https://docs.google.com/spreadsheets/d/1YTZo6WM2dQ6Ix6FSdnL"&amp;"5P7uVnVKu40sxZu975tgG10E/edit?usp=sharing"",""นครปฐม!J740"")+IMPORTRANGE(""https://docs.google.com/spreadsheets/d/1OYoGg4WDg5RIzwGeB10padOxJF9E_Vljuvvct_M7RDo/edit?usp=sharing"",""ปทุมธานี!J740"")+IMPORTRANGE(""https://docs.google.com/spreadsheets/d/1GbCI"&amp;"E4D4wk9FUozzqk7SxfDMxDVBwVmI5zcaVUSzKAc/edit?usp=sharing"",""ประจวบคีรีขันธ์!J740"")+IMPORTRANGE(""https://docs.google.com/spreadsheets/d/1vVf6wykvW_lAyu7Yo9L4hUTqHqIeP_qcVuxCtosJEbg/edit?usp=sharing"",""ปราจีนบุรี!J740"")+IMPORTRANGE(""https://docs.googl"&amp;"e.com/spreadsheets/d/1BIDqLLg5jk3v59G8NlR8rk5xfQDKne0sAvZHSj7TI6I/edit?usp=sharing"",""พระนครศรีอยุธยา!J740"")+IMPORTRANGE(""https://docs.google.com/spreadsheets/d/1YXvxf8Yu6_rV4hTBrwMqAcAnv6DfhUxh5emyM3CJp_w/edit?usp=sharing"",""เพชรบุรี!J740"")+IMPORTRA"&amp;"NGE(""https://docs.google.com/spreadsheets/d/19KBlQQs7uwvsao6t2n-KvW3Ax8J8uRRfZPq1zPbXgKc/edit?usp=sharing"",""ระยอง!J740"")+IMPORTRANGE(""https://docs.google.com/spreadsheets/d/1jQ6P4QcrGM89YfqcC_PxOHGCMq5ezhucwJd8ci-NHng/edit?usp=sharing"",""ราชบุรี!J74"&amp;"0"")+IMPORTRANGE(""https://docs.google.com/spreadsheets/d/1lufeA2cfFqM-elVq2hznhDzC6Pr7wkJ9ZG_sYNGCMCU/edit?usp=sharing"",""ลพบุรี!J740"")+IMPORTRANGE(""https://docs.google.com/spreadsheets/d/10oOiF7loTyfsTkbd4MpaIm0HQ9SwB7IYHdIUvt-U1Uc/edit?usp=sharing"""&amp;",""สระแก้ว!J740"")+IMPORTRANGE(""https://docs.google.com/spreadsheets/d/1xmPlrr1QbdSIKvl1dWUl9K4PjAfSL9oeMr_37QVzcxc/edit?usp=sharing"",""สระบุรี!J740"")+IMPORTRANGE(""https://docs.google.com/spreadsheets/d/1j51vR6CYVGhABJpv6tkstgok82RLpXieLzW1yOY5rHw/edi"&amp;"t?usp=sharing"",""สิงห์บุรี!J740"")+IMPORTRANGE(""https://docs.google.com/spreadsheets/d/1H1EalTWKUSzO4Z1-1CwzoDUaVffgrThEBe2sl74kKG0/edit?usp=sharing"",""สุพรรณบุรี!J740"")+IMPORTRANGE(""https://docs.google.com/spreadsheets/d/1BmIruG_sIrJLYao_Pdr7zVArWsf"&amp;"oBt2692TMi6x_854/edit?usp=sharing"",""อ่างทอง!J740"")"),400)</f>
        <v>400</v>
      </c>
      <c r="K741" s="74">
        <f ca="1">IF(I741&gt;0,J741*100/I741,0)</f>
        <v>7.3529411764705879</v>
      </c>
      <c r="L741" s="87"/>
      <c r="M741" s="87"/>
      <c r="N741" s="87"/>
      <c r="O741" s="87"/>
      <c r="P741" s="87"/>
      <c r="Q741" s="86"/>
      <c r="R741" s="87"/>
      <c r="S741" s="87"/>
      <c r="T741" s="87"/>
      <c r="U741" s="87"/>
    </row>
    <row r="742" spans="1:21" ht="18.75" x14ac:dyDescent="0.25">
      <c r="A742" s="276"/>
      <c r="B742" s="277"/>
      <c r="C742" s="277"/>
      <c r="D742" s="277"/>
      <c r="E742" s="277"/>
      <c r="F742" s="745" t="s">
        <v>272</v>
      </c>
      <c r="G742" s="282"/>
      <c r="H742" s="268" t="s">
        <v>35</v>
      </c>
      <c r="I742" s="263"/>
      <c r="J742" s="294">
        <f ca="1">IFERROR(__xludf.DUMMYFUNCTION("IMPORTRANGE(""https://docs.google.com/spreadsheets/d/13wPX838HrBrQMCywv1BsuMkt4PEKTChp52zj44s2izQ/edit?usp=sharing"",""กาญจนบุรี!J741"")+IMPORTRANGE(""https://docs.google.com/spreadsheets/d/1ddFKvqj1W1NEiWytbGlB1zMx_ykJDVtmfEQ-6-lIUBA/edit?usp=sharing"","&amp;"""จันทบุรี!J741"")+IMPORTRANGE(""https://docs.google.com/spreadsheets/d/1T1PQvRODqOBZk8BRht_U031fIS1beLA0Ub2CEytj2q0/edit?usp=sharing"",""ฉะเชิงเทรา!J741"")+IMPORTRANGE(""https://docs.google.com/spreadsheets/d/11tr1B-Bhyr79v2bkwVh5h_fR-PStkgjlZtkrZpYurG0/"&amp;"edit?usp=sharing"",""ชลบุรี!J741"")+IMPORTRANGE(""https://docs.google.com/spreadsheets/d/1hh-FVnSX0vozXhGluamEcS54Dw9_zqW0N7qJUWgJ0Sw/edit?usp=sharing"",""ชัยนาท!J741"")+IMPORTRANGE(""https://docs.google.com/spreadsheets/d/1jkqa6GXxSacMcY1eN8AHjMNJ_7dDXMJ"&amp;"VRLDlaFSOdPM/edit?usp=sharing"",""ตราด!J741"")+IMPORTRANGE(""https://docs.google.com/spreadsheets/d/18hSgUJ3VwClqi_qtULmmW3cLr0oe3OKaSYoKzdpTsYQ/edit?usp=sharing"",""นครนายก!J741"")+IMPORTRANGE(""https://docs.google.com/spreadsheets/d/1YTZo6WM2dQ6Ix6FSdnL"&amp;"5P7uVnVKu40sxZu975tgG10E/edit?usp=sharing"",""นครปฐม!J741"")+IMPORTRANGE(""https://docs.google.com/spreadsheets/d/1OYoGg4WDg5RIzwGeB10padOxJF9E_Vljuvvct_M7RDo/edit?usp=sharing"",""ปทุมธานี!J741"")+IMPORTRANGE(""https://docs.google.com/spreadsheets/d/1GbCI"&amp;"E4D4wk9FUozzqk7SxfDMxDVBwVmI5zcaVUSzKAc/edit?usp=sharing"",""ประจวบคีรีขันธ์!J741"")+IMPORTRANGE(""https://docs.google.com/spreadsheets/d/1vVf6wykvW_lAyu7Yo9L4hUTqHqIeP_qcVuxCtosJEbg/edit?usp=sharing"",""ปราจีนบุรี!J741"")+IMPORTRANGE(""https://docs.googl"&amp;"e.com/spreadsheets/d/1BIDqLLg5jk3v59G8NlR8rk5xfQDKne0sAvZHSj7TI6I/edit?usp=sharing"",""พระนครศรีอยุธยา!J741"")+IMPORTRANGE(""https://docs.google.com/spreadsheets/d/1YXvxf8Yu6_rV4hTBrwMqAcAnv6DfhUxh5emyM3CJp_w/edit?usp=sharing"",""เพชรบุรี!J741"")+IMPORTRA"&amp;"NGE(""https://docs.google.com/spreadsheets/d/19KBlQQs7uwvsao6t2n-KvW3Ax8J8uRRfZPq1zPbXgKc/edit?usp=sharing"",""ระยอง!J741"")+IMPORTRANGE(""https://docs.google.com/spreadsheets/d/1jQ6P4QcrGM89YfqcC_PxOHGCMq5ezhucwJd8ci-NHng/edit?usp=sharing"",""ราชบุรี!J74"&amp;"1"")+IMPORTRANGE(""https://docs.google.com/spreadsheets/d/1lufeA2cfFqM-elVq2hznhDzC6Pr7wkJ9ZG_sYNGCMCU/edit?usp=sharing"",""ลพบุรี!J741"")+IMPORTRANGE(""https://docs.google.com/spreadsheets/d/10oOiF7loTyfsTkbd4MpaIm0HQ9SwB7IYHdIUvt-U1Uc/edit?usp=sharing"""&amp;",""สระแก้ว!J741"")+IMPORTRANGE(""https://docs.google.com/spreadsheets/d/1xmPlrr1QbdSIKvl1dWUl9K4PjAfSL9oeMr_37QVzcxc/edit?usp=sharing"",""สระบุรี!J741"")+IMPORTRANGE(""https://docs.google.com/spreadsheets/d/1j51vR6CYVGhABJpv6tkstgok82RLpXieLzW1yOY5rHw/edi"&amp;"t?usp=sharing"",""สิงห์บุรี!J741"")+IMPORTRANGE(""https://docs.google.com/spreadsheets/d/1H1EalTWKUSzO4Z1-1CwzoDUaVffgrThEBe2sl74kKG0/edit?usp=sharing"",""สุพรรณบุรี!J741"")+IMPORTRANGE(""https://docs.google.com/spreadsheets/d/1BmIruG_sIrJLYao_Pdr7zVArWsf"&amp;"oBt2692TMi6x_854/edit?usp=sharing"",""อ่างทอง!J741"")"),0)</f>
        <v>0</v>
      </c>
      <c r="K742" s="87"/>
      <c r="L742" s="87"/>
      <c r="M742" s="87"/>
      <c r="N742" s="87"/>
      <c r="O742" s="87"/>
      <c r="P742" s="87"/>
      <c r="Q742" s="86"/>
      <c r="R742" s="87"/>
      <c r="S742" s="87"/>
      <c r="T742" s="87"/>
      <c r="U742" s="87"/>
    </row>
    <row r="743" spans="1:21" ht="18.75" x14ac:dyDescent="0.25">
      <c r="A743" s="276"/>
      <c r="B743" s="277"/>
      <c r="C743" s="277"/>
      <c r="D743" s="277"/>
      <c r="E743" s="277"/>
      <c r="F743" s="745" t="s">
        <v>273</v>
      </c>
      <c r="G743" s="282"/>
      <c r="H743" s="268" t="s">
        <v>35</v>
      </c>
      <c r="I743" s="293">
        <f ca="1">IFERROR(__xludf.DUMMYFUNCTION("IMPORTRANGE(""https://docs.google.com/spreadsheets/d/13wPX838HrBrQMCywv1BsuMkt4PEKTChp52zj44s2izQ/edit?usp=sharing"",""กาญจนบุรี!I742"")+IMPORTRANGE(""https://docs.google.com/spreadsheets/d/1ddFKvqj1W1NEiWytbGlB1zMx_ykJDVtmfEQ-6-lIUBA/edit?usp=sharing"","&amp;"""จันทบุรี!I742"")+IMPORTRANGE(""https://docs.google.com/spreadsheets/d/1T1PQvRODqOBZk8BRht_U031fIS1beLA0Ub2CEytj2q0/edit?usp=sharing"",""ฉะเชิงเทรา!I742"")+IMPORTRANGE(""https://docs.google.com/spreadsheets/d/11tr1B-Bhyr79v2bkwVh5h_fR-PStkgjlZtkrZpYurG0/"&amp;"edit?usp=sharing"",""ชลบุรี!I742"")+IMPORTRANGE(""https://docs.google.com/spreadsheets/d/1hh-FVnSX0vozXhGluamEcS54Dw9_zqW0N7qJUWgJ0Sw/edit?usp=sharing"",""ชัยนาท!I742"")+IMPORTRANGE(""https://docs.google.com/spreadsheets/d/1jkqa6GXxSacMcY1eN8AHjMNJ_7dDXMJ"&amp;"VRLDlaFSOdPM/edit?usp=sharing"",""ตราด!I742"")+IMPORTRANGE(""https://docs.google.com/spreadsheets/d/18hSgUJ3VwClqi_qtULmmW3cLr0oe3OKaSYoKzdpTsYQ/edit?usp=sharing"",""นครนายก!I742"")+IMPORTRANGE(""https://docs.google.com/spreadsheets/d/1YTZo6WM2dQ6Ix6FSdnL"&amp;"5P7uVnVKu40sxZu975tgG10E/edit?usp=sharing"",""นครปฐม!I742"")+IMPORTRANGE(""https://docs.google.com/spreadsheets/d/1OYoGg4WDg5RIzwGeB10padOxJF9E_Vljuvvct_M7RDo/edit?usp=sharing"",""ปทุมธานี!I742"")+IMPORTRANGE(""https://docs.google.com/spreadsheets/d/1GbCI"&amp;"E4D4wk9FUozzqk7SxfDMxDVBwVmI5zcaVUSzKAc/edit?usp=sharing"",""ประจวบคีรีขันธ์!I742"")+IMPORTRANGE(""https://docs.google.com/spreadsheets/d/1vVf6wykvW_lAyu7Yo9L4hUTqHqIeP_qcVuxCtosJEbg/edit?usp=sharing"",""ปราจีนบุรี!I742"")+IMPORTRANGE(""https://docs.googl"&amp;"e.com/spreadsheets/d/1BIDqLLg5jk3v59G8NlR8rk5xfQDKne0sAvZHSj7TI6I/edit?usp=sharing"",""พระนครศรีอยุธยา!I742"")+IMPORTRANGE(""https://docs.google.com/spreadsheets/d/1YXvxf8Yu6_rV4hTBrwMqAcAnv6DfhUxh5emyM3CJp_w/edit?usp=sharing"",""เพชรบุรี!I742"")+IMPORTRA"&amp;"NGE(""https://docs.google.com/spreadsheets/d/19KBlQQs7uwvsao6t2n-KvW3Ax8J8uRRfZPq1zPbXgKc/edit?usp=sharing"",""ระยอง!I742"")+IMPORTRANGE(""https://docs.google.com/spreadsheets/d/1jQ6P4QcrGM89YfqcC_PxOHGCMq5ezhucwJd8ci-NHng/edit?usp=sharing"",""ราชบุรี!I74"&amp;"2"")+IMPORTRANGE(""https://docs.google.com/spreadsheets/d/1lufeA2cfFqM-elVq2hznhDzC6Pr7wkJ9ZG_sYNGCMCU/edit?usp=sharing"",""ลพบุรี!I742"")+IMPORTRANGE(""https://docs.google.com/spreadsheets/d/10oOiF7loTyfsTkbd4MpaIm0HQ9SwB7IYHdIUvt-U1Uc/edit?usp=sharing"""&amp;",""สระแก้ว!I742"")+IMPORTRANGE(""https://docs.google.com/spreadsheets/d/1xmPlrr1QbdSIKvl1dWUl9K4PjAfSL9oeMr_37QVzcxc/edit?usp=sharing"",""สระบุรี!I742"")+IMPORTRANGE(""https://docs.google.com/spreadsheets/d/1j51vR6CYVGhABJpv6tkstgok82RLpXieLzW1yOY5rHw/edi"&amp;"t?usp=sharing"",""สิงห์บุรี!I742"")+IMPORTRANGE(""https://docs.google.com/spreadsheets/d/1H1EalTWKUSzO4Z1-1CwzoDUaVffgrThEBe2sl74kKG0/edit?usp=sharing"",""สุพรรณบุรี!I742"")+IMPORTRANGE(""https://docs.google.com/spreadsheets/d/1BmIruG_sIrJLYao_Pdr7zVArWsf"&amp;"oBt2692TMi6x_854/edit?usp=sharing"",""อ่างทอง!I742"")"),544)</f>
        <v>544</v>
      </c>
      <c r="J743" s="294">
        <f ca="1">IFERROR(__xludf.DUMMYFUNCTION("IMPORTRANGE(""https://docs.google.com/spreadsheets/d/13wPX838HrBrQMCywv1BsuMkt4PEKTChp52zj44s2izQ/edit?usp=sharing"",""กาญจนบุรี!J742"")+IMPORTRANGE(""https://docs.google.com/spreadsheets/d/1ddFKvqj1W1NEiWytbGlB1zMx_ykJDVtmfEQ-6-lIUBA/edit?usp=sharing"","&amp;"""จันทบุรี!J742"")+IMPORTRANGE(""https://docs.google.com/spreadsheets/d/1T1PQvRODqOBZk8BRht_U031fIS1beLA0Ub2CEytj2q0/edit?usp=sharing"",""ฉะเชิงเทรา!J742"")+IMPORTRANGE(""https://docs.google.com/spreadsheets/d/11tr1B-Bhyr79v2bkwVh5h_fR-PStkgjlZtkrZpYurG0/"&amp;"edit?usp=sharing"",""ชลบุรี!J742"")+IMPORTRANGE(""https://docs.google.com/spreadsheets/d/1hh-FVnSX0vozXhGluamEcS54Dw9_zqW0N7qJUWgJ0Sw/edit?usp=sharing"",""ชัยนาท!J742"")+IMPORTRANGE(""https://docs.google.com/spreadsheets/d/1jkqa6GXxSacMcY1eN8AHjMNJ_7dDXMJ"&amp;"VRLDlaFSOdPM/edit?usp=sharing"",""ตราด!J742"")+IMPORTRANGE(""https://docs.google.com/spreadsheets/d/18hSgUJ3VwClqi_qtULmmW3cLr0oe3OKaSYoKzdpTsYQ/edit?usp=sharing"",""นครนายก!J742"")+IMPORTRANGE(""https://docs.google.com/spreadsheets/d/1YTZo6WM2dQ6Ix6FSdnL"&amp;"5P7uVnVKu40sxZu975tgG10E/edit?usp=sharing"",""นครปฐม!J742"")+IMPORTRANGE(""https://docs.google.com/spreadsheets/d/1OYoGg4WDg5RIzwGeB10padOxJF9E_Vljuvvct_M7RDo/edit?usp=sharing"",""ปทุมธานี!J742"")+IMPORTRANGE(""https://docs.google.com/spreadsheets/d/1GbCI"&amp;"E4D4wk9FUozzqk7SxfDMxDVBwVmI5zcaVUSzKAc/edit?usp=sharing"",""ประจวบคีรีขันธ์!J742"")+IMPORTRANGE(""https://docs.google.com/spreadsheets/d/1vVf6wykvW_lAyu7Yo9L4hUTqHqIeP_qcVuxCtosJEbg/edit?usp=sharing"",""ปราจีนบุรี!J742"")+IMPORTRANGE(""https://docs.googl"&amp;"e.com/spreadsheets/d/1BIDqLLg5jk3v59G8NlR8rk5xfQDKne0sAvZHSj7TI6I/edit?usp=sharing"",""พระนครศรีอยุธยา!J742"")+IMPORTRANGE(""https://docs.google.com/spreadsheets/d/1YXvxf8Yu6_rV4hTBrwMqAcAnv6DfhUxh5emyM3CJp_w/edit?usp=sharing"",""เพชรบุรี!J742"")+IMPORTRA"&amp;"NGE(""https://docs.google.com/spreadsheets/d/19KBlQQs7uwvsao6t2n-KvW3Ax8J8uRRfZPq1zPbXgKc/edit?usp=sharing"",""ระยอง!J742"")+IMPORTRANGE(""https://docs.google.com/spreadsheets/d/1jQ6P4QcrGM89YfqcC_PxOHGCMq5ezhucwJd8ci-NHng/edit?usp=sharing"",""ราชบุรี!J74"&amp;"2"")+IMPORTRANGE(""https://docs.google.com/spreadsheets/d/1lufeA2cfFqM-elVq2hznhDzC6Pr7wkJ9ZG_sYNGCMCU/edit?usp=sharing"",""ลพบุรี!J742"")+IMPORTRANGE(""https://docs.google.com/spreadsheets/d/10oOiF7loTyfsTkbd4MpaIm0HQ9SwB7IYHdIUvt-U1Uc/edit?usp=sharing"""&amp;",""สระแก้ว!J742"")+IMPORTRANGE(""https://docs.google.com/spreadsheets/d/1xmPlrr1QbdSIKvl1dWUl9K4PjAfSL9oeMr_37QVzcxc/edit?usp=sharing"",""สระบุรี!J742"")+IMPORTRANGE(""https://docs.google.com/spreadsheets/d/1j51vR6CYVGhABJpv6tkstgok82RLpXieLzW1yOY5rHw/edi"&amp;"t?usp=sharing"",""สิงห์บุรี!J742"")+IMPORTRANGE(""https://docs.google.com/spreadsheets/d/1H1EalTWKUSzO4Z1-1CwzoDUaVffgrThEBe2sl74kKG0/edit?usp=sharing"",""สุพรรณบุรี!J742"")+IMPORTRANGE(""https://docs.google.com/spreadsheets/d/1BmIruG_sIrJLYao_Pdr7zVArWsf"&amp;"oBt2692TMi6x_854/edit?usp=sharing"",""อ่างทอง!J742"")"),100)</f>
        <v>100</v>
      </c>
      <c r="K743" s="74">
        <f ca="1">IF(I743&gt;0,J743*100/I743,0)</f>
        <v>18.382352941176471</v>
      </c>
      <c r="L743" s="87"/>
      <c r="M743" s="87"/>
      <c r="N743" s="87"/>
      <c r="O743" s="87"/>
      <c r="P743" s="87"/>
      <c r="Q743" s="86"/>
      <c r="R743" s="87"/>
      <c r="S743" s="87"/>
      <c r="T743" s="87"/>
      <c r="U743" s="87"/>
    </row>
    <row r="744" spans="1:21" ht="18.75" x14ac:dyDescent="0.25">
      <c r="A744" s="276"/>
      <c r="B744" s="277"/>
      <c r="C744" s="277"/>
      <c r="D744" s="277"/>
      <c r="E744" s="745" t="s">
        <v>274</v>
      </c>
      <c r="F744" s="277"/>
      <c r="G744" s="282"/>
      <c r="H744" s="312"/>
      <c r="I744" s="263"/>
      <c r="J744" s="263"/>
      <c r="K744" s="87"/>
      <c r="L744" s="87"/>
      <c r="M744" s="87"/>
      <c r="N744" s="87"/>
      <c r="O744" s="87"/>
      <c r="P744" s="87"/>
      <c r="Q744" s="86"/>
      <c r="R744" s="87"/>
      <c r="S744" s="87"/>
      <c r="T744" s="87"/>
      <c r="U744" s="87"/>
    </row>
    <row r="745" spans="1:21" ht="18.75" x14ac:dyDescent="0.25">
      <c r="A745" s="276"/>
      <c r="B745" s="277"/>
      <c r="C745" s="277"/>
      <c r="D745" s="277"/>
      <c r="E745" s="277"/>
      <c r="F745" s="745" t="s">
        <v>271</v>
      </c>
      <c r="G745" s="282"/>
      <c r="H745" s="268" t="s">
        <v>46</v>
      </c>
      <c r="I745" s="293">
        <f ca="1">IFERROR(__xludf.DUMMYFUNCTION("IMPORTRANGE(""https://docs.google.com/spreadsheets/d/13wPX838HrBrQMCywv1BsuMkt4PEKTChp52zj44s2izQ/edit?usp=sharing"",""กาญจนบุรี!I744"")+IMPORTRANGE(""https://docs.google.com/spreadsheets/d/1ddFKvqj1W1NEiWytbGlB1zMx_ykJDVtmfEQ-6-lIUBA/edit?usp=sharing"","&amp;"""จันทบุรี!I744"")+IMPORTRANGE(""https://docs.google.com/spreadsheets/d/1T1PQvRODqOBZk8BRht_U031fIS1beLA0Ub2CEytj2q0/edit?usp=sharing"",""ฉะเชิงเทรา!I744"")+IMPORTRANGE(""https://docs.google.com/spreadsheets/d/11tr1B-Bhyr79v2bkwVh5h_fR-PStkgjlZtkrZpYurG0/"&amp;"edit?usp=sharing"",""ชลบุรี!I744"")+IMPORTRANGE(""https://docs.google.com/spreadsheets/d/1hh-FVnSX0vozXhGluamEcS54Dw9_zqW0N7qJUWgJ0Sw/edit?usp=sharing"",""ชัยนาท!I744"")+IMPORTRANGE(""https://docs.google.com/spreadsheets/d/1jkqa6GXxSacMcY1eN8AHjMNJ_7dDXMJ"&amp;"VRLDlaFSOdPM/edit?usp=sharing"",""ตราด!I744"")+IMPORTRANGE(""https://docs.google.com/spreadsheets/d/18hSgUJ3VwClqi_qtULmmW3cLr0oe3OKaSYoKzdpTsYQ/edit?usp=sharing"",""นครนายก!I744"")+IMPORTRANGE(""https://docs.google.com/spreadsheets/d/1YTZo6WM2dQ6Ix6FSdnL"&amp;"5P7uVnVKu40sxZu975tgG10E/edit?usp=sharing"",""นครปฐม!I744"")+IMPORTRANGE(""https://docs.google.com/spreadsheets/d/1OYoGg4WDg5RIzwGeB10padOxJF9E_Vljuvvct_M7RDo/edit?usp=sharing"",""ปทุมธานี!I744"")+IMPORTRANGE(""https://docs.google.com/spreadsheets/d/1GbCI"&amp;"E4D4wk9FUozzqk7SxfDMxDVBwVmI5zcaVUSzKAc/edit?usp=sharing"",""ประจวบคีรีขันธ์!I744"")+IMPORTRANGE(""https://docs.google.com/spreadsheets/d/1vVf6wykvW_lAyu7Yo9L4hUTqHqIeP_qcVuxCtosJEbg/edit?usp=sharing"",""ปราจีนบุรี!I744"")+IMPORTRANGE(""https://docs.googl"&amp;"e.com/spreadsheets/d/1BIDqLLg5jk3v59G8NlR8rk5xfQDKne0sAvZHSj7TI6I/edit?usp=sharing"",""พระนครศรีอยุธยา!I744"")+IMPORTRANGE(""https://docs.google.com/spreadsheets/d/1YXvxf8Yu6_rV4hTBrwMqAcAnv6DfhUxh5emyM3CJp_w/edit?usp=sharing"",""เพชรบุรี!I744"")+IMPORTRA"&amp;"NGE(""https://docs.google.com/spreadsheets/d/19KBlQQs7uwvsao6t2n-KvW3Ax8J8uRRfZPq1zPbXgKc/edit?usp=sharing"",""ระยอง!I744"")+IMPORTRANGE(""https://docs.google.com/spreadsheets/d/1jQ6P4QcrGM89YfqcC_PxOHGCMq5ezhucwJd8ci-NHng/edit?usp=sharing"",""ราชบุรี!I74"&amp;"4"")+IMPORTRANGE(""https://docs.google.com/spreadsheets/d/1lufeA2cfFqM-elVq2hznhDzC6Pr7wkJ9ZG_sYNGCMCU/edit?usp=sharing"",""ลพบุรี!I744"")+IMPORTRANGE(""https://docs.google.com/spreadsheets/d/10oOiF7loTyfsTkbd4MpaIm0HQ9SwB7IYHdIUvt-U1Uc/edit?usp=sharing"""&amp;",""สระแก้ว!I744"")+IMPORTRANGE(""https://docs.google.com/spreadsheets/d/1xmPlrr1QbdSIKvl1dWUl9K4PjAfSL9oeMr_37QVzcxc/edit?usp=sharing"",""สระบุรี!I744"")+IMPORTRANGE(""https://docs.google.com/spreadsheets/d/1j51vR6CYVGhABJpv6tkstgok82RLpXieLzW1yOY5rHw/edi"&amp;"t?usp=sharing"",""สิงห์บุรี!I744"")+IMPORTRANGE(""https://docs.google.com/spreadsheets/d/1H1EalTWKUSzO4Z1-1CwzoDUaVffgrThEBe2sl74kKG0/edit?usp=sharing"",""สุพรรณบุรี!I744"")+IMPORTRANGE(""https://docs.google.com/spreadsheets/d/1BmIruG_sIrJLYao_Pdr7zVArWsf"&amp;"oBt2692TMi6x_854/edit?usp=sharing"",""อ่างทอง!I744"")"),1360)</f>
        <v>1360</v>
      </c>
      <c r="J745" s="294">
        <f ca="1">IFERROR(__xludf.DUMMYFUNCTION("IMPORTRANGE(""https://docs.google.com/spreadsheets/d/13wPX838HrBrQMCywv1BsuMkt4PEKTChp52zj44s2izQ/edit?usp=sharing"",""กาญจนบุรี!J744"")+IMPORTRANGE(""https://docs.google.com/spreadsheets/d/1ddFKvqj1W1NEiWytbGlB1zMx_ykJDVtmfEQ-6-lIUBA/edit?usp=sharing"","&amp;"""จันทบุรี!J744"")+IMPORTRANGE(""https://docs.google.com/spreadsheets/d/1T1PQvRODqOBZk8BRht_U031fIS1beLA0Ub2CEytj2q0/edit?usp=sharing"",""ฉะเชิงเทรา!J744"")+IMPORTRANGE(""https://docs.google.com/spreadsheets/d/11tr1B-Bhyr79v2bkwVh5h_fR-PStkgjlZtkrZpYurG0/"&amp;"edit?usp=sharing"",""ชลบุรี!J744"")+IMPORTRANGE(""https://docs.google.com/spreadsheets/d/1hh-FVnSX0vozXhGluamEcS54Dw9_zqW0N7qJUWgJ0Sw/edit?usp=sharing"",""ชัยนาท!J744"")+IMPORTRANGE(""https://docs.google.com/spreadsheets/d/1jkqa6GXxSacMcY1eN8AHjMNJ_7dDXMJ"&amp;"VRLDlaFSOdPM/edit?usp=sharing"",""ตราด!J744"")+IMPORTRANGE(""https://docs.google.com/spreadsheets/d/18hSgUJ3VwClqi_qtULmmW3cLr0oe3OKaSYoKzdpTsYQ/edit?usp=sharing"",""นครนายก!J744"")+IMPORTRANGE(""https://docs.google.com/spreadsheets/d/1YTZo6WM2dQ6Ix6FSdnL"&amp;"5P7uVnVKu40sxZu975tgG10E/edit?usp=sharing"",""นครปฐม!J744"")+IMPORTRANGE(""https://docs.google.com/spreadsheets/d/1OYoGg4WDg5RIzwGeB10padOxJF9E_Vljuvvct_M7RDo/edit?usp=sharing"",""ปทุมธานี!J744"")+IMPORTRANGE(""https://docs.google.com/spreadsheets/d/1GbCI"&amp;"E4D4wk9FUozzqk7SxfDMxDVBwVmI5zcaVUSzKAc/edit?usp=sharing"",""ประจวบคีรีขันธ์!J744"")+IMPORTRANGE(""https://docs.google.com/spreadsheets/d/1vVf6wykvW_lAyu7Yo9L4hUTqHqIeP_qcVuxCtosJEbg/edit?usp=sharing"",""ปราจีนบุรี!J744"")+IMPORTRANGE(""https://docs.googl"&amp;"e.com/spreadsheets/d/1BIDqLLg5jk3v59G8NlR8rk5xfQDKne0sAvZHSj7TI6I/edit?usp=sharing"",""พระนครศรีอยุธยา!J744"")+IMPORTRANGE(""https://docs.google.com/spreadsheets/d/1YXvxf8Yu6_rV4hTBrwMqAcAnv6DfhUxh5emyM3CJp_w/edit?usp=sharing"",""เพชรบุรี!J744"")+IMPORTRA"&amp;"NGE(""https://docs.google.com/spreadsheets/d/19KBlQQs7uwvsao6t2n-KvW3Ax8J8uRRfZPq1zPbXgKc/edit?usp=sharing"",""ระยอง!J744"")+IMPORTRANGE(""https://docs.google.com/spreadsheets/d/1jQ6P4QcrGM89YfqcC_PxOHGCMq5ezhucwJd8ci-NHng/edit?usp=sharing"",""ราชบุรี!J74"&amp;"4"")+IMPORTRANGE(""https://docs.google.com/spreadsheets/d/1lufeA2cfFqM-elVq2hznhDzC6Pr7wkJ9ZG_sYNGCMCU/edit?usp=sharing"",""ลพบุรี!J744"")+IMPORTRANGE(""https://docs.google.com/spreadsheets/d/10oOiF7loTyfsTkbd4MpaIm0HQ9SwB7IYHdIUvt-U1Uc/edit?usp=sharing"""&amp;",""สระแก้ว!J744"")+IMPORTRANGE(""https://docs.google.com/spreadsheets/d/1xmPlrr1QbdSIKvl1dWUl9K4PjAfSL9oeMr_37QVzcxc/edit?usp=sharing"",""สระบุรี!J744"")+IMPORTRANGE(""https://docs.google.com/spreadsheets/d/1j51vR6CYVGhABJpv6tkstgok82RLpXieLzW1yOY5rHw/edi"&amp;"t?usp=sharing"",""สิงห์บุรี!J744"")+IMPORTRANGE(""https://docs.google.com/spreadsheets/d/1H1EalTWKUSzO4Z1-1CwzoDUaVffgrThEBe2sl74kKG0/edit?usp=sharing"",""สุพรรณบุรี!J744"")+IMPORTRANGE(""https://docs.google.com/spreadsheets/d/1BmIruG_sIrJLYao_Pdr7zVArWsf"&amp;"oBt2692TMi6x_854/edit?usp=sharing"",""อ่างทอง!J744"")"),0)</f>
        <v>0</v>
      </c>
      <c r="K745" s="74">
        <f ca="1">IF(I745&gt;0,J745*100/I745,0)</f>
        <v>0</v>
      </c>
      <c r="L745" s="87"/>
      <c r="M745" s="87"/>
      <c r="N745" s="87"/>
      <c r="O745" s="87"/>
      <c r="P745" s="87"/>
      <c r="Q745" s="86"/>
      <c r="R745" s="87"/>
      <c r="S745" s="87"/>
      <c r="T745" s="87"/>
      <c r="U745" s="87"/>
    </row>
    <row r="746" spans="1:21" ht="18.75" x14ac:dyDescent="0.25">
      <c r="A746" s="276"/>
      <c r="B746" s="277"/>
      <c r="C746" s="277"/>
      <c r="D746" s="277"/>
      <c r="E746" s="277"/>
      <c r="F746" s="745" t="s">
        <v>275</v>
      </c>
      <c r="G746" s="282"/>
      <c r="H746" s="268" t="s">
        <v>35</v>
      </c>
      <c r="I746" s="263"/>
      <c r="J746" s="294">
        <f ca="1">IFERROR(__xludf.DUMMYFUNCTION("IMPORTRANGE(""https://docs.google.com/spreadsheets/d/13wPX838HrBrQMCywv1BsuMkt4PEKTChp52zj44s2izQ/edit?usp=sharing"",""กาญจนบุรี!J745"")+IMPORTRANGE(""https://docs.google.com/spreadsheets/d/1ddFKvqj1W1NEiWytbGlB1zMx_ykJDVtmfEQ-6-lIUBA/edit?usp=sharing"","&amp;"""จันทบุรี!J745"")+IMPORTRANGE(""https://docs.google.com/spreadsheets/d/1T1PQvRODqOBZk8BRht_U031fIS1beLA0Ub2CEytj2q0/edit?usp=sharing"",""ฉะเชิงเทรา!J745"")+IMPORTRANGE(""https://docs.google.com/spreadsheets/d/11tr1B-Bhyr79v2bkwVh5h_fR-PStkgjlZtkrZpYurG0/"&amp;"edit?usp=sharing"",""ชลบุรี!J745"")+IMPORTRANGE(""https://docs.google.com/spreadsheets/d/1hh-FVnSX0vozXhGluamEcS54Dw9_zqW0N7qJUWgJ0Sw/edit?usp=sharing"",""ชัยนาท!J745"")+IMPORTRANGE(""https://docs.google.com/spreadsheets/d/1jkqa6GXxSacMcY1eN8AHjMNJ_7dDXMJ"&amp;"VRLDlaFSOdPM/edit?usp=sharing"",""ตราด!J745"")+IMPORTRANGE(""https://docs.google.com/spreadsheets/d/18hSgUJ3VwClqi_qtULmmW3cLr0oe3OKaSYoKzdpTsYQ/edit?usp=sharing"",""นครนายก!J745"")+IMPORTRANGE(""https://docs.google.com/spreadsheets/d/1YTZo6WM2dQ6Ix6FSdnL"&amp;"5P7uVnVKu40sxZu975tgG10E/edit?usp=sharing"",""นครปฐม!J745"")+IMPORTRANGE(""https://docs.google.com/spreadsheets/d/1OYoGg4WDg5RIzwGeB10padOxJF9E_Vljuvvct_M7RDo/edit?usp=sharing"",""ปทุมธานี!J745"")+IMPORTRANGE(""https://docs.google.com/spreadsheets/d/1GbCI"&amp;"E4D4wk9FUozzqk7SxfDMxDVBwVmI5zcaVUSzKAc/edit?usp=sharing"",""ประจวบคีรีขันธ์!J745"")+IMPORTRANGE(""https://docs.google.com/spreadsheets/d/1vVf6wykvW_lAyu7Yo9L4hUTqHqIeP_qcVuxCtosJEbg/edit?usp=sharing"",""ปราจีนบุรี!J745"")+IMPORTRANGE(""https://docs.googl"&amp;"e.com/spreadsheets/d/1BIDqLLg5jk3v59G8NlR8rk5xfQDKne0sAvZHSj7TI6I/edit?usp=sharing"",""พระนครศรีอยุธยา!J745"")+IMPORTRANGE(""https://docs.google.com/spreadsheets/d/1YXvxf8Yu6_rV4hTBrwMqAcAnv6DfhUxh5emyM3CJp_w/edit?usp=sharing"",""เพชรบุรี!J745"")+IMPORTRA"&amp;"NGE(""https://docs.google.com/spreadsheets/d/19KBlQQs7uwvsao6t2n-KvW3Ax8J8uRRfZPq1zPbXgKc/edit?usp=sharing"",""ระยอง!J745"")+IMPORTRANGE(""https://docs.google.com/spreadsheets/d/1jQ6P4QcrGM89YfqcC_PxOHGCMq5ezhucwJd8ci-NHng/edit?usp=sharing"",""ราชบุรี!J74"&amp;"5"")+IMPORTRANGE(""https://docs.google.com/spreadsheets/d/1lufeA2cfFqM-elVq2hznhDzC6Pr7wkJ9ZG_sYNGCMCU/edit?usp=sharing"",""ลพบุรี!J745"")+IMPORTRANGE(""https://docs.google.com/spreadsheets/d/10oOiF7loTyfsTkbd4MpaIm0HQ9SwB7IYHdIUvt-U1Uc/edit?usp=sharing"""&amp;",""สระแก้ว!J745"")+IMPORTRANGE(""https://docs.google.com/spreadsheets/d/1xmPlrr1QbdSIKvl1dWUl9K4PjAfSL9oeMr_37QVzcxc/edit?usp=sharing"",""สระบุรี!J745"")+IMPORTRANGE(""https://docs.google.com/spreadsheets/d/1j51vR6CYVGhABJpv6tkstgok82RLpXieLzW1yOY5rHw/edi"&amp;"t?usp=sharing"",""สิงห์บุรี!J745"")+IMPORTRANGE(""https://docs.google.com/spreadsheets/d/1H1EalTWKUSzO4Z1-1CwzoDUaVffgrThEBe2sl74kKG0/edit?usp=sharing"",""สุพรรณบุรี!J745"")+IMPORTRANGE(""https://docs.google.com/spreadsheets/d/1BmIruG_sIrJLYao_Pdr7zVArWsf"&amp;"oBt2692TMi6x_854/edit?usp=sharing"",""อ่างทอง!J745"")"),0)</f>
        <v>0</v>
      </c>
      <c r="K746" s="87"/>
      <c r="L746" s="87"/>
      <c r="M746" s="87"/>
      <c r="N746" s="87"/>
      <c r="O746" s="87"/>
      <c r="P746" s="87"/>
      <c r="Q746" s="86"/>
      <c r="R746" s="87"/>
      <c r="S746" s="87"/>
      <c r="T746" s="87"/>
      <c r="U746" s="87"/>
    </row>
    <row r="747" spans="1:21" ht="18.75" x14ac:dyDescent="0.25">
      <c r="A747" s="276"/>
      <c r="B747" s="277"/>
      <c r="C747" s="277"/>
      <c r="D747" s="277"/>
      <c r="E747" s="277"/>
      <c r="F747" s="745" t="s">
        <v>276</v>
      </c>
      <c r="G747" s="282"/>
      <c r="H747" s="268" t="s">
        <v>35</v>
      </c>
      <c r="I747" s="293">
        <f ca="1">IFERROR(__xludf.DUMMYFUNCTION("IMPORTRANGE(""https://docs.google.com/spreadsheets/d/13wPX838HrBrQMCywv1BsuMkt4PEKTChp52zj44s2izQ/edit?usp=sharing"",""กาญจนบุรี!I746"")+IMPORTRANGE(""https://docs.google.com/spreadsheets/d/1ddFKvqj1W1NEiWytbGlB1zMx_ykJDVtmfEQ-6-lIUBA/edit?usp=sharing"","&amp;"""จันทบุรี!I746"")+IMPORTRANGE(""https://docs.google.com/spreadsheets/d/1T1PQvRODqOBZk8BRht_U031fIS1beLA0Ub2CEytj2q0/edit?usp=sharing"",""ฉะเชิงเทรา!I746"")+IMPORTRANGE(""https://docs.google.com/spreadsheets/d/11tr1B-Bhyr79v2bkwVh5h_fR-PStkgjlZtkrZpYurG0/"&amp;"edit?usp=sharing"",""ชลบุรี!I746"")+IMPORTRANGE(""https://docs.google.com/spreadsheets/d/1hh-FVnSX0vozXhGluamEcS54Dw9_zqW0N7qJUWgJ0Sw/edit?usp=sharing"",""ชัยนาท!I746"")+IMPORTRANGE(""https://docs.google.com/spreadsheets/d/1jkqa6GXxSacMcY1eN8AHjMNJ_7dDXMJ"&amp;"VRLDlaFSOdPM/edit?usp=sharing"",""ตราด!I746"")+IMPORTRANGE(""https://docs.google.com/spreadsheets/d/18hSgUJ3VwClqi_qtULmmW3cLr0oe3OKaSYoKzdpTsYQ/edit?usp=sharing"",""นครนายก!I746"")+IMPORTRANGE(""https://docs.google.com/spreadsheets/d/1YTZo6WM2dQ6Ix6FSdnL"&amp;"5P7uVnVKu40sxZu975tgG10E/edit?usp=sharing"",""นครปฐม!I746"")+IMPORTRANGE(""https://docs.google.com/spreadsheets/d/1OYoGg4WDg5RIzwGeB10padOxJF9E_Vljuvvct_M7RDo/edit?usp=sharing"",""ปทุมธานี!I746"")+IMPORTRANGE(""https://docs.google.com/spreadsheets/d/1GbCI"&amp;"E4D4wk9FUozzqk7SxfDMxDVBwVmI5zcaVUSzKAc/edit?usp=sharing"",""ประจวบคีรีขันธ์!I746"")+IMPORTRANGE(""https://docs.google.com/spreadsheets/d/1vVf6wykvW_lAyu7Yo9L4hUTqHqIeP_qcVuxCtosJEbg/edit?usp=sharing"",""ปราจีนบุรี!I746"")+IMPORTRANGE(""https://docs.googl"&amp;"e.com/spreadsheets/d/1BIDqLLg5jk3v59G8NlR8rk5xfQDKne0sAvZHSj7TI6I/edit?usp=sharing"",""พระนครศรีอยุธยา!I746"")+IMPORTRANGE(""https://docs.google.com/spreadsheets/d/1YXvxf8Yu6_rV4hTBrwMqAcAnv6DfhUxh5emyM3CJp_w/edit?usp=sharing"",""เพชรบุรี!I746"")+IMPORTRA"&amp;"NGE(""https://docs.google.com/spreadsheets/d/19KBlQQs7uwvsao6t2n-KvW3Ax8J8uRRfZPq1zPbXgKc/edit?usp=sharing"",""ระยอง!I746"")+IMPORTRANGE(""https://docs.google.com/spreadsheets/d/1jQ6P4QcrGM89YfqcC_PxOHGCMq5ezhucwJd8ci-NHng/edit?usp=sharing"",""ราชบุรี!I74"&amp;"6"")+IMPORTRANGE(""https://docs.google.com/spreadsheets/d/1lufeA2cfFqM-elVq2hznhDzC6Pr7wkJ9ZG_sYNGCMCU/edit?usp=sharing"",""ลพบุรี!I746"")+IMPORTRANGE(""https://docs.google.com/spreadsheets/d/10oOiF7loTyfsTkbd4MpaIm0HQ9SwB7IYHdIUvt-U1Uc/edit?usp=sharing"""&amp;",""สระแก้ว!I746"")+IMPORTRANGE(""https://docs.google.com/spreadsheets/d/1xmPlrr1QbdSIKvl1dWUl9K4PjAfSL9oeMr_37QVzcxc/edit?usp=sharing"",""สระบุรี!I746"")+IMPORTRANGE(""https://docs.google.com/spreadsheets/d/1j51vR6CYVGhABJpv6tkstgok82RLpXieLzW1yOY5rHw/edi"&amp;"t?usp=sharing"",""สิงห์บุรี!I746"")+IMPORTRANGE(""https://docs.google.com/spreadsheets/d/1H1EalTWKUSzO4Z1-1CwzoDUaVffgrThEBe2sl74kKG0/edit?usp=sharing"",""สุพรรณบุรี!I746"")+IMPORTRANGE(""https://docs.google.com/spreadsheets/d/1BmIruG_sIrJLYao_Pdr7zVArWsf"&amp;"oBt2692TMi6x_854/edit?usp=sharing"",""อ่างทอง!I746"")"),136)</f>
        <v>136</v>
      </c>
      <c r="J747" s="294">
        <f ca="1">IFERROR(__xludf.DUMMYFUNCTION("IMPORTRANGE(""https://docs.google.com/spreadsheets/d/13wPX838HrBrQMCywv1BsuMkt4PEKTChp52zj44s2izQ/edit?usp=sharing"",""กาญจนบุรี!J746"")+IMPORTRANGE(""https://docs.google.com/spreadsheets/d/1ddFKvqj1W1NEiWytbGlB1zMx_ykJDVtmfEQ-6-lIUBA/edit?usp=sharing"","&amp;"""จันทบุรี!J746"")+IMPORTRANGE(""https://docs.google.com/spreadsheets/d/1T1PQvRODqOBZk8BRht_U031fIS1beLA0Ub2CEytj2q0/edit?usp=sharing"",""ฉะเชิงเทรา!J746"")+IMPORTRANGE(""https://docs.google.com/spreadsheets/d/11tr1B-Bhyr79v2bkwVh5h_fR-PStkgjlZtkrZpYurG0/"&amp;"edit?usp=sharing"",""ชลบุรี!J746"")+IMPORTRANGE(""https://docs.google.com/spreadsheets/d/1hh-FVnSX0vozXhGluamEcS54Dw9_zqW0N7qJUWgJ0Sw/edit?usp=sharing"",""ชัยนาท!J746"")+IMPORTRANGE(""https://docs.google.com/spreadsheets/d/1jkqa6GXxSacMcY1eN8AHjMNJ_7dDXMJ"&amp;"VRLDlaFSOdPM/edit?usp=sharing"",""ตราด!J746"")+IMPORTRANGE(""https://docs.google.com/spreadsheets/d/18hSgUJ3VwClqi_qtULmmW3cLr0oe3OKaSYoKzdpTsYQ/edit?usp=sharing"",""นครนายก!J746"")+IMPORTRANGE(""https://docs.google.com/spreadsheets/d/1YTZo6WM2dQ6Ix6FSdnL"&amp;"5P7uVnVKu40sxZu975tgG10E/edit?usp=sharing"",""นครปฐม!J746"")+IMPORTRANGE(""https://docs.google.com/spreadsheets/d/1OYoGg4WDg5RIzwGeB10padOxJF9E_Vljuvvct_M7RDo/edit?usp=sharing"",""ปทุมธานี!J746"")+IMPORTRANGE(""https://docs.google.com/spreadsheets/d/1GbCI"&amp;"E4D4wk9FUozzqk7SxfDMxDVBwVmI5zcaVUSzKAc/edit?usp=sharing"",""ประจวบคีรีขันธ์!J746"")+IMPORTRANGE(""https://docs.google.com/spreadsheets/d/1vVf6wykvW_lAyu7Yo9L4hUTqHqIeP_qcVuxCtosJEbg/edit?usp=sharing"",""ปราจีนบุรี!J746"")+IMPORTRANGE(""https://docs.googl"&amp;"e.com/spreadsheets/d/1BIDqLLg5jk3v59G8NlR8rk5xfQDKne0sAvZHSj7TI6I/edit?usp=sharing"",""พระนครศรีอยุธยา!J746"")+IMPORTRANGE(""https://docs.google.com/spreadsheets/d/1YXvxf8Yu6_rV4hTBrwMqAcAnv6DfhUxh5emyM3CJp_w/edit?usp=sharing"",""เพชรบุรี!J746"")+IMPORTRA"&amp;"NGE(""https://docs.google.com/spreadsheets/d/19KBlQQs7uwvsao6t2n-KvW3Ax8J8uRRfZPq1zPbXgKc/edit?usp=sharing"",""ระยอง!J746"")+IMPORTRANGE(""https://docs.google.com/spreadsheets/d/1jQ6P4QcrGM89YfqcC_PxOHGCMq5ezhucwJd8ci-NHng/edit?usp=sharing"",""ราชบุรี!J74"&amp;"6"")+IMPORTRANGE(""https://docs.google.com/spreadsheets/d/1lufeA2cfFqM-elVq2hznhDzC6Pr7wkJ9ZG_sYNGCMCU/edit?usp=sharing"",""ลพบุรี!J746"")+IMPORTRANGE(""https://docs.google.com/spreadsheets/d/10oOiF7loTyfsTkbd4MpaIm0HQ9SwB7IYHdIUvt-U1Uc/edit?usp=sharing"""&amp;",""สระแก้ว!J746"")+IMPORTRANGE(""https://docs.google.com/spreadsheets/d/1xmPlrr1QbdSIKvl1dWUl9K4PjAfSL9oeMr_37QVzcxc/edit?usp=sharing"",""สระบุรี!J746"")+IMPORTRANGE(""https://docs.google.com/spreadsheets/d/1j51vR6CYVGhABJpv6tkstgok82RLpXieLzW1yOY5rHw/edi"&amp;"t?usp=sharing"",""สิงห์บุรี!J746"")+IMPORTRANGE(""https://docs.google.com/spreadsheets/d/1H1EalTWKUSzO4Z1-1CwzoDUaVffgrThEBe2sl74kKG0/edit?usp=sharing"",""สุพรรณบุรี!J746"")+IMPORTRANGE(""https://docs.google.com/spreadsheets/d/1BmIruG_sIrJLYao_Pdr7zVArWsf"&amp;"oBt2692TMi6x_854/edit?usp=sharing"",""อ่างทอง!J746"")"),0)</f>
        <v>0</v>
      </c>
      <c r="K747" s="74">
        <f ca="1">IF(I747&gt;0,J747*100/I747,0)</f>
        <v>0</v>
      </c>
      <c r="L747" s="87"/>
      <c r="M747" s="87"/>
      <c r="N747" s="87"/>
      <c r="O747" s="87"/>
      <c r="P747" s="87"/>
      <c r="Q747" s="86"/>
      <c r="R747" s="87"/>
      <c r="S747" s="87"/>
      <c r="T747" s="87"/>
      <c r="U747" s="87"/>
    </row>
    <row r="748" spans="1:21" ht="18.75" x14ac:dyDescent="0.25">
      <c r="A748" s="276"/>
      <c r="B748" s="277"/>
      <c r="C748" s="277"/>
      <c r="D748" s="277"/>
      <c r="E748" s="745" t="s">
        <v>277</v>
      </c>
      <c r="F748" s="290"/>
      <c r="G748" s="282"/>
      <c r="H748" s="312"/>
      <c r="I748" s="263"/>
      <c r="J748" s="263"/>
      <c r="K748" s="87"/>
      <c r="L748" s="87"/>
      <c r="M748" s="87"/>
      <c r="N748" s="87"/>
      <c r="O748" s="87"/>
      <c r="P748" s="87"/>
      <c r="Q748" s="86"/>
      <c r="R748" s="87"/>
      <c r="S748" s="87"/>
      <c r="T748" s="87"/>
      <c r="U748" s="87"/>
    </row>
    <row r="749" spans="1:21" ht="18.75" x14ac:dyDescent="0.25">
      <c r="A749" s="276"/>
      <c r="B749" s="277"/>
      <c r="C749" s="277"/>
      <c r="D749" s="277"/>
      <c r="E749" s="277"/>
      <c r="F749" s="745" t="s">
        <v>278</v>
      </c>
      <c r="G749" s="282"/>
      <c r="H749" s="268" t="s">
        <v>35</v>
      </c>
      <c r="I749" s="263"/>
      <c r="J749" s="294">
        <f ca="1">IFERROR(__xludf.DUMMYFUNCTION("IMPORTRANGE(""https://docs.google.com/spreadsheets/d/13wPX838HrBrQMCywv1BsuMkt4PEKTChp52zj44s2izQ/edit?usp=sharing"",""กาญจนบุรี!J748"")+IMPORTRANGE(""https://docs.google.com/spreadsheets/d/1ddFKvqj1W1NEiWytbGlB1zMx_ykJDVtmfEQ-6-lIUBA/edit?usp=sharing"","&amp;"""จันทบุรี!J748"")+IMPORTRANGE(""https://docs.google.com/spreadsheets/d/1T1PQvRODqOBZk8BRht_U031fIS1beLA0Ub2CEytj2q0/edit?usp=sharing"",""ฉะเชิงเทรา!J748"")+IMPORTRANGE(""https://docs.google.com/spreadsheets/d/11tr1B-Bhyr79v2bkwVh5h_fR-PStkgjlZtkrZpYurG0/"&amp;"edit?usp=sharing"",""ชลบุรี!J748"")+IMPORTRANGE(""https://docs.google.com/spreadsheets/d/1hh-FVnSX0vozXhGluamEcS54Dw9_zqW0N7qJUWgJ0Sw/edit?usp=sharing"",""ชัยนาท!J748"")+IMPORTRANGE(""https://docs.google.com/spreadsheets/d/1jkqa6GXxSacMcY1eN8AHjMNJ_7dDXMJ"&amp;"VRLDlaFSOdPM/edit?usp=sharing"",""ตราด!J748"")+IMPORTRANGE(""https://docs.google.com/spreadsheets/d/18hSgUJ3VwClqi_qtULmmW3cLr0oe3OKaSYoKzdpTsYQ/edit?usp=sharing"",""นครนายก!J748"")+IMPORTRANGE(""https://docs.google.com/spreadsheets/d/1YTZo6WM2dQ6Ix6FSdnL"&amp;"5P7uVnVKu40sxZu975tgG10E/edit?usp=sharing"",""นครปฐม!J748"")+IMPORTRANGE(""https://docs.google.com/spreadsheets/d/1OYoGg4WDg5RIzwGeB10padOxJF9E_Vljuvvct_M7RDo/edit?usp=sharing"",""ปทุมธานี!J748"")+IMPORTRANGE(""https://docs.google.com/spreadsheets/d/1GbCI"&amp;"E4D4wk9FUozzqk7SxfDMxDVBwVmI5zcaVUSzKAc/edit?usp=sharing"",""ประจวบคีรีขันธ์!J748"")+IMPORTRANGE(""https://docs.google.com/spreadsheets/d/1vVf6wykvW_lAyu7Yo9L4hUTqHqIeP_qcVuxCtosJEbg/edit?usp=sharing"",""ปราจีนบุรี!J748"")+IMPORTRANGE(""https://docs.googl"&amp;"e.com/spreadsheets/d/1BIDqLLg5jk3v59G8NlR8rk5xfQDKne0sAvZHSj7TI6I/edit?usp=sharing"",""พระนครศรีอยุธยา!J748"")+IMPORTRANGE(""https://docs.google.com/spreadsheets/d/1YXvxf8Yu6_rV4hTBrwMqAcAnv6DfhUxh5emyM3CJp_w/edit?usp=sharing"",""เพชรบุรี!J748"")+IMPORTRA"&amp;"NGE(""https://docs.google.com/spreadsheets/d/19KBlQQs7uwvsao6t2n-KvW3Ax8J8uRRfZPq1zPbXgKc/edit?usp=sharing"",""ระยอง!J748"")+IMPORTRANGE(""https://docs.google.com/spreadsheets/d/1jQ6P4QcrGM89YfqcC_PxOHGCMq5ezhucwJd8ci-NHng/edit?usp=sharing"",""ราชบุรี!J74"&amp;"8"")+IMPORTRANGE(""https://docs.google.com/spreadsheets/d/1lufeA2cfFqM-elVq2hznhDzC6Pr7wkJ9ZG_sYNGCMCU/edit?usp=sharing"",""ลพบุรี!J748"")+IMPORTRANGE(""https://docs.google.com/spreadsheets/d/10oOiF7loTyfsTkbd4MpaIm0HQ9SwB7IYHdIUvt-U1Uc/edit?usp=sharing"""&amp;",""สระแก้ว!J748"")+IMPORTRANGE(""https://docs.google.com/spreadsheets/d/1xmPlrr1QbdSIKvl1dWUl9K4PjAfSL9oeMr_37QVzcxc/edit?usp=sharing"",""สระบุรี!J748"")+IMPORTRANGE(""https://docs.google.com/spreadsheets/d/1j51vR6CYVGhABJpv6tkstgok82RLpXieLzW1yOY5rHw/edi"&amp;"t?usp=sharing"",""สิงห์บุรี!J748"")+IMPORTRANGE(""https://docs.google.com/spreadsheets/d/1H1EalTWKUSzO4Z1-1CwzoDUaVffgrThEBe2sl74kKG0/edit?usp=sharing"",""สุพรรณบุรี!J748"")+IMPORTRANGE(""https://docs.google.com/spreadsheets/d/1BmIruG_sIrJLYao_Pdr7zVArWsf"&amp;"oBt2692TMi6x_854/edit?usp=sharing"",""อ่างทอง!J748"")"),0)</f>
        <v>0</v>
      </c>
      <c r="K749" s="87"/>
      <c r="L749" s="87"/>
      <c r="M749" s="87"/>
      <c r="N749" s="87"/>
      <c r="O749" s="87"/>
      <c r="P749" s="87"/>
      <c r="Q749" s="86"/>
      <c r="R749" s="87"/>
      <c r="S749" s="87"/>
      <c r="T749" s="87"/>
      <c r="U749" s="87"/>
    </row>
    <row r="750" spans="1:21" ht="18.75" x14ac:dyDescent="0.25">
      <c r="A750" s="276"/>
      <c r="B750" s="277"/>
      <c r="C750" s="277"/>
      <c r="D750" s="277"/>
      <c r="E750" s="277"/>
      <c r="F750" s="745" t="s">
        <v>279</v>
      </c>
      <c r="G750" s="282"/>
      <c r="H750" s="268" t="s">
        <v>35</v>
      </c>
      <c r="I750" s="293">
        <f ca="1">IFERROR(__xludf.DUMMYFUNCTION("IMPORTRANGE(""https://docs.google.com/spreadsheets/d/13wPX838HrBrQMCywv1BsuMkt4PEKTChp52zj44s2izQ/edit?usp=sharing"",""กาญจนบุรี!I749"")+IMPORTRANGE(""https://docs.google.com/spreadsheets/d/1ddFKvqj1W1NEiWytbGlB1zMx_ykJDVtmfEQ-6-lIUBA/edit?usp=sharing"","&amp;"""จันทบุรี!I749"")+IMPORTRANGE(""https://docs.google.com/spreadsheets/d/1T1PQvRODqOBZk8BRht_U031fIS1beLA0Ub2CEytj2q0/edit?usp=sharing"",""ฉะเชิงเทรา!I749"")+IMPORTRANGE(""https://docs.google.com/spreadsheets/d/11tr1B-Bhyr79v2bkwVh5h_fR-PStkgjlZtkrZpYurG0/"&amp;"edit?usp=sharing"",""ชลบุรี!I749"")+IMPORTRANGE(""https://docs.google.com/spreadsheets/d/1hh-FVnSX0vozXhGluamEcS54Dw9_zqW0N7qJUWgJ0Sw/edit?usp=sharing"",""ชัยนาท!I749"")+IMPORTRANGE(""https://docs.google.com/spreadsheets/d/1jkqa6GXxSacMcY1eN8AHjMNJ_7dDXMJ"&amp;"VRLDlaFSOdPM/edit?usp=sharing"",""ตราด!I749"")+IMPORTRANGE(""https://docs.google.com/spreadsheets/d/18hSgUJ3VwClqi_qtULmmW3cLr0oe3OKaSYoKzdpTsYQ/edit?usp=sharing"",""นครนายก!I749"")+IMPORTRANGE(""https://docs.google.com/spreadsheets/d/1YTZo6WM2dQ6Ix6FSdnL"&amp;"5P7uVnVKu40sxZu975tgG10E/edit?usp=sharing"",""นครปฐม!I749"")+IMPORTRANGE(""https://docs.google.com/spreadsheets/d/1OYoGg4WDg5RIzwGeB10padOxJF9E_Vljuvvct_M7RDo/edit?usp=sharing"",""ปทุมธานี!I749"")+IMPORTRANGE(""https://docs.google.com/spreadsheets/d/1GbCI"&amp;"E4D4wk9FUozzqk7SxfDMxDVBwVmI5zcaVUSzKAc/edit?usp=sharing"",""ประจวบคีรีขันธ์!I749"")+IMPORTRANGE(""https://docs.google.com/spreadsheets/d/1vVf6wykvW_lAyu7Yo9L4hUTqHqIeP_qcVuxCtosJEbg/edit?usp=sharing"",""ปราจีนบุรี!I749"")+IMPORTRANGE(""https://docs.googl"&amp;"e.com/spreadsheets/d/1BIDqLLg5jk3v59G8NlR8rk5xfQDKne0sAvZHSj7TI6I/edit?usp=sharing"",""พระนครศรีอยุธยา!I749"")+IMPORTRANGE(""https://docs.google.com/spreadsheets/d/1YXvxf8Yu6_rV4hTBrwMqAcAnv6DfhUxh5emyM3CJp_w/edit?usp=sharing"",""เพชรบุรี!I749"")+IMPORTRA"&amp;"NGE(""https://docs.google.com/spreadsheets/d/19KBlQQs7uwvsao6t2n-KvW3Ax8J8uRRfZPq1zPbXgKc/edit?usp=sharing"",""ระยอง!I749"")+IMPORTRANGE(""https://docs.google.com/spreadsheets/d/1jQ6P4QcrGM89YfqcC_PxOHGCMq5ezhucwJd8ci-NHng/edit?usp=sharing"",""ราชบุรี!I74"&amp;"9"")+IMPORTRANGE(""https://docs.google.com/spreadsheets/d/1lufeA2cfFqM-elVq2hznhDzC6Pr7wkJ9ZG_sYNGCMCU/edit?usp=sharing"",""ลพบุรี!I749"")+IMPORTRANGE(""https://docs.google.com/spreadsheets/d/10oOiF7loTyfsTkbd4MpaIm0HQ9SwB7IYHdIUvt-U1Uc/edit?usp=sharing"""&amp;",""สระแก้ว!I749"")+IMPORTRANGE(""https://docs.google.com/spreadsheets/d/1xmPlrr1QbdSIKvl1dWUl9K4PjAfSL9oeMr_37QVzcxc/edit?usp=sharing"",""สระบุรี!I749"")+IMPORTRANGE(""https://docs.google.com/spreadsheets/d/1j51vR6CYVGhABJpv6tkstgok82RLpXieLzW1yOY5rHw/edi"&amp;"t?usp=sharing"",""สิงห์บุรี!I749"")+IMPORTRANGE(""https://docs.google.com/spreadsheets/d/1H1EalTWKUSzO4Z1-1CwzoDUaVffgrThEBe2sl74kKG0/edit?usp=sharing"",""สุพรรณบุรี!I749"")+IMPORTRANGE(""https://docs.google.com/spreadsheets/d/1BmIruG_sIrJLYao_Pdr7zVArWsf"&amp;"oBt2692TMi6x_854/edit?usp=sharing"",""อ่างทอง!I749"")"),23)</f>
        <v>23</v>
      </c>
      <c r="J750" s="294">
        <f ca="1">IFERROR(__xludf.DUMMYFUNCTION("IMPORTRANGE(""https://docs.google.com/spreadsheets/d/13wPX838HrBrQMCywv1BsuMkt4PEKTChp52zj44s2izQ/edit?usp=sharing"",""กาญจนบุรี!J749"")+IMPORTRANGE(""https://docs.google.com/spreadsheets/d/1ddFKvqj1W1NEiWytbGlB1zMx_ykJDVtmfEQ-6-lIUBA/edit?usp=sharing"","&amp;"""จันทบุรี!J749"")+IMPORTRANGE(""https://docs.google.com/spreadsheets/d/1T1PQvRODqOBZk8BRht_U031fIS1beLA0Ub2CEytj2q0/edit?usp=sharing"",""ฉะเชิงเทรา!J749"")+IMPORTRANGE(""https://docs.google.com/spreadsheets/d/11tr1B-Bhyr79v2bkwVh5h_fR-PStkgjlZtkrZpYurG0/"&amp;"edit?usp=sharing"",""ชลบุรี!J749"")+IMPORTRANGE(""https://docs.google.com/spreadsheets/d/1hh-FVnSX0vozXhGluamEcS54Dw9_zqW0N7qJUWgJ0Sw/edit?usp=sharing"",""ชัยนาท!J749"")+IMPORTRANGE(""https://docs.google.com/spreadsheets/d/1jkqa6GXxSacMcY1eN8AHjMNJ_7dDXMJ"&amp;"VRLDlaFSOdPM/edit?usp=sharing"",""ตราด!J749"")+IMPORTRANGE(""https://docs.google.com/spreadsheets/d/18hSgUJ3VwClqi_qtULmmW3cLr0oe3OKaSYoKzdpTsYQ/edit?usp=sharing"",""นครนายก!J749"")+IMPORTRANGE(""https://docs.google.com/spreadsheets/d/1YTZo6WM2dQ6Ix6FSdnL"&amp;"5P7uVnVKu40sxZu975tgG10E/edit?usp=sharing"",""นครปฐม!J749"")+IMPORTRANGE(""https://docs.google.com/spreadsheets/d/1OYoGg4WDg5RIzwGeB10padOxJF9E_Vljuvvct_M7RDo/edit?usp=sharing"",""ปทุมธานี!J749"")+IMPORTRANGE(""https://docs.google.com/spreadsheets/d/1GbCI"&amp;"E4D4wk9FUozzqk7SxfDMxDVBwVmI5zcaVUSzKAc/edit?usp=sharing"",""ประจวบคีรีขันธ์!J749"")+IMPORTRANGE(""https://docs.google.com/spreadsheets/d/1vVf6wykvW_lAyu7Yo9L4hUTqHqIeP_qcVuxCtosJEbg/edit?usp=sharing"",""ปราจีนบุรี!J749"")+IMPORTRANGE(""https://docs.googl"&amp;"e.com/spreadsheets/d/1BIDqLLg5jk3v59G8NlR8rk5xfQDKne0sAvZHSj7TI6I/edit?usp=sharing"",""พระนครศรีอยุธยา!J749"")+IMPORTRANGE(""https://docs.google.com/spreadsheets/d/1YXvxf8Yu6_rV4hTBrwMqAcAnv6DfhUxh5emyM3CJp_w/edit?usp=sharing"",""เพชรบุรี!J749"")+IMPORTRA"&amp;"NGE(""https://docs.google.com/spreadsheets/d/19KBlQQs7uwvsao6t2n-KvW3Ax8J8uRRfZPq1zPbXgKc/edit?usp=sharing"",""ระยอง!J749"")+IMPORTRANGE(""https://docs.google.com/spreadsheets/d/1jQ6P4QcrGM89YfqcC_PxOHGCMq5ezhucwJd8ci-NHng/edit?usp=sharing"",""ราชบุรี!J74"&amp;"9"")+IMPORTRANGE(""https://docs.google.com/spreadsheets/d/1lufeA2cfFqM-elVq2hznhDzC6Pr7wkJ9ZG_sYNGCMCU/edit?usp=sharing"",""ลพบุรี!J749"")+IMPORTRANGE(""https://docs.google.com/spreadsheets/d/10oOiF7loTyfsTkbd4MpaIm0HQ9SwB7IYHdIUvt-U1Uc/edit?usp=sharing"""&amp;",""สระแก้ว!J749"")+IMPORTRANGE(""https://docs.google.com/spreadsheets/d/1xmPlrr1QbdSIKvl1dWUl9K4PjAfSL9oeMr_37QVzcxc/edit?usp=sharing"",""สระบุรี!J749"")+IMPORTRANGE(""https://docs.google.com/spreadsheets/d/1j51vR6CYVGhABJpv6tkstgok82RLpXieLzW1yOY5rHw/edi"&amp;"t?usp=sharing"",""สิงห์บุรี!J749"")+IMPORTRANGE(""https://docs.google.com/spreadsheets/d/1H1EalTWKUSzO4Z1-1CwzoDUaVffgrThEBe2sl74kKG0/edit?usp=sharing"",""สุพรรณบุรี!J749"")+IMPORTRANGE(""https://docs.google.com/spreadsheets/d/1BmIruG_sIrJLYao_Pdr7zVArWsf"&amp;"oBt2692TMi6x_854/edit?usp=sharing"",""อ่างทอง!J749"")"),0)</f>
        <v>0</v>
      </c>
      <c r="K750" s="74">
        <f ca="1">IF(I750&gt;0,J750*100/I750,0)</f>
        <v>0</v>
      </c>
      <c r="L750" s="87"/>
      <c r="M750" s="87"/>
      <c r="N750" s="87"/>
      <c r="O750" s="87"/>
      <c r="P750" s="87"/>
      <c r="Q750" s="86"/>
      <c r="R750" s="87"/>
      <c r="S750" s="87"/>
      <c r="T750" s="87"/>
      <c r="U750" s="87"/>
    </row>
    <row r="751" spans="1:21" ht="19.5" x14ac:dyDescent="0.3">
      <c r="A751" s="276"/>
      <c r="B751" s="277"/>
      <c r="C751" s="277"/>
      <c r="D751" s="784" t="s">
        <v>50</v>
      </c>
      <c r="E751" s="277"/>
      <c r="F751" s="290"/>
      <c r="G751" s="282"/>
      <c r="H751" s="312"/>
      <c r="I751" s="263"/>
      <c r="J751" s="263"/>
      <c r="K751" s="87"/>
      <c r="L751" s="87"/>
      <c r="M751" s="87"/>
      <c r="N751" s="87"/>
      <c r="O751" s="87"/>
      <c r="P751" s="87"/>
      <c r="Q751" s="86"/>
      <c r="R751" s="87"/>
      <c r="S751" s="87"/>
      <c r="T751" s="87"/>
      <c r="U751" s="87"/>
    </row>
    <row r="752" spans="1:21" ht="18.75" x14ac:dyDescent="0.25">
      <c r="A752" s="276"/>
      <c r="B752" s="277"/>
      <c r="C752" s="277"/>
      <c r="D752" s="277"/>
      <c r="E752" s="745" t="s">
        <v>270</v>
      </c>
      <c r="F752" s="290"/>
      <c r="G752" s="282"/>
      <c r="H752" s="312"/>
      <c r="I752" s="263"/>
      <c r="J752" s="263"/>
      <c r="K752" s="87"/>
      <c r="L752" s="87"/>
      <c r="M752" s="87"/>
      <c r="N752" s="87"/>
      <c r="O752" s="87"/>
      <c r="P752" s="87"/>
      <c r="Q752" s="86"/>
      <c r="R752" s="87"/>
      <c r="S752" s="87"/>
      <c r="T752" s="87"/>
      <c r="U752" s="87"/>
    </row>
    <row r="753" spans="1:21" ht="18.75" x14ac:dyDescent="0.25">
      <c r="A753" s="276"/>
      <c r="B753" s="277"/>
      <c r="C753" s="277"/>
      <c r="D753" s="277"/>
      <c r="E753" s="277"/>
      <c r="F753" s="291" t="s">
        <v>280</v>
      </c>
      <c r="G753" s="282"/>
      <c r="H753" s="268" t="s">
        <v>46</v>
      </c>
      <c r="I753" s="293">
        <f ca="1">IFERROR(__xludf.DUMMYFUNCTION("IMPORTRANGE(""https://docs.google.com/spreadsheets/d/13wPX838HrBrQMCywv1BsuMkt4PEKTChp52zj44s2izQ/edit?usp=sharing"",""กาญจนบุรี!I752"")+IMPORTRANGE(""https://docs.google.com/spreadsheets/d/1ddFKvqj1W1NEiWytbGlB1zMx_ykJDVtmfEQ-6-lIUBA/edit?usp=sharing"","&amp;"""จันทบุรี!I752"")+IMPORTRANGE(""https://docs.google.com/spreadsheets/d/1T1PQvRODqOBZk8BRht_U031fIS1beLA0Ub2CEytj2q0/edit?usp=sharing"",""ฉะเชิงเทรา!I752"")+IMPORTRANGE(""https://docs.google.com/spreadsheets/d/11tr1B-Bhyr79v2bkwVh5h_fR-PStkgjlZtkrZpYurG0/"&amp;"edit?usp=sharing"",""ชลบุรี!I752"")+IMPORTRANGE(""https://docs.google.com/spreadsheets/d/1hh-FVnSX0vozXhGluamEcS54Dw9_zqW0N7qJUWgJ0Sw/edit?usp=sharing"",""ชัยนาท!I752"")+IMPORTRANGE(""https://docs.google.com/spreadsheets/d/1jkqa6GXxSacMcY1eN8AHjMNJ_7dDXMJ"&amp;"VRLDlaFSOdPM/edit?usp=sharing"",""ตราด!I752"")+IMPORTRANGE(""https://docs.google.com/spreadsheets/d/18hSgUJ3VwClqi_qtULmmW3cLr0oe3OKaSYoKzdpTsYQ/edit?usp=sharing"",""นครนายก!I752"")+IMPORTRANGE(""https://docs.google.com/spreadsheets/d/1YTZo6WM2dQ6Ix6FSdnL"&amp;"5P7uVnVKu40sxZu975tgG10E/edit?usp=sharing"",""นครปฐม!I752"")+IMPORTRANGE(""https://docs.google.com/spreadsheets/d/1OYoGg4WDg5RIzwGeB10padOxJF9E_Vljuvvct_M7RDo/edit?usp=sharing"",""ปทุมธานี!I752"")+IMPORTRANGE(""https://docs.google.com/spreadsheets/d/1GbCI"&amp;"E4D4wk9FUozzqk7SxfDMxDVBwVmI5zcaVUSzKAc/edit?usp=sharing"",""ประจวบคีรีขันธ์!I752"")+IMPORTRANGE(""https://docs.google.com/spreadsheets/d/1vVf6wykvW_lAyu7Yo9L4hUTqHqIeP_qcVuxCtosJEbg/edit?usp=sharing"",""ปราจีนบุรี!I752"")+IMPORTRANGE(""https://docs.googl"&amp;"e.com/spreadsheets/d/1BIDqLLg5jk3v59G8NlR8rk5xfQDKne0sAvZHSj7TI6I/edit?usp=sharing"",""พระนครศรีอยุธยา!I752"")+IMPORTRANGE(""https://docs.google.com/spreadsheets/d/1YXvxf8Yu6_rV4hTBrwMqAcAnv6DfhUxh5emyM3CJp_w/edit?usp=sharing"",""เพชรบุรี!I752"")+IMPORTRA"&amp;"NGE(""https://docs.google.com/spreadsheets/d/19KBlQQs7uwvsao6t2n-KvW3Ax8J8uRRfZPq1zPbXgKc/edit?usp=sharing"",""ระยอง!I752"")+IMPORTRANGE(""https://docs.google.com/spreadsheets/d/1jQ6P4QcrGM89YfqcC_PxOHGCMq5ezhucwJd8ci-NHng/edit?usp=sharing"",""ราชบุรี!I75"&amp;"2"")+IMPORTRANGE(""https://docs.google.com/spreadsheets/d/1lufeA2cfFqM-elVq2hznhDzC6Pr7wkJ9ZG_sYNGCMCU/edit?usp=sharing"",""ลพบุรี!I752"")+IMPORTRANGE(""https://docs.google.com/spreadsheets/d/10oOiF7loTyfsTkbd4MpaIm0HQ9SwB7IYHdIUvt-U1Uc/edit?usp=sharing"""&amp;",""สระแก้ว!I752"")+IMPORTRANGE(""https://docs.google.com/spreadsheets/d/1xmPlrr1QbdSIKvl1dWUl9K4PjAfSL9oeMr_37QVzcxc/edit?usp=sharing"",""สระบุรี!I752"")+IMPORTRANGE(""https://docs.google.com/spreadsheets/d/1j51vR6CYVGhABJpv6tkstgok82RLpXieLzW1yOY5rHw/edi"&amp;"t?usp=sharing"",""สิงห์บุรี!I752"")+IMPORTRANGE(""https://docs.google.com/spreadsheets/d/1H1EalTWKUSzO4Z1-1CwzoDUaVffgrThEBe2sl74kKG0/edit?usp=sharing"",""สุพรรณบุรี!I752"")+IMPORTRANGE(""https://docs.google.com/spreadsheets/d/1BmIruG_sIrJLYao_Pdr7zVArWsf"&amp;"oBt2692TMi6x_854/edit?usp=sharing"",""อ่างทอง!I752"")"),544)</f>
        <v>544</v>
      </c>
      <c r="J753" s="294">
        <f ca="1">IFERROR(__xludf.DUMMYFUNCTION("IMPORTRANGE(""https://docs.google.com/spreadsheets/d/13wPX838HrBrQMCywv1BsuMkt4PEKTChp52zj44s2izQ/edit?usp=sharing"",""กาญจนบุรี!J752"")+IMPORTRANGE(""https://docs.google.com/spreadsheets/d/1ddFKvqj1W1NEiWytbGlB1zMx_ykJDVtmfEQ-6-lIUBA/edit?usp=sharing"","&amp;"""จันทบุรี!J752"")+IMPORTRANGE(""https://docs.google.com/spreadsheets/d/1T1PQvRODqOBZk8BRht_U031fIS1beLA0Ub2CEytj2q0/edit?usp=sharing"",""ฉะเชิงเทรา!J752"")+IMPORTRANGE(""https://docs.google.com/spreadsheets/d/11tr1B-Bhyr79v2bkwVh5h_fR-PStkgjlZtkrZpYurG0/"&amp;"edit?usp=sharing"",""ชลบุรี!J752"")+IMPORTRANGE(""https://docs.google.com/spreadsheets/d/1hh-FVnSX0vozXhGluamEcS54Dw9_zqW0N7qJUWgJ0Sw/edit?usp=sharing"",""ชัยนาท!J752"")+IMPORTRANGE(""https://docs.google.com/spreadsheets/d/1jkqa6GXxSacMcY1eN8AHjMNJ_7dDXMJ"&amp;"VRLDlaFSOdPM/edit?usp=sharing"",""ตราด!J752"")+IMPORTRANGE(""https://docs.google.com/spreadsheets/d/18hSgUJ3VwClqi_qtULmmW3cLr0oe3OKaSYoKzdpTsYQ/edit?usp=sharing"",""นครนายก!J752"")+IMPORTRANGE(""https://docs.google.com/spreadsheets/d/1YTZo6WM2dQ6Ix6FSdnL"&amp;"5P7uVnVKu40sxZu975tgG10E/edit?usp=sharing"",""นครปฐม!J752"")+IMPORTRANGE(""https://docs.google.com/spreadsheets/d/1OYoGg4WDg5RIzwGeB10padOxJF9E_Vljuvvct_M7RDo/edit?usp=sharing"",""ปทุมธานี!J752"")+IMPORTRANGE(""https://docs.google.com/spreadsheets/d/1GbCI"&amp;"E4D4wk9FUozzqk7SxfDMxDVBwVmI5zcaVUSzKAc/edit?usp=sharing"",""ประจวบคีรีขันธ์!J752"")+IMPORTRANGE(""https://docs.google.com/spreadsheets/d/1vVf6wykvW_lAyu7Yo9L4hUTqHqIeP_qcVuxCtosJEbg/edit?usp=sharing"",""ปราจีนบุรี!J752"")+IMPORTRANGE(""https://docs.googl"&amp;"e.com/spreadsheets/d/1BIDqLLg5jk3v59G8NlR8rk5xfQDKne0sAvZHSj7TI6I/edit?usp=sharing"",""พระนครศรีอยุธยา!J752"")+IMPORTRANGE(""https://docs.google.com/spreadsheets/d/1YXvxf8Yu6_rV4hTBrwMqAcAnv6DfhUxh5emyM3CJp_w/edit?usp=sharing"",""เพชรบุรี!J752"")+IMPORTRA"&amp;"NGE(""https://docs.google.com/spreadsheets/d/19KBlQQs7uwvsao6t2n-KvW3Ax8J8uRRfZPq1zPbXgKc/edit?usp=sharing"",""ระยอง!J752"")+IMPORTRANGE(""https://docs.google.com/spreadsheets/d/1jQ6P4QcrGM89YfqcC_PxOHGCMq5ezhucwJd8ci-NHng/edit?usp=sharing"",""ราชบุรี!J75"&amp;"2"")+IMPORTRANGE(""https://docs.google.com/spreadsheets/d/1lufeA2cfFqM-elVq2hznhDzC6Pr7wkJ9ZG_sYNGCMCU/edit?usp=sharing"",""ลพบุรี!J752"")+IMPORTRANGE(""https://docs.google.com/spreadsheets/d/10oOiF7loTyfsTkbd4MpaIm0HQ9SwB7IYHdIUvt-U1Uc/edit?usp=sharing"""&amp;",""สระแก้ว!J752"")+IMPORTRANGE(""https://docs.google.com/spreadsheets/d/1xmPlrr1QbdSIKvl1dWUl9K4PjAfSL9oeMr_37QVzcxc/edit?usp=sharing"",""สระบุรี!J752"")+IMPORTRANGE(""https://docs.google.com/spreadsheets/d/1j51vR6CYVGhABJpv6tkstgok82RLpXieLzW1yOY5rHw/edi"&amp;"t?usp=sharing"",""สิงห์บุรี!J752"")+IMPORTRANGE(""https://docs.google.com/spreadsheets/d/1H1EalTWKUSzO4Z1-1CwzoDUaVffgrThEBe2sl74kKG0/edit?usp=sharing"",""สุพรรณบุรี!J752"")+IMPORTRANGE(""https://docs.google.com/spreadsheets/d/1BmIruG_sIrJLYao_Pdr7zVArWsf"&amp;"oBt2692TMi6x_854/edit?usp=sharing"",""อ่างทอง!J752"")"),0)</f>
        <v>0</v>
      </c>
      <c r="K753" s="74">
        <f ca="1">IF(I753&gt;0,J753*100/I753,0)</f>
        <v>0</v>
      </c>
      <c r="L753" s="87"/>
      <c r="M753" s="87"/>
      <c r="N753" s="87"/>
      <c r="O753" s="87"/>
      <c r="P753" s="87"/>
      <c r="Q753" s="86"/>
      <c r="R753" s="87"/>
      <c r="S753" s="87"/>
      <c r="T753" s="87"/>
      <c r="U753" s="87"/>
    </row>
    <row r="754" spans="1:21" ht="18.75" x14ac:dyDescent="0.25">
      <c r="A754" s="276"/>
      <c r="B754" s="277"/>
      <c r="C754" s="277"/>
      <c r="D754" s="277"/>
      <c r="E754" s="277"/>
      <c r="F754" s="291" t="s">
        <v>281</v>
      </c>
      <c r="G754" s="282"/>
      <c r="H754" s="268" t="s">
        <v>46</v>
      </c>
      <c r="I754" s="263"/>
      <c r="J754" s="294">
        <f ca="1">IFERROR(__xludf.DUMMYFUNCTION("IMPORTRANGE(""https://docs.google.com/spreadsheets/d/13wPX838HrBrQMCywv1BsuMkt4PEKTChp52zj44s2izQ/edit?usp=sharing"",""กาญจนบุรี!J753"")+IMPORTRANGE(""https://docs.google.com/spreadsheets/d/1ddFKvqj1W1NEiWytbGlB1zMx_ykJDVtmfEQ-6-lIUBA/edit?usp=sharing"","&amp;"""จันทบุรี!J753"")+IMPORTRANGE(""https://docs.google.com/spreadsheets/d/1T1PQvRODqOBZk8BRht_U031fIS1beLA0Ub2CEytj2q0/edit?usp=sharing"",""ฉะเชิงเทรา!J753"")+IMPORTRANGE(""https://docs.google.com/spreadsheets/d/11tr1B-Bhyr79v2bkwVh5h_fR-PStkgjlZtkrZpYurG0/"&amp;"edit?usp=sharing"",""ชลบุรี!J753"")+IMPORTRANGE(""https://docs.google.com/spreadsheets/d/1hh-FVnSX0vozXhGluamEcS54Dw9_zqW0N7qJUWgJ0Sw/edit?usp=sharing"",""ชัยนาท!J753"")+IMPORTRANGE(""https://docs.google.com/spreadsheets/d/1jkqa6GXxSacMcY1eN8AHjMNJ_7dDXMJ"&amp;"VRLDlaFSOdPM/edit?usp=sharing"",""ตราด!J753"")+IMPORTRANGE(""https://docs.google.com/spreadsheets/d/18hSgUJ3VwClqi_qtULmmW3cLr0oe3OKaSYoKzdpTsYQ/edit?usp=sharing"",""นครนายก!J753"")+IMPORTRANGE(""https://docs.google.com/spreadsheets/d/1YTZo6WM2dQ6Ix6FSdnL"&amp;"5P7uVnVKu40sxZu975tgG10E/edit?usp=sharing"",""นครปฐม!J753"")+IMPORTRANGE(""https://docs.google.com/spreadsheets/d/1OYoGg4WDg5RIzwGeB10padOxJF9E_Vljuvvct_M7RDo/edit?usp=sharing"",""ปทุมธานี!J753"")+IMPORTRANGE(""https://docs.google.com/spreadsheets/d/1GbCI"&amp;"E4D4wk9FUozzqk7SxfDMxDVBwVmI5zcaVUSzKAc/edit?usp=sharing"",""ประจวบคีรีขันธ์!J753"")+IMPORTRANGE(""https://docs.google.com/spreadsheets/d/1vVf6wykvW_lAyu7Yo9L4hUTqHqIeP_qcVuxCtosJEbg/edit?usp=sharing"",""ปราจีนบุรี!J753"")+IMPORTRANGE(""https://docs.googl"&amp;"e.com/spreadsheets/d/1BIDqLLg5jk3v59G8NlR8rk5xfQDKne0sAvZHSj7TI6I/edit?usp=sharing"",""พระนครศรีอยุธยา!J753"")+IMPORTRANGE(""https://docs.google.com/spreadsheets/d/1YXvxf8Yu6_rV4hTBrwMqAcAnv6DfhUxh5emyM3CJp_w/edit?usp=sharing"",""เพชรบุรี!J753"")+IMPORTRA"&amp;"NGE(""https://docs.google.com/spreadsheets/d/19KBlQQs7uwvsao6t2n-KvW3Ax8J8uRRfZPq1zPbXgKc/edit?usp=sharing"",""ระยอง!J753"")+IMPORTRANGE(""https://docs.google.com/spreadsheets/d/1jQ6P4QcrGM89YfqcC_PxOHGCMq5ezhucwJd8ci-NHng/edit?usp=sharing"",""ราชบุรี!J75"&amp;"3"")+IMPORTRANGE(""https://docs.google.com/spreadsheets/d/1lufeA2cfFqM-elVq2hznhDzC6Pr7wkJ9ZG_sYNGCMCU/edit?usp=sharing"",""ลพบุรี!J753"")+IMPORTRANGE(""https://docs.google.com/spreadsheets/d/10oOiF7loTyfsTkbd4MpaIm0HQ9SwB7IYHdIUvt-U1Uc/edit?usp=sharing"""&amp;",""สระแก้ว!J753"")+IMPORTRANGE(""https://docs.google.com/spreadsheets/d/1xmPlrr1QbdSIKvl1dWUl9K4PjAfSL9oeMr_37QVzcxc/edit?usp=sharing"",""สระบุรี!J753"")+IMPORTRANGE(""https://docs.google.com/spreadsheets/d/1j51vR6CYVGhABJpv6tkstgok82RLpXieLzW1yOY5rHw/edi"&amp;"t?usp=sharing"",""สิงห์บุรี!J753"")+IMPORTRANGE(""https://docs.google.com/spreadsheets/d/1H1EalTWKUSzO4Z1-1CwzoDUaVffgrThEBe2sl74kKG0/edit?usp=sharing"",""สุพรรณบุรี!J753"")+IMPORTRANGE(""https://docs.google.com/spreadsheets/d/1BmIruG_sIrJLYao_Pdr7zVArWsf"&amp;"oBt2692TMi6x_854/edit?usp=sharing"",""อ่างทอง!J753"")"),0)</f>
        <v>0</v>
      </c>
      <c r="K754" s="87"/>
      <c r="L754" s="87"/>
      <c r="M754" s="87"/>
      <c r="N754" s="87"/>
      <c r="O754" s="87"/>
      <c r="P754" s="87"/>
      <c r="Q754" s="86"/>
      <c r="R754" s="87"/>
      <c r="S754" s="87"/>
      <c r="T754" s="87"/>
      <c r="U754" s="87"/>
    </row>
    <row r="755" spans="1:21" ht="18.75" x14ac:dyDescent="0.25">
      <c r="A755" s="276"/>
      <c r="B755" s="277"/>
      <c r="C755" s="277"/>
      <c r="D755" s="277"/>
      <c r="E755" s="745" t="s">
        <v>274</v>
      </c>
      <c r="F755" s="290"/>
      <c r="G755" s="282"/>
      <c r="H755" s="312"/>
      <c r="I755" s="263"/>
      <c r="J755" s="263"/>
      <c r="K755" s="87"/>
      <c r="L755" s="87"/>
      <c r="M755" s="87"/>
      <c r="N755" s="87"/>
      <c r="O755" s="87"/>
      <c r="P755" s="87"/>
      <c r="Q755" s="86"/>
      <c r="R755" s="87"/>
      <c r="S755" s="87"/>
      <c r="T755" s="87"/>
      <c r="U755" s="87"/>
    </row>
    <row r="756" spans="1:21" ht="18.75" x14ac:dyDescent="0.25">
      <c r="A756" s="276"/>
      <c r="B756" s="277"/>
      <c r="C756" s="277"/>
      <c r="D756" s="277"/>
      <c r="E756" s="290"/>
      <c r="F756" s="291" t="s">
        <v>282</v>
      </c>
      <c r="G756" s="282"/>
      <c r="H756" s="268" t="s">
        <v>46</v>
      </c>
      <c r="I756" s="293">
        <f ca="1">IFERROR(__xludf.DUMMYFUNCTION("IMPORTRANGE(""https://docs.google.com/spreadsheets/d/13wPX838HrBrQMCywv1BsuMkt4PEKTChp52zj44s2izQ/edit?usp=sharing"",""กาญจนบุรี!I755"")+IMPORTRANGE(""https://docs.google.com/spreadsheets/d/1ddFKvqj1W1NEiWytbGlB1zMx_ykJDVtmfEQ-6-lIUBA/edit?usp=sharing"","&amp;"""จันทบุรี!I755"")+IMPORTRANGE(""https://docs.google.com/spreadsheets/d/1T1PQvRODqOBZk8BRht_U031fIS1beLA0Ub2CEytj2q0/edit?usp=sharing"",""ฉะเชิงเทรา!I755"")+IMPORTRANGE(""https://docs.google.com/spreadsheets/d/11tr1B-Bhyr79v2bkwVh5h_fR-PStkgjlZtkrZpYurG0/"&amp;"edit?usp=sharing"",""ชลบุรี!I755"")+IMPORTRANGE(""https://docs.google.com/spreadsheets/d/1hh-FVnSX0vozXhGluamEcS54Dw9_zqW0N7qJUWgJ0Sw/edit?usp=sharing"",""ชัยนาท!I755"")+IMPORTRANGE(""https://docs.google.com/spreadsheets/d/1jkqa6GXxSacMcY1eN8AHjMNJ_7dDXMJ"&amp;"VRLDlaFSOdPM/edit?usp=sharing"",""ตราด!I755"")+IMPORTRANGE(""https://docs.google.com/spreadsheets/d/18hSgUJ3VwClqi_qtULmmW3cLr0oe3OKaSYoKzdpTsYQ/edit?usp=sharing"",""นครนายก!I755"")+IMPORTRANGE(""https://docs.google.com/spreadsheets/d/1YTZo6WM2dQ6Ix6FSdnL"&amp;"5P7uVnVKu40sxZu975tgG10E/edit?usp=sharing"",""นครปฐม!I755"")+IMPORTRANGE(""https://docs.google.com/spreadsheets/d/1OYoGg4WDg5RIzwGeB10padOxJF9E_Vljuvvct_M7RDo/edit?usp=sharing"",""ปทุมธานี!I755"")+IMPORTRANGE(""https://docs.google.com/spreadsheets/d/1GbCI"&amp;"E4D4wk9FUozzqk7SxfDMxDVBwVmI5zcaVUSzKAc/edit?usp=sharing"",""ประจวบคีรีขันธ์!I755"")+IMPORTRANGE(""https://docs.google.com/spreadsheets/d/1vVf6wykvW_lAyu7Yo9L4hUTqHqIeP_qcVuxCtosJEbg/edit?usp=sharing"",""ปราจีนบุรี!I755"")+IMPORTRANGE(""https://docs.googl"&amp;"e.com/spreadsheets/d/1BIDqLLg5jk3v59G8NlR8rk5xfQDKne0sAvZHSj7TI6I/edit?usp=sharing"",""พระนครศรีอยุธยา!I755"")+IMPORTRANGE(""https://docs.google.com/spreadsheets/d/1YXvxf8Yu6_rV4hTBrwMqAcAnv6DfhUxh5emyM3CJp_w/edit?usp=sharing"",""เพชรบุรี!I755"")+IMPORTRA"&amp;"NGE(""https://docs.google.com/spreadsheets/d/19KBlQQs7uwvsao6t2n-KvW3Ax8J8uRRfZPq1zPbXgKc/edit?usp=sharing"",""ระยอง!I755"")+IMPORTRANGE(""https://docs.google.com/spreadsheets/d/1jQ6P4QcrGM89YfqcC_PxOHGCMq5ezhucwJd8ci-NHng/edit?usp=sharing"",""ราชบุรี!I75"&amp;"5"")+IMPORTRANGE(""https://docs.google.com/spreadsheets/d/1lufeA2cfFqM-elVq2hznhDzC6Pr7wkJ9ZG_sYNGCMCU/edit?usp=sharing"",""ลพบุรี!I755"")+IMPORTRANGE(""https://docs.google.com/spreadsheets/d/10oOiF7loTyfsTkbd4MpaIm0HQ9SwB7IYHdIUvt-U1Uc/edit?usp=sharing"""&amp;",""สระแก้ว!I755"")+IMPORTRANGE(""https://docs.google.com/spreadsheets/d/1xmPlrr1QbdSIKvl1dWUl9K4PjAfSL9oeMr_37QVzcxc/edit?usp=sharing"",""สระบุรี!I755"")+IMPORTRANGE(""https://docs.google.com/spreadsheets/d/1j51vR6CYVGhABJpv6tkstgok82RLpXieLzW1yOY5rHw/edi"&amp;"t?usp=sharing"",""สิงห์บุรี!I755"")+IMPORTRANGE(""https://docs.google.com/spreadsheets/d/1H1EalTWKUSzO4Z1-1CwzoDUaVffgrThEBe2sl74kKG0/edit?usp=sharing"",""สุพรรณบุรี!I755"")+IMPORTRANGE(""https://docs.google.com/spreadsheets/d/1BmIruG_sIrJLYao_Pdr7zVArWsf"&amp;"oBt2692TMi6x_854/edit?usp=sharing"",""อ่างทอง!I755"")"),136)</f>
        <v>136</v>
      </c>
      <c r="J756" s="294">
        <f ca="1">IFERROR(__xludf.DUMMYFUNCTION("IMPORTRANGE(""https://docs.google.com/spreadsheets/d/13wPX838HrBrQMCywv1BsuMkt4PEKTChp52zj44s2izQ/edit?usp=sharing"",""กาญจนบุรี!J755"")+IMPORTRANGE(""https://docs.google.com/spreadsheets/d/1ddFKvqj1W1NEiWytbGlB1zMx_ykJDVtmfEQ-6-lIUBA/edit?usp=sharing"","&amp;"""จันทบุรี!J755"")+IMPORTRANGE(""https://docs.google.com/spreadsheets/d/1T1PQvRODqOBZk8BRht_U031fIS1beLA0Ub2CEytj2q0/edit?usp=sharing"",""ฉะเชิงเทรา!J755"")+IMPORTRANGE(""https://docs.google.com/spreadsheets/d/11tr1B-Bhyr79v2bkwVh5h_fR-PStkgjlZtkrZpYurG0/"&amp;"edit?usp=sharing"",""ชลบุรี!J755"")+IMPORTRANGE(""https://docs.google.com/spreadsheets/d/1hh-FVnSX0vozXhGluamEcS54Dw9_zqW0N7qJUWgJ0Sw/edit?usp=sharing"",""ชัยนาท!J755"")+IMPORTRANGE(""https://docs.google.com/spreadsheets/d/1jkqa6GXxSacMcY1eN8AHjMNJ_7dDXMJ"&amp;"VRLDlaFSOdPM/edit?usp=sharing"",""ตราด!J755"")+IMPORTRANGE(""https://docs.google.com/spreadsheets/d/18hSgUJ3VwClqi_qtULmmW3cLr0oe3OKaSYoKzdpTsYQ/edit?usp=sharing"",""นครนายก!J755"")+IMPORTRANGE(""https://docs.google.com/spreadsheets/d/1YTZo6WM2dQ6Ix6FSdnL"&amp;"5P7uVnVKu40sxZu975tgG10E/edit?usp=sharing"",""นครปฐม!J755"")+IMPORTRANGE(""https://docs.google.com/spreadsheets/d/1OYoGg4WDg5RIzwGeB10padOxJF9E_Vljuvvct_M7RDo/edit?usp=sharing"",""ปทุมธานี!J755"")+IMPORTRANGE(""https://docs.google.com/spreadsheets/d/1GbCI"&amp;"E4D4wk9FUozzqk7SxfDMxDVBwVmI5zcaVUSzKAc/edit?usp=sharing"",""ประจวบคีรีขันธ์!J755"")+IMPORTRANGE(""https://docs.google.com/spreadsheets/d/1vVf6wykvW_lAyu7Yo9L4hUTqHqIeP_qcVuxCtosJEbg/edit?usp=sharing"",""ปราจีนบุรี!J755"")+IMPORTRANGE(""https://docs.googl"&amp;"e.com/spreadsheets/d/1BIDqLLg5jk3v59G8NlR8rk5xfQDKne0sAvZHSj7TI6I/edit?usp=sharing"",""พระนครศรีอยุธยา!J755"")+IMPORTRANGE(""https://docs.google.com/spreadsheets/d/1YXvxf8Yu6_rV4hTBrwMqAcAnv6DfhUxh5emyM3CJp_w/edit?usp=sharing"",""เพชรบุรี!J755"")+IMPORTRA"&amp;"NGE(""https://docs.google.com/spreadsheets/d/19KBlQQs7uwvsao6t2n-KvW3Ax8J8uRRfZPq1zPbXgKc/edit?usp=sharing"",""ระยอง!J755"")+IMPORTRANGE(""https://docs.google.com/spreadsheets/d/1jQ6P4QcrGM89YfqcC_PxOHGCMq5ezhucwJd8ci-NHng/edit?usp=sharing"",""ราชบุรี!J75"&amp;"5"")+IMPORTRANGE(""https://docs.google.com/spreadsheets/d/1lufeA2cfFqM-elVq2hznhDzC6Pr7wkJ9ZG_sYNGCMCU/edit?usp=sharing"",""ลพบุรี!J755"")+IMPORTRANGE(""https://docs.google.com/spreadsheets/d/10oOiF7loTyfsTkbd4MpaIm0HQ9SwB7IYHdIUvt-U1Uc/edit?usp=sharing"""&amp;",""สระแก้ว!J755"")+IMPORTRANGE(""https://docs.google.com/spreadsheets/d/1xmPlrr1QbdSIKvl1dWUl9K4PjAfSL9oeMr_37QVzcxc/edit?usp=sharing"",""สระบุรี!J755"")+IMPORTRANGE(""https://docs.google.com/spreadsheets/d/1j51vR6CYVGhABJpv6tkstgok82RLpXieLzW1yOY5rHw/edi"&amp;"t?usp=sharing"",""สิงห์บุรี!J755"")+IMPORTRANGE(""https://docs.google.com/spreadsheets/d/1H1EalTWKUSzO4Z1-1CwzoDUaVffgrThEBe2sl74kKG0/edit?usp=sharing"",""สุพรรณบุรี!J755"")+IMPORTRANGE(""https://docs.google.com/spreadsheets/d/1BmIruG_sIrJLYao_Pdr7zVArWsf"&amp;"oBt2692TMi6x_854/edit?usp=sharing"",""อ่างทอง!J755"")"),0)</f>
        <v>0</v>
      </c>
      <c r="K756" s="74">
        <f ca="1">IF(I756&gt;0,J756*100/I756,0)</f>
        <v>0</v>
      </c>
      <c r="L756" s="87"/>
      <c r="M756" s="87"/>
      <c r="N756" s="87"/>
      <c r="O756" s="87"/>
      <c r="P756" s="87"/>
      <c r="Q756" s="86"/>
      <c r="R756" s="87"/>
      <c r="S756" s="87"/>
      <c r="T756" s="87"/>
      <c r="U756" s="87"/>
    </row>
    <row r="757" spans="1:21" ht="18.75" x14ac:dyDescent="0.25">
      <c r="A757" s="276"/>
      <c r="B757" s="277"/>
      <c r="C757" s="277"/>
      <c r="D757" s="277"/>
      <c r="E757" s="290"/>
      <c r="F757" s="291" t="s">
        <v>283</v>
      </c>
      <c r="G757" s="282"/>
      <c r="H757" s="268" t="s">
        <v>46</v>
      </c>
      <c r="I757" s="263"/>
      <c r="J757" s="294">
        <f ca="1">IFERROR(__xludf.DUMMYFUNCTION("IMPORTRANGE(""https://docs.google.com/spreadsheets/d/13wPX838HrBrQMCywv1BsuMkt4PEKTChp52zj44s2izQ/edit?usp=sharing"",""กาญจนบุรี!J756"")+IMPORTRANGE(""https://docs.google.com/spreadsheets/d/1ddFKvqj1W1NEiWytbGlB1zMx_ykJDVtmfEQ-6-lIUBA/edit?usp=sharing"","&amp;"""จันทบุรี!J756"")+IMPORTRANGE(""https://docs.google.com/spreadsheets/d/1T1PQvRODqOBZk8BRht_U031fIS1beLA0Ub2CEytj2q0/edit?usp=sharing"",""ฉะเชิงเทรา!J756"")+IMPORTRANGE(""https://docs.google.com/spreadsheets/d/11tr1B-Bhyr79v2bkwVh5h_fR-PStkgjlZtkrZpYurG0/"&amp;"edit?usp=sharing"",""ชลบุรี!J756"")+IMPORTRANGE(""https://docs.google.com/spreadsheets/d/1hh-FVnSX0vozXhGluamEcS54Dw9_zqW0N7qJUWgJ0Sw/edit?usp=sharing"",""ชัยนาท!J756"")+IMPORTRANGE(""https://docs.google.com/spreadsheets/d/1jkqa6GXxSacMcY1eN8AHjMNJ_7dDXMJ"&amp;"VRLDlaFSOdPM/edit?usp=sharing"",""ตราด!J756"")+IMPORTRANGE(""https://docs.google.com/spreadsheets/d/18hSgUJ3VwClqi_qtULmmW3cLr0oe3OKaSYoKzdpTsYQ/edit?usp=sharing"",""นครนายก!J756"")+IMPORTRANGE(""https://docs.google.com/spreadsheets/d/1YTZo6WM2dQ6Ix6FSdnL"&amp;"5P7uVnVKu40sxZu975tgG10E/edit?usp=sharing"",""นครปฐม!J756"")+IMPORTRANGE(""https://docs.google.com/spreadsheets/d/1OYoGg4WDg5RIzwGeB10padOxJF9E_Vljuvvct_M7RDo/edit?usp=sharing"",""ปทุมธานี!J756"")+IMPORTRANGE(""https://docs.google.com/spreadsheets/d/1GbCI"&amp;"E4D4wk9FUozzqk7SxfDMxDVBwVmI5zcaVUSzKAc/edit?usp=sharing"",""ประจวบคีรีขันธ์!J756"")+IMPORTRANGE(""https://docs.google.com/spreadsheets/d/1vVf6wykvW_lAyu7Yo9L4hUTqHqIeP_qcVuxCtosJEbg/edit?usp=sharing"",""ปราจีนบุรี!J756"")+IMPORTRANGE(""https://docs.googl"&amp;"e.com/spreadsheets/d/1BIDqLLg5jk3v59G8NlR8rk5xfQDKne0sAvZHSj7TI6I/edit?usp=sharing"",""พระนครศรีอยุธยา!J756"")+IMPORTRANGE(""https://docs.google.com/spreadsheets/d/1YXvxf8Yu6_rV4hTBrwMqAcAnv6DfhUxh5emyM3CJp_w/edit?usp=sharing"",""เพชรบุรี!J756"")+IMPORTRA"&amp;"NGE(""https://docs.google.com/spreadsheets/d/19KBlQQs7uwvsao6t2n-KvW3Ax8J8uRRfZPq1zPbXgKc/edit?usp=sharing"",""ระยอง!J756"")+IMPORTRANGE(""https://docs.google.com/spreadsheets/d/1jQ6P4QcrGM89YfqcC_PxOHGCMq5ezhucwJd8ci-NHng/edit?usp=sharing"",""ราชบุรี!J75"&amp;"6"")+IMPORTRANGE(""https://docs.google.com/spreadsheets/d/1lufeA2cfFqM-elVq2hznhDzC6Pr7wkJ9ZG_sYNGCMCU/edit?usp=sharing"",""ลพบุรี!J756"")+IMPORTRANGE(""https://docs.google.com/spreadsheets/d/10oOiF7loTyfsTkbd4MpaIm0HQ9SwB7IYHdIUvt-U1Uc/edit?usp=sharing"""&amp;",""สระแก้ว!J756"")+IMPORTRANGE(""https://docs.google.com/spreadsheets/d/1xmPlrr1QbdSIKvl1dWUl9K4PjAfSL9oeMr_37QVzcxc/edit?usp=sharing"",""สระบุรี!J756"")+IMPORTRANGE(""https://docs.google.com/spreadsheets/d/1j51vR6CYVGhABJpv6tkstgok82RLpXieLzW1yOY5rHw/edi"&amp;"t?usp=sharing"",""สิงห์บุรี!J756"")+IMPORTRANGE(""https://docs.google.com/spreadsheets/d/1H1EalTWKUSzO4Z1-1CwzoDUaVffgrThEBe2sl74kKG0/edit?usp=sharing"",""สุพรรณบุรี!J756"")+IMPORTRANGE(""https://docs.google.com/spreadsheets/d/1BmIruG_sIrJLYao_Pdr7zVArWsf"&amp;"oBt2692TMi6x_854/edit?usp=sharing"",""อ่างทอง!J756"")"),0)</f>
        <v>0</v>
      </c>
      <c r="K757" s="87"/>
      <c r="L757" s="87"/>
      <c r="M757" s="87"/>
      <c r="N757" s="87"/>
      <c r="O757" s="87"/>
      <c r="P757" s="87"/>
      <c r="Q757" s="86"/>
      <c r="R757" s="87"/>
      <c r="S757" s="87"/>
      <c r="T757" s="87"/>
      <c r="U757" s="87"/>
    </row>
    <row r="758" spans="1:21" ht="19.5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509">I772</f>
        <v>425</v>
      </c>
      <c r="J758" s="781">
        <f t="shared" ca="1" si="509"/>
        <v>0</v>
      </c>
      <c r="K758" s="766">
        <f t="shared" ref="K758:K759" ca="1" si="510">IF(I758&gt;0,J758*100/I758,0)</f>
        <v>0</v>
      </c>
      <c r="L758" s="733"/>
      <c r="M758" s="733"/>
      <c r="N758" s="733"/>
      <c r="O758" s="733"/>
      <c r="P758" s="733"/>
      <c r="Q758" s="734"/>
      <c r="R758" s="733"/>
      <c r="S758" s="733"/>
      <c r="T758" s="733"/>
      <c r="U758" s="733"/>
    </row>
    <row r="759" spans="1:21" ht="19.5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511">I774</f>
        <v>885</v>
      </c>
      <c r="J759" s="781">
        <f t="shared" ca="1" si="511"/>
        <v>0</v>
      </c>
      <c r="K759" s="766">
        <f t="shared" ca="1" si="510"/>
        <v>0</v>
      </c>
      <c r="L759" s="733"/>
      <c r="M759" s="733"/>
      <c r="N759" s="733"/>
      <c r="O759" s="733"/>
      <c r="P759" s="733"/>
      <c r="Q759" s="734"/>
      <c r="R759" s="733"/>
      <c r="S759" s="733"/>
      <c r="T759" s="733"/>
      <c r="U759" s="733"/>
    </row>
    <row r="760" spans="1:21" ht="19.5" x14ac:dyDescent="0.3">
      <c r="A760" s="257"/>
      <c r="B760" s="269"/>
      <c r="C760" s="309" t="s">
        <v>18</v>
      </c>
      <c r="D760" s="1342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264">
        <f t="shared" ref="L760:N760" ca="1" si="512">L761+L762</f>
        <v>0</v>
      </c>
      <c r="M760" s="264">
        <f t="shared" ca="1" si="512"/>
        <v>0</v>
      </c>
      <c r="N760" s="264">
        <f t="shared" ca="1" si="512"/>
        <v>0</v>
      </c>
      <c r="O760" s="264">
        <f t="shared" ref="O760:O768" ca="1" si="513">IF(L760&gt;0,N760*100/L760,0)</f>
        <v>0</v>
      </c>
      <c r="P760" s="264">
        <f t="shared" ref="P760:P768" ca="1" si="514">IF(M760&gt;0,N760*100/M760,0)</f>
        <v>0</v>
      </c>
      <c r="Q760" s="214">
        <f t="shared" ref="Q760:S760" ca="1" si="515">Q761+Q762</f>
        <v>3121330</v>
      </c>
      <c r="R760" s="215">
        <f t="shared" ca="1" si="515"/>
        <v>3121330</v>
      </c>
      <c r="S760" s="215">
        <f t="shared" ca="1" si="515"/>
        <v>90872</v>
      </c>
      <c r="T760" s="215">
        <f t="shared" ref="T760:T768" ca="1" si="516">IF(Q760&gt;0,S760*100/Q760,0)</f>
        <v>2.9113230577990792</v>
      </c>
      <c r="U760" s="215">
        <f t="shared" ref="U760:U768" ca="1" si="517">IF(R760&gt;0,S760*100/R760,0)</f>
        <v>2.9113230577990792</v>
      </c>
    </row>
    <row r="761" spans="1:21" ht="18.75" x14ac:dyDescent="0.25">
      <c r="A761" s="257"/>
      <c r="B761" s="269"/>
      <c r="C761" s="269"/>
      <c r="D761" s="290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7">
        <f t="shared" ref="L761:N761" ca="1" si="518">L764+L767</f>
        <v>0</v>
      </c>
      <c r="M761" s="77">
        <f t="shared" ca="1" si="518"/>
        <v>0</v>
      </c>
      <c r="N761" s="77">
        <f t="shared" ca="1" si="518"/>
        <v>0</v>
      </c>
      <c r="O761" s="77">
        <f t="shared" ca="1" si="513"/>
        <v>0</v>
      </c>
      <c r="P761" s="77">
        <f t="shared" ca="1" si="514"/>
        <v>0</v>
      </c>
      <c r="Q761" s="217">
        <f t="shared" ref="Q761:S761" ca="1" si="519">Q764+Q767</f>
        <v>0</v>
      </c>
      <c r="R761" s="133">
        <f t="shared" ca="1" si="519"/>
        <v>0</v>
      </c>
      <c r="S761" s="133">
        <f t="shared" ca="1" si="519"/>
        <v>0</v>
      </c>
      <c r="T761" s="133">
        <f t="shared" ca="1" si="516"/>
        <v>0</v>
      </c>
      <c r="U761" s="133">
        <f t="shared" ca="1" si="517"/>
        <v>0</v>
      </c>
    </row>
    <row r="762" spans="1:21" ht="18.75" x14ac:dyDescent="0.25">
      <c r="A762" s="257"/>
      <c r="B762" s="269"/>
      <c r="C762" s="306"/>
      <c r="D762" s="290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4">
        <f t="shared" ref="L762:N762" ca="1" si="520">L765+L768</f>
        <v>0</v>
      </c>
      <c r="M762" s="74">
        <f t="shared" ca="1" si="520"/>
        <v>0</v>
      </c>
      <c r="N762" s="74">
        <f t="shared" ca="1" si="520"/>
        <v>0</v>
      </c>
      <c r="O762" s="74">
        <f t="shared" ca="1" si="513"/>
        <v>0</v>
      </c>
      <c r="P762" s="74">
        <f t="shared" ca="1" si="514"/>
        <v>0</v>
      </c>
      <c r="Q762" s="131">
        <f t="shared" ref="Q762:S762" ca="1" si="521">Q765+Q768</f>
        <v>3121330</v>
      </c>
      <c r="R762" s="132">
        <f t="shared" ca="1" si="521"/>
        <v>3121330</v>
      </c>
      <c r="S762" s="132">
        <f t="shared" ca="1" si="521"/>
        <v>90872</v>
      </c>
      <c r="T762" s="132">
        <f t="shared" ca="1" si="516"/>
        <v>2.9113230577990792</v>
      </c>
      <c r="U762" s="132">
        <f t="shared" ca="1" si="517"/>
        <v>2.9113230577990792</v>
      </c>
    </row>
    <row r="763" spans="1:21" ht="18.75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4">
        <f t="shared" ref="L763:N763" ca="1" si="522">L764+L765</f>
        <v>0</v>
      </c>
      <c r="M763" s="74">
        <f t="shared" ca="1" si="522"/>
        <v>0</v>
      </c>
      <c r="N763" s="74">
        <f t="shared" ca="1" si="522"/>
        <v>0</v>
      </c>
      <c r="O763" s="74">
        <f t="shared" ca="1" si="513"/>
        <v>0</v>
      </c>
      <c r="P763" s="74">
        <f t="shared" ca="1" si="514"/>
        <v>0</v>
      </c>
      <c r="Q763" s="131">
        <f t="shared" ref="Q763:S763" ca="1" si="523">Q764+Q765</f>
        <v>3121330</v>
      </c>
      <c r="R763" s="132">
        <f t="shared" ca="1" si="523"/>
        <v>3121330</v>
      </c>
      <c r="S763" s="132">
        <f t="shared" ca="1" si="523"/>
        <v>90872</v>
      </c>
      <c r="T763" s="132">
        <f t="shared" ca="1" si="516"/>
        <v>2.9113230577990792</v>
      </c>
      <c r="U763" s="132">
        <f t="shared" ca="1" si="517"/>
        <v>2.9113230577990792</v>
      </c>
    </row>
    <row r="764" spans="1:21" ht="18.75" x14ac:dyDescent="0.25">
      <c r="A764" s="257"/>
      <c r="B764" s="269"/>
      <c r="C764" s="306"/>
      <c r="D764" s="290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7">
        <f ca="1">IFERROR(__xludf.DUMMYFUNCTION("IMPORTRANGE(""https://docs.google.com/spreadsheets/d/13wPX838HrBrQMCywv1BsuMkt4PEKTChp52zj44s2izQ/edit?usp=sharing"",""กาญจนบุรี!L763"")+IMPORTRANGE(""https://docs.google.com/spreadsheets/d/1ddFKvqj1W1NEiWytbGlB1zMx_ykJDVtmfEQ-6-lIUBA/edit?usp=sharing"","&amp;"""จันทบุรี!L763"")+IMPORTRANGE(""https://docs.google.com/spreadsheets/d/1T1PQvRODqOBZk8BRht_U031fIS1beLA0Ub2CEytj2q0/edit?usp=sharing"",""ฉะเชิงเทรา!L763"")+IMPORTRANGE(""https://docs.google.com/spreadsheets/d/11tr1B-Bhyr79v2bkwVh5h_fR-PStkgjlZtkrZpYurG0/"&amp;"edit?usp=sharing"",""ชลบุรี!L763"")+IMPORTRANGE(""https://docs.google.com/spreadsheets/d/1hh-FVnSX0vozXhGluamEcS54Dw9_zqW0N7qJUWgJ0Sw/edit?usp=sharing"",""ชัยนาท!L763"")+IMPORTRANGE(""https://docs.google.com/spreadsheets/d/1jkqa6GXxSacMcY1eN8AHjMNJ_7dDXMJ"&amp;"VRLDlaFSOdPM/edit?usp=sharing"",""ตราด!L763"")+IMPORTRANGE(""https://docs.google.com/spreadsheets/d/18hSgUJ3VwClqi_qtULmmW3cLr0oe3OKaSYoKzdpTsYQ/edit?usp=sharing"",""นครนายก!L763"")+IMPORTRANGE(""https://docs.google.com/spreadsheets/d/1YTZo6WM2dQ6Ix6FSdnL"&amp;"5P7uVnVKu40sxZu975tgG10E/edit?usp=sharing"",""นครปฐม!L763"")+IMPORTRANGE(""https://docs.google.com/spreadsheets/d/1OYoGg4WDg5RIzwGeB10padOxJF9E_Vljuvvct_M7RDo/edit?usp=sharing"",""ปทุมธานี!L763"")+IMPORTRANGE(""https://docs.google.com/spreadsheets/d/1GbCI"&amp;"E4D4wk9FUozzqk7SxfDMxDVBwVmI5zcaVUSzKAc/edit?usp=sharing"",""ประจวบคีรีขันธ์!L763"")+IMPORTRANGE(""https://docs.google.com/spreadsheets/d/1vVf6wykvW_lAyu7Yo9L4hUTqHqIeP_qcVuxCtosJEbg/edit?usp=sharing"",""ปราจีนบุรี!L763"")+IMPORTRANGE(""https://docs.googl"&amp;"e.com/spreadsheets/d/1BIDqLLg5jk3v59G8NlR8rk5xfQDKne0sAvZHSj7TI6I/edit?usp=sharing"",""พระนครศรีอยุธยา!L763"")+IMPORTRANGE(""https://docs.google.com/spreadsheets/d/1YXvxf8Yu6_rV4hTBrwMqAcAnv6DfhUxh5emyM3CJp_w/edit?usp=sharing"",""เพชรบุรี!L763"")+IMPORTRA"&amp;"NGE(""https://docs.google.com/spreadsheets/d/19KBlQQs7uwvsao6t2n-KvW3Ax8J8uRRfZPq1zPbXgKc/edit?usp=sharing"",""ระยอง!L763"")+IMPORTRANGE(""https://docs.google.com/spreadsheets/d/1jQ6P4QcrGM89YfqcC_PxOHGCMq5ezhucwJd8ci-NHng/edit?usp=sharing"",""ราชบุรี!L76"&amp;"3"")+IMPORTRANGE(""https://docs.google.com/spreadsheets/d/1lufeA2cfFqM-elVq2hznhDzC6Pr7wkJ9ZG_sYNGCMCU/edit?usp=sharing"",""ลพบุรี!L763"")+IMPORTRANGE(""https://docs.google.com/spreadsheets/d/10oOiF7loTyfsTkbd4MpaIm0HQ9SwB7IYHdIUvt-U1Uc/edit?usp=sharing"""&amp;",""สระแก้ว!L763"")+IMPORTRANGE(""https://docs.google.com/spreadsheets/d/1xmPlrr1QbdSIKvl1dWUl9K4PjAfSL9oeMr_37QVzcxc/edit?usp=sharing"",""สระบุรี!L763"")+IMPORTRANGE(""https://docs.google.com/spreadsheets/d/1j51vR6CYVGhABJpv6tkstgok82RLpXieLzW1yOY5rHw/edi"&amp;"t?usp=sharing"",""สิงห์บุรี!L763"")+IMPORTRANGE(""https://docs.google.com/spreadsheets/d/1H1EalTWKUSzO4Z1-1CwzoDUaVffgrThEBe2sl74kKG0/edit?usp=sharing"",""สุพรรณบุรี!L763"")+IMPORTRANGE(""https://docs.google.com/spreadsheets/d/1BmIruG_sIrJLYao_Pdr7zVArWsf"&amp;"oBt2692TMi6x_854/edit?usp=sharing"",""อ่างทอง!L763"")"),0)</f>
        <v>0</v>
      </c>
      <c r="M764" s="77">
        <f ca="1">IFERROR(__xludf.DUMMYFUNCTION("IMPORTRANGE(""https://docs.google.com/spreadsheets/d/13wPX838HrBrQMCywv1BsuMkt4PEKTChp52zj44s2izQ/edit?usp=sharing"",""กาญจนบุรี!M763"")+IMPORTRANGE(""https://docs.google.com/spreadsheets/d/1ddFKvqj1W1NEiWytbGlB1zMx_ykJDVtmfEQ-6-lIUBA/edit?usp=sharing"","&amp;"""จันทบุรี!M763"")+IMPORTRANGE(""https://docs.google.com/spreadsheets/d/1T1PQvRODqOBZk8BRht_U031fIS1beLA0Ub2CEytj2q0/edit?usp=sharing"",""ฉะเชิงเทรา!M763"")+IMPORTRANGE(""https://docs.google.com/spreadsheets/d/11tr1B-Bhyr79v2bkwVh5h_fR-PStkgjlZtkrZpYurG0/"&amp;"edit?usp=sharing"",""ชลบุรี!M763"")+IMPORTRANGE(""https://docs.google.com/spreadsheets/d/1hh-FVnSX0vozXhGluamEcS54Dw9_zqW0N7qJUWgJ0Sw/edit?usp=sharing"",""ชัยนาท!M763"")+IMPORTRANGE(""https://docs.google.com/spreadsheets/d/1jkqa6GXxSacMcY1eN8AHjMNJ_7dDXMJ"&amp;"VRLDlaFSOdPM/edit?usp=sharing"",""ตราด!M763"")+IMPORTRANGE(""https://docs.google.com/spreadsheets/d/18hSgUJ3VwClqi_qtULmmW3cLr0oe3OKaSYoKzdpTsYQ/edit?usp=sharing"",""นครนายก!M763"")+IMPORTRANGE(""https://docs.google.com/spreadsheets/d/1YTZo6WM2dQ6Ix6FSdnL"&amp;"5P7uVnVKu40sxZu975tgG10E/edit?usp=sharing"",""นครปฐม!M763"")+IMPORTRANGE(""https://docs.google.com/spreadsheets/d/1OYoGg4WDg5RIzwGeB10padOxJF9E_Vljuvvct_M7RDo/edit?usp=sharing"",""ปทุมธานี!M763"")+IMPORTRANGE(""https://docs.google.com/spreadsheets/d/1GbCI"&amp;"E4D4wk9FUozzqk7SxfDMxDVBwVmI5zcaVUSzKAc/edit?usp=sharing"",""ประจวบคีรีขันธ์!M763"")+IMPORTRANGE(""https://docs.google.com/spreadsheets/d/1vVf6wykvW_lAyu7Yo9L4hUTqHqIeP_qcVuxCtosJEbg/edit?usp=sharing"",""ปราจีนบุรี!M763"")+IMPORTRANGE(""https://docs.googl"&amp;"e.com/spreadsheets/d/1BIDqLLg5jk3v59G8NlR8rk5xfQDKne0sAvZHSj7TI6I/edit?usp=sharing"",""พระนครศรีอยุธยา!M763"")+IMPORTRANGE(""https://docs.google.com/spreadsheets/d/1YXvxf8Yu6_rV4hTBrwMqAcAnv6DfhUxh5emyM3CJp_w/edit?usp=sharing"",""เพชรบุรี!M763"")+IMPORTRA"&amp;"NGE(""https://docs.google.com/spreadsheets/d/19KBlQQs7uwvsao6t2n-KvW3Ax8J8uRRfZPq1zPbXgKc/edit?usp=sharing"",""ระยอง!M763"")+IMPORTRANGE(""https://docs.google.com/spreadsheets/d/1jQ6P4QcrGM89YfqcC_PxOHGCMq5ezhucwJd8ci-NHng/edit?usp=sharing"",""ราชบุรี!M76"&amp;"3"")+IMPORTRANGE(""https://docs.google.com/spreadsheets/d/1lufeA2cfFqM-elVq2hznhDzC6Pr7wkJ9ZG_sYNGCMCU/edit?usp=sharing"",""ลพบุรี!M763"")+IMPORTRANGE(""https://docs.google.com/spreadsheets/d/10oOiF7loTyfsTkbd4MpaIm0HQ9SwB7IYHdIUvt-U1Uc/edit?usp=sharing"""&amp;",""สระแก้ว!M763"")+IMPORTRANGE(""https://docs.google.com/spreadsheets/d/1xmPlrr1QbdSIKvl1dWUl9K4PjAfSL9oeMr_37QVzcxc/edit?usp=sharing"",""สระบุรี!M763"")+IMPORTRANGE(""https://docs.google.com/spreadsheets/d/1j51vR6CYVGhABJpv6tkstgok82RLpXieLzW1yOY5rHw/edi"&amp;"t?usp=sharing"",""สิงห์บุรี!M763"")+IMPORTRANGE(""https://docs.google.com/spreadsheets/d/1H1EalTWKUSzO4Z1-1CwzoDUaVffgrThEBe2sl74kKG0/edit?usp=sharing"",""สุพรรณบุรี!M763"")+IMPORTRANGE(""https://docs.google.com/spreadsheets/d/1BmIruG_sIrJLYao_Pdr7zVArWsf"&amp;"oBt2692TMi6x_854/edit?usp=sharing"",""อ่างทอง!M763"")"),0)</f>
        <v>0</v>
      </c>
      <c r="N764" s="77">
        <f ca="1">IFERROR(__xludf.DUMMYFUNCTION("IMPORTRANGE(""https://docs.google.com/spreadsheets/d/13wPX838HrBrQMCywv1BsuMkt4PEKTChp52zj44s2izQ/edit?usp=sharing"",""กาญจนบุรี!N763"")+IMPORTRANGE(""https://docs.google.com/spreadsheets/d/1ddFKvqj1W1NEiWytbGlB1zMx_ykJDVtmfEQ-6-lIUBA/edit?usp=sharing"","&amp;"""จันทบุรี!N763"")+IMPORTRANGE(""https://docs.google.com/spreadsheets/d/1T1PQvRODqOBZk8BRht_U031fIS1beLA0Ub2CEytj2q0/edit?usp=sharing"",""ฉะเชิงเทรา!N763"")+IMPORTRANGE(""https://docs.google.com/spreadsheets/d/11tr1B-Bhyr79v2bkwVh5h_fR-PStkgjlZtkrZpYurG0/"&amp;"edit?usp=sharing"",""ชลบุรี!N763"")+IMPORTRANGE(""https://docs.google.com/spreadsheets/d/1hh-FVnSX0vozXhGluamEcS54Dw9_zqW0N7qJUWgJ0Sw/edit?usp=sharing"",""ชัยนาท!N763"")+IMPORTRANGE(""https://docs.google.com/spreadsheets/d/1jkqa6GXxSacMcY1eN8AHjMNJ_7dDXMJ"&amp;"VRLDlaFSOdPM/edit?usp=sharing"",""ตราด!N763"")+IMPORTRANGE(""https://docs.google.com/spreadsheets/d/18hSgUJ3VwClqi_qtULmmW3cLr0oe3OKaSYoKzdpTsYQ/edit?usp=sharing"",""นครนายก!N763"")+IMPORTRANGE(""https://docs.google.com/spreadsheets/d/1YTZo6WM2dQ6Ix6FSdnL"&amp;"5P7uVnVKu40sxZu975tgG10E/edit?usp=sharing"",""นครปฐม!N763"")+IMPORTRANGE(""https://docs.google.com/spreadsheets/d/1OYoGg4WDg5RIzwGeB10padOxJF9E_Vljuvvct_M7RDo/edit?usp=sharing"",""ปทุมธานี!N763"")+IMPORTRANGE(""https://docs.google.com/spreadsheets/d/1GbCI"&amp;"E4D4wk9FUozzqk7SxfDMxDVBwVmI5zcaVUSzKAc/edit?usp=sharing"",""ประจวบคีรีขันธ์!N763"")+IMPORTRANGE(""https://docs.google.com/spreadsheets/d/1vVf6wykvW_lAyu7Yo9L4hUTqHqIeP_qcVuxCtosJEbg/edit?usp=sharing"",""ปราจีนบุรี!N763"")+IMPORTRANGE(""https://docs.googl"&amp;"e.com/spreadsheets/d/1BIDqLLg5jk3v59G8NlR8rk5xfQDKne0sAvZHSj7TI6I/edit?usp=sharing"",""พระนครศรีอยุธยา!N763"")+IMPORTRANGE(""https://docs.google.com/spreadsheets/d/1YXvxf8Yu6_rV4hTBrwMqAcAnv6DfhUxh5emyM3CJp_w/edit?usp=sharing"",""เพชรบุรี!N763"")+IMPORTRA"&amp;"NGE(""https://docs.google.com/spreadsheets/d/19KBlQQs7uwvsao6t2n-KvW3Ax8J8uRRfZPq1zPbXgKc/edit?usp=sharing"",""ระยอง!N763"")+IMPORTRANGE(""https://docs.google.com/spreadsheets/d/1jQ6P4QcrGM89YfqcC_PxOHGCMq5ezhucwJd8ci-NHng/edit?usp=sharing"",""ราชบุรี!N76"&amp;"3"")+IMPORTRANGE(""https://docs.google.com/spreadsheets/d/1lufeA2cfFqM-elVq2hznhDzC6Pr7wkJ9ZG_sYNGCMCU/edit?usp=sharing"",""ลพบุรี!N763"")+IMPORTRANGE(""https://docs.google.com/spreadsheets/d/10oOiF7loTyfsTkbd4MpaIm0HQ9SwB7IYHdIUvt-U1Uc/edit?usp=sharing"""&amp;",""สระแก้ว!N763"")+IMPORTRANGE(""https://docs.google.com/spreadsheets/d/1xmPlrr1QbdSIKvl1dWUl9K4PjAfSL9oeMr_37QVzcxc/edit?usp=sharing"",""สระบุรี!N763"")+IMPORTRANGE(""https://docs.google.com/spreadsheets/d/1j51vR6CYVGhABJpv6tkstgok82RLpXieLzW1yOY5rHw/edi"&amp;"t?usp=sharing"",""สิงห์บุรี!N763"")+IMPORTRANGE(""https://docs.google.com/spreadsheets/d/1H1EalTWKUSzO4Z1-1CwzoDUaVffgrThEBe2sl74kKG0/edit?usp=sharing"",""สุพรรณบุรี!N763"")+IMPORTRANGE(""https://docs.google.com/spreadsheets/d/1BmIruG_sIrJLYao_Pdr7zVArWsf"&amp;"oBt2692TMi6x_854/edit?usp=sharing"",""อ่างทอง!N763"")"),0)</f>
        <v>0</v>
      </c>
      <c r="O764" s="77">
        <f t="shared" ca="1" si="513"/>
        <v>0</v>
      </c>
      <c r="P764" s="77">
        <f t="shared" ca="1" si="514"/>
        <v>0</v>
      </c>
      <c r="Q764" s="76">
        <f ca="1">IFERROR(__xludf.DUMMYFUNCTION("IMPORTRANGE(""https://docs.google.com/spreadsheets/d/13wPX838HrBrQMCywv1BsuMkt4PEKTChp52zj44s2izQ/edit?usp=sharing"",""กาญจนบุรี!Q763"")+IMPORTRANGE(""https://docs.google.com/spreadsheets/d/1ddFKvqj1W1NEiWytbGlB1zMx_ykJDVtmfEQ-6-lIUBA/edit?usp=sharing"","&amp;"""จันทบุรี!Q763"")+IMPORTRANGE(""https://docs.google.com/spreadsheets/d/1T1PQvRODqOBZk8BRht_U031fIS1beLA0Ub2CEytj2q0/edit?usp=sharing"",""ฉะเชิงเทรา!Q763"")+IMPORTRANGE(""https://docs.google.com/spreadsheets/d/11tr1B-Bhyr79v2bkwVh5h_fR-PStkgjlZtkrZpYurG0/"&amp;"edit?usp=sharing"",""ชลบุรี!Q763"")+IMPORTRANGE(""https://docs.google.com/spreadsheets/d/1hh-FVnSX0vozXhGluamEcS54Dw9_zqW0N7qJUWgJ0Sw/edit?usp=sharing"",""ชัยนาท!Q763"")+IMPORTRANGE(""https://docs.google.com/spreadsheets/d/1jkqa6GXxSacMcY1eN8AHjMNJ_7dDXMJ"&amp;"VRLDlaFSOdPM/edit?usp=sharing"",""ตราด!Q763"")+IMPORTRANGE(""https://docs.google.com/spreadsheets/d/18hSgUJ3VwClqi_qtULmmW3cLr0oe3OKaSYoKzdpTsYQ/edit?usp=sharing"",""นครนายก!Q763"")+IMPORTRANGE(""https://docs.google.com/spreadsheets/d/1YTZo6WM2dQ6Ix6FSdnL"&amp;"5P7uVnVKu40sxZu975tgG10E/edit?usp=sharing"",""นครปฐม!Q763"")+IMPORTRANGE(""https://docs.google.com/spreadsheets/d/1OYoGg4WDg5RIzwGeB10padOxJF9E_Vljuvvct_M7RDo/edit?usp=sharing"",""ปทุมธานี!Q763"")+IMPORTRANGE(""https://docs.google.com/spreadsheets/d/1GbCI"&amp;"E4D4wk9FUozzqk7SxfDMxDVBwVmI5zcaVUSzKAc/edit?usp=sharing"",""ประจวบคีรีขันธ์!Q763"")+IMPORTRANGE(""https://docs.google.com/spreadsheets/d/1vVf6wykvW_lAyu7Yo9L4hUTqHqIeP_qcVuxCtosJEbg/edit?usp=sharing"",""ปราจีนบุรี!Q763"")+IMPORTRANGE(""https://docs.googl"&amp;"e.com/spreadsheets/d/1BIDqLLg5jk3v59G8NlR8rk5xfQDKne0sAvZHSj7TI6I/edit?usp=sharing"",""พระนครศรีอยุธยา!Q763"")+IMPORTRANGE(""https://docs.google.com/spreadsheets/d/1YXvxf8Yu6_rV4hTBrwMqAcAnv6DfhUxh5emyM3CJp_w/edit?usp=sharing"",""เพชรบุรี!Q763"")+IMPORTRA"&amp;"NGE(""https://docs.google.com/spreadsheets/d/19KBlQQs7uwvsao6t2n-KvW3Ax8J8uRRfZPq1zPbXgKc/edit?usp=sharing"",""ระยอง!Q763"")+IMPORTRANGE(""https://docs.google.com/spreadsheets/d/1jQ6P4QcrGM89YfqcC_PxOHGCMq5ezhucwJd8ci-NHng/edit?usp=sharing"",""ราชบุรี!Q76"&amp;"3"")+IMPORTRANGE(""https://docs.google.com/spreadsheets/d/1lufeA2cfFqM-elVq2hznhDzC6Pr7wkJ9ZG_sYNGCMCU/edit?usp=sharing"",""ลพบุรี!Q763"")+IMPORTRANGE(""https://docs.google.com/spreadsheets/d/10oOiF7loTyfsTkbd4MpaIm0HQ9SwB7IYHdIUvt-U1Uc/edit?usp=sharing"""&amp;",""สระแก้ว!Q763"")+IMPORTRANGE(""https://docs.google.com/spreadsheets/d/1xmPlrr1QbdSIKvl1dWUl9K4PjAfSL9oeMr_37QVzcxc/edit?usp=sharing"",""สระบุรี!Q763"")+IMPORTRANGE(""https://docs.google.com/spreadsheets/d/1j51vR6CYVGhABJpv6tkstgok82RLpXieLzW1yOY5rHw/edi"&amp;"t?usp=sharing"",""สิงห์บุรี!Q763"")+IMPORTRANGE(""https://docs.google.com/spreadsheets/d/1H1EalTWKUSzO4Z1-1CwzoDUaVffgrThEBe2sl74kKG0/edit?usp=sharing"",""สุพรรณบุรี!Q763"")+IMPORTRANGE(""https://docs.google.com/spreadsheets/d/1BmIruG_sIrJLYao_Pdr7zVArWsf"&amp;"oBt2692TMi6x_854/edit?usp=sharing"",""อ่างทอง!Q763"")"),0)</f>
        <v>0</v>
      </c>
      <c r="R764" s="77">
        <f ca="1">IFERROR(__xludf.DUMMYFUNCTION("IMPORTRANGE(""https://docs.google.com/spreadsheets/d/13wPX838HrBrQMCywv1BsuMkt4PEKTChp52zj44s2izQ/edit?usp=sharing"",""กาญจนบุรี!R763"")+IMPORTRANGE(""https://docs.google.com/spreadsheets/d/1ddFKvqj1W1NEiWytbGlB1zMx_ykJDVtmfEQ-6-lIUBA/edit?usp=sharing"","&amp;"""จันทบุรี!R763"")+IMPORTRANGE(""https://docs.google.com/spreadsheets/d/1T1PQvRODqOBZk8BRht_U031fIS1beLA0Ub2CEytj2q0/edit?usp=sharing"",""ฉะเชิงเทรา!R763"")+IMPORTRANGE(""https://docs.google.com/spreadsheets/d/11tr1B-Bhyr79v2bkwVh5h_fR-PStkgjlZtkrZpYurG0/"&amp;"edit?usp=sharing"",""ชลบุรี!R763"")+IMPORTRANGE(""https://docs.google.com/spreadsheets/d/1hh-FVnSX0vozXhGluamEcS54Dw9_zqW0N7qJUWgJ0Sw/edit?usp=sharing"",""ชัยนาท!R763"")+IMPORTRANGE(""https://docs.google.com/spreadsheets/d/1jkqa6GXxSacMcY1eN8AHjMNJ_7dDXMJ"&amp;"VRLDlaFSOdPM/edit?usp=sharing"",""ตราด!R763"")+IMPORTRANGE(""https://docs.google.com/spreadsheets/d/18hSgUJ3VwClqi_qtULmmW3cLr0oe3OKaSYoKzdpTsYQ/edit?usp=sharing"",""นครนายก!R763"")+IMPORTRANGE(""https://docs.google.com/spreadsheets/d/1YTZo6WM2dQ6Ix6FSdnL"&amp;"5P7uVnVKu40sxZu975tgG10E/edit?usp=sharing"",""นครปฐม!R763"")+IMPORTRANGE(""https://docs.google.com/spreadsheets/d/1OYoGg4WDg5RIzwGeB10padOxJF9E_Vljuvvct_M7RDo/edit?usp=sharing"",""ปทุมธานี!R763"")+IMPORTRANGE(""https://docs.google.com/spreadsheets/d/1GbCI"&amp;"E4D4wk9FUozzqk7SxfDMxDVBwVmI5zcaVUSzKAc/edit?usp=sharing"",""ประจวบคีรีขันธ์!R763"")+IMPORTRANGE(""https://docs.google.com/spreadsheets/d/1vVf6wykvW_lAyu7Yo9L4hUTqHqIeP_qcVuxCtosJEbg/edit?usp=sharing"",""ปราจีนบุรี!R763"")+IMPORTRANGE(""https://docs.googl"&amp;"e.com/spreadsheets/d/1BIDqLLg5jk3v59G8NlR8rk5xfQDKne0sAvZHSj7TI6I/edit?usp=sharing"",""พระนครศรีอยุธยา!R763"")+IMPORTRANGE(""https://docs.google.com/spreadsheets/d/1YXvxf8Yu6_rV4hTBrwMqAcAnv6DfhUxh5emyM3CJp_w/edit?usp=sharing"",""เพชรบุรี!R763"")+IMPORTRA"&amp;"NGE(""https://docs.google.com/spreadsheets/d/19KBlQQs7uwvsao6t2n-KvW3Ax8J8uRRfZPq1zPbXgKc/edit?usp=sharing"",""ระยอง!R763"")+IMPORTRANGE(""https://docs.google.com/spreadsheets/d/1jQ6P4QcrGM89YfqcC_PxOHGCMq5ezhucwJd8ci-NHng/edit?usp=sharing"",""ราชบุรี!R76"&amp;"3"")+IMPORTRANGE(""https://docs.google.com/spreadsheets/d/1lufeA2cfFqM-elVq2hznhDzC6Pr7wkJ9ZG_sYNGCMCU/edit?usp=sharing"",""ลพบุรี!R763"")+IMPORTRANGE(""https://docs.google.com/spreadsheets/d/10oOiF7loTyfsTkbd4MpaIm0HQ9SwB7IYHdIUvt-U1Uc/edit?usp=sharing"""&amp;",""สระแก้ว!R763"")+IMPORTRANGE(""https://docs.google.com/spreadsheets/d/1xmPlrr1QbdSIKvl1dWUl9K4PjAfSL9oeMr_37QVzcxc/edit?usp=sharing"",""สระบุรี!R763"")+IMPORTRANGE(""https://docs.google.com/spreadsheets/d/1j51vR6CYVGhABJpv6tkstgok82RLpXieLzW1yOY5rHw/edi"&amp;"t?usp=sharing"",""สิงห์บุรี!R763"")+IMPORTRANGE(""https://docs.google.com/spreadsheets/d/1H1EalTWKUSzO4Z1-1CwzoDUaVffgrThEBe2sl74kKG0/edit?usp=sharing"",""สุพรรณบุรี!R763"")+IMPORTRANGE(""https://docs.google.com/spreadsheets/d/1BmIruG_sIrJLYao_Pdr7zVArWsf"&amp;"oBt2692TMi6x_854/edit?usp=sharing"",""อ่างทอง!R763"")"),0)</f>
        <v>0</v>
      </c>
      <c r="S764" s="77">
        <f ca="1">IFERROR(__xludf.DUMMYFUNCTION("IMPORTRANGE(""https://docs.google.com/spreadsheets/d/13wPX838HrBrQMCywv1BsuMkt4PEKTChp52zj44s2izQ/edit?usp=sharing"",""กาญจนบุรี!S763"")+IMPORTRANGE(""https://docs.google.com/spreadsheets/d/1ddFKvqj1W1NEiWytbGlB1zMx_ykJDVtmfEQ-6-lIUBA/edit?usp=sharing"","&amp;"""จันทบุรี!S763"")+IMPORTRANGE(""https://docs.google.com/spreadsheets/d/1T1PQvRODqOBZk8BRht_U031fIS1beLA0Ub2CEytj2q0/edit?usp=sharing"",""ฉะเชิงเทรา!S763"")+IMPORTRANGE(""https://docs.google.com/spreadsheets/d/11tr1B-Bhyr79v2bkwVh5h_fR-PStkgjlZtkrZpYurG0/"&amp;"edit?usp=sharing"",""ชลบุรี!S763"")+IMPORTRANGE(""https://docs.google.com/spreadsheets/d/1hh-FVnSX0vozXhGluamEcS54Dw9_zqW0N7qJUWgJ0Sw/edit?usp=sharing"",""ชัยนาท!S763"")+IMPORTRANGE(""https://docs.google.com/spreadsheets/d/1jkqa6GXxSacMcY1eN8AHjMNJ_7dDXMJ"&amp;"VRLDlaFSOdPM/edit?usp=sharing"",""ตราด!S763"")+IMPORTRANGE(""https://docs.google.com/spreadsheets/d/18hSgUJ3VwClqi_qtULmmW3cLr0oe3OKaSYoKzdpTsYQ/edit?usp=sharing"",""นครนายก!S763"")+IMPORTRANGE(""https://docs.google.com/spreadsheets/d/1YTZo6WM2dQ6Ix6FSdnL"&amp;"5P7uVnVKu40sxZu975tgG10E/edit?usp=sharing"",""นครปฐม!S763"")+IMPORTRANGE(""https://docs.google.com/spreadsheets/d/1OYoGg4WDg5RIzwGeB10padOxJF9E_Vljuvvct_M7RDo/edit?usp=sharing"",""ปทุมธานี!S763"")+IMPORTRANGE(""https://docs.google.com/spreadsheets/d/1GbCI"&amp;"E4D4wk9FUozzqk7SxfDMxDVBwVmI5zcaVUSzKAc/edit?usp=sharing"",""ประจวบคีรีขันธ์!S763"")+IMPORTRANGE(""https://docs.google.com/spreadsheets/d/1vVf6wykvW_lAyu7Yo9L4hUTqHqIeP_qcVuxCtosJEbg/edit?usp=sharing"",""ปราจีนบุรี!S763"")+IMPORTRANGE(""https://docs.googl"&amp;"e.com/spreadsheets/d/1BIDqLLg5jk3v59G8NlR8rk5xfQDKne0sAvZHSj7TI6I/edit?usp=sharing"",""พระนครศรีอยุธยา!S763"")+IMPORTRANGE(""https://docs.google.com/spreadsheets/d/1YXvxf8Yu6_rV4hTBrwMqAcAnv6DfhUxh5emyM3CJp_w/edit?usp=sharing"",""เพชรบุรี!S763"")+IMPORTRA"&amp;"NGE(""https://docs.google.com/spreadsheets/d/19KBlQQs7uwvsao6t2n-KvW3Ax8J8uRRfZPq1zPbXgKc/edit?usp=sharing"",""ระยอง!S763"")+IMPORTRANGE(""https://docs.google.com/spreadsheets/d/1jQ6P4QcrGM89YfqcC_PxOHGCMq5ezhucwJd8ci-NHng/edit?usp=sharing"",""ราชบุรี!S76"&amp;"3"")+IMPORTRANGE(""https://docs.google.com/spreadsheets/d/1lufeA2cfFqM-elVq2hznhDzC6Pr7wkJ9ZG_sYNGCMCU/edit?usp=sharing"",""ลพบุรี!S763"")+IMPORTRANGE(""https://docs.google.com/spreadsheets/d/10oOiF7loTyfsTkbd4MpaIm0HQ9SwB7IYHdIUvt-U1Uc/edit?usp=sharing"""&amp;",""สระแก้ว!S763"")+IMPORTRANGE(""https://docs.google.com/spreadsheets/d/1xmPlrr1QbdSIKvl1dWUl9K4PjAfSL9oeMr_37QVzcxc/edit?usp=sharing"",""สระบุรี!S763"")+IMPORTRANGE(""https://docs.google.com/spreadsheets/d/1j51vR6CYVGhABJpv6tkstgok82RLpXieLzW1yOY5rHw/edi"&amp;"t?usp=sharing"",""สิงห์บุรี!S763"")+IMPORTRANGE(""https://docs.google.com/spreadsheets/d/1H1EalTWKUSzO4Z1-1CwzoDUaVffgrThEBe2sl74kKG0/edit?usp=sharing"",""สุพรรณบุรี!S763"")+IMPORTRANGE(""https://docs.google.com/spreadsheets/d/1BmIruG_sIrJLYao_Pdr7zVArWsf"&amp;"oBt2692TMi6x_854/edit?usp=sharing"",""อ่างทอง!S763"")"),0)</f>
        <v>0</v>
      </c>
      <c r="T764" s="133">
        <f t="shared" ca="1" si="516"/>
        <v>0</v>
      </c>
      <c r="U764" s="133">
        <f t="shared" ca="1" si="517"/>
        <v>0</v>
      </c>
    </row>
    <row r="765" spans="1:21" ht="18.75" x14ac:dyDescent="0.25">
      <c r="A765" s="257"/>
      <c r="B765" s="269"/>
      <c r="C765" s="306"/>
      <c r="D765" s="290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4">
        <f ca="1">IFERROR(__xludf.DUMMYFUNCTION("IMPORTRANGE(""https://docs.google.com/spreadsheets/d/13wPX838HrBrQMCywv1BsuMkt4PEKTChp52zj44s2izQ/edit?usp=sharing"",""กาญจนบุรี!L764"")+IMPORTRANGE(""https://docs.google.com/spreadsheets/d/1ddFKvqj1W1NEiWytbGlB1zMx_ykJDVtmfEQ-6-lIUBA/edit?usp=sharing"","&amp;"""จันทบุรี!L764"")+IMPORTRANGE(""https://docs.google.com/spreadsheets/d/1T1PQvRODqOBZk8BRht_U031fIS1beLA0Ub2CEytj2q0/edit?usp=sharing"",""ฉะเชิงเทรา!L764"")+IMPORTRANGE(""https://docs.google.com/spreadsheets/d/11tr1B-Bhyr79v2bkwVh5h_fR-PStkgjlZtkrZpYurG0/"&amp;"edit?usp=sharing"",""ชลบุรี!L764"")+IMPORTRANGE(""https://docs.google.com/spreadsheets/d/1hh-FVnSX0vozXhGluamEcS54Dw9_zqW0N7qJUWgJ0Sw/edit?usp=sharing"",""ชัยนาท!L764"")+IMPORTRANGE(""https://docs.google.com/spreadsheets/d/1jkqa6GXxSacMcY1eN8AHjMNJ_7dDXMJ"&amp;"VRLDlaFSOdPM/edit?usp=sharing"",""ตราด!L764"")+IMPORTRANGE(""https://docs.google.com/spreadsheets/d/18hSgUJ3VwClqi_qtULmmW3cLr0oe3OKaSYoKzdpTsYQ/edit?usp=sharing"",""นครนายก!L764"")+IMPORTRANGE(""https://docs.google.com/spreadsheets/d/1YTZo6WM2dQ6Ix6FSdnL"&amp;"5P7uVnVKu40sxZu975tgG10E/edit?usp=sharing"",""นครปฐม!L764"")+IMPORTRANGE(""https://docs.google.com/spreadsheets/d/1OYoGg4WDg5RIzwGeB10padOxJF9E_Vljuvvct_M7RDo/edit?usp=sharing"",""ปทุมธานี!L764"")+IMPORTRANGE(""https://docs.google.com/spreadsheets/d/1GbCI"&amp;"E4D4wk9FUozzqk7SxfDMxDVBwVmI5zcaVUSzKAc/edit?usp=sharing"",""ประจวบคีรีขันธ์!L764"")+IMPORTRANGE(""https://docs.google.com/spreadsheets/d/1vVf6wykvW_lAyu7Yo9L4hUTqHqIeP_qcVuxCtosJEbg/edit?usp=sharing"",""ปราจีนบุรี!L764"")+IMPORTRANGE(""https://docs.googl"&amp;"e.com/spreadsheets/d/1BIDqLLg5jk3v59G8NlR8rk5xfQDKne0sAvZHSj7TI6I/edit?usp=sharing"",""พระนครศรีอยุธยา!L764"")+IMPORTRANGE(""https://docs.google.com/spreadsheets/d/1YXvxf8Yu6_rV4hTBrwMqAcAnv6DfhUxh5emyM3CJp_w/edit?usp=sharing"",""เพชรบุรี!L764"")+IMPORTRA"&amp;"NGE(""https://docs.google.com/spreadsheets/d/19KBlQQs7uwvsao6t2n-KvW3Ax8J8uRRfZPq1zPbXgKc/edit?usp=sharing"",""ระยอง!L764"")+IMPORTRANGE(""https://docs.google.com/spreadsheets/d/1jQ6P4QcrGM89YfqcC_PxOHGCMq5ezhucwJd8ci-NHng/edit?usp=sharing"",""ราชบุรี!L76"&amp;"4"")+IMPORTRANGE(""https://docs.google.com/spreadsheets/d/1lufeA2cfFqM-elVq2hznhDzC6Pr7wkJ9ZG_sYNGCMCU/edit?usp=sharing"",""ลพบุรี!L764"")+IMPORTRANGE(""https://docs.google.com/spreadsheets/d/10oOiF7loTyfsTkbd4MpaIm0HQ9SwB7IYHdIUvt-U1Uc/edit?usp=sharing"""&amp;",""สระแก้ว!L764"")+IMPORTRANGE(""https://docs.google.com/spreadsheets/d/1xmPlrr1QbdSIKvl1dWUl9K4PjAfSL9oeMr_37QVzcxc/edit?usp=sharing"",""สระบุรี!L764"")+IMPORTRANGE(""https://docs.google.com/spreadsheets/d/1j51vR6CYVGhABJpv6tkstgok82RLpXieLzW1yOY5rHw/edi"&amp;"t?usp=sharing"",""สิงห์บุรี!L764"")+IMPORTRANGE(""https://docs.google.com/spreadsheets/d/1H1EalTWKUSzO4Z1-1CwzoDUaVffgrThEBe2sl74kKG0/edit?usp=sharing"",""สุพรรณบุรี!L764"")+IMPORTRANGE(""https://docs.google.com/spreadsheets/d/1BmIruG_sIrJLYao_Pdr7zVArWsf"&amp;"oBt2692TMi6x_854/edit?usp=sharing"",""อ่างทอง!L764"")"),0)</f>
        <v>0</v>
      </c>
      <c r="M765" s="74">
        <f ca="1">IFERROR(__xludf.DUMMYFUNCTION("IMPORTRANGE(""https://docs.google.com/spreadsheets/d/13wPX838HrBrQMCywv1BsuMkt4PEKTChp52zj44s2izQ/edit?usp=sharing"",""กาญจนบุรี!M764"")+IMPORTRANGE(""https://docs.google.com/spreadsheets/d/1ddFKvqj1W1NEiWytbGlB1zMx_ykJDVtmfEQ-6-lIUBA/edit?usp=sharing"","&amp;"""จันทบุรี!M764"")+IMPORTRANGE(""https://docs.google.com/spreadsheets/d/1T1PQvRODqOBZk8BRht_U031fIS1beLA0Ub2CEytj2q0/edit?usp=sharing"",""ฉะเชิงเทรา!M764"")+IMPORTRANGE(""https://docs.google.com/spreadsheets/d/11tr1B-Bhyr79v2bkwVh5h_fR-PStkgjlZtkrZpYurG0/"&amp;"edit?usp=sharing"",""ชลบุรี!M764"")+IMPORTRANGE(""https://docs.google.com/spreadsheets/d/1hh-FVnSX0vozXhGluamEcS54Dw9_zqW0N7qJUWgJ0Sw/edit?usp=sharing"",""ชัยนาท!M764"")+IMPORTRANGE(""https://docs.google.com/spreadsheets/d/1jkqa6GXxSacMcY1eN8AHjMNJ_7dDXMJ"&amp;"VRLDlaFSOdPM/edit?usp=sharing"",""ตราด!M764"")+IMPORTRANGE(""https://docs.google.com/spreadsheets/d/18hSgUJ3VwClqi_qtULmmW3cLr0oe3OKaSYoKzdpTsYQ/edit?usp=sharing"",""นครนายก!M764"")+IMPORTRANGE(""https://docs.google.com/spreadsheets/d/1YTZo6WM2dQ6Ix6FSdnL"&amp;"5P7uVnVKu40sxZu975tgG10E/edit?usp=sharing"",""นครปฐม!M764"")+IMPORTRANGE(""https://docs.google.com/spreadsheets/d/1OYoGg4WDg5RIzwGeB10padOxJF9E_Vljuvvct_M7RDo/edit?usp=sharing"",""ปทุมธานี!M764"")+IMPORTRANGE(""https://docs.google.com/spreadsheets/d/1GbCI"&amp;"E4D4wk9FUozzqk7SxfDMxDVBwVmI5zcaVUSzKAc/edit?usp=sharing"",""ประจวบคีรีขันธ์!M764"")+IMPORTRANGE(""https://docs.google.com/spreadsheets/d/1vVf6wykvW_lAyu7Yo9L4hUTqHqIeP_qcVuxCtosJEbg/edit?usp=sharing"",""ปราจีนบุรี!M764"")+IMPORTRANGE(""https://docs.googl"&amp;"e.com/spreadsheets/d/1BIDqLLg5jk3v59G8NlR8rk5xfQDKne0sAvZHSj7TI6I/edit?usp=sharing"",""พระนครศรีอยุธยา!M764"")+IMPORTRANGE(""https://docs.google.com/spreadsheets/d/1YXvxf8Yu6_rV4hTBrwMqAcAnv6DfhUxh5emyM3CJp_w/edit?usp=sharing"",""เพชรบุรี!M764"")+IMPORTRA"&amp;"NGE(""https://docs.google.com/spreadsheets/d/19KBlQQs7uwvsao6t2n-KvW3Ax8J8uRRfZPq1zPbXgKc/edit?usp=sharing"",""ระยอง!M764"")+IMPORTRANGE(""https://docs.google.com/spreadsheets/d/1jQ6P4QcrGM89YfqcC_PxOHGCMq5ezhucwJd8ci-NHng/edit?usp=sharing"",""ราชบุรี!M76"&amp;"4"")+IMPORTRANGE(""https://docs.google.com/spreadsheets/d/1lufeA2cfFqM-elVq2hznhDzC6Pr7wkJ9ZG_sYNGCMCU/edit?usp=sharing"",""ลพบุรี!M764"")+IMPORTRANGE(""https://docs.google.com/spreadsheets/d/10oOiF7loTyfsTkbd4MpaIm0HQ9SwB7IYHdIUvt-U1Uc/edit?usp=sharing"""&amp;",""สระแก้ว!M764"")+IMPORTRANGE(""https://docs.google.com/spreadsheets/d/1xmPlrr1QbdSIKvl1dWUl9K4PjAfSL9oeMr_37QVzcxc/edit?usp=sharing"",""สระบุรี!M764"")+IMPORTRANGE(""https://docs.google.com/spreadsheets/d/1j51vR6CYVGhABJpv6tkstgok82RLpXieLzW1yOY5rHw/edi"&amp;"t?usp=sharing"",""สิงห์บุรี!M764"")+IMPORTRANGE(""https://docs.google.com/spreadsheets/d/1H1EalTWKUSzO4Z1-1CwzoDUaVffgrThEBe2sl74kKG0/edit?usp=sharing"",""สุพรรณบุรี!M764"")+IMPORTRANGE(""https://docs.google.com/spreadsheets/d/1BmIruG_sIrJLYao_Pdr7zVArWsf"&amp;"oBt2692TMi6x_854/edit?usp=sharing"",""อ่างทอง!M764"")"),0)</f>
        <v>0</v>
      </c>
      <c r="N765" s="74">
        <f ca="1">IFERROR(__xludf.DUMMYFUNCTION("IMPORTRANGE(""https://docs.google.com/spreadsheets/d/13wPX838HrBrQMCywv1BsuMkt4PEKTChp52zj44s2izQ/edit?usp=sharing"",""กาญจนบุรี!N764"")+IMPORTRANGE(""https://docs.google.com/spreadsheets/d/1ddFKvqj1W1NEiWytbGlB1zMx_ykJDVtmfEQ-6-lIUBA/edit?usp=sharing"","&amp;"""จันทบุรี!N764"")+IMPORTRANGE(""https://docs.google.com/spreadsheets/d/1T1PQvRODqOBZk8BRht_U031fIS1beLA0Ub2CEytj2q0/edit?usp=sharing"",""ฉะเชิงเทรา!N764"")+IMPORTRANGE(""https://docs.google.com/spreadsheets/d/11tr1B-Bhyr79v2bkwVh5h_fR-PStkgjlZtkrZpYurG0/"&amp;"edit?usp=sharing"",""ชลบุรี!N764"")+IMPORTRANGE(""https://docs.google.com/spreadsheets/d/1hh-FVnSX0vozXhGluamEcS54Dw9_zqW0N7qJUWgJ0Sw/edit?usp=sharing"",""ชัยนาท!N764"")+IMPORTRANGE(""https://docs.google.com/spreadsheets/d/1jkqa6GXxSacMcY1eN8AHjMNJ_7dDXMJ"&amp;"VRLDlaFSOdPM/edit?usp=sharing"",""ตราด!N764"")+IMPORTRANGE(""https://docs.google.com/spreadsheets/d/18hSgUJ3VwClqi_qtULmmW3cLr0oe3OKaSYoKzdpTsYQ/edit?usp=sharing"",""นครนายก!N764"")+IMPORTRANGE(""https://docs.google.com/spreadsheets/d/1YTZo6WM2dQ6Ix6FSdnL"&amp;"5P7uVnVKu40sxZu975tgG10E/edit?usp=sharing"",""นครปฐม!N764"")+IMPORTRANGE(""https://docs.google.com/spreadsheets/d/1OYoGg4WDg5RIzwGeB10padOxJF9E_Vljuvvct_M7RDo/edit?usp=sharing"",""ปทุมธานี!N764"")+IMPORTRANGE(""https://docs.google.com/spreadsheets/d/1GbCI"&amp;"E4D4wk9FUozzqk7SxfDMxDVBwVmI5zcaVUSzKAc/edit?usp=sharing"",""ประจวบคีรีขันธ์!N764"")+IMPORTRANGE(""https://docs.google.com/spreadsheets/d/1vVf6wykvW_lAyu7Yo9L4hUTqHqIeP_qcVuxCtosJEbg/edit?usp=sharing"",""ปราจีนบุรี!N764"")+IMPORTRANGE(""https://docs.googl"&amp;"e.com/spreadsheets/d/1BIDqLLg5jk3v59G8NlR8rk5xfQDKne0sAvZHSj7TI6I/edit?usp=sharing"",""พระนครศรีอยุธยา!N764"")+IMPORTRANGE(""https://docs.google.com/spreadsheets/d/1YXvxf8Yu6_rV4hTBrwMqAcAnv6DfhUxh5emyM3CJp_w/edit?usp=sharing"",""เพชรบุรี!N764"")+IMPORTRA"&amp;"NGE(""https://docs.google.com/spreadsheets/d/19KBlQQs7uwvsao6t2n-KvW3Ax8J8uRRfZPq1zPbXgKc/edit?usp=sharing"",""ระยอง!N764"")+IMPORTRANGE(""https://docs.google.com/spreadsheets/d/1jQ6P4QcrGM89YfqcC_PxOHGCMq5ezhucwJd8ci-NHng/edit?usp=sharing"",""ราชบุรี!N76"&amp;"4"")+IMPORTRANGE(""https://docs.google.com/spreadsheets/d/1lufeA2cfFqM-elVq2hznhDzC6Pr7wkJ9ZG_sYNGCMCU/edit?usp=sharing"",""ลพบุรี!N764"")+IMPORTRANGE(""https://docs.google.com/spreadsheets/d/10oOiF7loTyfsTkbd4MpaIm0HQ9SwB7IYHdIUvt-U1Uc/edit?usp=sharing"""&amp;",""สระแก้ว!N764"")+IMPORTRANGE(""https://docs.google.com/spreadsheets/d/1xmPlrr1QbdSIKvl1dWUl9K4PjAfSL9oeMr_37QVzcxc/edit?usp=sharing"",""สระบุรี!N764"")+IMPORTRANGE(""https://docs.google.com/spreadsheets/d/1j51vR6CYVGhABJpv6tkstgok82RLpXieLzW1yOY5rHw/edi"&amp;"t?usp=sharing"",""สิงห์บุรี!N764"")+IMPORTRANGE(""https://docs.google.com/spreadsheets/d/1H1EalTWKUSzO4Z1-1CwzoDUaVffgrThEBe2sl74kKG0/edit?usp=sharing"",""สุพรรณบุรี!N764"")+IMPORTRANGE(""https://docs.google.com/spreadsheets/d/1BmIruG_sIrJLYao_Pdr7zVArWsf"&amp;"oBt2692TMi6x_854/edit?usp=sharing"",""อ่างทอง!N764"")"),0)</f>
        <v>0</v>
      </c>
      <c r="O765" s="74">
        <f t="shared" ca="1" si="513"/>
        <v>0</v>
      </c>
      <c r="P765" s="74">
        <f t="shared" ca="1" si="514"/>
        <v>0</v>
      </c>
      <c r="Q765" s="131">
        <f ca="1">IFERROR(__xludf.DUMMYFUNCTION("IMPORTRANGE(""https://docs.google.com/spreadsheets/d/13wPX838HrBrQMCywv1BsuMkt4PEKTChp52zj44s2izQ/edit?usp=sharing"",""กาญจนบุรี!Q764"")+IMPORTRANGE(""https://docs.google.com/spreadsheets/d/1ddFKvqj1W1NEiWytbGlB1zMx_ykJDVtmfEQ-6-lIUBA/edit?usp=sharing"","&amp;"""จันทบุรี!Q764"")+IMPORTRANGE(""https://docs.google.com/spreadsheets/d/1T1PQvRODqOBZk8BRht_U031fIS1beLA0Ub2CEytj2q0/edit?usp=sharing"",""ฉะเชิงเทรา!Q764"")+IMPORTRANGE(""https://docs.google.com/spreadsheets/d/11tr1B-Bhyr79v2bkwVh5h_fR-PStkgjlZtkrZpYurG0/"&amp;"edit?usp=sharing"",""ชลบุรี!Q764"")+IMPORTRANGE(""https://docs.google.com/spreadsheets/d/1hh-FVnSX0vozXhGluamEcS54Dw9_zqW0N7qJUWgJ0Sw/edit?usp=sharing"",""ชัยนาท!Q764"")+IMPORTRANGE(""https://docs.google.com/spreadsheets/d/1jkqa6GXxSacMcY1eN8AHjMNJ_7dDXMJ"&amp;"VRLDlaFSOdPM/edit?usp=sharing"",""ตราด!Q764"")+IMPORTRANGE(""https://docs.google.com/spreadsheets/d/18hSgUJ3VwClqi_qtULmmW3cLr0oe3OKaSYoKzdpTsYQ/edit?usp=sharing"",""นครนายก!Q764"")+IMPORTRANGE(""https://docs.google.com/spreadsheets/d/1YTZo6WM2dQ6Ix6FSdnL"&amp;"5P7uVnVKu40sxZu975tgG10E/edit?usp=sharing"",""นครปฐม!Q764"")+IMPORTRANGE(""https://docs.google.com/spreadsheets/d/1OYoGg4WDg5RIzwGeB10padOxJF9E_Vljuvvct_M7RDo/edit?usp=sharing"",""ปทุมธานี!Q764"")+IMPORTRANGE(""https://docs.google.com/spreadsheets/d/1GbCI"&amp;"E4D4wk9FUozzqk7SxfDMxDVBwVmI5zcaVUSzKAc/edit?usp=sharing"",""ประจวบคีรีขันธ์!Q764"")+IMPORTRANGE(""https://docs.google.com/spreadsheets/d/1vVf6wykvW_lAyu7Yo9L4hUTqHqIeP_qcVuxCtosJEbg/edit?usp=sharing"",""ปราจีนบุรี!Q764"")+IMPORTRANGE(""https://docs.googl"&amp;"e.com/spreadsheets/d/1BIDqLLg5jk3v59G8NlR8rk5xfQDKne0sAvZHSj7TI6I/edit?usp=sharing"",""พระนครศรีอยุธยา!Q764"")+IMPORTRANGE(""https://docs.google.com/spreadsheets/d/1YXvxf8Yu6_rV4hTBrwMqAcAnv6DfhUxh5emyM3CJp_w/edit?usp=sharing"",""เพชรบุรี!Q764"")+IMPORTRA"&amp;"NGE(""https://docs.google.com/spreadsheets/d/19KBlQQs7uwvsao6t2n-KvW3Ax8J8uRRfZPq1zPbXgKc/edit?usp=sharing"",""ระยอง!Q764"")+IMPORTRANGE(""https://docs.google.com/spreadsheets/d/1jQ6P4QcrGM89YfqcC_PxOHGCMq5ezhucwJd8ci-NHng/edit?usp=sharing"",""ราชบุรี!Q76"&amp;"4"")+IMPORTRANGE(""https://docs.google.com/spreadsheets/d/1lufeA2cfFqM-elVq2hznhDzC6Pr7wkJ9ZG_sYNGCMCU/edit?usp=sharing"",""ลพบุรี!Q764"")+IMPORTRANGE(""https://docs.google.com/spreadsheets/d/10oOiF7loTyfsTkbd4MpaIm0HQ9SwB7IYHdIUvt-U1Uc/edit?usp=sharing"""&amp;",""สระแก้ว!Q764"")+IMPORTRANGE(""https://docs.google.com/spreadsheets/d/1xmPlrr1QbdSIKvl1dWUl9K4PjAfSL9oeMr_37QVzcxc/edit?usp=sharing"",""สระบุรี!Q764"")+IMPORTRANGE(""https://docs.google.com/spreadsheets/d/1j51vR6CYVGhABJpv6tkstgok82RLpXieLzW1yOY5rHw/edi"&amp;"t?usp=sharing"",""สิงห์บุรี!Q764"")+IMPORTRANGE(""https://docs.google.com/spreadsheets/d/1H1EalTWKUSzO4Z1-1CwzoDUaVffgrThEBe2sl74kKG0/edit?usp=sharing"",""สุพรรณบุรี!Q764"")+IMPORTRANGE(""https://docs.google.com/spreadsheets/d/1BmIruG_sIrJLYao_Pdr7zVArWsf"&amp;"oBt2692TMi6x_854/edit?usp=sharing"",""อ่างทอง!Q764"")"),3121330)</f>
        <v>3121330</v>
      </c>
      <c r="R765" s="132">
        <f ca="1">IFERROR(__xludf.DUMMYFUNCTION("IMPORTRANGE(""https://docs.google.com/spreadsheets/d/13wPX838HrBrQMCywv1BsuMkt4PEKTChp52zj44s2izQ/edit?usp=sharing"",""กาญจนบุรี!R764"")+IMPORTRANGE(""https://docs.google.com/spreadsheets/d/1ddFKvqj1W1NEiWytbGlB1zMx_ykJDVtmfEQ-6-lIUBA/edit?usp=sharing"","&amp;"""จันทบุรี!R764"")+IMPORTRANGE(""https://docs.google.com/spreadsheets/d/1T1PQvRODqOBZk8BRht_U031fIS1beLA0Ub2CEytj2q0/edit?usp=sharing"",""ฉะเชิงเทรา!R764"")+IMPORTRANGE(""https://docs.google.com/spreadsheets/d/11tr1B-Bhyr79v2bkwVh5h_fR-PStkgjlZtkrZpYurG0/"&amp;"edit?usp=sharing"",""ชลบุรี!R764"")+IMPORTRANGE(""https://docs.google.com/spreadsheets/d/1hh-FVnSX0vozXhGluamEcS54Dw9_zqW0N7qJUWgJ0Sw/edit?usp=sharing"",""ชัยนาท!R764"")+IMPORTRANGE(""https://docs.google.com/spreadsheets/d/1jkqa6GXxSacMcY1eN8AHjMNJ_7dDXMJ"&amp;"VRLDlaFSOdPM/edit?usp=sharing"",""ตราด!R764"")+IMPORTRANGE(""https://docs.google.com/spreadsheets/d/18hSgUJ3VwClqi_qtULmmW3cLr0oe3OKaSYoKzdpTsYQ/edit?usp=sharing"",""นครนายก!R764"")+IMPORTRANGE(""https://docs.google.com/spreadsheets/d/1YTZo6WM2dQ6Ix6FSdnL"&amp;"5P7uVnVKu40sxZu975tgG10E/edit?usp=sharing"",""นครปฐม!R764"")+IMPORTRANGE(""https://docs.google.com/spreadsheets/d/1OYoGg4WDg5RIzwGeB10padOxJF9E_Vljuvvct_M7RDo/edit?usp=sharing"",""ปทุมธานี!R764"")+IMPORTRANGE(""https://docs.google.com/spreadsheets/d/1GbCI"&amp;"E4D4wk9FUozzqk7SxfDMxDVBwVmI5zcaVUSzKAc/edit?usp=sharing"",""ประจวบคีรีขันธ์!R764"")+IMPORTRANGE(""https://docs.google.com/spreadsheets/d/1vVf6wykvW_lAyu7Yo9L4hUTqHqIeP_qcVuxCtosJEbg/edit?usp=sharing"",""ปราจีนบุรี!R764"")+IMPORTRANGE(""https://docs.googl"&amp;"e.com/spreadsheets/d/1BIDqLLg5jk3v59G8NlR8rk5xfQDKne0sAvZHSj7TI6I/edit?usp=sharing"",""พระนครศรีอยุธยา!R764"")+IMPORTRANGE(""https://docs.google.com/spreadsheets/d/1YXvxf8Yu6_rV4hTBrwMqAcAnv6DfhUxh5emyM3CJp_w/edit?usp=sharing"",""เพชรบุรี!R764"")+IMPORTRA"&amp;"NGE(""https://docs.google.com/spreadsheets/d/19KBlQQs7uwvsao6t2n-KvW3Ax8J8uRRfZPq1zPbXgKc/edit?usp=sharing"",""ระยอง!R764"")+IMPORTRANGE(""https://docs.google.com/spreadsheets/d/1jQ6P4QcrGM89YfqcC_PxOHGCMq5ezhucwJd8ci-NHng/edit?usp=sharing"",""ราชบุรี!R76"&amp;"4"")+IMPORTRANGE(""https://docs.google.com/spreadsheets/d/1lufeA2cfFqM-elVq2hznhDzC6Pr7wkJ9ZG_sYNGCMCU/edit?usp=sharing"",""ลพบุรี!R764"")+IMPORTRANGE(""https://docs.google.com/spreadsheets/d/10oOiF7loTyfsTkbd4MpaIm0HQ9SwB7IYHdIUvt-U1Uc/edit?usp=sharing"""&amp;",""สระแก้ว!R764"")+IMPORTRANGE(""https://docs.google.com/spreadsheets/d/1xmPlrr1QbdSIKvl1dWUl9K4PjAfSL9oeMr_37QVzcxc/edit?usp=sharing"",""สระบุรี!R764"")+IMPORTRANGE(""https://docs.google.com/spreadsheets/d/1j51vR6CYVGhABJpv6tkstgok82RLpXieLzW1yOY5rHw/edi"&amp;"t?usp=sharing"",""สิงห์บุรี!R764"")+IMPORTRANGE(""https://docs.google.com/spreadsheets/d/1H1EalTWKUSzO4Z1-1CwzoDUaVffgrThEBe2sl74kKG0/edit?usp=sharing"",""สุพรรณบุรี!R764"")+IMPORTRANGE(""https://docs.google.com/spreadsheets/d/1BmIruG_sIrJLYao_Pdr7zVArWsf"&amp;"oBt2692TMi6x_854/edit?usp=sharing"",""อ่างทอง!R764"")"),3121330)</f>
        <v>3121330</v>
      </c>
      <c r="S765" s="132">
        <f ca="1">IFERROR(__xludf.DUMMYFUNCTION("IMPORTRANGE(""https://docs.google.com/spreadsheets/d/13wPX838HrBrQMCywv1BsuMkt4PEKTChp52zj44s2izQ/edit?usp=sharing"",""กาญจนบุรี!S764"")+IMPORTRANGE(""https://docs.google.com/spreadsheets/d/1ddFKvqj1W1NEiWytbGlB1zMx_ykJDVtmfEQ-6-lIUBA/edit?usp=sharing"","&amp;"""จันทบุรี!S764"")+IMPORTRANGE(""https://docs.google.com/spreadsheets/d/1T1PQvRODqOBZk8BRht_U031fIS1beLA0Ub2CEytj2q0/edit?usp=sharing"",""ฉะเชิงเทรา!S764"")+IMPORTRANGE(""https://docs.google.com/spreadsheets/d/11tr1B-Bhyr79v2bkwVh5h_fR-PStkgjlZtkrZpYurG0/"&amp;"edit?usp=sharing"",""ชลบุรี!S764"")+IMPORTRANGE(""https://docs.google.com/spreadsheets/d/1hh-FVnSX0vozXhGluamEcS54Dw9_zqW0N7qJUWgJ0Sw/edit?usp=sharing"",""ชัยนาท!S764"")+IMPORTRANGE(""https://docs.google.com/spreadsheets/d/1jkqa6GXxSacMcY1eN8AHjMNJ_7dDXMJ"&amp;"VRLDlaFSOdPM/edit?usp=sharing"",""ตราด!S764"")+IMPORTRANGE(""https://docs.google.com/spreadsheets/d/18hSgUJ3VwClqi_qtULmmW3cLr0oe3OKaSYoKzdpTsYQ/edit?usp=sharing"",""นครนายก!S764"")+IMPORTRANGE(""https://docs.google.com/spreadsheets/d/1YTZo6WM2dQ6Ix6FSdnL"&amp;"5P7uVnVKu40sxZu975tgG10E/edit?usp=sharing"",""นครปฐม!S764"")+IMPORTRANGE(""https://docs.google.com/spreadsheets/d/1OYoGg4WDg5RIzwGeB10padOxJF9E_Vljuvvct_M7RDo/edit?usp=sharing"",""ปทุมธานี!S764"")+IMPORTRANGE(""https://docs.google.com/spreadsheets/d/1GbCI"&amp;"E4D4wk9FUozzqk7SxfDMxDVBwVmI5zcaVUSzKAc/edit?usp=sharing"",""ประจวบคีรีขันธ์!S764"")+IMPORTRANGE(""https://docs.google.com/spreadsheets/d/1vVf6wykvW_lAyu7Yo9L4hUTqHqIeP_qcVuxCtosJEbg/edit?usp=sharing"",""ปราจีนบุรี!S764"")+IMPORTRANGE(""https://docs.googl"&amp;"e.com/spreadsheets/d/1BIDqLLg5jk3v59G8NlR8rk5xfQDKne0sAvZHSj7TI6I/edit?usp=sharing"",""พระนครศรีอยุธยา!S764"")+IMPORTRANGE(""https://docs.google.com/spreadsheets/d/1YXvxf8Yu6_rV4hTBrwMqAcAnv6DfhUxh5emyM3CJp_w/edit?usp=sharing"",""เพชรบุรี!S764"")+IMPORTRA"&amp;"NGE(""https://docs.google.com/spreadsheets/d/19KBlQQs7uwvsao6t2n-KvW3Ax8J8uRRfZPq1zPbXgKc/edit?usp=sharing"",""ระยอง!S764"")+IMPORTRANGE(""https://docs.google.com/spreadsheets/d/1jQ6P4QcrGM89YfqcC_PxOHGCMq5ezhucwJd8ci-NHng/edit?usp=sharing"",""ราชบุรี!S76"&amp;"4"")+IMPORTRANGE(""https://docs.google.com/spreadsheets/d/1lufeA2cfFqM-elVq2hznhDzC6Pr7wkJ9ZG_sYNGCMCU/edit?usp=sharing"",""ลพบุรี!S764"")+IMPORTRANGE(""https://docs.google.com/spreadsheets/d/10oOiF7loTyfsTkbd4MpaIm0HQ9SwB7IYHdIUvt-U1Uc/edit?usp=sharing"""&amp;",""สระแก้ว!S764"")+IMPORTRANGE(""https://docs.google.com/spreadsheets/d/1xmPlrr1QbdSIKvl1dWUl9K4PjAfSL9oeMr_37QVzcxc/edit?usp=sharing"",""สระบุรี!S764"")+IMPORTRANGE(""https://docs.google.com/spreadsheets/d/1j51vR6CYVGhABJpv6tkstgok82RLpXieLzW1yOY5rHw/edi"&amp;"t?usp=sharing"",""สิงห์บุรี!S764"")+IMPORTRANGE(""https://docs.google.com/spreadsheets/d/1H1EalTWKUSzO4Z1-1CwzoDUaVffgrThEBe2sl74kKG0/edit?usp=sharing"",""สุพรรณบุรี!S764"")+IMPORTRANGE(""https://docs.google.com/spreadsheets/d/1BmIruG_sIrJLYao_Pdr7zVArWsf"&amp;"oBt2692TMi6x_854/edit?usp=sharing"",""อ่างทอง!S764"")"),90872)</f>
        <v>90872</v>
      </c>
      <c r="T765" s="132">
        <f t="shared" ca="1" si="516"/>
        <v>2.9113230577990792</v>
      </c>
      <c r="U765" s="132">
        <f t="shared" ca="1" si="517"/>
        <v>2.9113230577990792</v>
      </c>
    </row>
    <row r="766" spans="1:21" ht="18.75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4">
        <f t="shared" ref="L766:N766" ca="1" si="524">L767+L768</f>
        <v>0</v>
      </c>
      <c r="M766" s="74">
        <f t="shared" ca="1" si="524"/>
        <v>0</v>
      </c>
      <c r="N766" s="74">
        <f t="shared" ca="1" si="524"/>
        <v>0</v>
      </c>
      <c r="O766" s="74">
        <f t="shared" ca="1" si="513"/>
        <v>0</v>
      </c>
      <c r="P766" s="74">
        <f t="shared" ca="1" si="514"/>
        <v>0</v>
      </c>
      <c r="Q766" s="131">
        <f t="shared" ref="Q766:S766" ca="1" si="525">Q767+Q768</f>
        <v>0</v>
      </c>
      <c r="R766" s="132">
        <f t="shared" ca="1" si="525"/>
        <v>0</v>
      </c>
      <c r="S766" s="132">
        <f t="shared" ca="1" si="525"/>
        <v>0</v>
      </c>
      <c r="T766" s="132">
        <f t="shared" ca="1" si="516"/>
        <v>0</v>
      </c>
      <c r="U766" s="132">
        <f t="shared" ca="1" si="517"/>
        <v>0</v>
      </c>
    </row>
    <row r="767" spans="1:21" ht="18.75" x14ac:dyDescent="0.25">
      <c r="A767" s="257"/>
      <c r="B767" s="269"/>
      <c r="C767" s="269"/>
      <c r="D767" s="269"/>
      <c r="E767" s="591" t="s">
        <v>20</v>
      </c>
      <c r="F767" s="258"/>
      <c r="G767" s="261"/>
      <c r="H767" s="273" t="s">
        <v>14</v>
      </c>
      <c r="I767" s="272"/>
      <c r="J767" s="272"/>
      <c r="K767" s="229"/>
      <c r="L767" s="77">
        <f ca="1">IFERROR(__xludf.DUMMYFUNCTION("IMPORTRANGE(""https://docs.google.com/spreadsheets/d/13wPX838HrBrQMCywv1BsuMkt4PEKTChp52zj44s2izQ/edit?usp=sharing"",""กาญจนบุรี!L766"")+IMPORTRANGE(""https://docs.google.com/spreadsheets/d/1ddFKvqj1W1NEiWytbGlB1zMx_ykJDVtmfEQ-6-lIUBA/edit?usp=sharing"","&amp;"""จันทบุรี!L766"")+IMPORTRANGE(""https://docs.google.com/spreadsheets/d/1T1PQvRODqOBZk8BRht_U031fIS1beLA0Ub2CEytj2q0/edit?usp=sharing"",""ฉะเชิงเทรา!L766"")+IMPORTRANGE(""https://docs.google.com/spreadsheets/d/11tr1B-Bhyr79v2bkwVh5h_fR-PStkgjlZtkrZpYurG0/"&amp;"edit?usp=sharing"",""ชลบุรี!L766"")+IMPORTRANGE(""https://docs.google.com/spreadsheets/d/1hh-FVnSX0vozXhGluamEcS54Dw9_zqW0N7qJUWgJ0Sw/edit?usp=sharing"",""ชัยนาท!L766"")+IMPORTRANGE(""https://docs.google.com/spreadsheets/d/1jkqa6GXxSacMcY1eN8AHjMNJ_7dDXMJ"&amp;"VRLDlaFSOdPM/edit?usp=sharing"",""ตราด!L766"")+IMPORTRANGE(""https://docs.google.com/spreadsheets/d/18hSgUJ3VwClqi_qtULmmW3cLr0oe3OKaSYoKzdpTsYQ/edit?usp=sharing"",""นครนายก!L766"")+IMPORTRANGE(""https://docs.google.com/spreadsheets/d/1YTZo6WM2dQ6Ix6FSdnL"&amp;"5P7uVnVKu40sxZu975tgG10E/edit?usp=sharing"",""นครปฐม!L766"")+IMPORTRANGE(""https://docs.google.com/spreadsheets/d/1OYoGg4WDg5RIzwGeB10padOxJF9E_Vljuvvct_M7RDo/edit?usp=sharing"",""ปทุมธานี!L766"")+IMPORTRANGE(""https://docs.google.com/spreadsheets/d/1GbCI"&amp;"E4D4wk9FUozzqk7SxfDMxDVBwVmI5zcaVUSzKAc/edit?usp=sharing"",""ประจวบคีรีขันธ์!L766"")+IMPORTRANGE(""https://docs.google.com/spreadsheets/d/1vVf6wykvW_lAyu7Yo9L4hUTqHqIeP_qcVuxCtosJEbg/edit?usp=sharing"",""ปราจีนบุรี!L766"")+IMPORTRANGE(""https://docs.googl"&amp;"e.com/spreadsheets/d/1BIDqLLg5jk3v59G8NlR8rk5xfQDKne0sAvZHSj7TI6I/edit?usp=sharing"",""พระนครศรีอยุธยา!L766"")+IMPORTRANGE(""https://docs.google.com/spreadsheets/d/1YXvxf8Yu6_rV4hTBrwMqAcAnv6DfhUxh5emyM3CJp_w/edit?usp=sharing"",""เพชรบุรี!L766"")+IMPORTRA"&amp;"NGE(""https://docs.google.com/spreadsheets/d/19KBlQQs7uwvsao6t2n-KvW3Ax8J8uRRfZPq1zPbXgKc/edit?usp=sharing"",""ระยอง!L766"")+IMPORTRANGE(""https://docs.google.com/spreadsheets/d/1jQ6P4QcrGM89YfqcC_PxOHGCMq5ezhucwJd8ci-NHng/edit?usp=sharing"",""ราชบุรี!L76"&amp;"6"")+IMPORTRANGE(""https://docs.google.com/spreadsheets/d/1lufeA2cfFqM-elVq2hznhDzC6Pr7wkJ9ZG_sYNGCMCU/edit?usp=sharing"",""ลพบุรี!L766"")+IMPORTRANGE(""https://docs.google.com/spreadsheets/d/10oOiF7loTyfsTkbd4MpaIm0HQ9SwB7IYHdIUvt-U1Uc/edit?usp=sharing"""&amp;",""สระแก้ว!L766"")+IMPORTRANGE(""https://docs.google.com/spreadsheets/d/1xmPlrr1QbdSIKvl1dWUl9K4PjAfSL9oeMr_37QVzcxc/edit?usp=sharing"",""สระบุรี!L766"")+IMPORTRANGE(""https://docs.google.com/spreadsheets/d/1j51vR6CYVGhABJpv6tkstgok82RLpXieLzW1yOY5rHw/edi"&amp;"t?usp=sharing"",""สิงห์บุรี!L766"")+IMPORTRANGE(""https://docs.google.com/spreadsheets/d/1H1EalTWKUSzO4Z1-1CwzoDUaVffgrThEBe2sl74kKG0/edit?usp=sharing"",""สุพรรณบุรี!L766"")+IMPORTRANGE(""https://docs.google.com/spreadsheets/d/1BmIruG_sIrJLYao_Pdr7zVArWsf"&amp;"oBt2692TMi6x_854/edit?usp=sharing"",""อ่างทอง!L766"")"),0)</f>
        <v>0</v>
      </c>
      <c r="M767" s="77">
        <f ca="1">IFERROR(__xludf.DUMMYFUNCTION("IMPORTRANGE(""https://docs.google.com/spreadsheets/d/13wPX838HrBrQMCywv1BsuMkt4PEKTChp52zj44s2izQ/edit?usp=sharing"",""กาญจนบุรี!M766"")+IMPORTRANGE(""https://docs.google.com/spreadsheets/d/1ddFKvqj1W1NEiWytbGlB1zMx_ykJDVtmfEQ-6-lIUBA/edit?usp=sharing"","&amp;"""จันทบุรี!M766"")+IMPORTRANGE(""https://docs.google.com/spreadsheets/d/1T1PQvRODqOBZk8BRht_U031fIS1beLA0Ub2CEytj2q0/edit?usp=sharing"",""ฉะเชิงเทรา!M766"")+IMPORTRANGE(""https://docs.google.com/spreadsheets/d/11tr1B-Bhyr79v2bkwVh5h_fR-PStkgjlZtkrZpYurG0/"&amp;"edit?usp=sharing"",""ชลบุรี!M766"")+IMPORTRANGE(""https://docs.google.com/spreadsheets/d/1hh-FVnSX0vozXhGluamEcS54Dw9_zqW0N7qJUWgJ0Sw/edit?usp=sharing"",""ชัยนาท!M766"")+IMPORTRANGE(""https://docs.google.com/spreadsheets/d/1jkqa6GXxSacMcY1eN8AHjMNJ_7dDXMJ"&amp;"VRLDlaFSOdPM/edit?usp=sharing"",""ตราด!M766"")+IMPORTRANGE(""https://docs.google.com/spreadsheets/d/18hSgUJ3VwClqi_qtULmmW3cLr0oe3OKaSYoKzdpTsYQ/edit?usp=sharing"",""นครนายก!M766"")+IMPORTRANGE(""https://docs.google.com/spreadsheets/d/1YTZo6WM2dQ6Ix6FSdnL"&amp;"5P7uVnVKu40sxZu975tgG10E/edit?usp=sharing"",""นครปฐม!M766"")+IMPORTRANGE(""https://docs.google.com/spreadsheets/d/1OYoGg4WDg5RIzwGeB10padOxJF9E_Vljuvvct_M7RDo/edit?usp=sharing"",""ปทุมธานี!M766"")+IMPORTRANGE(""https://docs.google.com/spreadsheets/d/1GbCI"&amp;"E4D4wk9FUozzqk7SxfDMxDVBwVmI5zcaVUSzKAc/edit?usp=sharing"",""ประจวบคีรีขันธ์!M766"")+IMPORTRANGE(""https://docs.google.com/spreadsheets/d/1vVf6wykvW_lAyu7Yo9L4hUTqHqIeP_qcVuxCtosJEbg/edit?usp=sharing"",""ปราจีนบุรี!M766"")+IMPORTRANGE(""https://docs.googl"&amp;"e.com/spreadsheets/d/1BIDqLLg5jk3v59G8NlR8rk5xfQDKne0sAvZHSj7TI6I/edit?usp=sharing"",""พระนครศรีอยุธยา!M766"")+IMPORTRANGE(""https://docs.google.com/spreadsheets/d/1YXvxf8Yu6_rV4hTBrwMqAcAnv6DfhUxh5emyM3CJp_w/edit?usp=sharing"",""เพชรบุรี!M766"")+IMPORTRA"&amp;"NGE(""https://docs.google.com/spreadsheets/d/19KBlQQs7uwvsao6t2n-KvW3Ax8J8uRRfZPq1zPbXgKc/edit?usp=sharing"",""ระยอง!M766"")+IMPORTRANGE(""https://docs.google.com/spreadsheets/d/1jQ6P4QcrGM89YfqcC_PxOHGCMq5ezhucwJd8ci-NHng/edit?usp=sharing"",""ราชบุรี!M76"&amp;"6"")+IMPORTRANGE(""https://docs.google.com/spreadsheets/d/1lufeA2cfFqM-elVq2hznhDzC6Pr7wkJ9ZG_sYNGCMCU/edit?usp=sharing"",""ลพบุรี!M766"")+IMPORTRANGE(""https://docs.google.com/spreadsheets/d/10oOiF7loTyfsTkbd4MpaIm0HQ9SwB7IYHdIUvt-U1Uc/edit?usp=sharing"""&amp;",""สระแก้ว!M766"")+IMPORTRANGE(""https://docs.google.com/spreadsheets/d/1xmPlrr1QbdSIKvl1dWUl9K4PjAfSL9oeMr_37QVzcxc/edit?usp=sharing"",""สระบุรี!M766"")+IMPORTRANGE(""https://docs.google.com/spreadsheets/d/1j51vR6CYVGhABJpv6tkstgok82RLpXieLzW1yOY5rHw/edi"&amp;"t?usp=sharing"",""สิงห์บุรี!M766"")+IMPORTRANGE(""https://docs.google.com/spreadsheets/d/1H1EalTWKUSzO4Z1-1CwzoDUaVffgrThEBe2sl74kKG0/edit?usp=sharing"",""สุพรรณบุรี!M766"")+IMPORTRANGE(""https://docs.google.com/spreadsheets/d/1BmIruG_sIrJLYao_Pdr7zVArWsf"&amp;"oBt2692TMi6x_854/edit?usp=sharing"",""อ่างทอง!M766"")"),0)</f>
        <v>0</v>
      </c>
      <c r="N767" s="77">
        <f ca="1">IFERROR(__xludf.DUMMYFUNCTION("IMPORTRANGE(""https://docs.google.com/spreadsheets/d/13wPX838HrBrQMCywv1BsuMkt4PEKTChp52zj44s2izQ/edit?usp=sharing"",""กาญจนบุรี!N766"")+IMPORTRANGE(""https://docs.google.com/spreadsheets/d/1ddFKvqj1W1NEiWytbGlB1zMx_ykJDVtmfEQ-6-lIUBA/edit?usp=sharing"","&amp;"""จันทบุรี!N766"")+IMPORTRANGE(""https://docs.google.com/spreadsheets/d/1T1PQvRODqOBZk8BRht_U031fIS1beLA0Ub2CEytj2q0/edit?usp=sharing"",""ฉะเชิงเทรา!N766"")+IMPORTRANGE(""https://docs.google.com/spreadsheets/d/11tr1B-Bhyr79v2bkwVh5h_fR-PStkgjlZtkrZpYurG0/"&amp;"edit?usp=sharing"",""ชลบุรี!N766"")+IMPORTRANGE(""https://docs.google.com/spreadsheets/d/1hh-FVnSX0vozXhGluamEcS54Dw9_zqW0N7qJUWgJ0Sw/edit?usp=sharing"",""ชัยนาท!N766"")+IMPORTRANGE(""https://docs.google.com/spreadsheets/d/1jkqa6GXxSacMcY1eN8AHjMNJ_7dDXMJ"&amp;"VRLDlaFSOdPM/edit?usp=sharing"",""ตราด!N766"")+IMPORTRANGE(""https://docs.google.com/spreadsheets/d/18hSgUJ3VwClqi_qtULmmW3cLr0oe3OKaSYoKzdpTsYQ/edit?usp=sharing"",""นครนายก!N766"")+IMPORTRANGE(""https://docs.google.com/spreadsheets/d/1YTZo6WM2dQ6Ix6FSdnL"&amp;"5P7uVnVKu40sxZu975tgG10E/edit?usp=sharing"",""นครปฐม!N766"")+IMPORTRANGE(""https://docs.google.com/spreadsheets/d/1OYoGg4WDg5RIzwGeB10padOxJF9E_Vljuvvct_M7RDo/edit?usp=sharing"",""ปทุมธานี!N766"")+IMPORTRANGE(""https://docs.google.com/spreadsheets/d/1GbCI"&amp;"E4D4wk9FUozzqk7SxfDMxDVBwVmI5zcaVUSzKAc/edit?usp=sharing"",""ประจวบคีรีขันธ์!N766"")+IMPORTRANGE(""https://docs.google.com/spreadsheets/d/1vVf6wykvW_lAyu7Yo9L4hUTqHqIeP_qcVuxCtosJEbg/edit?usp=sharing"",""ปราจีนบุรี!N766"")+IMPORTRANGE(""https://docs.googl"&amp;"e.com/spreadsheets/d/1BIDqLLg5jk3v59G8NlR8rk5xfQDKne0sAvZHSj7TI6I/edit?usp=sharing"",""พระนครศรีอยุธยา!N766"")+IMPORTRANGE(""https://docs.google.com/spreadsheets/d/1YXvxf8Yu6_rV4hTBrwMqAcAnv6DfhUxh5emyM3CJp_w/edit?usp=sharing"",""เพชรบุรี!N766"")+IMPORTRA"&amp;"NGE(""https://docs.google.com/spreadsheets/d/19KBlQQs7uwvsao6t2n-KvW3Ax8J8uRRfZPq1zPbXgKc/edit?usp=sharing"",""ระยอง!N766"")+IMPORTRANGE(""https://docs.google.com/spreadsheets/d/1jQ6P4QcrGM89YfqcC_PxOHGCMq5ezhucwJd8ci-NHng/edit?usp=sharing"",""ราชบุรี!N76"&amp;"6"")+IMPORTRANGE(""https://docs.google.com/spreadsheets/d/1lufeA2cfFqM-elVq2hznhDzC6Pr7wkJ9ZG_sYNGCMCU/edit?usp=sharing"",""ลพบุรี!N766"")+IMPORTRANGE(""https://docs.google.com/spreadsheets/d/10oOiF7loTyfsTkbd4MpaIm0HQ9SwB7IYHdIUvt-U1Uc/edit?usp=sharing"""&amp;",""สระแก้ว!N766"")+IMPORTRANGE(""https://docs.google.com/spreadsheets/d/1xmPlrr1QbdSIKvl1dWUl9K4PjAfSL9oeMr_37QVzcxc/edit?usp=sharing"",""สระบุรี!N766"")+IMPORTRANGE(""https://docs.google.com/spreadsheets/d/1j51vR6CYVGhABJpv6tkstgok82RLpXieLzW1yOY5rHw/edi"&amp;"t?usp=sharing"",""สิงห์บุรี!N766"")+IMPORTRANGE(""https://docs.google.com/spreadsheets/d/1H1EalTWKUSzO4Z1-1CwzoDUaVffgrThEBe2sl74kKG0/edit?usp=sharing"",""สุพรรณบุรี!N766"")+IMPORTRANGE(""https://docs.google.com/spreadsheets/d/1BmIruG_sIrJLYao_Pdr7zVArWsf"&amp;"oBt2692TMi6x_854/edit?usp=sharing"",""อ่างทอง!N766"")"),0)</f>
        <v>0</v>
      </c>
      <c r="O767" s="77">
        <f t="shared" ca="1" si="513"/>
        <v>0</v>
      </c>
      <c r="P767" s="77">
        <f t="shared" ca="1" si="514"/>
        <v>0</v>
      </c>
      <c r="Q767" s="76">
        <f ca="1">IFERROR(__xludf.DUMMYFUNCTION("IMPORTRANGE(""https://docs.google.com/spreadsheets/d/13wPX838HrBrQMCywv1BsuMkt4PEKTChp52zj44s2izQ/edit?usp=sharing"",""กาญจนบุรี!Q766"")+IMPORTRANGE(""https://docs.google.com/spreadsheets/d/1ddFKvqj1W1NEiWytbGlB1zMx_ykJDVtmfEQ-6-lIUBA/edit?usp=sharing"","&amp;"""จันทบุรี!Q766"")+IMPORTRANGE(""https://docs.google.com/spreadsheets/d/1T1PQvRODqOBZk8BRht_U031fIS1beLA0Ub2CEytj2q0/edit?usp=sharing"",""ฉะเชิงเทรา!Q766"")+IMPORTRANGE(""https://docs.google.com/spreadsheets/d/11tr1B-Bhyr79v2bkwVh5h_fR-PStkgjlZtkrZpYurG0/"&amp;"edit?usp=sharing"",""ชลบุรี!Q766"")+IMPORTRANGE(""https://docs.google.com/spreadsheets/d/1hh-FVnSX0vozXhGluamEcS54Dw9_zqW0N7qJUWgJ0Sw/edit?usp=sharing"",""ชัยนาท!Q766"")+IMPORTRANGE(""https://docs.google.com/spreadsheets/d/1jkqa6GXxSacMcY1eN8AHjMNJ_7dDXMJ"&amp;"VRLDlaFSOdPM/edit?usp=sharing"",""ตราด!Q766"")+IMPORTRANGE(""https://docs.google.com/spreadsheets/d/18hSgUJ3VwClqi_qtULmmW3cLr0oe3OKaSYoKzdpTsYQ/edit?usp=sharing"",""นครนายก!Q766"")+IMPORTRANGE(""https://docs.google.com/spreadsheets/d/1YTZo6WM2dQ6Ix6FSdnL"&amp;"5P7uVnVKu40sxZu975tgG10E/edit?usp=sharing"",""นครปฐม!Q766"")+IMPORTRANGE(""https://docs.google.com/spreadsheets/d/1OYoGg4WDg5RIzwGeB10padOxJF9E_Vljuvvct_M7RDo/edit?usp=sharing"",""ปทุมธานี!Q766"")+IMPORTRANGE(""https://docs.google.com/spreadsheets/d/1GbCI"&amp;"E4D4wk9FUozzqk7SxfDMxDVBwVmI5zcaVUSzKAc/edit?usp=sharing"",""ประจวบคีรีขันธ์!Q766"")+IMPORTRANGE(""https://docs.google.com/spreadsheets/d/1vVf6wykvW_lAyu7Yo9L4hUTqHqIeP_qcVuxCtosJEbg/edit?usp=sharing"",""ปราจีนบุรี!Q766"")+IMPORTRANGE(""https://docs.googl"&amp;"e.com/spreadsheets/d/1BIDqLLg5jk3v59G8NlR8rk5xfQDKne0sAvZHSj7TI6I/edit?usp=sharing"",""พระนครศรีอยุธยา!Q766"")+IMPORTRANGE(""https://docs.google.com/spreadsheets/d/1YXvxf8Yu6_rV4hTBrwMqAcAnv6DfhUxh5emyM3CJp_w/edit?usp=sharing"",""เพชรบุรี!Q766"")+IMPORTRA"&amp;"NGE(""https://docs.google.com/spreadsheets/d/19KBlQQs7uwvsao6t2n-KvW3Ax8J8uRRfZPq1zPbXgKc/edit?usp=sharing"",""ระยอง!Q766"")+IMPORTRANGE(""https://docs.google.com/spreadsheets/d/1jQ6P4QcrGM89YfqcC_PxOHGCMq5ezhucwJd8ci-NHng/edit?usp=sharing"",""ราชบุรี!Q76"&amp;"6"")+IMPORTRANGE(""https://docs.google.com/spreadsheets/d/1lufeA2cfFqM-elVq2hznhDzC6Pr7wkJ9ZG_sYNGCMCU/edit?usp=sharing"",""ลพบุรี!Q766"")+IMPORTRANGE(""https://docs.google.com/spreadsheets/d/10oOiF7loTyfsTkbd4MpaIm0HQ9SwB7IYHdIUvt-U1Uc/edit?usp=sharing"""&amp;",""สระแก้ว!Q766"")+IMPORTRANGE(""https://docs.google.com/spreadsheets/d/1xmPlrr1QbdSIKvl1dWUl9K4PjAfSL9oeMr_37QVzcxc/edit?usp=sharing"",""สระบุรี!Q766"")+IMPORTRANGE(""https://docs.google.com/spreadsheets/d/1j51vR6CYVGhABJpv6tkstgok82RLpXieLzW1yOY5rHw/edi"&amp;"t?usp=sharing"",""สิงห์บุรี!Q766"")+IMPORTRANGE(""https://docs.google.com/spreadsheets/d/1H1EalTWKUSzO4Z1-1CwzoDUaVffgrThEBe2sl74kKG0/edit?usp=sharing"",""สุพรรณบุรี!Q766"")+IMPORTRANGE(""https://docs.google.com/spreadsheets/d/1BmIruG_sIrJLYao_Pdr7zVArWsf"&amp;"oBt2692TMi6x_854/edit?usp=sharing"",""อ่างทอง!Q766"")"),0)</f>
        <v>0</v>
      </c>
      <c r="R767" s="77">
        <f ca="1">IFERROR(__xludf.DUMMYFUNCTION("IMPORTRANGE(""https://docs.google.com/spreadsheets/d/13wPX838HrBrQMCywv1BsuMkt4PEKTChp52zj44s2izQ/edit?usp=sharing"",""กาญจนบุรี!R766"")+IMPORTRANGE(""https://docs.google.com/spreadsheets/d/1ddFKvqj1W1NEiWytbGlB1zMx_ykJDVtmfEQ-6-lIUBA/edit?usp=sharing"","&amp;"""จันทบุรี!R766"")+IMPORTRANGE(""https://docs.google.com/spreadsheets/d/1T1PQvRODqOBZk8BRht_U031fIS1beLA0Ub2CEytj2q0/edit?usp=sharing"",""ฉะเชิงเทรา!R766"")+IMPORTRANGE(""https://docs.google.com/spreadsheets/d/11tr1B-Bhyr79v2bkwVh5h_fR-PStkgjlZtkrZpYurG0/"&amp;"edit?usp=sharing"",""ชลบุรี!R766"")+IMPORTRANGE(""https://docs.google.com/spreadsheets/d/1hh-FVnSX0vozXhGluamEcS54Dw9_zqW0N7qJUWgJ0Sw/edit?usp=sharing"",""ชัยนาท!R766"")+IMPORTRANGE(""https://docs.google.com/spreadsheets/d/1jkqa6GXxSacMcY1eN8AHjMNJ_7dDXMJ"&amp;"VRLDlaFSOdPM/edit?usp=sharing"",""ตราด!R766"")+IMPORTRANGE(""https://docs.google.com/spreadsheets/d/18hSgUJ3VwClqi_qtULmmW3cLr0oe3OKaSYoKzdpTsYQ/edit?usp=sharing"",""นครนายก!R766"")+IMPORTRANGE(""https://docs.google.com/spreadsheets/d/1YTZo6WM2dQ6Ix6FSdnL"&amp;"5P7uVnVKu40sxZu975tgG10E/edit?usp=sharing"",""นครปฐม!R766"")+IMPORTRANGE(""https://docs.google.com/spreadsheets/d/1OYoGg4WDg5RIzwGeB10padOxJF9E_Vljuvvct_M7RDo/edit?usp=sharing"",""ปทุมธานี!R766"")+IMPORTRANGE(""https://docs.google.com/spreadsheets/d/1GbCI"&amp;"E4D4wk9FUozzqk7SxfDMxDVBwVmI5zcaVUSzKAc/edit?usp=sharing"",""ประจวบคีรีขันธ์!R766"")+IMPORTRANGE(""https://docs.google.com/spreadsheets/d/1vVf6wykvW_lAyu7Yo9L4hUTqHqIeP_qcVuxCtosJEbg/edit?usp=sharing"",""ปราจีนบุรี!R766"")+IMPORTRANGE(""https://docs.googl"&amp;"e.com/spreadsheets/d/1BIDqLLg5jk3v59G8NlR8rk5xfQDKne0sAvZHSj7TI6I/edit?usp=sharing"",""พระนครศรีอยุธยา!R766"")+IMPORTRANGE(""https://docs.google.com/spreadsheets/d/1YXvxf8Yu6_rV4hTBrwMqAcAnv6DfhUxh5emyM3CJp_w/edit?usp=sharing"",""เพชรบุรี!R766"")+IMPORTRA"&amp;"NGE(""https://docs.google.com/spreadsheets/d/19KBlQQs7uwvsao6t2n-KvW3Ax8J8uRRfZPq1zPbXgKc/edit?usp=sharing"",""ระยอง!R766"")+IMPORTRANGE(""https://docs.google.com/spreadsheets/d/1jQ6P4QcrGM89YfqcC_PxOHGCMq5ezhucwJd8ci-NHng/edit?usp=sharing"",""ราชบุรี!R76"&amp;"6"")+IMPORTRANGE(""https://docs.google.com/spreadsheets/d/1lufeA2cfFqM-elVq2hznhDzC6Pr7wkJ9ZG_sYNGCMCU/edit?usp=sharing"",""ลพบุรี!R766"")+IMPORTRANGE(""https://docs.google.com/spreadsheets/d/10oOiF7loTyfsTkbd4MpaIm0HQ9SwB7IYHdIUvt-U1Uc/edit?usp=sharing"""&amp;",""สระแก้ว!R766"")+IMPORTRANGE(""https://docs.google.com/spreadsheets/d/1xmPlrr1QbdSIKvl1dWUl9K4PjAfSL9oeMr_37QVzcxc/edit?usp=sharing"",""สระบุรี!R766"")+IMPORTRANGE(""https://docs.google.com/spreadsheets/d/1j51vR6CYVGhABJpv6tkstgok82RLpXieLzW1yOY5rHw/edi"&amp;"t?usp=sharing"",""สิงห์บุรี!R766"")+IMPORTRANGE(""https://docs.google.com/spreadsheets/d/1H1EalTWKUSzO4Z1-1CwzoDUaVffgrThEBe2sl74kKG0/edit?usp=sharing"",""สุพรรณบุรี!R766"")+IMPORTRANGE(""https://docs.google.com/spreadsheets/d/1BmIruG_sIrJLYao_Pdr7zVArWsf"&amp;"oBt2692TMi6x_854/edit?usp=sharing"",""อ่างทอง!R766"")"),0)</f>
        <v>0</v>
      </c>
      <c r="S767" s="77">
        <f ca="1">IFERROR(__xludf.DUMMYFUNCTION("IMPORTRANGE(""https://docs.google.com/spreadsheets/d/13wPX838HrBrQMCywv1BsuMkt4PEKTChp52zj44s2izQ/edit?usp=sharing"",""กาญจนบุรี!S766"")+IMPORTRANGE(""https://docs.google.com/spreadsheets/d/1ddFKvqj1W1NEiWytbGlB1zMx_ykJDVtmfEQ-6-lIUBA/edit?usp=sharing"","&amp;"""จันทบุรี!S766"")+IMPORTRANGE(""https://docs.google.com/spreadsheets/d/1T1PQvRODqOBZk8BRht_U031fIS1beLA0Ub2CEytj2q0/edit?usp=sharing"",""ฉะเชิงเทรา!S766"")+IMPORTRANGE(""https://docs.google.com/spreadsheets/d/11tr1B-Bhyr79v2bkwVh5h_fR-PStkgjlZtkrZpYurG0/"&amp;"edit?usp=sharing"",""ชลบุรี!S766"")+IMPORTRANGE(""https://docs.google.com/spreadsheets/d/1hh-FVnSX0vozXhGluamEcS54Dw9_zqW0N7qJUWgJ0Sw/edit?usp=sharing"",""ชัยนาท!S766"")+IMPORTRANGE(""https://docs.google.com/spreadsheets/d/1jkqa6GXxSacMcY1eN8AHjMNJ_7dDXMJ"&amp;"VRLDlaFSOdPM/edit?usp=sharing"",""ตราด!S766"")+IMPORTRANGE(""https://docs.google.com/spreadsheets/d/18hSgUJ3VwClqi_qtULmmW3cLr0oe3OKaSYoKzdpTsYQ/edit?usp=sharing"",""นครนายก!S766"")+IMPORTRANGE(""https://docs.google.com/spreadsheets/d/1YTZo6WM2dQ6Ix6FSdnL"&amp;"5P7uVnVKu40sxZu975tgG10E/edit?usp=sharing"",""นครปฐม!S766"")+IMPORTRANGE(""https://docs.google.com/spreadsheets/d/1OYoGg4WDg5RIzwGeB10padOxJF9E_Vljuvvct_M7RDo/edit?usp=sharing"",""ปทุมธานี!S766"")+IMPORTRANGE(""https://docs.google.com/spreadsheets/d/1GbCI"&amp;"E4D4wk9FUozzqk7SxfDMxDVBwVmI5zcaVUSzKAc/edit?usp=sharing"",""ประจวบคีรีขันธ์!S766"")+IMPORTRANGE(""https://docs.google.com/spreadsheets/d/1vVf6wykvW_lAyu7Yo9L4hUTqHqIeP_qcVuxCtosJEbg/edit?usp=sharing"",""ปราจีนบุรี!S766"")+IMPORTRANGE(""https://docs.googl"&amp;"e.com/spreadsheets/d/1BIDqLLg5jk3v59G8NlR8rk5xfQDKne0sAvZHSj7TI6I/edit?usp=sharing"",""พระนครศรีอยุธยา!S766"")+IMPORTRANGE(""https://docs.google.com/spreadsheets/d/1YXvxf8Yu6_rV4hTBrwMqAcAnv6DfhUxh5emyM3CJp_w/edit?usp=sharing"",""เพชรบุรี!S766"")+IMPORTRA"&amp;"NGE(""https://docs.google.com/spreadsheets/d/19KBlQQs7uwvsao6t2n-KvW3Ax8J8uRRfZPq1zPbXgKc/edit?usp=sharing"",""ระยอง!S766"")+IMPORTRANGE(""https://docs.google.com/spreadsheets/d/1jQ6P4QcrGM89YfqcC_PxOHGCMq5ezhucwJd8ci-NHng/edit?usp=sharing"",""ราชบุรี!S76"&amp;"6"")+IMPORTRANGE(""https://docs.google.com/spreadsheets/d/1lufeA2cfFqM-elVq2hznhDzC6Pr7wkJ9ZG_sYNGCMCU/edit?usp=sharing"",""ลพบุรี!S766"")+IMPORTRANGE(""https://docs.google.com/spreadsheets/d/10oOiF7loTyfsTkbd4MpaIm0HQ9SwB7IYHdIUvt-U1Uc/edit?usp=sharing"""&amp;",""สระแก้ว!S766"")+IMPORTRANGE(""https://docs.google.com/spreadsheets/d/1xmPlrr1QbdSIKvl1dWUl9K4PjAfSL9oeMr_37QVzcxc/edit?usp=sharing"",""สระบุรี!S766"")+IMPORTRANGE(""https://docs.google.com/spreadsheets/d/1j51vR6CYVGhABJpv6tkstgok82RLpXieLzW1yOY5rHw/edi"&amp;"t?usp=sharing"",""สิงห์บุรี!S766"")+IMPORTRANGE(""https://docs.google.com/spreadsheets/d/1H1EalTWKUSzO4Z1-1CwzoDUaVffgrThEBe2sl74kKG0/edit?usp=sharing"",""สุพรรณบุรี!S766"")+IMPORTRANGE(""https://docs.google.com/spreadsheets/d/1BmIruG_sIrJLYao_Pdr7zVArWsf"&amp;"oBt2692TMi6x_854/edit?usp=sharing"",""อ่างทอง!S766"")"),0)</f>
        <v>0</v>
      </c>
      <c r="T767" s="133">
        <f t="shared" ca="1" si="516"/>
        <v>0</v>
      </c>
      <c r="U767" s="133">
        <f t="shared" ca="1" si="517"/>
        <v>0</v>
      </c>
    </row>
    <row r="768" spans="1:21" ht="18.75" x14ac:dyDescent="0.25">
      <c r="A768" s="257"/>
      <c r="B768" s="269"/>
      <c r="C768" s="269"/>
      <c r="D768" s="269"/>
      <c r="E768" s="589" t="s">
        <v>21</v>
      </c>
      <c r="F768" s="258"/>
      <c r="G768" s="261"/>
      <c r="H768" s="275" t="s">
        <v>14</v>
      </c>
      <c r="I768" s="272"/>
      <c r="J768" s="272"/>
      <c r="K768" s="229"/>
      <c r="L768" s="74">
        <f ca="1">IFERROR(__xludf.DUMMYFUNCTION("IMPORTRANGE(""https://docs.google.com/spreadsheets/d/13wPX838HrBrQMCywv1BsuMkt4PEKTChp52zj44s2izQ/edit?usp=sharing"",""กาญจนบุรี!L767"")+IMPORTRANGE(""https://docs.google.com/spreadsheets/d/1ddFKvqj1W1NEiWytbGlB1zMx_ykJDVtmfEQ-6-lIUBA/edit?usp=sharing"","&amp;"""จันทบุรี!L767"")+IMPORTRANGE(""https://docs.google.com/spreadsheets/d/1T1PQvRODqOBZk8BRht_U031fIS1beLA0Ub2CEytj2q0/edit?usp=sharing"",""ฉะเชิงเทรา!L767"")+IMPORTRANGE(""https://docs.google.com/spreadsheets/d/11tr1B-Bhyr79v2bkwVh5h_fR-PStkgjlZtkrZpYurG0/"&amp;"edit?usp=sharing"",""ชลบุรี!L767"")+IMPORTRANGE(""https://docs.google.com/spreadsheets/d/1hh-FVnSX0vozXhGluamEcS54Dw9_zqW0N7qJUWgJ0Sw/edit?usp=sharing"",""ชัยนาท!L767"")+IMPORTRANGE(""https://docs.google.com/spreadsheets/d/1jkqa6GXxSacMcY1eN8AHjMNJ_7dDXMJ"&amp;"VRLDlaFSOdPM/edit?usp=sharing"",""ตราด!L767"")+IMPORTRANGE(""https://docs.google.com/spreadsheets/d/18hSgUJ3VwClqi_qtULmmW3cLr0oe3OKaSYoKzdpTsYQ/edit?usp=sharing"",""นครนายก!L767"")+IMPORTRANGE(""https://docs.google.com/spreadsheets/d/1YTZo6WM2dQ6Ix6FSdnL"&amp;"5P7uVnVKu40sxZu975tgG10E/edit?usp=sharing"",""นครปฐม!L767"")+IMPORTRANGE(""https://docs.google.com/spreadsheets/d/1OYoGg4WDg5RIzwGeB10padOxJF9E_Vljuvvct_M7RDo/edit?usp=sharing"",""ปทุมธานี!L767"")+IMPORTRANGE(""https://docs.google.com/spreadsheets/d/1GbCI"&amp;"E4D4wk9FUozzqk7SxfDMxDVBwVmI5zcaVUSzKAc/edit?usp=sharing"",""ประจวบคีรีขันธ์!L767"")+IMPORTRANGE(""https://docs.google.com/spreadsheets/d/1vVf6wykvW_lAyu7Yo9L4hUTqHqIeP_qcVuxCtosJEbg/edit?usp=sharing"",""ปราจีนบุรี!L767"")+IMPORTRANGE(""https://docs.googl"&amp;"e.com/spreadsheets/d/1BIDqLLg5jk3v59G8NlR8rk5xfQDKne0sAvZHSj7TI6I/edit?usp=sharing"",""พระนครศรีอยุธยา!L767"")+IMPORTRANGE(""https://docs.google.com/spreadsheets/d/1YXvxf8Yu6_rV4hTBrwMqAcAnv6DfhUxh5emyM3CJp_w/edit?usp=sharing"",""เพชรบุรี!L767"")+IMPORTRA"&amp;"NGE(""https://docs.google.com/spreadsheets/d/19KBlQQs7uwvsao6t2n-KvW3Ax8J8uRRfZPq1zPbXgKc/edit?usp=sharing"",""ระยอง!L767"")+IMPORTRANGE(""https://docs.google.com/spreadsheets/d/1jQ6P4QcrGM89YfqcC_PxOHGCMq5ezhucwJd8ci-NHng/edit?usp=sharing"",""ราชบุรี!L76"&amp;"7"")+IMPORTRANGE(""https://docs.google.com/spreadsheets/d/1lufeA2cfFqM-elVq2hznhDzC6Pr7wkJ9ZG_sYNGCMCU/edit?usp=sharing"",""ลพบุรี!L767"")+IMPORTRANGE(""https://docs.google.com/spreadsheets/d/10oOiF7loTyfsTkbd4MpaIm0HQ9SwB7IYHdIUvt-U1Uc/edit?usp=sharing"""&amp;",""สระแก้ว!L767"")+IMPORTRANGE(""https://docs.google.com/spreadsheets/d/1xmPlrr1QbdSIKvl1dWUl9K4PjAfSL9oeMr_37QVzcxc/edit?usp=sharing"",""สระบุรี!L767"")+IMPORTRANGE(""https://docs.google.com/spreadsheets/d/1j51vR6CYVGhABJpv6tkstgok82RLpXieLzW1yOY5rHw/edi"&amp;"t?usp=sharing"",""สิงห์บุรี!L767"")+IMPORTRANGE(""https://docs.google.com/spreadsheets/d/1H1EalTWKUSzO4Z1-1CwzoDUaVffgrThEBe2sl74kKG0/edit?usp=sharing"",""สุพรรณบุรี!L767"")+IMPORTRANGE(""https://docs.google.com/spreadsheets/d/1BmIruG_sIrJLYao_Pdr7zVArWsf"&amp;"oBt2692TMi6x_854/edit?usp=sharing"",""อ่างทอง!L767"")"),0)</f>
        <v>0</v>
      </c>
      <c r="M768" s="74">
        <f ca="1">IFERROR(__xludf.DUMMYFUNCTION("IMPORTRANGE(""https://docs.google.com/spreadsheets/d/13wPX838HrBrQMCywv1BsuMkt4PEKTChp52zj44s2izQ/edit?usp=sharing"",""กาญจนบุรี!M767"")+IMPORTRANGE(""https://docs.google.com/spreadsheets/d/1ddFKvqj1W1NEiWytbGlB1zMx_ykJDVtmfEQ-6-lIUBA/edit?usp=sharing"","&amp;"""จันทบุรี!M767"")+IMPORTRANGE(""https://docs.google.com/spreadsheets/d/1T1PQvRODqOBZk8BRht_U031fIS1beLA0Ub2CEytj2q0/edit?usp=sharing"",""ฉะเชิงเทรา!M767"")+IMPORTRANGE(""https://docs.google.com/spreadsheets/d/11tr1B-Bhyr79v2bkwVh5h_fR-PStkgjlZtkrZpYurG0/"&amp;"edit?usp=sharing"",""ชลบุรี!M767"")+IMPORTRANGE(""https://docs.google.com/spreadsheets/d/1hh-FVnSX0vozXhGluamEcS54Dw9_zqW0N7qJUWgJ0Sw/edit?usp=sharing"",""ชัยนาท!M767"")+IMPORTRANGE(""https://docs.google.com/spreadsheets/d/1jkqa6GXxSacMcY1eN8AHjMNJ_7dDXMJ"&amp;"VRLDlaFSOdPM/edit?usp=sharing"",""ตราด!M767"")+IMPORTRANGE(""https://docs.google.com/spreadsheets/d/18hSgUJ3VwClqi_qtULmmW3cLr0oe3OKaSYoKzdpTsYQ/edit?usp=sharing"",""นครนายก!M767"")+IMPORTRANGE(""https://docs.google.com/spreadsheets/d/1YTZo6WM2dQ6Ix6FSdnL"&amp;"5P7uVnVKu40sxZu975tgG10E/edit?usp=sharing"",""นครปฐม!M767"")+IMPORTRANGE(""https://docs.google.com/spreadsheets/d/1OYoGg4WDg5RIzwGeB10padOxJF9E_Vljuvvct_M7RDo/edit?usp=sharing"",""ปทุมธานี!M767"")+IMPORTRANGE(""https://docs.google.com/spreadsheets/d/1GbCI"&amp;"E4D4wk9FUozzqk7SxfDMxDVBwVmI5zcaVUSzKAc/edit?usp=sharing"",""ประจวบคีรีขันธ์!M767"")+IMPORTRANGE(""https://docs.google.com/spreadsheets/d/1vVf6wykvW_lAyu7Yo9L4hUTqHqIeP_qcVuxCtosJEbg/edit?usp=sharing"",""ปราจีนบุรี!M767"")+IMPORTRANGE(""https://docs.googl"&amp;"e.com/spreadsheets/d/1BIDqLLg5jk3v59G8NlR8rk5xfQDKne0sAvZHSj7TI6I/edit?usp=sharing"",""พระนครศรีอยุธยา!M767"")+IMPORTRANGE(""https://docs.google.com/spreadsheets/d/1YXvxf8Yu6_rV4hTBrwMqAcAnv6DfhUxh5emyM3CJp_w/edit?usp=sharing"",""เพชรบุรี!M767"")+IMPORTRA"&amp;"NGE(""https://docs.google.com/spreadsheets/d/19KBlQQs7uwvsao6t2n-KvW3Ax8J8uRRfZPq1zPbXgKc/edit?usp=sharing"",""ระยอง!M767"")+IMPORTRANGE(""https://docs.google.com/spreadsheets/d/1jQ6P4QcrGM89YfqcC_PxOHGCMq5ezhucwJd8ci-NHng/edit?usp=sharing"",""ราชบุรี!M76"&amp;"7"")+IMPORTRANGE(""https://docs.google.com/spreadsheets/d/1lufeA2cfFqM-elVq2hznhDzC6Pr7wkJ9ZG_sYNGCMCU/edit?usp=sharing"",""ลพบุรี!M767"")+IMPORTRANGE(""https://docs.google.com/spreadsheets/d/10oOiF7loTyfsTkbd4MpaIm0HQ9SwB7IYHdIUvt-U1Uc/edit?usp=sharing"""&amp;",""สระแก้ว!M767"")+IMPORTRANGE(""https://docs.google.com/spreadsheets/d/1xmPlrr1QbdSIKvl1dWUl9K4PjAfSL9oeMr_37QVzcxc/edit?usp=sharing"",""สระบุรี!M767"")+IMPORTRANGE(""https://docs.google.com/spreadsheets/d/1j51vR6CYVGhABJpv6tkstgok82RLpXieLzW1yOY5rHw/edi"&amp;"t?usp=sharing"",""สิงห์บุรี!M767"")+IMPORTRANGE(""https://docs.google.com/spreadsheets/d/1H1EalTWKUSzO4Z1-1CwzoDUaVffgrThEBe2sl74kKG0/edit?usp=sharing"",""สุพรรณบุรี!M767"")+IMPORTRANGE(""https://docs.google.com/spreadsheets/d/1BmIruG_sIrJLYao_Pdr7zVArWsf"&amp;"oBt2692TMi6x_854/edit?usp=sharing"",""อ่างทอง!M767"")"),0)</f>
        <v>0</v>
      </c>
      <c r="N768" s="74">
        <f ca="1">IFERROR(__xludf.DUMMYFUNCTION("IMPORTRANGE(""https://docs.google.com/spreadsheets/d/13wPX838HrBrQMCywv1BsuMkt4PEKTChp52zj44s2izQ/edit?usp=sharing"",""กาญจนบุรี!N767"")+IMPORTRANGE(""https://docs.google.com/spreadsheets/d/1ddFKvqj1W1NEiWytbGlB1zMx_ykJDVtmfEQ-6-lIUBA/edit?usp=sharing"","&amp;"""จันทบุรี!N767"")+IMPORTRANGE(""https://docs.google.com/spreadsheets/d/1T1PQvRODqOBZk8BRht_U031fIS1beLA0Ub2CEytj2q0/edit?usp=sharing"",""ฉะเชิงเทรา!N767"")+IMPORTRANGE(""https://docs.google.com/spreadsheets/d/11tr1B-Bhyr79v2bkwVh5h_fR-PStkgjlZtkrZpYurG0/"&amp;"edit?usp=sharing"",""ชลบุรี!N767"")+IMPORTRANGE(""https://docs.google.com/spreadsheets/d/1hh-FVnSX0vozXhGluamEcS54Dw9_zqW0N7qJUWgJ0Sw/edit?usp=sharing"",""ชัยนาท!N767"")+IMPORTRANGE(""https://docs.google.com/spreadsheets/d/1jkqa6GXxSacMcY1eN8AHjMNJ_7dDXMJ"&amp;"VRLDlaFSOdPM/edit?usp=sharing"",""ตราด!N767"")+IMPORTRANGE(""https://docs.google.com/spreadsheets/d/18hSgUJ3VwClqi_qtULmmW3cLr0oe3OKaSYoKzdpTsYQ/edit?usp=sharing"",""นครนายก!N767"")+IMPORTRANGE(""https://docs.google.com/spreadsheets/d/1YTZo6WM2dQ6Ix6FSdnL"&amp;"5P7uVnVKu40sxZu975tgG10E/edit?usp=sharing"",""นครปฐม!N767"")+IMPORTRANGE(""https://docs.google.com/spreadsheets/d/1OYoGg4WDg5RIzwGeB10padOxJF9E_Vljuvvct_M7RDo/edit?usp=sharing"",""ปทุมธานี!N767"")+IMPORTRANGE(""https://docs.google.com/spreadsheets/d/1GbCI"&amp;"E4D4wk9FUozzqk7SxfDMxDVBwVmI5zcaVUSzKAc/edit?usp=sharing"",""ประจวบคีรีขันธ์!N767"")+IMPORTRANGE(""https://docs.google.com/spreadsheets/d/1vVf6wykvW_lAyu7Yo9L4hUTqHqIeP_qcVuxCtosJEbg/edit?usp=sharing"",""ปราจีนบุรี!N767"")+IMPORTRANGE(""https://docs.googl"&amp;"e.com/spreadsheets/d/1BIDqLLg5jk3v59G8NlR8rk5xfQDKne0sAvZHSj7TI6I/edit?usp=sharing"",""พระนครศรีอยุธยา!N767"")+IMPORTRANGE(""https://docs.google.com/spreadsheets/d/1YXvxf8Yu6_rV4hTBrwMqAcAnv6DfhUxh5emyM3CJp_w/edit?usp=sharing"",""เพชรบุรี!N767"")+IMPORTRA"&amp;"NGE(""https://docs.google.com/spreadsheets/d/19KBlQQs7uwvsao6t2n-KvW3Ax8J8uRRfZPq1zPbXgKc/edit?usp=sharing"",""ระยอง!N767"")+IMPORTRANGE(""https://docs.google.com/spreadsheets/d/1jQ6P4QcrGM89YfqcC_PxOHGCMq5ezhucwJd8ci-NHng/edit?usp=sharing"",""ราชบุรี!N76"&amp;"7"")+IMPORTRANGE(""https://docs.google.com/spreadsheets/d/1lufeA2cfFqM-elVq2hznhDzC6Pr7wkJ9ZG_sYNGCMCU/edit?usp=sharing"",""ลพบุรี!N767"")+IMPORTRANGE(""https://docs.google.com/spreadsheets/d/10oOiF7loTyfsTkbd4MpaIm0HQ9SwB7IYHdIUvt-U1Uc/edit?usp=sharing"""&amp;",""สระแก้ว!N767"")+IMPORTRANGE(""https://docs.google.com/spreadsheets/d/1xmPlrr1QbdSIKvl1dWUl9K4PjAfSL9oeMr_37QVzcxc/edit?usp=sharing"",""สระบุรี!N767"")+IMPORTRANGE(""https://docs.google.com/spreadsheets/d/1j51vR6CYVGhABJpv6tkstgok82RLpXieLzW1yOY5rHw/edi"&amp;"t?usp=sharing"",""สิงห์บุรี!N767"")+IMPORTRANGE(""https://docs.google.com/spreadsheets/d/1H1EalTWKUSzO4Z1-1CwzoDUaVffgrThEBe2sl74kKG0/edit?usp=sharing"",""สุพรรณบุรี!N767"")+IMPORTRANGE(""https://docs.google.com/spreadsheets/d/1BmIruG_sIrJLYao_Pdr7zVArWsf"&amp;"oBt2692TMi6x_854/edit?usp=sharing"",""อ่างทอง!N767"")"),0)</f>
        <v>0</v>
      </c>
      <c r="O768" s="74">
        <f t="shared" ca="1" si="513"/>
        <v>0</v>
      </c>
      <c r="P768" s="74">
        <f t="shared" ca="1" si="514"/>
        <v>0</v>
      </c>
      <c r="Q768" s="73">
        <f ca="1">IFERROR(__xludf.DUMMYFUNCTION("IMPORTRANGE(""https://docs.google.com/spreadsheets/d/13wPX838HrBrQMCywv1BsuMkt4PEKTChp52zj44s2izQ/edit?usp=sharing"",""กาญจนบุรี!Q767"")+IMPORTRANGE(""https://docs.google.com/spreadsheets/d/1ddFKvqj1W1NEiWytbGlB1zMx_ykJDVtmfEQ-6-lIUBA/edit?usp=sharing"","&amp;"""จันทบุรี!Q767"")+IMPORTRANGE(""https://docs.google.com/spreadsheets/d/1T1PQvRODqOBZk8BRht_U031fIS1beLA0Ub2CEytj2q0/edit?usp=sharing"",""ฉะเชิงเทรา!Q767"")+IMPORTRANGE(""https://docs.google.com/spreadsheets/d/11tr1B-Bhyr79v2bkwVh5h_fR-PStkgjlZtkrZpYurG0/"&amp;"edit?usp=sharing"",""ชลบุรี!Q767"")+IMPORTRANGE(""https://docs.google.com/spreadsheets/d/1hh-FVnSX0vozXhGluamEcS54Dw9_zqW0N7qJUWgJ0Sw/edit?usp=sharing"",""ชัยนาท!Q767"")+IMPORTRANGE(""https://docs.google.com/spreadsheets/d/1jkqa6GXxSacMcY1eN8AHjMNJ_7dDXMJ"&amp;"VRLDlaFSOdPM/edit?usp=sharing"",""ตราด!Q767"")+IMPORTRANGE(""https://docs.google.com/spreadsheets/d/18hSgUJ3VwClqi_qtULmmW3cLr0oe3OKaSYoKzdpTsYQ/edit?usp=sharing"",""นครนายก!Q767"")+IMPORTRANGE(""https://docs.google.com/spreadsheets/d/1YTZo6WM2dQ6Ix6FSdnL"&amp;"5P7uVnVKu40sxZu975tgG10E/edit?usp=sharing"",""นครปฐม!Q767"")+IMPORTRANGE(""https://docs.google.com/spreadsheets/d/1OYoGg4WDg5RIzwGeB10padOxJF9E_Vljuvvct_M7RDo/edit?usp=sharing"",""ปทุมธานี!Q767"")+IMPORTRANGE(""https://docs.google.com/spreadsheets/d/1GbCI"&amp;"E4D4wk9FUozzqk7SxfDMxDVBwVmI5zcaVUSzKAc/edit?usp=sharing"",""ประจวบคีรีขันธ์!Q767"")+IMPORTRANGE(""https://docs.google.com/spreadsheets/d/1vVf6wykvW_lAyu7Yo9L4hUTqHqIeP_qcVuxCtosJEbg/edit?usp=sharing"",""ปราจีนบุรี!Q767"")+IMPORTRANGE(""https://docs.googl"&amp;"e.com/spreadsheets/d/1BIDqLLg5jk3v59G8NlR8rk5xfQDKne0sAvZHSj7TI6I/edit?usp=sharing"",""พระนครศรีอยุธยา!Q767"")+IMPORTRANGE(""https://docs.google.com/spreadsheets/d/1YXvxf8Yu6_rV4hTBrwMqAcAnv6DfhUxh5emyM3CJp_w/edit?usp=sharing"",""เพชรบุรี!Q767"")+IMPORTRA"&amp;"NGE(""https://docs.google.com/spreadsheets/d/19KBlQQs7uwvsao6t2n-KvW3Ax8J8uRRfZPq1zPbXgKc/edit?usp=sharing"",""ระยอง!Q767"")+IMPORTRANGE(""https://docs.google.com/spreadsheets/d/1jQ6P4QcrGM89YfqcC_PxOHGCMq5ezhucwJd8ci-NHng/edit?usp=sharing"",""ราชบุรี!Q76"&amp;"7"")+IMPORTRANGE(""https://docs.google.com/spreadsheets/d/1lufeA2cfFqM-elVq2hznhDzC6Pr7wkJ9ZG_sYNGCMCU/edit?usp=sharing"",""ลพบุรี!Q767"")+IMPORTRANGE(""https://docs.google.com/spreadsheets/d/10oOiF7loTyfsTkbd4MpaIm0HQ9SwB7IYHdIUvt-U1Uc/edit?usp=sharing"""&amp;",""สระแก้ว!Q767"")+IMPORTRANGE(""https://docs.google.com/spreadsheets/d/1xmPlrr1QbdSIKvl1dWUl9K4PjAfSL9oeMr_37QVzcxc/edit?usp=sharing"",""สระบุรี!Q767"")+IMPORTRANGE(""https://docs.google.com/spreadsheets/d/1j51vR6CYVGhABJpv6tkstgok82RLpXieLzW1yOY5rHw/edi"&amp;"t?usp=sharing"",""สิงห์บุรี!Q767"")+IMPORTRANGE(""https://docs.google.com/spreadsheets/d/1H1EalTWKUSzO4Z1-1CwzoDUaVffgrThEBe2sl74kKG0/edit?usp=sharing"",""สุพรรณบุรี!Q767"")+IMPORTRANGE(""https://docs.google.com/spreadsheets/d/1BmIruG_sIrJLYao_Pdr7zVArWsf"&amp;"oBt2692TMi6x_854/edit?usp=sharing"",""อ่างทอง!Q767"")"),0)</f>
        <v>0</v>
      </c>
      <c r="R768" s="74">
        <f ca="1">IFERROR(__xludf.DUMMYFUNCTION("IMPORTRANGE(""https://docs.google.com/spreadsheets/d/13wPX838HrBrQMCywv1BsuMkt4PEKTChp52zj44s2izQ/edit?usp=sharing"",""กาญจนบุรี!R767"")+IMPORTRANGE(""https://docs.google.com/spreadsheets/d/1ddFKvqj1W1NEiWytbGlB1zMx_ykJDVtmfEQ-6-lIUBA/edit?usp=sharing"","&amp;"""จันทบุรี!R767"")+IMPORTRANGE(""https://docs.google.com/spreadsheets/d/1T1PQvRODqOBZk8BRht_U031fIS1beLA0Ub2CEytj2q0/edit?usp=sharing"",""ฉะเชิงเทรา!R767"")+IMPORTRANGE(""https://docs.google.com/spreadsheets/d/11tr1B-Bhyr79v2bkwVh5h_fR-PStkgjlZtkrZpYurG0/"&amp;"edit?usp=sharing"",""ชลบุรี!R767"")+IMPORTRANGE(""https://docs.google.com/spreadsheets/d/1hh-FVnSX0vozXhGluamEcS54Dw9_zqW0N7qJUWgJ0Sw/edit?usp=sharing"",""ชัยนาท!R767"")+IMPORTRANGE(""https://docs.google.com/spreadsheets/d/1jkqa6GXxSacMcY1eN8AHjMNJ_7dDXMJ"&amp;"VRLDlaFSOdPM/edit?usp=sharing"",""ตราด!R767"")+IMPORTRANGE(""https://docs.google.com/spreadsheets/d/18hSgUJ3VwClqi_qtULmmW3cLr0oe3OKaSYoKzdpTsYQ/edit?usp=sharing"",""นครนายก!R767"")+IMPORTRANGE(""https://docs.google.com/spreadsheets/d/1YTZo6WM2dQ6Ix6FSdnL"&amp;"5P7uVnVKu40sxZu975tgG10E/edit?usp=sharing"",""นครปฐม!R767"")+IMPORTRANGE(""https://docs.google.com/spreadsheets/d/1OYoGg4WDg5RIzwGeB10padOxJF9E_Vljuvvct_M7RDo/edit?usp=sharing"",""ปทุมธานี!R767"")+IMPORTRANGE(""https://docs.google.com/spreadsheets/d/1GbCI"&amp;"E4D4wk9FUozzqk7SxfDMxDVBwVmI5zcaVUSzKAc/edit?usp=sharing"",""ประจวบคีรีขันธ์!R767"")+IMPORTRANGE(""https://docs.google.com/spreadsheets/d/1vVf6wykvW_lAyu7Yo9L4hUTqHqIeP_qcVuxCtosJEbg/edit?usp=sharing"",""ปราจีนบุรี!R767"")+IMPORTRANGE(""https://docs.googl"&amp;"e.com/spreadsheets/d/1BIDqLLg5jk3v59G8NlR8rk5xfQDKne0sAvZHSj7TI6I/edit?usp=sharing"",""พระนครศรีอยุธยา!R767"")+IMPORTRANGE(""https://docs.google.com/spreadsheets/d/1YXvxf8Yu6_rV4hTBrwMqAcAnv6DfhUxh5emyM3CJp_w/edit?usp=sharing"",""เพชรบุรี!R767"")+IMPORTRA"&amp;"NGE(""https://docs.google.com/spreadsheets/d/19KBlQQs7uwvsao6t2n-KvW3Ax8J8uRRfZPq1zPbXgKc/edit?usp=sharing"",""ระยอง!R767"")+IMPORTRANGE(""https://docs.google.com/spreadsheets/d/1jQ6P4QcrGM89YfqcC_PxOHGCMq5ezhucwJd8ci-NHng/edit?usp=sharing"",""ราชบุรี!R76"&amp;"7"")+IMPORTRANGE(""https://docs.google.com/spreadsheets/d/1lufeA2cfFqM-elVq2hznhDzC6Pr7wkJ9ZG_sYNGCMCU/edit?usp=sharing"",""ลพบุรี!R767"")+IMPORTRANGE(""https://docs.google.com/spreadsheets/d/10oOiF7loTyfsTkbd4MpaIm0HQ9SwB7IYHdIUvt-U1Uc/edit?usp=sharing"""&amp;",""สระแก้ว!R767"")+IMPORTRANGE(""https://docs.google.com/spreadsheets/d/1xmPlrr1QbdSIKvl1dWUl9K4PjAfSL9oeMr_37QVzcxc/edit?usp=sharing"",""สระบุรี!R767"")+IMPORTRANGE(""https://docs.google.com/spreadsheets/d/1j51vR6CYVGhABJpv6tkstgok82RLpXieLzW1yOY5rHw/edi"&amp;"t?usp=sharing"",""สิงห์บุรี!R767"")+IMPORTRANGE(""https://docs.google.com/spreadsheets/d/1H1EalTWKUSzO4Z1-1CwzoDUaVffgrThEBe2sl74kKG0/edit?usp=sharing"",""สุพรรณบุรี!R767"")+IMPORTRANGE(""https://docs.google.com/spreadsheets/d/1BmIruG_sIrJLYao_Pdr7zVArWsf"&amp;"oBt2692TMi6x_854/edit?usp=sharing"",""อ่างทอง!R767"")"),0)</f>
        <v>0</v>
      </c>
      <c r="S768" s="74">
        <f ca="1">IFERROR(__xludf.DUMMYFUNCTION("IMPORTRANGE(""https://docs.google.com/spreadsheets/d/13wPX838HrBrQMCywv1BsuMkt4PEKTChp52zj44s2izQ/edit?usp=sharing"",""กาญจนบุรี!S767"")+IMPORTRANGE(""https://docs.google.com/spreadsheets/d/1ddFKvqj1W1NEiWytbGlB1zMx_ykJDVtmfEQ-6-lIUBA/edit?usp=sharing"","&amp;"""จันทบุรี!S767"")+IMPORTRANGE(""https://docs.google.com/spreadsheets/d/1T1PQvRODqOBZk8BRht_U031fIS1beLA0Ub2CEytj2q0/edit?usp=sharing"",""ฉะเชิงเทรา!S767"")+IMPORTRANGE(""https://docs.google.com/spreadsheets/d/11tr1B-Bhyr79v2bkwVh5h_fR-PStkgjlZtkrZpYurG0/"&amp;"edit?usp=sharing"",""ชลบุรี!S767"")+IMPORTRANGE(""https://docs.google.com/spreadsheets/d/1hh-FVnSX0vozXhGluamEcS54Dw9_zqW0N7qJUWgJ0Sw/edit?usp=sharing"",""ชัยนาท!S767"")+IMPORTRANGE(""https://docs.google.com/spreadsheets/d/1jkqa6GXxSacMcY1eN8AHjMNJ_7dDXMJ"&amp;"VRLDlaFSOdPM/edit?usp=sharing"",""ตราด!S767"")+IMPORTRANGE(""https://docs.google.com/spreadsheets/d/18hSgUJ3VwClqi_qtULmmW3cLr0oe3OKaSYoKzdpTsYQ/edit?usp=sharing"",""นครนายก!S767"")+IMPORTRANGE(""https://docs.google.com/spreadsheets/d/1YTZo6WM2dQ6Ix6FSdnL"&amp;"5P7uVnVKu40sxZu975tgG10E/edit?usp=sharing"",""นครปฐม!S767"")+IMPORTRANGE(""https://docs.google.com/spreadsheets/d/1OYoGg4WDg5RIzwGeB10padOxJF9E_Vljuvvct_M7RDo/edit?usp=sharing"",""ปทุมธานี!S767"")+IMPORTRANGE(""https://docs.google.com/spreadsheets/d/1GbCI"&amp;"E4D4wk9FUozzqk7SxfDMxDVBwVmI5zcaVUSzKAc/edit?usp=sharing"",""ประจวบคีรีขันธ์!S767"")+IMPORTRANGE(""https://docs.google.com/spreadsheets/d/1vVf6wykvW_lAyu7Yo9L4hUTqHqIeP_qcVuxCtosJEbg/edit?usp=sharing"",""ปราจีนบุรี!S767"")+IMPORTRANGE(""https://docs.googl"&amp;"e.com/spreadsheets/d/1BIDqLLg5jk3v59G8NlR8rk5xfQDKne0sAvZHSj7TI6I/edit?usp=sharing"",""พระนครศรีอยุธยา!S767"")+IMPORTRANGE(""https://docs.google.com/spreadsheets/d/1YXvxf8Yu6_rV4hTBrwMqAcAnv6DfhUxh5emyM3CJp_w/edit?usp=sharing"",""เพชรบุรี!S767"")+IMPORTRA"&amp;"NGE(""https://docs.google.com/spreadsheets/d/19KBlQQs7uwvsao6t2n-KvW3Ax8J8uRRfZPq1zPbXgKc/edit?usp=sharing"",""ระยอง!S767"")+IMPORTRANGE(""https://docs.google.com/spreadsheets/d/1jQ6P4QcrGM89YfqcC_PxOHGCMq5ezhucwJd8ci-NHng/edit?usp=sharing"",""ราชบุรี!S76"&amp;"7"")+IMPORTRANGE(""https://docs.google.com/spreadsheets/d/1lufeA2cfFqM-elVq2hznhDzC6Pr7wkJ9ZG_sYNGCMCU/edit?usp=sharing"",""ลพบุรี!S767"")+IMPORTRANGE(""https://docs.google.com/spreadsheets/d/10oOiF7loTyfsTkbd4MpaIm0HQ9SwB7IYHdIUvt-U1Uc/edit?usp=sharing"""&amp;",""สระแก้ว!S767"")+IMPORTRANGE(""https://docs.google.com/spreadsheets/d/1xmPlrr1QbdSIKvl1dWUl9K4PjAfSL9oeMr_37QVzcxc/edit?usp=sharing"",""สระบุรี!S767"")+IMPORTRANGE(""https://docs.google.com/spreadsheets/d/1j51vR6CYVGhABJpv6tkstgok82RLpXieLzW1yOY5rHw/edi"&amp;"t?usp=sharing"",""สิงห์บุรี!S767"")+IMPORTRANGE(""https://docs.google.com/spreadsheets/d/1H1EalTWKUSzO4Z1-1CwzoDUaVffgrThEBe2sl74kKG0/edit?usp=sharing"",""สุพรรณบุรี!S767"")+IMPORTRANGE(""https://docs.google.com/spreadsheets/d/1BmIruG_sIrJLYao_Pdr7zVArWsf"&amp;"oBt2692TMi6x_854/edit?usp=sharing"",""อ่างทอง!S767"")"),0)</f>
        <v>0</v>
      </c>
      <c r="T768" s="132">
        <f t="shared" ca="1" si="516"/>
        <v>0</v>
      </c>
      <c r="U768" s="132">
        <f t="shared" ca="1" si="517"/>
        <v>0</v>
      </c>
    </row>
    <row r="769" spans="1:21" ht="19.5" x14ac:dyDescent="0.3">
      <c r="A769" s="276"/>
      <c r="B769" s="277"/>
      <c r="C769" s="785" t="s">
        <v>18</v>
      </c>
      <c r="D769" s="744" t="s">
        <v>38</v>
      </c>
      <c r="E769" s="783"/>
      <c r="F769" s="280"/>
      <c r="G769" s="281"/>
      <c r="H769" s="310"/>
      <c r="I769" s="263"/>
      <c r="J769" s="263"/>
      <c r="K769" s="87"/>
      <c r="L769" s="87"/>
      <c r="M769" s="87"/>
      <c r="N769" s="87"/>
      <c r="O769" s="87"/>
      <c r="P769" s="87"/>
      <c r="Q769" s="86"/>
      <c r="R769" s="87"/>
      <c r="S769" s="87"/>
      <c r="T769" s="87"/>
      <c r="U769" s="87"/>
    </row>
    <row r="770" spans="1:21" ht="18.75" x14ac:dyDescent="0.25">
      <c r="A770" s="276"/>
      <c r="B770" s="277"/>
      <c r="C770" s="277"/>
      <c r="D770" s="708" t="s">
        <v>285</v>
      </c>
      <c r="E770" s="277"/>
      <c r="F770" s="290"/>
      <c r="G770" s="282"/>
      <c r="H770" s="706" t="s">
        <v>35</v>
      </c>
      <c r="I770" s="592">
        <f ca="1">IFERROR(__xludf.DUMMYFUNCTION("IMPORTRANGE(""https://docs.google.com/spreadsheets/d/13wPX838HrBrQMCywv1BsuMkt4PEKTChp52zj44s2izQ/edit?usp=sharing"",""กาญจนบุรี!I769"")+IMPORTRANGE(""https://docs.google.com/spreadsheets/d/1ddFKvqj1W1NEiWytbGlB1zMx_ykJDVtmfEQ-6-lIUBA/edit?usp=sharing"","&amp;"""จันทบุรี!I769"")+IMPORTRANGE(""https://docs.google.com/spreadsheets/d/1T1PQvRODqOBZk8BRht_U031fIS1beLA0Ub2CEytj2q0/edit?usp=sharing"",""ฉะเชิงเทรา!I769"")+IMPORTRANGE(""https://docs.google.com/spreadsheets/d/11tr1B-Bhyr79v2bkwVh5h_fR-PStkgjlZtkrZpYurG0/"&amp;"edit?usp=sharing"",""ชลบุรี!I769"")+IMPORTRANGE(""https://docs.google.com/spreadsheets/d/1hh-FVnSX0vozXhGluamEcS54Dw9_zqW0N7qJUWgJ0Sw/edit?usp=sharing"",""ชัยนาท!I769"")+IMPORTRANGE(""https://docs.google.com/spreadsheets/d/1jkqa6GXxSacMcY1eN8AHjMNJ_7dDXMJ"&amp;"VRLDlaFSOdPM/edit?usp=sharing"",""ตราด!I769"")+IMPORTRANGE(""https://docs.google.com/spreadsheets/d/18hSgUJ3VwClqi_qtULmmW3cLr0oe3OKaSYoKzdpTsYQ/edit?usp=sharing"",""นครนายก!I769"")+IMPORTRANGE(""https://docs.google.com/spreadsheets/d/1YTZo6WM2dQ6Ix6FSdnL"&amp;"5P7uVnVKu40sxZu975tgG10E/edit?usp=sharing"",""นครปฐม!I769"")+IMPORTRANGE(""https://docs.google.com/spreadsheets/d/1OYoGg4WDg5RIzwGeB10padOxJF9E_Vljuvvct_M7RDo/edit?usp=sharing"",""ปทุมธานี!I769"")+IMPORTRANGE(""https://docs.google.com/spreadsheets/d/1GbCI"&amp;"E4D4wk9FUozzqk7SxfDMxDVBwVmI5zcaVUSzKAc/edit?usp=sharing"",""ประจวบคีรีขันธ์!I769"")+IMPORTRANGE(""https://docs.google.com/spreadsheets/d/1vVf6wykvW_lAyu7Yo9L4hUTqHqIeP_qcVuxCtosJEbg/edit?usp=sharing"",""ปราจีนบุรี!I769"")+IMPORTRANGE(""https://docs.googl"&amp;"e.com/spreadsheets/d/1BIDqLLg5jk3v59G8NlR8rk5xfQDKne0sAvZHSj7TI6I/edit?usp=sharing"",""พระนครศรีอยุธยา!I769"")+IMPORTRANGE(""https://docs.google.com/spreadsheets/d/1YXvxf8Yu6_rV4hTBrwMqAcAnv6DfhUxh5emyM3CJp_w/edit?usp=sharing"",""เพชรบุรี!I769"")+IMPORTRA"&amp;"NGE(""https://docs.google.com/spreadsheets/d/19KBlQQs7uwvsao6t2n-KvW3Ax8J8uRRfZPq1zPbXgKc/edit?usp=sharing"",""ระยอง!I769"")+IMPORTRANGE(""https://docs.google.com/spreadsheets/d/1jQ6P4QcrGM89YfqcC_PxOHGCMq5ezhucwJd8ci-NHng/edit?usp=sharing"",""ราชบุรี!I76"&amp;"9"")+IMPORTRANGE(""https://docs.google.com/spreadsheets/d/1lufeA2cfFqM-elVq2hznhDzC6Pr7wkJ9ZG_sYNGCMCU/edit?usp=sharing"",""ลพบุรี!I769"")+IMPORTRANGE(""https://docs.google.com/spreadsheets/d/10oOiF7loTyfsTkbd4MpaIm0HQ9SwB7IYHdIUvt-U1Uc/edit?usp=sharing"""&amp;",""สระแก้ว!I769"")+IMPORTRANGE(""https://docs.google.com/spreadsheets/d/1xmPlrr1QbdSIKvl1dWUl9K4PjAfSL9oeMr_37QVzcxc/edit?usp=sharing"",""สระบุรี!I769"")+IMPORTRANGE(""https://docs.google.com/spreadsheets/d/1j51vR6CYVGhABJpv6tkstgok82RLpXieLzW1yOY5rHw/edi"&amp;"t?usp=sharing"",""สิงห์บุรี!I769"")+IMPORTRANGE(""https://docs.google.com/spreadsheets/d/1H1EalTWKUSzO4Z1-1CwzoDUaVffgrThEBe2sl74kKG0/edit?usp=sharing"",""สุพรรณบุรี!I769"")+IMPORTRANGE(""https://docs.google.com/spreadsheets/d/1BmIruG_sIrJLYao_Pdr7zVArWsf"&amp;"oBt2692TMi6x_854/edit?usp=sharing"",""อ่างทอง!I769"")"),0)</f>
        <v>0</v>
      </c>
      <c r="J770" s="592">
        <f ca="1">IFERROR(__xludf.DUMMYFUNCTION("IMPORTRANGE(""https://docs.google.com/spreadsheets/d/13wPX838HrBrQMCywv1BsuMkt4PEKTChp52zj44s2izQ/edit?usp=sharing"",""กาญจนบุรี!J769"")+IMPORTRANGE(""https://docs.google.com/spreadsheets/d/1ddFKvqj1W1NEiWytbGlB1zMx_ykJDVtmfEQ-6-lIUBA/edit?usp=sharing"","&amp;"""จันทบุรี!J769"")+IMPORTRANGE(""https://docs.google.com/spreadsheets/d/1T1PQvRODqOBZk8BRht_U031fIS1beLA0Ub2CEytj2q0/edit?usp=sharing"",""ฉะเชิงเทรา!J769"")+IMPORTRANGE(""https://docs.google.com/spreadsheets/d/11tr1B-Bhyr79v2bkwVh5h_fR-PStkgjlZtkrZpYurG0/"&amp;"edit?usp=sharing"",""ชลบุรี!J769"")+IMPORTRANGE(""https://docs.google.com/spreadsheets/d/1hh-FVnSX0vozXhGluamEcS54Dw9_zqW0N7qJUWgJ0Sw/edit?usp=sharing"",""ชัยนาท!J769"")+IMPORTRANGE(""https://docs.google.com/spreadsheets/d/1jkqa6GXxSacMcY1eN8AHjMNJ_7dDXMJ"&amp;"VRLDlaFSOdPM/edit?usp=sharing"",""ตราด!J769"")+IMPORTRANGE(""https://docs.google.com/spreadsheets/d/18hSgUJ3VwClqi_qtULmmW3cLr0oe3OKaSYoKzdpTsYQ/edit?usp=sharing"",""นครนายก!J769"")+IMPORTRANGE(""https://docs.google.com/spreadsheets/d/1YTZo6WM2dQ6Ix6FSdnL"&amp;"5P7uVnVKu40sxZu975tgG10E/edit?usp=sharing"",""นครปฐม!J769"")+IMPORTRANGE(""https://docs.google.com/spreadsheets/d/1OYoGg4WDg5RIzwGeB10padOxJF9E_Vljuvvct_M7RDo/edit?usp=sharing"",""ปทุมธานี!J769"")+IMPORTRANGE(""https://docs.google.com/spreadsheets/d/1GbCI"&amp;"E4D4wk9FUozzqk7SxfDMxDVBwVmI5zcaVUSzKAc/edit?usp=sharing"",""ประจวบคีรีขันธ์!J769"")+IMPORTRANGE(""https://docs.google.com/spreadsheets/d/1vVf6wykvW_lAyu7Yo9L4hUTqHqIeP_qcVuxCtosJEbg/edit?usp=sharing"",""ปราจีนบุรี!J769"")+IMPORTRANGE(""https://docs.googl"&amp;"e.com/spreadsheets/d/1BIDqLLg5jk3v59G8NlR8rk5xfQDKne0sAvZHSj7TI6I/edit?usp=sharing"",""พระนครศรีอยุธยา!J769"")+IMPORTRANGE(""https://docs.google.com/spreadsheets/d/1YXvxf8Yu6_rV4hTBrwMqAcAnv6DfhUxh5emyM3CJp_w/edit?usp=sharing"",""เพชรบุรี!J769"")+IMPORTRA"&amp;"NGE(""https://docs.google.com/spreadsheets/d/19KBlQQs7uwvsao6t2n-KvW3Ax8J8uRRfZPq1zPbXgKc/edit?usp=sharing"",""ระยอง!J769"")+IMPORTRANGE(""https://docs.google.com/spreadsheets/d/1jQ6P4QcrGM89YfqcC_PxOHGCMq5ezhucwJd8ci-NHng/edit?usp=sharing"",""ราชบุรี!J76"&amp;"9"")+IMPORTRANGE(""https://docs.google.com/spreadsheets/d/1lufeA2cfFqM-elVq2hznhDzC6Pr7wkJ9ZG_sYNGCMCU/edit?usp=sharing"",""ลพบุรี!J769"")+IMPORTRANGE(""https://docs.google.com/spreadsheets/d/10oOiF7loTyfsTkbd4MpaIm0HQ9SwB7IYHdIUvt-U1Uc/edit?usp=sharing"""&amp;",""สระแก้ว!J769"")+IMPORTRANGE(""https://docs.google.com/spreadsheets/d/1xmPlrr1QbdSIKvl1dWUl9K4PjAfSL9oeMr_37QVzcxc/edit?usp=sharing"",""สระบุรี!J769"")+IMPORTRANGE(""https://docs.google.com/spreadsheets/d/1j51vR6CYVGhABJpv6tkstgok82RLpXieLzW1yOY5rHw/edi"&amp;"t?usp=sharing"",""สิงห์บุรี!J769"")+IMPORTRANGE(""https://docs.google.com/spreadsheets/d/1H1EalTWKUSzO4Z1-1CwzoDUaVffgrThEBe2sl74kKG0/edit?usp=sharing"",""สุพรรณบุรี!J769"")+IMPORTRANGE(""https://docs.google.com/spreadsheets/d/1BmIruG_sIrJLYao_Pdr7zVArWsf"&amp;"oBt2692TMi6x_854/edit?usp=sharing"",""อ่างทอง!J769"")"),0)</f>
        <v>0</v>
      </c>
      <c r="K770" s="77">
        <f ca="1">IF(I770&gt;0,J770*100/I770,0)</f>
        <v>0</v>
      </c>
      <c r="L770" s="87"/>
      <c r="M770" s="87"/>
      <c r="N770" s="87"/>
      <c r="O770" s="87"/>
      <c r="P770" s="87"/>
      <c r="Q770" s="86"/>
      <c r="R770" s="87"/>
      <c r="S770" s="87"/>
      <c r="T770" s="87"/>
      <c r="U770" s="87"/>
    </row>
    <row r="771" spans="1:21" ht="18.75" x14ac:dyDescent="0.25">
      <c r="A771" s="276"/>
      <c r="B771" s="277"/>
      <c r="C771" s="277"/>
      <c r="D771" s="708" t="s">
        <v>286</v>
      </c>
      <c r="E771" s="277"/>
      <c r="F771" s="290"/>
      <c r="G771" s="282"/>
      <c r="H771" s="310"/>
      <c r="I771" s="263"/>
      <c r="J771" s="263"/>
      <c r="K771" s="87"/>
      <c r="L771" s="87"/>
      <c r="M771" s="87"/>
      <c r="N771" s="87"/>
      <c r="O771" s="87"/>
      <c r="P771" s="87"/>
      <c r="Q771" s="86"/>
      <c r="R771" s="87"/>
      <c r="S771" s="87"/>
      <c r="T771" s="87"/>
      <c r="U771" s="87"/>
    </row>
    <row r="772" spans="1:21" ht="18.75" x14ac:dyDescent="0.25">
      <c r="A772" s="276"/>
      <c r="B772" s="277"/>
      <c r="C772" s="277"/>
      <c r="D772" s="745" t="s">
        <v>287</v>
      </c>
      <c r="E772" s="277"/>
      <c r="F772" s="290"/>
      <c r="G772" s="282"/>
      <c r="H772" s="275" t="s">
        <v>35</v>
      </c>
      <c r="I772" s="293">
        <f ca="1">IFERROR(__xludf.DUMMYFUNCTION("IMPORTRANGE(""https://docs.google.com/spreadsheets/d/13wPX838HrBrQMCywv1BsuMkt4PEKTChp52zj44s2izQ/edit?usp=sharing"",""กาญจนบุรี!I771"")+IMPORTRANGE(""https://docs.google.com/spreadsheets/d/1ddFKvqj1W1NEiWytbGlB1zMx_ykJDVtmfEQ-6-lIUBA/edit?usp=sharing"","&amp;"""จันทบุรี!I771"")+IMPORTRANGE(""https://docs.google.com/spreadsheets/d/1T1PQvRODqOBZk8BRht_U031fIS1beLA0Ub2CEytj2q0/edit?usp=sharing"",""ฉะเชิงเทรา!I771"")+IMPORTRANGE(""https://docs.google.com/spreadsheets/d/11tr1B-Bhyr79v2bkwVh5h_fR-PStkgjlZtkrZpYurG0/"&amp;"edit?usp=sharing"",""ชลบุรี!I771"")+IMPORTRANGE(""https://docs.google.com/spreadsheets/d/1hh-FVnSX0vozXhGluamEcS54Dw9_zqW0N7qJUWgJ0Sw/edit?usp=sharing"",""ชัยนาท!I771"")+IMPORTRANGE(""https://docs.google.com/spreadsheets/d/1jkqa6GXxSacMcY1eN8AHjMNJ_7dDXMJ"&amp;"VRLDlaFSOdPM/edit?usp=sharing"",""ตราด!I771"")+IMPORTRANGE(""https://docs.google.com/spreadsheets/d/18hSgUJ3VwClqi_qtULmmW3cLr0oe3OKaSYoKzdpTsYQ/edit?usp=sharing"",""นครนายก!I771"")+IMPORTRANGE(""https://docs.google.com/spreadsheets/d/1YTZo6WM2dQ6Ix6FSdnL"&amp;"5P7uVnVKu40sxZu975tgG10E/edit?usp=sharing"",""นครปฐม!I771"")+IMPORTRANGE(""https://docs.google.com/spreadsheets/d/1OYoGg4WDg5RIzwGeB10padOxJF9E_Vljuvvct_M7RDo/edit?usp=sharing"",""ปทุมธานี!I771"")+IMPORTRANGE(""https://docs.google.com/spreadsheets/d/1GbCI"&amp;"E4D4wk9FUozzqk7SxfDMxDVBwVmI5zcaVUSzKAc/edit?usp=sharing"",""ประจวบคีรีขันธ์!I771"")+IMPORTRANGE(""https://docs.google.com/spreadsheets/d/1vVf6wykvW_lAyu7Yo9L4hUTqHqIeP_qcVuxCtosJEbg/edit?usp=sharing"",""ปราจีนบุรี!I771"")+IMPORTRANGE(""https://docs.googl"&amp;"e.com/spreadsheets/d/1BIDqLLg5jk3v59G8NlR8rk5xfQDKne0sAvZHSj7TI6I/edit?usp=sharing"",""พระนครศรีอยุธยา!I771"")+IMPORTRANGE(""https://docs.google.com/spreadsheets/d/1YXvxf8Yu6_rV4hTBrwMqAcAnv6DfhUxh5emyM3CJp_w/edit?usp=sharing"",""เพชรบุรี!I771"")+IMPORTRA"&amp;"NGE(""https://docs.google.com/spreadsheets/d/19KBlQQs7uwvsao6t2n-KvW3Ax8J8uRRfZPq1zPbXgKc/edit?usp=sharing"",""ระยอง!I771"")+IMPORTRANGE(""https://docs.google.com/spreadsheets/d/1jQ6P4QcrGM89YfqcC_PxOHGCMq5ezhucwJd8ci-NHng/edit?usp=sharing"",""ราชบุรี!I77"&amp;"1"")+IMPORTRANGE(""https://docs.google.com/spreadsheets/d/1lufeA2cfFqM-elVq2hznhDzC6Pr7wkJ9ZG_sYNGCMCU/edit?usp=sharing"",""ลพบุรี!I771"")+IMPORTRANGE(""https://docs.google.com/spreadsheets/d/10oOiF7loTyfsTkbd4MpaIm0HQ9SwB7IYHdIUvt-U1Uc/edit?usp=sharing"""&amp;",""สระแก้ว!I771"")+IMPORTRANGE(""https://docs.google.com/spreadsheets/d/1xmPlrr1QbdSIKvl1dWUl9K4PjAfSL9oeMr_37QVzcxc/edit?usp=sharing"",""สระบุรี!I771"")+IMPORTRANGE(""https://docs.google.com/spreadsheets/d/1j51vR6CYVGhABJpv6tkstgok82RLpXieLzW1yOY5rHw/edi"&amp;"t?usp=sharing"",""สิงห์บุรี!I771"")+IMPORTRANGE(""https://docs.google.com/spreadsheets/d/1H1EalTWKUSzO4Z1-1CwzoDUaVffgrThEBe2sl74kKG0/edit?usp=sharing"",""สุพรรณบุรี!I771"")+IMPORTRANGE(""https://docs.google.com/spreadsheets/d/1BmIruG_sIrJLYao_Pdr7zVArWsf"&amp;"oBt2692TMi6x_854/edit?usp=sharing"",""อ่างทอง!I771"")"),425)</f>
        <v>425</v>
      </c>
      <c r="J772" s="294">
        <f ca="1">IFERROR(__xludf.DUMMYFUNCTION("IMPORTRANGE(""https://docs.google.com/spreadsheets/d/13wPX838HrBrQMCywv1BsuMkt4PEKTChp52zj44s2izQ/edit?usp=sharing"",""กาญจนบุรี!J771"")+IMPORTRANGE(""https://docs.google.com/spreadsheets/d/1ddFKvqj1W1NEiWytbGlB1zMx_ykJDVtmfEQ-6-lIUBA/edit?usp=sharing"","&amp;"""จันทบุรี!J771"")+IMPORTRANGE(""https://docs.google.com/spreadsheets/d/1T1PQvRODqOBZk8BRht_U031fIS1beLA0Ub2CEytj2q0/edit?usp=sharing"",""ฉะเชิงเทรา!J771"")+IMPORTRANGE(""https://docs.google.com/spreadsheets/d/11tr1B-Bhyr79v2bkwVh5h_fR-PStkgjlZtkrZpYurG0/"&amp;"edit?usp=sharing"",""ชลบุรี!J771"")+IMPORTRANGE(""https://docs.google.com/spreadsheets/d/1hh-FVnSX0vozXhGluamEcS54Dw9_zqW0N7qJUWgJ0Sw/edit?usp=sharing"",""ชัยนาท!J771"")+IMPORTRANGE(""https://docs.google.com/spreadsheets/d/1jkqa6GXxSacMcY1eN8AHjMNJ_7dDXMJ"&amp;"VRLDlaFSOdPM/edit?usp=sharing"",""ตราด!J771"")+IMPORTRANGE(""https://docs.google.com/spreadsheets/d/18hSgUJ3VwClqi_qtULmmW3cLr0oe3OKaSYoKzdpTsYQ/edit?usp=sharing"",""นครนายก!J771"")+IMPORTRANGE(""https://docs.google.com/spreadsheets/d/1YTZo6WM2dQ6Ix6FSdnL"&amp;"5P7uVnVKu40sxZu975tgG10E/edit?usp=sharing"",""นครปฐม!J771"")+IMPORTRANGE(""https://docs.google.com/spreadsheets/d/1OYoGg4WDg5RIzwGeB10padOxJF9E_Vljuvvct_M7RDo/edit?usp=sharing"",""ปทุมธานี!J771"")+IMPORTRANGE(""https://docs.google.com/spreadsheets/d/1GbCI"&amp;"E4D4wk9FUozzqk7SxfDMxDVBwVmI5zcaVUSzKAc/edit?usp=sharing"",""ประจวบคีรีขันธ์!J771"")+IMPORTRANGE(""https://docs.google.com/spreadsheets/d/1vVf6wykvW_lAyu7Yo9L4hUTqHqIeP_qcVuxCtosJEbg/edit?usp=sharing"",""ปราจีนบุรี!J771"")+IMPORTRANGE(""https://docs.googl"&amp;"e.com/spreadsheets/d/1BIDqLLg5jk3v59G8NlR8rk5xfQDKne0sAvZHSj7TI6I/edit?usp=sharing"",""พระนครศรีอยุธยา!J771"")+IMPORTRANGE(""https://docs.google.com/spreadsheets/d/1YXvxf8Yu6_rV4hTBrwMqAcAnv6DfhUxh5emyM3CJp_w/edit?usp=sharing"",""เพชรบุรี!J771"")+IMPORTRA"&amp;"NGE(""https://docs.google.com/spreadsheets/d/19KBlQQs7uwvsao6t2n-KvW3Ax8J8uRRfZPq1zPbXgKc/edit?usp=sharing"",""ระยอง!J771"")+IMPORTRANGE(""https://docs.google.com/spreadsheets/d/1jQ6P4QcrGM89YfqcC_PxOHGCMq5ezhucwJd8ci-NHng/edit?usp=sharing"",""ราชบุรี!J77"&amp;"1"")+IMPORTRANGE(""https://docs.google.com/spreadsheets/d/1lufeA2cfFqM-elVq2hznhDzC6Pr7wkJ9ZG_sYNGCMCU/edit?usp=sharing"",""ลพบุรี!J771"")+IMPORTRANGE(""https://docs.google.com/spreadsheets/d/10oOiF7loTyfsTkbd4MpaIm0HQ9SwB7IYHdIUvt-U1Uc/edit?usp=sharing"""&amp;",""สระแก้ว!J771"")+IMPORTRANGE(""https://docs.google.com/spreadsheets/d/1xmPlrr1QbdSIKvl1dWUl9K4PjAfSL9oeMr_37QVzcxc/edit?usp=sharing"",""สระบุรี!J771"")+IMPORTRANGE(""https://docs.google.com/spreadsheets/d/1j51vR6CYVGhABJpv6tkstgok82RLpXieLzW1yOY5rHw/edi"&amp;"t?usp=sharing"",""สิงห์บุรี!J771"")+IMPORTRANGE(""https://docs.google.com/spreadsheets/d/1H1EalTWKUSzO4Z1-1CwzoDUaVffgrThEBe2sl74kKG0/edit?usp=sharing"",""สุพรรณบุรี!J771"")+IMPORTRANGE(""https://docs.google.com/spreadsheets/d/1BmIruG_sIrJLYao_Pdr7zVArWsf"&amp;"oBt2692TMi6x_854/edit?usp=sharing"",""อ่างทอง!J771"")"),0)</f>
        <v>0</v>
      </c>
      <c r="K772" s="74">
        <f ca="1">IF(I772&gt;0,J772*100/I772,0)</f>
        <v>0</v>
      </c>
      <c r="L772" s="87"/>
      <c r="M772" s="87"/>
      <c r="N772" s="87"/>
      <c r="O772" s="87"/>
      <c r="P772" s="87"/>
      <c r="Q772" s="86"/>
      <c r="R772" s="87"/>
      <c r="S772" s="87"/>
      <c r="T772" s="87"/>
      <c r="U772" s="87"/>
    </row>
    <row r="773" spans="1:21" ht="18.75" x14ac:dyDescent="0.25">
      <c r="A773" s="276"/>
      <c r="B773" s="277"/>
      <c r="C773" s="277"/>
      <c r="D773" s="745" t="s">
        <v>288</v>
      </c>
      <c r="E773" s="277"/>
      <c r="F773" s="290"/>
      <c r="G773" s="282"/>
      <c r="H773" s="310"/>
      <c r="I773" s="263"/>
      <c r="J773" s="263"/>
      <c r="K773" s="87"/>
      <c r="L773" s="87"/>
      <c r="M773" s="87"/>
      <c r="N773" s="87"/>
      <c r="O773" s="87"/>
      <c r="P773" s="87"/>
      <c r="Q773" s="86"/>
      <c r="R773" s="87"/>
      <c r="S773" s="87"/>
      <c r="T773" s="87"/>
      <c r="U773" s="87"/>
    </row>
    <row r="774" spans="1:21" ht="18.75" x14ac:dyDescent="0.25">
      <c r="A774" s="276"/>
      <c r="B774" s="277"/>
      <c r="C774" s="277"/>
      <c r="D774" s="745" t="s">
        <v>289</v>
      </c>
      <c r="E774" s="277"/>
      <c r="F774" s="290"/>
      <c r="G774" s="282"/>
      <c r="H774" s="275" t="s">
        <v>46</v>
      </c>
      <c r="I774" s="293">
        <f ca="1">IFERROR(__xludf.DUMMYFUNCTION("IMPORTRANGE(""https://docs.google.com/spreadsheets/d/13wPX838HrBrQMCywv1BsuMkt4PEKTChp52zj44s2izQ/edit?usp=sharing"",""กาญจนบุรี!I773"")+IMPORTRANGE(""https://docs.google.com/spreadsheets/d/1ddFKvqj1W1NEiWytbGlB1zMx_ykJDVtmfEQ-6-lIUBA/edit?usp=sharing"","&amp;"""จันทบุรี!I773"")+IMPORTRANGE(""https://docs.google.com/spreadsheets/d/1T1PQvRODqOBZk8BRht_U031fIS1beLA0Ub2CEytj2q0/edit?usp=sharing"",""ฉะเชิงเทรา!I773"")+IMPORTRANGE(""https://docs.google.com/spreadsheets/d/11tr1B-Bhyr79v2bkwVh5h_fR-PStkgjlZtkrZpYurG0/"&amp;"edit?usp=sharing"",""ชลบุรี!I773"")+IMPORTRANGE(""https://docs.google.com/spreadsheets/d/1hh-FVnSX0vozXhGluamEcS54Dw9_zqW0N7qJUWgJ0Sw/edit?usp=sharing"",""ชัยนาท!I773"")+IMPORTRANGE(""https://docs.google.com/spreadsheets/d/1jkqa6GXxSacMcY1eN8AHjMNJ_7dDXMJ"&amp;"VRLDlaFSOdPM/edit?usp=sharing"",""ตราด!I773"")+IMPORTRANGE(""https://docs.google.com/spreadsheets/d/18hSgUJ3VwClqi_qtULmmW3cLr0oe3OKaSYoKzdpTsYQ/edit?usp=sharing"",""นครนายก!I773"")+IMPORTRANGE(""https://docs.google.com/spreadsheets/d/1YTZo6WM2dQ6Ix6FSdnL"&amp;"5P7uVnVKu40sxZu975tgG10E/edit?usp=sharing"",""นครปฐม!I773"")+IMPORTRANGE(""https://docs.google.com/spreadsheets/d/1OYoGg4WDg5RIzwGeB10padOxJF9E_Vljuvvct_M7RDo/edit?usp=sharing"",""ปทุมธานี!I773"")+IMPORTRANGE(""https://docs.google.com/spreadsheets/d/1GbCI"&amp;"E4D4wk9FUozzqk7SxfDMxDVBwVmI5zcaVUSzKAc/edit?usp=sharing"",""ประจวบคีรีขันธ์!I773"")+IMPORTRANGE(""https://docs.google.com/spreadsheets/d/1vVf6wykvW_lAyu7Yo9L4hUTqHqIeP_qcVuxCtosJEbg/edit?usp=sharing"",""ปราจีนบุรี!I773"")+IMPORTRANGE(""https://docs.googl"&amp;"e.com/spreadsheets/d/1BIDqLLg5jk3v59G8NlR8rk5xfQDKne0sAvZHSj7TI6I/edit?usp=sharing"",""พระนครศรีอยุธยา!I773"")+IMPORTRANGE(""https://docs.google.com/spreadsheets/d/1YXvxf8Yu6_rV4hTBrwMqAcAnv6DfhUxh5emyM3CJp_w/edit?usp=sharing"",""เพชรบุรี!I773"")+IMPORTRA"&amp;"NGE(""https://docs.google.com/spreadsheets/d/19KBlQQs7uwvsao6t2n-KvW3Ax8J8uRRfZPq1zPbXgKc/edit?usp=sharing"",""ระยอง!I773"")+IMPORTRANGE(""https://docs.google.com/spreadsheets/d/1jQ6P4QcrGM89YfqcC_PxOHGCMq5ezhucwJd8ci-NHng/edit?usp=sharing"",""ราชบุรี!I77"&amp;"3"")+IMPORTRANGE(""https://docs.google.com/spreadsheets/d/1lufeA2cfFqM-elVq2hznhDzC6Pr7wkJ9ZG_sYNGCMCU/edit?usp=sharing"",""ลพบุรี!I773"")+IMPORTRANGE(""https://docs.google.com/spreadsheets/d/10oOiF7loTyfsTkbd4MpaIm0HQ9SwB7IYHdIUvt-U1Uc/edit?usp=sharing"""&amp;",""สระแก้ว!I773"")+IMPORTRANGE(""https://docs.google.com/spreadsheets/d/1xmPlrr1QbdSIKvl1dWUl9K4PjAfSL9oeMr_37QVzcxc/edit?usp=sharing"",""สระบุรี!I773"")+IMPORTRANGE(""https://docs.google.com/spreadsheets/d/1j51vR6CYVGhABJpv6tkstgok82RLpXieLzW1yOY5rHw/edi"&amp;"t?usp=sharing"",""สิงห์บุรี!I773"")+IMPORTRANGE(""https://docs.google.com/spreadsheets/d/1H1EalTWKUSzO4Z1-1CwzoDUaVffgrThEBe2sl74kKG0/edit?usp=sharing"",""สุพรรณบุรี!I773"")+IMPORTRANGE(""https://docs.google.com/spreadsheets/d/1BmIruG_sIrJLYao_Pdr7zVArWsf"&amp;"oBt2692TMi6x_854/edit?usp=sharing"",""อ่างทอง!I773"")"),885)</f>
        <v>885</v>
      </c>
      <c r="J774" s="294">
        <f ca="1">IFERROR(__xludf.DUMMYFUNCTION("IMPORTRANGE(""https://docs.google.com/spreadsheets/d/13wPX838HrBrQMCywv1BsuMkt4PEKTChp52zj44s2izQ/edit?usp=sharing"",""กาญจนบุรี!J773"")+IMPORTRANGE(""https://docs.google.com/spreadsheets/d/1ddFKvqj1W1NEiWytbGlB1zMx_ykJDVtmfEQ-6-lIUBA/edit?usp=sharing"","&amp;"""จันทบุรี!J773"")+IMPORTRANGE(""https://docs.google.com/spreadsheets/d/1T1PQvRODqOBZk8BRht_U031fIS1beLA0Ub2CEytj2q0/edit?usp=sharing"",""ฉะเชิงเทรา!J773"")+IMPORTRANGE(""https://docs.google.com/spreadsheets/d/11tr1B-Bhyr79v2bkwVh5h_fR-PStkgjlZtkrZpYurG0/"&amp;"edit?usp=sharing"",""ชลบุรี!J773"")+IMPORTRANGE(""https://docs.google.com/spreadsheets/d/1hh-FVnSX0vozXhGluamEcS54Dw9_zqW0N7qJUWgJ0Sw/edit?usp=sharing"",""ชัยนาท!J773"")+IMPORTRANGE(""https://docs.google.com/spreadsheets/d/1jkqa6GXxSacMcY1eN8AHjMNJ_7dDXMJ"&amp;"VRLDlaFSOdPM/edit?usp=sharing"",""ตราด!J773"")+IMPORTRANGE(""https://docs.google.com/spreadsheets/d/18hSgUJ3VwClqi_qtULmmW3cLr0oe3OKaSYoKzdpTsYQ/edit?usp=sharing"",""นครนายก!J773"")+IMPORTRANGE(""https://docs.google.com/spreadsheets/d/1YTZo6WM2dQ6Ix6FSdnL"&amp;"5P7uVnVKu40sxZu975tgG10E/edit?usp=sharing"",""นครปฐม!J773"")+IMPORTRANGE(""https://docs.google.com/spreadsheets/d/1OYoGg4WDg5RIzwGeB10padOxJF9E_Vljuvvct_M7RDo/edit?usp=sharing"",""ปทุมธานี!J773"")+IMPORTRANGE(""https://docs.google.com/spreadsheets/d/1GbCI"&amp;"E4D4wk9FUozzqk7SxfDMxDVBwVmI5zcaVUSzKAc/edit?usp=sharing"",""ประจวบคีรีขันธ์!J773"")+IMPORTRANGE(""https://docs.google.com/spreadsheets/d/1vVf6wykvW_lAyu7Yo9L4hUTqHqIeP_qcVuxCtosJEbg/edit?usp=sharing"",""ปราจีนบุรี!J773"")+IMPORTRANGE(""https://docs.googl"&amp;"e.com/spreadsheets/d/1BIDqLLg5jk3v59G8NlR8rk5xfQDKne0sAvZHSj7TI6I/edit?usp=sharing"",""พระนครศรีอยุธยา!J773"")+IMPORTRANGE(""https://docs.google.com/spreadsheets/d/1YXvxf8Yu6_rV4hTBrwMqAcAnv6DfhUxh5emyM3CJp_w/edit?usp=sharing"",""เพชรบุรี!J773"")+IMPORTRA"&amp;"NGE(""https://docs.google.com/spreadsheets/d/19KBlQQs7uwvsao6t2n-KvW3Ax8J8uRRfZPq1zPbXgKc/edit?usp=sharing"",""ระยอง!J773"")+IMPORTRANGE(""https://docs.google.com/spreadsheets/d/1jQ6P4QcrGM89YfqcC_PxOHGCMq5ezhucwJd8ci-NHng/edit?usp=sharing"",""ราชบุรี!J77"&amp;"3"")+IMPORTRANGE(""https://docs.google.com/spreadsheets/d/1lufeA2cfFqM-elVq2hznhDzC6Pr7wkJ9ZG_sYNGCMCU/edit?usp=sharing"",""ลพบุรี!J773"")+IMPORTRANGE(""https://docs.google.com/spreadsheets/d/10oOiF7loTyfsTkbd4MpaIm0HQ9SwB7IYHdIUvt-U1Uc/edit?usp=sharing"""&amp;",""สระแก้ว!J773"")+IMPORTRANGE(""https://docs.google.com/spreadsheets/d/1xmPlrr1QbdSIKvl1dWUl9K4PjAfSL9oeMr_37QVzcxc/edit?usp=sharing"",""สระบุรี!J773"")+IMPORTRANGE(""https://docs.google.com/spreadsheets/d/1j51vR6CYVGhABJpv6tkstgok82RLpXieLzW1yOY5rHw/edi"&amp;"t?usp=sharing"",""สิงห์บุรี!J773"")+IMPORTRANGE(""https://docs.google.com/spreadsheets/d/1H1EalTWKUSzO4Z1-1CwzoDUaVffgrThEBe2sl74kKG0/edit?usp=sharing"",""สุพรรณบุรี!J773"")+IMPORTRANGE(""https://docs.google.com/spreadsheets/d/1BmIruG_sIrJLYao_Pdr7zVArWsf"&amp;"oBt2692TMi6x_854/edit?usp=sharing"",""อ่างทอง!J773"")"),0)</f>
        <v>0</v>
      </c>
      <c r="K774" s="74">
        <f ca="1">IF(I774&gt;0,J774*100/I774,0)</f>
        <v>0</v>
      </c>
      <c r="L774" s="87"/>
      <c r="M774" s="87"/>
      <c r="N774" s="87"/>
      <c r="O774" s="87"/>
      <c r="P774" s="87"/>
      <c r="Q774" s="86"/>
      <c r="R774" s="87"/>
      <c r="S774" s="87"/>
      <c r="T774" s="87"/>
      <c r="U774" s="87"/>
    </row>
    <row r="775" spans="1:21" ht="18.75" x14ac:dyDescent="0.25">
      <c r="A775" s="276"/>
      <c r="B775" s="277"/>
      <c r="C775" s="277"/>
      <c r="D775" s="745" t="s">
        <v>50</v>
      </c>
      <c r="E775" s="290"/>
      <c r="F775" s="258"/>
      <c r="G775" s="261"/>
      <c r="H775" s="275" t="s">
        <v>46</v>
      </c>
      <c r="I775" s="293">
        <f ca="1">IFERROR(__xludf.DUMMYFUNCTION("IMPORTRANGE(""https://docs.google.com/spreadsheets/d/13wPX838HrBrQMCywv1BsuMkt4PEKTChp52zj44s2izQ/edit?usp=sharing"",""กาญจนบุรี!I774"")+IMPORTRANGE(""https://docs.google.com/spreadsheets/d/1ddFKvqj1W1NEiWytbGlB1zMx_ykJDVtmfEQ-6-lIUBA/edit?usp=sharing"","&amp;"""จันทบุรี!I774"")+IMPORTRANGE(""https://docs.google.com/spreadsheets/d/1T1PQvRODqOBZk8BRht_U031fIS1beLA0Ub2CEytj2q0/edit?usp=sharing"",""ฉะเชิงเทรา!I774"")+IMPORTRANGE(""https://docs.google.com/spreadsheets/d/11tr1B-Bhyr79v2bkwVh5h_fR-PStkgjlZtkrZpYurG0/"&amp;"edit?usp=sharing"",""ชลบุรี!I774"")+IMPORTRANGE(""https://docs.google.com/spreadsheets/d/1hh-FVnSX0vozXhGluamEcS54Dw9_zqW0N7qJUWgJ0Sw/edit?usp=sharing"",""ชัยนาท!I774"")+IMPORTRANGE(""https://docs.google.com/spreadsheets/d/1jkqa6GXxSacMcY1eN8AHjMNJ_7dDXMJ"&amp;"VRLDlaFSOdPM/edit?usp=sharing"",""ตราด!I774"")+IMPORTRANGE(""https://docs.google.com/spreadsheets/d/18hSgUJ3VwClqi_qtULmmW3cLr0oe3OKaSYoKzdpTsYQ/edit?usp=sharing"",""นครนายก!I774"")+IMPORTRANGE(""https://docs.google.com/spreadsheets/d/1YTZo6WM2dQ6Ix6FSdnL"&amp;"5P7uVnVKu40sxZu975tgG10E/edit?usp=sharing"",""นครปฐม!I774"")+IMPORTRANGE(""https://docs.google.com/spreadsheets/d/1OYoGg4WDg5RIzwGeB10padOxJF9E_Vljuvvct_M7RDo/edit?usp=sharing"",""ปทุมธานี!I774"")+IMPORTRANGE(""https://docs.google.com/spreadsheets/d/1GbCI"&amp;"E4D4wk9FUozzqk7SxfDMxDVBwVmI5zcaVUSzKAc/edit?usp=sharing"",""ประจวบคีรีขันธ์!I774"")+IMPORTRANGE(""https://docs.google.com/spreadsheets/d/1vVf6wykvW_lAyu7Yo9L4hUTqHqIeP_qcVuxCtosJEbg/edit?usp=sharing"",""ปราจีนบุรี!I774"")+IMPORTRANGE(""https://docs.googl"&amp;"e.com/spreadsheets/d/1BIDqLLg5jk3v59G8NlR8rk5xfQDKne0sAvZHSj7TI6I/edit?usp=sharing"",""พระนครศรีอยุธยา!I774"")+IMPORTRANGE(""https://docs.google.com/spreadsheets/d/1YXvxf8Yu6_rV4hTBrwMqAcAnv6DfhUxh5emyM3CJp_w/edit?usp=sharing"",""เพชรบุรี!I774"")+IMPORTRA"&amp;"NGE(""https://docs.google.com/spreadsheets/d/19KBlQQs7uwvsao6t2n-KvW3Ax8J8uRRfZPq1zPbXgKc/edit?usp=sharing"",""ระยอง!I774"")+IMPORTRANGE(""https://docs.google.com/spreadsheets/d/1jQ6P4QcrGM89YfqcC_PxOHGCMq5ezhucwJd8ci-NHng/edit?usp=sharing"",""ราชบุรี!I77"&amp;"4"")+IMPORTRANGE(""https://docs.google.com/spreadsheets/d/1lufeA2cfFqM-elVq2hznhDzC6Pr7wkJ9ZG_sYNGCMCU/edit?usp=sharing"",""ลพบุรี!I774"")+IMPORTRANGE(""https://docs.google.com/spreadsheets/d/10oOiF7loTyfsTkbd4MpaIm0HQ9SwB7IYHdIUvt-U1Uc/edit?usp=sharing"""&amp;",""สระแก้ว!I774"")+IMPORTRANGE(""https://docs.google.com/spreadsheets/d/1xmPlrr1QbdSIKvl1dWUl9K4PjAfSL9oeMr_37QVzcxc/edit?usp=sharing"",""สระบุรี!I774"")+IMPORTRANGE(""https://docs.google.com/spreadsheets/d/1j51vR6CYVGhABJpv6tkstgok82RLpXieLzW1yOY5rHw/edi"&amp;"t?usp=sharing"",""สิงห์บุรี!I774"")+IMPORTRANGE(""https://docs.google.com/spreadsheets/d/1H1EalTWKUSzO4Z1-1CwzoDUaVffgrThEBe2sl74kKG0/edit?usp=sharing"",""สุพรรณบุรี!I774"")+IMPORTRANGE(""https://docs.google.com/spreadsheets/d/1BmIruG_sIrJLYao_Pdr7zVArWsf"&amp;"oBt2692TMi6x_854/edit?usp=sharing"",""อ่างทอง!I774"")"),885)</f>
        <v>885</v>
      </c>
      <c r="J775" s="294">
        <f ca="1">IFERROR(__xludf.DUMMYFUNCTION("IMPORTRANGE(""https://docs.google.com/spreadsheets/d/13wPX838HrBrQMCywv1BsuMkt4PEKTChp52zj44s2izQ/edit?usp=sharing"",""กาญจนบุรี!J774"")+IMPORTRANGE(""https://docs.google.com/spreadsheets/d/1ddFKvqj1W1NEiWytbGlB1zMx_ykJDVtmfEQ-6-lIUBA/edit?usp=sharing"","&amp;"""จันทบุรี!J774"")+IMPORTRANGE(""https://docs.google.com/spreadsheets/d/1T1PQvRODqOBZk8BRht_U031fIS1beLA0Ub2CEytj2q0/edit?usp=sharing"",""ฉะเชิงเทรา!J774"")+IMPORTRANGE(""https://docs.google.com/spreadsheets/d/11tr1B-Bhyr79v2bkwVh5h_fR-PStkgjlZtkrZpYurG0/"&amp;"edit?usp=sharing"",""ชลบุรี!J774"")+IMPORTRANGE(""https://docs.google.com/spreadsheets/d/1hh-FVnSX0vozXhGluamEcS54Dw9_zqW0N7qJUWgJ0Sw/edit?usp=sharing"",""ชัยนาท!J774"")+IMPORTRANGE(""https://docs.google.com/spreadsheets/d/1jkqa6GXxSacMcY1eN8AHjMNJ_7dDXMJ"&amp;"VRLDlaFSOdPM/edit?usp=sharing"",""ตราด!J774"")+IMPORTRANGE(""https://docs.google.com/spreadsheets/d/18hSgUJ3VwClqi_qtULmmW3cLr0oe3OKaSYoKzdpTsYQ/edit?usp=sharing"",""นครนายก!J774"")+IMPORTRANGE(""https://docs.google.com/spreadsheets/d/1YTZo6WM2dQ6Ix6FSdnL"&amp;"5P7uVnVKu40sxZu975tgG10E/edit?usp=sharing"",""นครปฐม!J774"")+IMPORTRANGE(""https://docs.google.com/spreadsheets/d/1OYoGg4WDg5RIzwGeB10padOxJF9E_Vljuvvct_M7RDo/edit?usp=sharing"",""ปทุมธานี!J774"")+IMPORTRANGE(""https://docs.google.com/spreadsheets/d/1GbCI"&amp;"E4D4wk9FUozzqk7SxfDMxDVBwVmI5zcaVUSzKAc/edit?usp=sharing"",""ประจวบคีรีขันธ์!J774"")+IMPORTRANGE(""https://docs.google.com/spreadsheets/d/1vVf6wykvW_lAyu7Yo9L4hUTqHqIeP_qcVuxCtosJEbg/edit?usp=sharing"",""ปราจีนบุรี!J774"")+IMPORTRANGE(""https://docs.googl"&amp;"e.com/spreadsheets/d/1BIDqLLg5jk3v59G8NlR8rk5xfQDKne0sAvZHSj7TI6I/edit?usp=sharing"",""พระนครศรีอยุธยา!J774"")+IMPORTRANGE(""https://docs.google.com/spreadsheets/d/1YXvxf8Yu6_rV4hTBrwMqAcAnv6DfhUxh5emyM3CJp_w/edit?usp=sharing"",""เพชรบุรี!J774"")+IMPORTRA"&amp;"NGE(""https://docs.google.com/spreadsheets/d/19KBlQQs7uwvsao6t2n-KvW3Ax8J8uRRfZPq1zPbXgKc/edit?usp=sharing"",""ระยอง!J774"")+IMPORTRANGE(""https://docs.google.com/spreadsheets/d/1jQ6P4QcrGM89YfqcC_PxOHGCMq5ezhucwJd8ci-NHng/edit?usp=sharing"",""ราชบุรี!J77"&amp;"4"")+IMPORTRANGE(""https://docs.google.com/spreadsheets/d/1lufeA2cfFqM-elVq2hznhDzC6Pr7wkJ9ZG_sYNGCMCU/edit?usp=sharing"",""ลพบุรี!J774"")+IMPORTRANGE(""https://docs.google.com/spreadsheets/d/10oOiF7loTyfsTkbd4MpaIm0HQ9SwB7IYHdIUvt-U1Uc/edit?usp=sharing"""&amp;",""สระแก้ว!J774"")+IMPORTRANGE(""https://docs.google.com/spreadsheets/d/1xmPlrr1QbdSIKvl1dWUl9K4PjAfSL9oeMr_37QVzcxc/edit?usp=sharing"",""สระบุรี!J774"")+IMPORTRANGE(""https://docs.google.com/spreadsheets/d/1j51vR6CYVGhABJpv6tkstgok82RLpXieLzW1yOY5rHw/edi"&amp;"t?usp=sharing"",""สิงห์บุรี!J774"")+IMPORTRANGE(""https://docs.google.com/spreadsheets/d/1H1EalTWKUSzO4Z1-1CwzoDUaVffgrThEBe2sl74kKG0/edit?usp=sharing"",""สุพรรณบุรี!J774"")+IMPORTRANGE(""https://docs.google.com/spreadsheets/d/1BmIruG_sIrJLYao_Pdr7zVArWsf"&amp;"oBt2692TMi6x_854/edit?usp=sharing"",""อ่างทอง!J774"")"),0)</f>
        <v>0</v>
      </c>
      <c r="K775" s="87"/>
      <c r="L775" s="87"/>
      <c r="M775" s="87"/>
      <c r="N775" s="87"/>
      <c r="O775" s="87"/>
      <c r="P775" s="87"/>
      <c r="Q775" s="86"/>
      <c r="R775" s="87"/>
      <c r="S775" s="87"/>
      <c r="T775" s="87"/>
      <c r="U775" s="87"/>
    </row>
    <row r="776" spans="1:21" ht="18.75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13wPX838HrBrQMCywv1BsuMkt4PEKTChp52zj44s2izQ/edit?usp=sharing"",""กาญจนบุรี!I775"")+IMPORTRANGE(""https://docs.google.com/spreadsheets/d/1ddFKvqj1W1NEiWytbGlB1zMx_ykJDVtmfEQ-6-lIUBA/edit?usp=sharing"","&amp;"""จันทบุรี!I775"")+IMPORTRANGE(""https://docs.google.com/spreadsheets/d/1T1PQvRODqOBZk8BRht_U031fIS1beLA0Ub2CEytj2q0/edit?usp=sharing"",""ฉะเชิงเทรา!I775"")+IMPORTRANGE(""https://docs.google.com/spreadsheets/d/11tr1B-Bhyr79v2bkwVh5h_fR-PStkgjlZtkrZpYurG0/"&amp;"edit?usp=sharing"",""ชลบุรี!I775"")+IMPORTRANGE(""https://docs.google.com/spreadsheets/d/1hh-FVnSX0vozXhGluamEcS54Dw9_zqW0N7qJUWgJ0Sw/edit?usp=sharing"",""ชัยนาท!I775"")+IMPORTRANGE(""https://docs.google.com/spreadsheets/d/1jkqa6GXxSacMcY1eN8AHjMNJ_7dDXMJ"&amp;"VRLDlaFSOdPM/edit?usp=sharing"",""ตราด!I775"")+IMPORTRANGE(""https://docs.google.com/spreadsheets/d/18hSgUJ3VwClqi_qtULmmW3cLr0oe3OKaSYoKzdpTsYQ/edit?usp=sharing"",""นครนายก!I775"")+IMPORTRANGE(""https://docs.google.com/spreadsheets/d/1YTZo6WM2dQ6Ix6FSdnL"&amp;"5P7uVnVKu40sxZu975tgG10E/edit?usp=sharing"",""นครปฐม!I775"")+IMPORTRANGE(""https://docs.google.com/spreadsheets/d/1OYoGg4WDg5RIzwGeB10padOxJF9E_Vljuvvct_M7RDo/edit?usp=sharing"",""ปทุมธานี!I775"")+IMPORTRANGE(""https://docs.google.com/spreadsheets/d/1GbCI"&amp;"E4D4wk9FUozzqk7SxfDMxDVBwVmI5zcaVUSzKAc/edit?usp=sharing"",""ประจวบคีรีขันธ์!I775"")+IMPORTRANGE(""https://docs.google.com/spreadsheets/d/1vVf6wykvW_lAyu7Yo9L4hUTqHqIeP_qcVuxCtosJEbg/edit?usp=sharing"",""ปราจีนบุรี!I775"")+IMPORTRANGE(""https://docs.googl"&amp;"e.com/spreadsheets/d/1BIDqLLg5jk3v59G8NlR8rk5xfQDKne0sAvZHSj7TI6I/edit?usp=sharing"",""พระนครศรีอยุธยา!I775"")+IMPORTRANGE(""https://docs.google.com/spreadsheets/d/1YXvxf8Yu6_rV4hTBrwMqAcAnv6DfhUxh5emyM3CJp_w/edit?usp=sharing"",""เพชรบุรี!I775"")+IMPORTRA"&amp;"NGE(""https://docs.google.com/spreadsheets/d/19KBlQQs7uwvsao6t2n-KvW3Ax8J8uRRfZPq1zPbXgKc/edit?usp=sharing"",""ระยอง!I775"")+IMPORTRANGE(""https://docs.google.com/spreadsheets/d/1jQ6P4QcrGM89YfqcC_PxOHGCMq5ezhucwJd8ci-NHng/edit?usp=sharing"",""ราชบุรี!I77"&amp;"5"")+IMPORTRANGE(""https://docs.google.com/spreadsheets/d/1lufeA2cfFqM-elVq2hznhDzC6Pr7wkJ9ZG_sYNGCMCU/edit?usp=sharing"",""ลพบุรี!I775"")+IMPORTRANGE(""https://docs.google.com/spreadsheets/d/10oOiF7loTyfsTkbd4MpaIm0HQ9SwB7IYHdIUvt-U1Uc/edit?usp=sharing"""&amp;",""สระแก้ว!I775"")+IMPORTRANGE(""https://docs.google.com/spreadsheets/d/1xmPlrr1QbdSIKvl1dWUl9K4PjAfSL9oeMr_37QVzcxc/edit?usp=sharing"",""สระบุรี!I775"")+IMPORTRANGE(""https://docs.google.com/spreadsheets/d/1j51vR6CYVGhABJpv6tkstgok82RLpXieLzW1yOY5rHw/edi"&amp;"t?usp=sharing"",""สิงห์บุรี!I775"")+IMPORTRANGE(""https://docs.google.com/spreadsheets/d/1H1EalTWKUSzO4Z1-1CwzoDUaVffgrThEBe2sl74kKG0/edit?usp=sharing"",""สุพรรณบุรี!I775"")+IMPORTRANGE(""https://docs.google.com/spreadsheets/d/1BmIruG_sIrJLYao_Pdr7zVArWsf"&amp;"oBt2692TMi6x_854/edit?usp=sharing"",""อ่างทอง!I775"")"),425)</f>
        <v>425</v>
      </c>
      <c r="J776" s="761">
        <f ca="1">IFERROR(__xludf.DUMMYFUNCTION("IMPORTRANGE(""https://docs.google.com/spreadsheets/d/13wPX838HrBrQMCywv1BsuMkt4PEKTChp52zj44s2izQ/edit?usp=sharing"",""กาญจนบุรี!J775"")+IMPORTRANGE(""https://docs.google.com/spreadsheets/d/1ddFKvqj1W1NEiWytbGlB1zMx_ykJDVtmfEQ-6-lIUBA/edit?usp=sharing"","&amp;"""จันทบุรี!J775"")+IMPORTRANGE(""https://docs.google.com/spreadsheets/d/1T1PQvRODqOBZk8BRht_U031fIS1beLA0Ub2CEytj2q0/edit?usp=sharing"",""ฉะเชิงเทรา!J775"")+IMPORTRANGE(""https://docs.google.com/spreadsheets/d/11tr1B-Bhyr79v2bkwVh5h_fR-PStkgjlZtkrZpYurG0/"&amp;"edit?usp=sharing"",""ชลบุรี!J775"")+IMPORTRANGE(""https://docs.google.com/spreadsheets/d/1hh-FVnSX0vozXhGluamEcS54Dw9_zqW0N7qJUWgJ0Sw/edit?usp=sharing"",""ชัยนาท!J775"")+IMPORTRANGE(""https://docs.google.com/spreadsheets/d/1jkqa6GXxSacMcY1eN8AHjMNJ_7dDXMJ"&amp;"VRLDlaFSOdPM/edit?usp=sharing"",""ตราด!J775"")+IMPORTRANGE(""https://docs.google.com/spreadsheets/d/18hSgUJ3VwClqi_qtULmmW3cLr0oe3OKaSYoKzdpTsYQ/edit?usp=sharing"",""นครนายก!J775"")+IMPORTRANGE(""https://docs.google.com/spreadsheets/d/1YTZo6WM2dQ6Ix6FSdnL"&amp;"5P7uVnVKu40sxZu975tgG10E/edit?usp=sharing"",""นครปฐม!J775"")+IMPORTRANGE(""https://docs.google.com/spreadsheets/d/1OYoGg4WDg5RIzwGeB10padOxJF9E_Vljuvvct_M7RDo/edit?usp=sharing"",""ปทุมธานี!J775"")+IMPORTRANGE(""https://docs.google.com/spreadsheets/d/1GbCI"&amp;"E4D4wk9FUozzqk7SxfDMxDVBwVmI5zcaVUSzKAc/edit?usp=sharing"",""ประจวบคีรีขันธ์!J775"")+IMPORTRANGE(""https://docs.google.com/spreadsheets/d/1vVf6wykvW_lAyu7Yo9L4hUTqHqIeP_qcVuxCtosJEbg/edit?usp=sharing"",""ปราจีนบุรี!J775"")+IMPORTRANGE(""https://docs.googl"&amp;"e.com/spreadsheets/d/1BIDqLLg5jk3v59G8NlR8rk5xfQDKne0sAvZHSj7TI6I/edit?usp=sharing"",""พระนครศรีอยุธยา!J775"")+IMPORTRANGE(""https://docs.google.com/spreadsheets/d/1YXvxf8Yu6_rV4hTBrwMqAcAnv6DfhUxh5emyM3CJp_w/edit?usp=sharing"",""เพชรบุรี!J775"")+IMPORTRA"&amp;"NGE(""https://docs.google.com/spreadsheets/d/19KBlQQs7uwvsao6t2n-KvW3Ax8J8uRRfZPq1zPbXgKc/edit?usp=sharing"",""ระยอง!J775"")+IMPORTRANGE(""https://docs.google.com/spreadsheets/d/1jQ6P4QcrGM89YfqcC_PxOHGCMq5ezhucwJd8ci-NHng/edit?usp=sharing"",""ราชบุรี!J77"&amp;"5"")+IMPORTRANGE(""https://docs.google.com/spreadsheets/d/1lufeA2cfFqM-elVq2hznhDzC6Pr7wkJ9ZG_sYNGCMCU/edit?usp=sharing"",""ลพบุรี!J775"")+IMPORTRANGE(""https://docs.google.com/spreadsheets/d/10oOiF7loTyfsTkbd4MpaIm0HQ9SwB7IYHdIUvt-U1Uc/edit?usp=sharing"""&amp;",""สระแก้ว!J775"")+IMPORTRANGE(""https://docs.google.com/spreadsheets/d/1xmPlrr1QbdSIKvl1dWUl9K4PjAfSL9oeMr_37QVzcxc/edit?usp=sharing"",""สระบุรี!J775"")+IMPORTRANGE(""https://docs.google.com/spreadsheets/d/1j51vR6CYVGhABJpv6tkstgok82RLpXieLzW1yOY5rHw/edi"&amp;"t?usp=sharing"",""สิงห์บุรี!J775"")+IMPORTRANGE(""https://docs.google.com/spreadsheets/d/1H1EalTWKUSzO4Z1-1CwzoDUaVffgrThEBe2sl74kKG0/edit?usp=sharing"",""สุพรรณบุรี!J775"")+IMPORTRANGE(""https://docs.google.com/spreadsheets/d/1BmIruG_sIrJLYao_Pdr7zVArWsf"&amp;"oBt2692TMi6x_854/edit?usp=sharing"",""อ่างทอง!J775"")"),0)</f>
        <v>0</v>
      </c>
      <c r="K776" s="98"/>
      <c r="L776" s="98"/>
      <c r="M776" s="98"/>
      <c r="N776" s="98"/>
      <c r="O776" s="98"/>
      <c r="P776" s="98"/>
      <c r="Q776" s="97"/>
      <c r="R776" s="98"/>
      <c r="S776" s="98"/>
      <c r="T776" s="98"/>
      <c r="U776" s="98"/>
    </row>
    <row r="777" spans="1:21" ht="19.5" x14ac:dyDescent="0.3">
      <c r="A777" s="787" t="s">
        <v>290</v>
      </c>
      <c r="B777" s="788"/>
      <c r="C777" s="788"/>
      <c r="D777" s="788"/>
      <c r="E777" s="789"/>
      <c r="F777" s="789"/>
      <c r="G777" s="790"/>
      <c r="H777" s="791" t="str">
        <f ca="1">IFERROR(__xludf.DUMMYFUNCTION("IMPORTRANGE(""https://docs.google.com/spreadsheets/d/1gNPQPjxUj63ZZXIIIm2aX4x3w7PhAZpC9JuXdbpWwUQ/edit?usp=sharing"",""Sheet1!b2"")")," (ข้อมูล ณ 31 ม.ค. 67)")</f>
        <v xml:space="preserve"> 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550"/>
      <c r="B778" s="589" t="s">
        <v>291</v>
      </c>
      <c r="C778" s="269"/>
      <c r="D778" s="269"/>
      <c r="E778" s="258"/>
      <c r="F778" s="258"/>
      <c r="G778" s="261"/>
      <c r="H778" s="268" t="s">
        <v>14</v>
      </c>
      <c r="I778" s="293" t="str">
        <f ca="1">IFERROR(__xludf.DUMMYFUNCTION("IMPORTRANGE(""https://docs.google.com/spreadsheets/d/13wPX838HrBrQMCywv1BsuMkt4PEKTChp52zj44s2izQ/edit?usp=sharing"",""กาญจนบุรี!I777"")+IMPORTRANGE(""https://docs.google.com/spreadsheets/d/1ddFKvqj1W1NEiWytbGlB1zMx_ykJDVtmfEQ-6-lIUBA/edit?usp=sharing"","&amp;"""จันทบุรี!I777"")+IMPORTRANGE(""https://docs.google.com/spreadsheets/d/1T1PQvRODqOBZk8BRht_U031fIS1beLA0Ub2CEytj2q0/edit?usp=sharing"",""ฉะเชิงเทรา!I777"")+IMPORTRANGE(""https://docs.google.com/spreadsheets/d/11tr1B-Bhyr79v2bkwVh5h_fR-PStkgjlZtkrZpYurG0/"&amp;"edit?usp=sharing"",""ชลบุรี!I777"")+IMPORTRANGE(""https://docs.google.com/spreadsheets/d/1hh-FVnSX0vozXhGluamEcS54Dw9_zqW0N7qJUWgJ0Sw/edit?usp=sharing"",""ชัยนาท!I777"")+IMPORTRANGE(""https://docs.google.com/spreadsheets/d/1jkqa6GXxSacMcY1eN8AHjMNJ_7dDXMJ"&amp;"VRLDlaFSOdPM/edit?usp=sharing"",""ตราด!I777"")+IMPORTRANGE(""https://docs.google.com/spreadsheets/d/18hSgUJ3VwClqi_qtULmmW3cLr0oe3OKaSYoKzdpTsYQ/edit?usp=sharing"",""นครนายก!I777"")+IMPORTRANGE(""https://docs.google.com/spreadsheets/d/1YTZo6WM2dQ6Ix6FSdnL"&amp;"5P7uVnVKu40sxZu975tgG10E/edit?usp=sharing"",""นครปฐม!I777"")+IMPORTRANGE(""https://docs.google.com/spreadsheets/d/1OYoGg4WDg5RIzwGeB10padOxJF9E_Vljuvvct_M7RDo/edit?usp=sharing"",""ปทุมธานี!I777"")+IMPORTRANGE(""https://docs.google.com/spreadsheets/d/1GbCI"&amp;"E4D4wk9FUozzqk7SxfDMxDVBwVmI5zcaVUSzKAc/edit?usp=sharing"",""ประจวบคีรีขันธ์!I777"")+IMPORTRANGE(""https://docs.google.com/spreadsheets/d/1vVf6wykvW_lAyu7Yo9L4hUTqHqIeP_qcVuxCtosJEbg/edit?usp=sharing"",""ปราจีนบุรี!I777"")+IMPORTRANGE(""https://docs.googl"&amp;"e.com/spreadsheets/d/1BIDqLLg5jk3v59G8NlR8rk5xfQDKne0sAvZHSj7TI6I/edit?usp=sharing"",""พระนครศรีอยุธยา!I777"")+IMPORTRANGE(""https://docs.google.com/spreadsheets/d/1YXvxf8Yu6_rV4hTBrwMqAcAnv6DfhUxh5emyM3CJp_w/edit?usp=sharing"",""เพชรบุรี!I777"")+IMPORTRA"&amp;"NGE(""https://docs.google.com/spreadsheets/d/19KBlQQs7uwvsao6t2n-KvW3Ax8J8uRRfZPq1zPbXgKc/edit?usp=sharing"",""ระยอง!I777"")+IMPORTRANGE(""https://docs.google.com/spreadsheets/d/1jQ6P4QcrGM89YfqcC_PxOHGCMq5ezhucwJd8ci-NHng/edit?usp=sharing"",""ราชบุรี!I77"&amp;"7"")+IMPORTRANGE(""https://docs.google.com/spreadsheets/d/1lufeA2cfFqM-elVq2hznhDzC6Pr7wkJ9ZG_sYNGCMCU/edit?usp=sharing"",""ลพบุรี!I777"")+IMPORTRANGE(""https://docs.google.com/spreadsheets/d/10oOiF7loTyfsTkbd4MpaIm0HQ9SwB7IYHdIUvt-U1Uc/edit?usp=sharing"""&amp;",""สระแก้ว!I777"")+IMPORTRANGE(""https://docs.google.com/spreadsheets/d/1xmPlrr1QbdSIKvl1dWUl9K4PjAfSL9oeMr_37QVzcxc/edit?usp=sharing"",""สระบุรี!I777"")+IMPORTRANGE(""https://docs.google.com/spreadsheets/d/1j51vR6CYVGhABJpv6tkstgok82RLpXieLzW1yOY5rHw/edi"&amp;"t?usp=sharing"",""สิงห์บุรี!I777"")+IMPORTRANGE(""https://docs.google.com/spreadsheets/d/1H1EalTWKUSzO4Z1-1CwzoDUaVffgrThEBe2sl74kKG0/edit?usp=sharing"",""สุพรรณบุรี!I777"")+IMPORTRANGE(""https://docs.google.com/spreadsheets/d/1BmIruG_sIrJLYao_Pdr7zVArWsf"&amp;"oBt2692TMi6x_854/edit?usp=sharing"",""อ่างทอง!I777"")"),"#REF!")</f>
        <v>#REF!</v>
      </c>
      <c r="J778" s="293" t="str">
        <f ca="1">IFERROR(__xludf.DUMMYFUNCTION("IMPORTRANGE(""https://docs.google.com/spreadsheets/d/13wPX838HrBrQMCywv1BsuMkt4PEKTChp52zj44s2izQ/edit?usp=sharing"",""กาญจนบุรี!J777"")+IMPORTRANGE(""https://docs.google.com/spreadsheets/d/1ddFKvqj1W1NEiWytbGlB1zMx_ykJDVtmfEQ-6-lIUBA/edit?usp=sharing"","&amp;"""จันทบุรี!J777"")+IMPORTRANGE(""https://docs.google.com/spreadsheets/d/1T1PQvRODqOBZk8BRht_U031fIS1beLA0Ub2CEytj2q0/edit?usp=sharing"",""ฉะเชิงเทรา!J777"")+IMPORTRANGE(""https://docs.google.com/spreadsheets/d/11tr1B-Bhyr79v2bkwVh5h_fR-PStkgjlZtkrZpYurG0/"&amp;"edit?usp=sharing"",""ชลบุรี!J777"")+IMPORTRANGE(""https://docs.google.com/spreadsheets/d/1hh-FVnSX0vozXhGluamEcS54Dw9_zqW0N7qJUWgJ0Sw/edit?usp=sharing"",""ชัยนาท!J777"")+IMPORTRANGE(""https://docs.google.com/spreadsheets/d/1jkqa6GXxSacMcY1eN8AHjMNJ_7dDXMJ"&amp;"VRLDlaFSOdPM/edit?usp=sharing"",""ตราด!J777"")+IMPORTRANGE(""https://docs.google.com/spreadsheets/d/18hSgUJ3VwClqi_qtULmmW3cLr0oe3OKaSYoKzdpTsYQ/edit?usp=sharing"",""นครนายก!J777"")+IMPORTRANGE(""https://docs.google.com/spreadsheets/d/1YTZo6WM2dQ6Ix6FSdnL"&amp;"5P7uVnVKu40sxZu975tgG10E/edit?usp=sharing"",""นครปฐม!J777"")+IMPORTRANGE(""https://docs.google.com/spreadsheets/d/1OYoGg4WDg5RIzwGeB10padOxJF9E_Vljuvvct_M7RDo/edit?usp=sharing"",""ปทุมธานี!J777"")+IMPORTRANGE(""https://docs.google.com/spreadsheets/d/1GbCI"&amp;"E4D4wk9FUozzqk7SxfDMxDVBwVmI5zcaVUSzKAc/edit?usp=sharing"",""ประจวบคีรีขันธ์!J777"")+IMPORTRANGE(""https://docs.google.com/spreadsheets/d/1vVf6wykvW_lAyu7Yo9L4hUTqHqIeP_qcVuxCtosJEbg/edit?usp=sharing"",""ปราจีนบุรี!J777"")+IMPORTRANGE(""https://docs.googl"&amp;"e.com/spreadsheets/d/1BIDqLLg5jk3v59G8NlR8rk5xfQDKne0sAvZHSj7TI6I/edit?usp=sharing"",""พระนครศรีอยุธยา!J777"")+IMPORTRANGE(""https://docs.google.com/spreadsheets/d/1YXvxf8Yu6_rV4hTBrwMqAcAnv6DfhUxh5emyM3CJp_w/edit?usp=sharing"",""เพชรบุรี!J777"")+IMPORTRA"&amp;"NGE(""https://docs.google.com/spreadsheets/d/19KBlQQs7uwvsao6t2n-KvW3Ax8J8uRRfZPq1zPbXgKc/edit?usp=sharing"",""ระยอง!J777"")+IMPORTRANGE(""https://docs.google.com/spreadsheets/d/1jQ6P4QcrGM89YfqcC_PxOHGCMq5ezhucwJd8ci-NHng/edit?usp=sharing"",""ราชบุรี!J77"&amp;"7"")+IMPORTRANGE(""https://docs.google.com/spreadsheets/d/1lufeA2cfFqM-elVq2hznhDzC6Pr7wkJ9ZG_sYNGCMCU/edit?usp=sharing"",""ลพบุรี!J777"")+IMPORTRANGE(""https://docs.google.com/spreadsheets/d/10oOiF7loTyfsTkbd4MpaIm0HQ9SwB7IYHdIUvt-U1Uc/edit?usp=sharing"""&amp;",""สระแก้ว!J777"")+IMPORTRANGE(""https://docs.google.com/spreadsheets/d/1xmPlrr1QbdSIKvl1dWUl9K4PjAfSL9oeMr_37QVzcxc/edit?usp=sharing"",""สระบุรี!J777"")+IMPORTRANGE(""https://docs.google.com/spreadsheets/d/1j51vR6CYVGhABJpv6tkstgok82RLpXieLzW1yOY5rHw/edi"&amp;"t?usp=sharing"",""สิงห์บุรี!J777"")+IMPORTRANGE(""https://docs.google.com/spreadsheets/d/1H1EalTWKUSzO4Z1-1CwzoDUaVffgrThEBe2sl74kKG0/edit?usp=sharing"",""สุพรรณบุรี!J777"")+IMPORTRANGE(""https://docs.google.com/spreadsheets/d/1BmIruG_sIrJLYao_Pdr7zVArWsf"&amp;"oBt2692TMi6x_854/edit?usp=sharing"",""อ่างทอง!J777"")"),"#REF!")</f>
        <v>#REF!</v>
      </c>
      <c r="K778" s="74" t="e">
        <f t="shared" ref="K778:K785" ca="1" si="526">IF(I778&gt;0,J778*100/I778,0)</f>
        <v>#VALUE!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550"/>
      <c r="B779" s="269"/>
      <c r="C779" s="269"/>
      <c r="D779" s="269"/>
      <c r="E779" s="258"/>
      <c r="F779" s="258"/>
      <c r="G779" s="261"/>
      <c r="H779" s="268" t="s">
        <v>35</v>
      </c>
      <c r="I779" s="293" t="str">
        <f ca="1">IFERROR(__xludf.DUMMYFUNCTION("IMPORTRANGE(""https://docs.google.com/spreadsheets/d/13wPX838HrBrQMCywv1BsuMkt4PEKTChp52zj44s2izQ/edit?usp=sharing"",""กาญจนบุรี!I778"")+IMPORTRANGE(""https://docs.google.com/spreadsheets/d/1ddFKvqj1W1NEiWytbGlB1zMx_ykJDVtmfEQ-6-lIUBA/edit?usp=sharing"","&amp;"""จันทบุรี!I778"")+IMPORTRANGE(""https://docs.google.com/spreadsheets/d/1T1PQvRODqOBZk8BRht_U031fIS1beLA0Ub2CEytj2q0/edit?usp=sharing"",""ฉะเชิงเทรา!I778"")+IMPORTRANGE(""https://docs.google.com/spreadsheets/d/11tr1B-Bhyr79v2bkwVh5h_fR-PStkgjlZtkrZpYurG0/"&amp;"edit?usp=sharing"",""ชลบุรี!I778"")+IMPORTRANGE(""https://docs.google.com/spreadsheets/d/1hh-FVnSX0vozXhGluamEcS54Dw9_zqW0N7qJUWgJ0Sw/edit?usp=sharing"",""ชัยนาท!I778"")+IMPORTRANGE(""https://docs.google.com/spreadsheets/d/1jkqa6GXxSacMcY1eN8AHjMNJ_7dDXMJ"&amp;"VRLDlaFSOdPM/edit?usp=sharing"",""ตราด!I778"")+IMPORTRANGE(""https://docs.google.com/spreadsheets/d/18hSgUJ3VwClqi_qtULmmW3cLr0oe3OKaSYoKzdpTsYQ/edit?usp=sharing"",""นครนายก!I778"")+IMPORTRANGE(""https://docs.google.com/spreadsheets/d/1YTZo6WM2dQ6Ix6FSdnL"&amp;"5P7uVnVKu40sxZu975tgG10E/edit?usp=sharing"",""นครปฐม!I778"")+IMPORTRANGE(""https://docs.google.com/spreadsheets/d/1OYoGg4WDg5RIzwGeB10padOxJF9E_Vljuvvct_M7RDo/edit?usp=sharing"",""ปทุมธานี!I778"")+IMPORTRANGE(""https://docs.google.com/spreadsheets/d/1GbCI"&amp;"E4D4wk9FUozzqk7SxfDMxDVBwVmI5zcaVUSzKAc/edit?usp=sharing"",""ประจวบคีรีขันธ์!I778"")+IMPORTRANGE(""https://docs.google.com/spreadsheets/d/1vVf6wykvW_lAyu7Yo9L4hUTqHqIeP_qcVuxCtosJEbg/edit?usp=sharing"",""ปราจีนบุรี!I778"")+IMPORTRANGE(""https://docs.googl"&amp;"e.com/spreadsheets/d/1BIDqLLg5jk3v59G8NlR8rk5xfQDKne0sAvZHSj7TI6I/edit?usp=sharing"",""พระนครศรีอยุธยา!I778"")+IMPORTRANGE(""https://docs.google.com/spreadsheets/d/1YXvxf8Yu6_rV4hTBrwMqAcAnv6DfhUxh5emyM3CJp_w/edit?usp=sharing"",""เพชรบุรี!I778"")+IMPORTRA"&amp;"NGE(""https://docs.google.com/spreadsheets/d/19KBlQQs7uwvsao6t2n-KvW3Ax8J8uRRfZPq1zPbXgKc/edit?usp=sharing"",""ระยอง!I778"")+IMPORTRANGE(""https://docs.google.com/spreadsheets/d/1jQ6P4QcrGM89YfqcC_PxOHGCMq5ezhucwJd8ci-NHng/edit?usp=sharing"",""ราชบุรี!I77"&amp;"8"")+IMPORTRANGE(""https://docs.google.com/spreadsheets/d/1lufeA2cfFqM-elVq2hznhDzC6Pr7wkJ9ZG_sYNGCMCU/edit?usp=sharing"",""ลพบุรี!I778"")+IMPORTRANGE(""https://docs.google.com/spreadsheets/d/10oOiF7loTyfsTkbd4MpaIm0HQ9SwB7IYHdIUvt-U1Uc/edit?usp=sharing"""&amp;",""สระแก้ว!I778"")+IMPORTRANGE(""https://docs.google.com/spreadsheets/d/1xmPlrr1QbdSIKvl1dWUl9K4PjAfSL9oeMr_37QVzcxc/edit?usp=sharing"",""สระบุรี!I778"")+IMPORTRANGE(""https://docs.google.com/spreadsheets/d/1j51vR6CYVGhABJpv6tkstgok82RLpXieLzW1yOY5rHw/edi"&amp;"t?usp=sharing"",""สิงห์บุรี!I778"")+IMPORTRANGE(""https://docs.google.com/spreadsheets/d/1H1EalTWKUSzO4Z1-1CwzoDUaVffgrThEBe2sl74kKG0/edit?usp=sharing"",""สุพรรณบุรี!I778"")+IMPORTRANGE(""https://docs.google.com/spreadsheets/d/1BmIruG_sIrJLYao_Pdr7zVArWsf"&amp;"oBt2692TMi6x_854/edit?usp=sharing"",""อ่างทอง!I778"")"),"#REF!")</f>
        <v>#REF!</v>
      </c>
      <c r="J779" s="293" t="str">
        <f ca="1">IFERROR(__xludf.DUMMYFUNCTION("IMPORTRANGE(""https://docs.google.com/spreadsheets/d/13wPX838HrBrQMCywv1BsuMkt4PEKTChp52zj44s2izQ/edit?usp=sharing"",""กาญจนบุรี!J778"")+IMPORTRANGE(""https://docs.google.com/spreadsheets/d/1ddFKvqj1W1NEiWytbGlB1zMx_ykJDVtmfEQ-6-lIUBA/edit?usp=sharing"","&amp;"""จันทบุรี!J778"")+IMPORTRANGE(""https://docs.google.com/spreadsheets/d/1T1PQvRODqOBZk8BRht_U031fIS1beLA0Ub2CEytj2q0/edit?usp=sharing"",""ฉะเชิงเทรา!J778"")+IMPORTRANGE(""https://docs.google.com/spreadsheets/d/11tr1B-Bhyr79v2bkwVh5h_fR-PStkgjlZtkrZpYurG0/"&amp;"edit?usp=sharing"",""ชลบุรี!J778"")+IMPORTRANGE(""https://docs.google.com/spreadsheets/d/1hh-FVnSX0vozXhGluamEcS54Dw9_zqW0N7qJUWgJ0Sw/edit?usp=sharing"",""ชัยนาท!J778"")+IMPORTRANGE(""https://docs.google.com/spreadsheets/d/1jkqa6GXxSacMcY1eN8AHjMNJ_7dDXMJ"&amp;"VRLDlaFSOdPM/edit?usp=sharing"",""ตราด!J778"")+IMPORTRANGE(""https://docs.google.com/spreadsheets/d/18hSgUJ3VwClqi_qtULmmW3cLr0oe3OKaSYoKzdpTsYQ/edit?usp=sharing"",""นครนายก!J778"")+IMPORTRANGE(""https://docs.google.com/spreadsheets/d/1YTZo6WM2dQ6Ix6FSdnL"&amp;"5P7uVnVKu40sxZu975tgG10E/edit?usp=sharing"",""นครปฐม!J778"")+IMPORTRANGE(""https://docs.google.com/spreadsheets/d/1OYoGg4WDg5RIzwGeB10padOxJF9E_Vljuvvct_M7RDo/edit?usp=sharing"",""ปทุมธานี!J778"")+IMPORTRANGE(""https://docs.google.com/spreadsheets/d/1GbCI"&amp;"E4D4wk9FUozzqk7SxfDMxDVBwVmI5zcaVUSzKAc/edit?usp=sharing"",""ประจวบคีรีขันธ์!J778"")+IMPORTRANGE(""https://docs.google.com/spreadsheets/d/1vVf6wykvW_lAyu7Yo9L4hUTqHqIeP_qcVuxCtosJEbg/edit?usp=sharing"",""ปราจีนบุรี!J778"")+IMPORTRANGE(""https://docs.googl"&amp;"e.com/spreadsheets/d/1BIDqLLg5jk3v59G8NlR8rk5xfQDKne0sAvZHSj7TI6I/edit?usp=sharing"",""พระนครศรีอยุธยา!J778"")+IMPORTRANGE(""https://docs.google.com/spreadsheets/d/1YXvxf8Yu6_rV4hTBrwMqAcAnv6DfhUxh5emyM3CJp_w/edit?usp=sharing"",""เพชรบุรี!J778"")+IMPORTRA"&amp;"NGE(""https://docs.google.com/spreadsheets/d/19KBlQQs7uwvsao6t2n-KvW3Ax8J8uRRfZPq1zPbXgKc/edit?usp=sharing"",""ระยอง!J778"")+IMPORTRANGE(""https://docs.google.com/spreadsheets/d/1jQ6P4QcrGM89YfqcC_PxOHGCMq5ezhucwJd8ci-NHng/edit?usp=sharing"",""ราชบุรี!J77"&amp;"8"")+IMPORTRANGE(""https://docs.google.com/spreadsheets/d/1lufeA2cfFqM-elVq2hznhDzC6Pr7wkJ9ZG_sYNGCMCU/edit?usp=sharing"",""ลพบุรี!J778"")+IMPORTRANGE(""https://docs.google.com/spreadsheets/d/10oOiF7loTyfsTkbd4MpaIm0HQ9SwB7IYHdIUvt-U1Uc/edit?usp=sharing"""&amp;",""สระแก้ว!J778"")+IMPORTRANGE(""https://docs.google.com/spreadsheets/d/1xmPlrr1QbdSIKvl1dWUl9K4PjAfSL9oeMr_37QVzcxc/edit?usp=sharing"",""สระบุรี!J778"")+IMPORTRANGE(""https://docs.google.com/spreadsheets/d/1j51vR6CYVGhABJpv6tkstgok82RLpXieLzW1yOY5rHw/edi"&amp;"t?usp=sharing"",""สิงห์บุรี!J778"")+IMPORTRANGE(""https://docs.google.com/spreadsheets/d/1H1EalTWKUSzO4Z1-1CwzoDUaVffgrThEBe2sl74kKG0/edit?usp=sharing"",""สุพรรณบุรี!J778"")+IMPORTRANGE(""https://docs.google.com/spreadsheets/d/1BmIruG_sIrJLYao_Pdr7zVArWsf"&amp;"oBt2692TMi6x_854/edit?usp=sharing"",""อ่างทอง!J778"")"),"#REF!")</f>
        <v>#REF!</v>
      </c>
      <c r="K779" s="74" t="e">
        <f t="shared" ca="1" si="526"/>
        <v>#VALUE!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550"/>
      <c r="B780" s="589" t="s">
        <v>292</v>
      </c>
      <c r="C780" s="269"/>
      <c r="D780" s="269"/>
      <c r="E780" s="258"/>
      <c r="F780" s="258"/>
      <c r="G780" s="261"/>
      <c r="H780" s="268" t="s">
        <v>14</v>
      </c>
      <c r="I780" s="293" t="str">
        <f ca="1">IFERROR(__xludf.DUMMYFUNCTION("IMPORTRANGE(""https://docs.google.com/spreadsheets/d/13wPX838HrBrQMCywv1BsuMkt4PEKTChp52zj44s2izQ/edit?usp=sharing"",""กาญจนบุรี!I779"")+IMPORTRANGE(""https://docs.google.com/spreadsheets/d/1ddFKvqj1W1NEiWytbGlB1zMx_ykJDVtmfEQ-6-lIUBA/edit?usp=sharing"","&amp;"""จันทบุรี!I779"")+IMPORTRANGE(""https://docs.google.com/spreadsheets/d/1T1PQvRODqOBZk8BRht_U031fIS1beLA0Ub2CEytj2q0/edit?usp=sharing"",""ฉะเชิงเทรา!I779"")+IMPORTRANGE(""https://docs.google.com/spreadsheets/d/11tr1B-Bhyr79v2bkwVh5h_fR-PStkgjlZtkrZpYurG0/"&amp;"edit?usp=sharing"",""ชลบุรี!I779"")+IMPORTRANGE(""https://docs.google.com/spreadsheets/d/1hh-FVnSX0vozXhGluamEcS54Dw9_zqW0N7qJUWgJ0Sw/edit?usp=sharing"",""ชัยนาท!I779"")+IMPORTRANGE(""https://docs.google.com/spreadsheets/d/1jkqa6GXxSacMcY1eN8AHjMNJ_7dDXMJ"&amp;"VRLDlaFSOdPM/edit?usp=sharing"",""ตราด!I779"")+IMPORTRANGE(""https://docs.google.com/spreadsheets/d/18hSgUJ3VwClqi_qtULmmW3cLr0oe3OKaSYoKzdpTsYQ/edit?usp=sharing"",""นครนายก!I779"")+IMPORTRANGE(""https://docs.google.com/spreadsheets/d/1YTZo6WM2dQ6Ix6FSdnL"&amp;"5P7uVnVKu40sxZu975tgG10E/edit?usp=sharing"",""นครปฐม!I779"")+IMPORTRANGE(""https://docs.google.com/spreadsheets/d/1OYoGg4WDg5RIzwGeB10padOxJF9E_Vljuvvct_M7RDo/edit?usp=sharing"",""ปทุมธานี!I779"")+IMPORTRANGE(""https://docs.google.com/spreadsheets/d/1GbCI"&amp;"E4D4wk9FUozzqk7SxfDMxDVBwVmI5zcaVUSzKAc/edit?usp=sharing"",""ประจวบคีรีขันธ์!I779"")+IMPORTRANGE(""https://docs.google.com/spreadsheets/d/1vVf6wykvW_lAyu7Yo9L4hUTqHqIeP_qcVuxCtosJEbg/edit?usp=sharing"",""ปราจีนบุรี!I779"")+IMPORTRANGE(""https://docs.googl"&amp;"e.com/spreadsheets/d/1BIDqLLg5jk3v59G8NlR8rk5xfQDKne0sAvZHSj7TI6I/edit?usp=sharing"",""พระนครศรีอยุธยา!I779"")+IMPORTRANGE(""https://docs.google.com/spreadsheets/d/1YXvxf8Yu6_rV4hTBrwMqAcAnv6DfhUxh5emyM3CJp_w/edit?usp=sharing"",""เพชรบุรี!I779"")+IMPORTRA"&amp;"NGE(""https://docs.google.com/spreadsheets/d/19KBlQQs7uwvsao6t2n-KvW3Ax8J8uRRfZPq1zPbXgKc/edit?usp=sharing"",""ระยอง!I779"")+IMPORTRANGE(""https://docs.google.com/spreadsheets/d/1jQ6P4QcrGM89YfqcC_PxOHGCMq5ezhucwJd8ci-NHng/edit?usp=sharing"",""ราชบุรี!I77"&amp;"9"")+IMPORTRANGE(""https://docs.google.com/spreadsheets/d/1lufeA2cfFqM-elVq2hznhDzC6Pr7wkJ9ZG_sYNGCMCU/edit?usp=sharing"",""ลพบุรี!I779"")+IMPORTRANGE(""https://docs.google.com/spreadsheets/d/10oOiF7loTyfsTkbd4MpaIm0HQ9SwB7IYHdIUvt-U1Uc/edit?usp=sharing"""&amp;",""สระแก้ว!I779"")+IMPORTRANGE(""https://docs.google.com/spreadsheets/d/1xmPlrr1QbdSIKvl1dWUl9K4PjAfSL9oeMr_37QVzcxc/edit?usp=sharing"",""สระบุรี!I779"")+IMPORTRANGE(""https://docs.google.com/spreadsheets/d/1j51vR6CYVGhABJpv6tkstgok82RLpXieLzW1yOY5rHw/edi"&amp;"t?usp=sharing"",""สิงห์บุรี!I779"")+IMPORTRANGE(""https://docs.google.com/spreadsheets/d/1H1EalTWKUSzO4Z1-1CwzoDUaVffgrThEBe2sl74kKG0/edit?usp=sharing"",""สุพรรณบุรี!I779"")+IMPORTRANGE(""https://docs.google.com/spreadsheets/d/1BmIruG_sIrJLYao_Pdr7zVArWsf"&amp;"oBt2692TMi6x_854/edit?usp=sharing"",""อ่างทอง!I779"")"),"#REF!")</f>
        <v>#REF!</v>
      </c>
      <c r="J780" s="293" t="str">
        <f ca="1">IFERROR(__xludf.DUMMYFUNCTION("IMPORTRANGE(""https://docs.google.com/spreadsheets/d/13wPX838HrBrQMCywv1BsuMkt4PEKTChp52zj44s2izQ/edit?usp=sharing"",""กาญจนบุรี!J779"")+IMPORTRANGE(""https://docs.google.com/spreadsheets/d/1ddFKvqj1W1NEiWytbGlB1zMx_ykJDVtmfEQ-6-lIUBA/edit?usp=sharing"","&amp;"""จันทบุรี!J779"")+IMPORTRANGE(""https://docs.google.com/spreadsheets/d/1T1PQvRODqOBZk8BRht_U031fIS1beLA0Ub2CEytj2q0/edit?usp=sharing"",""ฉะเชิงเทรา!J779"")+IMPORTRANGE(""https://docs.google.com/spreadsheets/d/11tr1B-Bhyr79v2bkwVh5h_fR-PStkgjlZtkrZpYurG0/"&amp;"edit?usp=sharing"",""ชลบุรี!J779"")+IMPORTRANGE(""https://docs.google.com/spreadsheets/d/1hh-FVnSX0vozXhGluamEcS54Dw9_zqW0N7qJUWgJ0Sw/edit?usp=sharing"",""ชัยนาท!J779"")+IMPORTRANGE(""https://docs.google.com/spreadsheets/d/1jkqa6GXxSacMcY1eN8AHjMNJ_7dDXMJ"&amp;"VRLDlaFSOdPM/edit?usp=sharing"",""ตราด!J779"")+IMPORTRANGE(""https://docs.google.com/spreadsheets/d/18hSgUJ3VwClqi_qtULmmW3cLr0oe3OKaSYoKzdpTsYQ/edit?usp=sharing"",""นครนายก!J779"")+IMPORTRANGE(""https://docs.google.com/spreadsheets/d/1YTZo6WM2dQ6Ix6FSdnL"&amp;"5P7uVnVKu40sxZu975tgG10E/edit?usp=sharing"",""นครปฐม!J779"")+IMPORTRANGE(""https://docs.google.com/spreadsheets/d/1OYoGg4WDg5RIzwGeB10padOxJF9E_Vljuvvct_M7RDo/edit?usp=sharing"",""ปทุมธานี!J779"")+IMPORTRANGE(""https://docs.google.com/spreadsheets/d/1GbCI"&amp;"E4D4wk9FUozzqk7SxfDMxDVBwVmI5zcaVUSzKAc/edit?usp=sharing"",""ประจวบคีรีขันธ์!J779"")+IMPORTRANGE(""https://docs.google.com/spreadsheets/d/1vVf6wykvW_lAyu7Yo9L4hUTqHqIeP_qcVuxCtosJEbg/edit?usp=sharing"",""ปราจีนบุรี!J779"")+IMPORTRANGE(""https://docs.googl"&amp;"e.com/spreadsheets/d/1BIDqLLg5jk3v59G8NlR8rk5xfQDKne0sAvZHSj7TI6I/edit?usp=sharing"",""พระนครศรีอยุธยา!J779"")+IMPORTRANGE(""https://docs.google.com/spreadsheets/d/1YXvxf8Yu6_rV4hTBrwMqAcAnv6DfhUxh5emyM3CJp_w/edit?usp=sharing"",""เพชรบุรี!J779"")+IMPORTRA"&amp;"NGE(""https://docs.google.com/spreadsheets/d/19KBlQQs7uwvsao6t2n-KvW3Ax8J8uRRfZPq1zPbXgKc/edit?usp=sharing"",""ระยอง!J779"")+IMPORTRANGE(""https://docs.google.com/spreadsheets/d/1jQ6P4QcrGM89YfqcC_PxOHGCMq5ezhucwJd8ci-NHng/edit?usp=sharing"",""ราชบุรี!J77"&amp;"9"")+IMPORTRANGE(""https://docs.google.com/spreadsheets/d/1lufeA2cfFqM-elVq2hznhDzC6Pr7wkJ9ZG_sYNGCMCU/edit?usp=sharing"",""ลพบุรี!J779"")+IMPORTRANGE(""https://docs.google.com/spreadsheets/d/10oOiF7loTyfsTkbd4MpaIm0HQ9SwB7IYHdIUvt-U1Uc/edit?usp=sharing"""&amp;",""สระแก้ว!J779"")+IMPORTRANGE(""https://docs.google.com/spreadsheets/d/1xmPlrr1QbdSIKvl1dWUl9K4PjAfSL9oeMr_37QVzcxc/edit?usp=sharing"",""สระบุรี!J779"")+IMPORTRANGE(""https://docs.google.com/spreadsheets/d/1j51vR6CYVGhABJpv6tkstgok82RLpXieLzW1yOY5rHw/edi"&amp;"t?usp=sharing"",""สิงห์บุรี!J779"")+IMPORTRANGE(""https://docs.google.com/spreadsheets/d/1H1EalTWKUSzO4Z1-1CwzoDUaVffgrThEBe2sl74kKG0/edit?usp=sharing"",""สุพรรณบุรี!J779"")+IMPORTRANGE(""https://docs.google.com/spreadsheets/d/1BmIruG_sIrJLYao_Pdr7zVArWsf"&amp;"oBt2692TMi6x_854/edit?usp=sharing"",""อ่างทอง!J779"")"),"#REF!")</f>
        <v>#REF!</v>
      </c>
      <c r="K780" s="74" t="e">
        <f t="shared" ca="1" si="526"/>
        <v>#VALUE!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550"/>
      <c r="B781" s="269"/>
      <c r="C781" s="269"/>
      <c r="D781" s="269"/>
      <c r="E781" s="258"/>
      <c r="F781" s="258"/>
      <c r="G781" s="261"/>
      <c r="H781" s="268" t="s">
        <v>35</v>
      </c>
      <c r="I781" s="293" t="str">
        <f ca="1">IFERROR(__xludf.DUMMYFUNCTION("IMPORTRANGE(""https://docs.google.com/spreadsheets/d/13wPX838HrBrQMCywv1BsuMkt4PEKTChp52zj44s2izQ/edit?usp=sharing"",""กาญจนบุรี!I780"")+IMPORTRANGE(""https://docs.google.com/spreadsheets/d/1ddFKvqj1W1NEiWytbGlB1zMx_ykJDVtmfEQ-6-lIUBA/edit?usp=sharing"","&amp;"""จันทบุรี!I780"")+IMPORTRANGE(""https://docs.google.com/spreadsheets/d/1T1PQvRODqOBZk8BRht_U031fIS1beLA0Ub2CEytj2q0/edit?usp=sharing"",""ฉะเชิงเทรา!I780"")+IMPORTRANGE(""https://docs.google.com/spreadsheets/d/11tr1B-Bhyr79v2bkwVh5h_fR-PStkgjlZtkrZpYurG0/"&amp;"edit?usp=sharing"",""ชลบุรี!I780"")+IMPORTRANGE(""https://docs.google.com/spreadsheets/d/1hh-FVnSX0vozXhGluamEcS54Dw9_zqW0N7qJUWgJ0Sw/edit?usp=sharing"",""ชัยนาท!I780"")+IMPORTRANGE(""https://docs.google.com/spreadsheets/d/1jkqa6GXxSacMcY1eN8AHjMNJ_7dDXMJ"&amp;"VRLDlaFSOdPM/edit?usp=sharing"",""ตราด!I780"")+IMPORTRANGE(""https://docs.google.com/spreadsheets/d/18hSgUJ3VwClqi_qtULmmW3cLr0oe3OKaSYoKzdpTsYQ/edit?usp=sharing"",""นครนายก!I780"")+IMPORTRANGE(""https://docs.google.com/spreadsheets/d/1YTZo6WM2dQ6Ix6FSdnL"&amp;"5P7uVnVKu40sxZu975tgG10E/edit?usp=sharing"",""นครปฐม!I780"")+IMPORTRANGE(""https://docs.google.com/spreadsheets/d/1OYoGg4WDg5RIzwGeB10padOxJF9E_Vljuvvct_M7RDo/edit?usp=sharing"",""ปทุมธานี!I780"")+IMPORTRANGE(""https://docs.google.com/spreadsheets/d/1GbCI"&amp;"E4D4wk9FUozzqk7SxfDMxDVBwVmI5zcaVUSzKAc/edit?usp=sharing"",""ประจวบคีรีขันธ์!I780"")+IMPORTRANGE(""https://docs.google.com/spreadsheets/d/1vVf6wykvW_lAyu7Yo9L4hUTqHqIeP_qcVuxCtosJEbg/edit?usp=sharing"",""ปราจีนบุรี!I780"")+IMPORTRANGE(""https://docs.googl"&amp;"e.com/spreadsheets/d/1BIDqLLg5jk3v59G8NlR8rk5xfQDKne0sAvZHSj7TI6I/edit?usp=sharing"",""พระนครศรีอยุธยา!I780"")+IMPORTRANGE(""https://docs.google.com/spreadsheets/d/1YXvxf8Yu6_rV4hTBrwMqAcAnv6DfhUxh5emyM3CJp_w/edit?usp=sharing"",""เพชรบุรี!I780"")+IMPORTRA"&amp;"NGE(""https://docs.google.com/spreadsheets/d/19KBlQQs7uwvsao6t2n-KvW3Ax8J8uRRfZPq1zPbXgKc/edit?usp=sharing"",""ระยอง!I780"")+IMPORTRANGE(""https://docs.google.com/spreadsheets/d/1jQ6P4QcrGM89YfqcC_PxOHGCMq5ezhucwJd8ci-NHng/edit?usp=sharing"",""ราชบุรี!I78"&amp;"0"")+IMPORTRANGE(""https://docs.google.com/spreadsheets/d/1lufeA2cfFqM-elVq2hznhDzC6Pr7wkJ9ZG_sYNGCMCU/edit?usp=sharing"",""ลพบุรี!I780"")+IMPORTRANGE(""https://docs.google.com/spreadsheets/d/10oOiF7loTyfsTkbd4MpaIm0HQ9SwB7IYHdIUvt-U1Uc/edit?usp=sharing"""&amp;",""สระแก้ว!I780"")+IMPORTRANGE(""https://docs.google.com/spreadsheets/d/1xmPlrr1QbdSIKvl1dWUl9K4PjAfSL9oeMr_37QVzcxc/edit?usp=sharing"",""สระบุรี!I780"")+IMPORTRANGE(""https://docs.google.com/spreadsheets/d/1j51vR6CYVGhABJpv6tkstgok82RLpXieLzW1yOY5rHw/edi"&amp;"t?usp=sharing"",""สิงห์บุรี!I780"")+IMPORTRANGE(""https://docs.google.com/spreadsheets/d/1H1EalTWKUSzO4Z1-1CwzoDUaVffgrThEBe2sl74kKG0/edit?usp=sharing"",""สุพรรณบุรี!I780"")+IMPORTRANGE(""https://docs.google.com/spreadsheets/d/1BmIruG_sIrJLYao_Pdr7zVArWsf"&amp;"oBt2692TMi6x_854/edit?usp=sharing"",""อ่างทอง!I780"")"),"#REF!")</f>
        <v>#REF!</v>
      </c>
      <c r="J781" s="293" t="str">
        <f ca="1">IFERROR(__xludf.DUMMYFUNCTION("IMPORTRANGE(""https://docs.google.com/spreadsheets/d/13wPX838HrBrQMCywv1BsuMkt4PEKTChp52zj44s2izQ/edit?usp=sharing"",""กาญจนบุรี!J780"")+IMPORTRANGE(""https://docs.google.com/spreadsheets/d/1ddFKvqj1W1NEiWytbGlB1zMx_ykJDVtmfEQ-6-lIUBA/edit?usp=sharing"","&amp;"""จันทบุรี!J780"")+IMPORTRANGE(""https://docs.google.com/spreadsheets/d/1T1PQvRODqOBZk8BRht_U031fIS1beLA0Ub2CEytj2q0/edit?usp=sharing"",""ฉะเชิงเทรา!J780"")+IMPORTRANGE(""https://docs.google.com/spreadsheets/d/11tr1B-Bhyr79v2bkwVh5h_fR-PStkgjlZtkrZpYurG0/"&amp;"edit?usp=sharing"",""ชลบุรี!J780"")+IMPORTRANGE(""https://docs.google.com/spreadsheets/d/1hh-FVnSX0vozXhGluamEcS54Dw9_zqW0N7qJUWgJ0Sw/edit?usp=sharing"",""ชัยนาท!J780"")+IMPORTRANGE(""https://docs.google.com/spreadsheets/d/1jkqa6GXxSacMcY1eN8AHjMNJ_7dDXMJ"&amp;"VRLDlaFSOdPM/edit?usp=sharing"",""ตราด!J780"")+IMPORTRANGE(""https://docs.google.com/spreadsheets/d/18hSgUJ3VwClqi_qtULmmW3cLr0oe3OKaSYoKzdpTsYQ/edit?usp=sharing"",""นครนายก!J780"")+IMPORTRANGE(""https://docs.google.com/spreadsheets/d/1YTZo6WM2dQ6Ix6FSdnL"&amp;"5P7uVnVKu40sxZu975tgG10E/edit?usp=sharing"",""นครปฐม!J780"")+IMPORTRANGE(""https://docs.google.com/spreadsheets/d/1OYoGg4WDg5RIzwGeB10padOxJF9E_Vljuvvct_M7RDo/edit?usp=sharing"",""ปทุมธานี!J780"")+IMPORTRANGE(""https://docs.google.com/spreadsheets/d/1GbCI"&amp;"E4D4wk9FUozzqk7SxfDMxDVBwVmI5zcaVUSzKAc/edit?usp=sharing"",""ประจวบคีรีขันธ์!J780"")+IMPORTRANGE(""https://docs.google.com/spreadsheets/d/1vVf6wykvW_lAyu7Yo9L4hUTqHqIeP_qcVuxCtosJEbg/edit?usp=sharing"",""ปราจีนบุรี!J780"")+IMPORTRANGE(""https://docs.googl"&amp;"e.com/spreadsheets/d/1BIDqLLg5jk3v59G8NlR8rk5xfQDKne0sAvZHSj7TI6I/edit?usp=sharing"",""พระนครศรีอยุธยา!J780"")+IMPORTRANGE(""https://docs.google.com/spreadsheets/d/1YXvxf8Yu6_rV4hTBrwMqAcAnv6DfhUxh5emyM3CJp_w/edit?usp=sharing"",""เพชรบุรี!J780"")+IMPORTRA"&amp;"NGE(""https://docs.google.com/spreadsheets/d/19KBlQQs7uwvsao6t2n-KvW3Ax8J8uRRfZPq1zPbXgKc/edit?usp=sharing"",""ระยอง!J780"")+IMPORTRANGE(""https://docs.google.com/spreadsheets/d/1jQ6P4QcrGM89YfqcC_PxOHGCMq5ezhucwJd8ci-NHng/edit?usp=sharing"",""ราชบุรี!J78"&amp;"0"")+IMPORTRANGE(""https://docs.google.com/spreadsheets/d/1lufeA2cfFqM-elVq2hznhDzC6Pr7wkJ9ZG_sYNGCMCU/edit?usp=sharing"",""ลพบุรี!J780"")+IMPORTRANGE(""https://docs.google.com/spreadsheets/d/10oOiF7loTyfsTkbd4MpaIm0HQ9SwB7IYHdIUvt-U1Uc/edit?usp=sharing"""&amp;",""สระแก้ว!J780"")+IMPORTRANGE(""https://docs.google.com/spreadsheets/d/1xmPlrr1QbdSIKvl1dWUl9K4PjAfSL9oeMr_37QVzcxc/edit?usp=sharing"",""สระบุรี!J780"")+IMPORTRANGE(""https://docs.google.com/spreadsheets/d/1j51vR6CYVGhABJpv6tkstgok82RLpXieLzW1yOY5rHw/edi"&amp;"t?usp=sharing"",""สิงห์บุรี!J780"")+IMPORTRANGE(""https://docs.google.com/spreadsheets/d/1H1EalTWKUSzO4Z1-1CwzoDUaVffgrThEBe2sl74kKG0/edit?usp=sharing"",""สุพรรณบุรี!J780"")+IMPORTRANGE(""https://docs.google.com/spreadsheets/d/1BmIruG_sIrJLYao_Pdr7zVArWsf"&amp;"oBt2692TMi6x_854/edit?usp=sharing"",""อ่างทอง!J780"")"),"#REF!")</f>
        <v>#REF!</v>
      </c>
      <c r="K781" s="74" t="e">
        <f t="shared" ca="1" si="526"/>
        <v>#VALUE!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550"/>
      <c r="B782" s="589" t="s">
        <v>293</v>
      </c>
      <c r="C782" s="269"/>
      <c r="D782" s="269"/>
      <c r="E782" s="258"/>
      <c r="F782" s="258"/>
      <c r="G782" s="261"/>
      <c r="H782" s="268" t="s">
        <v>14</v>
      </c>
      <c r="I782" s="293" t="str">
        <f ca="1">IFERROR(__xludf.DUMMYFUNCTION("IMPORTRANGE(""https://docs.google.com/spreadsheets/d/13wPX838HrBrQMCywv1BsuMkt4PEKTChp52zj44s2izQ/edit?usp=sharing"",""กาญจนบุรี!I781"")+IMPORTRANGE(""https://docs.google.com/spreadsheets/d/1ddFKvqj1W1NEiWytbGlB1zMx_ykJDVtmfEQ-6-lIUBA/edit?usp=sharing"","&amp;"""จันทบุรี!I781"")+IMPORTRANGE(""https://docs.google.com/spreadsheets/d/1T1PQvRODqOBZk8BRht_U031fIS1beLA0Ub2CEytj2q0/edit?usp=sharing"",""ฉะเชิงเทรา!I781"")+IMPORTRANGE(""https://docs.google.com/spreadsheets/d/11tr1B-Bhyr79v2bkwVh5h_fR-PStkgjlZtkrZpYurG0/"&amp;"edit?usp=sharing"",""ชลบุรี!I781"")+IMPORTRANGE(""https://docs.google.com/spreadsheets/d/1hh-FVnSX0vozXhGluamEcS54Dw9_zqW0N7qJUWgJ0Sw/edit?usp=sharing"",""ชัยนาท!I781"")+IMPORTRANGE(""https://docs.google.com/spreadsheets/d/1jkqa6GXxSacMcY1eN8AHjMNJ_7dDXMJ"&amp;"VRLDlaFSOdPM/edit?usp=sharing"",""ตราด!I781"")+IMPORTRANGE(""https://docs.google.com/spreadsheets/d/18hSgUJ3VwClqi_qtULmmW3cLr0oe3OKaSYoKzdpTsYQ/edit?usp=sharing"",""นครนายก!I781"")+IMPORTRANGE(""https://docs.google.com/spreadsheets/d/1YTZo6WM2dQ6Ix6FSdnL"&amp;"5P7uVnVKu40sxZu975tgG10E/edit?usp=sharing"",""นครปฐม!I781"")+IMPORTRANGE(""https://docs.google.com/spreadsheets/d/1OYoGg4WDg5RIzwGeB10padOxJF9E_Vljuvvct_M7RDo/edit?usp=sharing"",""ปทุมธานี!I781"")+IMPORTRANGE(""https://docs.google.com/spreadsheets/d/1GbCI"&amp;"E4D4wk9FUozzqk7SxfDMxDVBwVmI5zcaVUSzKAc/edit?usp=sharing"",""ประจวบคีรีขันธ์!I781"")+IMPORTRANGE(""https://docs.google.com/spreadsheets/d/1vVf6wykvW_lAyu7Yo9L4hUTqHqIeP_qcVuxCtosJEbg/edit?usp=sharing"",""ปราจีนบุรี!I781"")+IMPORTRANGE(""https://docs.googl"&amp;"e.com/spreadsheets/d/1BIDqLLg5jk3v59G8NlR8rk5xfQDKne0sAvZHSj7TI6I/edit?usp=sharing"",""พระนครศรีอยุธยา!I781"")+IMPORTRANGE(""https://docs.google.com/spreadsheets/d/1YXvxf8Yu6_rV4hTBrwMqAcAnv6DfhUxh5emyM3CJp_w/edit?usp=sharing"",""เพชรบุรี!I781"")+IMPORTRA"&amp;"NGE(""https://docs.google.com/spreadsheets/d/19KBlQQs7uwvsao6t2n-KvW3Ax8J8uRRfZPq1zPbXgKc/edit?usp=sharing"",""ระยอง!I781"")+IMPORTRANGE(""https://docs.google.com/spreadsheets/d/1jQ6P4QcrGM89YfqcC_PxOHGCMq5ezhucwJd8ci-NHng/edit?usp=sharing"",""ราชบุรี!I78"&amp;"1"")+IMPORTRANGE(""https://docs.google.com/spreadsheets/d/1lufeA2cfFqM-elVq2hznhDzC6Pr7wkJ9ZG_sYNGCMCU/edit?usp=sharing"",""ลพบุรี!I781"")+IMPORTRANGE(""https://docs.google.com/spreadsheets/d/10oOiF7loTyfsTkbd4MpaIm0HQ9SwB7IYHdIUvt-U1Uc/edit?usp=sharing"""&amp;",""สระแก้ว!I781"")+IMPORTRANGE(""https://docs.google.com/spreadsheets/d/1xmPlrr1QbdSIKvl1dWUl9K4PjAfSL9oeMr_37QVzcxc/edit?usp=sharing"",""สระบุรี!I781"")+IMPORTRANGE(""https://docs.google.com/spreadsheets/d/1j51vR6CYVGhABJpv6tkstgok82RLpXieLzW1yOY5rHw/edi"&amp;"t?usp=sharing"",""สิงห์บุรี!I781"")+IMPORTRANGE(""https://docs.google.com/spreadsheets/d/1H1EalTWKUSzO4Z1-1CwzoDUaVffgrThEBe2sl74kKG0/edit?usp=sharing"",""สุพรรณบุรี!I781"")+IMPORTRANGE(""https://docs.google.com/spreadsheets/d/1BmIruG_sIrJLYao_Pdr7zVArWsf"&amp;"oBt2692TMi6x_854/edit?usp=sharing"",""อ่างทอง!I781"")"),"#REF!")</f>
        <v>#REF!</v>
      </c>
      <c r="J782" s="293" t="str">
        <f ca="1">IFERROR(__xludf.DUMMYFUNCTION("IMPORTRANGE(""https://docs.google.com/spreadsheets/d/13wPX838HrBrQMCywv1BsuMkt4PEKTChp52zj44s2izQ/edit?usp=sharing"",""กาญจนบุรี!J781"")+IMPORTRANGE(""https://docs.google.com/spreadsheets/d/1ddFKvqj1W1NEiWytbGlB1zMx_ykJDVtmfEQ-6-lIUBA/edit?usp=sharing"","&amp;"""จันทบุรี!J781"")+IMPORTRANGE(""https://docs.google.com/spreadsheets/d/1T1PQvRODqOBZk8BRht_U031fIS1beLA0Ub2CEytj2q0/edit?usp=sharing"",""ฉะเชิงเทรา!J781"")+IMPORTRANGE(""https://docs.google.com/spreadsheets/d/11tr1B-Bhyr79v2bkwVh5h_fR-PStkgjlZtkrZpYurG0/"&amp;"edit?usp=sharing"",""ชลบุรี!J781"")+IMPORTRANGE(""https://docs.google.com/spreadsheets/d/1hh-FVnSX0vozXhGluamEcS54Dw9_zqW0N7qJUWgJ0Sw/edit?usp=sharing"",""ชัยนาท!J781"")+IMPORTRANGE(""https://docs.google.com/spreadsheets/d/1jkqa6GXxSacMcY1eN8AHjMNJ_7dDXMJ"&amp;"VRLDlaFSOdPM/edit?usp=sharing"",""ตราด!J781"")+IMPORTRANGE(""https://docs.google.com/spreadsheets/d/18hSgUJ3VwClqi_qtULmmW3cLr0oe3OKaSYoKzdpTsYQ/edit?usp=sharing"",""นครนายก!J781"")+IMPORTRANGE(""https://docs.google.com/spreadsheets/d/1YTZo6WM2dQ6Ix6FSdnL"&amp;"5P7uVnVKu40sxZu975tgG10E/edit?usp=sharing"",""นครปฐม!J781"")+IMPORTRANGE(""https://docs.google.com/spreadsheets/d/1OYoGg4WDg5RIzwGeB10padOxJF9E_Vljuvvct_M7RDo/edit?usp=sharing"",""ปทุมธานี!J781"")+IMPORTRANGE(""https://docs.google.com/spreadsheets/d/1GbCI"&amp;"E4D4wk9FUozzqk7SxfDMxDVBwVmI5zcaVUSzKAc/edit?usp=sharing"",""ประจวบคีรีขันธ์!J781"")+IMPORTRANGE(""https://docs.google.com/spreadsheets/d/1vVf6wykvW_lAyu7Yo9L4hUTqHqIeP_qcVuxCtosJEbg/edit?usp=sharing"",""ปราจีนบุรี!J781"")+IMPORTRANGE(""https://docs.googl"&amp;"e.com/spreadsheets/d/1BIDqLLg5jk3v59G8NlR8rk5xfQDKne0sAvZHSj7TI6I/edit?usp=sharing"",""พระนครศรีอยุธยา!J781"")+IMPORTRANGE(""https://docs.google.com/spreadsheets/d/1YXvxf8Yu6_rV4hTBrwMqAcAnv6DfhUxh5emyM3CJp_w/edit?usp=sharing"",""เพชรบุรี!J781"")+IMPORTRA"&amp;"NGE(""https://docs.google.com/spreadsheets/d/19KBlQQs7uwvsao6t2n-KvW3Ax8J8uRRfZPq1zPbXgKc/edit?usp=sharing"",""ระยอง!J781"")+IMPORTRANGE(""https://docs.google.com/spreadsheets/d/1jQ6P4QcrGM89YfqcC_PxOHGCMq5ezhucwJd8ci-NHng/edit?usp=sharing"",""ราชบุรี!J78"&amp;"1"")+IMPORTRANGE(""https://docs.google.com/spreadsheets/d/1lufeA2cfFqM-elVq2hznhDzC6Pr7wkJ9ZG_sYNGCMCU/edit?usp=sharing"",""ลพบุรี!J781"")+IMPORTRANGE(""https://docs.google.com/spreadsheets/d/10oOiF7loTyfsTkbd4MpaIm0HQ9SwB7IYHdIUvt-U1Uc/edit?usp=sharing"""&amp;",""สระแก้ว!J781"")+IMPORTRANGE(""https://docs.google.com/spreadsheets/d/1xmPlrr1QbdSIKvl1dWUl9K4PjAfSL9oeMr_37QVzcxc/edit?usp=sharing"",""สระบุรี!J781"")+IMPORTRANGE(""https://docs.google.com/spreadsheets/d/1j51vR6CYVGhABJpv6tkstgok82RLpXieLzW1yOY5rHw/edi"&amp;"t?usp=sharing"",""สิงห์บุรี!J781"")+IMPORTRANGE(""https://docs.google.com/spreadsheets/d/1H1EalTWKUSzO4Z1-1CwzoDUaVffgrThEBe2sl74kKG0/edit?usp=sharing"",""สุพรรณบุรี!J781"")+IMPORTRANGE(""https://docs.google.com/spreadsheets/d/1BmIruG_sIrJLYao_Pdr7zVArWsf"&amp;"oBt2692TMi6x_854/edit?usp=sharing"",""อ่างทอง!J781"")"),"#REF!")</f>
        <v>#REF!</v>
      </c>
      <c r="K782" s="74" t="e">
        <f t="shared" ca="1" si="526"/>
        <v>#VALUE!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550"/>
      <c r="B783" s="269"/>
      <c r="C783" s="269"/>
      <c r="D783" s="269"/>
      <c r="E783" s="258"/>
      <c r="F783" s="258"/>
      <c r="G783" s="261"/>
      <c r="H783" s="268" t="s">
        <v>35</v>
      </c>
      <c r="I783" s="293" t="str">
        <f ca="1">IFERROR(__xludf.DUMMYFUNCTION("IMPORTRANGE(""https://docs.google.com/spreadsheets/d/13wPX838HrBrQMCywv1BsuMkt4PEKTChp52zj44s2izQ/edit?usp=sharing"",""กาญจนบุรี!I782"")+IMPORTRANGE(""https://docs.google.com/spreadsheets/d/1ddFKvqj1W1NEiWytbGlB1zMx_ykJDVtmfEQ-6-lIUBA/edit?usp=sharing"","&amp;"""จันทบุรี!I782"")+IMPORTRANGE(""https://docs.google.com/spreadsheets/d/1T1PQvRODqOBZk8BRht_U031fIS1beLA0Ub2CEytj2q0/edit?usp=sharing"",""ฉะเชิงเทรา!I782"")+IMPORTRANGE(""https://docs.google.com/spreadsheets/d/11tr1B-Bhyr79v2bkwVh5h_fR-PStkgjlZtkrZpYurG0/"&amp;"edit?usp=sharing"",""ชลบุรี!I782"")+IMPORTRANGE(""https://docs.google.com/spreadsheets/d/1hh-FVnSX0vozXhGluamEcS54Dw9_zqW0N7qJUWgJ0Sw/edit?usp=sharing"",""ชัยนาท!I782"")+IMPORTRANGE(""https://docs.google.com/spreadsheets/d/1jkqa6GXxSacMcY1eN8AHjMNJ_7dDXMJ"&amp;"VRLDlaFSOdPM/edit?usp=sharing"",""ตราด!I782"")+IMPORTRANGE(""https://docs.google.com/spreadsheets/d/18hSgUJ3VwClqi_qtULmmW3cLr0oe3OKaSYoKzdpTsYQ/edit?usp=sharing"",""นครนายก!I782"")+IMPORTRANGE(""https://docs.google.com/spreadsheets/d/1YTZo6WM2dQ6Ix6FSdnL"&amp;"5P7uVnVKu40sxZu975tgG10E/edit?usp=sharing"",""นครปฐม!I782"")+IMPORTRANGE(""https://docs.google.com/spreadsheets/d/1OYoGg4WDg5RIzwGeB10padOxJF9E_Vljuvvct_M7RDo/edit?usp=sharing"",""ปทุมธานี!I782"")+IMPORTRANGE(""https://docs.google.com/spreadsheets/d/1GbCI"&amp;"E4D4wk9FUozzqk7SxfDMxDVBwVmI5zcaVUSzKAc/edit?usp=sharing"",""ประจวบคีรีขันธ์!I782"")+IMPORTRANGE(""https://docs.google.com/spreadsheets/d/1vVf6wykvW_lAyu7Yo9L4hUTqHqIeP_qcVuxCtosJEbg/edit?usp=sharing"",""ปราจีนบุรี!I782"")+IMPORTRANGE(""https://docs.googl"&amp;"e.com/spreadsheets/d/1BIDqLLg5jk3v59G8NlR8rk5xfQDKne0sAvZHSj7TI6I/edit?usp=sharing"",""พระนครศรีอยุธยา!I782"")+IMPORTRANGE(""https://docs.google.com/spreadsheets/d/1YXvxf8Yu6_rV4hTBrwMqAcAnv6DfhUxh5emyM3CJp_w/edit?usp=sharing"",""เพชรบุรี!I782"")+IMPORTRA"&amp;"NGE(""https://docs.google.com/spreadsheets/d/19KBlQQs7uwvsao6t2n-KvW3Ax8J8uRRfZPq1zPbXgKc/edit?usp=sharing"",""ระยอง!I782"")+IMPORTRANGE(""https://docs.google.com/spreadsheets/d/1jQ6P4QcrGM89YfqcC_PxOHGCMq5ezhucwJd8ci-NHng/edit?usp=sharing"",""ราชบุรี!I78"&amp;"2"")+IMPORTRANGE(""https://docs.google.com/spreadsheets/d/1lufeA2cfFqM-elVq2hznhDzC6Pr7wkJ9ZG_sYNGCMCU/edit?usp=sharing"",""ลพบุรี!I782"")+IMPORTRANGE(""https://docs.google.com/spreadsheets/d/10oOiF7loTyfsTkbd4MpaIm0HQ9SwB7IYHdIUvt-U1Uc/edit?usp=sharing"""&amp;",""สระแก้ว!I782"")+IMPORTRANGE(""https://docs.google.com/spreadsheets/d/1xmPlrr1QbdSIKvl1dWUl9K4PjAfSL9oeMr_37QVzcxc/edit?usp=sharing"",""สระบุรี!I782"")+IMPORTRANGE(""https://docs.google.com/spreadsheets/d/1j51vR6CYVGhABJpv6tkstgok82RLpXieLzW1yOY5rHw/edi"&amp;"t?usp=sharing"",""สิงห์บุรี!I782"")+IMPORTRANGE(""https://docs.google.com/spreadsheets/d/1H1EalTWKUSzO4Z1-1CwzoDUaVffgrThEBe2sl74kKG0/edit?usp=sharing"",""สุพรรณบุรี!I782"")+IMPORTRANGE(""https://docs.google.com/spreadsheets/d/1BmIruG_sIrJLYao_Pdr7zVArWsf"&amp;"oBt2692TMi6x_854/edit?usp=sharing"",""อ่างทอง!I782"")"),"#REF!")</f>
        <v>#REF!</v>
      </c>
      <c r="J783" s="293" t="str">
        <f ca="1">IFERROR(__xludf.DUMMYFUNCTION("IMPORTRANGE(""https://docs.google.com/spreadsheets/d/13wPX838HrBrQMCywv1BsuMkt4PEKTChp52zj44s2izQ/edit?usp=sharing"",""กาญจนบุรี!J782"")+IMPORTRANGE(""https://docs.google.com/spreadsheets/d/1ddFKvqj1W1NEiWytbGlB1zMx_ykJDVtmfEQ-6-lIUBA/edit?usp=sharing"","&amp;"""จันทบุรี!J782"")+IMPORTRANGE(""https://docs.google.com/spreadsheets/d/1T1PQvRODqOBZk8BRht_U031fIS1beLA0Ub2CEytj2q0/edit?usp=sharing"",""ฉะเชิงเทรา!J782"")+IMPORTRANGE(""https://docs.google.com/spreadsheets/d/11tr1B-Bhyr79v2bkwVh5h_fR-PStkgjlZtkrZpYurG0/"&amp;"edit?usp=sharing"",""ชลบุรี!J782"")+IMPORTRANGE(""https://docs.google.com/spreadsheets/d/1hh-FVnSX0vozXhGluamEcS54Dw9_zqW0N7qJUWgJ0Sw/edit?usp=sharing"",""ชัยนาท!J782"")+IMPORTRANGE(""https://docs.google.com/spreadsheets/d/1jkqa6GXxSacMcY1eN8AHjMNJ_7dDXMJ"&amp;"VRLDlaFSOdPM/edit?usp=sharing"",""ตราด!J782"")+IMPORTRANGE(""https://docs.google.com/spreadsheets/d/18hSgUJ3VwClqi_qtULmmW3cLr0oe3OKaSYoKzdpTsYQ/edit?usp=sharing"",""นครนายก!J782"")+IMPORTRANGE(""https://docs.google.com/spreadsheets/d/1YTZo6WM2dQ6Ix6FSdnL"&amp;"5P7uVnVKu40sxZu975tgG10E/edit?usp=sharing"",""นครปฐม!J782"")+IMPORTRANGE(""https://docs.google.com/spreadsheets/d/1OYoGg4WDg5RIzwGeB10padOxJF9E_Vljuvvct_M7RDo/edit?usp=sharing"",""ปทุมธานี!J782"")+IMPORTRANGE(""https://docs.google.com/spreadsheets/d/1GbCI"&amp;"E4D4wk9FUozzqk7SxfDMxDVBwVmI5zcaVUSzKAc/edit?usp=sharing"",""ประจวบคีรีขันธ์!J782"")+IMPORTRANGE(""https://docs.google.com/spreadsheets/d/1vVf6wykvW_lAyu7Yo9L4hUTqHqIeP_qcVuxCtosJEbg/edit?usp=sharing"",""ปราจีนบุรี!J782"")+IMPORTRANGE(""https://docs.googl"&amp;"e.com/spreadsheets/d/1BIDqLLg5jk3v59G8NlR8rk5xfQDKne0sAvZHSj7TI6I/edit?usp=sharing"",""พระนครศรีอยุธยา!J782"")+IMPORTRANGE(""https://docs.google.com/spreadsheets/d/1YXvxf8Yu6_rV4hTBrwMqAcAnv6DfhUxh5emyM3CJp_w/edit?usp=sharing"",""เพชรบุรี!J782"")+IMPORTRA"&amp;"NGE(""https://docs.google.com/spreadsheets/d/19KBlQQs7uwvsao6t2n-KvW3Ax8J8uRRfZPq1zPbXgKc/edit?usp=sharing"",""ระยอง!J782"")+IMPORTRANGE(""https://docs.google.com/spreadsheets/d/1jQ6P4QcrGM89YfqcC_PxOHGCMq5ezhucwJd8ci-NHng/edit?usp=sharing"",""ราชบุรี!J78"&amp;"2"")+IMPORTRANGE(""https://docs.google.com/spreadsheets/d/1lufeA2cfFqM-elVq2hznhDzC6Pr7wkJ9ZG_sYNGCMCU/edit?usp=sharing"",""ลพบุรี!J782"")+IMPORTRANGE(""https://docs.google.com/spreadsheets/d/10oOiF7loTyfsTkbd4MpaIm0HQ9SwB7IYHdIUvt-U1Uc/edit?usp=sharing"""&amp;",""สระแก้ว!J782"")+IMPORTRANGE(""https://docs.google.com/spreadsheets/d/1xmPlrr1QbdSIKvl1dWUl9K4PjAfSL9oeMr_37QVzcxc/edit?usp=sharing"",""สระบุรี!J782"")+IMPORTRANGE(""https://docs.google.com/spreadsheets/d/1j51vR6CYVGhABJpv6tkstgok82RLpXieLzW1yOY5rHw/edi"&amp;"t?usp=sharing"",""สิงห์บุรี!J782"")+IMPORTRANGE(""https://docs.google.com/spreadsheets/d/1H1EalTWKUSzO4Z1-1CwzoDUaVffgrThEBe2sl74kKG0/edit?usp=sharing"",""สุพรรณบุรี!J782"")+IMPORTRANGE(""https://docs.google.com/spreadsheets/d/1BmIruG_sIrJLYao_Pdr7zVArWsf"&amp;"oBt2692TMi6x_854/edit?usp=sharing"",""อ่างทอง!J782"")"),"#REF!")</f>
        <v>#REF!</v>
      </c>
      <c r="K783" s="74" t="e">
        <f t="shared" ca="1" si="526"/>
        <v>#VALUE!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550"/>
      <c r="B784" s="589" t="s">
        <v>294</v>
      </c>
      <c r="C784" s="269"/>
      <c r="D784" s="269"/>
      <c r="E784" s="258"/>
      <c r="F784" s="258"/>
      <c r="G784" s="261"/>
      <c r="H784" s="268" t="s">
        <v>14</v>
      </c>
      <c r="I784" s="293" t="str">
        <f ca="1">IFERROR(__xludf.DUMMYFUNCTION("IMPORTRANGE(""https://docs.google.com/spreadsheets/d/13wPX838HrBrQMCywv1BsuMkt4PEKTChp52zj44s2izQ/edit?usp=sharing"",""กาญจนบุรี!I783"")+IMPORTRANGE(""https://docs.google.com/spreadsheets/d/1ddFKvqj1W1NEiWytbGlB1zMx_ykJDVtmfEQ-6-lIUBA/edit?usp=sharing"","&amp;"""จันทบุรี!I783"")+IMPORTRANGE(""https://docs.google.com/spreadsheets/d/1T1PQvRODqOBZk8BRht_U031fIS1beLA0Ub2CEytj2q0/edit?usp=sharing"",""ฉะเชิงเทรา!I783"")+IMPORTRANGE(""https://docs.google.com/spreadsheets/d/11tr1B-Bhyr79v2bkwVh5h_fR-PStkgjlZtkrZpYurG0/"&amp;"edit?usp=sharing"",""ชลบุรี!I783"")+IMPORTRANGE(""https://docs.google.com/spreadsheets/d/1hh-FVnSX0vozXhGluamEcS54Dw9_zqW0N7qJUWgJ0Sw/edit?usp=sharing"",""ชัยนาท!I783"")+IMPORTRANGE(""https://docs.google.com/spreadsheets/d/1jkqa6GXxSacMcY1eN8AHjMNJ_7dDXMJ"&amp;"VRLDlaFSOdPM/edit?usp=sharing"",""ตราด!I783"")+IMPORTRANGE(""https://docs.google.com/spreadsheets/d/18hSgUJ3VwClqi_qtULmmW3cLr0oe3OKaSYoKzdpTsYQ/edit?usp=sharing"",""นครนายก!I783"")+IMPORTRANGE(""https://docs.google.com/spreadsheets/d/1YTZo6WM2dQ6Ix6FSdnL"&amp;"5P7uVnVKu40sxZu975tgG10E/edit?usp=sharing"",""นครปฐม!I783"")+IMPORTRANGE(""https://docs.google.com/spreadsheets/d/1OYoGg4WDg5RIzwGeB10padOxJF9E_Vljuvvct_M7RDo/edit?usp=sharing"",""ปทุมธานี!I783"")+IMPORTRANGE(""https://docs.google.com/spreadsheets/d/1GbCI"&amp;"E4D4wk9FUozzqk7SxfDMxDVBwVmI5zcaVUSzKAc/edit?usp=sharing"",""ประจวบคีรีขันธ์!I783"")+IMPORTRANGE(""https://docs.google.com/spreadsheets/d/1vVf6wykvW_lAyu7Yo9L4hUTqHqIeP_qcVuxCtosJEbg/edit?usp=sharing"",""ปราจีนบุรี!I783"")+IMPORTRANGE(""https://docs.googl"&amp;"e.com/spreadsheets/d/1BIDqLLg5jk3v59G8NlR8rk5xfQDKne0sAvZHSj7TI6I/edit?usp=sharing"",""พระนครศรีอยุธยา!I783"")+IMPORTRANGE(""https://docs.google.com/spreadsheets/d/1YXvxf8Yu6_rV4hTBrwMqAcAnv6DfhUxh5emyM3CJp_w/edit?usp=sharing"",""เพชรบุรี!I783"")+IMPORTRA"&amp;"NGE(""https://docs.google.com/spreadsheets/d/19KBlQQs7uwvsao6t2n-KvW3Ax8J8uRRfZPq1zPbXgKc/edit?usp=sharing"",""ระยอง!I783"")+IMPORTRANGE(""https://docs.google.com/spreadsheets/d/1jQ6P4QcrGM89YfqcC_PxOHGCMq5ezhucwJd8ci-NHng/edit?usp=sharing"",""ราชบุรี!I78"&amp;"3"")+IMPORTRANGE(""https://docs.google.com/spreadsheets/d/1lufeA2cfFqM-elVq2hznhDzC6Pr7wkJ9ZG_sYNGCMCU/edit?usp=sharing"",""ลพบุรี!I783"")+IMPORTRANGE(""https://docs.google.com/spreadsheets/d/10oOiF7loTyfsTkbd4MpaIm0HQ9SwB7IYHdIUvt-U1Uc/edit?usp=sharing"""&amp;",""สระแก้ว!I783"")+IMPORTRANGE(""https://docs.google.com/spreadsheets/d/1xmPlrr1QbdSIKvl1dWUl9K4PjAfSL9oeMr_37QVzcxc/edit?usp=sharing"",""สระบุรี!I783"")+IMPORTRANGE(""https://docs.google.com/spreadsheets/d/1j51vR6CYVGhABJpv6tkstgok82RLpXieLzW1yOY5rHw/edi"&amp;"t?usp=sharing"",""สิงห์บุรี!I783"")+IMPORTRANGE(""https://docs.google.com/spreadsheets/d/1H1EalTWKUSzO4Z1-1CwzoDUaVffgrThEBe2sl74kKG0/edit?usp=sharing"",""สุพรรณบุรี!I783"")+IMPORTRANGE(""https://docs.google.com/spreadsheets/d/1BmIruG_sIrJLYao_Pdr7zVArWsf"&amp;"oBt2692TMi6x_854/edit?usp=sharing"",""อ่างทอง!I783"")"),"#REF!")</f>
        <v>#REF!</v>
      </c>
      <c r="J784" s="293" t="str">
        <f ca="1">IFERROR(__xludf.DUMMYFUNCTION("IMPORTRANGE(""https://docs.google.com/spreadsheets/d/13wPX838HrBrQMCywv1BsuMkt4PEKTChp52zj44s2izQ/edit?usp=sharing"",""กาญจนบุรี!J783"")+IMPORTRANGE(""https://docs.google.com/spreadsheets/d/1ddFKvqj1W1NEiWytbGlB1zMx_ykJDVtmfEQ-6-lIUBA/edit?usp=sharing"","&amp;"""จันทบุรี!J783"")+IMPORTRANGE(""https://docs.google.com/spreadsheets/d/1T1PQvRODqOBZk8BRht_U031fIS1beLA0Ub2CEytj2q0/edit?usp=sharing"",""ฉะเชิงเทรา!J783"")+IMPORTRANGE(""https://docs.google.com/spreadsheets/d/11tr1B-Bhyr79v2bkwVh5h_fR-PStkgjlZtkrZpYurG0/"&amp;"edit?usp=sharing"",""ชลบุรี!J783"")+IMPORTRANGE(""https://docs.google.com/spreadsheets/d/1hh-FVnSX0vozXhGluamEcS54Dw9_zqW0N7qJUWgJ0Sw/edit?usp=sharing"",""ชัยนาท!J783"")+IMPORTRANGE(""https://docs.google.com/spreadsheets/d/1jkqa6GXxSacMcY1eN8AHjMNJ_7dDXMJ"&amp;"VRLDlaFSOdPM/edit?usp=sharing"",""ตราด!J783"")+IMPORTRANGE(""https://docs.google.com/spreadsheets/d/18hSgUJ3VwClqi_qtULmmW3cLr0oe3OKaSYoKzdpTsYQ/edit?usp=sharing"",""นครนายก!J783"")+IMPORTRANGE(""https://docs.google.com/spreadsheets/d/1YTZo6WM2dQ6Ix6FSdnL"&amp;"5P7uVnVKu40sxZu975tgG10E/edit?usp=sharing"",""นครปฐม!J783"")+IMPORTRANGE(""https://docs.google.com/spreadsheets/d/1OYoGg4WDg5RIzwGeB10padOxJF9E_Vljuvvct_M7RDo/edit?usp=sharing"",""ปทุมธานี!J783"")+IMPORTRANGE(""https://docs.google.com/spreadsheets/d/1GbCI"&amp;"E4D4wk9FUozzqk7SxfDMxDVBwVmI5zcaVUSzKAc/edit?usp=sharing"",""ประจวบคีรีขันธ์!J783"")+IMPORTRANGE(""https://docs.google.com/spreadsheets/d/1vVf6wykvW_lAyu7Yo9L4hUTqHqIeP_qcVuxCtosJEbg/edit?usp=sharing"",""ปราจีนบุรี!J783"")+IMPORTRANGE(""https://docs.googl"&amp;"e.com/spreadsheets/d/1BIDqLLg5jk3v59G8NlR8rk5xfQDKne0sAvZHSj7TI6I/edit?usp=sharing"",""พระนครศรีอยุธยา!J783"")+IMPORTRANGE(""https://docs.google.com/spreadsheets/d/1YXvxf8Yu6_rV4hTBrwMqAcAnv6DfhUxh5emyM3CJp_w/edit?usp=sharing"",""เพชรบุรี!J783"")+IMPORTRA"&amp;"NGE(""https://docs.google.com/spreadsheets/d/19KBlQQs7uwvsao6t2n-KvW3Ax8J8uRRfZPq1zPbXgKc/edit?usp=sharing"",""ระยอง!J783"")+IMPORTRANGE(""https://docs.google.com/spreadsheets/d/1jQ6P4QcrGM89YfqcC_PxOHGCMq5ezhucwJd8ci-NHng/edit?usp=sharing"",""ราชบุรี!J78"&amp;"3"")+IMPORTRANGE(""https://docs.google.com/spreadsheets/d/1lufeA2cfFqM-elVq2hznhDzC6Pr7wkJ9ZG_sYNGCMCU/edit?usp=sharing"",""ลพบุรี!J783"")+IMPORTRANGE(""https://docs.google.com/spreadsheets/d/10oOiF7loTyfsTkbd4MpaIm0HQ9SwB7IYHdIUvt-U1Uc/edit?usp=sharing"""&amp;",""สระแก้ว!J783"")+IMPORTRANGE(""https://docs.google.com/spreadsheets/d/1xmPlrr1QbdSIKvl1dWUl9K4PjAfSL9oeMr_37QVzcxc/edit?usp=sharing"",""สระบุรี!J783"")+IMPORTRANGE(""https://docs.google.com/spreadsheets/d/1j51vR6CYVGhABJpv6tkstgok82RLpXieLzW1yOY5rHw/edi"&amp;"t?usp=sharing"",""สิงห์บุรี!J783"")+IMPORTRANGE(""https://docs.google.com/spreadsheets/d/1H1EalTWKUSzO4Z1-1CwzoDUaVffgrThEBe2sl74kKG0/edit?usp=sharing"",""สุพรรณบุรี!J783"")+IMPORTRANGE(""https://docs.google.com/spreadsheets/d/1BmIruG_sIrJLYao_Pdr7zVArWsf"&amp;"oBt2692TMi6x_854/edit?usp=sharing"",""อ่างทอง!J783"")"),"#REF!")</f>
        <v>#REF!</v>
      </c>
      <c r="K784" s="74" t="e">
        <f t="shared" ca="1" si="526"/>
        <v>#VALUE!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627"/>
      <c r="B785" s="628"/>
      <c r="C785" s="628"/>
      <c r="D785" s="628"/>
      <c r="E785" s="636"/>
      <c r="F785" s="636"/>
      <c r="G785" s="637"/>
      <c r="H785" s="630" t="s">
        <v>35</v>
      </c>
      <c r="I785" s="786" t="str">
        <f ca="1">IFERROR(__xludf.DUMMYFUNCTION("IMPORTRANGE(""https://docs.google.com/spreadsheets/d/13wPX838HrBrQMCywv1BsuMkt4PEKTChp52zj44s2izQ/edit?usp=sharing"",""กาญจนบุรี!I784"")+IMPORTRANGE(""https://docs.google.com/spreadsheets/d/1ddFKvqj1W1NEiWytbGlB1zMx_ykJDVtmfEQ-6-lIUBA/edit?usp=sharing"","&amp;"""จันทบุรี!I784"")+IMPORTRANGE(""https://docs.google.com/spreadsheets/d/1T1PQvRODqOBZk8BRht_U031fIS1beLA0Ub2CEytj2q0/edit?usp=sharing"",""ฉะเชิงเทรา!I784"")+IMPORTRANGE(""https://docs.google.com/spreadsheets/d/11tr1B-Bhyr79v2bkwVh5h_fR-PStkgjlZtkrZpYurG0/"&amp;"edit?usp=sharing"",""ชลบุรี!I784"")+IMPORTRANGE(""https://docs.google.com/spreadsheets/d/1hh-FVnSX0vozXhGluamEcS54Dw9_zqW0N7qJUWgJ0Sw/edit?usp=sharing"",""ชัยนาท!I784"")+IMPORTRANGE(""https://docs.google.com/spreadsheets/d/1jkqa6GXxSacMcY1eN8AHjMNJ_7dDXMJ"&amp;"VRLDlaFSOdPM/edit?usp=sharing"",""ตราด!I784"")+IMPORTRANGE(""https://docs.google.com/spreadsheets/d/18hSgUJ3VwClqi_qtULmmW3cLr0oe3OKaSYoKzdpTsYQ/edit?usp=sharing"",""นครนายก!I784"")+IMPORTRANGE(""https://docs.google.com/spreadsheets/d/1YTZo6WM2dQ6Ix6FSdnL"&amp;"5P7uVnVKu40sxZu975tgG10E/edit?usp=sharing"",""นครปฐม!I784"")+IMPORTRANGE(""https://docs.google.com/spreadsheets/d/1OYoGg4WDg5RIzwGeB10padOxJF9E_Vljuvvct_M7RDo/edit?usp=sharing"",""ปทุมธานี!I784"")+IMPORTRANGE(""https://docs.google.com/spreadsheets/d/1GbCI"&amp;"E4D4wk9FUozzqk7SxfDMxDVBwVmI5zcaVUSzKAc/edit?usp=sharing"",""ประจวบคีรีขันธ์!I784"")+IMPORTRANGE(""https://docs.google.com/spreadsheets/d/1vVf6wykvW_lAyu7Yo9L4hUTqHqIeP_qcVuxCtosJEbg/edit?usp=sharing"",""ปราจีนบุรี!I784"")+IMPORTRANGE(""https://docs.googl"&amp;"e.com/spreadsheets/d/1BIDqLLg5jk3v59G8NlR8rk5xfQDKne0sAvZHSj7TI6I/edit?usp=sharing"",""พระนครศรีอยุธยา!I784"")+IMPORTRANGE(""https://docs.google.com/spreadsheets/d/1YXvxf8Yu6_rV4hTBrwMqAcAnv6DfhUxh5emyM3CJp_w/edit?usp=sharing"",""เพชรบุรี!I784"")+IMPORTRA"&amp;"NGE(""https://docs.google.com/spreadsheets/d/19KBlQQs7uwvsao6t2n-KvW3Ax8J8uRRfZPq1zPbXgKc/edit?usp=sharing"",""ระยอง!I784"")+IMPORTRANGE(""https://docs.google.com/spreadsheets/d/1jQ6P4QcrGM89YfqcC_PxOHGCMq5ezhucwJd8ci-NHng/edit?usp=sharing"",""ราชบุรี!I78"&amp;"4"")+IMPORTRANGE(""https://docs.google.com/spreadsheets/d/1lufeA2cfFqM-elVq2hznhDzC6Pr7wkJ9ZG_sYNGCMCU/edit?usp=sharing"",""ลพบุรี!I784"")+IMPORTRANGE(""https://docs.google.com/spreadsheets/d/10oOiF7loTyfsTkbd4MpaIm0HQ9SwB7IYHdIUvt-U1Uc/edit?usp=sharing"""&amp;",""สระแก้ว!I784"")+IMPORTRANGE(""https://docs.google.com/spreadsheets/d/1xmPlrr1QbdSIKvl1dWUl9K4PjAfSL9oeMr_37QVzcxc/edit?usp=sharing"",""สระบุรี!I784"")+IMPORTRANGE(""https://docs.google.com/spreadsheets/d/1j51vR6CYVGhABJpv6tkstgok82RLpXieLzW1yOY5rHw/edi"&amp;"t?usp=sharing"",""สิงห์บุรี!I784"")+IMPORTRANGE(""https://docs.google.com/spreadsheets/d/1H1EalTWKUSzO4Z1-1CwzoDUaVffgrThEBe2sl74kKG0/edit?usp=sharing"",""สุพรรณบุรี!I784"")+IMPORTRANGE(""https://docs.google.com/spreadsheets/d/1BmIruG_sIrJLYao_Pdr7zVArWsf"&amp;"oBt2692TMi6x_854/edit?usp=sharing"",""อ่างทอง!I784"")"),"#REF!")</f>
        <v>#REF!</v>
      </c>
      <c r="J785" s="786" t="str">
        <f ca="1">IFERROR(__xludf.DUMMYFUNCTION("IMPORTRANGE(""https://docs.google.com/spreadsheets/d/13wPX838HrBrQMCywv1BsuMkt4PEKTChp52zj44s2izQ/edit?usp=sharing"",""กาญจนบุรี!J784"")+IMPORTRANGE(""https://docs.google.com/spreadsheets/d/1ddFKvqj1W1NEiWytbGlB1zMx_ykJDVtmfEQ-6-lIUBA/edit?usp=sharing"","&amp;"""จันทบุรี!J784"")+IMPORTRANGE(""https://docs.google.com/spreadsheets/d/1T1PQvRODqOBZk8BRht_U031fIS1beLA0Ub2CEytj2q0/edit?usp=sharing"",""ฉะเชิงเทรา!J784"")+IMPORTRANGE(""https://docs.google.com/spreadsheets/d/11tr1B-Bhyr79v2bkwVh5h_fR-PStkgjlZtkrZpYurG0/"&amp;"edit?usp=sharing"",""ชลบุรี!J784"")+IMPORTRANGE(""https://docs.google.com/spreadsheets/d/1hh-FVnSX0vozXhGluamEcS54Dw9_zqW0N7qJUWgJ0Sw/edit?usp=sharing"",""ชัยนาท!J784"")+IMPORTRANGE(""https://docs.google.com/spreadsheets/d/1jkqa6GXxSacMcY1eN8AHjMNJ_7dDXMJ"&amp;"VRLDlaFSOdPM/edit?usp=sharing"",""ตราด!J784"")+IMPORTRANGE(""https://docs.google.com/spreadsheets/d/18hSgUJ3VwClqi_qtULmmW3cLr0oe3OKaSYoKzdpTsYQ/edit?usp=sharing"",""นครนายก!J784"")+IMPORTRANGE(""https://docs.google.com/spreadsheets/d/1YTZo6WM2dQ6Ix6FSdnL"&amp;"5P7uVnVKu40sxZu975tgG10E/edit?usp=sharing"",""นครปฐม!J784"")+IMPORTRANGE(""https://docs.google.com/spreadsheets/d/1OYoGg4WDg5RIzwGeB10padOxJF9E_Vljuvvct_M7RDo/edit?usp=sharing"",""ปทุมธานี!J784"")+IMPORTRANGE(""https://docs.google.com/spreadsheets/d/1GbCI"&amp;"E4D4wk9FUozzqk7SxfDMxDVBwVmI5zcaVUSzKAc/edit?usp=sharing"",""ประจวบคีรีขันธ์!J784"")+IMPORTRANGE(""https://docs.google.com/spreadsheets/d/1vVf6wykvW_lAyu7Yo9L4hUTqHqIeP_qcVuxCtosJEbg/edit?usp=sharing"",""ปราจีนบุรี!J784"")+IMPORTRANGE(""https://docs.googl"&amp;"e.com/spreadsheets/d/1BIDqLLg5jk3v59G8NlR8rk5xfQDKne0sAvZHSj7TI6I/edit?usp=sharing"",""พระนครศรีอยุธยา!J784"")+IMPORTRANGE(""https://docs.google.com/spreadsheets/d/1YXvxf8Yu6_rV4hTBrwMqAcAnv6DfhUxh5emyM3CJp_w/edit?usp=sharing"",""เพชรบุรี!J784"")+IMPORTRA"&amp;"NGE(""https://docs.google.com/spreadsheets/d/19KBlQQs7uwvsao6t2n-KvW3Ax8J8uRRfZPq1zPbXgKc/edit?usp=sharing"",""ระยอง!J784"")+IMPORTRANGE(""https://docs.google.com/spreadsheets/d/1jQ6P4QcrGM89YfqcC_PxOHGCMq5ezhucwJd8ci-NHng/edit?usp=sharing"",""ราชบุรี!J78"&amp;"4"")+IMPORTRANGE(""https://docs.google.com/spreadsheets/d/1lufeA2cfFqM-elVq2hznhDzC6Pr7wkJ9ZG_sYNGCMCU/edit?usp=sharing"",""ลพบุรี!J784"")+IMPORTRANGE(""https://docs.google.com/spreadsheets/d/10oOiF7loTyfsTkbd4MpaIm0HQ9SwB7IYHdIUvt-U1Uc/edit?usp=sharing"""&amp;",""สระแก้ว!J784"")+IMPORTRANGE(""https://docs.google.com/spreadsheets/d/1xmPlrr1QbdSIKvl1dWUl9K4PjAfSL9oeMr_37QVzcxc/edit?usp=sharing"",""สระบุรี!J784"")+IMPORTRANGE(""https://docs.google.com/spreadsheets/d/1j51vR6CYVGhABJpv6tkstgok82RLpXieLzW1yOY5rHw/edi"&amp;"t?usp=sharing"",""สิงห์บุรี!J784"")+IMPORTRANGE(""https://docs.google.com/spreadsheets/d/1H1EalTWKUSzO4Z1-1CwzoDUaVffgrThEBe2sl74kKG0/edit?usp=sharing"",""สุพรรณบุรี!J784"")+IMPORTRANGE(""https://docs.google.com/spreadsheets/d/1BmIruG_sIrJLYao_Pdr7zVArWsf"&amp;"oBt2692TMi6x_854/edit?usp=sharing"",""อ่างทอง!J784"")"),"#REF!")</f>
        <v>#REF!</v>
      </c>
      <c r="K785" s="182" t="e">
        <f t="shared" ca="1" si="526"/>
        <v>#VALUE!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795"/>
      <c r="B786" s="795"/>
      <c r="C786" s="795"/>
      <c r="D786" s="795"/>
      <c r="E786" s="289"/>
      <c r="F786" s="289"/>
      <c r="G786" s="289"/>
      <c r="H786" s="795"/>
      <c r="I786" s="796"/>
      <c r="J786" s="796"/>
      <c r="K786" s="797"/>
      <c r="L786" s="797"/>
      <c r="M786" s="797"/>
      <c r="N786" s="797"/>
      <c r="O786" s="797"/>
      <c r="P786" s="797"/>
      <c r="Q786" s="797"/>
      <c r="R786" s="797"/>
      <c r="S786" s="797"/>
      <c r="T786" s="797"/>
      <c r="U786" s="797"/>
    </row>
    <row r="787" spans="1:21" ht="16.5" x14ac:dyDescent="0.25">
      <c r="A787" s="798" t="s">
        <v>295</v>
      </c>
      <c r="B787" s="795"/>
      <c r="C787" s="795"/>
      <c r="D787" s="795"/>
      <c r="E787" s="289"/>
      <c r="F787" s="289"/>
      <c r="G787" s="289"/>
      <c r="H787" s="795"/>
      <c r="I787" s="796"/>
      <c r="J787" s="796"/>
      <c r="K787" s="797"/>
      <c r="L787" s="797"/>
      <c r="M787" s="797"/>
      <c r="N787" s="797"/>
      <c r="O787" s="797"/>
      <c r="P787" s="797"/>
      <c r="Q787" s="797"/>
      <c r="R787" s="797"/>
      <c r="S787" s="797"/>
      <c r="T787" s="797"/>
      <c r="U787" s="797"/>
    </row>
    <row r="788" spans="1:21" ht="16.5" x14ac:dyDescent="0.25">
      <c r="A788" s="79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795"/>
      <c r="C788" s="795"/>
      <c r="D788" s="795"/>
      <c r="E788" s="289"/>
      <c r="F788" s="289"/>
      <c r="G788" s="289"/>
      <c r="H788" s="795"/>
      <c r="I788" s="796"/>
      <c r="J788" s="796"/>
      <c r="K788" s="797"/>
      <c r="L788" s="797"/>
      <c r="M788" s="797"/>
      <c r="N788" s="797"/>
      <c r="O788" s="797"/>
      <c r="P788" s="797"/>
      <c r="Q788" s="797"/>
      <c r="R788" s="797"/>
      <c r="S788" s="797"/>
      <c r="T788" s="797"/>
      <c r="U788" s="797"/>
    </row>
  </sheetData>
  <mergeCells count="25">
    <mergeCell ref="A1:U1"/>
    <mergeCell ref="A2:U2"/>
    <mergeCell ref="A3:U3"/>
    <mergeCell ref="Q6:R6"/>
    <mergeCell ref="S6:U6"/>
    <mergeCell ref="L5:P5"/>
    <mergeCell ref="Q5:U5"/>
    <mergeCell ref="A6:G7"/>
    <mergeCell ref="I6:K6"/>
    <mergeCell ref="N6:P6"/>
    <mergeCell ref="D691:G691"/>
    <mergeCell ref="D715:G715"/>
    <mergeCell ref="D729:G729"/>
    <mergeCell ref="D760:G760"/>
    <mergeCell ref="L6:M6"/>
    <mergeCell ref="A18:G18"/>
    <mergeCell ref="A31:G31"/>
    <mergeCell ref="A57:G57"/>
    <mergeCell ref="B58:G58"/>
    <mergeCell ref="D414:G414"/>
    <mergeCell ref="A8:G8"/>
    <mergeCell ref="D494:F494"/>
    <mergeCell ref="D600:G600"/>
    <mergeCell ref="D617:G617"/>
    <mergeCell ref="D643:G643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212CC-9C31-470D-A40C-6EEE619F4F15}">
  <sheetPr codeName="Sheet10"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2.5703125" bestFit="1" customWidth="1"/>
    <col min="16" max="16" width="12" bestFit="1" customWidth="1"/>
    <col min="17" max="18" width="18.710937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344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9" t="s">
        <v>4</v>
      </c>
      <c r="B6" s="1385"/>
      <c r="C6" s="1385"/>
      <c r="D6" s="1385"/>
      <c r="E6" s="1385"/>
      <c r="F6" s="1385"/>
      <c r="G6" s="1386"/>
      <c r="H6" s="1284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8">
        <f t="shared" ref="L19:N19" ca="1" si="0">L20+L21</f>
        <v>1622880</v>
      </c>
      <c r="M19" s="59">
        <f t="shared" ca="1" si="0"/>
        <v>1644020</v>
      </c>
      <c r="N19" s="59">
        <f t="shared" ca="1" si="0"/>
        <v>1045542.96</v>
      </c>
      <c r="O19" s="59">
        <f t="shared" ref="O19:O27" ca="1" si="1">IF(L19&gt;0,N19*100/L19,0)</f>
        <v>64.425155279503102</v>
      </c>
      <c r="P19" s="59">
        <f t="shared" ref="P19:P27" ca="1" si="2">IF(M19&gt;0,N19*100/M19,0)</f>
        <v>63.596729966788722</v>
      </c>
      <c r="Q19" s="59">
        <f t="shared" ref="Q19:S19" ca="1" si="3">Q20+Q21</f>
        <v>808007.39</v>
      </c>
      <c r="R19" s="59">
        <f t="shared" ca="1" si="3"/>
        <v>808007</v>
      </c>
      <c r="S19" s="59">
        <f t="shared" ca="1" si="3"/>
        <v>45173.34</v>
      </c>
      <c r="T19" s="59">
        <f t="shared" ref="T19:T27" ca="1" si="4">IF(Q19&gt;0,S19*100/Q19,0)</f>
        <v>5.5907087681462908</v>
      </c>
      <c r="U19" s="59">
        <f t="shared" ref="U19:U27" ca="1" si="5">IF(R19&gt;0,S19*100/R19,0)</f>
        <v>5.5907114666085818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2">
        <f t="shared" ref="L20:N21" si="6">L23+L26</f>
        <v>0</v>
      </c>
      <c r="M20" s="63">
        <f t="shared" si="6"/>
        <v>0</v>
      </c>
      <c r="N20" s="63">
        <f t="shared" si="6"/>
        <v>0</v>
      </c>
      <c r="O20" s="63">
        <f t="shared" si="1"/>
        <v>0</v>
      </c>
      <c r="P20" s="63">
        <f t="shared" si="2"/>
        <v>0</v>
      </c>
      <c r="Q20" s="63">
        <f t="shared" ref="Q20:S21" si="7">Q23+Q26</f>
        <v>0</v>
      </c>
      <c r="R20" s="63">
        <f t="shared" si="7"/>
        <v>0</v>
      </c>
      <c r="S20" s="63">
        <f t="shared" si="7"/>
        <v>0</v>
      </c>
      <c r="T20" s="63">
        <f t="shared" si="4"/>
        <v>0</v>
      </c>
      <c r="U20" s="6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4">
        <f t="shared" ca="1" si="6"/>
        <v>1622880</v>
      </c>
      <c r="M21" s="65">
        <f t="shared" ca="1" si="6"/>
        <v>1644020</v>
      </c>
      <c r="N21" s="65">
        <f t="shared" ca="1" si="6"/>
        <v>1045542.96</v>
      </c>
      <c r="O21" s="65">
        <f t="shared" ca="1" si="1"/>
        <v>64.425155279503102</v>
      </c>
      <c r="P21" s="65">
        <f t="shared" ca="1" si="2"/>
        <v>63.596729966788722</v>
      </c>
      <c r="Q21" s="65">
        <f t="shared" ca="1" si="7"/>
        <v>808007.39</v>
      </c>
      <c r="R21" s="65">
        <f t="shared" ca="1" si="7"/>
        <v>808007</v>
      </c>
      <c r="S21" s="65">
        <f t="shared" ca="1" si="7"/>
        <v>45173.34</v>
      </c>
      <c r="T21" s="65">
        <f t="shared" ca="1" si="4"/>
        <v>5.5907087681462908</v>
      </c>
      <c r="U21" s="65">
        <f t="shared" ca="1" si="5"/>
        <v>5.5907114666085818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3">
        <f t="shared" ref="L22:N22" ca="1" si="8">L23+L24</f>
        <v>1622880</v>
      </c>
      <c r="M22" s="74">
        <f t="shared" ca="1" si="8"/>
        <v>1644020</v>
      </c>
      <c r="N22" s="74">
        <f t="shared" ca="1" si="8"/>
        <v>1045542.96</v>
      </c>
      <c r="O22" s="74">
        <f t="shared" ca="1" si="1"/>
        <v>64.425155279503102</v>
      </c>
      <c r="P22" s="74">
        <f t="shared" ca="1" si="2"/>
        <v>63.596729966788722</v>
      </c>
      <c r="Q22" s="74">
        <f t="shared" ref="Q22:S22" ca="1" si="9">Q23+Q24</f>
        <v>808007.39</v>
      </c>
      <c r="R22" s="74">
        <f t="shared" ca="1" si="9"/>
        <v>808007</v>
      </c>
      <c r="S22" s="74">
        <f t="shared" ca="1" si="9"/>
        <v>45173.34</v>
      </c>
      <c r="T22" s="74">
        <f t="shared" ca="1" si="4"/>
        <v>5.5907087681462908</v>
      </c>
      <c r="U22" s="74">
        <f t="shared" ca="1" si="5"/>
        <v>5.5907114666085818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6">
        <f t="shared" ref="L23:N24" si="10">L49+L64+L77+L99+L130+L144+L162+L191+L178+L271+L287+L308+L325+L338+L361+L518</f>
        <v>0</v>
      </c>
      <c r="M23" s="77">
        <f t="shared" si="10"/>
        <v>0</v>
      </c>
      <c r="N23" s="77">
        <f t="shared" si="10"/>
        <v>0</v>
      </c>
      <c r="O23" s="77">
        <f t="shared" si="1"/>
        <v>0</v>
      </c>
      <c r="P23" s="77">
        <f t="shared" si="2"/>
        <v>0</v>
      </c>
      <c r="Q23" s="77">
        <f t="shared" ref="Q23:S24" si="11">Q77+Q99+Q122+Q144+Q162+Q178+Q191+Q271+Q287+Q308+Q338+Q380+Q397+Q418+Q498+Q604+Q621+Q647+Q695+Q719+Q733+Q764</f>
        <v>0</v>
      </c>
      <c r="R23" s="77">
        <f t="shared" si="11"/>
        <v>0</v>
      </c>
      <c r="S23" s="77">
        <f t="shared" si="11"/>
        <v>0</v>
      </c>
      <c r="T23" s="77">
        <f t="shared" si="4"/>
        <v>0</v>
      </c>
      <c r="U23" s="77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3">
        <f t="shared" ca="1" si="10"/>
        <v>1622880</v>
      </c>
      <c r="M24" s="74">
        <f t="shared" ca="1" si="10"/>
        <v>1644020</v>
      </c>
      <c r="N24" s="74">
        <f t="shared" ca="1" si="10"/>
        <v>1045542.96</v>
      </c>
      <c r="O24" s="74">
        <f t="shared" ca="1" si="1"/>
        <v>64.425155279503102</v>
      </c>
      <c r="P24" s="74">
        <f t="shared" ca="1" si="2"/>
        <v>63.596729966788722</v>
      </c>
      <c r="Q24" s="74">
        <f t="shared" ca="1" si="11"/>
        <v>808007.39</v>
      </c>
      <c r="R24" s="74">
        <f t="shared" ca="1" si="11"/>
        <v>808007</v>
      </c>
      <c r="S24" s="74">
        <f t="shared" ca="1" si="11"/>
        <v>45173.34</v>
      </c>
      <c r="T24" s="74">
        <f t="shared" ca="1" si="4"/>
        <v>5.5907087681462908</v>
      </c>
      <c r="U24" s="74">
        <f t="shared" ca="1" si="5"/>
        <v>5.5907114666085818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3">
        <f t="shared" ref="L25:N25" ca="1" si="12">L26+L27</f>
        <v>0</v>
      </c>
      <c r="M25" s="74">
        <f t="shared" ca="1" si="12"/>
        <v>0</v>
      </c>
      <c r="N25" s="74">
        <f t="shared" ca="1" si="12"/>
        <v>0</v>
      </c>
      <c r="O25" s="74">
        <f t="shared" ca="1" si="1"/>
        <v>0</v>
      </c>
      <c r="P25" s="74">
        <f t="shared" ca="1" si="2"/>
        <v>0</v>
      </c>
      <c r="Q25" s="74">
        <f t="shared" ref="Q25:S25" si="13">Q26+Q27</f>
        <v>0</v>
      </c>
      <c r="R25" s="74">
        <f t="shared" si="13"/>
        <v>0</v>
      </c>
      <c r="S25" s="74">
        <f t="shared" si="13"/>
        <v>0</v>
      </c>
      <c r="T25" s="74">
        <f t="shared" si="4"/>
        <v>0</v>
      </c>
      <c r="U25" s="74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6">
        <f t="shared" ref="L26:N27" si="14">L52+L67+L80+L102+L133+L147+L165+L194+L181+L274+L290+L311+L328+L341+L364+L521</f>
        <v>0</v>
      </c>
      <c r="M26" s="77">
        <f t="shared" si="14"/>
        <v>0</v>
      </c>
      <c r="N26" s="77">
        <f t="shared" si="14"/>
        <v>0</v>
      </c>
      <c r="O26" s="77">
        <f t="shared" si="1"/>
        <v>0</v>
      </c>
      <c r="P26" s="77">
        <f t="shared" si="2"/>
        <v>0</v>
      </c>
      <c r="Q26" s="77">
        <f t="shared" ref="Q26:S27" si="15">Q80+Q102+Q125+Q147+Q165+Q181+Q194+Q274+Q290+Q311+Q341+Q383+Q400+Q421+Q501+Q607+Q624+Q650+Q698+Q722+Q736+Q767</f>
        <v>0</v>
      </c>
      <c r="R26" s="77">
        <f t="shared" si="15"/>
        <v>0</v>
      </c>
      <c r="S26" s="77">
        <f t="shared" si="15"/>
        <v>0</v>
      </c>
      <c r="T26" s="77">
        <f t="shared" si="4"/>
        <v>0</v>
      </c>
      <c r="U26" s="77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3">
        <f t="shared" ca="1" si="14"/>
        <v>0</v>
      </c>
      <c r="M27" s="74">
        <f t="shared" ca="1" si="14"/>
        <v>0</v>
      </c>
      <c r="N27" s="74">
        <f t="shared" ca="1" si="14"/>
        <v>0</v>
      </c>
      <c r="O27" s="74">
        <f t="shared" ca="1" si="1"/>
        <v>0</v>
      </c>
      <c r="P27" s="74">
        <f t="shared" ca="1" si="2"/>
        <v>0</v>
      </c>
      <c r="Q27" s="77">
        <f t="shared" si="15"/>
        <v>0</v>
      </c>
      <c r="R27" s="77">
        <f t="shared" si="15"/>
        <v>0</v>
      </c>
      <c r="S27" s="77">
        <f t="shared" si="15"/>
        <v>0</v>
      </c>
      <c r="T27" s="74">
        <f t="shared" si="4"/>
        <v>0</v>
      </c>
      <c r="U27" s="74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81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80">
        <f t="shared" ref="L41:N41" ca="1" si="16">L45+L60+L73+L95+L126+L140+L158+L174+L187+L267+L283+L304+L321+L334+L357</f>
        <v>1622880</v>
      </c>
      <c r="M41" s="1279">
        <f t="shared" ca="1" si="16"/>
        <v>1644020</v>
      </c>
      <c r="N41" s="1279">
        <f t="shared" ca="1" si="16"/>
        <v>1045542.96</v>
      </c>
      <c r="O41" s="1279">
        <f ca="1">IF(L41&gt;0,N41*100/L41,0)</f>
        <v>64.425155279503102</v>
      </c>
      <c r="P41" s="1279">
        <f ca="1">IF(M41&gt;0,N41*100/M41,0)</f>
        <v>63.596729966788722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6">
        <f t="shared" ref="L45:N45" ca="1" si="17">L46+L47</f>
        <v>307900</v>
      </c>
      <c r="M45" s="1275">
        <f t="shared" ca="1" si="17"/>
        <v>312880</v>
      </c>
      <c r="N45" s="1275">
        <f t="shared" ca="1" si="17"/>
        <v>239547.74</v>
      </c>
      <c r="O45" s="1275">
        <f t="shared" ref="O45:O53" ca="1" si="18">IF(L45&gt;0,N45*100/L45,0)</f>
        <v>77.800500162390392</v>
      </c>
      <c r="P45" s="1275">
        <f t="shared" ref="P45:P53" ca="1" si="19">IF(M45&gt;0,N45*100/M45,0)</f>
        <v>76.562177192533881</v>
      </c>
      <c r="Q45" s="1275">
        <f t="shared" ref="Q45:S45" si="20">Q46+Q47</f>
        <v>0</v>
      </c>
      <c r="R45" s="1275">
        <f t="shared" si="20"/>
        <v>0</v>
      </c>
      <c r="S45" s="1275">
        <f t="shared" si="20"/>
        <v>0</v>
      </c>
      <c r="T45" s="1275">
        <f t="shared" ref="T45:T53" si="21">IF(Q45&gt;0,S45*100/Q45,0)</f>
        <v>0</v>
      </c>
      <c r="U45" s="1275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4">
        <f t="shared" ref="L46:N47" si="23">L49+L52</f>
        <v>0</v>
      </c>
      <c r="M46" s="1273">
        <f t="shared" si="23"/>
        <v>0</v>
      </c>
      <c r="N46" s="1273">
        <f t="shared" si="23"/>
        <v>0</v>
      </c>
      <c r="O46" s="1273">
        <f t="shared" si="18"/>
        <v>0</v>
      </c>
      <c r="P46" s="1273">
        <f t="shared" si="19"/>
        <v>0</v>
      </c>
      <c r="Q46" s="1273">
        <f t="shared" ref="Q46:S47" si="24">Q49+Q52</f>
        <v>0</v>
      </c>
      <c r="R46" s="1273">
        <f t="shared" si="24"/>
        <v>0</v>
      </c>
      <c r="S46" s="1273">
        <f t="shared" si="24"/>
        <v>0</v>
      </c>
      <c r="T46" s="1273">
        <f t="shared" si="21"/>
        <v>0</v>
      </c>
      <c r="U46" s="1273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2">
        <f t="shared" ca="1" si="23"/>
        <v>307900</v>
      </c>
      <c r="M47" s="1271">
        <f t="shared" ca="1" si="23"/>
        <v>312880</v>
      </c>
      <c r="N47" s="1271">
        <f t="shared" ca="1" si="23"/>
        <v>239547.74</v>
      </c>
      <c r="O47" s="1271">
        <f t="shared" ca="1" si="18"/>
        <v>77.800500162390392</v>
      </c>
      <c r="P47" s="1271">
        <f t="shared" ca="1" si="19"/>
        <v>76.562177192533881</v>
      </c>
      <c r="Q47" s="1271">
        <f t="shared" si="24"/>
        <v>0</v>
      </c>
      <c r="R47" s="1271">
        <f t="shared" si="24"/>
        <v>0</v>
      </c>
      <c r="S47" s="1271">
        <f t="shared" si="24"/>
        <v>0</v>
      </c>
      <c r="T47" s="1271">
        <f t="shared" si="21"/>
        <v>0</v>
      </c>
      <c r="U47" s="1271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3">
        <f t="shared" ref="L48:N48" ca="1" si="25">L49+L50</f>
        <v>307900</v>
      </c>
      <c r="M48" s="74">
        <f t="shared" ca="1" si="25"/>
        <v>312880</v>
      </c>
      <c r="N48" s="74">
        <f t="shared" ca="1" si="25"/>
        <v>239547.74</v>
      </c>
      <c r="O48" s="74">
        <f t="shared" ca="1" si="18"/>
        <v>77.800500162390392</v>
      </c>
      <c r="P48" s="74">
        <f t="shared" ca="1" si="19"/>
        <v>76.562177192533881</v>
      </c>
      <c r="Q48" s="74">
        <f t="shared" ref="Q48:S48" si="26">Q49+Q50</f>
        <v>0</v>
      </c>
      <c r="R48" s="74">
        <f t="shared" si="26"/>
        <v>0</v>
      </c>
      <c r="S48" s="74">
        <f t="shared" si="26"/>
        <v>0</v>
      </c>
      <c r="T48" s="74">
        <f t="shared" si="21"/>
        <v>0</v>
      </c>
      <c r="U48" s="74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77">
        <f t="shared" si="18"/>
        <v>0</v>
      </c>
      <c r="P49" s="77">
        <f t="shared" si="19"/>
        <v>0</v>
      </c>
      <c r="Q49" s="77">
        <v>0</v>
      </c>
      <c r="R49" s="77">
        <v>0</v>
      </c>
      <c r="S49" s="77">
        <v>0</v>
      </c>
      <c r="T49" s="77">
        <f t="shared" si="21"/>
        <v>0</v>
      </c>
      <c r="U49" s="77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3">
        <f ca="1">IFERROR(__xludf.DUMMYFUNCTION("IMPORTRANGE(""https://docs.google.com/spreadsheets/d/1-uDff_7J0KD5mKrp0Vvzr7lt3OU09vwQwhkpOPPYv2Y/edit?usp=sharing"",""งบพรบ!P61"")"),307900)</f>
        <v>307900</v>
      </c>
      <c r="M50" s="74">
        <f ca="1">IFERROR(__xludf.DUMMYFUNCTION("IMPORTRANGE(""https://docs.google.com/spreadsheets/d/1-uDff_7J0KD5mKrp0Vvzr7lt3OU09vwQwhkpOPPYv2Y/edit?usp=sharing"",""งบพรบ!V61"")"),312880)</f>
        <v>312880</v>
      </c>
      <c r="N50" s="74">
        <f ca="1">IFERROR(__xludf.DUMMYFUNCTION("IMPORTRANGE(""https://docs.google.com/spreadsheets/d/1-uDff_7J0KD5mKrp0Vvzr7lt3OU09vwQwhkpOPPYv2Y/edit?usp=sharing"",""งบพรบ!Y61"")"),239547.74)</f>
        <v>239547.74</v>
      </c>
      <c r="O50" s="74">
        <f t="shared" ca="1" si="18"/>
        <v>77.800500162390392</v>
      </c>
      <c r="P50" s="74">
        <f t="shared" ca="1" si="19"/>
        <v>76.562177192533881</v>
      </c>
      <c r="Q50" s="74">
        <v>0</v>
      </c>
      <c r="R50" s="74">
        <v>0</v>
      </c>
      <c r="S50" s="74">
        <v>0</v>
      </c>
      <c r="T50" s="74">
        <f t="shared" si="21"/>
        <v>0</v>
      </c>
      <c r="U50" s="74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3">
        <f t="shared" ref="L51:N51" ca="1" si="27">L52+L53</f>
        <v>0</v>
      </c>
      <c r="M51" s="74">
        <f t="shared" ca="1" si="27"/>
        <v>0</v>
      </c>
      <c r="N51" s="74">
        <f t="shared" ca="1" si="27"/>
        <v>0</v>
      </c>
      <c r="O51" s="74">
        <f t="shared" ca="1" si="18"/>
        <v>0</v>
      </c>
      <c r="P51" s="74">
        <f t="shared" ca="1" si="19"/>
        <v>0</v>
      </c>
      <c r="Q51" s="74">
        <f t="shared" ref="Q51:S51" si="28">Q52+Q53</f>
        <v>0</v>
      </c>
      <c r="R51" s="74">
        <f t="shared" si="28"/>
        <v>0</v>
      </c>
      <c r="S51" s="74">
        <f t="shared" si="28"/>
        <v>0</v>
      </c>
      <c r="T51" s="74">
        <f t="shared" si="21"/>
        <v>0</v>
      </c>
      <c r="U51" s="74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77">
        <f t="shared" si="18"/>
        <v>0</v>
      </c>
      <c r="P52" s="77">
        <f t="shared" si="19"/>
        <v>0</v>
      </c>
      <c r="Q52" s="77">
        <v>0</v>
      </c>
      <c r="R52" s="77">
        <v>0</v>
      </c>
      <c r="S52" s="77">
        <v>0</v>
      </c>
      <c r="T52" s="77">
        <f t="shared" si="21"/>
        <v>0</v>
      </c>
      <c r="U52" s="77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3">
        <f ca="1">IFERROR(__xludf.DUMMYFUNCTION("IMPORTRANGE(""https://docs.google.com/spreadsheets/d/1-uDff_7J0KD5mKrp0Vvzr7lt3OU09vwQwhkpOPPYv2Y/edit?usp=sharing"",""งบพรบ!S61"")"),0)</f>
        <v>0</v>
      </c>
      <c r="M53" s="74">
        <f ca="1">IFERROR(__xludf.DUMMYFUNCTION("IMPORTRANGE(""https://docs.google.com/spreadsheets/d/1-uDff_7J0KD5mKrp0Vvzr7lt3OU09vwQwhkpOPPYv2Y/edit?usp=sharing"",""งบพรบ!W61"")"),0)</f>
        <v>0</v>
      </c>
      <c r="N53" s="74">
        <f ca="1">IFERROR(__xludf.DUMMYFUNCTION("IMPORTRANGE(""https://docs.google.com/spreadsheets/d/1-uDff_7J0KD5mKrp0Vvzr7lt3OU09vwQwhkpOPPYv2Y/edit?usp=sharing"",""งบพรบ!Z61"")"),0)</f>
        <v>0</v>
      </c>
      <c r="O53" s="74">
        <f t="shared" ca="1" si="18"/>
        <v>0</v>
      </c>
      <c r="P53" s="74">
        <f t="shared" ca="1" si="19"/>
        <v>0</v>
      </c>
      <c r="Q53" s="74">
        <v>0</v>
      </c>
      <c r="R53" s="74">
        <v>0</v>
      </c>
      <c r="S53" s="74">
        <v>0</v>
      </c>
      <c r="T53" s="74">
        <f t="shared" si="21"/>
        <v>0</v>
      </c>
      <c r="U53" s="74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9">
        <f t="shared" ref="L60:N60" ca="1" si="29">L61+L62</f>
        <v>450500</v>
      </c>
      <c r="M60" s="1268">
        <f t="shared" ca="1" si="29"/>
        <v>450500</v>
      </c>
      <c r="N60" s="1268">
        <f t="shared" ca="1" si="29"/>
        <v>354562.41</v>
      </c>
      <c r="O60" s="1268">
        <f t="shared" ref="O60:O68" ca="1" si="30">IF(L60&gt;0,N60*100/L60,0)</f>
        <v>78.704197558268589</v>
      </c>
      <c r="P60" s="1268">
        <f t="shared" ref="P60:P68" ca="1" si="31">IF(M60&gt;0,N60*100/M60,0)</f>
        <v>78.704197558268589</v>
      </c>
      <c r="Q60" s="1268">
        <f t="shared" ref="Q60:S60" si="32">Q61+Q62</f>
        <v>0</v>
      </c>
      <c r="R60" s="1268">
        <f t="shared" si="32"/>
        <v>0</v>
      </c>
      <c r="S60" s="1268">
        <f t="shared" si="32"/>
        <v>0</v>
      </c>
      <c r="T60" s="1268">
        <f t="shared" ref="T60:T68" si="33">IF(Q60&gt;0,S60*100/Q60,0)</f>
        <v>0</v>
      </c>
      <c r="U60" s="1268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7">
        <f t="shared" ref="L61:N62" si="35">L64+L67</f>
        <v>0</v>
      </c>
      <c r="M61" s="1266">
        <f t="shared" si="35"/>
        <v>0</v>
      </c>
      <c r="N61" s="1266">
        <f t="shared" si="35"/>
        <v>0</v>
      </c>
      <c r="O61" s="1266">
        <f t="shared" si="30"/>
        <v>0</v>
      </c>
      <c r="P61" s="1266">
        <f t="shared" si="31"/>
        <v>0</v>
      </c>
      <c r="Q61" s="1266">
        <f t="shared" ref="Q61:S62" si="36">Q64+Q67</f>
        <v>0</v>
      </c>
      <c r="R61" s="1266">
        <f t="shared" si="36"/>
        <v>0</v>
      </c>
      <c r="S61" s="1266">
        <f t="shared" si="36"/>
        <v>0</v>
      </c>
      <c r="T61" s="1266">
        <f t="shared" si="33"/>
        <v>0</v>
      </c>
      <c r="U61" s="1266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5">
        <f t="shared" ca="1" si="35"/>
        <v>450500</v>
      </c>
      <c r="M62" s="1264">
        <f t="shared" ca="1" si="35"/>
        <v>450500</v>
      </c>
      <c r="N62" s="1264">
        <f t="shared" ca="1" si="35"/>
        <v>354562.41</v>
      </c>
      <c r="O62" s="1264">
        <f t="shared" ca="1" si="30"/>
        <v>78.704197558268589</v>
      </c>
      <c r="P62" s="1264">
        <f t="shared" ca="1" si="31"/>
        <v>78.704197558268589</v>
      </c>
      <c r="Q62" s="1264">
        <f t="shared" si="36"/>
        <v>0</v>
      </c>
      <c r="R62" s="1264">
        <f t="shared" si="36"/>
        <v>0</v>
      </c>
      <c r="S62" s="1264">
        <f t="shared" si="36"/>
        <v>0</v>
      </c>
      <c r="T62" s="1264">
        <f t="shared" si="33"/>
        <v>0</v>
      </c>
      <c r="U62" s="1264">
        <f t="shared" si="34"/>
        <v>0</v>
      </c>
    </row>
    <row r="63" spans="1:21" ht="18.75" x14ac:dyDescent="0.25">
      <c r="A63" s="550"/>
      <c r="B63" s="269"/>
      <c r="C63" s="269"/>
      <c r="D63" s="967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3">
        <f t="shared" ref="L63:N63" ca="1" si="37">L64+L65</f>
        <v>450500</v>
      </c>
      <c r="M63" s="74">
        <f t="shared" ca="1" si="37"/>
        <v>450500</v>
      </c>
      <c r="N63" s="74">
        <f t="shared" ca="1" si="37"/>
        <v>354562.41</v>
      </c>
      <c r="O63" s="74">
        <f t="shared" ca="1" si="30"/>
        <v>78.704197558268589</v>
      </c>
      <c r="P63" s="74">
        <f t="shared" ca="1" si="31"/>
        <v>78.704197558268589</v>
      </c>
      <c r="Q63" s="74">
        <f t="shared" ref="Q63:S63" si="38">Q64+Q65</f>
        <v>0</v>
      </c>
      <c r="R63" s="74">
        <f t="shared" si="38"/>
        <v>0</v>
      </c>
      <c r="S63" s="74">
        <f t="shared" si="38"/>
        <v>0</v>
      </c>
      <c r="T63" s="74">
        <f t="shared" si="33"/>
        <v>0</v>
      </c>
      <c r="U63" s="74">
        <f t="shared" si="34"/>
        <v>0</v>
      </c>
    </row>
    <row r="64" spans="1:21" ht="18.75" hidden="1" x14ac:dyDescent="0.25">
      <c r="A64" s="550"/>
      <c r="B64" s="258"/>
      <c r="C64" s="269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77">
        <f t="shared" si="30"/>
        <v>0</v>
      </c>
      <c r="P64" s="77">
        <f t="shared" si="31"/>
        <v>0</v>
      </c>
      <c r="Q64" s="77">
        <v>0</v>
      </c>
      <c r="R64" s="77">
        <v>0</v>
      </c>
      <c r="S64" s="77">
        <v>0</v>
      </c>
      <c r="T64" s="77">
        <f t="shared" si="33"/>
        <v>0</v>
      </c>
      <c r="U64" s="77">
        <f t="shared" si="34"/>
        <v>0</v>
      </c>
    </row>
    <row r="65" spans="1:21" ht="18.75" hidden="1" x14ac:dyDescent="0.25">
      <c r="A65" s="257"/>
      <c r="B65" s="258"/>
      <c r="C65" s="258"/>
      <c r="D65" s="269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3">
        <f ca="1">IFERROR(__xludf.DUMMYFUNCTION("IMPORTRANGE(""https://docs.google.com/spreadsheets/d/1-uDff_7J0KD5mKrp0Vvzr7lt3OU09vwQwhkpOPPYv2Y/edit?usp=sharing"",""งบพรบ!AC61"")"),450500)</f>
        <v>450500</v>
      </c>
      <c r="M65" s="74">
        <f ca="1">IFERROR(__xludf.DUMMYFUNCTION("IMPORTRANGE(""https://docs.google.com/spreadsheets/d/1-uDff_7J0KD5mKrp0Vvzr7lt3OU09vwQwhkpOPPYv2Y/edit?usp=sharing"",""งบพรบ!AH61"")"),450500)</f>
        <v>450500</v>
      </c>
      <c r="N65" s="74">
        <f ca="1">IFERROR(__xludf.DUMMYFUNCTION("IMPORTRANGE(""https://docs.google.com/spreadsheets/d/1-uDff_7J0KD5mKrp0Vvzr7lt3OU09vwQwhkpOPPYv2Y/edit?usp=sharing"",""งบพรบ!AJ61"")"),354562.41)</f>
        <v>354562.41</v>
      </c>
      <c r="O65" s="74">
        <f t="shared" ca="1" si="30"/>
        <v>78.704197558268589</v>
      </c>
      <c r="P65" s="74">
        <f t="shared" ca="1" si="31"/>
        <v>78.704197558268589</v>
      </c>
      <c r="Q65" s="74">
        <v>0</v>
      </c>
      <c r="R65" s="74">
        <v>0</v>
      </c>
      <c r="S65" s="74">
        <v>0</v>
      </c>
      <c r="T65" s="74">
        <f t="shared" si="33"/>
        <v>0</v>
      </c>
      <c r="U65" s="74">
        <f t="shared" si="34"/>
        <v>0</v>
      </c>
    </row>
    <row r="66" spans="1:21" ht="18.75" x14ac:dyDescent="0.25">
      <c r="A66" s="257"/>
      <c r="B66" s="258"/>
      <c r="C66" s="258"/>
      <c r="D66" s="967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3">
        <f t="shared" ref="L66:N66" ca="1" si="39">L67+L68</f>
        <v>0</v>
      </c>
      <c r="M66" s="74">
        <f t="shared" ca="1" si="39"/>
        <v>0</v>
      </c>
      <c r="N66" s="74">
        <f t="shared" ca="1" si="39"/>
        <v>0</v>
      </c>
      <c r="O66" s="74">
        <f t="shared" ca="1" si="30"/>
        <v>0</v>
      </c>
      <c r="P66" s="74">
        <f t="shared" ca="1" si="31"/>
        <v>0</v>
      </c>
      <c r="Q66" s="74">
        <f t="shared" ref="Q66:S66" si="40">Q67+Q68</f>
        <v>0</v>
      </c>
      <c r="R66" s="74">
        <f t="shared" si="40"/>
        <v>0</v>
      </c>
      <c r="S66" s="74">
        <f t="shared" si="40"/>
        <v>0</v>
      </c>
      <c r="T66" s="74">
        <f t="shared" si="33"/>
        <v>0</v>
      </c>
      <c r="U66" s="74">
        <f t="shared" si="34"/>
        <v>0</v>
      </c>
    </row>
    <row r="67" spans="1:21" ht="18.75" hidden="1" x14ac:dyDescent="0.25">
      <c r="A67" s="257"/>
      <c r="B67" s="258"/>
      <c r="C67" s="258"/>
      <c r="D67" s="258"/>
      <c r="E67" s="265" t="s">
        <v>20</v>
      </c>
      <c r="F67" s="258"/>
      <c r="G67" s="261"/>
      <c r="H67" s="266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77">
        <f t="shared" si="30"/>
        <v>0</v>
      </c>
      <c r="P67" s="77">
        <f t="shared" si="31"/>
        <v>0</v>
      </c>
      <c r="Q67" s="77">
        <v>0</v>
      </c>
      <c r="R67" s="77">
        <v>0</v>
      </c>
      <c r="S67" s="77">
        <v>0</v>
      </c>
      <c r="T67" s="77">
        <f t="shared" si="33"/>
        <v>0</v>
      </c>
      <c r="U67" s="77">
        <f t="shared" si="34"/>
        <v>0</v>
      </c>
    </row>
    <row r="68" spans="1:21" ht="18.75" hidden="1" x14ac:dyDescent="0.25">
      <c r="A68" s="1094"/>
      <c r="B68" s="636"/>
      <c r="C68" s="636"/>
      <c r="D68" s="636"/>
      <c r="E68" s="849" t="s">
        <v>21</v>
      </c>
      <c r="F68" s="636"/>
      <c r="G68" s="637"/>
      <c r="H68" s="630" t="s">
        <v>14</v>
      </c>
      <c r="I68" s="631"/>
      <c r="J68" s="631"/>
      <c r="K68" s="98"/>
      <c r="L68" s="181">
        <f ca="1">IFERROR(__xludf.DUMMYFUNCTION("IMPORTRANGE(""https://docs.google.com/spreadsheets/d/1-uDff_7J0KD5mKrp0Vvzr7lt3OU09vwQwhkpOPPYv2Y/edit?usp=sharing"",""งบพรบ!AF61"")"),0)</f>
        <v>0</v>
      </c>
      <c r="M68" s="182">
        <f ca="1">IFERROR(__xludf.DUMMYFUNCTION("IMPORTRANGE(""https://docs.google.com/spreadsheets/d/1-uDff_7J0KD5mKrp0Vvzr7lt3OU09vwQwhkpOPPYv2Y/edit?usp=sharing"",""งบพรบ!AI61"")"),0)</f>
        <v>0</v>
      </c>
      <c r="N68" s="182">
        <f ca="1">IFERROR(__xludf.DUMMYFUNCTION("IMPORTRANGE(""https://docs.google.com/spreadsheets/d/1-uDff_7J0KD5mKrp0Vvzr7lt3OU09vwQwhkpOPPYv2Y/edit?usp=sharing"",""งบพรบ!AK61"")"),0)</f>
        <v>0</v>
      </c>
      <c r="O68" s="182">
        <f t="shared" ca="1" si="30"/>
        <v>0</v>
      </c>
      <c r="P68" s="182">
        <f t="shared" ca="1" si="31"/>
        <v>0</v>
      </c>
      <c r="Q68" s="182">
        <v>0</v>
      </c>
      <c r="R68" s="182">
        <v>0</v>
      </c>
      <c r="S68" s="182">
        <v>0</v>
      </c>
      <c r="T68" s="182">
        <f t="shared" si="33"/>
        <v>0</v>
      </c>
      <c r="U68" s="182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6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hidden="1" x14ac:dyDescent="0.3">
      <c r="A70" s="1099" t="s">
        <v>32</v>
      </c>
      <c r="B70" s="691"/>
      <c r="C70" s="693"/>
      <c r="D70" s="691"/>
      <c r="E70" s="691"/>
      <c r="F70" s="691"/>
      <c r="G70" s="1100"/>
      <c r="H70" s="1101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39" hidden="1" x14ac:dyDescent="0.3">
      <c r="A71" s="250"/>
      <c r="B71" s="251" t="s">
        <v>33</v>
      </c>
      <c r="C71" s="252"/>
      <c r="D71" s="253"/>
      <c r="E71" s="252"/>
      <c r="F71" s="252"/>
      <c r="G71" s="254"/>
      <c r="H71" s="255" t="s">
        <v>34</v>
      </c>
      <c r="I71" s="256">
        <f t="shared" ref="I71:J72" ca="1" si="41">I83</f>
        <v>0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hidden="1" x14ac:dyDescent="0.3">
      <c r="A72" s="250"/>
      <c r="B72" s="252"/>
      <c r="C72" s="252"/>
      <c r="D72" s="253"/>
      <c r="E72" s="252"/>
      <c r="F72" s="252"/>
      <c r="G72" s="254"/>
      <c r="H72" s="255" t="s">
        <v>35</v>
      </c>
      <c r="I72" s="256">
        <f t="shared" ca="1" si="41"/>
        <v>0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hidden="1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1257">
        <f t="shared" ref="L73:N73" ca="1" si="43">L74+L75</f>
        <v>0</v>
      </c>
      <c r="M73" s="264">
        <f t="shared" ca="1" si="43"/>
        <v>0</v>
      </c>
      <c r="N73" s="264">
        <f t="shared" ca="1" si="43"/>
        <v>0</v>
      </c>
      <c r="O73" s="264">
        <f t="shared" ref="O73:O81" ca="1" si="44">IF(L73&gt;0,N73*100/L73,0)</f>
        <v>0</v>
      </c>
      <c r="P73" s="264">
        <f t="shared" ref="P73:P81" ca="1" si="45">IF(M73&gt;0,N73*100/M73,0)</f>
        <v>0</v>
      </c>
      <c r="Q73" s="264">
        <f t="shared" ref="Q73:S73" ca="1" si="46">Q74+Q75</f>
        <v>0</v>
      </c>
      <c r="R73" s="264">
        <f t="shared" ca="1" si="46"/>
        <v>0</v>
      </c>
      <c r="S73" s="264">
        <f t="shared" ca="1" si="46"/>
        <v>0</v>
      </c>
      <c r="T73" s="264">
        <f t="shared" ref="T73:T81" ca="1" si="47">IF(Q73&gt;0,S73*100/Q73,0)</f>
        <v>0</v>
      </c>
      <c r="U73" s="264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6">
        <f t="shared" ref="L74:N75" si="49">L77+L80</f>
        <v>0</v>
      </c>
      <c r="M74" s="77">
        <f t="shared" si="49"/>
        <v>0</v>
      </c>
      <c r="N74" s="77">
        <f t="shared" si="49"/>
        <v>0</v>
      </c>
      <c r="O74" s="77">
        <f t="shared" si="44"/>
        <v>0</v>
      </c>
      <c r="P74" s="77">
        <f t="shared" si="45"/>
        <v>0</v>
      </c>
      <c r="Q74" s="77">
        <f t="shared" ref="Q74:S75" si="50">Q77+Q80</f>
        <v>0</v>
      </c>
      <c r="R74" s="77">
        <f t="shared" si="50"/>
        <v>0</v>
      </c>
      <c r="S74" s="77">
        <f t="shared" si="50"/>
        <v>0</v>
      </c>
      <c r="T74" s="77">
        <f t="shared" si="47"/>
        <v>0</v>
      </c>
      <c r="U74" s="77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3">
        <f t="shared" ca="1" si="49"/>
        <v>0</v>
      </c>
      <c r="M75" s="74">
        <f t="shared" ca="1" si="49"/>
        <v>0</v>
      </c>
      <c r="N75" s="74">
        <f t="shared" ca="1" si="49"/>
        <v>0</v>
      </c>
      <c r="O75" s="74">
        <f t="shared" ca="1" si="44"/>
        <v>0</v>
      </c>
      <c r="P75" s="74">
        <f t="shared" ca="1" si="45"/>
        <v>0</v>
      </c>
      <c r="Q75" s="74">
        <f t="shared" ca="1" si="50"/>
        <v>0</v>
      </c>
      <c r="R75" s="74">
        <f t="shared" ca="1" si="50"/>
        <v>0</v>
      </c>
      <c r="S75" s="74">
        <f t="shared" ca="1" si="50"/>
        <v>0</v>
      </c>
      <c r="T75" s="74">
        <f t="shared" ca="1" si="47"/>
        <v>0</v>
      </c>
      <c r="U75" s="74">
        <f t="shared" ca="1" si="48"/>
        <v>0</v>
      </c>
    </row>
    <row r="76" spans="1:21" ht="18.75" hidden="1" x14ac:dyDescent="0.25">
      <c r="A76" s="257"/>
      <c r="B76" s="269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3">
        <f t="shared" ref="L76:N76" ca="1" si="51">L77+L78</f>
        <v>0</v>
      </c>
      <c r="M76" s="74">
        <f t="shared" ca="1" si="51"/>
        <v>0</v>
      </c>
      <c r="N76" s="74">
        <f t="shared" ca="1" si="51"/>
        <v>0</v>
      </c>
      <c r="O76" s="74">
        <f t="shared" ca="1" si="44"/>
        <v>0</v>
      </c>
      <c r="P76" s="74">
        <f t="shared" ca="1" si="45"/>
        <v>0</v>
      </c>
      <c r="Q76" s="74">
        <f t="shared" ref="Q76:S76" ca="1" si="52">Q77+Q78</f>
        <v>0</v>
      </c>
      <c r="R76" s="74">
        <f t="shared" ca="1" si="52"/>
        <v>0</v>
      </c>
      <c r="S76" s="74">
        <f t="shared" ca="1" si="52"/>
        <v>0</v>
      </c>
      <c r="T76" s="74">
        <f t="shared" ca="1" si="47"/>
        <v>0</v>
      </c>
      <c r="U76" s="74">
        <f t="shared" ca="1" si="48"/>
        <v>0</v>
      </c>
    </row>
    <row r="77" spans="1:21" ht="18.75" hidden="1" x14ac:dyDescent="0.25">
      <c r="A77" s="257"/>
      <c r="B77" s="269"/>
      <c r="C77" s="269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77">
        <f t="shared" si="44"/>
        <v>0</v>
      </c>
      <c r="P77" s="77">
        <f t="shared" si="45"/>
        <v>0</v>
      </c>
      <c r="Q77" s="77">
        <v>0</v>
      </c>
      <c r="R77" s="77">
        <v>0</v>
      </c>
      <c r="S77" s="77">
        <v>0</v>
      </c>
      <c r="T77" s="77">
        <f t="shared" si="47"/>
        <v>0</v>
      </c>
      <c r="U77" s="77">
        <f t="shared" si="48"/>
        <v>0</v>
      </c>
    </row>
    <row r="78" spans="1:21" ht="18.75" hidden="1" x14ac:dyDescent="0.25">
      <c r="A78" s="257"/>
      <c r="B78" s="269"/>
      <c r="C78" s="269"/>
      <c r="D78" s="269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3">
        <f ca="1">IFERROR(__xludf.DUMMYFUNCTION("IMPORTRANGE(""https://docs.google.com/spreadsheets/d/1-uDff_7J0KD5mKrp0Vvzr7lt3OU09vwQwhkpOPPYv2Y/edit?usp=sharing"",""งบพรบ!AM61"")"),0)</f>
        <v>0</v>
      </c>
      <c r="M78" s="74">
        <f ca="1">IFERROR(__xludf.DUMMYFUNCTION("IMPORTRANGE(""https://docs.google.com/spreadsheets/d/1-uDff_7J0KD5mKrp0Vvzr7lt3OU09vwQwhkpOPPYv2Y/edit?usp=sharing"",""งบพรบ!AR61"")"),0)</f>
        <v>0</v>
      </c>
      <c r="N78" s="74">
        <f ca="1">IFERROR(__xludf.DUMMYFUNCTION("IMPORTRANGE(""https://docs.google.com/spreadsheets/d/1-uDff_7J0KD5mKrp0Vvzr7lt3OU09vwQwhkpOPPYv2Y/edit?usp=sharing"",""งบพรบ!AT61"")"),0)</f>
        <v>0</v>
      </c>
      <c r="O78" s="74">
        <f t="shared" ca="1" si="44"/>
        <v>0</v>
      </c>
      <c r="P78" s="74">
        <f t="shared" ca="1" si="45"/>
        <v>0</v>
      </c>
      <c r="Q78" s="74">
        <f ca="1">IFERROR(__xludf.DUMMYFUNCTION("IMPORTRANGE(""https://docs.google.com/spreadsheets/d/1ItG2mGa2ceCfYo0BwxsXqNm01IGEUdYcSSLTEv9YCik/edit?usp=sharing"",""เบิกจ่ายกองทุน!AS61"")"),0)</f>
        <v>0</v>
      </c>
      <c r="R78" s="74">
        <f ca="1">IFERROR(__xludf.DUMMYFUNCTION("IMPORTRANGE(""https://docs.google.com/spreadsheets/d/1ItG2mGa2ceCfYo0BwxsXqNm01IGEUdYcSSLTEv9YCik/edit?usp=sharing"",""เบิกจ่ายกองทุน!AT61"")"),0)</f>
        <v>0</v>
      </c>
      <c r="S78" s="74">
        <f ca="1">IFERROR(__xludf.DUMMYFUNCTION("IMPORTRANGE(""https://docs.google.com/spreadsheets/d/1ItG2mGa2ceCfYo0BwxsXqNm01IGEUdYcSSLTEv9YCik/edit?usp=sharing"",""เบิกจ่ายกองทุน!AU61"")"),0)</f>
        <v>0</v>
      </c>
      <c r="T78" s="74">
        <f t="shared" ca="1" si="47"/>
        <v>0</v>
      </c>
      <c r="U78" s="74">
        <f t="shared" ca="1" si="48"/>
        <v>0</v>
      </c>
    </row>
    <row r="79" spans="1:21" ht="18.75" hidden="1" x14ac:dyDescent="0.25">
      <c r="A79" s="257"/>
      <c r="B79" s="269"/>
      <c r="C79" s="269"/>
      <c r="D79" s="967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3">
        <f t="shared" ref="L79:N79" ca="1" si="53">L80+L81</f>
        <v>0</v>
      </c>
      <c r="M79" s="74">
        <f t="shared" ca="1" si="53"/>
        <v>0</v>
      </c>
      <c r="N79" s="74">
        <f t="shared" ca="1" si="53"/>
        <v>0</v>
      </c>
      <c r="O79" s="74">
        <f t="shared" ca="1" si="44"/>
        <v>0</v>
      </c>
      <c r="P79" s="74">
        <f t="shared" ca="1" si="45"/>
        <v>0</v>
      </c>
      <c r="Q79" s="74">
        <f t="shared" ref="Q79:S79" si="54">Q80+Q81</f>
        <v>0</v>
      </c>
      <c r="R79" s="74">
        <f t="shared" si="54"/>
        <v>0</v>
      </c>
      <c r="S79" s="74">
        <f t="shared" si="54"/>
        <v>0</v>
      </c>
      <c r="T79" s="74">
        <f t="shared" si="47"/>
        <v>0</v>
      </c>
      <c r="U79" s="74">
        <f t="shared" si="48"/>
        <v>0</v>
      </c>
    </row>
    <row r="80" spans="1:21" ht="18.75" hidden="1" x14ac:dyDescent="0.25">
      <c r="A80" s="257"/>
      <c r="B80" s="269"/>
      <c r="C80" s="269"/>
      <c r="D80" s="269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77">
        <f t="shared" si="44"/>
        <v>0</v>
      </c>
      <c r="P80" s="77">
        <f t="shared" si="45"/>
        <v>0</v>
      </c>
      <c r="Q80" s="77">
        <v>0</v>
      </c>
      <c r="R80" s="74">
        <v>0</v>
      </c>
      <c r="S80" s="74">
        <v>0</v>
      </c>
      <c r="T80" s="77">
        <f t="shared" si="47"/>
        <v>0</v>
      </c>
      <c r="U80" s="77">
        <f t="shared" si="48"/>
        <v>0</v>
      </c>
    </row>
    <row r="81" spans="1:21" ht="18.75" hidden="1" x14ac:dyDescent="0.25">
      <c r="A81" s="257"/>
      <c r="B81" s="269"/>
      <c r="C81" s="269"/>
      <c r="D81" s="269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3">
        <f ca="1">IFERROR(__xludf.DUMMYFUNCTION("IMPORTRANGE(""https://docs.google.com/spreadsheets/d/1-uDff_7J0KD5mKrp0Vvzr7lt3OU09vwQwhkpOPPYv2Y/edit?usp=sharing"",""งบพรบ!AP61"")"),0)</f>
        <v>0</v>
      </c>
      <c r="M81" s="74">
        <f ca="1">IFERROR(__xludf.DUMMYFUNCTION("IMPORTRANGE(""https://docs.google.com/spreadsheets/d/1-uDff_7J0KD5mKrp0Vvzr7lt3OU09vwQwhkpOPPYv2Y/edit?usp=sharing"",""งบพรบ!AS61"")"),0)</f>
        <v>0</v>
      </c>
      <c r="N81" s="74">
        <f ca="1">IFERROR(__xludf.DUMMYFUNCTION("IMPORTRANGE(""https://docs.google.com/spreadsheets/d/1-uDff_7J0KD5mKrp0Vvzr7lt3OU09vwQwhkpOPPYv2Y/edit?usp=sharing"",""งบพรบ!AU61"")"),0)</f>
        <v>0</v>
      </c>
      <c r="O81" s="74">
        <f t="shared" ca="1" si="44"/>
        <v>0</v>
      </c>
      <c r="P81" s="74">
        <f t="shared" ca="1" si="45"/>
        <v>0</v>
      </c>
      <c r="Q81" s="74">
        <v>0</v>
      </c>
      <c r="R81" s="74">
        <v>0</v>
      </c>
      <c r="S81" s="74">
        <v>0</v>
      </c>
      <c r="T81" s="74">
        <f t="shared" si="47"/>
        <v>0</v>
      </c>
      <c r="U81" s="74">
        <f t="shared" si="48"/>
        <v>0</v>
      </c>
    </row>
    <row r="82" spans="1:21" ht="19.5" hidden="1" x14ac:dyDescent="0.3">
      <c r="A82" s="276"/>
      <c r="B82" s="277"/>
      <c r="C82" s="621" t="s">
        <v>18</v>
      </c>
      <c r="D82" s="968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hidden="1" x14ac:dyDescent="0.3">
      <c r="A83" s="276"/>
      <c r="B83" s="277"/>
      <c r="C83" s="277"/>
      <c r="D83" s="1103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0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hidden="1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0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hidden="1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IFERROR(__xludf.DUMMYFUNCTION("IMPORTRANGE(""https://docs.google.com/spreadsheets/d/1eHaY18a8A9IcSdp1K8H6x8fbOy06t2VsZHhMHf-1x7Y/edit?usp=sharing"",""แผน!H61"")"),0)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hidden="1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IFERROR(__xludf.DUMMYFUNCTION("IMPORTRANGE(""https://docs.google.com/spreadsheets/d/1eHaY18a8A9IcSdp1K8H6x8fbOy06t2VsZHhMHf-1x7Y/edit?usp=sharing"",""แผน!I61"")"),0)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hidden="1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IFERROR(__xludf.DUMMYFUNCTION("IMPORTRANGE(""https://docs.google.com/spreadsheets/d/1eHaY18a8A9IcSdp1K8H6x8fbOy06t2VsZHhMHf-1x7Y/edit?usp=sharing"",""แผน!F61"")"),0)</f>
        <v>0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hidden="1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IFERROR(__xludf.DUMMYFUNCTION("IMPORTRANGE(""https://docs.google.com/spreadsheets/d/1eHaY18a8A9IcSdp1K8H6x8fbOy06t2VsZHhMHf-1x7Y/edit?usp=sharing"",""แผน!G61"")"),0)</f>
        <v>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hidden="1" x14ac:dyDescent="0.25">
      <c r="A89" s="276"/>
      <c r="B89" s="277"/>
      <c r="C89" s="277"/>
      <c r="D89" s="277"/>
      <c r="E89" s="295" t="s">
        <v>42</v>
      </c>
      <c r="F89" s="296"/>
      <c r="G89" s="282"/>
      <c r="H89" s="275" t="s">
        <v>34</v>
      </c>
      <c r="I89" s="298">
        <f ca="1">IFERROR(__xludf.DUMMYFUNCTION("IMPORTRANGE(""https://docs.google.com/spreadsheets/d/1eHaY18a8A9IcSdp1K8H6x8fbOy06t2VsZHhMHf-1x7Y/edit?usp=sharing"",""แผน!D61"")"),0)</f>
        <v>0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hidden="1" x14ac:dyDescent="0.25">
      <c r="A90" s="276"/>
      <c r="B90" s="277"/>
      <c r="C90" s="277"/>
      <c r="D90" s="277"/>
      <c r="E90" s="296"/>
      <c r="F90" s="296"/>
      <c r="G90" s="282"/>
      <c r="H90" s="275" t="s">
        <v>35</v>
      </c>
      <c r="I90" s="298">
        <f ca="1">IFERROR(__xludf.DUMMYFUNCTION("IMPORTRANGE(""https://docs.google.com/spreadsheets/d/1eHaY18a8A9IcSdp1K8H6x8fbOy06t2VsZHhMHf-1x7Y/edit?usp=sharing"",""แผน!E61"")"),0)</f>
        <v>0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hidden="1" x14ac:dyDescent="0.25">
      <c r="A91" s="276"/>
      <c r="B91" s="277"/>
      <c r="C91" s="277"/>
      <c r="D91" s="767" t="s">
        <v>43</v>
      </c>
      <c r="E91" s="296"/>
      <c r="F91" s="296"/>
      <c r="G91" s="282"/>
      <c r="H91" s="271" t="s">
        <v>34</v>
      </c>
      <c r="I91" s="298">
        <f ca="1">IFERROR(__xludf.DUMMYFUNCTION("IMPORTRANGE(""https://docs.google.com/spreadsheets/d/1eHaY18a8A9IcSdp1K8H6x8fbOy06t2VsZHhMHf-1x7Y/edit?usp=sharing"",""แผน!J61"")"),0)</f>
        <v>0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x14ac:dyDescent="0.3">
      <c r="A92" s="1099" t="s">
        <v>44</v>
      </c>
      <c r="B92" s="691"/>
      <c r="C92" s="693"/>
      <c r="D92" s="691"/>
      <c r="E92" s="691"/>
      <c r="F92" s="691"/>
      <c r="G92" s="1100"/>
      <c r="H92" s="1101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x14ac:dyDescent="0.3">
      <c r="A93" s="250"/>
      <c r="B93" s="251" t="s">
        <v>45</v>
      </c>
      <c r="C93" s="252"/>
      <c r="D93" s="253"/>
      <c r="E93" s="252"/>
      <c r="F93" s="252"/>
      <c r="G93" s="254"/>
      <c r="H93" s="255" t="s">
        <v>46</v>
      </c>
      <c r="I93" s="256">
        <f t="shared" ref="I93:J94" ca="1" si="57">I109</f>
        <v>36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x14ac:dyDescent="0.3">
      <c r="A94" s="250"/>
      <c r="B94" s="252"/>
      <c r="C94" s="252"/>
      <c r="D94" s="253"/>
      <c r="E94" s="252"/>
      <c r="F94" s="252"/>
      <c r="G94" s="254"/>
      <c r="H94" s="255" t="s">
        <v>35</v>
      </c>
      <c r="I94" s="256">
        <f t="shared" ca="1" si="57"/>
        <v>12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1257">
        <f t="shared" ref="L95:N95" ca="1" si="59">L96+L97</f>
        <v>0</v>
      </c>
      <c r="M95" s="264">
        <f t="shared" ca="1" si="59"/>
        <v>0</v>
      </c>
      <c r="N95" s="264">
        <f t="shared" ca="1" si="59"/>
        <v>0</v>
      </c>
      <c r="O95" s="264">
        <f t="shared" ref="O95:O103" ca="1" si="60">IF(L95&gt;0,N95*100/L95,0)</f>
        <v>0</v>
      </c>
      <c r="P95" s="264">
        <f t="shared" ref="P95:P103" ca="1" si="61">IF(M95&gt;0,N95*100/M95,0)</f>
        <v>0</v>
      </c>
      <c r="Q95" s="264">
        <f t="shared" ref="Q95:S95" ca="1" si="62">Q96+Q97</f>
        <v>101304</v>
      </c>
      <c r="R95" s="264">
        <f t="shared" ca="1" si="62"/>
        <v>101304</v>
      </c>
      <c r="S95" s="264">
        <f t="shared" ca="1" si="62"/>
        <v>28860</v>
      </c>
      <c r="T95" s="264">
        <f t="shared" ref="T95:T103" ca="1" si="63">IF(Q95&gt;0,S95*100/Q95,0)</f>
        <v>28.488509831793415</v>
      </c>
      <c r="U95" s="264">
        <f t="shared" ref="U95:U103" ca="1" si="64">IF(R95&gt;0,S95*100/R95,0)</f>
        <v>28.488509831793415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6">
        <f t="shared" ref="L96:N97" si="65">L99+L102</f>
        <v>0</v>
      </c>
      <c r="M96" s="77">
        <f t="shared" si="65"/>
        <v>0</v>
      </c>
      <c r="N96" s="77">
        <f t="shared" si="65"/>
        <v>0</v>
      </c>
      <c r="O96" s="77">
        <f t="shared" si="60"/>
        <v>0</v>
      </c>
      <c r="P96" s="77">
        <f t="shared" si="61"/>
        <v>0</v>
      </c>
      <c r="Q96" s="77">
        <f t="shared" ref="Q96:S97" si="66">Q99+Q102</f>
        <v>0</v>
      </c>
      <c r="R96" s="77">
        <f t="shared" si="66"/>
        <v>0</v>
      </c>
      <c r="S96" s="77">
        <f t="shared" si="66"/>
        <v>0</v>
      </c>
      <c r="T96" s="77">
        <f t="shared" si="63"/>
        <v>0</v>
      </c>
      <c r="U96" s="77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3">
        <f t="shared" ca="1" si="65"/>
        <v>0</v>
      </c>
      <c r="M97" s="74">
        <f t="shared" ca="1" si="65"/>
        <v>0</v>
      </c>
      <c r="N97" s="74">
        <f t="shared" ca="1" si="65"/>
        <v>0</v>
      </c>
      <c r="O97" s="74">
        <f t="shared" ca="1" si="60"/>
        <v>0</v>
      </c>
      <c r="P97" s="74">
        <f t="shared" ca="1" si="61"/>
        <v>0</v>
      </c>
      <c r="Q97" s="74">
        <f t="shared" ca="1" si="66"/>
        <v>101304</v>
      </c>
      <c r="R97" s="74">
        <f t="shared" ca="1" si="66"/>
        <v>101304</v>
      </c>
      <c r="S97" s="74">
        <f t="shared" ca="1" si="66"/>
        <v>28860</v>
      </c>
      <c r="T97" s="74">
        <f t="shared" ca="1" si="63"/>
        <v>28.488509831793415</v>
      </c>
      <c r="U97" s="74">
        <f t="shared" ca="1" si="64"/>
        <v>28.488509831793415</v>
      </c>
    </row>
    <row r="98" spans="1:21" ht="18.75" x14ac:dyDescent="0.25">
      <c r="A98" s="257"/>
      <c r="B98" s="269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3">
        <f t="shared" ref="L98:N98" ca="1" si="67">L99+L100</f>
        <v>0</v>
      </c>
      <c r="M98" s="74">
        <f t="shared" ca="1" si="67"/>
        <v>0</v>
      </c>
      <c r="N98" s="74">
        <f t="shared" ca="1" si="67"/>
        <v>0</v>
      </c>
      <c r="O98" s="74">
        <f t="shared" ca="1" si="60"/>
        <v>0</v>
      </c>
      <c r="P98" s="74">
        <f t="shared" ca="1" si="61"/>
        <v>0</v>
      </c>
      <c r="Q98" s="74">
        <f t="shared" ref="Q98:S98" ca="1" si="68">Q99+Q100</f>
        <v>101304</v>
      </c>
      <c r="R98" s="74">
        <f t="shared" ca="1" si="68"/>
        <v>101304</v>
      </c>
      <c r="S98" s="74">
        <f t="shared" ca="1" si="68"/>
        <v>28860</v>
      </c>
      <c r="T98" s="74">
        <f t="shared" ca="1" si="63"/>
        <v>28.488509831793415</v>
      </c>
      <c r="U98" s="74">
        <f t="shared" ca="1" si="64"/>
        <v>28.488509831793415</v>
      </c>
    </row>
    <row r="99" spans="1:21" ht="18.75" hidden="1" x14ac:dyDescent="0.25">
      <c r="A99" s="257"/>
      <c r="B99" s="269"/>
      <c r="C99" s="269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77">
        <f t="shared" si="60"/>
        <v>0</v>
      </c>
      <c r="P99" s="77">
        <f t="shared" si="61"/>
        <v>0</v>
      </c>
      <c r="Q99" s="77">
        <v>0</v>
      </c>
      <c r="R99" s="77">
        <v>0</v>
      </c>
      <c r="S99" s="77">
        <v>0</v>
      </c>
      <c r="T99" s="77">
        <f t="shared" si="63"/>
        <v>0</v>
      </c>
      <c r="U99" s="77">
        <f t="shared" si="64"/>
        <v>0</v>
      </c>
    </row>
    <row r="100" spans="1:21" ht="18.75" hidden="1" x14ac:dyDescent="0.25">
      <c r="A100" s="257"/>
      <c r="B100" s="269"/>
      <c r="C100" s="269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3">
        <f ca="1">IFERROR(__xludf.DUMMYFUNCTION("IMPORTRANGE(""https://docs.google.com/spreadsheets/d/1-uDff_7J0KD5mKrp0Vvzr7lt3OU09vwQwhkpOPPYv2Y/edit?usp=sharing"",""งบพรบ!AW61"")"),0)</f>
        <v>0</v>
      </c>
      <c r="M100" s="74">
        <f ca="1">IFERROR(__xludf.DUMMYFUNCTION("IMPORTRANGE(""https://docs.google.com/spreadsheets/d/1-uDff_7J0KD5mKrp0Vvzr7lt3OU09vwQwhkpOPPYv2Y/edit?usp=sharing"",""งบพรบ!BB61"")"),0)</f>
        <v>0</v>
      </c>
      <c r="N100" s="74">
        <f ca="1">IFERROR(__xludf.DUMMYFUNCTION("IMPORTRANGE(""https://docs.google.com/spreadsheets/d/1-uDff_7J0KD5mKrp0Vvzr7lt3OU09vwQwhkpOPPYv2Y/edit?usp=sharing"",""งบพรบ!BD61"")"),0)</f>
        <v>0</v>
      </c>
      <c r="O100" s="74">
        <f t="shared" ca="1" si="60"/>
        <v>0</v>
      </c>
      <c r="P100" s="74">
        <f t="shared" ca="1" si="61"/>
        <v>0</v>
      </c>
      <c r="Q100" s="74">
        <f ca="1">IFERROR(__xludf.DUMMYFUNCTION("IMPORTRANGE(""https://docs.google.com/spreadsheets/d/1ItG2mGa2ceCfYo0BwxsXqNm01IGEUdYcSSLTEv9YCik/edit?usp=sharing"",""เบิกจ่ายกองทุน!AD61"")"),101304)</f>
        <v>101304</v>
      </c>
      <c r="R100" s="74">
        <f ca="1">IFERROR(__xludf.DUMMYFUNCTION("IMPORTRANGE(""https://docs.google.com/spreadsheets/d/1ItG2mGa2ceCfYo0BwxsXqNm01IGEUdYcSSLTEv9YCik/edit?usp=sharing"",""เบิกจ่ายกองทุน!AE61"")"),101304)</f>
        <v>101304</v>
      </c>
      <c r="S100" s="74">
        <f ca="1">IFERROR(__xludf.DUMMYFUNCTION("IMPORTRANGE(""https://docs.google.com/spreadsheets/d/1ItG2mGa2ceCfYo0BwxsXqNm01IGEUdYcSSLTEv9YCik/edit?usp=sharing"",""เบิกจ่ายกองทุน!AF61"")"),28860)</f>
        <v>28860</v>
      </c>
      <c r="T100" s="74">
        <f t="shared" ca="1" si="63"/>
        <v>28.488509831793415</v>
      </c>
      <c r="U100" s="74">
        <f t="shared" ca="1" si="64"/>
        <v>28.488509831793415</v>
      </c>
    </row>
    <row r="101" spans="1:21" ht="18.75" x14ac:dyDescent="0.25">
      <c r="A101" s="257"/>
      <c r="B101" s="269"/>
      <c r="C101" s="269"/>
      <c r="D101" s="967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3">
        <f t="shared" ref="L101:N101" ca="1" si="69">L102+L103</f>
        <v>0</v>
      </c>
      <c r="M101" s="74">
        <f t="shared" ca="1" si="69"/>
        <v>0</v>
      </c>
      <c r="N101" s="74">
        <f t="shared" ca="1" si="69"/>
        <v>0</v>
      </c>
      <c r="O101" s="74">
        <f t="shared" ca="1" si="60"/>
        <v>0</v>
      </c>
      <c r="P101" s="74">
        <f t="shared" ca="1" si="61"/>
        <v>0</v>
      </c>
      <c r="Q101" s="74">
        <f t="shared" ref="Q101:S101" si="70">Q102+Q103</f>
        <v>0</v>
      </c>
      <c r="R101" s="74">
        <f t="shared" si="70"/>
        <v>0</v>
      </c>
      <c r="S101" s="74">
        <f t="shared" si="70"/>
        <v>0</v>
      </c>
      <c r="T101" s="74">
        <f t="shared" si="63"/>
        <v>0</v>
      </c>
      <c r="U101" s="74">
        <f t="shared" si="64"/>
        <v>0</v>
      </c>
    </row>
    <row r="102" spans="1:21" ht="18.75" hidden="1" x14ac:dyDescent="0.25">
      <c r="A102" s="257"/>
      <c r="B102" s="269"/>
      <c r="C102" s="269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77">
        <f t="shared" si="60"/>
        <v>0</v>
      </c>
      <c r="P102" s="77">
        <f t="shared" si="61"/>
        <v>0</v>
      </c>
      <c r="Q102" s="77">
        <v>0</v>
      </c>
      <c r="R102" s="77">
        <v>0</v>
      </c>
      <c r="S102" s="77">
        <v>0</v>
      </c>
      <c r="T102" s="77">
        <f t="shared" si="63"/>
        <v>0</v>
      </c>
      <c r="U102" s="77">
        <f t="shared" si="64"/>
        <v>0</v>
      </c>
    </row>
    <row r="103" spans="1:21" ht="18.75" hidden="1" x14ac:dyDescent="0.25">
      <c r="A103" s="257"/>
      <c r="B103" s="269"/>
      <c r="C103" s="269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3">
        <f ca="1">IFERROR(__xludf.DUMMYFUNCTION("IMPORTRANGE(""https://docs.google.com/spreadsheets/d/1-uDff_7J0KD5mKrp0Vvzr7lt3OU09vwQwhkpOPPYv2Y/edit?usp=sharing"",""งบพรบ!AZ61"")"),0)</f>
        <v>0</v>
      </c>
      <c r="M103" s="74">
        <f ca="1">IFERROR(__xludf.DUMMYFUNCTION("IMPORTRANGE(""https://docs.google.com/spreadsheets/d/1-uDff_7J0KD5mKrp0Vvzr7lt3OU09vwQwhkpOPPYv2Y/edit?usp=sharing"",""งบพรบ!BC61"")"),0)</f>
        <v>0</v>
      </c>
      <c r="N103" s="74">
        <f ca="1">IFERROR(__xludf.DUMMYFUNCTION("IMPORTRANGE(""https://docs.google.com/spreadsheets/d/1-uDff_7J0KD5mKrp0Vvzr7lt3OU09vwQwhkpOPPYv2Y/edit?usp=sharing"",""งบพรบ!BE61"")"),0)</f>
        <v>0</v>
      </c>
      <c r="O103" s="74">
        <f t="shared" ca="1" si="60"/>
        <v>0</v>
      </c>
      <c r="P103" s="74">
        <f t="shared" ca="1" si="61"/>
        <v>0</v>
      </c>
      <c r="Q103" s="74">
        <v>0</v>
      </c>
      <c r="R103" s="74">
        <v>0</v>
      </c>
      <c r="S103" s="74">
        <v>0</v>
      </c>
      <c r="T103" s="74">
        <f t="shared" si="63"/>
        <v>0</v>
      </c>
      <c r="U103" s="74">
        <f t="shared" si="64"/>
        <v>0</v>
      </c>
    </row>
    <row r="104" spans="1:21" ht="19.5" x14ac:dyDescent="0.3">
      <c r="A104" s="276"/>
      <c r="B104" s="277"/>
      <c r="C104" s="621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IFERROR(__xludf.DUMMYFUNCTION("IMPORTRANGE(""https://docs.google.com/spreadsheets/d/1eHaY18a8A9IcSdp1K8H6x8fbOy06t2VsZHhMHf-1x7Y/edit?usp=sharing"",""แผน!N61"")"),36)</f>
        <v>36</v>
      </c>
      <c r="J109" s="294"/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IFERROR(__xludf.DUMMYFUNCTION("IMPORTRANGE(""https://docs.google.com/spreadsheets/d/1eHaY18a8A9IcSdp1K8H6x8fbOy06t2VsZHhMHf-1x7Y/edit?usp=sharing"",""แผน!O61"")"),12)</f>
        <v>12</v>
      </c>
      <c r="J110" s="294"/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4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8.75" x14ac:dyDescent="0.25">
      <c r="A114" s="890"/>
      <c r="B114" s="891"/>
      <c r="C114" s="891"/>
      <c r="D114" s="1106" t="s">
        <v>50</v>
      </c>
      <c r="E114" s="893"/>
      <c r="F114" s="893"/>
      <c r="G114" s="894"/>
      <c r="H114" s="895" t="s">
        <v>46</v>
      </c>
      <c r="I114" s="896">
        <f ca="1">IFERROR(__xludf.DUMMYFUNCTION("IMPORTRANGE(""https://docs.google.com/spreadsheets/d/1eHaY18a8A9IcSdp1K8H6x8fbOy06t2VsZHhMHf-1x7Y/edit?usp=sharing"",""แผน!S61"")"),0)</f>
        <v>0</v>
      </c>
      <c r="J114" s="897">
        <v>0</v>
      </c>
      <c r="K114" s="898">
        <f t="shared" ref="K114:K115" ca="1" si="72">IF(I114&gt;0,J114*100/I114,0)</f>
        <v>0</v>
      </c>
      <c r="L114" s="450"/>
      <c r="M114" s="450"/>
      <c r="N114" s="450"/>
      <c r="O114" s="899"/>
      <c r="P114" s="899"/>
      <c r="Q114" s="450"/>
      <c r="R114" s="450"/>
      <c r="S114" s="450"/>
      <c r="T114" s="899"/>
      <c r="U114" s="899"/>
    </row>
    <row r="115" spans="1:21" ht="18.75" x14ac:dyDescent="0.25">
      <c r="A115" s="276"/>
      <c r="B115" s="277"/>
      <c r="C115" s="277"/>
      <c r="D115" s="296"/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IFERROR(__xludf.DUMMYFUNCTION("IMPORTRANGE(""https://docs.google.com/spreadsheets/d/1eHaY18a8A9IcSdp1K8H6x8fbOy06t2VsZHhMHf-1x7Y/edit?usp=sharing"",""แผน!R61"")"),12)</f>
        <v>12</v>
      </c>
      <c r="J115" s="294">
        <v>0</v>
      </c>
      <c r="K115" s="74">
        <f t="shared" ca="1" si="72"/>
        <v>0</v>
      </c>
      <c r="L115" s="87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1099" t="s">
        <v>51</v>
      </c>
      <c r="B116" s="691"/>
      <c r="C116" s="692"/>
      <c r="D116" s="691"/>
      <c r="E116" s="691"/>
      <c r="F116" s="691"/>
      <c r="G116" s="691"/>
      <c r="H116" s="693"/>
      <c r="I116" s="694"/>
      <c r="J116" s="694"/>
      <c r="K116" s="695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50"/>
      <c r="B117" s="251" t="s">
        <v>52</v>
      </c>
      <c r="C117" s="304"/>
      <c r="D117" s="253"/>
      <c r="E117" s="252"/>
      <c r="F117" s="252"/>
      <c r="G117" s="252"/>
      <c r="H117" s="253"/>
      <c r="I117" s="900">
        <f t="shared" ref="I117:J117" ca="1" si="73">I128</f>
        <v>10</v>
      </c>
      <c r="J117" s="901">
        <f t="shared" si="73"/>
        <v>0</v>
      </c>
      <c r="K117" s="902">
        <f ca="1">IF(I117&gt;0,J117*100/I117,0)</f>
        <v>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58"/>
      <c r="C118" s="259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1257">
        <f t="shared" ref="L118:N118" ca="1" si="74">L119+L120</f>
        <v>0</v>
      </c>
      <c r="M118" s="264">
        <f t="shared" ca="1" si="74"/>
        <v>0</v>
      </c>
      <c r="N118" s="264">
        <f t="shared" ca="1" si="74"/>
        <v>0</v>
      </c>
      <c r="O118" s="264">
        <f t="shared" ref="O118:O126" ca="1" si="75">IF(L118&gt;0,N118*100/L118,0)</f>
        <v>0</v>
      </c>
      <c r="P118" s="264">
        <f t="shared" ref="P118:P126" ca="1" si="76">IF(M118&gt;0,N118*100/M118,0)</f>
        <v>0</v>
      </c>
      <c r="Q118" s="264">
        <f t="shared" ref="Q118:S118" ca="1" si="77">Q119+Q120</f>
        <v>173660</v>
      </c>
      <c r="R118" s="264">
        <f t="shared" ca="1" si="77"/>
        <v>173660</v>
      </c>
      <c r="S118" s="264">
        <f t="shared" ca="1" si="77"/>
        <v>12133.34</v>
      </c>
      <c r="T118" s="264">
        <f t="shared" ref="T118:T126" ca="1" si="78">IF(Q118&gt;0,S118*100/Q118,0)</f>
        <v>6.9868363468847177</v>
      </c>
      <c r="U118" s="264">
        <f t="shared" ref="U118:U126" ca="1" si="79">IF(R118&gt;0,S118*100/R118,0)</f>
        <v>6.9868363468847177</v>
      </c>
    </row>
    <row r="119" spans="1:21" ht="18.75" hidden="1" x14ac:dyDescent="0.25">
      <c r="A119" s="257"/>
      <c r="B119" s="258"/>
      <c r="C119" s="258"/>
      <c r="D119" s="258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6">
        <f t="shared" ref="L119:N120" si="80">L122+L125</f>
        <v>0</v>
      </c>
      <c r="M119" s="77">
        <f t="shared" si="80"/>
        <v>0</v>
      </c>
      <c r="N119" s="77">
        <f t="shared" si="80"/>
        <v>0</v>
      </c>
      <c r="O119" s="77">
        <f t="shared" si="75"/>
        <v>0</v>
      </c>
      <c r="P119" s="77">
        <f t="shared" si="76"/>
        <v>0</v>
      </c>
      <c r="Q119" s="77">
        <f t="shared" ref="Q119:S120" si="81">Q122+Q125</f>
        <v>0</v>
      </c>
      <c r="R119" s="77">
        <f t="shared" si="81"/>
        <v>0</v>
      </c>
      <c r="S119" s="77">
        <f t="shared" si="81"/>
        <v>0</v>
      </c>
      <c r="T119" s="77">
        <f t="shared" si="78"/>
        <v>0</v>
      </c>
      <c r="U119" s="77">
        <f t="shared" si="79"/>
        <v>0</v>
      </c>
    </row>
    <row r="120" spans="1:21" ht="18.75" hidden="1" x14ac:dyDescent="0.25">
      <c r="A120" s="257"/>
      <c r="B120" s="258"/>
      <c r="C120" s="258"/>
      <c r="D120" s="258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3">
        <f t="shared" ca="1" si="80"/>
        <v>0</v>
      </c>
      <c r="M120" s="74">
        <f t="shared" ca="1" si="80"/>
        <v>0</v>
      </c>
      <c r="N120" s="74">
        <f t="shared" ca="1" si="80"/>
        <v>0</v>
      </c>
      <c r="O120" s="74">
        <f t="shared" ca="1" si="75"/>
        <v>0</v>
      </c>
      <c r="P120" s="74">
        <f t="shared" ca="1" si="76"/>
        <v>0</v>
      </c>
      <c r="Q120" s="74">
        <f t="shared" ca="1" si="81"/>
        <v>173660</v>
      </c>
      <c r="R120" s="74">
        <f t="shared" ca="1" si="81"/>
        <v>173660</v>
      </c>
      <c r="S120" s="74">
        <f t="shared" ca="1" si="81"/>
        <v>12133.34</v>
      </c>
      <c r="T120" s="74">
        <f t="shared" ca="1" si="78"/>
        <v>6.9868363468847177</v>
      </c>
      <c r="U120" s="74">
        <f t="shared" ca="1" si="79"/>
        <v>6.9868363468847177</v>
      </c>
    </row>
    <row r="121" spans="1:21" ht="18.75" x14ac:dyDescent="0.25">
      <c r="A121" s="257"/>
      <c r="B121" s="258"/>
      <c r="C121" s="306"/>
      <c r="D121" s="270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3">
        <f t="shared" ref="L121:N121" ca="1" si="82">L122+L123</f>
        <v>0</v>
      </c>
      <c r="M121" s="74">
        <f t="shared" ca="1" si="82"/>
        <v>0</v>
      </c>
      <c r="N121" s="74">
        <f t="shared" ca="1" si="82"/>
        <v>0</v>
      </c>
      <c r="O121" s="74">
        <f t="shared" ca="1" si="75"/>
        <v>0</v>
      </c>
      <c r="P121" s="74">
        <f t="shared" ca="1" si="76"/>
        <v>0</v>
      </c>
      <c r="Q121" s="74">
        <f t="shared" ref="Q121:S121" ca="1" si="83">Q122+Q123</f>
        <v>173660</v>
      </c>
      <c r="R121" s="74">
        <f t="shared" ca="1" si="83"/>
        <v>173660</v>
      </c>
      <c r="S121" s="74">
        <f t="shared" ca="1" si="83"/>
        <v>12133.34</v>
      </c>
      <c r="T121" s="74">
        <f t="shared" ca="1" si="78"/>
        <v>6.9868363468847177</v>
      </c>
      <c r="U121" s="74">
        <f t="shared" ca="1" si="79"/>
        <v>6.9868363468847177</v>
      </c>
    </row>
    <row r="122" spans="1:21" ht="18.75" hidden="1" x14ac:dyDescent="0.25">
      <c r="A122" s="257"/>
      <c r="B122" s="258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77">
        <f t="shared" si="75"/>
        <v>0</v>
      </c>
      <c r="P122" s="77">
        <f t="shared" si="76"/>
        <v>0</v>
      </c>
      <c r="Q122" s="77">
        <v>0</v>
      </c>
      <c r="R122" s="77">
        <v>0</v>
      </c>
      <c r="S122" s="77">
        <v>0</v>
      </c>
      <c r="T122" s="77">
        <f t="shared" si="78"/>
        <v>0</v>
      </c>
      <c r="U122" s="77">
        <f t="shared" si="79"/>
        <v>0</v>
      </c>
    </row>
    <row r="123" spans="1:21" ht="18.75" hidden="1" x14ac:dyDescent="0.25">
      <c r="A123" s="257"/>
      <c r="B123" s="258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3">
        <f ca="1">IFERROR(__xludf.DUMMYFUNCTION("IMPORTRANGE(""https://docs.google.com/spreadsheets/d/1-uDff_7J0KD5mKrp0Vvzr7lt3OU09vwQwhkpOPPYv2Y/edit?usp=sharing"",""งบพรบ!BG61"")"),0)</f>
        <v>0</v>
      </c>
      <c r="M123" s="74">
        <f ca="1">IFERROR(__xludf.DUMMYFUNCTION("IMPORTRANGE(""https://docs.google.com/spreadsheets/d/1-uDff_7J0KD5mKrp0Vvzr7lt3OU09vwQwhkpOPPYv2Y/edit?usp=sharing"",""งบพรบ!BL61"")"),0)</f>
        <v>0</v>
      </c>
      <c r="N123" s="74">
        <f ca="1">IFERROR(__xludf.DUMMYFUNCTION("IMPORTRANGE(""https://docs.google.com/spreadsheets/d/1-uDff_7J0KD5mKrp0Vvzr7lt3OU09vwQwhkpOPPYv2Y/edit?usp=sharing"",""งบพรบ!BN61"")"),0)</f>
        <v>0</v>
      </c>
      <c r="O123" s="74">
        <f t="shared" ca="1" si="75"/>
        <v>0</v>
      </c>
      <c r="P123" s="74">
        <f t="shared" ca="1" si="76"/>
        <v>0</v>
      </c>
      <c r="Q123" s="74">
        <f ca="1">IFERROR(__xludf.DUMMYFUNCTION("IMPORTRANGE(""https://docs.google.com/spreadsheets/d/1ItG2mGa2ceCfYo0BwxsXqNm01IGEUdYcSSLTEv9YCik/edit?usp=sharing"",""เบิกจ่ายกองทุน!R61"")"),173660)</f>
        <v>173660</v>
      </c>
      <c r="R123" s="74">
        <f ca="1">IFERROR(__xludf.DUMMYFUNCTION("IMPORTRANGE(""https://docs.google.com/spreadsheets/d/1ItG2mGa2ceCfYo0BwxsXqNm01IGEUdYcSSLTEv9YCik/edit?usp=sharing"",""เบิกจ่ายกองทุน!S61"")"),173660)</f>
        <v>173660</v>
      </c>
      <c r="S123" s="74">
        <f ca="1">IFERROR(__xludf.DUMMYFUNCTION("IMPORTRANGE(""https://docs.google.com/spreadsheets/d/1ItG2mGa2ceCfYo0BwxsXqNm01IGEUdYcSSLTEv9YCik/edit?usp=sharing"",""เบิกจ่ายกองทุน!T61"")"),12133.34)</f>
        <v>12133.34</v>
      </c>
      <c r="T123" s="74">
        <f t="shared" ca="1" si="78"/>
        <v>6.9868363468847177</v>
      </c>
      <c r="U123" s="74">
        <f t="shared" ca="1" si="79"/>
        <v>6.9868363468847177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3">
        <f t="shared" ref="L124:N124" ca="1" si="84">L125+L126</f>
        <v>0</v>
      </c>
      <c r="M124" s="74">
        <f t="shared" ca="1" si="84"/>
        <v>0</v>
      </c>
      <c r="N124" s="74">
        <f t="shared" ca="1" si="84"/>
        <v>0</v>
      </c>
      <c r="O124" s="74">
        <f t="shared" ca="1" si="75"/>
        <v>0</v>
      </c>
      <c r="P124" s="74">
        <f t="shared" ca="1" si="76"/>
        <v>0</v>
      </c>
      <c r="Q124" s="74">
        <f t="shared" ref="Q124:S124" si="85">Q125+Q126</f>
        <v>0</v>
      </c>
      <c r="R124" s="74">
        <f t="shared" si="85"/>
        <v>0</v>
      </c>
      <c r="S124" s="74">
        <f t="shared" si="85"/>
        <v>0</v>
      </c>
      <c r="T124" s="74">
        <f t="shared" si="78"/>
        <v>0</v>
      </c>
      <c r="U124" s="74">
        <f t="shared" si="79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77">
        <f t="shared" si="75"/>
        <v>0</v>
      </c>
      <c r="P125" s="77">
        <f t="shared" si="76"/>
        <v>0</v>
      </c>
      <c r="Q125" s="77">
        <v>0</v>
      </c>
      <c r="R125" s="77">
        <v>0</v>
      </c>
      <c r="S125" s="77">
        <v>0</v>
      </c>
      <c r="T125" s="77">
        <f t="shared" si="78"/>
        <v>0</v>
      </c>
      <c r="U125" s="77">
        <f t="shared" si="79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3">
        <f ca="1">IFERROR(__xludf.DUMMYFUNCTION("IMPORTRANGE(""https://docs.google.com/spreadsheets/d/1-uDff_7J0KD5mKrp0Vvzr7lt3OU09vwQwhkpOPPYv2Y/edit?usp=sharing"",""งบพรบ!BJ61"")"),0)</f>
        <v>0</v>
      </c>
      <c r="M126" s="74">
        <f ca="1">IFERROR(__xludf.DUMMYFUNCTION("IMPORTRANGE(""https://docs.google.com/spreadsheets/d/1-uDff_7J0KD5mKrp0Vvzr7lt3OU09vwQwhkpOPPYv2Y/edit?usp=sharing"",""งบพรบ!BM61"")"),0)</f>
        <v>0</v>
      </c>
      <c r="N126" s="74">
        <f ca="1">IFERROR(__xludf.DUMMYFUNCTION("IMPORTRANGE(""https://docs.google.com/spreadsheets/d/1-uDff_7J0KD5mKrp0Vvzr7lt3OU09vwQwhkpOPPYv2Y/edit?usp=sharing"",""งบพรบ!BO61"")"),0)</f>
        <v>0</v>
      </c>
      <c r="O126" s="74">
        <f t="shared" ca="1" si="75"/>
        <v>0</v>
      </c>
      <c r="P126" s="74">
        <f t="shared" ca="1" si="76"/>
        <v>0</v>
      </c>
      <c r="Q126" s="74">
        <v>0</v>
      </c>
      <c r="R126" s="74">
        <v>0</v>
      </c>
      <c r="S126" s="74">
        <v>0</v>
      </c>
      <c r="T126" s="74">
        <f t="shared" si="78"/>
        <v>0</v>
      </c>
      <c r="U126" s="74">
        <f t="shared" si="79"/>
        <v>0</v>
      </c>
    </row>
    <row r="127" spans="1:21" ht="19.5" x14ac:dyDescent="0.3">
      <c r="A127" s="890"/>
      <c r="B127" s="891"/>
      <c r="C127" s="905" t="s">
        <v>18</v>
      </c>
      <c r="D127" s="1108" t="s">
        <v>38</v>
      </c>
      <c r="E127" s="1109"/>
      <c r="F127" s="1109"/>
      <c r="G127" s="1110"/>
      <c r="H127" s="1111"/>
      <c r="I127" s="846"/>
      <c r="J127" s="846"/>
      <c r="K127" s="450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IFERROR(__xludf.DUMMYFUNCTION("IMPORTRANGE(""https://docs.google.com/spreadsheets/d/1eHaY18a8A9IcSdp1K8H6x8fbOy06t2VsZHhMHf-1x7Y/edit?usp=sharing"",""แผน!FF61"")"),10)</f>
        <v>10</v>
      </c>
      <c r="J128" s="294">
        <v>0</v>
      </c>
      <c r="K128" s="74">
        <f t="shared" ref="K128:K131" ca="1" si="86">IF(I128&gt;0,J128*100/I128,0)</f>
        <v>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IFERROR(__xludf.DUMMYFUNCTION("IMPORTRANGE(""https://docs.google.com/spreadsheets/d/1eHaY18a8A9IcSdp1K8H6x8fbOy06t2VsZHhMHf-1x7Y/edit?usp=sharing"",""แผน!FG61"")"),0)</f>
        <v>0</v>
      </c>
      <c r="J129" s="294">
        <v>0</v>
      </c>
      <c r="K129" s="74">
        <f t="shared" ca="1" si="86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74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IFERROR(__xludf.DUMMYFUNCTION("IMPORTRANGE(""https://docs.google.com/spreadsheets/d/1eHaY18a8A9IcSdp1K8H6x8fbOy06t2VsZHhMHf-1x7Y/edit?usp=sharing"",""แผน!FH61"")"),10)</f>
        <v>10</v>
      </c>
      <c r="J130" s="294">
        <v>0</v>
      </c>
      <c r="K130" s="74">
        <f t="shared" ca="1" si="86"/>
        <v>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77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IFERROR(__xludf.DUMMYFUNCTION("IMPORTRANGE(""https://docs.google.com/spreadsheets/d/1eHaY18a8A9IcSdp1K8H6x8fbOy06t2VsZHhMHf-1x7Y/edit?usp=sharing"",""แผน!FI61"")"),0)</f>
        <v>0</v>
      </c>
      <c r="J131" s="294">
        <v>0</v>
      </c>
      <c r="K131" s="74">
        <f t="shared" ca="1" si="86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708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708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hidden="1" x14ac:dyDescent="0.3">
      <c r="A135" s="1099" t="s">
        <v>58</v>
      </c>
      <c r="B135" s="691"/>
      <c r="C135" s="692"/>
      <c r="D135" s="691"/>
      <c r="E135" s="691"/>
      <c r="F135" s="691"/>
      <c r="G135" s="691"/>
      <c r="H135" s="693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hidden="1" x14ac:dyDescent="0.3">
      <c r="A136" s="250"/>
      <c r="B136" s="251" t="s">
        <v>59</v>
      </c>
      <c r="C136" s="304"/>
      <c r="D136" s="253"/>
      <c r="E136" s="252"/>
      <c r="F136" s="252"/>
      <c r="G136" s="252"/>
      <c r="H136" s="253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hidden="1" x14ac:dyDescent="0.3">
      <c r="A137" s="250"/>
      <c r="B137" s="252"/>
      <c r="C137" s="1112" t="s">
        <v>60</v>
      </c>
      <c r="D137" s="253"/>
      <c r="E137" s="252"/>
      <c r="F137" s="252"/>
      <c r="G137" s="254"/>
      <c r="H137" s="255" t="s">
        <v>61</v>
      </c>
      <c r="I137" s="256">
        <f t="shared" ref="I137:J137" ca="1" si="87">I155</f>
        <v>0</v>
      </c>
      <c r="J137" s="256">
        <f t="shared" si="87"/>
        <v>0</v>
      </c>
      <c r="K137" s="59">
        <f t="shared" ref="K137:K139" ca="1" si="88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hidden="1" x14ac:dyDescent="0.3">
      <c r="A138" s="250"/>
      <c r="B138" s="252"/>
      <c r="C138" s="1112" t="s">
        <v>62</v>
      </c>
      <c r="D138" s="253"/>
      <c r="E138" s="252"/>
      <c r="F138" s="252"/>
      <c r="G138" s="254"/>
      <c r="H138" s="255" t="s">
        <v>35</v>
      </c>
      <c r="I138" s="256">
        <f t="shared" ref="I138:J139" ca="1" si="89">I153</f>
        <v>0</v>
      </c>
      <c r="J138" s="256">
        <f t="shared" si="89"/>
        <v>0</v>
      </c>
      <c r="K138" s="59">
        <f t="shared" ca="1" si="88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hidden="1" x14ac:dyDescent="0.3">
      <c r="A139" s="250"/>
      <c r="B139" s="252"/>
      <c r="C139" s="304"/>
      <c r="D139" s="253"/>
      <c r="E139" s="252"/>
      <c r="F139" s="252"/>
      <c r="G139" s="254"/>
      <c r="H139" s="255" t="s">
        <v>54</v>
      </c>
      <c r="I139" s="256">
        <f t="shared" ca="1" si="89"/>
        <v>0</v>
      </c>
      <c r="J139" s="256">
        <f t="shared" si="89"/>
        <v>0</v>
      </c>
      <c r="K139" s="59">
        <f t="shared" ca="1" si="88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hidden="1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1257">
        <f t="shared" ref="L140:N140" ca="1" si="90">L141+L142</f>
        <v>0</v>
      </c>
      <c r="M140" s="264">
        <f t="shared" ca="1" si="90"/>
        <v>0</v>
      </c>
      <c r="N140" s="264">
        <f t="shared" ca="1" si="90"/>
        <v>0</v>
      </c>
      <c r="O140" s="264">
        <f t="shared" ref="O140:O148" ca="1" si="91">IF(L140&gt;0,N140*100/L140,0)</f>
        <v>0</v>
      </c>
      <c r="P140" s="264">
        <f t="shared" ref="P140:P148" ca="1" si="92">IF(M140&gt;0,N140*100/M140,0)</f>
        <v>0</v>
      </c>
      <c r="Q140" s="264">
        <f t="shared" ref="Q140:S140" ca="1" si="93">Q141+Q142</f>
        <v>0</v>
      </c>
      <c r="R140" s="264">
        <f t="shared" ca="1" si="93"/>
        <v>0</v>
      </c>
      <c r="S140" s="264">
        <f t="shared" ca="1" si="93"/>
        <v>0</v>
      </c>
      <c r="T140" s="264">
        <f t="shared" ref="T140:T148" ca="1" si="94">IF(Q140&gt;0,S140*100/Q140,0)</f>
        <v>0</v>
      </c>
      <c r="U140" s="264">
        <f t="shared" ref="U140:U148" ca="1" si="95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6">
        <f t="shared" ref="L141:N142" si="96">L144+L147</f>
        <v>0</v>
      </c>
      <c r="M141" s="77">
        <f t="shared" si="96"/>
        <v>0</v>
      </c>
      <c r="N141" s="77">
        <f t="shared" si="96"/>
        <v>0</v>
      </c>
      <c r="O141" s="77">
        <f t="shared" si="91"/>
        <v>0</v>
      </c>
      <c r="P141" s="77">
        <f t="shared" si="92"/>
        <v>0</v>
      </c>
      <c r="Q141" s="77">
        <f t="shared" ref="Q141:S142" si="97">Q144+Q147</f>
        <v>0</v>
      </c>
      <c r="R141" s="77">
        <f t="shared" si="97"/>
        <v>0</v>
      </c>
      <c r="S141" s="77">
        <f t="shared" si="97"/>
        <v>0</v>
      </c>
      <c r="T141" s="77">
        <f t="shared" si="94"/>
        <v>0</v>
      </c>
      <c r="U141" s="77">
        <f t="shared" si="95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3">
        <f t="shared" ca="1" si="96"/>
        <v>0</v>
      </c>
      <c r="M142" s="74">
        <f t="shared" ca="1" si="96"/>
        <v>0</v>
      </c>
      <c r="N142" s="74">
        <f t="shared" ca="1" si="96"/>
        <v>0</v>
      </c>
      <c r="O142" s="74">
        <f t="shared" ca="1" si="91"/>
        <v>0</v>
      </c>
      <c r="P142" s="74">
        <f t="shared" ca="1" si="92"/>
        <v>0</v>
      </c>
      <c r="Q142" s="74">
        <f t="shared" ca="1" si="97"/>
        <v>0</v>
      </c>
      <c r="R142" s="74">
        <f t="shared" ca="1" si="97"/>
        <v>0</v>
      </c>
      <c r="S142" s="74">
        <f t="shared" ca="1" si="97"/>
        <v>0</v>
      </c>
      <c r="T142" s="74">
        <f t="shared" ca="1" si="94"/>
        <v>0</v>
      </c>
      <c r="U142" s="74">
        <f t="shared" ca="1" si="95"/>
        <v>0</v>
      </c>
    </row>
    <row r="143" spans="1:21" ht="18.75" hidden="1" x14ac:dyDescent="0.25">
      <c r="A143" s="257"/>
      <c r="B143" s="269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3">
        <f t="shared" ref="L143:N143" ca="1" si="98">L144+L145</f>
        <v>0</v>
      </c>
      <c r="M143" s="74">
        <f t="shared" ca="1" si="98"/>
        <v>0</v>
      </c>
      <c r="N143" s="74">
        <f t="shared" ca="1" si="98"/>
        <v>0</v>
      </c>
      <c r="O143" s="74">
        <f t="shared" ca="1" si="91"/>
        <v>0</v>
      </c>
      <c r="P143" s="74">
        <f t="shared" ca="1" si="92"/>
        <v>0</v>
      </c>
      <c r="Q143" s="74">
        <f t="shared" ref="Q143:S143" ca="1" si="99">Q144+Q145</f>
        <v>0</v>
      </c>
      <c r="R143" s="74">
        <f t="shared" ca="1" si="99"/>
        <v>0</v>
      </c>
      <c r="S143" s="74">
        <f t="shared" ca="1" si="99"/>
        <v>0</v>
      </c>
      <c r="T143" s="74">
        <f t="shared" ca="1" si="94"/>
        <v>0</v>
      </c>
      <c r="U143" s="74">
        <f t="shared" ca="1" si="95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77">
        <f t="shared" si="91"/>
        <v>0</v>
      </c>
      <c r="P144" s="77">
        <f t="shared" si="92"/>
        <v>0</v>
      </c>
      <c r="Q144" s="77">
        <v>0</v>
      </c>
      <c r="R144" s="77">
        <v>0</v>
      </c>
      <c r="S144" s="77">
        <v>0</v>
      </c>
      <c r="T144" s="77">
        <f t="shared" si="94"/>
        <v>0</v>
      </c>
      <c r="U144" s="77">
        <f t="shared" si="95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3">
        <f ca="1">IFERROR(__xludf.DUMMYFUNCTION("IMPORTRANGE(""https://docs.google.com/spreadsheets/d/1-uDff_7J0KD5mKrp0Vvzr7lt3OU09vwQwhkpOPPYv2Y/edit?usp=sharing"",""งบพรบ!BQ61"")"),0)</f>
        <v>0</v>
      </c>
      <c r="M145" s="74">
        <f ca="1">IFERROR(__xludf.DUMMYFUNCTION("IMPORTRANGE(""https://docs.google.com/spreadsheets/d/1-uDff_7J0KD5mKrp0Vvzr7lt3OU09vwQwhkpOPPYv2Y/edit?usp=sharing"",""งบพรบ!BV61"")"),0)</f>
        <v>0</v>
      </c>
      <c r="N145" s="74">
        <f ca="1">IFERROR(__xludf.DUMMYFUNCTION("IMPORTRANGE(""https://docs.google.com/spreadsheets/d/1-uDff_7J0KD5mKrp0Vvzr7lt3OU09vwQwhkpOPPYv2Y/edit?usp=sharing"",""งบพรบ!BX61"")"),0)</f>
        <v>0</v>
      </c>
      <c r="O145" s="74">
        <f t="shared" ca="1" si="91"/>
        <v>0</v>
      </c>
      <c r="P145" s="74">
        <f t="shared" ca="1" si="92"/>
        <v>0</v>
      </c>
      <c r="Q145" s="74">
        <f ca="1">IFERROR(__xludf.DUMMYFUNCTION("IMPORTRANGE(""https://docs.google.com/spreadsheets/d/1ItG2mGa2ceCfYo0BwxsXqNm01IGEUdYcSSLTEv9YCik/edit?usp=sharing"",""เบิกจ่ายกองทุน!BB61"")"),0)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IFERROR(__xludf.DUMMYFUNCTION("IMPORTRANGE(""https://docs.google.com/spreadsheets/d/1ItG2mGa2ceCfYo0BwxsXqNm01IGEUdYcSSLTEv9YCik/edit?usp=sharing"",""เบิกจ่ายกองทุน!BC61"")"),0)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IFERROR(__xludf.DUMMYFUNCTION("IMPORTRANGE(""https://docs.google.com/spreadsheets/d/1ItG2mGa2ceCfYo0BwxsXqNm01IGEUdYcSSLTEv9YCik/edit?usp=sharing"",""เบิกจ่ายกองทุน!BD61"")"),0)</f>
        <v>0</v>
      </c>
      <c r="T145" s="74">
        <f t="shared" ca="1" si="94"/>
        <v>0</v>
      </c>
      <c r="U145" s="74">
        <f t="shared" ca="1" si="95"/>
        <v>0</v>
      </c>
    </row>
    <row r="146" spans="1:21" ht="18.75" hidden="1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3">
        <f t="shared" ref="L146:N146" ca="1" si="100">L147+L148</f>
        <v>0</v>
      </c>
      <c r="M146" s="74">
        <f t="shared" ca="1" si="100"/>
        <v>0</v>
      </c>
      <c r="N146" s="74">
        <f t="shared" ca="1" si="100"/>
        <v>0</v>
      </c>
      <c r="O146" s="74">
        <f t="shared" ca="1" si="91"/>
        <v>0</v>
      </c>
      <c r="P146" s="74">
        <f t="shared" ca="1" si="92"/>
        <v>0</v>
      </c>
      <c r="Q146" s="74">
        <f t="shared" ref="Q146:S146" si="101">Q147+Q148</f>
        <v>0</v>
      </c>
      <c r="R146" s="74">
        <f t="shared" si="101"/>
        <v>0</v>
      </c>
      <c r="S146" s="74">
        <f t="shared" si="101"/>
        <v>0</v>
      </c>
      <c r="T146" s="74">
        <f t="shared" si="94"/>
        <v>0</v>
      </c>
      <c r="U146" s="74">
        <f t="shared" si="95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77">
        <f t="shared" si="91"/>
        <v>0</v>
      </c>
      <c r="P147" s="77">
        <f t="shared" si="92"/>
        <v>0</v>
      </c>
      <c r="Q147" s="77">
        <v>0</v>
      </c>
      <c r="R147" s="77">
        <v>0</v>
      </c>
      <c r="S147" s="77">
        <v>0</v>
      </c>
      <c r="T147" s="77">
        <f t="shared" si="94"/>
        <v>0</v>
      </c>
      <c r="U147" s="77">
        <f t="shared" si="95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3">
        <f ca="1">IFERROR(__xludf.DUMMYFUNCTION("IMPORTRANGE(""https://docs.google.com/spreadsheets/d/1-uDff_7J0KD5mKrp0Vvzr7lt3OU09vwQwhkpOPPYv2Y/edit?usp=sharing"",""งบพรบ!BT61"")"),0)</f>
        <v>0</v>
      </c>
      <c r="M148" s="74">
        <f ca="1">IFERROR(__xludf.DUMMYFUNCTION("IMPORTRANGE(""https://docs.google.com/spreadsheets/d/1-uDff_7J0KD5mKrp0Vvzr7lt3OU09vwQwhkpOPPYv2Y/edit?usp=sharing"",""งบพรบ!BW61"")"),0)</f>
        <v>0</v>
      </c>
      <c r="N148" s="74">
        <f ca="1">IFERROR(__xludf.DUMMYFUNCTION("IMPORTRANGE(""https://docs.google.com/spreadsheets/d/1-uDff_7J0KD5mKrp0Vvzr7lt3OU09vwQwhkpOPPYv2Y/edit?usp=sharing"",""งบพรบ!BY61"")"),0)</f>
        <v>0</v>
      </c>
      <c r="O148" s="74">
        <f t="shared" ca="1" si="91"/>
        <v>0</v>
      </c>
      <c r="P148" s="74">
        <f t="shared" ca="1" si="92"/>
        <v>0</v>
      </c>
      <c r="Q148" s="74">
        <v>0</v>
      </c>
      <c r="R148" s="74">
        <v>0</v>
      </c>
      <c r="S148" s="74">
        <v>0</v>
      </c>
      <c r="T148" s="74">
        <f t="shared" si="94"/>
        <v>0</v>
      </c>
      <c r="U148" s="74">
        <f t="shared" si="95"/>
        <v>0</v>
      </c>
    </row>
    <row r="149" spans="1:21" ht="19.5" hidden="1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hidden="1" x14ac:dyDescent="0.25">
      <c r="A150" s="257"/>
      <c r="B150" s="258"/>
      <c r="C150" s="306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hidden="1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IFERROR(__xludf.DUMMYFUNCTION("IMPORTRANGE(""https://docs.google.com/spreadsheets/d/1eHaY18a8A9IcSdp1K8H6x8fbOy06t2VsZHhMHf-1x7Y/edit?usp=sharing"",""แผน!U61"")"),0)</f>
        <v>0</v>
      </c>
      <c r="J151" s="294">
        <v>0</v>
      </c>
      <c r="K151" s="74">
        <f t="shared" ref="K151:K155" ca="1" si="102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hidden="1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IFERROR(__xludf.DUMMYFUNCTION("IMPORTRANGE(""https://docs.google.com/spreadsheets/d/1eHaY18a8A9IcSdp1K8H6x8fbOy06t2VsZHhMHf-1x7Y/edit?usp=sharing"",""แผน!V61"")"),0)</f>
        <v>0</v>
      </c>
      <c r="J152" s="294">
        <v>0</v>
      </c>
      <c r="K152" s="74">
        <f t="shared" ca="1" si="102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hidden="1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IFERROR(__xludf.DUMMYFUNCTION("IMPORTRANGE(""https://docs.google.com/spreadsheets/d/1eHaY18a8A9IcSdp1K8H6x8fbOy06t2VsZHhMHf-1x7Y/edit?usp=sharing"",""แผน!W61"")"),0)</f>
        <v>0</v>
      </c>
      <c r="J153" s="294">
        <v>0</v>
      </c>
      <c r="K153" s="74">
        <f t="shared" ca="1" si="102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hidden="1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IFERROR(__xludf.DUMMYFUNCTION("IMPORTRANGE(""https://docs.google.com/spreadsheets/d/1eHaY18a8A9IcSdp1K8H6x8fbOy06t2VsZHhMHf-1x7Y/edit?usp=sharing"",""แผน!X61"")"),0)</f>
        <v>0</v>
      </c>
      <c r="J154" s="294">
        <v>0</v>
      </c>
      <c r="K154" s="74">
        <f t="shared" ca="1" si="102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hidden="1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IFERROR(__xludf.DUMMYFUNCTION("IMPORTRANGE(""https://docs.google.com/spreadsheets/d/1eHaY18a8A9IcSdp1K8H6x8fbOy06t2VsZHhMHf-1x7Y/edit?usp=sharing"",""แผน!Y61"")"),0)</f>
        <v>0</v>
      </c>
      <c r="J155" s="294">
        <v>0</v>
      </c>
      <c r="K155" s="74">
        <f t="shared" ca="1" si="102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hidden="1" x14ac:dyDescent="0.3">
      <c r="A156" s="1099" t="s">
        <v>67</v>
      </c>
      <c r="B156" s="691"/>
      <c r="C156" s="692"/>
      <c r="D156" s="691"/>
      <c r="E156" s="691"/>
      <c r="F156" s="691"/>
      <c r="G156" s="691"/>
      <c r="H156" s="693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hidden="1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3">I170</f>
        <v>0</v>
      </c>
      <c r="J157" s="256">
        <f t="shared" si="103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hidden="1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1257">
        <f t="shared" ref="L158:N158" ca="1" si="104">L159+L160</f>
        <v>0</v>
      </c>
      <c r="M158" s="264">
        <f t="shared" ca="1" si="104"/>
        <v>0</v>
      </c>
      <c r="N158" s="264">
        <f t="shared" ca="1" si="104"/>
        <v>0</v>
      </c>
      <c r="O158" s="264">
        <f t="shared" ref="O158:O166" ca="1" si="105">IF(L158&gt;0,N158*100/L158,0)</f>
        <v>0</v>
      </c>
      <c r="P158" s="264">
        <f t="shared" ref="P158:P166" ca="1" si="106">IF(M158&gt;0,N158*100/M158,0)</f>
        <v>0</v>
      </c>
      <c r="Q158" s="264">
        <f t="shared" ref="Q158:S158" ca="1" si="107">Q159+Q160</f>
        <v>0</v>
      </c>
      <c r="R158" s="264">
        <f t="shared" ca="1" si="107"/>
        <v>0</v>
      </c>
      <c r="S158" s="264">
        <f t="shared" ca="1" si="107"/>
        <v>0</v>
      </c>
      <c r="T158" s="264">
        <f t="shared" ref="T158:T166" ca="1" si="108">IF(Q158&gt;0,S158*100/Q158,0)</f>
        <v>0</v>
      </c>
      <c r="U158" s="264">
        <f t="shared" ref="U158:U166" ca="1" si="109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6">
        <f t="shared" ref="L159:N160" si="110">L162+L165</f>
        <v>0</v>
      </c>
      <c r="M159" s="77">
        <f t="shared" si="110"/>
        <v>0</v>
      </c>
      <c r="N159" s="77">
        <f t="shared" si="110"/>
        <v>0</v>
      </c>
      <c r="O159" s="77">
        <f t="shared" si="105"/>
        <v>0</v>
      </c>
      <c r="P159" s="77">
        <f t="shared" si="106"/>
        <v>0</v>
      </c>
      <c r="Q159" s="77">
        <f t="shared" ref="Q159:S160" si="111">Q162+Q165</f>
        <v>0</v>
      </c>
      <c r="R159" s="77">
        <f t="shared" si="111"/>
        <v>0</v>
      </c>
      <c r="S159" s="77">
        <f t="shared" si="111"/>
        <v>0</v>
      </c>
      <c r="T159" s="77">
        <f t="shared" si="108"/>
        <v>0</v>
      </c>
      <c r="U159" s="77">
        <f t="shared" si="109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3">
        <f t="shared" ca="1" si="110"/>
        <v>0</v>
      </c>
      <c r="M160" s="74">
        <f t="shared" ca="1" si="110"/>
        <v>0</v>
      </c>
      <c r="N160" s="74">
        <f t="shared" ca="1" si="110"/>
        <v>0</v>
      </c>
      <c r="O160" s="74">
        <f t="shared" ca="1" si="105"/>
        <v>0</v>
      </c>
      <c r="P160" s="74">
        <f t="shared" ca="1" si="106"/>
        <v>0</v>
      </c>
      <c r="Q160" s="74">
        <f t="shared" ca="1" si="111"/>
        <v>0</v>
      </c>
      <c r="R160" s="74">
        <f t="shared" ca="1" si="111"/>
        <v>0</v>
      </c>
      <c r="S160" s="74">
        <f t="shared" ca="1" si="111"/>
        <v>0</v>
      </c>
      <c r="T160" s="74">
        <f t="shared" ca="1" si="108"/>
        <v>0</v>
      </c>
      <c r="U160" s="74">
        <f t="shared" ca="1" si="109"/>
        <v>0</v>
      </c>
    </row>
    <row r="161" spans="1:21" ht="18.75" hidden="1" x14ac:dyDescent="0.25">
      <c r="A161" s="257"/>
      <c r="B161" s="269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3">
        <f t="shared" ref="L161:N161" ca="1" si="112">L162+L163</f>
        <v>0</v>
      </c>
      <c r="M161" s="74">
        <f t="shared" ca="1" si="112"/>
        <v>0</v>
      </c>
      <c r="N161" s="74">
        <f t="shared" ca="1" si="112"/>
        <v>0</v>
      </c>
      <c r="O161" s="74">
        <f t="shared" ca="1" si="105"/>
        <v>0</v>
      </c>
      <c r="P161" s="74">
        <f t="shared" ca="1" si="106"/>
        <v>0</v>
      </c>
      <c r="Q161" s="74">
        <f t="shared" ref="Q161:S161" ca="1" si="113">Q162+Q163</f>
        <v>0</v>
      </c>
      <c r="R161" s="74">
        <f t="shared" ca="1" si="113"/>
        <v>0</v>
      </c>
      <c r="S161" s="74">
        <f t="shared" ca="1" si="113"/>
        <v>0</v>
      </c>
      <c r="T161" s="74">
        <f t="shared" ca="1" si="108"/>
        <v>0</v>
      </c>
      <c r="U161" s="74">
        <f t="shared" ca="1" si="109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77">
        <f t="shared" si="105"/>
        <v>0</v>
      </c>
      <c r="P162" s="77">
        <f t="shared" si="106"/>
        <v>0</v>
      </c>
      <c r="Q162" s="77">
        <v>0</v>
      </c>
      <c r="R162" s="77">
        <v>0</v>
      </c>
      <c r="S162" s="77">
        <v>0</v>
      </c>
      <c r="T162" s="77">
        <f t="shared" si="108"/>
        <v>0</v>
      </c>
      <c r="U162" s="77">
        <f t="shared" si="109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3">
        <f ca="1">IFERROR(__xludf.DUMMYFUNCTION("IMPORTRANGE(""https://docs.google.com/spreadsheets/d/1-uDff_7J0KD5mKrp0Vvzr7lt3OU09vwQwhkpOPPYv2Y/edit?usp=sharing"",""งบพรบ!CA61"")"),0)</f>
        <v>0</v>
      </c>
      <c r="M163" s="74">
        <f ca="1">IFERROR(__xludf.DUMMYFUNCTION("IMPORTRANGE(""https://docs.google.com/spreadsheets/d/1-uDff_7J0KD5mKrp0Vvzr7lt3OU09vwQwhkpOPPYv2Y/edit?usp=sharing"",""งบพรบ!CF61"")"),0)</f>
        <v>0</v>
      </c>
      <c r="N163" s="74">
        <f ca="1">IFERROR(__xludf.DUMMYFUNCTION("IMPORTRANGE(""https://docs.google.com/spreadsheets/d/1-uDff_7J0KD5mKrp0Vvzr7lt3OU09vwQwhkpOPPYv2Y/edit?usp=sharing"",""งบพรบ!CH61"")"),0)</f>
        <v>0</v>
      </c>
      <c r="O163" s="74">
        <f t="shared" ca="1" si="105"/>
        <v>0</v>
      </c>
      <c r="P163" s="74">
        <f t="shared" ca="1" si="106"/>
        <v>0</v>
      </c>
      <c r="Q163" s="74">
        <f ca="1">IFERROR(__xludf.DUMMYFUNCTION("IMPORTRANGE(""https://docs.google.com/spreadsheets/d/1ItG2mGa2ceCfYo0BwxsXqNm01IGEUdYcSSLTEv9YCik/edit?usp=sharing"",""เบิกจ่ายกองทุน!AG61"")"),0)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IFERROR(__xludf.DUMMYFUNCTION("IMPORTRANGE(""https://docs.google.com/spreadsheets/d/1ItG2mGa2ceCfYo0BwxsXqNm01IGEUdYcSSLTEv9YCik/edit?usp=sharing"",""เบิกจ่ายกองทุน!AH61"")"),0)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IFERROR(__xludf.DUMMYFUNCTION("IMPORTRANGE(""https://docs.google.com/spreadsheets/d/1ItG2mGa2ceCfYo0BwxsXqNm01IGEUdYcSSLTEv9YCik/edit?usp=sharing"",""เบิกจ่ายกองทุน!AI61"")"),0)</f>
        <v>0</v>
      </c>
      <c r="T163" s="74">
        <f t="shared" ca="1" si="108"/>
        <v>0</v>
      </c>
      <c r="U163" s="74">
        <f t="shared" ca="1" si="109"/>
        <v>0</v>
      </c>
    </row>
    <row r="164" spans="1:21" ht="18.75" hidden="1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3">
        <f t="shared" ref="L164:N164" ca="1" si="114">L165+L166</f>
        <v>0</v>
      </c>
      <c r="M164" s="74">
        <f t="shared" ca="1" si="114"/>
        <v>0</v>
      </c>
      <c r="N164" s="74">
        <f t="shared" ca="1" si="114"/>
        <v>0</v>
      </c>
      <c r="O164" s="74">
        <f t="shared" ca="1" si="105"/>
        <v>0</v>
      </c>
      <c r="P164" s="74">
        <f t="shared" ca="1" si="106"/>
        <v>0</v>
      </c>
      <c r="Q164" s="74">
        <f t="shared" ref="Q164:S164" si="115">Q165+Q166</f>
        <v>0</v>
      </c>
      <c r="R164" s="74">
        <f t="shared" si="115"/>
        <v>0</v>
      </c>
      <c r="S164" s="74">
        <f t="shared" si="115"/>
        <v>0</v>
      </c>
      <c r="T164" s="74">
        <f t="shared" si="108"/>
        <v>0</v>
      </c>
      <c r="U164" s="74">
        <f t="shared" si="109"/>
        <v>0</v>
      </c>
    </row>
    <row r="165" spans="1:21" ht="18.75" hidden="1" x14ac:dyDescent="0.25">
      <c r="A165" s="257"/>
      <c r="B165" s="269"/>
      <c r="C165" s="269"/>
      <c r="D165" s="269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77">
        <f t="shared" si="105"/>
        <v>0</v>
      </c>
      <c r="P165" s="77">
        <f t="shared" si="106"/>
        <v>0</v>
      </c>
      <c r="Q165" s="77">
        <v>0</v>
      </c>
      <c r="R165" s="77">
        <v>0</v>
      </c>
      <c r="S165" s="77">
        <v>0</v>
      </c>
      <c r="T165" s="77">
        <f t="shared" si="108"/>
        <v>0</v>
      </c>
      <c r="U165" s="77">
        <f t="shared" si="109"/>
        <v>0</v>
      </c>
    </row>
    <row r="166" spans="1:21" ht="18.75" hidden="1" x14ac:dyDescent="0.25">
      <c r="A166" s="257"/>
      <c r="B166" s="269"/>
      <c r="C166" s="269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3">
        <f ca="1">IFERROR(__xludf.DUMMYFUNCTION("IMPORTRANGE(""https://docs.google.com/spreadsheets/d/1-uDff_7J0KD5mKrp0Vvzr7lt3OU09vwQwhkpOPPYv2Y/edit?usp=sharing"",""งบพรบ!CD61"")"),0)</f>
        <v>0</v>
      </c>
      <c r="M166" s="74">
        <f ca="1">IFERROR(__xludf.DUMMYFUNCTION("IMPORTRANGE(""https://docs.google.com/spreadsheets/d/1-uDff_7J0KD5mKrp0Vvzr7lt3OU09vwQwhkpOPPYv2Y/edit?usp=sharing"",""งบพรบ!CG61"")"),0)</f>
        <v>0</v>
      </c>
      <c r="N166" s="74">
        <f ca="1">IFERROR(__xludf.DUMMYFUNCTION("IMPORTRANGE(""https://docs.google.com/spreadsheets/d/1-uDff_7J0KD5mKrp0Vvzr7lt3OU09vwQwhkpOPPYv2Y/edit?usp=sharing"",""งบพรบ!CI61"")"),0)</f>
        <v>0</v>
      </c>
      <c r="O166" s="74">
        <f t="shared" ca="1" si="105"/>
        <v>0</v>
      </c>
      <c r="P166" s="74">
        <f t="shared" ca="1" si="106"/>
        <v>0</v>
      </c>
      <c r="Q166" s="74">
        <v>0</v>
      </c>
      <c r="R166" s="74">
        <v>0</v>
      </c>
      <c r="S166" s="74">
        <v>0</v>
      </c>
      <c r="T166" s="74">
        <f t="shared" si="108"/>
        <v>0</v>
      </c>
      <c r="U166" s="74">
        <f t="shared" si="109"/>
        <v>0</v>
      </c>
    </row>
    <row r="167" spans="1:21" ht="19.5" hidden="1" x14ac:dyDescent="0.3">
      <c r="A167" s="276"/>
      <c r="B167" s="277"/>
      <c r="C167" s="621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hidden="1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IFERROR(__xludf.DUMMYFUNCTION("IMPORTRANGE(""https://docs.google.com/spreadsheets/d/1eHaY18a8A9IcSdp1K8H6x8fbOy06t2VsZHhMHf-1x7Y/edit?usp=sharing"",""แผน!Z61"")"),0)</f>
        <v>0</v>
      </c>
      <c r="J168" s="294">
        <v>0</v>
      </c>
      <c r="K168" s="74">
        <f t="shared" ref="K168:K170" ca="1" si="116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IFERROR(__xludf.DUMMYFUNCTION("IMPORTRANGE(""https://docs.google.com/spreadsheets/d/1eHaY18a8A9IcSdp1K8H6x8fbOy06t2VsZHhMHf-1x7Y/edit?usp=sharing"",""แผน!Z61"")"),0)</f>
        <v>0</v>
      </c>
      <c r="J169" s="910">
        <v>0</v>
      </c>
      <c r="K169" s="77">
        <f t="shared" ca="1" si="116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IFERROR(__xludf.DUMMYFUNCTION("IMPORTRANGE(""https://docs.google.com/spreadsheets/d/1eHaY18a8A9IcSdp1K8H6x8fbOy06t2VsZHhMHf-1x7Y/edit?usp=sharing"",""แผน!Z61"")"),0)</f>
        <v>0</v>
      </c>
      <c r="J170" s="999">
        <v>0</v>
      </c>
      <c r="K170" s="1000">
        <f t="shared" ca="1" si="116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5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121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125" t="s">
        <v>35</v>
      </c>
      <c r="I173" s="1126">
        <f t="shared" ref="I173:J173" ca="1" si="117">I184+I185</f>
        <v>7</v>
      </c>
      <c r="J173" s="1126">
        <f t="shared" si="117"/>
        <v>7</v>
      </c>
      <c r="K173" s="1127">
        <f ca="1">IF(I173&gt;0,J173*100/I173,0)</f>
        <v>100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1257">
        <f t="shared" ref="L174:N174" ca="1" si="118">L175+L176</f>
        <v>19590</v>
      </c>
      <c r="M174" s="264">
        <f t="shared" ca="1" si="118"/>
        <v>29230</v>
      </c>
      <c r="N174" s="264">
        <f t="shared" ca="1" si="118"/>
        <v>19590</v>
      </c>
      <c r="O174" s="264">
        <f t="shared" ref="O174:O182" ca="1" si="119">IF(L174&gt;0,N174*100/L174,0)</f>
        <v>100</v>
      </c>
      <c r="P174" s="264">
        <f t="shared" ref="P174:P182" ca="1" si="120">IF(M174&gt;0,N174*100/M174,0)</f>
        <v>67.02018474170373</v>
      </c>
      <c r="Q174" s="264">
        <f t="shared" ref="Q174:S174" ca="1" si="121">Q175+Q176</f>
        <v>0</v>
      </c>
      <c r="R174" s="264">
        <f t="shared" ca="1" si="121"/>
        <v>0</v>
      </c>
      <c r="S174" s="264">
        <f t="shared" ca="1" si="121"/>
        <v>0</v>
      </c>
      <c r="T174" s="264">
        <f t="shared" ref="T174:T182" ca="1" si="122">IF(Q174&gt;0,S174*100/Q174,0)</f>
        <v>0</v>
      </c>
      <c r="U174" s="264">
        <f t="shared" ref="U174:U182" ca="1" si="123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6">
        <f t="shared" ref="L175:N176" si="124">L178+L181</f>
        <v>0</v>
      </c>
      <c r="M175" s="77">
        <f t="shared" si="124"/>
        <v>0</v>
      </c>
      <c r="N175" s="77">
        <f t="shared" si="124"/>
        <v>0</v>
      </c>
      <c r="O175" s="77">
        <f t="shared" si="119"/>
        <v>0</v>
      </c>
      <c r="P175" s="77">
        <f t="shared" si="120"/>
        <v>0</v>
      </c>
      <c r="Q175" s="77">
        <f t="shared" ref="Q175:S176" si="125">Q178+Q181</f>
        <v>0</v>
      </c>
      <c r="R175" s="77">
        <f t="shared" si="125"/>
        <v>0</v>
      </c>
      <c r="S175" s="77">
        <f t="shared" si="125"/>
        <v>0</v>
      </c>
      <c r="T175" s="77">
        <f t="shared" si="122"/>
        <v>0</v>
      </c>
      <c r="U175" s="77">
        <f t="shared" si="123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3">
        <f t="shared" ca="1" si="124"/>
        <v>19590</v>
      </c>
      <c r="M176" s="74">
        <f t="shared" ca="1" si="124"/>
        <v>29230</v>
      </c>
      <c r="N176" s="74">
        <f t="shared" ca="1" si="124"/>
        <v>19590</v>
      </c>
      <c r="O176" s="74">
        <f t="shared" ca="1" si="119"/>
        <v>100</v>
      </c>
      <c r="P176" s="74">
        <f t="shared" ca="1" si="120"/>
        <v>67.02018474170373</v>
      </c>
      <c r="Q176" s="74">
        <f t="shared" ca="1" si="125"/>
        <v>0</v>
      </c>
      <c r="R176" s="74">
        <f t="shared" ca="1" si="125"/>
        <v>0</v>
      </c>
      <c r="S176" s="74">
        <f t="shared" ca="1" si="125"/>
        <v>0</v>
      </c>
      <c r="T176" s="74">
        <f t="shared" ca="1" si="122"/>
        <v>0</v>
      </c>
      <c r="U176" s="74">
        <f t="shared" ca="1" si="123"/>
        <v>0</v>
      </c>
    </row>
    <row r="177" spans="1:21" ht="18.75" x14ac:dyDescent="0.25">
      <c r="A177" s="257"/>
      <c r="B177" s="269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3">
        <f t="shared" ref="L177:N177" ca="1" si="126">L178+L179</f>
        <v>19590</v>
      </c>
      <c r="M177" s="74">
        <f t="shared" ca="1" si="126"/>
        <v>29230</v>
      </c>
      <c r="N177" s="74">
        <f t="shared" ca="1" si="126"/>
        <v>19590</v>
      </c>
      <c r="O177" s="74">
        <f t="shared" ca="1" si="119"/>
        <v>100</v>
      </c>
      <c r="P177" s="74">
        <f t="shared" ca="1" si="120"/>
        <v>67.02018474170373</v>
      </c>
      <c r="Q177" s="74">
        <f t="shared" ref="Q177:S177" ca="1" si="127">Q178+Q179</f>
        <v>0</v>
      </c>
      <c r="R177" s="74">
        <f t="shared" ca="1" si="127"/>
        <v>0</v>
      </c>
      <c r="S177" s="74">
        <f t="shared" ca="1" si="127"/>
        <v>0</v>
      </c>
      <c r="T177" s="74">
        <f t="shared" ca="1" si="122"/>
        <v>0</v>
      </c>
      <c r="U177" s="74">
        <f t="shared" ca="1" si="123"/>
        <v>0</v>
      </c>
    </row>
    <row r="178" spans="1:21" ht="18.75" hidden="1" x14ac:dyDescent="0.25">
      <c r="A178" s="257"/>
      <c r="B178" s="258"/>
      <c r="C178" s="269"/>
      <c r="D178" s="269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77">
        <f t="shared" si="119"/>
        <v>0</v>
      </c>
      <c r="P178" s="77">
        <f t="shared" si="120"/>
        <v>0</v>
      </c>
      <c r="Q178" s="77">
        <v>0</v>
      </c>
      <c r="R178" s="77">
        <v>0</v>
      </c>
      <c r="S178" s="77">
        <v>0</v>
      </c>
      <c r="T178" s="77">
        <f t="shared" si="122"/>
        <v>0</v>
      </c>
      <c r="U178" s="77">
        <f t="shared" si="123"/>
        <v>0</v>
      </c>
    </row>
    <row r="179" spans="1:21" ht="18.75" hidden="1" x14ac:dyDescent="0.25">
      <c r="A179" s="257"/>
      <c r="B179" s="269"/>
      <c r="C179" s="269"/>
      <c r="D179" s="269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3">
        <f ca="1">IFERROR(__xludf.DUMMYFUNCTION("IMPORTRANGE(""https://docs.google.com/spreadsheets/d/1-uDff_7J0KD5mKrp0Vvzr7lt3OU09vwQwhkpOPPYv2Y/edit?usp=sharing"",""งบพรบ!CK61"")"),19590)</f>
        <v>19590</v>
      </c>
      <c r="M179" s="74">
        <f ca="1">IFERROR(__xludf.DUMMYFUNCTION("IMPORTRANGE(""https://docs.google.com/spreadsheets/d/1-uDff_7J0KD5mKrp0Vvzr7lt3OU09vwQwhkpOPPYv2Y/edit?usp=sharing"",""งบพรบ!CP61"")"),29230)</f>
        <v>29230</v>
      </c>
      <c r="N179" s="74">
        <f ca="1">IFERROR(__xludf.DUMMYFUNCTION("IMPORTRANGE(""https://docs.google.com/spreadsheets/d/1-uDff_7J0KD5mKrp0Vvzr7lt3OU09vwQwhkpOPPYv2Y/edit?usp=sharing"",""งบพรบ!CR61"")"),19590)</f>
        <v>19590</v>
      </c>
      <c r="O179" s="74">
        <f t="shared" ca="1" si="119"/>
        <v>100</v>
      </c>
      <c r="P179" s="74">
        <f t="shared" ca="1" si="120"/>
        <v>67.02018474170373</v>
      </c>
      <c r="Q179" s="74">
        <f ca="1">IFERROR(__xludf.DUMMYFUNCTION("IMPORTRANGE(""https://docs.google.com/spreadsheets/d/1ItG2mGa2ceCfYo0BwxsXqNm01IGEUdYcSSLTEv9YCik/edit?usp=sharing"",""เบิกจ่ายกองทุน!BE61"")"),0)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IFERROR(__xludf.DUMMYFUNCTION("IMPORTRANGE(""https://docs.google.com/spreadsheets/d/1ItG2mGa2ceCfYo0BwxsXqNm01IGEUdYcSSLTEv9YCik/edit?usp=sharing"",""เบิกจ่ายกองทุน!BF61"")"),0)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IFERROR(__xludf.DUMMYFUNCTION("IMPORTRANGE(""https://docs.google.com/spreadsheets/d/1ItG2mGa2ceCfYo0BwxsXqNm01IGEUdYcSSLTEv9YCik/edit?usp=sharing"",""เบิกจ่ายกองทุน!BG61"")"),0)</f>
        <v>0</v>
      </c>
      <c r="T179" s="74">
        <f t="shared" ca="1" si="122"/>
        <v>0</v>
      </c>
      <c r="U179" s="74">
        <f t="shared" ca="1" si="123"/>
        <v>0</v>
      </c>
    </row>
    <row r="180" spans="1:21" ht="18.75" x14ac:dyDescent="0.25">
      <c r="A180" s="257"/>
      <c r="B180" s="258"/>
      <c r="C180" s="269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3">
        <f t="shared" ref="L180:N180" ca="1" si="128">L181+L182</f>
        <v>0</v>
      </c>
      <c r="M180" s="74">
        <f t="shared" ca="1" si="128"/>
        <v>0</v>
      </c>
      <c r="N180" s="74">
        <f t="shared" ca="1" si="128"/>
        <v>0</v>
      </c>
      <c r="O180" s="74">
        <f t="shared" ca="1" si="119"/>
        <v>0</v>
      </c>
      <c r="P180" s="74">
        <f t="shared" ca="1" si="120"/>
        <v>0</v>
      </c>
      <c r="Q180" s="74">
        <f t="shared" ref="Q180:S180" si="129">Q181+Q182</f>
        <v>0</v>
      </c>
      <c r="R180" s="74">
        <f t="shared" si="129"/>
        <v>0</v>
      </c>
      <c r="S180" s="74">
        <f t="shared" si="129"/>
        <v>0</v>
      </c>
      <c r="T180" s="74">
        <f t="shared" si="122"/>
        <v>0</v>
      </c>
      <c r="U180" s="74">
        <f t="shared" si="123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77">
        <f t="shared" si="119"/>
        <v>0</v>
      </c>
      <c r="P181" s="77">
        <f t="shared" si="120"/>
        <v>0</v>
      </c>
      <c r="Q181" s="77">
        <v>0</v>
      </c>
      <c r="R181" s="77">
        <v>0</v>
      </c>
      <c r="S181" s="77">
        <v>0</v>
      </c>
      <c r="T181" s="77">
        <f t="shared" si="122"/>
        <v>0</v>
      </c>
      <c r="U181" s="77">
        <f t="shared" si="123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3">
        <f ca="1">IFERROR(__xludf.DUMMYFUNCTION("IMPORTRANGE(""https://docs.google.com/spreadsheets/d/1-uDff_7J0KD5mKrp0Vvzr7lt3OU09vwQwhkpOPPYv2Y/edit?usp=sharing"",""งบพรบ!CN61"")"),0)</f>
        <v>0</v>
      </c>
      <c r="M182" s="74">
        <f ca="1">IFERROR(__xludf.DUMMYFUNCTION("IMPORTRANGE(""https://docs.google.com/spreadsheets/d/1-uDff_7J0KD5mKrp0Vvzr7lt3OU09vwQwhkpOPPYv2Y/edit?usp=sharing"",""งบพรบ!CQ61"")"),0)</f>
        <v>0</v>
      </c>
      <c r="N182" s="74">
        <f ca="1">IFERROR(__xludf.DUMMYFUNCTION("IMPORTRANGE(""https://docs.google.com/spreadsheets/d/1-uDff_7J0KD5mKrp0Vvzr7lt3OU09vwQwhkpOPPYv2Y/edit?usp=sharing"",""งบพรบ!CS61"")"),0)</f>
        <v>0</v>
      </c>
      <c r="O182" s="74">
        <f t="shared" ca="1" si="119"/>
        <v>0</v>
      </c>
      <c r="P182" s="74">
        <f t="shared" ca="1" si="120"/>
        <v>0</v>
      </c>
      <c r="Q182" s="74">
        <v>0</v>
      </c>
      <c r="R182" s="74">
        <v>0</v>
      </c>
      <c r="S182" s="74">
        <v>0</v>
      </c>
      <c r="T182" s="74">
        <f t="shared" si="122"/>
        <v>0</v>
      </c>
      <c r="U182" s="74">
        <f t="shared" si="123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307" t="s">
        <v>35</v>
      </c>
      <c r="I184" s="293">
        <f ca="1">IFERROR(__xludf.DUMMYFUNCTION("IMPORTRANGE(""https://docs.google.com/spreadsheets/d/1eHaY18a8A9IcSdp1K8H6x8fbOy06t2VsZHhMHf-1x7Y/edit?usp=sharing"",""แผน!AA61"")"),7)</f>
        <v>7</v>
      </c>
      <c r="J184" s="294">
        <v>7</v>
      </c>
      <c r="K184" s="74">
        <f t="shared" ref="K184:K186" ca="1" si="130">IF(I184&gt;0,J184*100/I184,0)</f>
        <v>100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308" t="s">
        <v>35</v>
      </c>
      <c r="I185" s="592">
        <v>0</v>
      </c>
      <c r="J185" s="592">
        <v>0</v>
      </c>
      <c r="K185" s="77">
        <f t="shared" si="130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125" t="s">
        <v>35</v>
      </c>
      <c r="I186" s="1126">
        <f t="shared" ref="I186:J186" ca="1" si="131">I231+I232</f>
        <v>60</v>
      </c>
      <c r="J186" s="1126">
        <f t="shared" si="131"/>
        <v>30</v>
      </c>
      <c r="K186" s="1127">
        <f t="shared" ca="1" si="130"/>
        <v>50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1257">
        <f t="shared" ref="L187:N187" ca="1" si="132">L188+L189</f>
        <v>391600</v>
      </c>
      <c r="M187" s="264">
        <f t="shared" ca="1" si="132"/>
        <v>393120</v>
      </c>
      <c r="N187" s="264">
        <f t="shared" ca="1" si="132"/>
        <v>197229.52</v>
      </c>
      <c r="O187" s="264">
        <f t="shared" ref="O187:O195" ca="1" si="133">IF(L187&gt;0,N187*100/L187,0)</f>
        <v>50.365045965270681</v>
      </c>
      <c r="P187" s="264">
        <f t="shared" ref="P187:P195" ca="1" si="134">IF(M187&gt;0,N187*100/M187,0)</f>
        <v>50.170309320309322</v>
      </c>
      <c r="Q187" s="264">
        <f t="shared" ref="Q187:S187" ca="1" si="135">Q188+Q189</f>
        <v>6000</v>
      </c>
      <c r="R187" s="264">
        <f t="shared" ca="1" si="135"/>
        <v>6000</v>
      </c>
      <c r="S187" s="264">
        <f t="shared" ca="1" si="135"/>
        <v>0</v>
      </c>
      <c r="T187" s="264">
        <f t="shared" ref="T187:T195" ca="1" si="136">IF(Q187&gt;0,S187*100/Q187,0)</f>
        <v>0</v>
      </c>
      <c r="U187" s="264">
        <f t="shared" ref="U187:U195" ca="1" si="137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6">
        <f t="shared" ref="L188:N189" si="138">L191+L194</f>
        <v>0</v>
      </c>
      <c r="M188" s="77">
        <f t="shared" si="138"/>
        <v>0</v>
      </c>
      <c r="N188" s="77">
        <f t="shared" si="138"/>
        <v>0</v>
      </c>
      <c r="O188" s="77">
        <f t="shared" si="133"/>
        <v>0</v>
      </c>
      <c r="P188" s="77">
        <f t="shared" si="134"/>
        <v>0</v>
      </c>
      <c r="Q188" s="77">
        <f t="shared" ref="Q188:S189" si="139">Q191+Q194</f>
        <v>0</v>
      </c>
      <c r="R188" s="77">
        <f t="shared" si="139"/>
        <v>0</v>
      </c>
      <c r="S188" s="77">
        <f t="shared" si="139"/>
        <v>0</v>
      </c>
      <c r="T188" s="77">
        <f t="shared" si="136"/>
        <v>0</v>
      </c>
      <c r="U188" s="77">
        <f t="shared" si="137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3">
        <f t="shared" ca="1" si="138"/>
        <v>391600</v>
      </c>
      <c r="M189" s="74">
        <f t="shared" ca="1" si="138"/>
        <v>393120</v>
      </c>
      <c r="N189" s="74">
        <f t="shared" ca="1" si="138"/>
        <v>197229.52</v>
      </c>
      <c r="O189" s="74">
        <f t="shared" ca="1" si="133"/>
        <v>50.365045965270681</v>
      </c>
      <c r="P189" s="74">
        <f t="shared" ca="1" si="134"/>
        <v>50.170309320309322</v>
      </c>
      <c r="Q189" s="74">
        <f t="shared" ca="1" si="139"/>
        <v>6000</v>
      </c>
      <c r="R189" s="74">
        <f t="shared" ca="1" si="139"/>
        <v>6000</v>
      </c>
      <c r="S189" s="74">
        <f t="shared" ca="1" si="139"/>
        <v>0</v>
      </c>
      <c r="T189" s="74">
        <f t="shared" ca="1" si="136"/>
        <v>0</v>
      </c>
      <c r="U189" s="74">
        <f t="shared" ca="1" si="137"/>
        <v>0</v>
      </c>
    </row>
    <row r="190" spans="1:21" ht="18.75" x14ac:dyDescent="0.25">
      <c r="A190" s="257"/>
      <c r="B190" s="269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3">
        <f t="shared" ref="L190:N190" ca="1" si="140">L191+L192</f>
        <v>391600</v>
      </c>
      <c r="M190" s="74">
        <f t="shared" ca="1" si="140"/>
        <v>393120</v>
      </c>
      <c r="N190" s="74">
        <f t="shared" ca="1" si="140"/>
        <v>197229.52</v>
      </c>
      <c r="O190" s="74">
        <f t="shared" ca="1" si="133"/>
        <v>50.365045965270681</v>
      </c>
      <c r="P190" s="74">
        <f t="shared" ca="1" si="134"/>
        <v>50.170309320309322</v>
      </c>
      <c r="Q190" s="74">
        <f t="shared" ref="Q190:S190" ca="1" si="141">Q191+Q192</f>
        <v>6000</v>
      </c>
      <c r="R190" s="74">
        <f t="shared" ca="1" si="141"/>
        <v>6000</v>
      </c>
      <c r="S190" s="74">
        <f t="shared" ca="1" si="141"/>
        <v>0</v>
      </c>
      <c r="T190" s="74">
        <f t="shared" ca="1" si="136"/>
        <v>0</v>
      </c>
      <c r="U190" s="74">
        <f t="shared" ca="1" si="137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77">
        <f t="shared" si="133"/>
        <v>0</v>
      </c>
      <c r="P191" s="77">
        <f t="shared" si="134"/>
        <v>0</v>
      </c>
      <c r="Q191" s="77">
        <v>0</v>
      </c>
      <c r="R191" s="77">
        <v>0</v>
      </c>
      <c r="S191" s="77">
        <v>0</v>
      </c>
      <c r="T191" s="77">
        <f t="shared" si="136"/>
        <v>0</v>
      </c>
      <c r="U191" s="77">
        <f t="shared" si="137"/>
        <v>0</v>
      </c>
    </row>
    <row r="192" spans="1:21" ht="18.75" hidden="1" x14ac:dyDescent="0.25">
      <c r="A192" s="257"/>
      <c r="B192" s="269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3">
        <f ca="1">IFERROR(__xludf.DUMMYFUNCTION("IMPORTRANGE(""https://docs.google.com/spreadsheets/d/1-uDff_7J0KD5mKrp0Vvzr7lt3OU09vwQwhkpOPPYv2Y/edit?usp=sharing"",""งบพรบ!CU61"")"),391600)</f>
        <v>391600</v>
      </c>
      <c r="M192" s="74">
        <f ca="1">IFERROR(__xludf.DUMMYFUNCTION("IMPORTRANGE(""https://docs.google.com/spreadsheets/d/1-uDff_7J0KD5mKrp0Vvzr7lt3OU09vwQwhkpOPPYv2Y/edit?usp=sharing"",""งบพรบ!CZ61"")"),393120)</f>
        <v>393120</v>
      </c>
      <c r="N192" s="74">
        <f ca="1">IFERROR(__xludf.DUMMYFUNCTION("IMPORTRANGE(""https://docs.google.com/spreadsheets/d/1-uDff_7J0KD5mKrp0Vvzr7lt3OU09vwQwhkpOPPYv2Y/edit?usp=sharing"",""งบพรบ!DB61"")"),197229.52)</f>
        <v>197229.52</v>
      </c>
      <c r="O192" s="74">
        <f t="shared" ca="1" si="133"/>
        <v>50.365045965270681</v>
      </c>
      <c r="P192" s="74">
        <f t="shared" ca="1" si="134"/>
        <v>50.170309320309322</v>
      </c>
      <c r="Q192" s="74">
        <f ca="1">IFERROR(__xludf.DUMMYFUNCTION("IMPORTRANGE(""https://docs.google.com/spreadsheets/d/1ItG2mGa2ceCfYo0BwxsXqNm01IGEUdYcSSLTEv9YCik/edit?usp=sharing"",""เบิกจ่ายกองทุน!AV61"")"),6000)</f>
        <v>6000</v>
      </c>
      <c r="R192" s="74">
        <f ca="1">IFERROR(__xludf.DUMMYFUNCTION("IMPORTRANGE(""https://docs.google.com/spreadsheets/d/1ItG2mGa2ceCfYo0BwxsXqNm01IGEUdYcSSLTEv9YCik/edit?usp=sharing"",""เบิกจ่ายกองทุน!AW61"")"),6000)</f>
        <v>6000</v>
      </c>
      <c r="S192" s="74">
        <f ca="1">IFERROR(__xludf.DUMMYFUNCTION("IMPORTRANGE(""https://docs.google.com/spreadsheets/d/1ItG2mGa2ceCfYo0BwxsXqNm01IGEUdYcSSLTEv9YCik/edit?usp=sharing"",""เบิกจ่ายกองทุน!AX61"")"),0)</f>
        <v>0</v>
      </c>
      <c r="T192" s="74">
        <f t="shared" ca="1" si="136"/>
        <v>0</v>
      </c>
      <c r="U192" s="74">
        <f t="shared" ca="1" si="137"/>
        <v>0</v>
      </c>
    </row>
    <row r="193" spans="1:21" ht="18.75" x14ac:dyDescent="0.25">
      <c r="A193" s="257"/>
      <c r="B193" s="269"/>
      <c r="C193" s="269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3">
        <f t="shared" ref="L193:N193" ca="1" si="142">L194+L195</f>
        <v>0</v>
      </c>
      <c r="M193" s="74">
        <f t="shared" ca="1" si="142"/>
        <v>0</v>
      </c>
      <c r="N193" s="74">
        <f t="shared" ca="1" si="142"/>
        <v>0</v>
      </c>
      <c r="O193" s="74">
        <f t="shared" ca="1" si="133"/>
        <v>0</v>
      </c>
      <c r="P193" s="74">
        <f t="shared" ca="1" si="134"/>
        <v>0</v>
      </c>
      <c r="Q193" s="74">
        <f t="shared" ref="Q193:S193" si="143">Q194+Q195</f>
        <v>0</v>
      </c>
      <c r="R193" s="74">
        <f t="shared" si="143"/>
        <v>0</v>
      </c>
      <c r="S193" s="74">
        <f t="shared" si="143"/>
        <v>0</v>
      </c>
      <c r="T193" s="74">
        <f t="shared" si="136"/>
        <v>0</v>
      </c>
      <c r="U193" s="74">
        <f t="shared" si="137"/>
        <v>0</v>
      </c>
    </row>
    <row r="194" spans="1:21" ht="18.75" hidden="1" x14ac:dyDescent="0.25">
      <c r="A194" s="257"/>
      <c r="B194" s="269"/>
      <c r="C194" s="269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77">
        <f t="shared" si="133"/>
        <v>0</v>
      </c>
      <c r="P194" s="77">
        <f t="shared" si="134"/>
        <v>0</v>
      </c>
      <c r="Q194" s="77">
        <v>0</v>
      </c>
      <c r="R194" s="77">
        <v>0</v>
      </c>
      <c r="S194" s="77">
        <v>0</v>
      </c>
      <c r="T194" s="77">
        <f t="shared" si="136"/>
        <v>0</v>
      </c>
      <c r="U194" s="77">
        <f t="shared" si="137"/>
        <v>0</v>
      </c>
    </row>
    <row r="195" spans="1:21" ht="18.75" hidden="1" x14ac:dyDescent="0.25">
      <c r="A195" s="257"/>
      <c r="B195" s="269"/>
      <c r="C195" s="269"/>
      <c r="D195" s="269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3">
        <f ca="1">IFERROR(__xludf.DUMMYFUNCTION("IMPORTRANGE(""https://docs.google.com/spreadsheets/d/1-uDff_7J0KD5mKrp0Vvzr7lt3OU09vwQwhkpOPPYv2Y/edit?usp=sharing"",""งบพรบ!CX61"")"),0)</f>
        <v>0</v>
      </c>
      <c r="M195" s="74">
        <f ca="1">IFERROR(__xludf.DUMMYFUNCTION("IMPORTRANGE(""https://docs.google.com/spreadsheets/d/1-uDff_7J0KD5mKrp0Vvzr7lt3OU09vwQwhkpOPPYv2Y/edit?usp=sharing"",""งบพรบ!DA61"")"),0)</f>
        <v>0</v>
      </c>
      <c r="N195" s="74">
        <f ca="1">IFERROR(__xludf.DUMMYFUNCTION("IMPORTRANGE(""https://docs.google.com/spreadsheets/d/1-uDff_7J0KD5mKrp0Vvzr7lt3OU09vwQwhkpOPPYv2Y/edit?usp=sharing"",""งบพรบ!DC61"")"),0)</f>
        <v>0</v>
      </c>
      <c r="O195" s="74">
        <f t="shared" ca="1" si="133"/>
        <v>0</v>
      </c>
      <c r="P195" s="74">
        <f t="shared" ca="1" si="134"/>
        <v>0</v>
      </c>
      <c r="Q195" s="74">
        <v>0</v>
      </c>
      <c r="R195" s="74">
        <v>0</v>
      </c>
      <c r="S195" s="74">
        <v>0</v>
      </c>
      <c r="T195" s="74">
        <f t="shared" si="136"/>
        <v>0</v>
      </c>
      <c r="U195" s="74">
        <f t="shared" si="137"/>
        <v>0</v>
      </c>
    </row>
    <row r="196" spans="1:21" ht="19.5" x14ac:dyDescent="0.3">
      <c r="A196" s="553"/>
      <c r="B196" s="555"/>
      <c r="C196" s="1128" t="s">
        <v>78</v>
      </c>
      <c r="D196" s="555"/>
      <c r="E196" s="554"/>
      <c r="F196" s="554"/>
      <c r="G196" s="557"/>
      <c r="H196" s="558" t="s">
        <v>79</v>
      </c>
      <c r="I196" s="559">
        <f t="shared" ref="I196:J196" ca="1" si="144">I199</f>
        <v>4</v>
      </c>
      <c r="J196" s="559">
        <f t="shared" si="144"/>
        <v>1</v>
      </c>
      <c r="K196" s="560">
        <f ca="1">IF(I196&gt;0,J196*100/I196,0)</f>
        <v>25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69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1257">
        <f ca="1">IFERROR(__xludf.DUMMYFUNCTION("IMPORTRANGE(""https://docs.google.com/spreadsheets/d/1eHaY18a8A9IcSdp1K8H6x8fbOy06t2VsZHhMHf-1x7Y/edit?usp=sharing"",""แผน!AB61"")"),6000)</f>
        <v>6000</v>
      </c>
      <c r="M197" s="87"/>
      <c r="N197" s="923">
        <v>0</v>
      </c>
      <c r="O197" s="264">
        <f ca="1">IF(L197&gt;0,N197*100/L197,0)</f>
        <v>0</v>
      </c>
      <c r="P197" s="264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310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75" t="s">
        <v>79</v>
      </c>
      <c r="I199" s="293">
        <f ca="1">IFERROR(__xludf.DUMMYFUNCTION("IMPORTRANGE(""https://docs.google.com/spreadsheets/d/1eHaY18a8A9IcSdp1K8H6x8fbOy06t2VsZHhMHf-1x7Y/edit?usp=sharing"",""แผน!AE61"")"),4)</f>
        <v>4</v>
      </c>
      <c r="J199" s="294">
        <v>1</v>
      </c>
      <c r="K199" s="74">
        <f ca="1">IF(I199&gt;0,J199*100/I199,0)</f>
        <v>25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25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25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5">I210</f>
        <v>1</v>
      </c>
      <c r="J203" s="559">
        <f t="shared" si="145"/>
        <v>1</v>
      </c>
      <c r="K203" s="560">
        <f ca="1">IF(I203&gt;0,J203*100/I203,0)</f>
        <v>100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69"/>
      <c r="C204" s="621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1257">
        <f ca="1">L205+L206+L207+L208</f>
        <v>13000</v>
      </c>
      <c r="M204" s="87"/>
      <c r="N204" s="264">
        <f>N205+N206+N207+N208</f>
        <v>13000</v>
      </c>
      <c r="O204" s="264">
        <f ca="1">IF(L204&gt;0,N204*100/L204,0)</f>
        <v>100</v>
      </c>
      <c r="P204" s="264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69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73">
        <f ca="1">IFERROR(__xludf.DUMMYFUNCTION("IMPORTRANGE(""https://docs.google.com/spreadsheets/d/1eHaY18a8A9IcSdp1K8H6x8fbOy06t2VsZHhMHf-1x7Y/edit?usp=sharing"",""แผน!AG61"")"),1000)</f>
        <v>1000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69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73">
        <f ca="1">IFERROR(__xludf.DUMMYFUNCTION("IMPORTRANGE(""https://docs.google.com/spreadsheets/d/1eHaY18a8A9IcSdp1K8H6x8fbOy06t2VsZHhMHf-1x7Y/edit?usp=sharing"",""แผน!AH61"")"),0)</f>
        <v>0</v>
      </c>
      <c r="M206" s="87"/>
      <c r="N206" s="924">
        <v>415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69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73">
        <f ca="1">IFERROR(__xludf.DUMMYFUNCTION("IMPORTRANGE(""https://docs.google.com/spreadsheets/d/1eHaY18a8A9IcSdp1K8H6x8fbOy06t2VsZHhMHf-1x7Y/edit?usp=sharing"",""แผน!AI61"")"),8000)</f>
        <v>8000</v>
      </c>
      <c r="M207" s="87"/>
      <c r="N207" s="924">
        <v>8585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69"/>
      <c r="D208" s="267" t="s">
        <v>89</v>
      </c>
      <c r="E208" s="258"/>
      <c r="F208" s="258"/>
      <c r="G208" s="261"/>
      <c r="H208" s="292" t="s">
        <v>14</v>
      </c>
      <c r="I208" s="263"/>
      <c r="J208" s="263"/>
      <c r="K208" s="87"/>
      <c r="L208" s="73">
        <f ca="1">IFERROR(__xludf.DUMMYFUNCTION("IMPORTRANGE(""https://docs.google.com/spreadsheets/d/1eHaY18a8A9IcSdp1K8H6x8fbOy06t2VsZHhMHf-1x7Y/edit?usp=sharing"",""แผน!AJ61"")"),4000)</f>
        <v>4000</v>
      </c>
      <c r="M208" s="87"/>
      <c r="N208" s="924">
        <v>4000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310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2" t="s">
        <v>85</v>
      </c>
      <c r="I210" s="293">
        <f ca="1">IFERROR(__xludf.DUMMYFUNCTION("IMPORTRANGE(""https://docs.google.com/spreadsheets/d/1eHaY18a8A9IcSdp1K8H6x8fbOy06t2VsZHhMHf-1x7Y/edit?usp=sharing"",""แผน!AK61"")"),1)</f>
        <v>1</v>
      </c>
      <c r="J210" s="294">
        <v>1</v>
      </c>
      <c r="K210" s="768">
        <f ca="1">IF(I210&gt;0,J210*100/I210,0)</f>
        <v>100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310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2" t="s">
        <v>85</v>
      </c>
      <c r="I212" s="293">
        <f ca="1">IFERROR(__xludf.DUMMYFUNCTION("IMPORTRANGE(""https://docs.google.com/spreadsheets/d/1eHaY18a8A9IcSdp1K8H6x8fbOy06t2VsZHhMHf-1x7Y/edit?usp=sharing"",""แผน!JX61"")"),1)</f>
        <v>1</v>
      </c>
      <c r="J212" s="294">
        <v>0</v>
      </c>
      <c r="K212" s="768">
        <f t="shared" ref="K212:K214" ca="1" si="146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IFERROR(__xludf.DUMMYFUNCTION("IMPORTRANGE(""https://docs.google.com/spreadsheets/d/1eHaY18a8A9IcSdp1K8H6x8fbOy06t2VsZHhMHf-1x7Y/edit?usp=sharing"",""แผน!JY61"")"),0)</f>
        <v>0</v>
      </c>
      <c r="J213" s="294">
        <v>0</v>
      </c>
      <c r="K213" s="768">
        <f t="shared" ca="1" si="146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hidden="1" x14ac:dyDescent="0.3">
      <c r="A214" s="553"/>
      <c r="B214" s="555"/>
      <c r="C214" s="1128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7">I221</f>
        <v>0</v>
      </c>
      <c r="J214" s="559">
        <f t="shared" si="147"/>
        <v>0</v>
      </c>
      <c r="K214" s="560">
        <f t="shared" ca="1" si="146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hidden="1" x14ac:dyDescent="0.3">
      <c r="A215" s="257"/>
      <c r="B215" s="269"/>
      <c r="C215" s="621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1257">
        <f ca="1">L216+L217+L218</f>
        <v>0</v>
      </c>
      <c r="M215" s="87"/>
      <c r="N215" s="264">
        <f>N216+N217+N218</f>
        <v>0</v>
      </c>
      <c r="O215" s="264">
        <f ca="1">IF(L215&gt;0,N215*100/L215,0)</f>
        <v>0</v>
      </c>
      <c r="P215" s="264">
        <f>IF(M215&gt;0,N215*100/M215,0)</f>
        <v>0</v>
      </c>
      <c r="Q215" s="87"/>
      <c r="R215" s="87"/>
      <c r="S215" s="87"/>
      <c r="T215" s="87"/>
      <c r="U215" s="87"/>
    </row>
    <row r="216" spans="1:21" ht="18.75" hidden="1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3">
        <f ca="1">IFERROR(__xludf.DUMMYFUNCTION("IMPORTRANGE(""https://docs.google.com/spreadsheets/d/1eHaY18a8A9IcSdp1K8H6x8fbOy06t2VsZHhMHf-1x7Y/edit?usp=sharing"",""แผน!AM61"")"),0)</f>
        <v>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hidden="1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3">
        <f ca="1">IFERROR(__xludf.DUMMYFUNCTION("IMPORTRANGE(""https://docs.google.com/spreadsheets/d/1eHaY18a8A9IcSdp1K8H6x8fbOy06t2VsZHhMHf-1x7Y/edit?usp=sharing"",""แผน!AN61"")"),0)</f>
        <v>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hidden="1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3">
        <f ca="1">IFERROR(__xludf.DUMMYFUNCTION("IMPORTRANGE(""https://docs.google.com/spreadsheets/d/1eHaY18a8A9IcSdp1K8H6x8fbOy06t2VsZHhMHf-1x7Y/edit?usp=sharing"",""แผน!AO61"")"),0)</f>
        <v>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hidden="1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310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hidden="1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2" t="s">
        <v>85</v>
      </c>
      <c r="I220" s="293">
        <f ca="1">IFERROR(__xludf.DUMMYFUNCTION("IMPORTRANGE(""https://docs.google.com/spreadsheets/d/1eHaY18a8A9IcSdp1K8H6x8fbOy06t2VsZHhMHf-1x7Y/edit?usp=sharing"",""แผน!AP61"")"),0)</f>
        <v>0</v>
      </c>
      <c r="J220" s="294">
        <v>0</v>
      </c>
      <c r="K220" s="74">
        <f t="shared" ref="K220:K222" ca="1" si="148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hidden="1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IFERROR(__xludf.DUMMYFUNCTION("IMPORTRANGE(""https://docs.google.com/spreadsheets/d/1eHaY18a8A9IcSdp1K8H6x8fbOy06t2VsZHhMHf-1x7Y/edit?usp=sharing"",""แผน!AP61"")"),0)</f>
        <v>0</v>
      </c>
      <c r="J221" s="294">
        <v>0</v>
      </c>
      <c r="K221" s="74">
        <f t="shared" ca="1" si="148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28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9">I230</f>
        <v>20000</v>
      </c>
      <c r="J222" s="559">
        <f t="shared" si="149"/>
        <v>0</v>
      </c>
      <c r="K222" s="560">
        <f t="shared" ca="1" si="148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69"/>
      <c r="C223" s="621" t="s">
        <v>18</v>
      </c>
      <c r="D223" s="96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1257">
        <f ca="1">L224+L225+L226</f>
        <v>4500</v>
      </c>
      <c r="M223" s="87"/>
      <c r="N223" s="264">
        <f>N224+N225+N226</f>
        <v>0</v>
      </c>
      <c r="O223" s="264">
        <f ca="1">IF(L223&gt;0,N223*100/L223,0)</f>
        <v>0</v>
      </c>
      <c r="P223" s="264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69"/>
      <c r="D224" s="1134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3">
        <f ca="1">IFERROR(__xludf.DUMMYFUNCTION("IMPORTRANGE(""https://docs.google.com/spreadsheets/d/1eHaY18a8A9IcSdp1K8H6x8fbOy06t2VsZHhMHf-1x7Y/edit?usp=sharing"",""แผน!AR61"")"),3000)</f>
        <v>3000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3">
        <f ca="1">IFERROR(__xludf.DUMMYFUNCTION("IMPORTRANGE(""https://docs.google.com/spreadsheets/d/1eHaY18a8A9IcSdp1K8H6x8fbOy06t2VsZHhMHf-1x7Y/edit?usp=sharing"",""แผน!AS61"")"),1500)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3">
        <f ca="1">IFERROR(__xludf.DUMMYFUNCTION("IMPORTRANGE(""https://docs.google.com/spreadsheets/d/1eHaY18a8A9IcSdp1K8H6x8fbOy06t2VsZHhMHf-1x7Y/edit?usp=sharing"",""แผน!AT61"")"),0)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310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310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75" t="s">
        <v>99</v>
      </c>
      <c r="I229" s="293">
        <f ca="1">IFERROR(__xludf.DUMMYFUNCTION("IMPORTRANGE(""https://docs.google.com/spreadsheets/d/1eHaY18a8A9IcSdp1K8H6x8fbOy06t2VsZHhMHf-1x7Y/edit?usp=sharing"",""แผน!AV61"")"),20000)</f>
        <v>20000</v>
      </c>
      <c r="J229" s="294">
        <v>0</v>
      </c>
      <c r="K229" s="768">
        <f t="shared" ref="K229:K232" ca="1" si="150">IF(I229&gt;0,J229*100/I229,0)</f>
        <v>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75" t="s">
        <v>99</v>
      </c>
      <c r="I230" s="293">
        <f ca="1">IFERROR(__xludf.DUMMYFUNCTION("IMPORTRANGE(""https://docs.google.com/spreadsheets/d/1eHaY18a8A9IcSdp1K8H6x8fbOy06t2VsZHhMHf-1x7Y/edit?usp=sharing"",""แผน!AV61"")"),20000)</f>
        <v>20000</v>
      </c>
      <c r="J230" s="294">
        <v>0</v>
      </c>
      <c r="K230" s="768">
        <f t="shared" ca="1" si="150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75" t="s">
        <v>35</v>
      </c>
      <c r="I231" s="293">
        <f ca="1">IFERROR(__xludf.DUMMYFUNCTION("IMPORTRANGE(""https://docs.google.com/spreadsheets/d/1eHaY18a8A9IcSdp1K8H6x8fbOy06t2VsZHhMHf-1x7Y/edit?usp=sharing"",""แผน!AU61"")"),0)</f>
        <v>0</v>
      </c>
      <c r="J231" s="294">
        <v>0</v>
      </c>
      <c r="K231" s="768">
        <f t="shared" ca="1" si="150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925"/>
      <c r="B232" s="926"/>
      <c r="C232" s="1135" t="s">
        <v>105</v>
      </c>
      <c r="D232" s="928"/>
      <c r="E232" s="928"/>
      <c r="F232" s="928"/>
      <c r="G232" s="929"/>
      <c r="H232" s="930" t="s">
        <v>35</v>
      </c>
      <c r="I232" s="931">
        <f t="shared" ref="I232:J232" ca="1" si="151">I243+I254</f>
        <v>60</v>
      </c>
      <c r="J232" s="931">
        <f t="shared" si="151"/>
        <v>30</v>
      </c>
      <c r="K232" s="932">
        <f t="shared" ca="1" si="150"/>
        <v>50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880"/>
      <c r="B233" s="920"/>
      <c r="C233" s="939" t="s">
        <v>18</v>
      </c>
      <c r="D233" s="934" t="s">
        <v>19</v>
      </c>
      <c r="E233" s="838"/>
      <c r="F233" s="838"/>
      <c r="G233" s="839"/>
      <c r="H233" s="703" t="s">
        <v>14</v>
      </c>
      <c r="I233" s="881"/>
      <c r="J233" s="881"/>
      <c r="K233" s="882"/>
      <c r="L233" s="1281">
        <f t="shared" ref="L233:L237" ca="1" si="152">L244+L255</f>
        <v>104900</v>
      </c>
      <c r="M233" s="87"/>
      <c r="N233" s="1258">
        <f t="shared" ref="N233:N237" si="153">N244+N255</f>
        <v>23520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880"/>
      <c r="B234" s="920"/>
      <c r="C234" s="920"/>
      <c r="D234" s="1134" t="s">
        <v>299</v>
      </c>
      <c r="E234" s="838"/>
      <c r="F234" s="838"/>
      <c r="G234" s="839"/>
      <c r="H234" s="273" t="s">
        <v>14</v>
      </c>
      <c r="I234" s="881"/>
      <c r="J234" s="881"/>
      <c r="K234" s="882"/>
      <c r="L234" s="76">
        <f t="shared" ca="1" si="152"/>
        <v>8000</v>
      </c>
      <c r="M234" s="87"/>
      <c r="N234" s="77">
        <f t="shared" si="153"/>
        <v>2500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919"/>
      <c r="B235" s="920"/>
      <c r="C235" s="920"/>
      <c r="D235" s="749" t="s">
        <v>87</v>
      </c>
      <c r="E235" s="838"/>
      <c r="F235" s="838"/>
      <c r="G235" s="839"/>
      <c r="H235" s="273" t="s">
        <v>14</v>
      </c>
      <c r="I235" s="841"/>
      <c r="J235" s="841"/>
      <c r="K235" s="842"/>
      <c r="L235" s="76">
        <f t="shared" ca="1" si="152"/>
        <v>3000</v>
      </c>
      <c r="M235" s="87"/>
      <c r="N235" s="77">
        <f t="shared" si="153"/>
        <v>720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919"/>
      <c r="B236" s="920"/>
      <c r="C236" s="920"/>
      <c r="D236" s="749" t="s">
        <v>88</v>
      </c>
      <c r="E236" s="838"/>
      <c r="F236" s="838"/>
      <c r="G236" s="839"/>
      <c r="H236" s="273" t="s">
        <v>14</v>
      </c>
      <c r="I236" s="841"/>
      <c r="J236" s="841"/>
      <c r="K236" s="842"/>
      <c r="L236" s="76">
        <f t="shared" ca="1" si="152"/>
        <v>46900</v>
      </c>
      <c r="M236" s="87"/>
      <c r="N236" s="77">
        <f t="shared" si="153"/>
        <v>20300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919"/>
      <c r="B237" s="920"/>
      <c r="C237" s="920"/>
      <c r="D237" s="267" t="s">
        <v>89</v>
      </c>
      <c r="E237" s="838"/>
      <c r="F237" s="838"/>
      <c r="G237" s="839"/>
      <c r="H237" s="273" t="s">
        <v>14</v>
      </c>
      <c r="I237" s="841"/>
      <c r="J237" s="841"/>
      <c r="K237" s="842"/>
      <c r="L237" s="76">
        <f t="shared" ca="1" si="152"/>
        <v>47000</v>
      </c>
      <c r="M237" s="87"/>
      <c r="N237" s="77">
        <f t="shared" si="153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937"/>
      <c r="B238" s="938"/>
      <c r="C238" s="939" t="s">
        <v>18</v>
      </c>
      <c r="D238" s="940" t="s">
        <v>38</v>
      </c>
      <c r="E238" s="941"/>
      <c r="F238" s="941"/>
      <c r="G238" s="942"/>
      <c r="H238" s="1136"/>
      <c r="I238" s="881"/>
      <c r="J238" s="841"/>
      <c r="K238" s="842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937"/>
      <c r="B239" s="938"/>
      <c r="C239" s="938"/>
      <c r="D239" s="311" t="s">
        <v>108</v>
      </c>
      <c r="E239" s="944"/>
      <c r="F239" s="944"/>
      <c r="G239" s="943"/>
      <c r="H239" s="706" t="s">
        <v>35</v>
      </c>
      <c r="I239" s="592">
        <f t="shared" ref="I239:J239" ca="1" si="154">I250+I261</f>
        <v>60</v>
      </c>
      <c r="J239" s="592">
        <f t="shared" si="154"/>
        <v>30</v>
      </c>
      <c r="K239" s="77">
        <f ca="1">IF(I239&gt;0,J239*100/I239,0)</f>
        <v>50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937"/>
      <c r="B240" s="938"/>
      <c r="C240" s="938"/>
      <c r="D240" s="946" t="s">
        <v>43</v>
      </c>
      <c r="E240" s="944"/>
      <c r="F240" s="944"/>
      <c r="G240" s="943"/>
      <c r="H240" s="1136"/>
      <c r="I240" s="841"/>
      <c r="J240" s="841"/>
      <c r="K240" s="842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937"/>
      <c r="B241" s="938"/>
      <c r="C241" s="938"/>
      <c r="D241" s="938"/>
      <c r="E241" s="947" t="s">
        <v>109</v>
      </c>
      <c r="F241" s="944"/>
      <c r="G241" s="943"/>
      <c r="H241" s="706" t="s">
        <v>35</v>
      </c>
      <c r="I241" s="592">
        <f t="shared" ref="I241:J242" ca="1" si="155">I252+I263</f>
        <v>60</v>
      </c>
      <c r="J241" s="592">
        <f t="shared" si="155"/>
        <v>0</v>
      </c>
      <c r="K241" s="77">
        <f t="shared" ref="K241:K243" ca="1" si="156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937"/>
      <c r="B242" s="938"/>
      <c r="C242" s="938"/>
      <c r="D242" s="938"/>
      <c r="E242" s="947" t="s">
        <v>110</v>
      </c>
      <c r="F242" s="944"/>
      <c r="G242" s="943"/>
      <c r="H242" s="706" t="s">
        <v>61</v>
      </c>
      <c r="I242" s="592">
        <f t="shared" ca="1" si="155"/>
        <v>1</v>
      </c>
      <c r="J242" s="592">
        <f t="shared" si="155"/>
        <v>0</v>
      </c>
      <c r="K242" s="77">
        <f t="shared" ca="1" si="156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x14ac:dyDescent="0.3">
      <c r="A243" s="382"/>
      <c r="B243" s="383"/>
      <c r="C243" s="1137" t="s">
        <v>332</v>
      </c>
      <c r="D243" s="385"/>
      <c r="E243" s="385"/>
      <c r="F243" s="385"/>
      <c r="G243" s="386"/>
      <c r="H243" s="387" t="s">
        <v>35</v>
      </c>
      <c r="I243" s="388">
        <f t="shared" ref="I243:J243" ca="1" si="157">I250</f>
        <v>60</v>
      </c>
      <c r="J243" s="388">
        <f t="shared" si="157"/>
        <v>30</v>
      </c>
      <c r="K243" s="389">
        <f t="shared" ca="1" si="156"/>
        <v>50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x14ac:dyDescent="0.3">
      <c r="A244" s="209"/>
      <c r="B244" s="381"/>
      <c r="C244" s="402" t="s">
        <v>18</v>
      </c>
      <c r="D244" s="879" t="s">
        <v>19</v>
      </c>
      <c r="E244" s="67"/>
      <c r="F244" s="67"/>
      <c r="G244" s="69"/>
      <c r="H244" s="394" t="s">
        <v>14</v>
      </c>
      <c r="I244" s="219"/>
      <c r="J244" s="219"/>
      <c r="K244" s="220"/>
      <c r="L244" s="1257">
        <f ca="1">L245+L246+L247+L248</f>
        <v>104900</v>
      </c>
      <c r="M244" s="87"/>
      <c r="N244" s="264">
        <f>N245+N246+N247+N248</f>
        <v>23520</v>
      </c>
      <c r="O244" s="264">
        <f ca="1">IF(L244&gt;0,N244*100/L244,0)</f>
        <v>22.421353670162059</v>
      </c>
      <c r="P244" s="264">
        <f>IF(M244&gt;0,N244*100/M244,0)</f>
        <v>0</v>
      </c>
      <c r="Q244" s="87"/>
      <c r="R244" s="87"/>
      <c r="S244" s="87"/>
      <c r="T244" s="87"/>
      <c r="U244" s="87"/>
    </row>
    <row r="245" spans="1:21" ht="18.75" x14ac:dyDescent="0.25">
      <c r="A245" s="209"/>
      <c r="B245" s="381"/>
      <c r="C245" s="381"/>
      <c r="D245" s="1134" t="s">
        <v>299</v>
      </c>
      <c r="E245" s="67"/>
      <c r="F245" s="67"/>
      <c r="G245" s="69"/>
      <c r="H245" s="218" t="s">
        <v>14</v>
      </c>
      <c r="I245" s="219"/>
      <c r="J245" s="219"/>
      <c r="K245" s="220"/>
      <c r="L245" s="73">
        <f ca="1">IFERROR(__xludf.DUMMYFUNCTION("IMPORTRANGE(""https://docs.google.com/spreadsheets/d/1eHaY18a8A9IcSdp1K8H6x8fbOy06t2VsZHhMHf-1x7Y/edit?usp=sharing"",""แผน!AX61"")"),8000)</f>
        <v>8000</v>
      </c>
      <c r="M245" s="87"/>
      <c r="N245" s="924">
        <v>2500</v>
      </c>
      <c r="O245" s="87"/>
      <c r="P245" s="87"/>
      <c r="Q245" s="87"/>
      <c r="R245" s="87"/>
      <c r="S245" s="87"/>
      <c r="T245" s="87"/>
      <c r="U245" s="87"/>
    </row>
    <row r="246" spans="1:21" ht="18.75" x14ac:dyDescent="0.25">
      <c r="A246" s="377"/>
      <c r="B246" s="381"/>
      <c r="C246" s="381"/>
      <c r="D246" s="749" t="s">
        <v>87</v>
      </c>
      <c r="E246" s="67"/>
      <c r="F246" s="67"/>
      <c r="G246" s="69"/>
      <c r="H246" s="218" t="s">
        <v>14</v>
      </c>
      <c r="I246" s="71"/>
      <c r="J246" s="71"/>
      <c r="K246" s="72"/>
      <c r="L246" s="73">
        <f ca="1">IFERROR(__xludf.DUMMYFUNCTION("IMPORTRANGE(""https://docs.google.com/spreadsheets/d/1eHaY18a8A9IcSdp1K8H6x8fbOy06t2VsZHhMHf-1x7Y/edit?usp=sharing"",""แผน!AY61"")"),3000)</f>
        <v>3000</v>
      </c>
      <c r="M246" s="87"/>
      <c r="N246" s="924">
        <v>720</v>
      </c>
      <c r="O246" s="87"/>
      <c r="P246" s="87"/>
      <c r="Q246" s="87"/>
      <c r="R246" s="87"/>
      <c r="S246" s="87"/>
      <c r="T246" s="87"/>
      <c r="U246" s="87"/>
    </row>
    <row r="247" spans="1:21" ht="18.75" x14ac:dyDescent="0.25">
      <c r="A247" s="377"/>
      <c r="B247" s="381"/>
      <c r="C247" s="381"/>
      <c r="D247" s="749" t="s">
        <v>88</v>
      </c>
      <c r="E247" s="67"/>
      <c r="F247" s="67"/>
      <c r="G247" s="69"/>
      <c r="H247" s="218" t="s">
        <v>14</v>
      </c>
      <c r="I247" s="71"/>
      <c r="J247" s="71"/>
      <c r="K247" s="72"/>
      <c r="L247" s="73">
        <f ca="1">IFERROR(__xludf.DUMMYFUNCTION("IMPORTRANGE(""https://docs.google.com/spreadsheets/d/1eHaY18a8A9IcSdp1K8H6x8fbOy06t2VsZHhMHf-1x7Y/edit?usp=sharing"",""แผน!AZ61"")"),46900)</f>
        <v>46900</v>
      </c>
      <c r="M247" s="87"/>
      <c r="N247" s="924">
        <v>20300</v>
      </c>
      <c r="O247" s="87"/>
      <c r="P247" s="87"/>
      <c r="Q247" s="87"/>
      <c r="R247" s="87"/>
      <c r="S247" s="87"/>
      <c r="T247" s="87"/>
      <c r="U247" s="87"/>
    </row>
    <row r="248" spans="1:21" ht="18.75" x14ac:dyDescent="0.25">
      <c r="A248" s="377"/>
      <c r="B248" s="381"/>
      <c r="C248" s="381"/>
      <c r="D248" s="267" t="s">
        <v>89</v>
      </c>
      <c r="E248" s="67"/>
      <c r="F248" s="67"/>
      <c r="G248" s="69"/>
      <c r="H248" s="218" t="s">
        <v>14</v>
      </c>
      <c r="I248" s="71"/>
      <c r="J248" s="71"/>
      <c r="K248" s="72"/>
      <c r="L248" s="73">
        <f ca="1">IFERROR(__xludf.DUMMYFUNCTION("IMPORTRANGE(""https://docs.google.com/spreadsheets/d/1eHaY18a8A9IcSdp1K8H6x8fbOy06t2VsZHhMHf-1x7Y/edit?usp=sharing"",""แผน!BA61"")"),47000)</f>
        <v>47000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x14ac:dyDescent="0.3">
      <c r="A249" s="222"/>
      <c r="B249" s="223"/>
      <c r="C249" s="402" t="s">
        <v>18</v>
      </c>
      <c r="D249" s="883" t="s">
        <v>38</v>
      </c>
      <c r="E249" s="225"/>
      <c r="F249" s="225"/>
      <c r="G249" s="226"/>
      <c r="H249" s="320"/>
      <c r="I249" s="219"/>
      <c r="J249" s="71"/>
      <c r="K249" s="72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x14ac:dyDescent="0.25">
      <c r="A250" s="222"/>
      <c r="B250" s="223"/>
      <c r="C250" s="223"/>
      <c r="D250" s="395" t="s">
        <v>108</v>
      </c>
      <c r="E250" s="231"/>
      <c r="F250" s="231"/>
      <c r="G250" s="227"/>
      <c r="H250" s="221" t="s">
        <v>35</v>
      </c>
      <c r="I250" s="321">
        <f ca="1">IFERROR(__xludf.DUMMYFUNCTION("IMPORTRANGE(""https://docs.google.com/spreadsheets/d/1eHaY18a8A9IcSdp1K8H6x8fbOy06t2VsZHhMHf-1x7Y/edit?usp=sharing"",""แผน!BG61"")"),60)</f>
        <v>60</v>
      </c>
      <c r="J250" s="884">
        <v>30</v>
      </c>
      <c r="K250" s="399">
        <f ca="1">IF(I250&gt;0,J250*100/I250,0)</f>
        <v>50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x14ac:dyDescent="0.25">
      <c r="A251" s="222"/>
      <c r="B251" s="223"/>
      <c r="C251" s="223"/>
      <c r="D251" s="412" t="s">
        <v>43</v>
      </c>
      <c r="E251" s="231"/>
      <c r="F251" s="231"/>
      <c r="G251" s="227"/>
      <c r="H251" s="320"/>
      <c r="I251" s="71"/>
      <c r="J251" s="71"/>
      <c r="K251" s="72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x14ac:dyDescent="0.25">
      <c r="A252" s="222"/>
      <c r="B252" s="223"/>
      <c r="C252" s="223"/>
      <c r="D252" s="223"/>
      <c r="E252" s="1228" t="s">
        <v>333</v>
      </c>
      <c r="F252" s="893"/>
      <c r="G252" s="894"/>
      <c r="H252" s="1229" t="s">
        <v>35</v>
      </c>
      <c r="I252" s="321">
        <f ca="1">IFERROR(__xludf.DUMMYFUNCTION("IMPORTRANGE(""https://docs.google.com/spreadsheets/d/1eHaY18a8A9IcSdp1K8H6x8fbOy06t2VsZHhMHf-1x7Y/edit?usp=sharing"",""แผน!KB61"")"),60)</f>
        <v>60</v>
      </c>
      <c r="J252" s="884">
        <v>0</v>
      </c>
      <c r="K252" s="399">
        <f t="shared" ref="K252:K254" ca="1" si="158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x14ac:dyDescent="0.25">
      <c r="A253" s="222"/>
      <c r="B253" s="223"/>
      <c r="C253" s="223"/>
      <c r="D253" s="223"/>
      <c r="E253" s="767" t="s">
        <v>334</v>
      </c>
      <c r="F253" s="296"/>
      <c r="G253" s="282"/>
      <c r="H253" s="275" t="s">
        <v>35</v>
      </c>
      <c r="I253" s="321">
        <f ca="1">IFERROR(__xludf.DUMMYFUNCTION("IMPORTRANGE(""https://docs.google.com/spreadsheets/d/1eHaY18a8A9IcSdp1K8H6x8fbOy06t2VsZHhMHf-1x7Y/edit?usp=sharing"",""แผน!KC61"")"),1)</f>
        <v>1</v>
      </c>
      <c r="J253" s="884">
        <v>0</v>
      </c>
      <c r="K253" s="399">
        <f t="shared" ca="1" si="158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553"/>
      <c r="B254" s="555"/>
      <c r="C254" s="1135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9">I261</f>
        <v>0</v>
      </c>
      <c r="J254" s="931">
        <f t="shared" si="159"/>
        <v>0</v>
      </c>
      <c r="K254" s="932">
        <f t="shared" ca="1" si="158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257"/>
      <c r="B255" s="269"/>
      <c r="C255" s="939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1257">
        <f ca="1">L256+L257+L258+L259</f>
        <v>0</v>
      </c>
      <c r="M255" s="87"/>
      <c r="N255" s="264">
        <f>N256+N257+N258+N259</f>
        <v>0</v>
      </c>
      <c r="O255" s="264">
        <f ca="1">IF(L255&gt;0,N255*100/L255,0)</f>
        <v>0</v>
      </c>
      <c r="P255" s="264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257"/>
      <c r="B256" s="269"/>
      <c r="C256" s="269"/>
      <c r="D256" s="1134" t="s">
        <v>299</v>
      </c>
      <c r="E256" s="258"/>
      <c r="F256" s="258"/>
      <c r="G256" s="261"/>
      <c r="H256" s="273" t="s">
        <v>14</v>
      </c>
      <c r="I256" s="272"/>
      <c r="J256" s="272"/>
      <c r="K256" s="229"/>
      <c r="L256" s="73">
        <f ca="1">IFERROR(__xludf.DUMMYFUNCTION("IMPORTRANGE(""https://docs.google.com/spreadsheets/d/1eHaY18a8A9IcSdp1K8H6x8fbOy06t2VsZHhMHf-1x7Y/edit?usp=sharing"",""แผน!BB61"")"),0)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749" t="s">
        <v>87</v>
      </c>
      <c r="E257" s="258"/>
      <c r="F257" s="258"/>
      <c r="G257" s="261"/>
      <c r="H257" s="273" t="s">
        <v>14</v>
      </c>
      <c r="I257" s="263"/>
      <c r="J257" s="263"/>
      <c r="K257" s="87"/>
      <c r="L257" s="73">
        <f ca="1">IFERROR(__xludf.DUMMYFUNCTION("IMPORTRANGE(""https://docs.google.com/spreadsheets/d/1eHaY18a8A9IcSdp1K8H6x8fbOy06t2VsZHhMHf-1x7Y/edit?usp=sharing"",""แผน!BC61"")"),0)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749" t="s">
        <v>88</v>
      </c>
      <c r="E258" s="258"/>
      <c r="F258" s="258"/>
      <c r="G258" s="261"/>
      <c r="H258" s="273" t="s">
        <v>14</v>
      </c>
      <c r="I258" s="263"/>
      <c r="J258" s="263"/>
      <c r="K258" s="87"/>
      <c r="L258" s="73">
        <f ca="1">IFERROR(__xludf.DUMMYFUNCTION("IMPORTRANGE(""https://docs.google.com/spreadsheets/d/1eHaY18a8A9IcSdp1K8H6x8fbOy06t2VsZHhMHf-1x7Y/edit?usp=sharing"",""แผน!BD61"")"),0)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7" t="s">
        <v>89</v>
      </c>
      <c r="E259" s="258"/>
      <c r="F259" s="258"/>
      <c r="G259" s="261"/>
      <c r="H259" s="273" t="s">
        <v>14</v>
      </c>
      <c r="I259" s="263"/>
      <c r="J259" s="263"/>
      <c r="K259" s="87"/>
      <c r="L259" s="73">
        <f ca="1">IFERROR(__xludf.DUMMYFUNCTION("IMPORTRANGE(""https://docs.google.com/spreadsheets/d/1eHaY18a8A9IcSdp1K8H6x8fbOy06t2VsZHhMHf-1x7Y/edit?usp=sharing"",""แผน!BE61"")"),0)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706" t="s">
        <v>35</v>
      </c>
      <c r="I261" s="592">
        <f ca="1">IFERROR(__xludf.DUMMYFUNCTION("IMPORTRANGE(""https://docs.google.com/spreadsheets/d/1eHaY18a8A9IcSdp1K8H6x8fbOy06t2VsZHhMHf-1x7Y/edit?usp=sharing"",""แผน!BH61"")"),0)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310"/>
      <c r="I262" s="263"/>
      <c r="J262" s="263"/>
      <c r="K262" s="87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706" t="s">
        <v>35</v>
      </c>
      <c r="I263" s="263"/>
      <c r="J263" s="910">
        <v>0</v>
      </c>
      <c r="K263" s="77">
        <f t="shared" ref="K263:K264" si="160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706" t="s">
        <v>61</v>
      </c>
      <c r="I264" s="263"/>
      <c r="J264" s="910">
        <v>0</v>
      </c>
      <c r="K264" s="77">
        <f t="shared" si="160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1138"/>
      <c r="I265" s="364"/>
      <c r="J265" s="364"/>
      <c r="K265" s="365"/>
      <c r="L265" s="1230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1139" t="s">
        <v>35</v>
      </c>
      <c r="I266" s="1140">
        <f t="shared" ref="I266:J266" ca="1" si="161">I277</f>
        <v>22</v>
      </c>
      <c r="J266" s="1140">
        <f t="shared" si="161"/>
        <v>0</v>
      </c>
      <c r="K266" s="373">
        <f ca="1">IF(I266&gt;0,J266*100/I266,0)</f>
        <v>0</v>
      </c>
      <c r="L266" s="1231"/>
      <c r="M266" s="374"/>
      <c r="N266" s="374"/>
      <c r="O266" s="374"/>
      <c r="P266" s="374"/>
      <c r="Q266" s="374"/>
      <c r="R266" s="374"/>
      <c r="S266" s="374"/>
      <c r="T266" s="374"/>
      <c r="U266" s="374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1262">
        <f t="shared" ref="L267:N267" ca="1" si="162">L268+L269</f>
        <v>0</v>
      </c>
      <c r="M267" s="213">
        <f t="shared" ca="1" si="162"/>
        <v>5000</v>
      </c>
      <c r="N267" s="213">
        <f t="shared" ca="1" si="162"/>
        <v>0</v>
      </c>
      <c r="O267" s="213">
        <f t="shared" ref="O267:O275" ca="1" si="163">IF(L267&gt;0,N267*100/L267,0)</f>
        <v>0</v>
      </c>
      <c r="P267" s="213">
        <f t="shared" ref="P267:P275" ca="1" si="164">IF(M267&gt;0,N267*100/M267,0)</f>
        <v>0</v>
      </c>
      <c r="Q267" s="213">
        <f t="shared" ref="Q267:S267" ca="1" si="165">Q268+Q269</f>
        <v>50660</v>
      </c>
      <c r="R267" s="213">
        <f t="shared" ca="1" si="165"/>
        <v>50660</v>
      </c>
      <c r="S267" s="213">
        <f t="shared" ca="1" si="165"/>
        <v>0</v>
      </c>
      <c r="T267" s="213">
        <f t="shared" ref="T267:T275" ca="1" si="166">IF(Q267&gt;0,S267*100/Q267,0)</f>
        <v>0</v>
      </c>
      <c r="U267" s="213">
        <f t="shared" ref="U267:U275" ca="1" si="167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76">
        <f t="shared" ref="L268:N269" si="168">L271+L274</f>
        <v>0</v>
      </c>
      <c r="M268" s="77">
        <f t="shared" si="168"/>
        <v>0</v>
      </c>
      <c r="N268" s="77">
        <f t="shared" si="168"/>
        <v>0</v>
      </c>
      <c r="O268" s="77">
        <f t="shared" si="163"/>
        <v>0</v>
      </c>
      <c r="P268" s="77">
        <f t="shared" si="164"/>
        <v>0</v>
      </c>
      <c r="Q268" s="77">
        <f t="shared" ref="Q268:S269" si="169">Q271+Q274</f>
        <v>0</v>
      </c>
      <c r="R268" s="77">
        <f t="shared" si="169"/>
        <v>0</v>
      </c>
      <c r="S268" s="77">
        <f t="shared" si="169"/>
        <v>0</v>
      </c>
      <c r="T268" s="77">
        <f t="shared" si="166"/>
        <v>0</v>
      </c>
      <c r="U268" s="77">
        <f t="shared" si="167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261">
        <f t="shared" ca="1" si="168"/>
        <v>0</v>
      </c>
      <c r="M269" s="399">
        <f t="shared" ca="1" si="168"/>
        <v>5000</v>
      </c>
      <c r="N269" s="399">
        <f t="shared" ca="1" si="168"/>
        <v>0</v>
      </c>
      <c r="O269" s="399">
        <f t="shared" ca="1" si="163"/>
        <v>0</v>
      </c>
      <c r="P269" s="399">
        <f t="shared" ca="1" si="164"/>
        <v>0</v>
      </c>
      <c r="Q269" s="399">
        <f t="shared" ca="1" si="169"/>
        <v>50660</v>
      </c>
      <c r="R269" s="399">
        <f t="shared" ca="1" si="169"/>
        <v>50660</v>
      </c>
      <c r="S269" s="399">
        <f t="shared" ca="1" si="169"/>
        <v>0</v>
      </c>
      <c r="T269" s="399">
        <f t="shared" ca="1" si="166"/>
        <v>0</v>
      </c>
      <c r="U269" s="399">
        <f t="shared" ca="1" si="167"/>
        <v>0</v>
      </c>
    </row>
    <row r="270" spans="1:21" ht="18.75" x14ac:dyDescent="0.25">
      <c r="A270" s="209"/>
      <c r="B270" s="381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261">
        <f t="shared" ref="L270:N270" ca="1" si="170">L271+L272</f>
        <v>0</v>
      </c>
      <c r="M270" s="399">
        <f t="shared" ca="1" si="170"/>
        <v>5000</v>
      </c>
      <c r="N270" s="399">
        <f t="shared" ca="1" si="170"/>
        <v>0</v>
      </c>
      <c r="O270" s="399">
        <f t="shared" ca="1" si="163"/>
        <v>0</v>
      </c>
      <c r="P270" s="399">
        <f t="shared" ca="1" si="164"/>
        <v>0</v>
      </c>
      <c r="Q270" s="399">
        <f t="shared" ref="Q270:S270" ca="1" si="171">Q271+Q272</f>
        <v>50660</v>
      </c>
      <c r="R270" s="399">
        <f t="shared" ca="1" si="171"/>
        <v>50660</v>
      </c>
      <c r="S270" s="399">
        <f t="shared" ca="1" si="171"/>
        <v>0</v>
      </c>
      <c r="T270" s="399">
        <f t="shared" ca="1" si="166"/>
        <v>0</v>
      </c>
      <c r="U270" s="399">
        <f t="shared" ca="1" si="167"/>
        <v>0</v>
      </c>
    </row>
    <row r="271" spans="1:21" ht="18.75" hidden="1" x14ac:dyDescent="0.25">
      <c r="A271" s="880"/>
      <c r="B271" s="920"/>
      <c r="C271" s="920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77">
        <f t="shared" si="163"/>
        <v>0</v>
      </c>
      <c r="P271" s="77">
        <f t="shared" si="164"/>
        <v>0</v>
      </c>
      <c r="Q271" s="77">
        <v>0</v>
      </c>
      <c r="R271" s="77">
        <v>0</v>
      </c>
      <c r="S271" s="77">
        <v>0</v>
      </c>
      <c r="T271" s="77">
        <f t="shared" si="166"/>
        <v>0</v>
      </c>
      <c r="U271" s="77">
        <f t="shared" si="167"/>
        <v>0</v>
      </c>
    </row>
    <row r="272" spans="1:21" ht="18.75" hidden="1" x14ac:dyDescent="0.25">
      <c r="A272" s="209"/>
      <c r="B272" s="381"/>
      <c r="C272" s="381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261">
        <f ca="1">IFERROR(__xludf.DUMMYFUNCTION("IMPORTRANGE(""https://docs.google.com/spreadsheets/d/1-uDff_7J0KD5mKrp0Vvzr7lt3OU09vwQwhkpOPPYv2Y/edit?usp=sharing"",""งบพรบ!DE61"")"),0)</f>
        <v>0</v>
      </c>
      <c r="M272" s="399">
        <f ca="1">IFERROR(__xludf.DUMMYFUNCTION("IMPORTRANGE(""https://docs.google.com/spreadsheets/d/1-uDff_7J0KD5mKrp0Vvzr7lt3OU09vwQwhkpOPPYv2Y/edit?usp=sharing"",""งบพรบ!DJ61"")"),5000)</f>
        <v>5000</v>
      </c>
      <c r="N272" s="399">
        <f ca="1">IFERROR(__xludf.DUMMYFUNCTION("IMPORTRANGE(""https://docs.google.com/spreadsheets/d/1-uDff_7J0KD5mKrp0Vvzr7lt3OU09vwQwhkpOPPYv2Y/edit?usp=sharing"",""งบพรบ!DL61"")"),0)</f>
        <v>0</v>
      </c>
      <c r="O272" s="399">
        <f t="shared" ca="1" si="163"/>
        <v>0</v>
      </c>
      <c r="P272" s="399">
        <f t="shared" ca="1" si="164"/>
        <v>0</v>
      </c>
      <c r="Q272" s="399">
        <f ca="1">IFERROR(__xludf.DUMMYFUNCTION("IMPORTRANGE(""https://docs.google.com/spreadsheets/d/1ItG2mGa2ceCfYo0BwxsXqNm01IGEUdYcSSLTEv9YCik/edit?usp=sharing"",""เบิกจ่ายกองทุน!AJ61"")"),50660)</f>
        <v>50660</v>
      </c>
      <c r="R272" s="399">
        <f ca="1">IFERROR(__xludf.DUMMYFUNCTION("IMPORTRANGE(""https://docs.google.com/spreadsheets/d/1ItG2mGa2ceCfYo0BwxsXqNm01IGEUdYcSSLTEv9YCik/edit?usp=sharing"",""เบิกจ่ายกองทุน!AK61"")"),50660)</f>
        <v>50660</v>
      </c>
      <c r="S272" s="399">
        <f ca="1">IFERROR(__xludf.DUMMYFUNCTION("IMPORTRANGE(""https://docs.google.com/spreadsheets/d/1ItG2mGa2ceCfYo0BwxsXqNm01IGEUdYcSSLTEv9YCik/edit?usp=sharing"",""เบิกจ่ายกองทุน!AL61"")"),0)</f>
        <v>0</v>
      </c>
      <c r="T272" s="399">
        <f t="shared" ca="1" si="166"/>
        <v>0</v>
      </c>
      <c r="U272" s="399">
        <f t="shared" ca="1" si="167"/>
        <v>0</v>
      </c>
    </row>
    <row r="273" spans="1:21" ht="18.75" x14ac:dyDescent="0.25">
      <c r="A273" s="209"/>
      <c r="B273" s="381"/>
      <c r="C273" s="381"/>
      <c r="D273" s="1141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261">
        <f t="shared" ref="L273:N273" ca="1" si="172">L274+L275</f>
        <v>0</v>
      </c>
      <c r="M273" s="399">
        <f t="shared" ca="1" si="172"/>
        <v>0</v>
      </c>
      <c r="N273" s="399">
        <f t="shared" ca="1" si="172"/>
        <v>0</v>
      </c>
      <c r="O273" s="399">
        <f t="shared" ca="1" si="163"/>
        <v>0</v>
      </c>
      <c r="P273" s="399">
        <f t="shared" ca="1" si="164"/>
        <v>0</v>
      </c>
      <c r="Q273" s="399">
        <f t="shared" ref="Q273:S273" si="173">Q274+Q275</f>
        <v>0</v>
      </c>
      <c r="R273" s="399">
        <f t="shared" si="173"/>
        <v>0</v>
      </c>
      <c r="S273" s="399">
        <f t="shared" si="173"/>
        <v>0</v>
      </c>
      <c r="T273" s="399">
        <f t="shared" si="166"/>
        <v>0</v>
      </c>
      <c r="U273" s="399">
        <f t="shared" si="167"/>
        <v>0</v>
      </c>
    </row>
    <row r="274" spans="1:21" ht="18.75" hidden="1" x14ac:dyDescent="0.25">
      <c r="A274" s="880"/>
      <c r="B274" s="838"/>
      <c r="C274" s="920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77">
        <f t="shared" si="163"/>
        <v>0</v>
      </c>
      <c r="P274" s="77">
        <f t="shared" si="164"/>
        <v>0</v>
      </c>
      <c r="Q274" s="77">
        <v>0</v>
      </c>
      <c r="R274" s="77">
        <v>0</v>
      </c>
      <c r="S274" s="77">
        <v>0</v>
      </c>
      <c r="T274" s="77">
        <f t="shared" si="166"/>
        <v>0</v>
      </c>
      <c r="U274" s="77">
        <f t="shared" si="167"/>
        <v>0</v>
      </c>
    </row>
    <row r="275" spans="1:21" ht="18.75" hidden="1" x14ac:dyDescent="0.25">
      <c r="A275" s="209"/>
      <c r="B275" s="67"/>
      <c r="C275" s="67"/>
      <c r="D275" s="381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261">
        <f ca="1">IFERROR(__xludf.DUMMYFUNCTION("IMPORTRANGE(""https://docs.google.com/spreadsheets/d/1-uDff_7J0KD5mKrp0Vvzr7lt3OU09vwQwhkpOPPYv2Y/edit?usp=sharing"",""งบพรบ!DH61"")"),0)</f>
        <v>0</v>
      </c>
      <c r="M275" s="399">
        <f ca="1">IFERROR(__xludf.DUMMYFUNCTION("IMPORTRANGE(""https://docs.google.com/spreadsheets/d/1-uDff_7J0KD5mKrp0Vvzr7lt3OU09vwQwhkpOPPYv2Y/edit?usp=sharing"",""งบพรบ!DK61"")"),0)</f>
        <v>0</v>
      </c>
      <c r="N275" s="399">
        <f ca="1">IFERROR(__xludf.DUMMYFUNCTION("IMPORTRANGE(""https://docs.google.com/spreadsheets/d/1-uDff_7J0KD5mKrp0Vvzr7lt3OU09vwQwhkpOPPYv2Y/edit?usp=sharing"",""งบพรบ!DM61"")"),0)</f>
        <v>0</v>
      </c>
      <c r="O275" s="399">
        <f t="shared" ca="1" si="163"/>
        <v>0</v>
      </c>
      <c r="P275" s="399">
        <f t="shared" ca="1" si="164"/>
        <v>0</v>
      </c>
      <c r="Q275" s="399">
        <v>0</v>
      </c>
      <c r="R275" s="399">
        <v>0</v>
      </c>
      <c r="S275" s="399">
        <v>0</v>
      </c>
      <c r="T275" s="399">
        <f t="shared" si="166"/>
        <v>0</v>
      </c>
      <c r="U275" s="399">
        <f t="shared" si="167"/>
        <v>0</v>
      </c>
    </row>
    <row r="276" spans="1:21" ht="19.5" x14ac:dyDescent="0.3">
      <c r="A276" s="222"/>
      <c r="B276" s="223"/>
      <c r="C276" s="440" t="s">
        <v>18</v>
      </c>
      <c r="D276" s="1142" t="s">
        <v>38</v>
      </c>
      <c r="E276" s="225"/>
      <c r="F276" s="225"/>
      <c r="G276" s="226"/>
      <c r="H276" s="227"/>
      <c r="I276" s="219"/>
      <c r="J276" s="219"/>
      <c r="K276" s="220"/>
      <c r="L276" s="1235"/>
      <c r="M276" s="220"/>
      <c r="N276" s="220"/>
      <c r="O276" s="220"/>
      <c r="P276" s="220"/>
      <c r="Q276" s="220"/>
      <c r="R276" s="220"/>
      <c r="S276" s="220"/>
      <c r="T276" s="220"/>
      <c r="U276" s="220"/>
    </row>
    <row r="277" spans="1:21" ht="18.75" x14ac:dyDescent="0.25">
      <c r="A277" s="949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IFERROR(__xludf.DUMMYFUNCTION("IMPORTRANGE(""https://docs.google.com/spreadsheets/d/1eHaY18a8A9IcSdp1K8H6x8fbOy06t2VsZHhMHf-1x7Y/edit?usp=sharing"",""แผน!EC61"")"),22)</f>
        <v>22</v>
      </c>
      <c r="J277" s="908">
        <v>0</v>
      </c>
      <c r="K277" s="85">
        <f ca="1">IF(I277&gt;0,J277*100/I277,0)</f>
        <v>0</v>
      </c>
      <c r="L277" s="540"/>
      <c r="M277" s="72"/>
      <c r="N277" s="72"/>
      <c r="O277" s="72"/>
      <c r="P277" s="72"/>
      <c r="Q277" s="72"/>
      <c r="R277" s="72"/>
      <c r="S277" s="72"/>
      <c r="T277" s="72"/>
      <c r="U277" s="72"/>
    </row>
    <row r="278" spans="1:21" ht="18.75" hidden="1" x14ac:dyDescent="0.25">
      <c r="A278" s="1236"/>
      <c r="B278" s="996"/>
      <c r="C278" s="996"/>
      <c r="D278" s="1145" t="s">
        <v>116</v>
      </c>
      <c r="E278" s="1237"/>
      <c r="F278" s="1237"/>
      <c r="G278" s="1238"/>
      <c r="H278" s="1146" t="s">
        <v>35</v>
      </c>
      <c r="I278" s="779">
        <v>0</v>
      </c>
      <c r="J278" s="779">
        <v>0</v>
      </c>
      <c r="K278" s="1147">
        <v>0</v>
      </c>
      <c r="L278" s="1239"/>
      <c r="M278" s="1240"/>
      <c r="N278" s="1240"/>
      <c r="O278" s="1240"/>
      <c r="P278" s="1240"/>
      <c r="Q278" s="1240"/>
      <c r="R278" s="1240"/>
      <c r="S278" s="1240"/>
      <c r="T278" s="1240"/>
      <c r="U278" s="124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49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4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162" t="s">
        <v>35</v>
      </c>
      <c r="I281" s="1163">
        <f t="shared" ref="I281:J281" ca="1" si="174">I294</f>
        <v>0</v>
      </c>
      <c r="J281" s="1163">
        <f t="shared" si="174"/>
        <v>0</v>
      </c>
      <c r="K281" s="1164">
        <f t="shared" ref="K281:K282" ca="1" si="175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162" t="s">
        <v>46</v>
      </c>
      <c r="I282" s="1163">
        <f t="shared" ref="I282:J282" ca="1" si="176">I293</f>
        <v>0</v>
      </c>
      <c r="J282" s="1163">
        <f t="shared" si="176"/>
        <v>0</v>
      </c>
      <c r="K282" s="1164">
        <f t="shared" ca="1" si="175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1257">
        <f t="shared" ref="L283:N283" ca="1" si="177">L284+L285</f>
        <v>0</v>
      </c>
      <c r="M283" s="264">
        <f t="shared" ca="1" si="177"/>
        <v>0</v>
      </c>
      <c r="N283" s="264">
        <f t="shared" ca="1" si="177"/>
        <v>0</v>
      </c>
      <c r="O283" s="264">
        <f t="shared" ref="O283:O291" ca="1" si="178">IF(L283&gt;0,N283*100/L283,0)</f>
        <v>0</v>
      </c>
      <c r="P283" s="264">
        <f t="shared" ref="P283:P291" ca="1" si="179">IF(M283&gt;0,N283*100/M283,0)</f>
        <v>0</v>
      </c>
      <c r="Q283" s="264">
        <f t="shared" ref="Q283:S283" si="180">Q284+Q285</f>
        <v>0</v>
      </c>
      <c r="R283" s="264">
        <f t="shared" si="180"/>
        <v>0</v>
      </c>
      <c r="S283" s="264">
        <f t="shared" si="180"/>
        <v>0</v>
      </c>
      <c r="T283" s="264">
        <f t="shared" ref="T283:T291" si="181">IF(Q283&gt;0,S283*100/Q283,0)</f>
        <v>0</v>
      </c>
      <c r="U283" s="264">
        <f t="shared" ref="U283:U291" si="182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6">
        <f t="shared" ref="L284:N285" si="183">L287+L290</f>
        <v>0</v>
      </c>
      <c r="M284" s="77">
        <f t="shared" si="183"/>
        <v>0</v>
      </c>
      <c r="N284" s="77">
        <f t="shared" si="183"/>
        <v>0</v>
      </c>
      <c r="O284" s="77">
        <f t="shared" si="178"/>
        <v>0</v>
      </c>
      <c r="P284" s="77">
        <f t="shared" si="179"/>
        <v>0</v>
      </c>
      <c r="Q284" s="77">
        <f t="shared" ref="Q284:S285" si="184">Q287+Q290</f>
        <v>0</v>
      </c>
      <c r="R284" s="77">
        <f t="shared" si="184"/>
        <v>0</v>
      </c>
      <c r="S284" s="77">
        <f t="shared" si="184"/>
        <v>0</v>
      </c>
      <c r="T284" s="77">
        <f t="shared" si="181"/>
        <v>0</v>
      </c>
      <c r="U284" s="77">
        <f t="shared" si="182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3">
        <f t="shared" ca="1" si="183"/>
        <v>0</v>
      </c>
      <c r="M285" s="74">
        <f t="shared" ca="1" si="183"/>
        <v>0</v>
      </c>
      <c r="N285" s="74">
        <f t="shared" ca="1" si="183"/>
        <v>0</v>
      </c>
      <c r="O285" s="74">
        <f t="shared" ca="1" si="178"/>
        <v>0</v>
      </c>
      <c r="P285" s="74">
        <f t="shared" ca="1" si="179"/>
        <v>0</v>
      </c>
      <c r="Q285" s="74">
        <f t="shared" si="184"/>
        <v>0</v>
      </c>
      <c r="R285" s="74">
        <f t="shared" si="184"/>
        <v>0</v>
      </c>
      <c r="S285" s="74">
        <f t="shared" si="184"/>
        <v>0</v>
      </c>
      <c r="T285" s="74">
        <f t="shared" si="181"/>
        <v>0</v>
      </c>
      <c r="U285" s="74">
        <f t="shared" si="182"/>
        <v>0</v>
      </c>
    </row>
    <row r="286" spans="1:21" ht="18.75" hidden="1" x14ac:dyDescent="0.25">
      <c r="A286" s="257"/>
      <c r="B286" s="269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3">
        <f t="shared" ref="L286:N286" ca="1" si="185">L287+L288</f>
        <v>0</v>
      </c>
      <c r="M286" s="74">
        <f t="shared" ca="1" si="185"/>
        <v>0</v>
      </c>
      <c r="N286" s="74">
        <f t="shared" ca="1" si="185"/>
        <v>0</v>
      </c>
      <c r="O286" s="74">
        <f t="shared" ca="1" si="178"/>
        <v>0</v>
      </c>
      <c r="P286" s="74">
        <f t="shared" ca="1" si="179"/>
        <v>0</v>
      </c>
      <c r="Q286" s="74">
        <f t="shared" ref="Q286:S286" si="186">Q287+Q288</f>
        <v>0</v>
      </c>
      <c r="R286" s="74">
        <f t="shared" si="186"/>
        <v>0</v>
      </c>
      <c r="S286" s="74">
        <f t="shared" si="186"/>
        <v>0</v>
      </c>
      <c r="T286" s="74">
        <f t="shared" si="181"/>
        <v>0</v>
      </c>
      <c r="U286" s="74">
        <f t="shared" si="182"/>
        <v>0</v>
      </c>
    </row>
    <row r="287" spans="1:21" ht="18.75" hidden="1" x14ac:dyDescent="0.25">
      <c r="A287" s="257"/>
      <c r="B287" s="269"/>
      <c r="C287" s="269"/>
      <c r="D287" s="258"/>
      <c r="E287" s="77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77">
        <f t="shared" si="178"/>
        <v>0</v>
      </c>
      <c r="P287" s="77">
        <f t="shared" si="179"/>
        <v>0</v>
      </c>
      <c r="Q287" s="77">
        <v>0</v>
      </c>
      <c r="R287" s="77">
        <v>0</v>
      </c>
      <c r="S287" s="77">
        <v>0</v>
      </c>
      <c r="T287" s="77">
        <f t="shared" si="181"/>
        <v>0</v>
      </c>
      <c r="U287" s="77">
        <f t="shared" si="182"/>
        <v>0</v>
      </c>
    </row>
    <row r="288" spans="1:21" ht="18.75" hidden="1" x14ac:dyDescent="0.25">
      <c r="A288" s="257"/>
      <c r="B288" s="269"/>
      <c r="C288" s="269"/>
      <c r="D288" s="258"/>
      <c r="E288" s="749" t="s">
        <v>37</v>
      </c>
      <c r="F288" s="258"/>
      <c r="G288" s="261"/>
      <c r="H288" s="271" t="s">
        <v>14</v>
      </c>
      <c r="I288" s="272"/>
      <c r="J288" s="272"/>
      <c r="K288" s="229"/>
      <c r="L288" s="73">
        <f ca="1">IFERROR(__xludf.DUMMYFUNCTION("IMPORTRANGE(""https://docs.google.com/spreadsheets/d/1-uDff_7J0KD5mKrp0Vvzr7lt3OU09vwQwhkpOPPYv2Y/edit?usp=sharing"",""งบพรบ!DO61"")"),0)</f>
        <v>0</v>
      </c>
      <c r="M288" s="74">
        <f ca="1">IFERROR(__xludf.DUMMYFUNCTION("IMPORTRANGE(""https://docs.google.com/spreadsheets/d/1-uDff_7J0KD5mKrp0Vvzr7lt3OU09vwQwhkpOPPYv2Y/edit?usp=sharing"",""งบพรบ!DT61"")"),0)</f>
        <v>0</v>
      </c>
      <c r="N288" s="74">
        <f ca="1">IFERROR(__xludf.DUMMYFUNCTION("IMPORTRANGE(""https://docs.google.com/spreadsheets/d/1-uDff_7J0KD5mKrp0Vvzr7lt3OU09vwQwhkpOPPYv2Y/edit?usp=sharing"",""งบพรบ!DV61"")"),0)</f>
        <v>0</v>
      </c>
      <c r="O288" s="74">
        <f t="shared" ca="1" si="178"/>
        <v>0</v>
      </c>
      <c r="P288" s="74">
        <f t="shared" ca="1" si="179"/>
        <v>0</v>
      </c>
      <c r="Q288" s="74">
        <v>0</v>
      </c>
      <c r="R288" s="74">
        <v>0</v>
      </c>
      <c r="S288" s="74">
        <v>0</v>
      </c>
      <c r="T288" s="77">
        <f t="shared" si="181"/>
        <v>0</v>
      </c>
      <c r="U288" s="77">
        <f t="shared" si="182"/>
        <v>0</v>
      </c>
    </row>
    <row r="289" spans="1:21" ht="18.75" hidden="1" x14ac:dyDescent="0.25">
      <c r="A289" s="257"/>
      <c r="B289" s="269"/>
      <c r="C289" s="269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3">
        <f t="shared" ref="L289:N289" ca="1" si="187">L290+L291</f>
        <v>0</v>
      </c>
      <c r="M289" s="74">
        <f t="shared" ca="1" si="187"/>
        <v>0</v>
      </c>
      <c r="N289" s="74">
        <f t="shared" ca="1" si="187"/>
        <v>0</v>
      </c>
      <c r="O289" s="74">
        <f t="shared" ca="1" si="178"/>
        <v>0</v>
      </c>
      <c r="P289" s="74">
        <f t="shared" ca="1" si="179"/>
        <v>0</v>
      </c>
      <c r="Q289" s="74">
        <f t="shared" ref="Q289:S289" si="188">Q290+Q291</f>
        <v>0</v>
      </c>
      <c r="R289" s="74">
        <f t="shared" si="188"/>
        <v>0</v>
      </c>
      <c r="S289" s="74">
        <f t="shared" si="188"/>
        <v>0</v>
      </c>
      <c r="T289" s="74">
        <f t="shared" si="181"/>
        <v>0</v>
      </c>
      <c r="U289" s="74">
        <f t="shared" si="182"/>
        <v>0</v>
      </c>
    </row>
    <row r="290" spans="1:21" ht="18.75" hidden="1" x14ac:dyDescent="0.25">
      <c r="A290" s="257"/>
      <c r="B290" s="269"/>
      <c r="C290" s="269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77">
        <f t="shared" si="178"/>
        <v>0</v>
      </c>
      <c r="P290" s="77">
        <f t="shared" si="179"/>
        <v>0</v>
      </c>
      <c r="Q290" s="77">
        <v>0</v>
      </c>
      <c r="R290" s="77">
        <v>0</v>
      </c>
      <c r="S290" s="77">
        <v>0</v>
      </c>
      <c r="T290" s="77">
        <f t="shared" si="181"/>
        <v>0</v>
      </c>
      <c r="U290" s="77">
        <f t="shared" si="182"/>
        <v>0</v>
      </c>
    </row>
    <row r="291" spans="1:21" ht="18.75" hidden="1" x14ac:dyDescent="0.25">
      <c r="A291" s="257"/>
      <c r="B291" s="269"/>
      <c r="C291" s="269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3">
        <f ca="1">IFERROR(__xludf.DUMMYFUNCTION("IMPORTRANGE(""https://docs.google.com/spreadsheets/d/1-uDff_7J0KD5mKrp0Vvzr7lt3OU09vwQwhkpOPPYv2Y/edit?usp=sharing"",""งบพรบ!DR61"")"),0)</f>
        <v>0</v>
      </c>
      <c r="M291" s="74">
        <f ca="1">IFERROR(__xludf.DUMMYFUNCTION("IMPORTRANGE(""https://docs.google.com/spreadsheets/d/1-uDff_7J0KD5mKrp0Vvzr7lt3OU09vwQwhkpOPPYv2Y/edit?usp=sharing"",""งบพรบ!DU61"")"),0)</f>
        <v>0</v>
      </c>
      <c r="N291" s="74">
        <f ca="1">IFERROR(__xludf.DUMMYFUNCTION("IMPORTRANGE(""https://docs.google.com/spreadsheets/d/1-uDff_7J0KD5mKrp0Vvzr7lt3OU09vwQwhkpOPPYv2Y/edit?usp=sharing"",""งบพรบ!DW61"")"),0)</f>
        <v>0</v>
      </c>
      <c r="O291" s="74">
        <f t="shared" ca="1" si="178"/>
        <v>0</v>
      </c>
      <c r="P291" s="74">
        <f t="shared" ca="1" si="179"/>
        <v>0</v>
      </c>
      <c r="Q291" s="74">
        <v>0</v>
      </c>
      <c r="R291" s="74">
        <v>0</v>
      </c>
      <c r="S291" s="74">
        <v>0</v>
      </c>
      <c r="T291" s="74">
        <f t="shared" si="181"/>
        <v>0</v>
      </c>
      <c r="U291" s="74">
        <f t="shared" si="182"/>
        <v>0</v>
      </c>
    </row>
    <row r="292" spans="1:21" ht="19.5" hidden="1" x14ac:dyDescent="0.3">
      <c r="A292" s="276"/>
      <c r="B292" s="277"/>
      <c r="C292" s="621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IFERROR(__xludf.DUMMYFUNCTION("IMPORTRANGE(""https://docs.google.com/spreadsheets/d/1eHaY18a8A9IcSdp1K8H6x8fbOy06t2VsZHhMHf-1x7Y/edit?usp=sharing"",""แผน!EE61"")"),0)</f>
        <v>0</v>
      </c>
      <c r="J293" s="294">
        <v>0</v>
      </c>
      <c r="K293" s="768">
        <f t="shared" ref="K293:K294" ca="1" si="189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IFERROR(__xludf.DUMMYFUNCTION("IMPORTRANGE(""https://docs.google.com/spreadsheets/d/1eHaY18a8A9IcSdp1K8H6x8fbOy06t2VsZHhMHf-1x7Y/edit?usp=sharing"",""แผน!ED61"")"),0)</f>
        <v>0</v>
      </c>
      <c r="J294" s="622">
        <f>J297</f>
        <v>0</v>
      </c>
      <c r="K294" s="1105">
        <f t="shared" ca="1" si="189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77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IFERROR(__xludf.DUMMYFUNCTION("IMPORTRANGE(""https://docs.google.com/spreadsheets/d/1eHaY18a8A9IcSdp1K8H6x8fbOy06t2VsZHhMHf-1x7Y/edit?usp=sharing"",""แผน!ED61"")"),0)</f>
        <v>0</v>
      </c>
      <c r="J296" s="294">
        <v>0</v>
      </c>
      <c r="K296" s="768">
        <f t="shared" ref="K296:K297" ca="1" si="190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IFERROR(__xludf.DUMMYFUNCTION("IMPORTRANGE(""https://docs.google.com/spreadsheets/d/1eHaY18a8A9IcSdp1K8H6x8fbOy06t2VsZHhMHf-1x7Y/edit?usp=sharing"",""แผน!ED61"")"),0)</f>
        <v>0</v>
      </c>
      <c r="J297" s="294">
        <v>0</v>
      </c>
      <c r="K297" s="768">
        <f t="shared" ca="1" si="190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313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313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168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0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7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x14ac:dyDescent="0.3">
      <c r="A303" s="1179"/>
      <c r="B303" s="1180" t="s">
        <v>127</v>
      </c>
      <c r="C303" s="607"/>
      <c r="D303" s="607"/>
      <c r="E303" s="607"/>
      <c r="F303" s="607"/>
      <c r="G303" s="608"/>
      <c r="H303" s="609" t="s">
        <v>35</v>
      </c>
      <c r="I303" s="617">
        <f t="shared" ref="I303:J303" ca="1" si="191">I315</f>
        <v>30</v>
      </c>
      <c r="J303" s="617">
        <f t="shared" si="191"/>
        <v>0</v>
      </c>
      <c r="K303" s="611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1257">
        <f t="shared" ref="L304:N304" ca="1" si="192">L305+L306</f>
        <v>0</v>
      </c>
      <c r="M304" s="264">
        <f t="shared" ca="1" si="192"/>
        <v>0</v>
      </c>
      <c r="N304" s="264">
        <f t="shared" ca="1" si="192"/>
        <v>0</v>
      </c>
      <c r="O304" s="264">
        <f t="shared" ref="O304:O312" ca="1" si="193">IF(L304&gt;0,N304*100/L304,0)</f>
        <v>0</v>
      </c>
      <c r="P304" s="264">
        <f t="shared" ref="P304:P312" ca="1" si="194">IF(M304&gt;0,N304*100/M304,0)</f>
        <v>0</v>
      </c>
      <c r="Q304" s="264">
        <f t="shared" ref="Q304:S304" ca="1" si="195">Q305+Q306</f>
        <v>260958.39</v>
      </c>
      <c r="R304" s="264">
        <f t="shared" ca="1" si="195"/>
        <v>260958</v>
      </c>
      <c r="S304" s="264">
        <f t="shared" ca="1" si="195"/>
        <v>0</v>
      </c>
      <c r="T304" s="264">
        <f t="shared" ref="T304:T312" ca="1" si="196">IF(Q304&gt;0,S304*100/Q304,0)</f>
        <v>0</v>
      </c>
      <c r="U304" s="264">
        <f t="shared" ref="U304:U312" ca="1" si="197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6">
        <f t="shared" ref="L305:N306" si="198">L308+L311</f>
        <v>0</v>
      </c>
      <c r="M305" s="77">
        <f t="shared" si="198"/>
        <v>0</v>
      </c>
      <c r="N305" s="77">
        <f t="shared" si="198"/>
        <v>0</v>
      </c>
      <c r="O305" s="77">
        <f t="shared" si="193"/>
        <v>0</v>
      </c>
      <c r="P305" s="77">
        <f t="shared" si="194"/>
        <v>0</v>
      </c>
      <c r="Q305" s="77">
        <f t="shared" ref="Q305:S306" si="199">Q308+Q311</f>
        <v>0</v>
      </c>
      <c r="R305" s="77">
        <f t="shared" si="199"/>
        <v>0</v>
      </c>
      <c r="S305" s="77">
        <f t="shared" si="199"/>
        <v>0</v>
      </c>
      <c r="T305" s="77">
        <f t="shared" si="196"/>
        <v>0</v>
      </c>
      <c r="U305" s="77">
        <f t="shared" si="197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3">
        <f t="shared" ca="1" si="198"/>
        <v>0</v>
      </c>
      <c r="M306" s="74">
        <f t="shared" ca="1" si="198"/>
        <v>0</v>
      </c>
      <c r="N306" s="74">
        <f t="shared" ca="1" si="198"/>
        <v>0</v>
      </c>
      <c r="O306" s="74">
        <f t="shared" ca="1" si="193"/>
        <v>0</v>
      </c>
      <c r="P306" s="74">
        <f t="shared" ca="1" si="194"/>
        <v>0</v>
      </c>
      <c r="Q306" s="74">
        <f t="shared" ca="1" si="199"/>
        <v>260958.39</v>
      </c>
      <c r="R306" s="74">
        <f t="shared" ca="1" si="199"/>
        <v>260958</v>
      </c>
      <c r="S306" s="74">
        <f t="shared" ca="1" si="199"/>
        <v>0</v>
      </c>
      <c r="T306" s="74">
        <f t="shared" ca="1" si="196"/>
        <v>0</v>
      </c>
      <c r="U306" s="74">
        <f t="shared" ca="1" si="197"/>
        <v>0</v>
      </c>
    </row>
    <row r="307" spans="1:21" ht="18.75" x14ac:dyDescent="0.25">
      <c r="A307" s="257"/>
      <c r="B307" s="269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3">
        <f t="shared" ref="L307:N307" ca="1" si="200">L308+L309</f>
        <v>0</v>
      </c>
      <c r="M307" s="74">
        <f t="shared" ca="1" si="200"/>
        <v>0</v>
      </c>
      <c r="N307" s="74">
        <f t="shared" ca="1" si="200"/>
        <v>0</v>
      </c>
      <c r="O307" s="74">
        <f t="shared" ca="1" si="193"/>
        <v>0</v>
      </c>
      <c r="P307" s="74">
        <f t="shared" ca="1" si="194"/>
        <v>0</v>
      </c>
      <c r="Q307" s="74">
        <f t="shared" ref="Q307:S307" ca="1" si="201">Q308+Q309</f>
        <v>260958.39</v>
      </c>
      <c r="R307" s="74">
        <f t="shared" ca="1" si="201"/>
        <v>260958</v>
      </c>
      <c r="S307" s="74">
        <f t="shared" ca="1" si="201"/>
        <v>0</v>
      </c>
      <c r="T307" s="74">
        <f t="shared" ca="1" si="196"/>
        <v>0</v>
      </c>
      <c r="U307" s="74">
        <f t="shared" ca="1" si="197"/>
        <v>0</v>
      </c>
    </row>
    <row r="308" spans="1:21" ht="18.75" hidden="1" x14ac:dyDescent="0.25">
      <c r="A308" s="257"/>
      <c r="B308" s="269"/>
      <c r="C308" s="269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77">
        <f t="shared" si="193"/>
        <v>0</v>
      </c>
      <c r="P308" s="77">
        <f t="shared" si="194"/>
        <v>0</v>
      </c>
      <c r="Q308" s="77">
        <v>0</v>
      </c>
      <c r="R308" s="77">
        <v>0</v>
      </c>
      <c r="S308" s="77">
        <v>0</v>
      </c>
      <c r="T308" s="77">
        <f t="shared" si="196"/>
        <v>0</v>
      </c>
      <c r="U308" s="77">
        <f t="shared" si="197"/>
        <v>0</v>
      </c>
    </row>
    <row r="309" spans="1:21" ht="18.75" hidden="1" x14ac:dyDescent="0.25">
      <c r="A309" s="257"/>
      <c r="B309" s="269"/>
      <c r="C309" s="269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3">
        <f ca="1">IFERROR(__xludf.DUMMYFUNCTION("IMPORTRANGE(""https://docs.google.com/spreadsheets/d/1-uDff_7J0KD5mKrp0Vvzr7lt3OU09vwQwhkpOPPYv2Y/edit?usp=sharing"",""งบพรบ!DY61"")"),0)</f>
        <v>0</v>
      </c>
      <c r="M309" s="74">
        <f ca="1">IFERROR(__xludf.DUMMYFUNCTION("IMPORTRANGE(""https://docs.google.com/spreadsheets/d/1-uDff_7J0KD5mKrp0Vvzr7lt3OU09vwQwhkpOPPYv2Y/edit?usp=sharing"",""งบพรบ!ED61"")"),0)</f>
        <v>0</v>
      </c>
      <c r="N309" s="74">
        <f ca="1">IFERROR(__xludf.DUMMYFUNCTION("IMPORTRANGE(""https://docs.google.com/spreadsheets/d/1-uDff_7J0KD5mKrp0Vvzr7lt3OU09vwQwhkpOPPYv2Y/edit?usp=sharing"",""งบพรบ!EF61"")"),0)</f>
        <v>0</v>
      </c>
      <c r="O309" s="74">
        <f t="shared" ca="1" si="193"/>
        <v>0</v>
      </c>
      <c r="P309" s="74">
        <f t="shared" ca="1" si="194"/>
        <v>0</v>
      </c>
      <c r="Q309" s="74">
        <f ca="1">IFERROR(__xludf.DUMMYFUNCTION("IMPORTRANGE(""https://docs.google.com/spreadsheets/d/1ItG2mGa2ceCfYo0BwxsXqNm01IGEUdYcSSLTEv9YCik/edit?usp=sharing"",""เบิกจ่ายกองทุน!AP61"")"),260958.39)</f>
        <v>260958.39</v>
      </c>
      <c r="R309" s="74">
        <f ca="1">IFERROR(__xludf.DUMMYFUNCTION("IMPORTRANGE(""https://docs.google.com/spreadsheets/d/1ItG2mGa2ceCfYo0BwxsXqNm01IGEUdYcSSLTEv9YCik/edit?usp=sharing"",""เบิกจ่ายกองทุน!AQ61"")"),260958)</f>
        <v>260958</v>
      </c>
      <c r="S309" s="74">
        <f ca="1">IFERROR(__xludf.DUMMYFUNCTION("IMPORTRANGE(""https://docs.google.com/spreadsheets/d/1ItG2mGa2ceCfYo0BwxsXqNm01IGEUdYcSSLTEv9YCik/edit?usp=sharing"",""เบิกจ่ายกองทุน!AR61"")"),0)</f>
        <v>0</v>
      </c>
      <c r="T309" s="74">
        <f t="shared" ca="1" si="196"/>
        <v>0</v>
      </c>
      <c r="U309" s="74">
        <f t="shared" ca="1" si="197"/>
        <v>0</v>
      </c>
    </row>
    <row r="310" spans="1:21" ht="18.75" x14ac:dyDescent="0.25">
      <c r="A310" s="257"/>
      <c r="B310" s="269"/>
      <c r="C310" s="269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3">
        <f t="shared" ref="L310:N310" ca="1" si="202">L311+L312</f>
        <v>0</v>
      </c>
      <c r="M310" s="74">
        <f t="shared" ca="1" si="202"/>
        <v>0</v>
      </c>
      <c r="N310" s="74">
        <f t="shared" ca="1" si="202"/>
        <v>0</v>
      </c>
      <c r="O310" s="74">
        <f t="shared" ca="1" si="193"/>
        <v>0</v>
      </c>
      <c r="P310" s="74">
        <f t="shared" ca="1" si="194"/>
        <v>0</v>
      </c>
      <c r="Q310" s="74">
        <f t="shared" ref="Q310:S310" si="203">Q311+Q312</f>
        <v>0</v>
      </c>
      <c r="R310" s="74">
        <f t="shared" si="203"/>
        <v>0</v>
      </c>
      <c r="S310" s="74">
        <f t="shared" si="203"/>
        <v>0</v>
      </c>
      <c r="T310" s="74">
        <f t="shared" si="196"/>
        <v>0</v>
      </c>
      <c r="U310" s="74">
        <f t="shared" si="197"/>
        <v>0</v>
      </c>
    </row>
    <row r="311" spans="1:21" ht="18.75" hidden="1" x14ac:dyDescent="0.25">
      <c r="A311" s="257"/>
      <c r="B311" s="269"/>
      <c r="C311" s="269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77">
        <f t="shared" si="193"/>
        <v>0</v>
      </c>
      <c r="P311" s="77">
        <f t="shared" si="194"/>
        <v>0</v>
      </c>
      <c r="Q311" s="77">
        <v>0</v>
      </c>
      <c r="R311" s="77">
        <v>0</v>
      </c>
      <c r="S311" s="77">
        <v>0</v>
      </c>
      <c r="T311" s="77">
        <f t="shared" si="196"/>
        <v>0</v>
      </c>
      <c r="U311" s="77">
        <f t="shared" si="197"/>
        <v>0</v>
      </c>
    </row>
    <row r="312" spans="1:21" ht="18.75" hidden="1" x14ac:dyDescent="0.25">
      <c r="A312" s="257"/>
      <c r="B312" s="269"/>
      <c r="C312" s="269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3">
        <f ca="1">IFERROR(__xludf.DUMMYFUNCTION("IMPORTRANGE(""https://docs.google.com/spreadsheets/d/1-uDff_7J0KD5mKrp0Vvzr7lt3OU09vwQwhkpOPPYv2Y/edit?usp=sharing"",""งบพรบ!EB61"")"),0)</f>
        <v>0</v>
      </c>
      <c r="M312" s="74">
        <f ca="1">IFERROR(__xludf.DUMMYFUNCTION("IMPORTRANGE(""https://docs.google.com/spreadsheets/d/1-uDff_7J0KD5mKrp0Vvzr7lt3OU09vwQwhkpOPPYv2Y/edit?usp=sharing"",""งบพรบ!EE61"")"),0)</f>
        <v>0</v>
      </c>
      <c r="N312" s="74">
        <f ca="1">IFERROR(__xludf.DUMMYFUNCTION("IMPORTRANGE(""https://docs.google.com/spreadsheets/d/1-uDff_7J0KD5mKrp0Vvzr7lt3OU09vwQwhkpOPPYv2Y/edit?usp=sharing"",""งบพรบ!EG61"")"),0)</f>
        <v>0</v>
      </c>
      <c r="O312" s="74">
        <f t="shared" ca="1" si="193"/>
        <v>0</v>
      </c>
      <c r="P312" s="74">
        <f t="shared" ca="1" si="194"/>
        <v>0</v>
      </c>
      <c r="Q312" s="74">
        <v>0</v>
      </c>
      <c r="R312" s="74">
        <v>0</v>
      </c>
      <c r="S312" s="74">
        <v>0</v>
      </c>
      <c r="T312" s="74">
        <f t="shared" si="196"/>
        <v>0</v>
      </c>
      <c r="U312" s="74">
        <f t="shared" si="197"/>
        <v>0</v>
      </c>
    </row>
    <row r="313" spans="1:21" ht="19.5" x14ac:dyDescent="0.3">
      <c r="A313" s="276"/>
      <c r="B313" s="277"/>
      <c r="C313" s="621" t="s">
        <v>18</v>
      </c>
      <c r="D313" s="1019" t="s">
        <v>38</v>
      </c>
      <c r="E313" s="783"/>
      <c r="F313" s="783"/>
      <c r="G313" s="11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1"/>
      <c r="E314" s="285"/>
      <c r="F314" s="285"/>
      <c r="G314" s="286"/>
      <c r="H314" s="286"/>
      <c r="I314" s="287"/>
      <c r="J314" s="1252"/>
      <c r="K314" s="30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x14ac:dyDescent="0.25">
      <c r="A315" s="276"/>
      <c r="B315" s="277"/>
      <c r="C315" s="277"/>
      <c r="D315" s="295" t="s">
        <v>121</v>
      </c>
      <c r="E315" s="296"/>
      <c r="F315" s="296"/>
      <c r="G315" s="282"/>
      <c r="H315" s="275" t="s">
        <v>35</v>
      </c>
      <c r="I315" s="293">
        <f ca="1">IFERROR(__xludf.DUMMYFUNCTION("IMPORTRANGE(""https://docs.google.com/spreadsheets/d/1eHaY18a8A9IcSdp1K8H6x8fbOy06t2VsZHhMHf-1x7Y/edit?usp=sharing"",""แผน!EF61"")"),30)</f>
        <v>30</v>
      </c>
      <c r="J315" s="294">
        <v>0</v>
      </c>
      <c r="K315" s="74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254"/>
      <c r="I316" s="1252"/>
      <c r="J316" s="1252"/>
      <c r="K316" s="1255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254"/>
      <c r="I317" s="1252"/>
      <c r="J317" s="1252"/>
      <c r="K317" s="1255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283"/>
      <c r="B318" s="284"/>
      <c r="C318" s="284"/>
      <c r="D318" s="812"/>
      <c r="E318" s="285"/>
      <c r="F318" s="285"/>
      <c r="G318" s="286"/>
      <c r="H318" s="1256"/>
      <c r="I318" s="887"/>
      <c r="J318" s="887"/>
      <c r="K318" s="888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4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609" t="s">
        <v>133</v>
      </c>
      <c r="I320" s="617">
        <f t="shared" ref="I320:J320" ca="1" si="204">I331</f>
        <v>0</v>
      </c>
      <c r="J320" s="617">
        <f t="shared" si="204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1257">
        <f t="shared" ref="L321:N321" ca="1" si="205">L322+L323</f>
        <v>0</v>
      </c>
      <c r="M321" s="264">
        <f t="shared" ca="1" si="205"/>
        <v>0</v>
      </c>
      <c r="N321" s="264">
        <f t="shared" ca="1" si="205"/>
        <v>0</v>
      </c>
      <c r="O321" s="264">
        <f t="shared" ref="O321:O329" ca="1" si="206">IF(L321&gt;0,N321*100/L321,0)</f>
        <v>0</v>
      </c>
      <c r="P321" s="264">
        <f t="shared" ref="P321:P329" ca="1" si="207">IF(M321&gt;0,N321*100/M321,0)</f>
        <v>0</v>
      </c>
      <c r="Q321" s="264">
        <f t="shared" ref="Q321:S321" si="208">Q322+Q323</f>
        <v>0</v>
      </c>
      <c r="R321" s="264">
        <f t="shared" si="208"/>
        <v>0</v>
      </c>
      <c r="S321" s="264">
        <f t="shared" si="208"/>
        <v>0</v>
      </c>
      <c r="T321" s="264">
        <f t="shared" ref="T321:T329" si="209">IF(Q321&gt;0,S321*100/Q321,0)</f>
        <v>0</v>
      </c>
      <c r="U321" s="264">
        <f t="shared" ref="U321:U329" si="210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6">
        <f t="shared" ref="L322:N323" si="211">L325+L328</f>
        <v>0</v>
      </c>
      <c r="M322" s="77">
        <f t="shared" si="211"/>
        <v>0</v>
      </c>
      <c r="N322" s="77">
        <f t="shared" si="211"/>
        <v>0</v>
      </c>
      <c r="O322" s="77">
        <f t="shared" si="206"/>
        <v>0</v>
      </c>
      <c r="P322" s="77">
        <f t="shared" si="207"/>
        <v>0</v>
      </c>
      <c r="Q322" s="77">
        <f t="shared" ref="Q322:S323" si="212">Q325+Q328</f>
        <v>0</v>
      </c>
      <c r="R322" s="77">
        <f t="shared" si="212"/>
        <v>0</v>
      </c>
      <c r="S322" s="77">
        <f t="shared" si="212"/>
        <v>0</v>
      </c>
      <c r="T322" s="77">
        <f t="shared" si="209"/>
        <v>0</v>
      </c>
      <c r="U322" s="77">
        <f t="shared" si="210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3">
        <f t="shared" ca="1" si="211"/>
        <v>0</v>
      </c>
      <c r="M323" s="74">
        <f t="shared" ca="1" si="211"/>
        <v>0</v>
      </c>
      <c r="N323" s="74">
        <f t="shared" ca="1" si="211"/>
        <v>0</v>
      </c>
      <c r="O323" s="74">
        <f t="shared" ca="1" si="206"/>
        <v>0</v>
      </c>
      <c r="P323" s="74">
        <f t="shared" ca="1" si="207"/>
        <v>0</v>
      </c>
      <c r="Q323" s="74">
        <f t="shared" si="212"/>
        <v>0</v>
      </c>
      <c r="R323" s="74">
        <f t="shared" si="212"/>
        <v>0</v>
      </c>
      <c r="S323" s="74">
        <f t="shared" si="212"/>
        <v>0</v>
      </c>
      <c r="T323" s="74">
        <f t="shared" si="209"/>
        <v>0</v>
      </c>
      <c r="U323" s="74">
        <f t="shared" si="210"/>
        <v>0</v>
      </c>
    </row>
    <row r="324" spans="1:21" ht="18.75" hidden="1" x14ac:dyDescent="0.25">
      <c r="A324" s="257"/>
      <c r="B324" s="269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3">
        <f t="shared" ref="L324:N324" ca="1" si="213">L325+L326</f>
        <v>0</v>
      </c>
      <c r="M324" s="74">
        <f t="shared" ca="1" si="213"/>
        <v>0</v>
      </c>
      <c r="N324" s="74">
        <f t="shared" ca="1" si="213"/>
        <v>0</v>
      </c>
      <c r="O324" s="74">
        <f t="shared" ca="1" si="206"/>
        <v>0</v>
      </c>
      <c r="P324" s="74">
        <f t="shared" ca="1" si="207"/>
        <v>0</v>
      </c>
      <c r="Q324" s="74">
        <f t="shared" ref="Q324:S324" si="214">Q325+Q326</f>
        <v>0</v>
      </c>
      <c r="R324" s="74">
        <f t="shared" si="214"/>
        <v>0</v>
      </c>
      <c r="S324" s="74">
        <f t="shared" si="214"/>
        <v>0</v>
      </c>
      <c r="T324" s="74">
        <f t="shared" si="209"/>
        <v>0</v>
      </c>
      <c r="U324" s="74">
        <f t="shared" si="210"/>
        <v>0</v>
      </c>
    </row>
    <row r="325" spans="1:21" ht="18.75" hidden="1" x14ac:dyDescent="0.25">
      <c r="A325" s="257"/>
      <c r="B325" s="269"/>
      <c r="C325" s="269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77">
        <f t="shared" si="206"/>
        <v>0</v>
      </c>
      <c r="P325" s="77">
        <f t="shared" si="207"/>
        <v>0</v>
      </c>
      <c r="Q325" s="77">
        <v>0</v>
      </c>
      <c r="R325" s="77">
        <v>0</v>
      </c>
      <c r="S325" s="77">
        <v>0</v>
      </c>
      <c r="T325" s="77">
        <f t="shared" si="209"/>
        <v>0</v>
      </c>
      <c r="U325" s="77">
        <f t="shared" si="210"/>
        <v>0</v>
      </c>
    </row>
    <row r="326" spans="1:21" ht="18.75" hidden="1" x14ac:dyDescent="0.25">
      <c r="A326" s="257"/>
      <c r="B326" s="269"/>
      <c r="C326" s="269"/>
      <c r="D326" s="258"/>
      <c r="E326" s="749" t="s">
        <v>37</v>
      </c>
      <c r="F326" s="269"/>
      <c r="G326" s="312"/>
      <c r="H326" s="271" t="s">
        <v>14</v>
      </c>
      <c r="I326" s="272"/>
      <c r="J326" s="272"/>
      <c r="K326" s="229"/>
      <c r="L326" s="73">
        <f ca="1">IFERROR(__xludf.DUMMYFUNCTION("IMPORTRANGE(""https://docs.google.com/spreadsheets/d/1-uDff_7J0KD5mKrp0Vvzr7lt3OU09vwQwhkpOPPYv2Y/edit?usp=sharing"",""งบพรบ!EI61"")"),0)</f>
        <v>0</v>
      </c>
      <c r="M326" s="74">
        <f ca="1">IFERROR(__xludf.DUMMYFUNCTION("IMPORTRANGE(""https://docs.google.com/spreadsheets/d/1-uDff_7J0KD5mKrp0Vvzr7lt3OU09vwQwhkpOPPYv2Y/edit?usp=sharing"",""งบพรบ!EN61"")"),0)</f>
        <v>0</v>
      </c>
      <c r="N326" s="74">
        <f ca="1">IFERROR(__xludf.DUMMYFUNCTION("IMPORTRANGE(""https://docs.google.com/spreadsheets/d/1-uDff_7J0KD5mKrp0Vvzr7lt3OU09vwQwhkpOPPYv2Y/edit?usp=sharing"",""งบพรบ!EP61"")"),0)</f>
        <v>0</v>
      </c>
      <c r="O326" s="74">
        <f t="shared" ca="1" si="206"/>
        <v>0</v>
      </c>
      <c r="P326" s="74">
        <f t="shared" ca="1" si="207"/>
        <v>0</v>
      </c>
      <c r="Q326" s="74">
        <v>0</v>
      </c>
      <c r="R326" s="74">
        <v>0</v>
      </c>
      <c r="S326" s="74">
        <v>0</v>
      </c>
      <c r="T326" s="74">
        <f t="shared" si="209"/>
        <v>0</v>
      </c>
      <c r="U326" s="74">
        <f t="shared" si="210"/>
        <v>0</v>
      </c>
    </row>
    <row r="327" spans="1:21" ht="18.75" hidden="1" x14ac:dyDescent="0.25">
      <c r="A327" s="257"/>
      <c r="B327" s="258"/>
      <c r="C327" s="269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3">
        <f t="shared" ref="L327:N327" ca="1" si="215">L328+L329</f>
        <v>0</v>
      </c>
      <c r="M327" s="74">
        <f t="shared" ca="1" si="215"/>
        <v>0</v>
      </c>
      <c r="N327" s="74">
        <f t="shared" ca="1" si="215"/>
        <v>0</v>
      </c>
      <c r="O327" s="74">
        <f t="shared" ca="1" si="206"/>
        <v>0</v>
      </c>
      <c r="P327" s="74">
        <f t="shared" ca="1" si="207"/>
        <v>0</v>
      </c>
      <c r="Q327" s="74">
        <f t="shared" ref="Q327:S327" si="216">Q328+Q329</f>
        <v>0</v>
      </c>
      <c r="R327" s="74">
        <f t="shared" si="216"/>
        <v>0</v>
      </c>
      <c r="S327" s="74">
        <f t="shared" si="216"/>
        <v>0</v>
      </c>
      <c r="T327" s="74">
        <f t="shared" si="209"/>
        <v>0</v>
      </c>
      <c r="U327" s="74">
        <f t="shared" si="210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77">
        <f t="shared" si="206"/>
        <v>0</v>
      </c>
      <c r="P328" s="77">
        <f t="shared" si="207"/>
        <v>0</v>
      </c>
      <c r="Q328" s="77">
        <v>0</v>
      </c>
      <c r="R328" s="77">
        <v>0</v>
      </c>
      <c r="S328" s="77">
        <v>0</v>
      </c>
      <c r="T328" s="77">
        <f t="shared" si="209"/>
        <v>0</v>
      </c>
      <c r="U328" s="77">
        <f t="shared" si="210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3">
        <f ca="1">IFERROR(__xludf.DUMMYFUNCTION("IMPORTRANGE(""https://docs.google.com/spreadsheets/d/1-uDff_7J0KD5mKrp0Vvzr7lt3OU09vwQwhkpOPPYv2Y/edit?usp=sharing"",""งบพรบ!EL61"")"),0)</f>
        <v>0</v>
      </c>
      <c r="M329" s="74">
        <f ca="1">IFERROR(__xludf.DUMMYFUNCTION("IMPORTRANGE(""https://docs.google.com/spreadsheets/d/1-uDff_7J0KD5mKrp0Vvzr7lt3OU09vwQwhkpOPPYv2Y/edit?usp=sharing"",""งบพรบ!EO61"")"),0)</f>
        <v>0</v>
      </c>
      <c r="N329" s="74">
        <f ca="1">IFERROR(__xludf.DUMMYFUNCTION("IMPORTRANGE(""https://docs.google.com/spreadsheets/d/1-uDff_7J0KD5mKrp0Vvzr7lt3OU09vwQwhkpOPPYv2Y/edit?usp=sharing"",""งบพรบ!EQ61"")"),0)</f>
        <v>0</v>
      </c>
      <c r="O329" s="74">
        <f t="shared" ca="1" si="206"/>
        <v>0</v>
      </c>
      <c r="P329" s="74">
        <f t="shared" ca="1" si="207"/>
        <v>0</v>
      </c>
      <c r="Q329" s="74">
        <v>0</v>
      </c>
      <c r="R329" s="74">
        <v>0</v>
      </c>
      <c r="S329" s="74">
        <v>0</v>
      </c>
      <c r="T329" s="74">
        <f t="shared" si="209"/>
        <v>0</v>
      </c>
      <c r="U329" s="74">
        <f t="shared" si="210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310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68" t="s">
        <v>133</v>
      </c>
      <c r="I331" s="293">
        <f ca="1">IFERROR(__xludf.DUMMYFUNCTION("IMPORTRANGE(""https://docs.google.com/spreadsheets/d/1eHaY18a8A9IcSdp1K8H6x8fbOy06t2VsZHhMHf-1x7Y/edit?usp=sharing"",""แผน!EJ61"")"),0)</f>
        <v>0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4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609" t="s">
        <v>35</v>
      </c>
      <c r="I333" s="534">
        <f ca="1">I345</f>
        <v>940</v>
      </c>
      <c r="J333" s="535">
        <f ca="1">J345+J348+J349+J350+J354</f>
        <v>814</v>
      </c>
      <c r="K333" s="536">
        <f ca="1">IF(I333&gt;0,J333*100/I333,0)</f>
        <v>86.59574468085107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1257">
        <f t="shared" ref="L334:N334" ca="1" si="217">L335+L336</f>
        <v>337200</v>
      </c>
      <c r="M334" s="264">
        <f t="shared" ca="1" si="217"/>
        <v>337200</v>
      </c>
      <c r="N334" s="264">
        <f t="shared" ca="1" si="217"/>
        <v>196613.29</v>
      </c>
      <c r="O334" s="264">
        <f t="shared" ref="O334:O342" ca="1" si="218">IF(L334&gt;0,N334*100/L334,0)</f>
        <v>58.307618623962043</v>
      </c>
      <c r="P334" s="264">
        <f t="shared" ref="P334:P342" ca="1" si="219">IF(M334&gt;0,N334*100/M334,0)</f>
        <v>58.307618623962043</v>
      </c>
      <c r="Q334" s="264">
        <f t="shared" ref="Q334:S334" si="220">Q335+Q336</f>
        <v>0</v>
      </c>
      <c r="R334" s="264">
        <f t="shared" si="220"/>
        <v>0</v>
      </c>
      <c r="S334" s="264">
        <f t="shared" si="220"/>
        <v>0</v>
      </c>
      <c r="T334" s="264">
        <f t="shared" ref="T334:T342" si="221">IF(Q334&gt;0,S334*100/Q334,0)</f>
        <v>0</v>
      </c>
      <c r="U334" s="264">
        <f t="shared" ref="U334:U342" si="222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6">
        <f t="shared" ref="L335:N336" si="223">L338+L341</f>
        <v>0</v>
      </c>
      <c r="M335" s="77">
        <f t="shared" si="223"/>
        <v>0</v>
      </c>
      <c r="N335" s="77">
        <f t="shared" si="223"/>
        <v>0</v>
      </c>
      <c r="O335" s="77">
        <f t="shared" si="218"/>
        <v>0</v>
      </c>
      <c r="P335" s="77">
        <f t="shared" si="219"/>
        <v>0</v>
      </c>
      <c r="Q335" s="77">
        <f t="shared" ref="Q335:S336" si="224">Q338+Q341</f>
        <v>0</v>
      </c>
      <c r="R335" s="77">
        <f t="shared" si="224"/>
        <v>0</v>
      </c>
      <c r="S335" s="77">
        <f t="shared" si="224"/>
        <v>0</v>
      </c>
      <c r="T335" s="77">
        <f t="shared" si="221"/>
        <v>0</v>
      </c>
      <c r="U335" s="77">
        <f t="shared" si="222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3">
        <f t="shared" ca="1" si="223"/>
        <v>337200</v>
      </c>
      <c r="M336" s="74">
        <f t="shared" ca="1" si="223"/>
        <v>337200</v>
      </c>
      <c r="N336" s="74">
        <f t="shared" ca="1" si="223"/>
        <v>196613.29</v>
      </c>
      <c r="O336" s="74">
        <f t="shared" ca="1" si="218"/>
        <v>58.307618623962043</v>
      </c>
      <c r="P336" s="74">
        <f t="shared" ca="1" si="219"/>
        <v>58.307618623962043</v>
      </c>
      <c r="Q336" s="74">
        <f t="shared" si="224"/>
        <v>0</v>
      </c>
      <c r="R336" s="74">
        <f t="shared" si="224"/>
        <v>0</v>
      </c>
      <c r="S336" s="74">
        <f t="shared" si="224"/>
        <v>0</v>
      </c>
      <c r="T336" s="74">
        <f t="shared" si="221"/>
        <v>0</v>
      </c>
      <c r="U336" s="74">
        <f t="shared" si="222"/>
        <v>0</v>
      </c>
    </row>
    <row r="337" spans="1:21" ht="18.75" x14ac:dyDescent="0.25">
      <c r="A337" s="257"/>
      <c r="B337" s="269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3">
        <f t="shared" ref="L337:N337" ca="1" si="225">L338+L339</f>
        <v>337200</v>
      </c>
      <c r="M337" s="74">
        <f t="shared" ca="1" si="225"/>
        <v>337200</v>
      </c>
      <c r="N337" s="74">
        <f t="shared" ca="1" si="225"/>
        <v>196613.29</v>
      </c>
      <c r="O337" s="74">
        <f t="shared" ca="1" si="218"/>
        <v>58.307618623962043</v>
      </c>
      <c r="P337" s="74">
        <f t="shared" ca="1" si="219"/>
        <v>58.307618623962043</v>
      </c>
      <c r="Q337" s="74">
        <f t="shared" ref="Q337:S337" si="226">Q338+Q339</f>
        <v>0</v>
      </c>
      <c r="R337" s="74">
        <f t="shared" si="226"/>
        <v>0</v>
      </c>
      <c r="S337" s="74">
        <f t="shared" si="226"/>
        <v>0</v>
      </c>
      <c r="T337" s="74">
        <f t="shared" si="221"/>
        <v>0</v>
      </c>
      <c r="U337" s="74">
        <f t="shared" si="222"/>
        <v>0</v>
      </c>
    </row>
    <row r="338" spans="1:21" ht="18.75" hidden="1" x14ac:dyDescent="0.25">
      <c r="A338" s="257"/>
      <c r="B338" s="258"/>
      <c r="C338" s="269"/>
      <c r="D338" s="258"/>
      <c r="E338" s="77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77">
        <f t="shared" si="218"/>
        <v>0</v>
      </c>
      <c r="P338" s="77">
        <f t="shared" si="219"/>
        <v>0</v>
      </c>
      <c r="Q338" s="77">
        <v>0</v>
      </c>
      <c r="R338" s="77">
        <v>0</v>
      </c>
      <c r="S338" s="77">
        <v>0</v>
      </c>
      <c r="T338" s="77">
        <f t="shared" si="221"/>
        <v>0</v>
      </c>
      <c r="U338" s="77">
        <f t="shared" si="222"/>
        <v>0</v>
      </c>
    </row>
    <row r="339" spans="1:21" ht="18.75" hidden="1" x14ac:dyDescent="0.25">
      <c r="A339" s="257"/>
      <c r="B339" s="258"/>
      <c r="C339" s="269"/>
      <c r="D339" s="258"/>
      <c r="E339" s="749" t="s">
        <v>37</v>
      </c>
      <c r="F339" s="258"/>
      <c r="G339" s="261"/>
      <c r="H339" s="271" t="s">
        <v>14</v>
      </c>
      <c r="I339" s="272"/>
      <c r="J339" s="272"/>
      <c r="K339" s="229"/>
      <c r="L339" s="73">
        <f ca="1">IFERROR(__xludf.DUMMYFUNCTION("IMPORTRANGE(""https://docs.google.com/spreadsheets/d/1-uDff_7J0KD5mKrp0Vvzr7lt3OU09vwQwhkpOPPYv2Y/edit?usp=sharing"",""งบพรบ!ES61"")"),337200)</f>
        <v>337200</v>
      </c>
      <c r="M339" s="74">
        <f ca="1">IFERROR(__xludf.DUMMYFUNCTION("IMPORTRANGE(""https://docs.google.com/spreadsheets/d/1-uDff_7J0KD5mKrp0Vvzr7lt3OU09vwQwhkpOPPYv2Y/edit?usp=sharing"",""งบพรบ!EX61"")"),337200)</f>
        <v>337200</v>
      </c>
      <c r="N339" s="74">
        <f ca="1">IFERROR(__xludf.DUMMYFUNCTION("IMPORTRANGE(""https://docs.google.com/spreadsheets/d/1-uDff_7J0KD5mKrp0Vvzr7lt3OU09vwQwhkpOPPYv2Y/edit?usp=sharing"",""งบพรบ!EZ61"")"),196613.29)</f>
        <v>196613.29</v>
      </c>
      <c r="O339" s="74">
        <f t="shared" ca="1" si="218"/>
        <v>58.307618623962043</v>
      </c>
      <c r="P339" s="74">
        <f t="shared" ca="1" si="219"/>
        <v>58.307618623962043</v>
      </c>
      <c r="Q339" s="74">
        <v>0</v>
      </c>
      <c r="R339" s="74">
        <v>0</v>
      </c>
      <c r="S339" s="74">
        <v>0</v>
      </c>
      <c r="T339" s="74">
        <f t="shared" si="221"/>
        <v>0</v>
      </c>
      <c r="U339" s="74">
        <f t="shared" si="222"/>
        <v>0</v>
      </c>
    </row>
    <row r="340" spans="1:21" ht="18.75" x14ac:dyDescent="0.25">
      <c r="A340" s="257"/>
      <c r="B340" s="258"/>
      <c r="C340" s="269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3">
        <f t="shared" ref="L340:N340" ca="1" si="227">L341+L342</f>
        <v>0</v>
      </c>
      <c r="M340" s="74">
        <f t="shared" ca="1" si="227"/>
        <v>0</v>
      </c>
      <c r="N340" s="74">
        <f t="shared" ca="1" si="227"/>
        <v>0</v>
      </c>
      <c r="O340" s="74">
        <f t="shared" ca="1" si="218"/>
        <v>0</v>
      </c>
      <c r="P340" s="74">
        <f t="shared" ca="1" si="219"/>
        <v>0</v>
      </c>
      <c r="Q340" s="74">
        <f t="shared" ref="Q340:S340" si="228">Q341+Q342</f>
        <v>0</v>
      </c>
      <c r="R340" s="74">
        <f t="shared" si="228"/>
        <v>0</v>
      </c>
      <c r="S340" s="74">
        <f t="shared" si="228"/>
        <v>0</v>
      </c>
      <c r="T340" s="74">
        <f t="shared" si="221"/>
        <v>0</v>
      </c>
      <c r="U340" s="74">
        <f t="shared" si="222"/>
        <v>0</v>
      </c>
    </row>
    <row r="341" spans="1:21" ht="18.75" hidden="1" x14ac:dyDescent="0.25">
      <c r="A341" s="257"/>
      <c r="B341" s="258"/>
      <c r="C341" s="269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77">
        <f t="shared" si="218"/>
        <v>0</v>
      </c>
      <c r="P341" s="77">
        <f t="shared" si="219"/>
        <v>0</v>
      </c>
      <c r="Q341" s="77">
        <v>0</v>
      </c>
      <c r="R341" s="77">
        <v>0</v>
      </c>
      <c r="S341" s="77">
        <v>0</v>
      </c>
      <c r="T341" s="77">
        <f t="shared" si="221"/>
        <v>0</v>
      </c>
      <c r="U341" s="77">
        <f t="shared" si="222"/>
        <v>0</v>
      </c>
    </row>
    <row r="342" spans="1:21" ht="18.75" hidden="1" x14ac:dyDescent="0.25">
      <c r="A342" s="257"/>
      <c r="B342" s="258"/>
      <c r="C342" s="269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3">
        <f ca="1">IFERROR(__xludf.DUMMYFUNCTION("IMPORTRANGE(""https://docs.google.com/spreadsheets/d/1-uDff_7J0KD5mKrp0Vvzr7lt3OU09vwQwhkpOPPYv2Y/edit?usp=sharing"",""งบพรบ!EV61"")"),0)</f>
        <v>0</v>
      </c>
      <c r="M342" s="74">
        <f ca="1">IFERROR(__xludf.DUMMYFUNCTION("IMPORTRANGE(""https://docs.google.com/spreadsheets/d/1-uDff_7J0KD5mKrp0Vvzr7lt3OU09vwQwhkpOPPYv2Y/edit?usp=sharing"",""งบพรบ!EY61"")"),0)</f>
        <v>0</v>
      </c>
      <c r="N342" s="74">
        <f ca="1">IFERROR(__xludf.DUMMYFUNCTION("IMPORTRANGE(""https://docs.google.com/spreadsheets/d/1-uDff_7J0KD5mKrp0Vvzr7lt3OU09vwQwhkpOPPYv2Y/edit?usp=sharing"",""งบพรบ!FA61"")"),0)</f>
        <v>0</v>
      </c>
      <c r="O342" s="74">
        <f t="shared" ca="1" si="218"/>
        <v>0</v>
      </c>
      <c r="P342" s="74">
        <f t="shared" ca="1" si="219"/>
        <v>0</v>
      </c>
      <c r="Q342" s="74">
        <v>0</v>
      </c>
      <c r="R342" s="74">
        <v>0</v>
      </c>
      <c r="S342" s="74">
        <v>0</v>
      </c>
      <c r="T342" s="74">
        <f t="shared" si="221"/>
        <v>0</v>
      </c>
      <c r="U342" s="74">
        <f t="shared" si="222"/>
        <v>0</v>
      </c>
    </row>
    <row r="343" spans="1:21" ht="19.5" x14ac:dyDescent="0.3">
      <c r="A343" s="276"/>
      <c r="B343" s="277"/>
      <c r="C343" s="621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814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307" t="s">
        <v>35</v>
      </c>
      <c r="I345" s="293">
        <f ca="1">IFERROR(__xludf.DUMMYFUNCTION("IMPORTRANGE(""https://docs.google.com/spreadsheets/d/1eHaY18a8A9IcSdp1K8H6x8fbOy06t2VsZHhMHf-1x7Y/edit?usp=sharing"",""แผน!EK61"")"),940)</f>
        <v>940</v>
      </c>
      <c r="J345" s="293">
        <f ca="1">IFERROR(__xludf.DUMMYFUNCTION("IMPORTRANGE(""https://docs.google.com/spreadsheets/d/1awYsYK3VOup2i3Pq_Yjnu8DRu_mYwSBnCR2QPthd0rU/edit?usp=sharing"",""ศูนย์ยกเว้นโฉนด!D61"")"),194)</f>
        <v>194</v>
      </c>
      <c r="K345" s="74">
        <f ca="1">IF(I345&gt;0,J345*100/I345,0)</f>
        <v>20.638297872340427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IFERROR(__xludf.DUMMYFUNCTION("IMPORTRANGE(""https://docs.google.com/spreadsheets/d/1eHaY18a8A9IcSdp1K8H6x8fbOy06t2VsZHhMHf-1x7Y/edit?usp=sharing"",""แผน!EL61"")"),1)</f>
        <v>1</v>
      </c>
      <c r="J347" s="293">
        <f ca="1">IFERROR(__xludf.DUMMYFUNCTION("IMPORTRANGE(""https://docs.google.com/spreadsheets/d/1awYsYK3VOup2i3Pq_Yjnu8DRu_mYwSBnCR2QPthd0rU/edit?usp=sharing"",""ศูนย์รวม!E61"")"),8)</f>
        <v>8</v>
      </c>
      <c r="K347" s="74">
        <f ca="1">IF(I347&gt;0,J347*100/I347,0)</f>
        <v>800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IFERROR(__xludf.DUMMYFUNCTION("IMPORTRANGE(""https://docs.google.com/spreadsheets/d/1awYsYK3VOup2i3Pq_Yjnu8DRu_mYwSBnCR2QPthd0rU/edit?usp=sharing"",""ศูนย์ยกเว้นโฉนด!F61"")"),593)</f>
        <v>593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IFERROR(__xludf.DUMMYFUNCTION("IMPORTRANGE(""https://docs.google.com/spreadsheets/d/1awYsYK3VOup2i3Pq_Yjnu8DRu_mYwSBnCR2QPthd0rU/edit?usp=sharing"",""ศูนย์ยกเว้นโฉนด!G61"")"),27)</f>
        <v>27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IFERROR(__xludf.DUMMYFUNCTION("IMPORTRANGE(""https://docs.google.com/spreadsheets/d/1awYsYK3VOup2i3Pq_Yjnu8DRu_mYwSBnCR2QPthd0rU/edit?usp=sharing"",""ศูนย์ยกเว้นโฉนด!H61"")"),0)</f>
        <v>0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1188" t="s">
        <v>35</v>
      </c>
      <c r="I352" s="559">
        <v>0</v>
      </c>
      <c r="J352" s="559">
        <f ca="1">J353+J354</f>
        <v>0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IFERROR(__xludf.DUMMYFUNCTION("IMPORTRANGE(""https://docs.google.com/spreadsheets/d/1awYsYK3VOup2i3Pq_Yjnu8DRu_mYwSBnCR2QPthd0rU/edit?usp=sharing"",""โฉนดM3!G61"")"),0)</f>
        <v>0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IFERROR(__xludf.DUMMYFUNCTION("IMPORTRANGE(""https://docs.google.com/spreadsheets/d/1awYsYK3VOup2i3Pq_Yjnu8DRu_mYwSBnCR2QPthd0rU/edit?usp=sharing"",""โฉนดM3!H61"")"),0)</f>
        <v>0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15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1257">
        <f t="shared" ref="L357:N357" ca="1" si="229">L358+L359</f>
        <v>116090</v>
      </c>
      <c r="M357" s="264">
        <f t="shared" ca="1" si="229"/>
        <v>116090</v>
      </c>
      <c r="N357" s="264">
        <f t="shared" ca="1" si="229"/>
        <v>38000</v>
      </c>
      <c r="O357" s="264">
        <f t="shared" ref="O357:O365" ca="1" si="230">IF(L357&gt;0,N357*100/L357,0)</f>
        <v>32.733224222585925</v>
      </c>
      <c r="P357" s="264">
        <f t="shared" ref="P357:P365" ca="1" si="231">IF(M357&gt;0,N357*100/M357,0)</f>
        <v>32.733224222585925</v>
      </c>
      <c r="Q357" s="264">
        <f t="shared" ref="Q357:S357" si="232">Q358+Q359</f>
        <v>0</v>
      </c>
      <c r="R357" s="264">
        <f t="shared" si="232"/>
        <v>0</v>
      </c>
      <c r="S357" s="264">
        <f t="shared" si="232"/>
        <v>0</v>
      </c>
      <c r="T357" s="264">
        <f t="shared" ref="T357:T365" si="233">IF(Q357&gt;0,S357*100/Q357,0)</f>
        <v>0</v>
      </c>
      <c r="U357" s="264">
        <f t="shared" ref="U357:U365" si="234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6">
        <f t="shared" ref="L358:N359" si="235">L361+L364</f>
        <v>0</v>
      </c>
      <c r="M358" s="77">
        <f t="shared" si="235"/>
        <v>0</v>
      </c>
      <c r="N358" s="77">
        <f t="shared" si="235"/>
        <v>0</v>
      </c>
      <c r="O358" s="77">
        <f t="shared" si="230"/>
        <v>0</v>
      </c>
      <c r="P358" s="77">
        <f t="shared" si="231"/>
        <v>0</v>
      </c>
      <c r="Q358" s="77">
        <f t="shared" ref="Q358:S359" si="236">Q361+Q364</f>
        <v>0</v>
      </c>
      <c r="R358" s="77">
        <f t="shared" si="236"/>
        <v>0</v>
      </c>
      <c r="S358" s="77">
        <f t="shared" si="236"/>
        <v>0</v>
      </c>
      <c r="T358" s="77">
        <f t="shared" si="233"/>
        <v>0</v>
      </c>
      <c r="U358" s="77">
        <f t="shared" si="234"/>
        <v>0</v>
      </c>
    </row>
    <row r="359" spans="1:21" ht="18.75" hidden="1" x14ac:dyDescent="0.25">
      <c r="A359" s="257"/>
      <c r="B359" s="269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3">
        <f t="shared" ca="1" si="235"/>
        <v>116090</v>
      </c>
      <c r="M359" s="74">
        <f t="shared" ca="1" si="235"/>
        <v>116090</v>
      </c>
      <c r="N359" s="74">
        <f t="shared" ca="1" si="235"/>
        <v>38000</v>
      </c>
      <c r="O359" s="74">
        <f t="shared" ca="1" si="230"/>
        <v>32.733224222585925</v>
      </c>
      <c r="P359" s="74">
        <f t="shared" ca="1" si="231"/>
        <v>32.733224222585925</v>
      </c>
      <c r="Q359" s="74">
        <f t="shared" si="236"/>
        <v>0</v>
      </c>
      <c r="R359" s="74">
        <f t="shared" si="236"/>
        <v>0</v>
      </c>
      <c r="S359" s="74">
        <f t="shared" si="236"/>
        <v>0</v>
      </c>
      <c r="T359" s="74">
        <f t="shared" si="233"/>
        <v>0</v>
      </c>
      <c r="U359" s="74">
        <f t="shared" si="234"/>
        <v>0</v>
      </c>
    </row>
    <row r="360" spans="1:21" ht="18.75" x14ac:dyDescent="0.25">
      <c r="A360" s="257"/>
      <c r="B360" s="269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3">
        <f t="shared" ref="L360:N360" ca="1" si="237">L361+L362</f>
        <v>116090</v>
      </c>
      <c r="M360" s="74">
        <f t="shared" ca="1" si="237"/>
        <v>116090</v>
      </c>
      <c r="N360" s="74">
        <f t="shared" ca="1" si="237"/>
        <v>38000</v>
      </c>
      <c r="O360" s="74">
        <f t="shared" ca="1" si="230"/>
        <v>32.733224222585925</v>
      </c>
      <c r="P360" s="74">
        <f t="shared" ca="1" si="231"/>
        <v>32.733224222585925</v>
      </c>
      <c r="Q360" s="74">
        <f t="shared" ref="Q360:S360" si="238">Q361+Q362</f>
        <v>0</v>
      </c>
      <c r="R360" s="74">
        <f t="shared" si="238"/>
        <v>0</v>
      </c>
      <c r="S360" s="74">
        <f t="shared" si="238"/>
        <v>0</v>
      </c>
      <c r="T360" s="74">
        <f t="shared" si="233"/>
        <v>0</v>
      </c>
      <c r="U360" s="74">
        <f t="shared" si="234"/>
        <v>0</v>
      </c>
    </row>
    <row r="361" spans="1:21" ht="18.75" hidden="1" x14ac:dyDescent="0.25">
      <c r="A361" s="257"/>
      <c r="B361" s="258"/>
      <c r="C361" s="269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77">
        <f t="shared" si="230"/>
        <v>0</v>
      </c>
      <c r="P361" s="77">
        <f t="shared" si="231"/>
        <v>0</v>
      </c>
      <c r="Q361" s="77">
        <v>0</v>
      </c>
      <c r="R361" s="77">
        <v>0</v>
      </c>
      <c r="S361" s="77">
        <v>0</v>
      </c>
      <c r="T361" s="77">
        <f t="shared" si="233"/>
        <v>0</v>
      </c>
      <c r="U361" s="77">
        <f t="shared" si="234"/>
        <v>0</v>
      </c>
    </row>
    <row r="362" spans="1:21" ht="18.75" hidden="1" x14ac:dyDescent="0.25">
      <c r="A362" s="257"/>
      <c r="B362" s="258"/>
      <c r="C362" s="269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3">
        <f ca="1">IFERROR(__xludf.DUMMYFUNCTION("IMPORTRANGE(""https://docs.google.com/spreadsheets/d/1-uDff_7J0KD5mKrp0Vvzr7lt3OU09vwQwhkpOPPYv2Y/edit?usp=sharing"",""งบพรบ!FC61"")"),116090)</f>
        <v>116090</v>
      </c>
      <c r="M362" s="74">
        <f ca="1">IFERROR(__xludf.DUMMYFUNCTION("IMPORTRANGE(""https://docs.google.com/spreadsheets/d/1-uDff_7J0KD5mKrp0Vvzr7lt3OU09vwQwhkpOPPYv2Y/edit?usp=sharing"",""งบพรบ!FH61"")"),116090)</f>
        <v>116090</v>
      </c>
      <c r="N362" s="74">
        <f ca="1">IFERROR(__xludf.DUMMYFUNCTION("IMPORTRANGE(""https://docs.google.com/spreadsheets/d/1-uDff_7J0KD5mKrp0Vvzr7lt3OU09vwQwhkpOPPYv2Y/edit?usp=sharing"",""งบพรบ!FJ61"")"),38000)</f>
        <v>38000</v>
      </c>
      <c r="O362" s="74">
        <f t="shared" ca="1" si="230"/>
        <v>32.733224222585925</v>
      </c>
      <c r="P362" s="74">
        <f t="shared" ca="1" si="231"/>
        <v>32.733224222585925</v>
      </c>
      <c r="Q362" s="74">
        <v>0</v>
      </c>
      <c r="R362" s="74">
        <v>0</v>
      </c>
      <c r="S362" s="74">
        <v>0</v>
      </c>
      <c r="T362" s="74">
        <f t="shared" si="233"/>
        <v>0</v>
      </c>
      <c r="U362" s="74">
        <f t="shared" si="234"/>
        <v>0</v>
      </c>
    </row>
    <row r="363" spans="1:21" ht="18.75" x14ac:dyDescent="0.25">
      <c r="A363" s="257"/>
      <c r="B363" s="258"/>
      <c r="C363" s="269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3">
        <f t="shared" ref="L363:N363" ca="1" si="239">L364+L365</f>
        <v>0</v>
      </c>
      <c r="M363" s="74">
        <f t="shared" ca="1" si="239"/>
        <v>0</v>
      </c>
      <c r="N363" s="74">
        <f t="shared" ca="1" si="239"/>
        <v>0</v>
      </c>
      <c r="O363" s="74">
        <f t="shared" ca="1" si="230"/>
        <v>0</v>
      </c>
      <c r="P363" s="74">
        <f t="shared" ca="1" si="231"/>
        <v>0</v>
      </c>
      <c r="Q363" s="74">
        <f t="shared" ref="Q363:S363" si="240">Q364+Q365</f>
        <v>0</v>
      </c>
      <c r="R363" s="74">
        <f t="shared" si="240"/>
        <v>0</v>
      </c>
      <c r="S363" s="74">
        <f t="shared" si="240"/>
        <v>0</v>
      </c>
      <c r="T363" s="74">
        <f t="shared" si="233"/>
        <v>0</v>
      </c>
      <c r="U363" s="74">
        <f t="shared" si="234"/>
        <v>0</v>
      </c>
    </row>
    <row r="364" spans="1:21" ht="18.75" hidden="1" x14ac:dyDescent="0.25">
      <c r="A364" s="257"/>
      <c r="B364" s="258"/>
      <c r="C364" s="269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77">
        <f t="shared" si="230"/>
        <v>0</v>
      </c>
      <c r="P364" s="77">
        <f t="shared" si="231"/>
        <v>0</v>
      </c>
      <c r="Q364" s="77">
        <v>0</v>
      </c>
      <c r="R364" s="77">
        <v>0</v>
      </c>
      <c r="S364" s="77">
        <v>0</v>
      </c>
      <c r="T364" s="77">
        <f t="shared" si="233"/>
        <v>0</v>
      </c>
      <c r="U364" s="77">
        <f t="shared" si="234"/>
        <v>0</v>
      </c>
    </row>
    <row r="365" spans="1:21" ht="18.75" hidden="1" x14ac:dyDescent="0.25">
      <c r="A365" s="257"/>
      <c r="B365" s="258"/>
      <c r="C365" s="269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3">
        <f ca="1">IFERROR(__xludf.DUMMYFUNCTION("IMPORTRANGE(""https://docs.google.com/spreadsheets/d/1-uDff_7J0KD5mKrp0Vvzr7lt3OU09vwQwhkpOPPYv2Y/edit?usp=sharing"",""งบพรบ!FF61"")"),0)</f>
        <v>0</v>
      </c>
      <c r="M365" s="74">
        <f ca="1">IFERROR(__xludf.DUMMYFUNCTION("IMPORTRANGE(""https://docs.google.com/spreadsheets/d/1-uDff_7J0KD5mKrp0Vvzr7lt3OU09vwQwhkpOPPYv2Y/edit?usp=sharing"",""งบพรบ!FI61"")"),0)</f>
        <v>0</v>
      </c>
      <c r="N365" s="74">
        <f ca="1">IFERROR(__xludf.DUMMYFUNCTION("IMPORTRANGE(""https://docs.google.com/spreadsheets/d/1-uDff_7J0KD5mKrp0Vvzr7lt3OU09vwQwhkpOPPYv2Y/edit?usp=sharing"",""งบพรบ!FK61"")"),0)</f>
        <v>0</v>
      </c>
      <c r="O365" s="74">
        <f t="shared" ca="1" si="230"/>
        <v>0</v>
      </c>
      <c r="P365" s="74">
        <f t="shared" ca="1" si="231"/>
        <v>0</v>
      </c>
      <c r="Q365" s="74">
        <v>0</v>
      </c>
      <c r="R365" s="74">
        <v>0</v>
      </c>
      <c r="S365" s="74">
        <v>0</v>
      </c>
      <c r="T365" s="74">
        <f t="shared" si="233"/>
        <v>0</v>
      </c>
      <c r="U365" s="74">
        <f t="shared" si="234"/>
        <v>0</v>
      </c>
    </row>
    <row r="366" spans="1:21" ht="19.5" x14ac:dyDescent="0.3">
      <c r="A366" s="553"/>
      <c r="B366" s="555"/>
      <c r="C366" s="555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1">I372</f>
        <v>0</v>
      </c>
      <c r="J366" s="559">
        <f t="shared" ca="1" si="241"/>
        <v>0</v>
      </c>
      <c r="K366" s="560">
        <f ca="1">IF(I366&gt;0,J366*100/I366,0)</f>
        <v>0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621" t="s">
        <v>18</v>
      </c>
      <c r="D367" s="968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77"/>
      <c r="C368" s="277"/>
      <c r="D368" s="296"/>
      <c r="E368" s="1103" t="s">
        <v>150</v>
      </c>
      <c r="F368" s="277"/>
      <c r="G368" s="310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IFERROR(__xludf.DUMMYFUNCTION("IMPORTRANGE(""https://docs.google.com/spreadsheets/d/1tdoBKaGub7dwA3U6UFTqxio9LNnvDCQjHKmttSEBsFQ/edit?usp=sharing"",""จัดที่ดิน!AB61"")"),0)</f>
        <v>0</v>
      </c>
      <c r="K368" s="74">
        <f t="shared" ref="K368:K373" si="242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IFERROR(__xludf.DUMMYFUNCTION("IMPORTRANGE(""https://docs.google.com/spreadsheets/d/1eHaY18a8A9IcSdp1K8H6x8fbOy06t2VsZHhMHf-1x7Y/edit?usp=sharing"",""แผน!EW61"")"),0)</f>
        <v>0</v>
      </c>
      <c r="J369" s="1190">
        <f ca="1">IFERROR(__xludf.DUMMYFUNCTION("IMPORTRANGE(""https://docs.google.com/spreadsheets/d/1tdoBKaGub7dwA3U6UFTqxio9LNnvDCQjHKmttSEBsFQ/edit?usp=sharing"",""จัดที่ดิน!AC61"")"),0)</f>
        <v>0</v>
      </c>
      <c r="K369" s="74">
        <f t="shared" ca="1" si="242"/>
        <v>0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75" t="s">
        <v>35</v>
      </c>
      <c r="I370" s="293">
        <f ca="1">IFERROR(__xludf.DUMMYFUNCTION("IMPORTRANGE(""https://docs.google.com/spreadsheets/d/1eHaY18a8A9IcSdp1K8H6x8fbOy06t2VsZHhMHf-1x7Y/edit?usp=sharing"",""แผน!EX61"")"),0)</f>
        <v>0</v>
      </c>
      <c r="J370" s="293">
        <f ca="1">IFERROR(__xludf.DUMMYFUNCTION("IMPORTRANGE(""https://docs.google.com/spreadsheets/d/1tdoBKaGub7dwA3U6UFTqxio9LNnvDCQjHKmttSEBsFQ/edit?usp=sharing"",""จัดที่ดิน!AD61"")"),0)</f>
        <v>0</v>
      </c>
      <c r="K370" s="74">
        <f t="shared" ca="1" si="242"/>
        <v>0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75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IFERROR(__xludf.DUMMYFUNCTION("IMPORTRANGE(""https://docs.google.com/spreadsheets/d/1tdoBKaGub7dwA3U6UFTqxio9LNnvDCQjHKmttSEBsFQ/edit?usp=sharing"",""จัดที่ดิน!AE61"")"),0)</f>
        <v>0</v>
      </c>
      <c r="K371" s="74">
        <f t="shared" si="242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75" t="s">
        <v>35</v>
      </c>
      <c r="I372" s="293">
        <f ca="1">IFERROR(__xludf.DUMMYFUNCTION("IMPORTRANGE(""https://docs.google.com/spreadsheets/d/1eHaY18a8A9IcSdp1K8H6x8fbOy06t2VsZHhMHf-1x7Y/edit?usp=sharing"",""แผน!EY61"")"),0)</f>
        <v>0</v>
      </c>
      <c r="J372" s="293">
        <f ca="1">IFERROR(__xludf.DUMMYFUNCTION("IMPORTRANGE(""https://docs.google.com/spreadsheets/d/1tdoBKaGub7dwA3U6UFTqxio9LNnvDCQjHKmttSEBsFQ/edit?usp=sharing"",""จัดที่ดิน!AF61"")"),0)</f>
        <v>0</v>
      </c>
      <c r="K372" s="74">
        <f t="shared" ca="1" si="242"/>
        <v>0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75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IFERROR(__xludf.DUMMYFUNCTION("IMPORTRANGE(""https://docs.google.com/spreadsheets/d/1tdoBKaGub7dwA3U6UFTqxio9LNnvDCQjHKmttSEBsFQ/edit?usp=sharing"",""จัดที่ดิน!AG61"")"),0)</f>
        <v>0</v>
      </c>
      <c r="K373" s="74">
        <f t="shared" si="242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29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hidden="1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3">I386</f>
        <v>0</v>
      </c>
      <c r="J375" s="585">
        <f t="shared" si="243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hidden="1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1257">
        <f t="shared" ref="L376:N376" si="244">L377+L378</f>
        <v>0</v>
      </c>
      <c r="M376" s="264">
        <f t="shared" si="244"/>
        <v>0</v>
      </c>
      <c r="N376" s="264">
        <f t="shared" si="244"/>
        <v>0</v>
      </c>
      <c r="O376" s="264">
        <f t="shared" ref="O376:O384" si="245">IF(L376&gt;0,N376*100/L376,0)</f>
        <v>0</v>
      </c>
      <c r="P376" s="264">
        <f t="shared" ref="P376:P384" si="246">IF(M376&gt;0,N376*100/M376,0)</f>
        <v>0</v>
      </c>
      <c r="Q376" s="264">
        <f t="shared" ref="Q376:S376" ca="1" si="247">Q377+Q378</f>
        <v>0</v>
      </c>
      <c r="R376" s="264">
        <f t="shared" ca="1" si="247"/>
        <v>0</v>
      </c>
      <c r="S376" s="264">
        <f t="shared" ca="1" si="247"/>
        <v>0</v>
      </c>
      <c r="T376" s="264">
        <f t="shared" ref="T376:T384" ca="1" si="248">IF(Q376&gt;0,S376*100/Q376,0)</f>
        <v>0</v>
      </c>
      <c r="U376" s="264">
        <f t="shared" ref="U376:U384" ca="1" si="249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6">
        <f t="shared" ref="L377:N378" si="250">L380+L383</f>
        <v>0</v>
      </c>
      <c r="M377" s="77">
        <f t="shared" si="250"/>
        <v>0</v>
      </c>
      <c r="N377" s="77">
        <f t="shared" si="250"/>
        <v>0</v>
      </c>
      <c r="O377" s="77">
        <f t="shared" si="245"/>
        <v>0</v>
      </c>
      <c r="P377" s="77">
        <f t="shared" si="246"/>
        <v>0</v>
      </c>
      <c r="Q377" s="77">
        <f t="shared" ref="Q377:S378" si="251">Q380+Q383</f>
        <v>0</v>
      </c>
      <c r="R377" s="77">
        <f t="shared" si="251"/>
        <v>0</v>
      </c>
      <c r="S377" s="77">
        <f t="shared" si="251"/>
        <v>0</v>
      </c>
      <c r="T377" s="77">
        <f t="shared" si="248"/>
        <v>0</v>
      </c>
      <c r="U377" s="77">
        <f t="shared" si="249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3">
        <f t="shared" si="250"/>
        <v>0</v>
      </c>
      <c r="M378" s="74">
        <f t="shared" si="250"/>
        <v>0</v>
      </c>
      <c r="N378" s="74">
        <f t="shared" si="250"/>
        <v>0</v>
      </c>
      <c r="O378" s="74">
        <f t="shared" si="245"/>
        <v>0</v>
      </c>
      <c r="P378" s="74">
        <f t="shared" si="246"/>
        <v>0</v>
      </c>
      <c r="Q378" s="74">
        <f t="shared" ca="1" si="251"/>
        <v>0</v>
      </c>
      <c r="R378" s="74">
        <f t="shared" ca="1" si="251"/>
        <v>0</v>
      </c>
      <c r="S378" s="74">
        <f t="shared" ca="1" si="251"/>
        <v>0</v>
      </c>
      <c r="T378" s="74">
        <f t="shared" ca="1" si="248"/>
        <v>0</v>
      </c>
      <c r="U378" s="74">
        <f t="shared" ca="1" si="249"/>
        <v>0</v>
      </c>
    </row>
    <row r="379" spans="1:21" ht="18.75" hidden="1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3">
        <f t="shared" ref="L379:N379" si="252">L380+L381</f>
        <v>0</v>
      </c>
      <c r="M379" s="74">
        <f t="shared" si="252"/>
        <v>0</v>
      </c>
      <c r="N379" s="74">
        <f t="shared" si="252"/>
        <v>0</v>
      </c>
      <c r="O379" s="74">
        <f t="shared" si="245"/>
        <v>0</v>
      </c>
      <c r="P379" s="74">
        <f t="shared" si="246"/>
        <v>0</v>
      </c>
      <c r="Q379" s="74">
        <f t="shared" ref="Q379:S379" ca="1" si="253">Q380+Q381</f>
        <v>0</v>
      </c>
      <c r="R379" s="74">
        <f t="shared" ca="1" si="253"/>
        <v>0</v>
      </c>
      <c r="S379" s="74">
        <f t="shared" ca="1" si="253"/>
        <v>0</v>
      </c>
      <c r="T379" s="74">
        <f t="shared" ca="1" si="248"/>
        <v>0</v>
      </c>
      <c r="U379" s="74">
        <f t="shared" ca="1" si="249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77">
        <f t="shared" si="245"/>
        <v>0</v>
      </c>
      <c r="P380" s="77">
        <f t="shared" si="246"/>
        <v>0</v>
      </c>
      <c r="Q380" s="77">
        <v>0</v>
      </c>
      <c r="R380" s="77">
        <v>0</v>
      </c>
      <c r="S380" s="77">
        <v>0</v>
      </c>
      <c r="T380" s="77">
        <f t="shared" si="248"/>
        <v>0</v>
      </c>
      <c r="U380" s="77">
        <f t="shared" si="249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74">
        <f t="shared" si="245"/>
        <v>0</v>
      </c>
      <c r="P381" s="74">
        <f t="shared" si="246"/>
        <v>0</v>
      </c>
      <c r="Q381" s="74">
        <f ca="1">IFERROR(__xludf.DUMMYFUNCTION("IMPORTRANGE(""https://docs.google.com/spreadsheets/d/1ItG2mGa2ceCfYo0BwxsXqNm01IGEUdYcSSLTEv9YCik/edit?usp=sharing"",""เบิกจ่ายกองทุน!AY61"")"),0)</f>
        <v>0</v>
      </c>
      <c r="R381" s="74">
        <f ca="1">IFERROR(__xludf.DUMMYFUNCTION("IMPORTRANGE(""https://docs.google.com/spreadsheets/d/1ItG2mGa2ceCfYo0BwxsXqNm01IGEUdYcSSLTEv9YCik/edit?usp=sharing"",""เบิกจ่ายกองทุน!AZ61"")"),0)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IFERROR(__xludf.DUMMYFUNCTION("IMPORTRANGE(""https://docs.google.com/spreadsheets/d/1ItG2mGa2ceCfYo0BwxsXqNm01IGEUdYcSSLTEv9YCik/edit?usp=sharing"",""เบิกจ่ายกองทุน!BA61"")"),0)</f>
        <v>0</v>
      </c>
      <c r="T381" s="74">
        <f t="shared" ca="1" si="248"/>
        <v>0</v>
      </c>
      <c r="U381" s="74">
        <f t="shared" ca="1" si="249"/>
        <v>0</v>
      </c>
    </row>
    <row r="382" spans="1:21" ht="18.75" hidden="1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3">
        <f t="shared" ref="L382:N382" si="254">L383+L384</f>
        <v>0</v>
      </c>
      <c r="M382" s="74">
        <f t="shared" si="254"/>
        <v>0</v>
      </c>
      <c r="N382" s="74">
        <f t="shared" si="254"/>
        <v>0</v>
      </c>
      <c r="O382" s="74">
        <f t="shared" si="245"/>
        <v>0</v>
      </c>
      <c r="P382" s="74">
        <f t="shared" si="246"/>
        <v>0</v>
      </c>
      <c r="Q382" s="74">
        <f t="shared" ref="Q382:S382" si="255">Q383+Q384</f>
        <v>0</v>
      </c>
      <c r="R382" s="74">
        <f t="shared" si="255"/>
        <v>0</v>
      </c>
      <c r="S382" s="74">
        <f t="shared" si="255"/>
        <v>0</v>
      </c>
      <c r="T382" s="74">
        <f t="shared" si="248"/>
        <v>0</v>
      </c>
      <c r="U382" s="74">
        <f t="shared" si="249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77">
        <f t="shared" si="245"/>
        <v>0</v>
      </c>
      <c r="P383" s="77">
        <f t="shared" si="246"/>
        <v>0</v>
      </c>
      <c r="Q383" s="77">
        <v>0</v>
      </c>
      <c r="R383" s="77">
        <v>0</v>
      </c>
      <c r="S383" s="77">
        <v>0</v>
      </c>
      <c r="T383" s="77">
        <f t="shared" si="248"/>
        <v>0</v>
      </c>
      <c r="U383" s="77">
        <f t="shared" si="249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74">
        <f t="shared" si="245"/>
        <v>0</v>
      </c>
      <c r="P384" s="74">
        <f t="shared" si="246"/>
        <v>0</v>
      </c>
      <c r="Q384" s="74">
        <v>0</v>
      </c>
      <c r="R384" s="74">
        <v>0</v>
      </c>
      <c r="S384" s="74">
        <v>0</v>
      </c>
      <c r="T384" s="74">
        <f t="shared" si="248"/>
        <v>0</v>
      </c>
      <c r="U384" s="74">
        <f t="shared" si="249"/>
        <v>0</v>
      </c>
    </row>
    <row r="385" spans="1:21" ht="19.5" hidden="1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hidden="1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f ca="1">IFERROR(__xludf.DUMMYFUNCTION("IMPORTRANGE(""https://docs.google.com/spreadsheets/d/1eHaY18a8A9IcSdp1K8H6x8fbOy06t2VsZHhMHf-1x7Y/edit?usp=sharing"",""แผน!JQ61"")"),0)</f>
        <v>0</v>
      </c>
      <c r="J386" s="293">
        <v>0</v>
      </c>
      <c r="K386" s="74">
        <f t="shared" ref="K386:K389" ca="1" si="256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hidden="1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IFERROR(__xludf.DUMMYFUNCTION("IMPORTRANGE(""https://docs.google.com/spreadsheets/d/1eHaY18a8A9IcSdp1K8H6x8fbOy06t2VsZHhMHf-1x7Y/edit?usp=sharing"",""แผน!JQ61"")"),0)</f>
        <v>0</v>
      </c>
      <c r="J387" s="293">
        <v>0</v>
      </c>
      <c r="K387" s="74">
        <f t="shared" ca="1" si="256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hidden="1" x14ac:dyDescent="0.25">
      <c r="A388" s="269"/>
      <c r="B388" s="269"/>
      <c r="C388" s="269"/>
      <c r="D388" s="269"/>
      <c r="E388" s="775" t="s">
        <v>155</v>
      </c>
      <c r="F388" s="269"/>
      <c r="G388" s="312"/>
      <c r="H388" s="266" t="s">
        <v>34</v>
      </c>
      <c r="I388" s="592">
        <v>0</v>
      </c>
      <c r="J388" s="592">
        <v>0</v>
      </c>
      <c r="K388" s="77">
        <f t="shared" si="256"/>
        <v>0</v>
      </c>
      <c r="L388" s="86"/>
      <c r="M388" s="87"/>
      <c r="N388" s="87"/>
      <c r="O388" s="87"/>
      <c r="P388" s="87"/>
      <c r="Q388" s="87"/>
      <c r="R388" s="87"/>
      <c r="S388" s="87"/>
      <c r="T388" s="87"/>
      <c r="U388" s="87"/>
    </row>
    <row r="389" spans="1:21" ht="18.75" hidden="1" x14ac:dyDescent="0.25">
      <c r="A389" s="269"/>
      <c r="B389" s="269"/>
      <c r="C389" s="269"/>
      <c r="D389" s="269"/>
      <c r="E389" s="269"/>
      <c r="F389" s="269"/>
      <c r="G389" s="312"/>
      <c r="H389" s="266" t="s">
        <v>46</v>
      </c>
      <c r="I389" s="592">
        <v>0</v>
      </c>
      <c r="J389" s="592">
        <v>0</v>
      </c>
      <c r="K389" s="77">
        <f t="shared" si="256"/>
        <v>0</v>
      </c>
      <c r="L389" s="86"/>
      <c r="M389" s="87"/>
      <c r="N389" s="87"/>
      <c r="O389" s="87"/>
      <c r="P389" s="87"/>
      <c r="Q389" s="87"/>
      <c r="R389" s="87"/>
      <c r="S389" s="87"/>
      <c r="T389" s="87"/>
      <c r="U389" s="87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7">I403</f>
        <v>0</v>
      </c>
      <c r="J392" s="1189">
        <f t="shared" si="257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1257">
        <f t="shared" ref="L393:N393" si="258">L394+L395</f>
        <v>0</v>
      </c>
      <c r="M393" s="264">
        <f t="shared" si="258"/>
        <v>0</v>
      </c>
      <c r="N393" s="264">
        <f t="shared" si="258"/>
        <v>0</v>
      </c>
      <c r="O393" s="264">
        <f t="shared" ref="O393:O401" si="259">IF(L393&gt;0,N393*100/L393,0)</f>
        <v>0</v>
      </c>
      <c r="P393" s="264">
        <f t="shared" ref="P393:P401" si="260">IF(M393&gt;0,N393*100/M393,0)</f>
        <v>0</v>
      </c>
      <c r="Q393" s="264">
        <f t="shared" ref="Q393:S393" si="261">Q394+Q395</f>
        <v>0</v>
      </c>
      <c r="R393" s="264">
        <f t="shared" si="261"/>
        <v>0</v>
      </c>
      <c r="S393" s="264">
        <f t="shared" si="261"/>
        <v>0</v>
      </c>
      <c r="T393" s="264">
        <f t="shared" ref="T393:T401" si="262">IF(Q393&gt;0,S393*100/Q393,0)</f>
        <v>0</v>
      </c>
      <c r="U393" s="264">
        <f t="shared" ref="U393:U401" si="263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6">
        <f t="shared" ref="L394:N395" si="264">L397+L400</f>
        <v>0</v>
      </c>
      <c r="M394" s="77">
        <f t="shared" si="264"/>
        <v>0</v>
      </c>
      <c r="N394" s="77">
        <f t="shared" si="264"/>
        <v>0</v>
      </c>
      <c r="O394" s="77">
        <f t="shared" si="259"/>
        <v>0</v>
      </c>
      <c r="P394" s="77">
        <f t="shared" si="260"/>
        <v>0</v>
      </c>
      <c r="Q394" s="77">
        <f t="shared" ref="Q394:S395" si="265">Q397+Q400</f>
        <v>0</v>
      </c>
      <c r="R394" s="77">
        <f t="shared" si="265"/>
        <v>0</v>
      </c>
      <c r="S394" s="77">
        <f t="shared" si="265"/>
        <v>0</v>
      </c>
      <c r="T394" s="77">
        <f t="shared" si="262"/>
        <v>0</v>
      </c>
      <c r="U394" s="77">
        <f t="shared" si="263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3">
        <f t="shared" si="264"/>
        <v>0</v>
      </c>
      <c r="M395" s="74">
        <f t="shared" si="264"/>
        <v>0</v>
      </c>
      <c r="N395" s="74">
        <f t="shared" si="264"/>
        <v>0</v>
      </c>
      <c r="O395" s="74">
        <f t="shared" si="259"/>
        <v>0</v>
      </c>
      <c r="P395" s="74">
        <f t="shared" si="260"/>
        <v>0</v>
      </c>
      <c r="Q395" s="74">
        <f t="shared" si="265"/>
        <v>0</v>
      </c>
      <c r="R395" s="74">
        <f t="shared" si="265"/>
        <v>0</v>
      </c>
      <c r="S395" s="74">
        <f t="shared" si="265"/>
        <v>0</v>
      </c>
      <c r="T395" s="74">
        <f t="shared" si="262"/>
        <v>0</v>
      </c>
      <c r="U395" s="74">
        <f t="shared" si="263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3">
        <f t="shared" ref="L396:N396" si="266">L397+L398</f>
        <v>0</v>
      </c>
      <c r="M396" s="74">
        <f t="shared" si="266"/>
        <v>0</v>
      </c>
      <c r="N396" s="74">
        <f t="shared" si="266"/>
        <v>0</v>
      </c>
      <c r="O396" s="74">
        <f t="shared" si="259"/>
        <v>0</v>
      </c>
      <c r="P396" s="74">
        <f t="shared" si="260"/>
        <v>0</v>
      </c>
      <c r="Q396" s="74">
        <f t="shared" ref="Q396:S396" si="267">Q397+Q398</f>
        <v>0</v>
      </c>
      <c r="R396" s="74">
        <f t="shared" si="267"/>
        <v>0</v>
      </c>
      <c r="S396" s="74">
        <f t="shared" si="267"/>
        <v>0</v>
      </c>
      <c r="T396" s="74">
        <f t="shared" si="262"/>
        <v>0</v>
      </c>
      <c r="U396" s="74">
        <f t="shared" si="263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77">
        <f t="shared" si="259"/>
        <v>0</v>
      </c>
      <c r="P397" s="77">
        <f t="shared" si="260"/>
        <v>0</v>
      </c>
      <c r="Q397" s="77">
        <v>0</v>
      </c>
      <c r="R397" s="77">
        <v>0</v>
      </c>
      <c r="S397" s="77">
        <v>0</v>
      </c>
      <c r="T397" s="77">
        <f t="shared" si="262"/>
        <v>0</v>
      </c>
      <c r="U397" s="77">
        <f t="shared" si="263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74">
        <f t="shared" si="259"/>
        <v>0</v>
      </c>
      <c r="P398" s="74">
        <f t="shared" si="260"/>
        <v>0</v>
      </c>
      <c r="Q398" s="74">
        <v>0</v>
      </c>
      <c r="R398" s="74">
        <v>0</v>
      </c>
      <c r="S398" s="74">
        <v>0</v>
      </c>
      <c r="T398" s="74">
        <f t="shared" si="262"/>
        <v>0</v>
      </c>
      <c r="U398" s="74">
        <f t="shared" si="263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3">
        <f t="shared" ref="L399:N399" si="268">L400+L401</f>
        <v>0</v>
      </c>
      <c r="M399" s="74">
        <f t="shared" si="268"/>
        <v>0</v>
      </c>
      <c r="N399" s="74">
        <f t="shared" si="268"/>
        <v>0</v>
      </c>
      <c r="O399" s="74">
        <f t="shared" si="259"/>
        <v>0</v>
      </c>
      <c r="P399" s="74">
        <f t="shared" si="260"/>
        <v>0</v>
      </c>
      <c r="Q399" s="74">
        <f t="shared" ref="Q399:S399" si="269">Q400+Q401</f>
        <v>0</v>
      </c>
      <c r="R399" s="74">
        <f t="shared" si="269"/>
        <v>0</v>
      </c>
      <c r="S399" s="74">
        <f t="shared" si="269"/>
        <v>0</v>
      </c>
      <c r="T399" s="74">
        <f t="shared" si="262"/>
        <v>0</v>
      </c>
      <c r="U399" s="74">
        <f t="shared" si="263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77">
        <f t="shared" si="259"/>
        <v>0</v>
      </c>
      <c r="P400" s="77">
        <f t="shared" si="260"/>
        <v>0</v>
      </c>
      <c r="Q400" s="77">
        <v>0</v>
      </c>
      <c r="R400" s="77">
        <v>0</v>
      </c>
      <c r="S400" s="77">
        <v>0</v>
      </c>
      <c r="T400" s="77">
        <f t="shared" si="262"/>
        <v>0</v>
      </c>
      <c r="U400" s="77">
        <f t="shared" si="263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74">
        <f t="shared" si="259"/>
        <v>0</v>
      </c>
      <c r="P401" s="74">
        <f t="shared" si="260"/>
        <v>0</v>
      </c>
      <c r="Q401" s="74">
        <v>0</v>
      </c>
      <c r="R401" s="74">
        <v>0</v>
      </c>
      <c r="S401" s="74">
        <v>0</v>
      </c>
      <c r="T401" s="74">
        <f t="shared" si="262"/>
        <v>0</v>
      </c>
      <c r="U401" s="74">
        <f t="shared" si="263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70">I424</f>
        <v>0</v>
      </c>
      <c r="J413" s="617">
        <f t="shared" si="270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1257">
        <f t="shared" ref="L414:N414" si="271">L415+L416</f>
        <v>0</v>
      </c>
      <c r="M414" s="264">
        <f t="shared" si="271"/>
        <v>0</v>
      </c>
      <c r="N414" s="264">
        <f t="shared" si="271"/>
        <v>0</v>
      </c>
      <c r="O414" s="264">
        <f t="shared" ref="O414:O422" si="272">IF(L414&gt;0,N414*100/L414,0)</f>
        <v>0</v>
      </c>
      <c r="P414" s="264">
        <f t="shared" ref="P414:P422" si="273">IF(M414&gt;0,N414*100/M414,0)</f>
        <v>0</v>
      </c>
      <c r="Q414" s="264">
        <f t="shared" ref="Q414:S414" ca="1" si="274">Q415+Q416</f>
        <v>0</v>
      </c>
      <c r="R414" s="264">
        <f t="shared" ca="1" si="274"/>
        <v>0</v>
      </c>
      <c r="S414" s="264">
        <f t="shared" ca="1" si="274"/>
        <v>0</v>
      </c>
      <c r="T414" s="264">
        <f t="shared" ref="T414:T422" ca="1" si="275">IF(Q414&gt;0,S414*100/Q414,0)</f>
        <v>0</v>
      </c>
      <c r="U414" s="264">
        <f t="shared" ref="U414:U422" ca="1" si="276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6">
        <f t="shared" ref="L415:N416" si="277">L418+L421</f>
        <v>0</v>
      </c>
      <c r="M415" s="77">
        <f t="shared" si="277"/>
        <v>0</v>
      </c>
      <c r="N415" s="77">
        <f t="shared" si="277"/>
        <v>0</v>
      </c>
      <c r="O415" s="77">
        <f t="shared" si="272"/>
        <v>0</v>
      </c>
      <c r="P415" s="77">
        <f t="shared" si="273"/>
        <v>0</v>
      </c>
      <c r="Q415" s="77">
        <f t="shared" ref="Q415:S416" si="278">Q418+Q421</f>
        <v>0</v>
      </c>
      <c r="R415" s="77">
        <f t="shared" si="278"/>
        <v>0</v>
      </c>
      <c r="S415" s="77">
        <f t="shared" si="278"/>
        <v>0</v>
      </c>
      <c r="T415" s="77">
        <f t="shared" si="275"/>
        <v>0</v>
      </c>
      <c r="U415" s="77">
        <f t="shared" si="276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3">
        <f t="shared" si="277"/>
        <v>0</v>
      </c>
      <c r="M416" s="74">
        <f t="shared" si="277"/>
        <v>0</v>
      </c>
      <c r="N416" s="74">
        <f t="shared" si="277"/>
        <v>0</v>
      </c>
      <c r="O416" s="74">
        <f t="shared" si="272"/>
        <v>0</v>
      </c>
      <c r="P416" s="74">
        <f t="shared" si="273"/>
        <v>0</v>
      </c>
      <c r="Q416" s="74">
        <f t="shared" ca="1" si="278"/>
        <v>0</v>
      </c>
      <c r="R416" s="74">
        <f t="shared" ca="1" si="278"/>
        <v>0</v>
      </c>
      <c r="S416" s="74">
        <f t="shared" ca="1" si="278"/>
        <v>0</v>
      </c>
      <c r="T416" s="74">
        <f t="shared" ca="1" si="275"/>
        <v>0</v>
      </c>
      <c r="U416" s="74">
        <f t="shared" ca="1" si="276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3">
        <f t="shared" ref="L417:N417" si="279">L418+L419</f>
        <v>0</v>
      </c>
      <c r="M417" s="74">
        <f t="shared" si="279"/>
        <v>0</v>
      </c>
      <c r="N417" s="74">
        <f t="shared" si="279"/>
        <v>0</v>
      </c>
      <c r="O417" s="74">
        <f t="shared" si="272"/>
        <v>0</v>
      </c>
      <c r="P417" s="74">
        <f t="shared" si="273"/>
        <v>0</v>
      </c>
      <c r="Q417" s="74">
        <f t="shared" ref="Q417:S417" ca="1" si="280">Q418+Q419</f>
        <v>0</v>
      </c>
      <c r="R417" s="74">
        <f t="shared" ca="1" si="280"/>
        <v>0</v>
      </c>
      <c r="S417" s="74">
        <f t="shared" ca="1" si="280"/>
        <v>0</v>
      </c>
      <c r="T417" s="74">
        <f t="shared" ca="1" si="275"/>
        <v>0</v>
      </c>
      <c r="U417" s="74">
        <f t="shared" ca="1" si="276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77">
        <f t="shared" si="272"/>
        <v>0</v>
      </c>
      <c r="P418" s="77">
        <f t="shared" si="273"/>
        <v>0</v>
      </c>
      <c r="Q418" s="77">
        <v>0</v>
      </c>
      <c r="R418" s="77">
        <v>0</v>
      </c>
      <c r="S418" s="77">
        <v>0</v>
      </c>
      <c r="T418" s="77">
        <f t="shared" si="275"/>
        <v>0</v>
      </c>
      <c r="U418" s="77">
        <f t="shared" si="276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74">
        <f t="shared" si="272"/>
        <v>0</v>
      </c>
      <c r="P419" s="74">
        <f t="shared" si="273"/>
        <v>0</v>
      </c>
      <c r="Q419" s="74">
        <f ca="1">IFERROR(__xludf.DUMMYFUNCTION("IMPORTRANGE(""https://docs.google.com/spreadsheets/d/1ItG2mGa2ceCfYo0BwxsXqNm01IGEUdYcSSLTEv9YCik/edit?usp=sharing"",""เบิกจ่ายกองทุน!BH61"")"),0)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IFERROR(__xludf.DUMMYFUNCTION("IMPORTRANGE(""https://docs.google.com/spreadsheets/d/1ItG2mGa2ceCfYo0BwxsXqNm01IGEUdYcSSLTEv9YCik/edit?usp=sharing"",""เบิกจ่ายกองทุน!BI61"")"),0)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IFERROR(__xludf.DUMMYFUNCTION("IMPORTRANGE(""https://docs.google.com/spreadsheets/d/1ItG2mGa2ceCfYo0BwxsXqNm01IGEUdYcSSLTEv9YCik/edit?usp=sharing"",""เบิกจ่ายกองทุน!BJ61"")"),0)</f>
        <v>0</v>
      </c>
      <c r="T419" s="74">
        <f t="shared" ca="1" si="275"/>
        <v>0</v>
      </c>
      <c r="U419" s="74">
        <f t="shared" ca="1" si="276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3">
        <f t="shared" ref="L420:N420" si="281">L421+L422</f>
        <v>0</v>
      </c>
      <c r="M420" s="74">
        <f t="shared" si="281"/>
        <v>0</v>
      </c>
      <c r="N420" s="74">
        <f t="shared" si="281"/>
        <v>0</v>
      </c>
      <c r="O420" s="74">
        <f t="shared" si="272"/>
        <v>0</v>
      </c>
      <c r="P420" s="74">
        <f t="shared" si="273"/>
        <v>0</v>
      </c>
      <c r="Q420" s="74">
        <f t="shared" ref="Q420:S420" si="282">Q421+Q422</f>
        <v>0</v>
      </c>
      <c r="R420" s="74">
        <f t="shared" si="282"/>
        <v>0</v>
      </c>
      <c r="S420" s="74">
        <f t="shared" si="282"/>
        <v>0</v>
      </c>
      <c r="T420" s="74">
        <f t="shared" si="275"/>
        <v>0</v>
      </c>
      <c r="U420" s="74">
        <f t="shared" si="276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77">
        <f t="shared" si="272"/>
        <v>0</v>
      </c>
      <c r="P421" s="77">
        <f t="shared" si="273"/>
        <v>0</v>
      </c>
      <c r="Q421" s="77">
        <v>0</v>
      </c>
      <c r="R421" s="77">
        <v>0</v>
      </c>
      <c r="S421" s="77">
        <v>0</v>
      </c>
      <c r="T421" s="77">
        <f t="shared" si="275"/>
        <v>0</v>
      </c>
      <c r="U421" s="77">
        <f t="shared" si="276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74">
        <f t="shared" si="272"/>
        <v>0</v>
      </c>
      <c r="P422" s="74">
        <f t="shared" si="273"/>
        <v>0</v>
      </c>
      <c r="Q422" s="74">
        <v>0</v>
      </c>
      <c r="R422" s="74">
        <v>0</v>
      </c>
      <c r="S422" s="74">
        <v>0</v>
      </c>
      <c r="T422" s="74">
        <f t="shared" si="275"/>
        <v>0</v>
      </c>
      <c r="U422" s="74">
        <f t="shared" si="276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3">I441</f>
        <v>0</v>
      </c>
      <c r="J424" s="622">
        <f t="shared" si="283"/>
        <v>0</v>
      </c>
      <c r="K424" s="264">
        <f t="shared" ref="K424:K426" ca="1" si="284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IFERROR(__xludf.DUMMYFUNCTION("IMPORTRANGE(""https://docs.google.com/spreadsheets/d/1eHaY18a8A9IcSdp1K8H6x8fbOy06t2VsZHhMHf-1x7Y/edit?usp=sharing"",""แผน!HJ61"")"),0)</f>
        <v>0</v>
      </c>
      <c r="J425" s="622">
        <f t="shared" ref="J425:J426" si="285">J427+J429+J431</f>
        <v>0</v>
      </c>
      <c r="K425" s="264">
        <f t="shared" ca="1" si="284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IFERROR(__xludf.DUMMYFUNCTION("IMPORTRANGE(""https://docs.google.com/spreadsheets/d/1eHaY18a8A9IcSdp1K8H6x8fbOy06t2VsZHhMHf-1x7Y/edit?usp=sharing"",""แผน!HK61"")"),0)</f>
        <v>0</v>
      </c>
      <c r="J426" s="622">
        <f t="shared" si="285"/>
        <v>0</v>
      </c>
      <c r="K426" s="264">
        <f t="shared" ca="1" si="284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IFERROR(__xludf.DUMMYFUNCTION("IMPORTRANGE(""https://docs.google.com/spreadsheets/d/1eHaY18a8A9IcSdp1K8H6x8fbOy06t2VsZHhMHf-1x7Y/edit?usp=sharing"",""แผน!HJ61"")"),0)</f>
        <v>0</v>
      </c>
      <c r="J433" s="622">
        <f t="shared" ref="J433:J434" si="286">J435+J437+J439</f>
        <v>0</v>
      </c>
      <c r="K433" s="264">
        <f t="shared" ref="K433:K434" ca="1" si="287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IFERROR(__xludf.DUMMYFUNCTION("IMPORTRANGE(""https://docs.google.com/spreadsheets/d/1eHaY18a8A9IcSdp1K8H6x8fbOy06t2VsZHhMHf-1x7Y/edit?usp=sharing"",""แผน!HK61"")"),0)</f>
        <v>0</v>
      </c>
      <c r="J434" s="622">
        <f t="shared" si="286"/>
        <v>0</v>
      </c>
      <c r="K434" s="264">
        <f t="shared" ca="1" si="287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IFERROR(__xludf.DUMMYFUNCTION("IMPORTRANGE(""https://docs.google.com/spreadsheets/d/1eHaY18a8A9IcSdp1K8H6x8fbOy06t2VsZHhMHf-1x7Y/edit?usp=sharing"",""แผน!HJ61"")"),0)</f>
        <v>0</v>
      </c>
      <c r="J441" s="622">
        <f t="shared" ref="J441:J442" si="288">J443+J445+J447+J453+J455</f>
        <v>0</v>
      </c>
      <c r="K441" s="264">
        <f t="shared" ref="K441:K442" ca="1" si="289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IFERROR(__xludf.DUMMYFUNCTION("IMPORTRANGE(""https://docs.google.com/spreadsheets/d/1eHaY18a8A9IcSdp1K8H6x8fbOy06t2VsZHhMHf-1x7Y/edit?usp=sharing"",""แผน!HK61"")"),0)</f>
        <v>0</v>
      </c>
      <c r="J442" s="622">
        <f t="shared" si="288"/>
        <v>0</v>
      </c>
      <c r="K442" s="264">
        <f t="shared" ca="1" si="289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90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90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1">I458</f>
        <v>0</v>
      </c>
      <c r="J457" s="622">
        <f t="shared" si="291"/>
        <v>0</v>
      </c>
      <c r="K457" s="264">
        <f t="shared" ref="K457:K459" ca="1" si="292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IFERROR(__xludf.DUMMYFUNCTION("IMPORTRANGE(""https://docs.google.com/spreadsheets/d/1eHaY18a8A9IcSdp1K8H6x8fbOy06t2VsZHhMHf-1x7Y/edit?usp=sharing"",""แผน!HL61"")"),0)</f>
        <v>0</v>
      </c>
      <c r="J458" s="622">
        <f t="shared" ref="J458:J459" si="293">J460+J468+J474</f>
        <v>0</v>
      </c>
      <c r="K458" s="264">
        <f t="shared" ca="1" si="292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IFERROR(__xludf.DUMMYFUNCTION("IMPORTRANGE(""https://docs.google.com/spreadsheets/d/1eHaY18a8A9IcSdp1K8H6x8fbOy06t2VsZHhMHf-1x7Y/edit?usp=sharing"",""แผน!HM61"")"),0)</f>
        <v>0</v>
      </c>
      <c r="J459" s="622">
        <f t="shared" si="293"/>
        <v>0</v>
      </c>
      <c r="K459" s="264">
        <f t="shared" ca="1" si="292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4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4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5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5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6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7">J479+J481</f>
        <v>0</v>
      </c>
      <c r="K477" s="264">
        <f t="shared" si="296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7"/>
        <v>0</v>
      </c>
      <c r="K478" s="264">
        <f t="shared" si="296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IFERROR(__xludf.DUMMYFUNCTION("IMPORTRANGE(""https://docs.google.com/spreadsheets/d/1eHaY18a8A9IcSdp1K8H6x8fbOy06t2VsZHhMHf-1x7Y/edit?usp=sharing"",""แผน!HN61"")"),0)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IFERROR(__xludf.DUMMYFUNCTION("IMPORTRANGE(""https://docs.google.com/spreadsheets/d/1eHaY18a8A9IcSdp1K8H6x8fbOy06t2VsZHhMHf-1x7Y/edit?usp=sharing"",""แผน!HO61"")"),0)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8">J481</f>
        <v>0</v>
      </c>
      <c r="J485" s="622">
        <f t="shared" ref="J485:J486" si="299">J487+J489+J491</f>
        <v>0</v>
      </c>
      <c r="K485" s="264">
        <f t="shared" ref="K485:K486" si="300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8"/>
        <v>0</v>
      </c>
      <c r="J486" s="622">
        <f t="shared" si="299"/>
        <v>0</v>
      </c>
      <c r="K486" s="264">
        <f t="shared" si="300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hidden="1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1">I504</f>
        <v>0</v>
      </c>
      <c r="J493" s="617">
        <f t="shared" ca="1" si="301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1257">
        <f t="shared" ref="L494:N494" si="302">L495+L496</f>
        <v>0</v>
      </c>
      <c r="M494" s="264">
        <f t="shared" si="302"/>
        <v>0</v>
      </c>
      <c r="N494" s="264">
        <f t="shared" si="302"/>
        <v>0</v>
      </c>
      <c r="O494" s="264">
        <f t="shared" ref="O494:O502" si="303">IF(L494&gt;0,N494*100/L494,0)</f>
        <v>0</v>
      </c>
      <c r="P494" s="264">
        <f t="shared" ref="P494:P502" si="304">IF(M494&gt;0,N494*100/M494,0)</f>
        <v>0</v>
      </c>
      <c r="Q494" s="264">
        <f t="shared" ref="Q494:S494" ca="1" si="305">Q495+Q496</f>
        <v>0</v>
      </c>
      <c r="R494" s="264">
        <f t="shared" ca="1" si="305"/>
        <v>0</v>
      </c>
      <c r="S494" s="264">
        <f t="shared" ca="1" si="305"/>
        <v>0</v>
      </c>
      <c r="T494" s="264">
        <f t="shared" ref="T494:T502" ca="1" si="306">IF(Q494&gt;0,S494*100/Q494,0)</f>
        <v>0</v>
      </c>
      <c r="U494" s="264">
        <f t="shared" ref="U494:U502" ca="1" si="307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6">
        <f t="shared" ref="L495:N496" si="308">L498+L501</f>
        <v>0</v>
      </c>
      <c r="M495" s="77">
        <f t="shared" si="308"/>
        <v>0</v>
      </c>
      <c r="N495" s="77">
        <f t="shared" si="308"/>
        <v>0</v>
      </c>
      <c r="O495" s="77">
        <f t="shared" si="303"/>
        <v>0</v>
      </c>
      <c r="P495" s="77">
        <f t="shared" si="304"/>
        <v>0</v>
      </c>
      <c r="Q495" s="77">
        <f t="shared" ref="Q495:S496" si="309">Q498+Q501</f>
        <v>0</v>
      </c>
      <c r="R495" s="77">
        <f t="shared" si="309"/>
        <v>0</v>
      </c>
      <c r="S495" s="77">
        <f t="shared" si="309"/>
        <v>0</v>
      </c>
      <c r="T495" s="77">
        <f t="shared" si="306"/>
        <v>0</v>
      </c>
      <c r="U495" s="77">
        <f t="shared" si="307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3">
        <f t="shared" si="308"/>
        <v>0</v>
      </c>
      <c r="M496" s="74">
        <f t="shared" si="308"/>
        <v>0</v>
      </c>
      <c r="N496" s="74">
        <f t="shared" si="308"/>
        <v>0</v>
      </c>
      <c r="O496" s="74">
        <f t="shared" si="303"/>
        <v>0</v>
      </c>
      <c r="P496" s="74">
        <f t="shared" si="304"/>
        <v>0</v>
      </c>
      <c r="Q496" s="74">
        <f t="shared" ca="1" si="309"/>
        <v>0</v>
      </c>
      <c r="R496" s="74">
        <f t="shared" ca="1" si="309"/>
        <v>0</v>
      </c>
      <c r="S496" s="74">
        <f t="shared" ca="1" si="309"/>
        <v>0</v>
      </c>
      <c r="T496" s="74">
        <f t="shared" ca="1" si="306"/>
        <v>0</v>
      </c>
      <c r="U496" s="74">
        <f t="shared" ca="1" si="307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3">
        <f t="shared" ref="L497:N497" si="310">L498+L499</f>
        <v>0</v>
      </c>
      <c r="M497" s="74">
        <f t="shared" si="310"/>
        <v>0</v>
      </c>
      <c r="N497" s="74">
        <f t="shared" si="310"/>
        <v>0</v>
      </c>
      <c r="O497" s="74">
        <f t="shared" si="303"/>
        <v>0</v>
      </c>
      <c r="P497" s="74">
        <f t="shared" si="304"/>
        <v>0</v>
      </c>
      <c r="Q497" s="74">
        <f t="shared" ref="Q497:S497" ca="1" si="311">Q498+Q499</f>
        <v>0</v>
      </c>
      <c r="R497" s="74">
        <f t="shared" ca="1" si="311"/>
        <v>0</v>
      </c>
      <c r="S497" s="74">
        <f t="shared" ca="1" si="311"/>
        <v>0</v>
      </c>
      <c r="T497" s="74">
        <f t="shared" ca="1" si="306"/>
        <v>0</v>
      </c>
      <c r="U497" s="74">
        <f t="shared" ca="1" si="307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77">
        <f t="shared" si="303"/>
        <v>0</v>
      </c>
      <c r="P498" s="77">
        <f t="shared" si="304"/>
        <v>0</v>
      </c>
      <c r="Q498" s="77">
        <v>0</v>
      </c>
      <c r="R498" s="77">
        <v>0</v>
      </c>
      <c r="S498" s="77">
        <v>0</v>
      </c>
      <c r="T498" s="77">
        <f t="shared" si="306"/>
        <v>0</v>
      </c>
      <c r="U498" s="77">
        <f t="shared" si="307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74">
        <f t="shared" si="303"/>
        <v>0</v>
      </c>
      <c r="P499" s="74">
        <f t="shared" si="304"/>
        <v>0</v>
      </c>
      <c r="Q499" s="74">
        <f ca="1">IFERROR(__xludf.DUMMYFUNCTION("IMPORTRANGE(""https://docs.google.com/spreadsheets/d/1ItG2mGa2ceCfYo0BwxsXqNm01IGEUdYcSSLTEv9YCik/edit?usp=sharing"",""เบิกจ่ายกองทุน!X61"")"),0)</f>
        <v>0</v>
      </c>
      <c r="R499" s="74">
        <f ca="1">IFERROR(__xludf.DUMMYFUNCTION("IMPORTRANGE(""https://docs.google.com/spreadsheets/d/1ItG2mGa2ceCfYo0BwxsXqNm01IGEUdYcSSLTEv9YCik/edit?usp=sharing"",""เบิกจ่ายกองทุน!Y61"")"),0)</f>
        <v>0</v>
      </c>
      <c r="S499" s="74">
        <f ca="1">IFERROR(__xludf.DUMMYFUNCTION("IMPORTRANGE(""https://docs.google.com/spreadsheets/d/1ItG2mGa2ceCfYo0BwxsXqNm01IGEUdYcSSLTEv9YCik/edit?usp=sharing"",""เบิกจ่ายกองทุน!Z61"")"),0)</f>
        <v>0</v>
      </c>
      <c r="T499" s="74">
        <f t="shared" ca="1" si="306"/>
        <v>0</v>
      </c>
      <c r="U499" s="74">
        <f t="shared" ca="1" si="307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3">
        <f t="shared" ref="L500:N500" si="312">L501+L502</f>
        <v>0</v>
      </c>
      <c r="M500" s="74">
        <f t="shared" si="312"/>
        <v>0</v>
      </c>
      <c r="N500" s="74">
        <f t="shared" si="312"/>
        <v>0</v>
      </c>
      <c r="O500" s="74">
        <f t="shared" si="303"/>
        <v>0</v>
      </c>
      <c r="P500" s="74">
        <f t="shared" si="304"/>
        <v>0</v>
      </c>
      <c r="Q500" s="74">
        <f t="shared" ref="Q500:S500" si="313">Q501+Q502</f>
        <v>0</v>
      </c>
      <c r="R500" s="74">
        <f t="shared" si="313"/>
        <v>0</v>
      </c>
      <c r="S500" s="74">
        <f t="shared" si="313"/>
        <v>0</v>
      </c>
      <c r="T500" s="74">
        <f t="shared" si="306"/>
        <v>0</v>
      </c>
      <c r="U500" s="74">
        <f t="shared" si="307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77">
        <f t="shared" si="303"/>
        <v>0</v>
      </c>
      <c r="P501" s="77">
        <f t="shared" si="304"/>
        <v>0</v>
      </c>
      <c r="Q501" s="77">
        <v>0</v>
      </c>
      <c r="R501" s="77">
        <v>0</v>
      </c>
      <c r="S501" s="77">
        <v>0</v>
      </c>
      <c r="T501" s="77">
        <f t="shared" si="306"/>
        <v>0</v>
      </c>
      <c r="U501" s="77">
        <f t="shared" si="307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74">
        <f t="shared" si="303"/>
        <v>0</v>
      </c>
      <c r="P502" s="74">
        <f t="shared" si="304"/>
        <v>0</v>
      </c>
      <c r="Q502" s="74">
        <v>0</v>
      </c>
      <c r="R502" s="74">
        <v>0</v>
      </c>
      <c r="S502" s="74">
        <v>0</v>
      </c>
      <c r="T502" s="74">
        <f t="shared" si="306"/>
        <v>0</v>
      </c>
      <c r="U502" s="74">
        <f t="shared" si="307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IFERROR(__xludf.DUMMYFUNCTION("IMPORTRANGE(""https://docs.google.com/spreadsheets/d/1eHaY18a8A9IcSdp1K8H6x8fbOy06t2VsZHhMHf-1x7Y/edit?usp=sharing"",""แผน!GX61"")"),0)</f>
        <v>0</v>
      </c>
      <c r="J504" s="622">
        <f ca="1">IF(AND(J505=I505,J506=I506,J507=I507,J508=I508),I504,0)</f>
        <v>0</v>
      </c>
      <c r="K504" s="264">
        <f t="shared" ref="K504:K510" ca="1" si="314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IFERROR(__xludf.DUMMYFUNCTION("IMPORTRANGE(""https://docs.google.com/spreadsheets/d/1eHaY18a8A9IcSdp1K8H6x8fbOy06t2VsZHhMHf-1x7Y/edit?usp=sharing"",""แผน!GY61"")"),0)</f>
        <v>0</v>
      </c>
      <c r="J505" s="294">
        <v>0</v>
      </c>
      <c r="K505" s="74">
        <f t="shared" ca="1" si="314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IFERROR(__xludf.DUMMYFUNCTION("IMPORTRANGE(""https://docs.google.com/spreadsheets/d/1eHaY18a8A9IcSdp1K8H6x8fbOy06t2VsZHhMHf-1x7Y/edit?usp=sharing"",""แผน!GZ61"")"),0)</f>
        <v>0</v>
      </c>
      <c r="J506" s="294">
        <v>0</v>
      </c>
      <c r="K506" s="74">
        <f t="shared" ca="1" si="314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IFERROR(__xludf.DUMMYFUNCTION("IMPORTRANGE(""https://docs.google.com/spreadsheets/d/1eHaY18a8A9IcSdp1K8H6x8fbOy06t2VsZHhMHf-1x7Y/edit?usp=sharing"",""แผน!HA61"")"),0)</f>
        <v>0</v>
      </c>
      <c r="J507" s="294">
        <v>0</v>
      </c>
      <c r="K507" s="74">
        <f t="shared" ca="1" si="314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IFERROR(__xludf.DUMMYFUNCTION("IMPORTRANGE(""https://docs.google.com/spreadsheets/d/1eHaY18a8A9IcSdp1K8H6x8fbOy06t2VsZHhMHf-1x7Y/edit?usp=sharing"",""แผน!HB61"")"),0)</f>
        <v>0</v>
      </c>
      <c r="J508" s="294">
        <v>0</v>
      </c>
      <c r="K508" s="74">
        <f t="shared" ca="1" si="314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4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IFERROR(__xludf.DUMMYFUNCTION("IMPORTRANGE(""https://docs.google.com/spreadsheets/d/1eHaY18a8A9IcSdp1K8H6x8fbOy06t2VsZHhMHf-1x7Y/edit?usp=sharing"",""แผน!HC61"")"),0)</f>
        <v>0</v>
      </c>
      <c r="J510" s="761">
        <v>0</v>
      </c>
      <c r="K510" s="182">
        <f t="shared" ca="1" si="314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8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204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1001" t="s">
        <v>61</v>
      </c>
      <c r="I513" s="988">
        <f t="shared" ref="I513:J513" si="315">I525</f>
        <v>0</v>
      </c>
      <c r="J513" s="988">
        <f t="shared" si="315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7">
        <f t="shared" ref="L514:N514" ca="1" si="316">L515+L516</f>
        <v>0</v>
      </c>
      <c r="M514" s="264">
        <f t="shared" ca="1" si="316"/>
        <v>0</v>
      </c>
      <c r="N514" s="264">
        <f t="shared" ca="1" si="316"/>
        <v>0</v>
      </c>
      <c r="O514" s="264">
        <f t="shared" ref="O514:O522" ca="1" si="317">IF(L514&gt;0,N514*100/L514,0)</f>
        <v>0</v>
      </c>
      <c r="P514" s="264">
        <f t="shared" ref="P514:P522" ca="1" si="318">IF(M514&gt;0,N514*100/M514,0)</f>
        <v>0</v>
      </c>
      <c r="Q514" s="264">
        <f t="shared" ref="Q514:S514" si="319">Q515+Q516</f>
        <v>0</v>
      </c>
      <c r="R514" s="264">
        <f t="shared" si="319"/>
        <v>0</v>
      </c>
      <c r="S514" s="264">
        <f t="shared" si="319"/>
        <v>0</v>
      </c>
      <c r="T514" s="264">
        <f t="shared" ref="T514:T522" si="320">IF(Q514&gt;0,S514*100/Q514,0)</f>
        <v>0</v>
      </c>
      <c r="U514" s="264">
        <f t="shared" ref="U514:U522" si="321">IF(R514&gt;0,S514*100/R514,0)</f>
        <v>0</v>
      </c>
    </row>
    <row r="515" spans="1:21" ht="18.75" hidden="1" x14ac:dyDescent="0.25">
      <c r="A515" s="257"/>
      <c r="B515" s="269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6">
        <f t="shared" ref="L515:N516" si="322">L518+L521</f>
        <v>0</v>
      </c>
      <c r="M515" s="77">
        <f t="shared" si="322"/>
        <v>0</v>
      </c>
      <c r="N515" s="77">
        <f t="shared" si="322"/>
        <v>0</v>
      </c>
      <c r="O515" s="77">
        <f t="shared" si="317"/>
        <v>0</v>
      </c>
      <c r="P515" s="77">
        <f t="shared" si="318"/>
        <v>0</v>
      </c>
      <c r="Q515" s="77">
        <f t="shared" ref="Q515:S516" si="323">Q518+Q521</f>
        <v>0</v>
      </c>
      <c r="R515" s="77">
        <f t="shared" si="323"/>
        <v>0</v>
      </c>
      <c r="S515" s="77">
        <f t="shared" si="323"/>
        <v>0</v>
      </c>
      <c r="T515" s="77">
        <f t="shared" si="320"/>
        <v>0</v>
      </c>
      <c r="U515" s="77">
        <f t="shared" si="321"/>
        <v>0</v>
      </c>
    </row>
    <row r="516" spans="1:21" ht="18.75" hidden="1" x14ac:dyDescent="0.25">
      <c r="A516" s="257"/>
      <c r="B516" s="258"/>
      <c r="C516" s="269"/>
      <c r="D516" s="258"/>
      <c r="E516" s="775" t="s">
        <v>21</v>
      </c>
      <c r="F516" s="258"/>
      <c r="G516" s="261"/>
      <c r="H516" s="266" t="s">
        <v>14</v>
      </c>
      <c r="I516" s="263"/>
      <c r="J516" s="263"/>
      <c r="K516" s="87"/>
      <c r="L516" s="73">
        <f t="shared" ca="1" si="322"/>
        <v>0</v>
      </c>
      <c r="M516" s="74">
        <f t="shared" ca="1" si="322"/>
        <v>0</v>
      </c>
      <c r="N516" s="74">
        <f t="shared" ca="1" si="322"/>
        <v>0</v>
      </c>
      <c r="O516" s="74">
        <f t="shared" ca="1" si="317"/>
        <v>0</v>
      </c>
      <c r="P516" s="74">
        <f t="shared" ca="1" si="318"/>
        <v>0</v>
      </c>
      <c r="Q516" s="74">
        <f t="shared" si="323"/>
        <v>0</v>
      </c>
      <c r="R516" s="74">
        <f t="shared" si="323"/>
        <v>0</v>
      </c>
      <c r="S516" s="74">
        <f t="shared" si="323"/>
        <v>0</v>
      </c>
      <c r="T516" s="74">
        <f t="shared" si="320"/>
        <v>0</v>
      </c>
      <c r="U516" s="74">
        <f t="shared" si="321"/>
        <v>0</v>
      </c>
    </row>
    <row r="517" spans="1:21" ht="18.75" hidden="1" x14ac:dyDescent="0.25">
      <c r="A517" s="257"/>
      <c r="B517" s="258"/>
      <c r="C517" s="269"/>
      <c r="D517" s="991" t="s">
        <v>22</v>
      </c>
      <c r="E517" s="269"/>
      <c r="F517" s="258"/>
      <c r="G517" s="261"/>
      <c r="H517" s="273" t="s">
        <v>14</v>
      </c>
      <c r="I517" s="272"/>
      <c r="J517" s="272"/>
      <c r="K517" s="229"/>
      <c r="L517" s="73">
        <f t="shared" ref="L517:N517" ca="1" si="324">L518+L519</f>
        <v>0</v>
      </c>
      <c r="M517" s="74">
        <f t="shared" ca="1" si="324"/>
        <v>0</v>
      </c>
      <c r="N517" s="74">
        <f t="shared" ca="1" si="324"/>
        <v>0</v>
      </c>
      <c r="O517" s="74">
        <f t="shared" ca="1" si="317"/>
        <v>0</v>
      </c>
      <c r="P517" s="74">
        <f t="shared" ca="1" si="318"/>
        <v>0</v>
      </c>
      <c r="Q517" s="74">
        <f t="shared" ref="Q517:S517" si="325">Q518+Q519</f>
        <v>0</v>
      </c>
      <c r="R517" s="74">
        <f t="shared" si="325"/>
        <v>0</v>
      </c>
      <c r="S517" s="74">
        <f t="shared" si="325"/>
        <v>0</v>
      </c>
      <c r="T517" s="74">
        <f t="shared" si="320"/>
        <v>0</v>
      </c>
      <c r="U517" s="74">
        <f t="shared" si="321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77">
        <f t="shared" si="317"/>
        <v>0</v>
      </c>
      <c r="P518" s="77">
        <f t="shared" si="318"/>
        <v>0</v>
      </c>
      <c r="Q518" s="77">
        <v>0</v>
      </c>
      <c r="R518" s="77">
        <v>0</v>
      </c>
      <c r="S518" s="77">
        <v>0</v>
      </c>
      <c r="T518" s="77">
        <f t="shared" si="320"/>
        <v>0</v>
      </c>
      <c r="U518" s="77">
        <f t="shared" si="321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3">
        <f ca="1">IFERROR(__xludf.DUMMYFUNCTION("IMPORTRANGE(""https://docs.google.com/spreadsheets/d/1-uDff_7J0KD5mKrp0Vvzr7lt3OU09vwQwhkpOPPYv2Y/edit?usp=sharing"",""งบพรบ!FM61"")"),0)</f>
        <v>0</v>
      </c>
      <c r="M519" s="74">
        <f ca="1">IFERROR(__xludf.DUMMYFUNCTION("IMPORTRANGE(""https://docs.google.com/spreadsheets/d/1-uDff_7J0KD5mKrp0Vvzr7lt3OU09vwQwhkpOPPYv2Y/edit?usp=sharing"",""งบพรบ!FR61"")"),0)</f>
        <v>0</v>
      </c>
      <c r="N519" s="74">
        <f ca="1">IFERROR(__xludf.DUMMYFUNCTION("IMPORTRANGE(""https://docs.google.com/spreadsheets/d/1-uDff_7J0KD5mKrp0Vvzr7lt3OU09vwQwhkpOPPYv2Y/edit?usp=sharing"",""งบพรบ!FT61"")"),0)</f>
        <v>0</v>
      </c>
      <c r="O519" s="74">
        <f t="shared" ca="1" si="317"/>
        <v>0</v>
      </c>
      <c r="P519" s="74">
        <f t="shared" ca="1" si="318"/>
        <v>0</v>
      </c>
      <c r="Q519" s="74">
        <v>0</v>
      </c>
      <c r="R519" s="74">
        <v>0</v>
      </c>
      <c r="S519" s="74">
        <v>0</v>
      </c>
      <c r="T519" s="74">
        <f t="shared" si="320"/>
        <v>0</v>
      </c>
      <c r="U519" s="74">
        <f t="shared" si="321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3">
        <f t="shared" ref="L520:N520" ca="1" si="326">L521+L522</f>
        <v>0</v>
      </c>
      <c r="M520" s="74">
        <f t="shared" ca="1" si="326"/>
        <v>0</v>
      </c>
      <c r="N520" s="74">
        <f t="shared" ca="1" si="326"/>
        <v>0</v>
      </c>
      <c r="O520" s="74">
        <f t="shared" ca="1" si="317"/>
        <v>0</v>
      </c>
      <c r="P520" s="74">
        <f t="shared" ca="1" si="318"/>
        <v>0</v>
      </c>
      <c r="Q520" s="74">
        <f t="shared" ref="Q520:S520" si="327">Q521+Q522</f>
        <v>0</v>
      </c>
      <c r="R520" s="74">
        <f t="shared" si="327"/>
        <v>0</v>
      </c>
      <c r="S520" s="74">
        <f t="shared" si="327"/>
        <v>0</v>
      </c>
      <c r="T520" s="74">
        <f t="shared" si="320"/>
        <v>0</v>
      </c>
      <c r="U520" s="74">
        <f t="shared" si="321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77">
        <f t="shared" si="317"/>
        <v>0</v>
      </c>
      <c r="P521" s="77">
        <f t="shared" si="318"/>
        <v>0</v>
      </c>
      <c r="Q521" s="77">
        <v>0</v>
      </c>
      <c r="R521" s="77">
        <v>0</v>
      </c>
      <c r="S521" s="77">
        <v>0</v>
      </c>
      <c r="T521" s="77">
        <f t="shared" si="320"/>
        <v>0</v>
      </c>
      <c r="U521" s="77">
        <f t="shared" si="321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3">
        <f ca="1">IFERROR(__xludf.DUMMYFUNCTION("IMPORTRANGE(""https://docs.google.com/spreadsheets/d/1-uDff_7J0KD5mKrp0Vvzr7lt3OU09vwQwhkpOPPYv2Y/edit?usp=sharing"",""งบพรบ!FP61"")"),0)</f>
        <v>0</v>
      </c>
      <c r="M522" s="74">
        <f ca="1">IFERROR(__xludf.DUMMYFUNCTION("IMPORTRANGE(""https://docs.google.com/spreadsheets/d/1-uDff_7J0KD5mKrp0Vvzr7lt3OU09vwQwhkpOPPYv2Y/edit?usp=sharing"",""งบพรบ!FS61"")"),0)</f>
        <v>0</v>
      </c>
      <c r="N522" s="74">
        <f ca="1">IFERROR(__xludf.DUMMYFUNCTION("IMPORTRANGE(""https://docs.google.com/spreadsheets/d/1-uDff_7J0KD5mKrp0Vvzr7lt3OU09vwQwhkpOPPYv2Y/edit?usp=sharing"",""งบพรบ!FU61"")"),0)</f>
        <v>0</v>
      </c>
      <c r="O522" s="74">
        <f t="shared" ca="1" si="317"/>
        <v>0</v>
      </c>
      <c r="P522" s="74">
        <f t="shared" ca="1" si="318"/>
        <v>0</v>
      </c>
      <c r="Q522" s="74">
        <v>0</v>
      </c>
      <c r="R522" s="74">
        <v>0</v>
      </c>
      <c r="S522" s="74">
        <v>0</v>
      </c>
      <c r="T522" s="74">
        <f t="shared" si="320"/>
        <v>0</v>
      </c>
      <c r="U522" s="74">
        <f t="shared" si="321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8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8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9">I546</f>
        <v>0</v>
      </c>
      <c r="J534" s="1002">
        <f t="shared" si="329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1257">
        <f t="shared" ref="L535:N535" si="330">L536+L537</f>
        <v>0</v>
      </c>
      <c r="M535" s="264">
        <f t="shared" si="330"/>
        <v>0</v>
      </c>
      <c r="N535" s="264">
        <f t="shared" si="330"/>
        <v>0</v>
      </c>
      <c r="O535" s="264">
        <f t="shared" ref="O535:O543" si="331">IF(L535&gt;0,N535*100/L535,0)</f>
        <v>0</v>
      </c>
      <c r="P535" s="264">
        <f t="shared" ref="P535:P543" si="332">IF(M535&gt;0,N535*100/M535,0)</f>
        <v>0</v>
      </c>
      <c r="Q535" s="264">
        <f t="shared" ref="Q535:S535" si="333">Q536+Q537</f>
        <v>0</v>
      </c>
      <c r="R535" s="264">
        <f t="shared" si="333"/>
        <v>0</v>
      </c>
      <c r="S535" s="264">
        <f t="shared" si="333"/>
        <v>0</v>
      </c>
      <c r="T535" s="264">
        <f t="shared" ref="T535:T543" si="334">IF(Q535&gt;0,S535*100/Q535,0)</f>
        <v>0</v>
      </c>
      <c r="U535" s="264">
        <f t="shared" ref="U535:U543" si="335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6">
        <f t="shared" ref="L536:N537" si="336">L539+L542</f>
        <v>0</v>
      </c>
      <c r="M536" s="77">
        <f t="shared" si="336"/>
        <v>0</v>
      </c>
      <c r="N536" s="77">
        <f t="shared" si="336"/>
        <v>0</v>
      </c>
      <c r="O536" s="77">
        <f t="shared" si="331"/>
        <v>0</v>
      </c>
      <c r="P536" s="77">
        <f t="shared" si="332"/>
        <v>0</v>
      </c>
      <c r="Q536" s="77">
        <f t="shared" ref="Q536:S537" si="337">Q539+Q542</f>
        <v>0</v>
      </c>
      <c r="R536" s="77">
        <f t="shared" si="337"/>
        <v>0</v>
      </c>
      <c r="S536" s="77">
        <f t="shared" si="337"/>
        <v>0</v>
      </c>
      <c r="T536" s="77">
        <f t="shared" si="334"/>
        <v>0</v>
      </c>
      <c r="U536" s="77">
        <f t="shared" si="335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3">
        <f t="shared" si="336"/>
        <v>0</v>
      </c>
      <c r="M537" s="74">
        <f t="shared" si="336"/>
        <v>0</v>
      </c>
      <c r="N537" s="74">
        <f t="shared" si="336"/>
        <v>0</v>
      </c>
      <c r="O537" s="74">
        <f t="shared" si="331"/>
        <v>0</v>
      </c>
      <c r="P537" s="74">
        <f t="shared" si="332"/>
        <v>0</v>
      </c>
      <c r="Q537" s="74">
        <f t="shared" si="337"/>
        <v>0</v>
      </c>
      <c r="R537" s="74">
        <f t="shared" si="337"/>
        <v>0</v>
      </c>
      <c r="S537" s="74">
        <f t="shared" si="337"/>
        <v>0</v>
      </c>
      <c r="T537" s="74">
        <f t="shared" si="334"/>
        <v>0</v>
      </c>
      <c r="U537" s="74">
        <f t="shared" si="335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3">
        <f t="shared" ref="L538:N538" si="338">L539+L540</f>
        <v>0</v>
      </c>
      <c r="M538" s="74">
        <f t="shared" si="338"/>
        <v>0</v>
      </c>
      <c r="N538" s="74">
        <f t="shared" si="338"/>
        <v>0</v>
      </c>
      <c r="O538" s="74">
        <f t="shared" si="331"/>
        <v>0</v>
      </c>
      <c r="P538" s="74">
        <f t="shared" si="332"/>
        <v>0</v>
      </c>
      <c r="Q538" s="74">
        <f t="shared" ref="Q538:S538" si="339">Q539+Q540</f>
        <v>0</v>
      </c>
      <c r="R538" s="74">
        <f t="shared" si="339"/>
        <v>0</v>
      </c>
      <c r="S538" s="74">
        <f t="shared" si="339"/>
        <v>0</v>
      </c>
      <c r="T538" s="74">
        <f t="shared" si="334"/>
        <v>0</v>
      </c>
      <c r="U538" s="74">
        <f t="shared" si="335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77">
        <f t="shared" si="331"/>
        <v>0</v>
      </c>
      <c r="P539" s="77">
        <f t="shared" si="332"/>
        <v>0</v>
      </c>
      <c r="Q539" s="77">
        <v>0</v>
      </c>
      <c r="R539" s="77">
        <v>0</v>
      </c>
      <c r="S539" s="77">
        <v>0</v>
      </c>
      <c r="T539" s="77">
        <f t="shared" si="334"/>
        <v>0</v>
      </c>
      <c r="U539" s="77">
        <f t="shared" si="335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74">
        <f t="shared" si="331"/>
        <v>0</v>
      </c>
      <c r="P540" s="74">
        <f t="shared" si="332"/>
        <v>0</v>
      </c>
      <c r="Q540" s="74">
        <v>0</v>
      </c>
      <c r="R540" s="74">
        <v>0</v>
      </c>
      <c r="S540" s="74">
        <v>0</v>
      </c>
      <c r="T540" s="74">
        <f t="shared" si="334"/>
        <v>0</v>
      </c>
      <c r="U540" s="74">
        <f t="shared" si="335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3">
        <f t="shared" ref="L541:N541" si="340">L542+L543</f>
        <v>0</v>
      </c>
      <c r="M541" s="74">
        <f t="shared" si="340"/>
        <v>0</v>
      </c>
      <c r="N541" s="74">
        <f t="shared" si="340"/>
        <v>0</v>
      </c>
      <c r="O541" s="74">
        <f t="shared" si="331"/>
        <v>0</v>
      </c>
      <c r="P541" s="74">
        <f t="shared" si="332"/>
        <v>0</v>
      </c>
      <c r="Q541" s="74">
        <f t="shared" ref="Q541:S541" si="341">Q542+Q543</f>
        <v>0</v>
      </c>
      <c r="R541" s="74">
        <f t="shared" si="341"/>
        <v>0</v>
      </c>
      <c r="S541" s="74">
        <f t="shared" si="341"/>
        <v>0</v>
      </c>
      <c r="T541" s="74">
        <f t="shared" si="334"/>
        <v>0</v>
      </c>
      <c r="U541" s="74">
        <f t="shared" si="335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77">
        <f t="shared" si="331"/>
        <v>0</v>
      </c>
      <c r="P542" s="77">
        <f t="shared" si="332"/>
        <v>0</v>
      </c>
      <c r="Q542" s="77">
        <v>0</v>
      </c>
      <c r="R542" s="77">
        <v>0</v>
      </c>
      <c r="S542" s="77">
        <v>0</v>
      </c>
      <c r="T542" s="77">
        <f t="shared" si="334"/>
        <v>0</v>
      </c>
      <c r="U542" s="77">
        <f t="shared" si="335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74">
        <f t="shared" si="331"/>
        <v>0</v>
      </c>
      <c r="P543" s="74">
        <f t="shared" si="332"/>
        <v>0</v>
      </c>
      <c r="Q543" s="74">
        <v>0</v>
      </c>
      <c r="R543" s="74">
        <v>0</v>
      </c>
      <c r="S543" s="74">
        <v>0</v>
      </c>
      <c r="T543" s="74">
        <f t="shared" si="334"/>
        <v>0</v>
      </c>
      <c r="U543" s="74">
        <f t="shared" si="335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2">I567</f>
        <v>0</v>
      </c>
      <c r="J555" s="1002">
        <f t="shared" si="342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1257">
        <f t="shared" ref="L556:N556" si="343">L557+L558</f>
        <v>0</v>
      </c>
      <c r="M556" s="264">
        <f t="shared" si="343"/>
        <v>0</v>
      </c>
      <c r="N556" s="264">
        <f t="shared" si="343"/>
        <v>0</v>
      </c>
      <c r="O556" s="264">
        <f t="shared" ref="O556:O564" si="344">IF(L556&gt;0,N556*100/L556,0)</f>
        <v>0</v>
      </c>
      <c r="P556" s="264">
        <f t="shared" ref="P556:P564" si="345">IF(M556&gt;0,N556*100/M556,0)</f>
        <v>0</v>
      </c>
      <c r="Q556" s="264">
        <f t="shared" ref="Q556:S556" si="346">Q557+Q558</f>
        <v>0</v>
      </c>
      <c r="R556" s="264">
        <f t="shared" si="346"/>
        <v>0</v>
      </c>
      <c r="S556" s="264">
        <f t="shared" si="346"/>
        <v>0</v>
      </c>
      <c r="T556" s="264">
        <f t="shared" ref="T556:T564" si="347">IF(Q556&gt;0,S556*100/Q556,0)</f>
        <v>0</v>
      </c>
      <c r="U556" s="264">
        <f t="shared" ref="U556:U564" si="348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6">
        <f t="shared" ref="L557:N558" si="349">L560+L563</f>
        <v>0</v>
      </c>
      <c r="M557" s="77">
        <f t="shared" si="349"/>
        <v>0</v>
      </c>
      <c r="N557" s="77">
        <f t="shared" si="349"/>
        <v>0</v>
      </c>
      <c r="O557" s="77">
        <f t="shared" si="344"/>
        <v>0</v>
      </c>
      <c r="P557" s="77">
        <f t="shared" si="345"/>
        <v>0</v>
      </c>
      <c r="Q557" s="77">
        <f t="shared" ref="Q557:S558" si="350">Q560+Q563</f>
        <v>0</v>
      </c>
      <c r="R557" s="77">
        <f t="shared" si="350"/>
        <v>0</v>
      </c>
      <c r="S557" s="77">
        <f t="shared" si="350"/>
        <v>0</v>
      </c>
      <c r="T557" s="77">
        <f t="shared" si="347"/>
        <v>0</v>
      </c>
      <c r="U557" s="77">
        <f t="shared" si="348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3">
        <f t="shared" si="349"/>
        <v>0</v>
      </c>
      <c r="M558" s="74">
        <f t="shared" si="349"/>
        <v>0</v>
      </c>
      <c r="N558" s="74">
        <f t="shared" si="349"/>
        <v>0</v>
      </c>
      <c r="O558" s="74">
        <f t="shared" si="344"/>
        <v>0</v>
      </c>
      <c r="P558" s="74">
        <f t="shared" si="345"/>
        <v>0</v>
      </c>
      <c r="Q558" s="74">
        <f t="shared" si="350"/>
        <v>0</v>
      </c>
      <c r="R558" s="74">
        <f t="shared" si="350"/>
        <v>0</v>
      </c>
      <c r="S558" s="74">
        <f t="shared" si="350"/>
        <v>0</v>
      </c>
      <c r="T558" s="74">
        <f t="shared" si="347"/>
        <v>0</v>
      </c>
      <c r="U558" s="74">
        <f t="shared" si="348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3">
        <f t="shared" ref="L559:N559" si="351">L560+L561</f>
        <v>0</v>
      </c>
      <c r="M559" s="74">
        <f t="shared" si="351"/>
        <v>0</v>
      </c>
      <c r="N559" s="74">
        <f t="shared" si="351"/>
        <v>0</v>
      </c>
      <c r="O559" s="74">
        <f t="shared" si="344"/>
        <v>0</v>
      </c>
      <c r="P559" s="74">
        <f t="shared" si="345"/>
        <v>0</v>
      </c>
      <c r="Q559" s="74">
        <f t="shared" ref="Q559:S559" si="352">Q560+Q561</f>
        <v>0</v>
      </c>
      <c r="R559" s="74">
        <f t="shared" si="352"/>
        <v>0</v>
      </c>
      <c r="S559" s="74">
        <f t="shared" si="352"/>
        <v>0</v>
      </c>
      <c r="T559" s="74">
        <f t="shared" si="347"/>
        <v>0</v>
      </c>
      <c r="U559" s="74">
        <f t="shared" si="348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77">
        <f t="shared" si="344"/>
        <v>0</v>
      </c>
      <c r="P560" s="77">
        <f t="shared" si="345"/>
        <v>0</v>
      </c>
      <c r="Q560" s="77">
        <v>0</v>
      </c>
      <c r="R560" s="77">
        <v>0</v>
      </c>
      <c r="S560" s="77">
        <v>0</v>
      </c>
      <c r="T560" s="77">
        <f t="shared" si="347"/>
        <v>0</v>
      </c>
      <c r="U560" s="77">
        <f t="shared" si="348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74">
        <f t="shared" si="344"/>
        <v>0</v>
      </c>
      <c r="P561" s="74">
        <f t="shared" si="345"/>
        <v>0</v>
      </c>
      <c r="Q561" s="74">
        <v>0</v>
      </c>
      <c r="R561" s="74">
        <v>0</v>
      </c>
      <c r="S561" s="74">
        <v>0</v>
      </c>
      <c r="T561" s="74">
        <f t="shared" si="347"/>
        <v>0</v>
      </c>
      <c r="U561" s="74">
        <f t="shared" si="348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3">
        <f t="shared" ref="L562:N562" si="353">L563+L564</f>
        <v>0</v>
      </c>
      <c r="M562" s="74">
        <f t="shared" si="353"/>
        <v>0</v>
      </c>
      <c r="N562" s="74">
        <f t="shared" si="353"/>
        <v>0</v>
      </c>
      <c r="O562" s="74">
        <f t="shared" si="344"/>
        <v>0</v>
      </c>
      <c r="P562" s="74">
        <f t="shared" si="345"/>
        <v>0</v>
      </c>
      <c r="Q562" s="74">
        <f t="shared" ref="Q562:S562" si="354">Q563+Q564</f>
        <v>0</v>
      </c>
      <c r="R562" s="74">
        <f t="shared" si="354"/>
        <v>0</v>
      </c>
      <c r="S562" s="74">
        <f t="shared" si="354"/>
        <v>0</v>
      </c>
      <c r="T562" s="74">
        <f t="shared" si="347"/>
        <v>0</v>
      </c>
      <c r="U562" s="74">
        <f t="shared" si="348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77">
        <f t="shared" si="344"/>
        <v>0</v>
      </c>
      <c r="P563" s="77">
        <f t="shared" si="345"/>
        <v>0</v>
      </c>
      <c r="Q563" s="77">
        <v>0</v>
      </c>
      <c r="R563" s="77">
        <v>0</v>
      </c>
      <c r="S563" s="77">
        <v>0</v>
      </c>
      <c r="T563" s="77">
        <f t="shared" si="347"/>
        <v>0</v>
      </c>
      <c r="U563" s="77">
        <f t="shared" si="348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74">
        <f t="shared" si="344"/>
        <v>0</v>
      </c>
      <c r="P564" s="74">
        <f t="shared" si="345"/>
        <v>0</v>
      </c>
      <c r="Q564" s="74">
        <v>0</v>
      </c>
      <c r="R564" s="74">
        <v>0</v>
      </c>
      <c r="S564" s="74">
        <v>0</v>
      </c>
      <c r="T564" s="74">
        <f t="shared" si="347"/>
        <v>0</v>
      </c>
      <c r="U564" s="74">
        <f t="shared" si="348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5">I588</f>
        <v>0</v>
      </c>
      <c r="J576" s="1002">
        <f t="shared" si="355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1257">
        <f t="shared" ref="L577:N577" si="356">L578+L579</f>
        <v>0</v>
      </c>
      <c r="M577" s="264">
        <f t="shared" si="356"/>
        <v>0</v>
      </c>
      <c r="N577" s="264">
        <f t="shared" si="356"/>
        <v>0</v>
      </c>
      <c r="O577" s="264">
        <f t="shared" ref="O577:O585" si="357">IF(L577&gt;0,N577*100/L577,0)</f>
        <v>0</v>
      </c>
      <c r="P577" s="264">
        <f t="shared" ref="P577:P585" si="358">IF(M577&gt;0,N577*100/M577,0)</f>
        <v>0</v>
      </c>
      <c r="Q577" s="264">
        <f t="shared" ref="Q577:S577" si="359">Q578+Q579</f>
        <v>0</v>
      </c>
      <c r="R577" s="264">
        <f t="shared" si="359"/>
        <v>0</v>
      </c>
      <c r="S577" s="264">
        <f t="shared" si="359"/>
        <v>0</v>
      </c>
      <c r="T577" s="264">
        <f t="shared" ref="T577:T585" si="360">IF(Q577&gt;0,S577*100/Q577,0)</f>
        <v>0</v>
      </c>
      <c r="U577" s="264">
        <f t="shared" ref="U577:U585" si="361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6">
        <f t="shared" ref="L578:N579" si="362">L581+L584</f>
        <v>0</v>
      </c>
      <c r="M578" s="77">
        <f t="shared" si="362"/>
        <v>0</v>
      </c>
      <c r="N578" s="77">
        <f t="shared" si="362"/>
        <v>0</v>
      </c>
      <c r="O578" s="77">
        <f t="shared" si="357"/>
        <v>0</v>
      </c>
      <c r="P578" s="77">
        <f t="shared" si="358"/>
        <v>0</v>
      </c>
      <c r="Q578" s="77">
        <f t="shared" ref="Q578:S579" si="363">Q581+Q584</f>
        <v>0</v>
      </c>
      <c r="R578" s="77">
        <f t="shared" si="363"/>
        <v>0</v>
      </c>
      <c r="S578" s="77">
        <f t="shared" si="363"/>
        <v>0</v>
      </c>
      <c r="T578" s="77">
        <f t="shared" si="360"/>
        <v>0</v>
      </c>
      <c r="U578" s="77">
        <f t="shared" si="361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3">
        <f t="shared" si="362"/>
        <v>0</v>
      </c>
      <c r="M579" s="74">
        <f t="shared" si="362"/>
        <v>0</v>
      </c>
      <c r="N579" s="74">
        <f t="shared" si="362"/>
        <v>0</v>
      </c>
      <c r="O579" s="74">
        <f t="shared" si="357"/>
        <v>0</v>
      </c>
      <c r="P579" s="74">
        <f t="shared" si="358"/>
        <v>0</v>
      </c>
      <c r="Q579" s="74">
        <f t="shared" si="363"/>
        <v>0</v>
      </c>
      <c r="R579" s="74">
        <f t="shared" si="363"/>
        <v>0</v>
      </c>
      <c r="S579" s="74">
        <f t="shared" si="363"/>
        <v>0</v>
      </c>
      <c r="T579" s="74">
        <f t="shared" si="360"/>
        <v>0</v>
      </c>
      <c r="U579" s="74">
        <f t="shared" si="361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3">
        <f t="shared" ref="L580:N580" si="364">L581+L582</f>
        <v>0</v>
      </c>
      <c r="M580" s="74">
        <f t="shared" si="364"/>
        <v>0</v>
      </c>
      <c r="N580" s="74">
        <f t="shared" si="364"/>
        <v>0</v>
      </c>
      <c r="O580" s="74">
        <f t="shared" si="357"/>
        <v>0</v>
      </c>
      <c r="P580" s="74">
        <f t="shared" si="358"/>
        <v>0</v>
      </c>
      <c r="Q580" s="74">
        <f t="shared" ref="Q580:S580" si="365">Q581+Q582</f>
        <v>0</v>
      </c>
      <c r="R580" s="74">
        <f t="shared" si="365"/>
        <v>0</v>
      </c>
      <c r="S580" s="74">
        <f t="shared" si="365"/>
        <v>0</v>
      </c>
      <c r="T580" s="74">
        <f t="shared" si="360"/>
        <v>0</v>
      </c>
      <c r="U580" s="74">
        <f t="shared" si="361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77">
        <f t="shared" si="357"/>
        <v>0</v>
      </c>
      <c r="P581" s="77">
        <f t="shared" si="358"/>
        <v>0</v>
      </c>
      <c r="Q581" s="77">
        <v>0</v>
      </c>
      <c r="R581" s="77">
        <v>0</v>
      </c>
      <c r="S581" s="77">
        <v>0</v>
      </c>
      <c r="T581" s="77">
        <f t="shared" si="360"/>
        <v>0</v>
      </c>
      <c r="U581" s="77">
        <f t="shared" si="361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74">
        <f t="shared" si="357"/>
        <v>0</v>
      </c>
      <c r="P582" s="74">
        <f t="shared" si="358"/>
        <v>0</v>
      </c>
      <c r="Q582" s="74">
        <v>0</v>
      </c>
      <c r="R582" s="74">
        <v>0</v>
      </c>
      <c r="S582" s="74">
        <v>0</v>
      </c>
      <c r="T582" s="74">
        <f t="shared" si="360"/>
        <v>0</v>
      </c>
      <c r="U582" s="74">
        <f t="shared" si="361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3">
        <f t="shared" ref="L583:N583" si="366">L584+L585</f>
        <v>0</v>
      </c>
      <c r="M583" s="74">
        <f t="shared" si="366"/>
        <v>0</v>
      </c>
      <c r="N583" s="74">
        <f t="shared" si="366"/>
        <v>0</v>
      </c>
      <c r="O583" s="74">
        <f t="shared" si="357"/>
        <v>0</v>
      </c>
      <c r="P583" s="74">
        <f t="shared" si="358"/>
        <v>0</v>
      </c>
      <c r="Q583" s="74">
        <f t="shared" ref="Q583:S583" si="367">Q584+Q585</f>
        <v>0</v>
      </c>
      <c r="R583" s="74">
        <f t="shared" si="367"/>
        <v>0</v>
      </c>
      <c r="S583" s="74">
        <f t="shared" si="367"/>
        <v>0</v>
      </c>
      <c r="T583" s="74">
        <f t="shared" si="360"/>
        <v>0</v>
      </c>
      <c r="U583" s="74">
        <f t="shared" si="361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77">
        <f t="shared" si="357"/>
        <v>0</v>
      </c>
      <c r="P584" s="77">
        <f t="shared" si="358"/>
        <v>0</v>
      </c>
      <c r="Q584" s="77">
        <v>0</v>
      </c>
      <c r="R584" s="77">
        <v>0</v>
      </c>
      <c r="S584" s="77">
        <v>0</v>
      </c>
      <c r="T584" s="77">
        <f t="shared" si="360"/>
        <v>0</v>
      </c>
      <c r="U584" s="77">
        <f t="shared" si="361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74">
        <f t="shared" si="357"/>
        <v>0</v>
      </c>
      <c r="P585" s="74">
        <f t="shared" si="358"/>
        <v>0</v>
      </c>
      <c r="Q585" s="74">
        <v>0</v>
      </c>
      <c r="R585" s="74">
        <v>0</v>
      </c>
      <c r="S585" s="74">
        <v>0</v>
      </c>
      <c r="T585" s="74">
        <f t="shared" si="360"/>
        <v>0</v>
      </c>
      <c r="U585" s="74">
        <f t="shared" si="361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1257">
        <f t="shared" ref="L600:N600" si="368">L601+L602</f>
        <v>0</v>
      </c>
      <c r="M600" s="264">
        <f t="shared" si="368"/>
        <v>0</v>
      </c>
      <c r="N600" s="264">
        <f t="shared" si="368"/>
        <v>0</v>
      </c>
      <c r="O600" s="264">
        <f t="shared" ref="O600:O608" si="369">IF(L600&gt;0,N600*100/L600,0)</f>
        <v>0</v>
      </c>
      <c r="P600" s="264">
        <f t="shared" ref="P600:P608" si="370">IF(M600&gt;0,N600*100/M600,0)</f>
        <v>0</v>
      </c>
      <c r="Q600" s="264">
        <f t="shared" ref="Q600:S600" si="371">Q601+Q602</f>
        <v>0</v>
      </c>
      <c r="R600" s="264">
        <f t="shared" si="371"/>
        <v>0</v>
      </c>
      <c r="S600" s="264">
        <f t="shared" si="371"/>
        <v>0</v>
      </c>
      <c r="T600" s="264">
        <f t="shared" ref="T600:T608" si="372">IF(Q600&gt;0,S600*100/Q600,0)</f>
        <v>0</v>
      </c>
      <c r="U600" s="264">
        <f t="shared" ref="U600:U608" si="373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6">
        <f t="shared" ref="L601:N602" si="374">L604+L607</f>
        <v>0</v>
      </c>
      <c r="M601" s="77">
        <f t="shared" si="374"/>
        <v>0</v>
      </c>
      <c r="N601" s="77">
        <f t="shared" si="374"/>
        <v>0</v>
      </c>
      <c r="O601" s="77">
        <f t="shared" si="369"/>
        <v>0</v>
      </c>
      <c r="P601" s="77">
        <f t="shared" si="370"/>
        <v>0</v>
      </c>
      <c r="Q601" s="77">
        <f t="shared" ref="Q601:S602" si="375">Q604+Q607</f>
        <v>0</v>
      </c>
      <c r="R601" s="77">
        <f t="shared" si="375"/>
        <v>0</v>
      </c>
      <c r="S601" s="77">
        <f t="shared" si="375"/>
        <v>0</v>
      </c>
      <c r="T601" s="77">
        <f t="shared" si="372"/>
        <v>0</v>
      </c>
      <c r="U601" s="77">
        <f t="shared" si="373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3">
        <f t="shared" si="374"/>
        <v>0</v>
      </c>
      <c r="M602" s="74">
        <f t="shared" si="374"/>
        <v>0</v>
      </c>
      <c r="N602" s="74">
        <f t="shared" si="374"/>
        <v>0</v>
      </c>
      <c r="O602" s="74">
        <f t="shared" si="369"/>
        <v>0</v>
      </c>
      <c r="P602" s="74">
        <f t="shared" si="370"/>
        <v>0</v>
      </c>
      <c r="Q602" s="74">
        <f t="shared" si="375"/>
        <v>0</v>
      </c>
      <c r="R602" s="74">
        <f t="shared" si="375"/>
        <v>0</v>
      </c>
      <c r="S602" s="74">
        <f t="shared" si="375"/>
        <v>0</v>
      </c>
      <c r="T602" s="74">
        <f t="shared" si="372"/>
        <v>0</v>
      </c>
      <c r="U602" s="74">
        <f t="shared" si="373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3">
        <f t="shared" ref="L603:N603" si="376">L604+L605</f>
        <v>0</v>
      </c>
      <c r="M603" s="74">
        <f t="shared" si="376"/>
        <v>0</v>
      </c>
      <c r="N603" s="74">
        <f t="shared" si="376"/>
        <v>0</v>
      </c>
      <c r="O603" s="74">
        <f t="shared" si="369"/>
        <v>0</v>
      </c>
      <c r="P603" s="74">
        <f t="shared" si="370"/>
        <v>0</v>
      </c>
      <c r="Q603" s="74">
        <f t="shared" ref="Q603:S603" si="377">Q604+Q605</f>
        <v>0</v>
      </c>
      <c r="R603" s="74">
        <f t="shared" si="377"/>
        <v>0</v>
      </c>
      <c r="S603" s="74">
        <f t="shared" si="377"/>
        <v>0</v>
      </c>
      <c r="T603" s="74">
        <f t="shared" si="372"/>
        <v>0</v>
      </c>
      <c r="U603" s="74">
        <f t="shared" si="373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77">
        <f t="shared" si="369"/>
        <v>0</v>
      </c>
      <c r="P604" s="77">
        <f t="shared" si="370"/>
        <v>0</v>
      </c>
      <c r="Q604" s="77">
        <v>0</v>
      </c>
      <c r="R604" s="77">
        <v>0</v>
      </c>
      <c r="S604" s="77">
        <v>0</v>
      </c>
      <c r="T604" s="77">
        <f t="shared" si="372"/>
        <v>0</v>
      </c>
      <c r="U604" s="77">
        <f t="shared" si="373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74">
        <f t="shared" si="369"/>
        <v>0</v>
      </c>
      <c r="P605" s="74">
        <f t="shared" si="370"/>
        <v>0</v>
      </c>
      <c r="Q605" s="74">
        <v>0</v>
      </c>
      <c r="R605" s="74">
        <v>0</v>
      </c>
      <c r="S605" s="74">
        <v>0</v>
      </c>
      <c r="T605" s="74">
        <f t="shared" si="372"/>
        <v>0</v>
      </c>
      <c r="U605" s="74">
        <f t="shared" si="373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3">
        <f t="shared" ref="L606:N606" si="378">L607+L608</f>
        <v>0</v>
      </c>
      <c r="M606" s="74">
        <f t="shared" si="378"/>
        <v>0</v>
      </c>
      <c r="N606" s="74">
        <f t="shared" si="378"/>
        <v>0</v>
      </c>
      <c r="O606" s="74">
        <f t="shared" si="369"/>
        <v>0</v>
      </c>
      <c r="P606" s="74">
        <f t="shared" si="370"/>
        <v>0</v>
      </c>
      <c r="Q606" s="74">
        <f t="shared" ref="Q606:S606" si="379">Q607+Q608</f>
        <v>0</v>
      </c>
      <c r="R606" s="74">
        <f t="shared" si="379"/>
        <v>0</v>
      </c>
      <c r="S606" s="74">
        <f t="shared" si="379"/>
        <v>0</v>
      </c>
      <c r="T606" s="74">
        <f t="shared" si="372"/>
        <v>0</v>
      </c>
      <c r="U606" s="74">
        <f t="shared" si="373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77">
        <f t="shared" si="369"/>
        <v>0</v>
      </c>
      <c r="P607" s="77">
        <f t="shared" si="370"/>
        <v>0</v>
      </c>
      <c r="Q607" s="77">
        <v>0</v>
      </c>
      <c r="R607" s="77">
        <v>0</v>
      </c>
      <c r="S607" s="77">
        <v>0</v>
      </c>
      <c r="T607" s="77">
        <f t="shared" si="372"/>
        <v>0</v>
      </c>
      <c r="U607" s="77">
        <f t="shared" si="373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74">
        <f t="shared" si="369"/>
        <v>0</v>
      </c>
      <c r="P608" s="74">
        <f t="shared" si="370"/>
        <v>0</v>
      </c>
      <c r="Q608" s="74">
        <v>0</v>
      </c>
      <c r="R608" s="74">
        <v>0</v>
      </c>
      <c r="S608" s="74">
        <v>0</v>
      </c>
      <c r="T608" s="74">
        <f t="shared" si="372"/>
        <v>0</v>
      </c>
      <c r="U608" s="74">
        <f t="shared" si="373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740">
        <f t="shared" ref="I616:J616" ca="1" si="380">I627</f>
        <v>100</v>
      </c>
      <c r="J616" s="740">
        <f t="shared" si="380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1257">
        <f t="shared" ref="L617:N617" si="381">L618+L619</f>
        <v>0</v>
      </c>
      <c r="M617" s="264">
        <f t="shared" si="381"/>
        <v>0</v>
      </c>
      <c r="N617" s="264">
        <f t="shared" si="381"/>
        <v>0</v>
      </c>
      <c r="O617" s="264">
        <f t="shared" ref="O617:O625" si="382">IF(L617&gt;0,N617*100/L617,0)</f>
        <v>0</v>
      </c>
      <c r="P617" s="264">
        <f t="shared" ref="P617:P625" si="383">IF(M617&gt;0,N617*100/M617,0)</f>
        <v>0</v>
      </c>
      <c r="Q617" s="264">
        <f t="shared" ref="Q617:S617" ca="1" si="384">Q618+Q619</f>
        <v>12275</v>
      </c>
      <c r="R617" s="264">
        <f t="shared" ca="1" si="384"/>
        <v>12275</v>
      </c>
      <c r="S617" s="264">
        <f t="shared" ca="1" si="384"/>
        <v>2940</v>
      </c>
      <c r="T617" s="264">
        <f t="shared" ref="T617:T625" ca="1" si="385">IF(Q617&gt;0,S617*100/Q617,0)</f>
        <v>23.951120162932789</v>
      </c>
      <c r="U617" s="264">
        <f t="shared" ref="U617:U625" ca="1" si="386">IF(R617&gt;0,S617*100/R617,0)</f>
        <v>23.951120162932789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6">
        <f t="shared" ref="L618:N619" si="387">L621+L624</f>
        <v>0</v>
      </c>
      <c r="M618" s="77">
        <f t="shared" si="387"/>
        <v>0</v>
      </c>
      <c r="N618" s="77">
        <f t="shared" si="387"/>
        <v>0</v>
      </c>
      <c r="O618" s="77">
        <f t="shared" si="382"/>
        <v>0</v>
      </c>
      <c r="P618" s="77">
        <f t="shared" si="383"/>
        <v>0</v>
      </c>
      <c r="Q618" s="77">
        <f t="shared" ref="Q618:S619" si="388">Q621+Q624</f>
        <v>0</v>
      </c>
      <c r="R618" s="77">
        <f t="shared" si="388"/>
        <v>0</v>
      </c>
      <c r="S618" s="77">
        <f t="shared" si="388"/>
        <v>0</v>
      </c>
      <c r="T618" s="77">
        <f t="shared" si="385"/>
        <v>0</v>
      </c>
      <c r="U618" s="77">
        <f t="shared" si="386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3">
        <f t="shared" si="387"/>
        <v>0</v>
      </c>
      <c r="M619" s="74">
        <f t="shared" si="387"/>
        <v>0</v>
      </c>
      <c r="N619" s="74">
        <f t="shared" si="387"/>
        <v>0</v>
      </c>
      <c r="O619" s="74">
        <f t="shared" si="382"/>
        <v>0</v>
      </c>
      <c r="P619" s="74">
        <f t="shared" si="383"/>
        <v>0</v>
      </c>
      <c r="Q619" s="74">
        <f t="shared" ca="1" si="388"/>
        <v>12275</v>
      </c>
      <c r="R619" s="74">
        <f t="shared" ca="1" si="388"/>
        <v>12275</v>
      </c>
      <c r="S619" s="74">
        <f t="shared" ca="1" si="388"/>
        <v>2940</v>
      </c>
      <c r="T619" s="74">
        <f t="shared" ca="1" si="385"/>
        <v>23.951120162932789</v>
      </c>
      <c r="U619" s="74">
        <f t="shared" ca="1" si="386"/>
        <v>23.951120162932789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3">
        <f t="shared" ref="L620:N620" si="389">L621+L622</f>
        <v>0</v>
      </c>
      <c r="M620" s="74">
        <f t="shared" si="389"/>
        <v>0</v>
      </c>
      <c r="N620" s="74">
        <f t="shared" si="389"/>
        <v>0</v>
      </c>
      <c r="O620" s="74">
        <f t="shared" si="382"/>
        <v>0</v>
      </c>
      <c r="P620" s="74">
        <f t="shared" si="383"/>
        <v>0</v>
      </c>
      <c r="Q620" s="74">
        <f t="shared" ref="Q620:S620" ca="1" si="390">Q621+Q622</f>
        <v>12275</v>
      </c>
      <c r="R620" s="74">
        <f t="shared" ca="1" si="390"/>
        <v>12275</v>
      </c>
      <c r="S620" s="74">
        <f t="shared" ca="1" si="390"/>
        <v>2940</v>
      </c>
      <c r="T620" s="74">
        <f t="shared" ca="1" si="385"/>
        <v>23.951120162932789</v>
      </c>
      <c r="U620" s="74">
        <f t="shared" ca="1" si="386"/>
        <v>23.951120162932789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77">
        <f t="shared" si="382"/>
        <v>0</v>
      </c>
      <c r="P621" s="77">
        <f t="shared" si="383"/>
        <v>0</v>
      </c>
      <c r="Q621" s="77">
        <v>0</v>
      </c>
      <c r="R621" s="77">
        <v>0</v>
      </c>
      <c r="S621" s="77">
        <v>0</v>
      </c>
      <c r="T621" s="77">
        <f t="shared" si="385"/>
        <v>0</v>
      </c>
      <c r="U621" s="77">
        <f t="shared" si="386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74">
        <f t="shared" si="382"/>
        <v>0</v>
      </c>
      <c r="P622" s="74">
        <f t="shared" si="383"/>
        <v>0</v>
      </c>
      <c r="Q622" s="74">
        <f ca="1">IFERROR(__xludf.DUMMYFUNCTION("IMPORTRANGE(""https://docs.google.com/spreadsheets/d/1ItG2mGa2ceCfYo0BwxsXqNm01IGEUdYcSSLTEv9YCik/edit?usp=sharing"",""เบิกจ่ายกองทุน!F61"")"),12275)</f>
        <v>12275</v>
      </c>
      <c r="R622" s="74">
        <f ca="1">IFERROR(__xludf.DUMMYFUNCTION("IMPORTRANGE(""https://docs.google.com/spreadsheets/d/1ItG2mGa2ceCfYo0BwxsXqNm01IGEUdYcSSLTEv9YCik/edit?usp=sharing"",""เบิกจ่ายกองทุน!G61"")"),12275)</f>
        <v>12275</v>
      </c>
      <c r="S622" s="74">
        <f ca="1">IFERROR(__xludf.DUMMYFUNCTION("IMPORTRANGE(""https://docs.google.com/spreadsheets/d/1ItG2mGa2ceCfYo0BwxsXqNm01IGEUdYcSSLTEv9YCik/edit?usp=sharing"",""เบิกจ่ายกองทุน!H61"")"),2940)</f>
        <v>2940</v>
      </c>
      <c r="T622" s="74">
        <f t="shared" ca="1" si="385"/>
        <v>23.951120162932789</v>
      </c>
      <c r="U622" s="74">
        <f t="shared" ca="1" si="386"/>
        <v>23.951120162932789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3">
        <f t="shared" ref="L623:N623" si="391">L624+L625</f>
        <v>0</v>
      </c>
      <c r="M623" s="74">
        <f t="shared" si="391"/>
        <v>0</v>
      </c>
      <c r="N623" s="74">
        <f t="shared" si="391"/>
        <v>0</v>
      </c>
      <c r="O623" s="74">
        <f t="shared" si="382"/>
        <v>0</v>
      </c>
      <c r="P623" s="74">
        <f t="shared" si="383"/>
        <v>0</v>
      </c>
      <c r="Q623" s="74">
        <f t="shared" ref="Q623:S623" si="392">Q624+Q625</f>
        <v>0</v>
      </c>
      <c r="R623" s="74">
        <f t="shared" si="392"/>
        <v>0</v>
      </c>
      <c r="S623" s="74">
        <f t="shared" si="392"/>
        <v>0</v>
      </c>
      <c r="T623" s="74">
        <f t="shared" si="385"/>
        <v>0</v>
      </c>
      <c r="U623" s="74">
        <f t="shared" si="386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77">
        <f t="shared" si="382"/>
        <v>0</v>
      </c>
      <c r="P624" s="77">
        <f t="shared" si="383"/>
        <v>0</v>
      </c>
      <c r="Q624" s="77">
        <v>0</v>
      </c>
      <c r="R624" s="77">
        <v>0</v>
      </c>
      <c r="S624" s="77">
        <v>0</v>
      </c>
      <c r="T624" s="77">
        <f t="shared" si="385"/>
        <v>0</v>
      </c>
      <c r="U624" s="77">
        <f t="shared" si="386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74">
        <f t="shared" si="382"/>
        <v>0</v>
      </c>
      <c r="P625" s="74">
        <f t="shared" si="383"/>
        <v>0</v>
      </c>
      <c r="Q625" s="74">
        <v>0</v>
      </c>
      <c r="R625" s="74">
        <v>0</v>
      </c>
      <c r="S625" s="74">
        <v>0</v>
      </c>
      <c r="T625" s="74">
        <f t="shared" si="385"/>
        <v>0</v>
      </c>
      <c r="U625" s="74">
        <f t="shared" si="386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IFERROR(__xludf.DUMMYFUNCTION("IMPORTRANGE(""https://docs.google.com/spreadsheets/d/1eHaY18a8A9IcSdp1K8H6x8fbOy06t2VsZHhMHf-1x7Y/edit?usp=sharing"",""แผน!ID61"")"),100)</f>
        <v>100</v>
      </c>
      <c r="J627" s="622">
        <f>J633</f>
        <v>0</v>
      </c>
      <c r="K627" s="26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IFERROR(__xludf.DUMMYFUNCTION("IMPORTRANGE(""https://docs.google.com/spreadsheets/d/1eHaY18a8A9IcSdp1K8H6x8fbOy06t2VsZHhMHf-1x7Y/edit?usp=sharing"",""แผน!IC61"")"),1)</f>
        <v>1</v>
      </c>
      <c r="J628" s="294">
        <v>0</v>
      </c>
      <c r="K628" s="74">
        <f t="shared" ref="K628:K629" ca="1" si="393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IFERROR(__xludf.DUMMYFUNCTION("IMPORTRANGE(""https://docs.google.com/spreadsheets/d/1eHaY18a8A9IcSdp1K8H6x8fbOy06t2VsZHhMHf-1x7Y/edit?usp=sharing"",""แผน!IC61"")"),1)</f>
        <v>1</v>
      </c>
      <c r="J629" s="294">
        <v>0</v>
      </c>
      <c r="K629" s="74">
        <f t="shared" ca="1" si="393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0</v>
      </c>
      <c r="K630" s="74">
        <f t="shared" ref="K630:K632" ca="1" si="394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t="shared" ca="1" si="394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t="shared" ca="1" si="394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IFERROR(__xludf.DUMMYFUNCTION("IMPORTRANGE(""https://docs.google.com/spreadsheets/d/1eHaY18a8A9IcSdp1K8H6x8fbOy06t2VsZHhMHf-1x7Y/edit?usp=sharing"",""แผน!IE61"")"),0)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1257">
        <f t="shared" ref="L643:N643" si="395">L644+L645</f>
        <v>0</v>
      </c>
      <c r="M643" s="264">
        <f t="shared" si="395"/>
        <v>0</v>
      </c>
      <c r="N643" s="264">
        <f t="shared" si="395"/>
        <v>0</v>
      </c>
      <c r="O643" s="264">
        <f t="shared" ref="O643:O651" si="396">IF(L643&gt;0,N643*100/L643,0)</f>
        <v>0</v>
      </c>
      <c r="P643" s="264">
        <f t="shared" ref="P643:P651" si="397">IF(M643&gt;0,N643*100/M643,0)</f>
        <v>0</v>
      </c>
      <c r="Q643" s="264">
        <f t="shared" ref="Q643:S643" ca="1" si="398">Q644+Q645</f>
        <v>52200</v>
      </c>
      <c r="R643" s="264">
        <f t="shared" ca="1" si="398"/>
        <v>52200</v>
      </c>
      <c r="S643" s="264">
        <f t="shared" ca="1" si="398"/>
        <v>0</v>
      </c>
      <c r="T643" s="264">
        <f t="shared" ref="T643:T651" ca="1" si="399">IF(Q643&gt;0,S643*100/Q643,0)</f>
        <v>0</v>
      </c>
      <c r="U643" s="264">
        <f t="shared" ref="U643:U651" ca="1" si="400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6">
        <f t="shared" ref="L644:N645" si="401">L647+L650</f>
        <v>0</v>
      </c>
      <c r="M644" s="77">
        <f t="shared" si="401"/>
        <v>0</v>
      </c>
      <c r="N644" s="77">
        <f t="shared" si="401"/>
        <v>0</v>
      </c>
      <c r="O644" s="77">
        <f t="shared" si="396"/>
        <v>0</v>
      </c>
      <c r="P644" s="77">
        <f t="shared" si="397"/>
        <v>0</v>
      </c>
      <c r="Q644" s="77">
        <f t="shared" ref="Q644:S645" si="402">Q647+Q650</f>
        <v>0</v>
      </c>
      <c r="R644" s="77">
        <f t="shared" si="402"/>
        <v>0</v>
      </c>
      <c r="S644" s="77">
        <f t="shared" si="402"/>
        <v>0</v>
      </c>
      <c r="T644" s="77">
        <f t="shared" si="399"/>
        <v>0</v>
      </c>
      <c r="U644" s="77">
        <f t="shared" si="400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3">
        <f t="shared" si="401"/>
        <v>0</v>
      </c>
      <c r="M645" s="74">
        <f t="shared" si="401"/>
        <v>0</v>
      </c>
      <c r="N645" s="74">
        <f t="shared" si="401"/>
        <v>0</v>
      </c>
      <c r="O645" s="74">
        <f t="shared" si="396"/>
        <v>0</v>
      </c>
      <c r="P645" s="74">
        <f t="shared" si="397"/>
        <v>0</v>
      </c>
      <c r="Q645" s="74">
        <f t="shared" ca="1" si="402"/>
        <v>52200</v>
      </c>
      <c r="R645" s="74">
        <f t="shared" ca="1" si="402"/>
        <v>52200</v>
      </c>
      <c r="S645" s="74">
        <f t="shared" ca="1" si="402"/>
        <v>0</v>
      </c>
      <c r="T645" s="74">
        <f t="shared" ca="1" si="399"/>
        <v>0</v>
      </c>
      <c r="U645" s="74">
        <f t="shared" ca="1" si="400"/>
        <v>0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3">
        <f t="shared" ref="L646:N646" si="403">L647+L648</f>
        <v>0</v>
      </c>
      <c r="M646" s="74">
        <f t="shared" si="403"/>
        <v>0</v>
      </c>
      <c r="N646" s="74">
        <f t="shared" si="403"/>
        <v>0</v>
      </c>
      <c r="O646" s="74">
        <f t="shared" si="396"/>
        <v>0</v>
      </c>
      <c r="P646" s="74">
        <f t="shared" si="397"/>
        <v>0</v>
      </c>
      <c r="Q646" s="74">
        <f t="shared" ref="Q646:S646" ca="1" si="404">Q647+Q648</f>
        <v>52200</v>
      </c>
      <c r="R646" s="74">
        <f t="shared" ca="1" si="404"/>
        <v>52200</v>
      </c>
      <c r="S646" s="74">
        <f t="shared" ca="1" si="404"/>
        <v>0</v>
      </c>
      <c r="T646" s="74">
        <f t="shared" ca="1" si="399"/>
        <v>0</v>
      </c>
      <c r="U646" s="74">
        <f t="shared" ca="1" si="400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77">
        <f t="shared" si="396"/>
        <v>0</v>
      </c>
      <c r="P647" s="77">
        <f t="shared" si="397"/>
        <v>0</v>
      </c>
      <c r="Q647" s="77">
        <v>0</v>
      </c>
      <c r="R647" s="77">
        <v>0</v>
      </c>
      <c r="S647" s="77">
        <v>0</v>
      </c>
      <c r="T647" s="77">
        <f t="shared" si="399"/>
        <v>0</v>
      </c>
      <c r="U647" s="77">
        <f t="shared" si="400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74">
        <f t="shared" si="396"/>
        <v>0</v>
      </c>
      <c r="P648" s="74">
        <f t="shared" si="397"/>
        <v>0</v>
      </c>
      <c r="Q648" s="74">
        <f ca="1">IFERROR(__xludf.DUMMYFUNCTION("IMPORTRANGE(""https://docs.google.com/spreadsheets/d/1ItG2mGa2ceCfYo0BwxsXqNm01IGEUdYcSSLTEv9YCik/edit?usp=sharing"",""เบิกจ่ายกองทุน!I61"")"),52200)</f>
        <v>52200</v>
      </c>
      <c r="R648" s="74">
        <f ca="1">IFERROR(__xludf.DUMMYFUNCTION("IMPORTRANGE(""https://docs.google.com/spreadsheets/d/1ItG2mGa2ceCfYo0BwxsXqNm01IGEUdYcSSLTEv9YCik/edit?usp=sharing"",""เบิกจ่ายกองทุน!J61"")"),52200)</f>
        <v>52200</v>
      </c>
      <c r="S648" s="74">
        <f ca="1">IFERROR(__xludf.DUMMYFUNCTION("IMPORTRANGE(""https://docs.google.com/spreadsheets/d/1ItG2mGa2ceCfYo0BwxsXqNm01IGEUdYcSSLTEv9YCik/edit?usp=sharing"",""เบิกจ่ายกองทุน!K61"")"),0)</f>
        <v>0</v>
      </c>
      <c r="T648" s="74">
        <f t="shared" ca="1" si="399"/>
        <v>0</v>
      </c>
      <c r="U648" s="74">
        <f t="shared" ca="1" si="400"/>
        <v>0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3">
        <f t="shared" ref="L649:N649" si="405">L650+L651</f>
        <v>0</v>
      </c>
      <c r="M649" s="74">
        <f t="shared" si="405"/>
        <v>0</v>
      </c>
      <c r="N649" s="74">
        <f t="shared" si="405"/>
        <v>0</v>
      </c>
      <c r="O649" s="74">
        <f t="shared" si="396"/>
        <v>0</v>
      </c>
      <c r="P649" s="74">
        <f t="shared" si="397"/>
        <v>0</v>
      </c>
      <c r="Q649" s="74">
        <f t="shared" ref="Q649:S649" si="406">Q650+Q651</f>
        <v>0</v>
      </c>
      <c r="R649" s="74">
        <f t="shared" si="406"/>
        <v>0</v>
      </c>
      <c r="S649" s="74">
        <f t="shared" si="406"/>
        <v>0</v>
      </c>
      <c r="T649" s="74">
        <f t="shared" si="399"/>
        <v>0</v>
      </c>
      <c r="U649" s="74">
        <f t="shared" si="400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77">
        <f t="shared" si="396"/>
        <v>0</v>
      </c>
      <c r="P650" s="77">
        <f t="shared" si="397"/>
        <v>0</v>
      </c>
      <c r="Q650" s="77">
        <v>0</v>
      </c>
      <c r="R650" s="77">
        <v>0</v>
      </c>
      <c r="S650" s="77">
        <v>0</v>
      </c>
      <c r="T650" s="77">
        <f t="shared" si="399"/>
        <v>0</v>
      </c>
      <c r="U650" s="77">
        <f t="shared" si="400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74">
        <f t="shared" si="396"/>
        <v>0</v>
      </c>
      <c r="P651" s="74">
        <f t="shared" si="397"/>
        <v>0</v>
      </c>
      <c r="Q651" s="74">
        <v>0</v>
      </c>
      <c r="R651" s="74">
        <v>0</v>
      </c>
      <c r="S651" s="74">
        <v>0</v>
      </c>
      <c r="T651" s="74">
        <f t="shared" si="399"/>
        <v>0</v>
      </c>
      <c r="U651" s="74">
        <f t="shared" si="400"/>
        <v>0</v>
      </c>
    </row>
    <row r="652" spans="1:21" ht="19.5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IFERROR(__xludf.DUMMYFUNCTION("IMPORTRANGE(""https://docs.google.com/spreadsheets/d/1eHaY18a8A9IcSdp1K8H6x8fbOy06t2VsZHhMHf-1x7Y/edit?usp=sharing"",""แผน!IF61"")"),0)</f>
        <v>0</v>
      </c>
      <c r="J653" s="293">
        <f ca="1">IFERROR(__xludf.DUMMYFUNCTION("IMPORTRANGE(""https://docs.google.com/spreadsheets/d/1tdoBKaGub7dwA3U6UFTqxio9LNnvDCQjHKmttSEBsFQ/edit?usp=sharing"",""จัดที่ดิน!AU61"")"),0)</f>
        <v>0</v>
      </c>
      <c r="K653" s="74">
        <f t="shared" ref="K653:K655" ca="1" si="407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hidden="1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IFERROR(__xludf.DUMMYFUNCTION("IMPORTRANGE(""https://docs.google.com/spreadsheets/d/1eHaY18a8A9IcSdp1K8H6x8fbOy06t2VsZHhMHf-1x7Y/edit?usp=sharing"",""แผน!IG61"")"),0)</f>
        <v>0</v>
      </c>
      <c r="J654" s="293">
        <f ca="1">IFERROR(__xludf.DUMMYFUNCTION("IMPORTRANGE(""https://docs.google.com/spreadsheets/d/1tdoBKaGub7dwA3U6UFTqxio9LNnvDCQjHKmttSEBsFQ/edit?usp=sharing"",""จัดที่ดิน!AW61"")"),0)</f>
        <v>0</v>
      </c>
      <c r="K654" s="74">
        <f t="shared" ca="1" si="407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IFERROR(__xludf.DUMMYFUNCTION("IMPORTRANGE(""https://docs.google.com/spreadsheets/d/1eHaY18a8A9IcSdp1K8H6x8fbOy06t2VsZHhMHf-1x7Y/edit?usp=sharing"",""แผน!IH61"")"),130)</f>
        <v>130</v>
      </c>
      <c r="J655" s="622">
        <f>J658+J661</f>
        <v>120.33</v>
      </c>
      <c r="K655" s="264">
        <f t="shared" ca="1" si="407"/>
        <v>92.561538461538461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20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21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IFERROR(__xludf.DUMMYFUNCTION("IMPORTRANGE(""https://docs.google.com/spreadsheets/d/1eHaY18a8A9IcSdp1K8H6x8fbOy06t2VsZHhMHf-1x7Y/edit?usp=sharing"",""แผน!II61"")"),130)</f>
        <v>130</v>
      </c>
      <c r="J658" s="294">
        <v>120.33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/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/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IFERROR(__xludf.DUMMYFUNCTION("IMPORTRANGE(""https://docs.google.com/spreadsheets/d/1eHaY18a8A9IcSdp1K8H6x8fbOy06t2VsZHhMHf-1x7Y/edit?usp=sharing"",""แผน!IJ61"")"),0)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IFERROR(__xludf.DUMMYFUNCTION("IMPORTRANGE(""https://docs.google.com/spreadsheets/d/1eHaY18a8A9IcSdp1K8H6x8fbOy06t2VsZHhMHf-1x7Y/edit?usp=sharing"",""แผน!IK61"")"),100)</f>
        <v>100</v>
      </c>
      <c r="J662" s="622">
        <f>J668+J671</f>
        <v>74.88</v>
      </c>
      <c r="K662" s="264">
        <f ca="1">IF(I662&gt;0,J662*100/I662,0)</f>
        <v>74.88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11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12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74.88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IFERROR(__xludf.DUMMYFUNCTION("IMPORTRANGE(""https://docs.google.com/spreadsheets/d/1tdoBKaGub7dwA3U6UFTqxio9LNnvDCQjHKmttSEBsFQ/edit?usp=sharing"",""จัดที่ดิน!AY61"")"),4)</f>
        <v>4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IFERROR(__xludf.DUMMYFUNCTION("IMPORTRANGE(""https://docs.google.com/spreadsheets/d/1tdoBKaGub7dwA3U6UFTqxio9LNnvDCQjHKmttSEBsFQ/edit?usp=sharing"",""จัดที่ดิน!AZ61"")"),6)</f>
        <v>6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IFERROR(__xludf.DUMMYFUNCTION("IMPORTRANGE(""https://docs.google.com/spreadsheets/d/1eHaY18a8A9IcSdp1K8H6x8fbOy06t2VsZHhMHf-1x7Y/edit?usp=sharing"",""แผน!IL61"")"),400)</f>
        <v>400</v>
      </c>
      <c r="J674" s="293">
        <f ca="1">IFERROR(__xludf.DUMMYFUNCTION("IMPORTRANGE(""https://docs.google.com/spreadsheets/d/1tdoBKaGub7dwA3U6UFTqxio9LNnvDCQjHKmttSEBsFQ/edit?usp=sharing"",""จัดที่ดิน!BA61"")"),51.26)</f>
        <v>51.26</v>
      </c>
      <c r="K674" s="74">
        <f t="shared" ref="K674:K677" ca="1" si="408">IF(I674&gt;0,J674*100/I674,0)</f>
        <v>12.815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IFERROR(__xludf.DUMMYFUNCTION("IMPORTRANGE(""https://docs.google.com/spreadsheets/d/1eHaY18a8A9IcSdp1K8H6x8fbOy06t2VsZHhMHf-1x7Y/edit?usp=sharing"",""แผน!IM61"")"),30)</f>
        <v>30</v>
      </c>
      <c r="J675" s="622">
        <f ca="1">J677+J680</f>
        <v>65</v>
      </c>
      <c r="K675" s="264">
        <f t="shared" ca="1" si="408"/>
        <v>216.66666666666666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IFERROR(__xludf.DUMMYFUNCTION("IMPORTRANGE(""https://docs.google.com/spreadsheets/d/1eHaY18a8A9IcSdp1K8H6x8fbOy06t2VsZHhMHf-1x7Y/edit?usp=sharing"",""แผน!IN61"")"),250)</f>
        <v>250</v>
      </c>
      <c r="J676" s="622">
        <f ca="1">J679+J682</f>
        <v>444.88</v>
      </c>
      <c r="K676" s="264">
        <f t="shared" ca="1" si="408"/>
        <v>177.952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IFERROR(__xludf.DUMMYFUNCTION("IMPORTRANGE(""https://docs.google.com/spreadsheets/d/1eHaY18a8A9IcSdp1K8H6x8fbOy06t2VsZHhMHf-1x7Y/edit?usp=sharing"",""แผน!IO61"")"),15)</f>
        <v>15</v>
      </c>
      <c r="J677" s="293">
        <f ca="1">IFERROR(__xludf.DUMMYFUNCTION("IMPORTRANGE(""https://docs.google.com/spreadsheets/d/1tdoBKaGub7dwA3U6UFTqxio9LNnvDCQjHKmttSEBsFQ/edit?usp=sharing"",""จัดที่ดิน!BF61"")"),15)</f>
        <v>15</v>
      </c>
      <c r="K677" s="74">
        <f t="shared" ca="1" si="408"/>
        <v>100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IFERROR(__xludf.DUMMYFUNCTION("IMPORTRANGE(""https://docs.google.com/spreadsheets/d/1tdoBKaGub7dwA3U6UFTqxio9LNnvDCQjHKmttSEBsFQ/edit?usp=sharing"",""จัดที่ดิน!BG61"")"),16)</f>
        <v>16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IFERROR(__xludf.DUMMYFUNCTION("IMPORTRANGE(""https://docs.google.com/spreadsheets/d/1eHaY18a8A9IcSdp1K8H6x8fbOy06t2VsZHhMHf-1x7Y/edit?usp=sharing"",""แผน!IP61"")"),150)</f>
        <v>150</v>
      </c>
      <c r="J679" s="293">
        <f ca="1">IFERROR(__xludf.DUMMYFUNCTION("IMPORTRANGE(""https://docs.google.com/spreadsheets/d/1tdoBKaGub7dwA3U6UFTqxio9LNnvDCQjHKmttSEBsFQ/edit?usp=sharing"",""จัดที่ดิน!BH61"")"),135.83)</f>
        <v>135.83000000000001</v>
      </c>
      <c r="K679" s="74">
        <f t="shared" ref="K679:K680" ca="1" si="409">IF(I679&gt;0,J679*100/I679,0)</f>
        <v>90.553333333333342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IFERROR(__xludf.DUMMYFUNCTION("IMPORTRANGE(""https://docs.google.com/spreadsheets/d/1eHaY18a8A9IcSdp1K8H6x8fbOy06t2VsZHhMHf-1x7Y/edit?usp=sharing"",""แผน!IQ61"")"),15)</f>
        <v>15</v>
      </c>
      <c r="J680" s="293">
        <f ca="1">IFERROR(__xludf.DUMMYFUNCTION("IMPORTRANGE(""https://docs.google.com/spreadsheets/d/1tdoBKaGub7dwA3U6UFTqxio9LNnvDCQjHKmttSEBsFQ/edit?usp=sharing"",""จัดที่ดิน!BK61"")"),50)</f>
        <v>50</v>
      </c>
      <c r="K680" s="74">
        <f t="shared" ca="1" si="409"/>
        <v>333.33333333333331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IFERROR(__xludf.DUMMYFUNCTION("IMPORTRANGE(""https://docs.google.com/spreadsheets/d/1tdoBKaGub7dwA3U6UFTqxio9LNnvDCQjHKmttSEBsFQ/edit?usp=sharing"",""จัดที่ดิน!BL61"")"),59)</f>
        <v>59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IFERROR(__xludf.DUMMYFUNCTION("IMPORTRANGE(""https://docs.google.com/spreadsheets/d/1eHaY18a8A9IcSdp1K8H6x8fbOy06t2VsZHhMHf-1x7Y/edit?usp=sharing"",""แผน!IR61"")"),100)</f>
        <v>100</v>
      </c>
      <c r="J682" s="293">
        <f ca="1">IFERROR(__xludf.DUMMYFUNCTION("IMPORTRANGE(""https://docs.google.com/spreadsheets/d/1tdoBKaGub7dwA3U6UFTqxio9LNnvDCQjHKmttSEBsFQ/edit?usp=sharing"",""จัดที่ดิน!BM61"")"),309.05)</f>
        <v>309.05</v>
      </c>
      <c r="K682" s="74">
        <f t="shared" ref="K682:K683" ca="1" si="410">IF(I682&gt;0,J682*100/I682,0)</f>
        <v>309.05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IFERROR(__xludf.DUMMYFUNCTION("IMPORTRANGE(""https://docs.google.com/spreadsheets/d/1eHaY18a8A9IcSdp1K8H6x8fbOy06t2VsZHhMHf-1x7Y/edit?usp=sharing"",""แผน!IS61"")"),70)</f>
        <v>70</v>
      </c>
      <c r="J683" s="622">
        <f>J686+J689</f>
        <v>70.61</v>
      </c>
      <c r="K683" s="264">
        <f t="shared" ca="1" si="410"/>
        <v>100.87142857142857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9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9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70.61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64" t="s">
        <v>35</v>
      </c>
      <c r="I690" s="765">
        <f t="shared" ref="I690:J690" ca="1" si="411">I708</f>
        <v>0</v>
      </c>
      <c r="J690" s="765">
        <f t="shared" ca="1" si="411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1257">
        <f t="shared" ref="L691:N691" si="412">L692+L693</f>
        <v>0</v>
      </c>
      <c r="M691" s="264">
        <f t="shared" si="412"/>
        <v>0</v>
      </c>
      <c r="N691" s="264">
        <f t="shared" si="412"/>
        <v>0</v>
      </c>
      <c r="O691" s="264">
        <f t="shared" ref="O691:O699" si="413">IF(L691&gt;0,N691*100/L691,0)</f>
        <v>0</v>
      </c>
      <c r="P691" s="264">
        <f t="shared" ref="P691:P699" si="414">IF(M691&gt;0,N691*100/M691,0)</f>
        <v>0</v>
      </c>
      <c r="Q691" s="264">
        <f t="shared" ref="Q691:S691" ca="1" si="415">Q692+Q693</f>
        <v>59590</v>
      </c>
      <c r="R691" s="264">
        <f t="shared" ca="1" si="415"/>
        <v>59590</v>
      </c>
      <c r="S691" s="264">
        <f t="shared" ca="1" si="415"/>
        <v>0</v>
      </c>
      <c r="T691" s="264">
        <f t="shared" ref="T691:T699" ca="1" si="416">IF(Q691&gt;0,S691*100/Q691,0)</f>
        <v>0</v>
      </c>
      <c r="U691" s="264">
        <f t="shared" ref="U691:U699" ca="1" si="417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6">
        <f t="shared" ref="L692:N693" si="418">L695+L698</f>
        <v>0</v>
      </c>
      <c r="M692" s="77">
        <f t="shared" si="418"/>
        <v>0</v>
      </c>
      <c r="N692" s="77">
        <f t="shared" si="418"/>
        <v>0</v>
      </c>
      <c r="O692" s="77">
        <f t="shared" si="413"/>
        <v>0</v>
      </c>
      <c r="P692" s="77">
        <f t="shared" si="414"/>
        <v>0</v>
      </c>
      <c r="Q692" s="77">
        <f t="shared" ref="Q692:S693" si="419">Q695+Q698</f>
        <v>0</v>
      </c>
      <c r="R692" s="77">
        <f t="shared" si="419"/>
        <v>0</v>
      </c>
      <c r="S692" s="77">
        <f t="shared" si="419"/>
        <v>0</v>
      </c>
      <c r="T692" s="77">
        <f t="shared" si="416"/>
        <v>0</v>
      </c>
      <c r="U692" s="77">
        <f t="shared" si="417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3">
        <f t="shared" si="418"/>
        <v>0</v>
      </c>
      <c r="M693" s="74">
        <f t="shared" si="418"/>
        <v>0</v>
      </c>
      <c r="N693" s="74">
        <f t="shared" si="418"/>
        <v>0</v>
      </c>
      <c r="O693" s="74">
        <f t="shared" si="413"/>
        <v>0</v>
      </c>
      <c r="P693" s="74">
        <f t="shared" si="414"/>
        <v>0</v>
      </c>
      <c r="Q693" s="74">
        <f t="shared" ca="1" si="419"/>
        <v>59590</v>
      </c>
      <c r="R693" s="74">
        <f t="shared" ca="1" si="419"/>
        <v>59590</v>
      </c>
      <c r="S693" s="74">
        <f t="shared" ca="1" si="419"/>
        <v>0</v>
      </c>
      <c r="T693" s="74">
        <f t="shared" ca="1" si="416"/>
        <v>0</v>
      </c>
      <c r="U693" s="74">
        <f t="shared" ca="1" si="417"/>
        <v>0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3">
        <f t="shared" ref="L694:N694" si="420">L695+L696</f>
        <v>0</v>
      </c>
      <c r="M694" s="74">
        <f t="shared" si="420"/>
        <v>0</v>
      </c>
      <c r="N694" s="74">
        <f t="shared" si="420"/>
        <v>0</v>
      </c>
      <c r="O694" s="74">
        <f t="shared" si="413"/>
        <v>0</v>
      </c>
      <c r="P694" s="74">
        <f t="shared" si="414"/>
        <v>0</v>
      </c>
      <c r="Q694" s="74">
        <f t="shared" ref="Q694:S694" ca="1" si="421">Q695+Q696</f>
        <v>59590</v>
      </c>
      <c r="R694" s="74">
        <f t="shared" ca="1" si="421"/>
        <v>59590</v>
      </c>
      <c r="S694" s="74">
        <f t="shared" ca="1" si="421"/>
        <v>0</v>
      </c>
      <c r="T694" s="74">
        <f t="shared" ca="1" si="416"/>
        <v>0</v>
      </c>
      <c r="U694" s="74">
        <f t="shared" ca="1" si="417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77">
        <f t="shared" si="413"/>
        <v>0</v>
      </c>
      <c r="P695" s="77">
        <f t="shared" si="414"/>
        <v>0</v>
      </c>
      <c r="Q695" s="77">
        <v>0</v>
      </c>
      <c r="R695" s="77">
        <v>0</v>
      </c>
      <c r="S695" s="77">
        <v>0</v>
      </c>
      <c r="T695" s="77">
        <f t="shared" si="416"/>
        <v>0</v>
      </c>
      <c r="U695" s="77">
        <f t="shared" si="417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74">
        <f t="shared" si="413"/>
        <v>0</v>
      </c>
      <c r="P696" s="74">
        <f t="shared" si="414"/>
        <v>0</v>
      </c>
      <c r="Q696" s="74">
        <f ca="1">IFERROR(__xludf.DUMMYFUNCTION("IMPORTRANGE(""https://docs.google.com/spreadsheets/d/1ItG2mGa2ceCfYo0BwxsXqNm01IGEUdYcSSLTEv9YCik/edit?usp=sharing"",""เบิกจ่ายกองทุน!L61"")"),59590)</f>
        <v>59590</v>
      </c>
      <c r="R696" s="74">
        <f ca="1">IFERROR(__xludf.DUMMYFUNCTION("IMPORTRANGE(""https://docs.google.com/spreadsheets/d/1ItG2mGa2ceCfYo0BwxsXqNm01IGEUdYcSSLTEv9YCik/edit?usp=sharing"",""เบิกจ่ายกองทุน!M61"")"),59590)</f>
        <v>59590</v>
      </c>
      <c r="S696" s="74">
        <f ca="1">IFERROR(__xludf.DUMMYFUNCTION("IMPORTRANGE(""https://docs.google.com/spreadsheets/d/1ItG2mGa2ceCfYo0BwxsXqNm01IGEUdYcSSLTEv9YCik/edit?usp=sharing"",""เบิกจ่ายกองทุน!N61"")"),0)</f>
        <v>0</v>
      </c>
      <c r="T696" s="74">
        <f t="shared" ca="1" si="416"/>
        <v>0</v>
      </c>
      <c r="U696" s="74">
        <f t="shared" ca="1" si="417"/>
        <v>0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3">
        <f t="shared" ref="L697:N697" si="422">L698+L699</f>
        <v>0</v>
      </c>
      <c r="M697" s="74">
        <f t="shared" si="422"/>
        <v>0</v>
      </c>
      <c r="N697" s="74">
        <f t="shared" si="422"/>
        <v>0</v>
      </c>
      <c r="O697" s="74">
        <f t="shared" si="413"/>
        <v>0</v>
      </c>
      <c r="P697" s="74">
        <f t="shared" si="414"/>
        <v>0</v>
      </c>
      <c r="Q697" s="74">
        <f t="shared" ref="Q697:S697" si="423">Q698+Q699</f>
        <v>0</v>
      </c>
      <c r="R697" s="74">
        <f t="shared" si="423"/>
        <v>0</v>
      </c>
      <c r="S697" s="74">
        <f t="shared" si="423"/>
        <v>0</v>
      </c>
      <c r="T697" s="74">
        <f t="shared" si="416"/>
        <v>0</v>
      </c>
      <c r="U697" s="74">
        <f t="shared" si="417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77">
        <f t="shared" si="413"/>
        <v>0</v>
      </c>
      <c r="P698" s="77">
        <f t="shared" si="414"/>
        <v>0</v>
      </c>
      <c r="Q698" s="77">
        <v>0</v>
      </c>
      <c r="R698" s="77">
        <v>0</v>
      </c>
      <c r="S698" s="77">
        <v>0</v>
      </c>
      <c r="T698" s="77">
        <f t="shared" si="416"/>
        <v>0</v>
      </c>
      <c r="U698" s="77">
        <f t="shared" si="417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74">
        <f t="shared" si="413"/>
        <v>0</v>
      </c>
      <c r="P699" s="74">
        <f t="shared" si="414"/>
        <v>0</v>
      </c>
      <c r="Q699" s="74">
        <v>0</v>
      </c>
      <c r="R699" s="74">
        <v>0</v>
      </c>
      <c r="S699" s="74">
        <v>0</v>
      </c>
      <c r="T699" s="74">
        <f t="shared" si="416"/>
        <v>0</v>
      </c>
      <c r="U699" s="74">
        <f t="shared" si="417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IFERROR(__xludf.DUMMYFUNCTION("IMPORTRANGE(""https://docs.google.com/spreadsheets/d/1eHaY18a8A9IcSdp1K8H6x8fbOy06t2VsZHhMHf-1x7Y/edit?usp=sharing"",""แผน!LC61"")"),0)</f>
        <v>0</v>
      </c>
      <c r="J701" s="294">
        <v>0</v>
      </c>
      <c r="K701" s="768">
        <f t="shared" ref="K701:K711" ca="1" si="424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t="shared" ref="I702:J702" ca="1" si="425">I704+I706</f>
        <v>3</v>
      </c>
      <c r="J702" s="622">
        <f t="shared" ca="1" si="425"/>
        <v>0</v>
      </c>
      <c r="K702" s="264">
        <f t="shared" ca="1" si="424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0</v>
      </c>
      <c r="K703" s="264">
        <f t="shared" si="424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IFERROR(__xludf.DUMMYFUNCTION("IMPORTRANGE(""https://docs.google.com/spreadsheets/d/1eHaY18a8A9IcSdp1K8H6x8fbOy06t2VsZHhMHf-1x7Y/edit?usp=sharing"",""แผน!LJ61"")"),0)</f>
        <v>0</v>
      </c>
      <c r="J704" s="293">
        <f ca="1">IFERROR(__xludf.DUMMYFUNCTION("IMPORTRANGE(""https://docs.google.com/spreadsheets/d/1tdoBKaGub7dwA3U6UFTqxio9LNnvDCQjHKmttSEBsFQ/edit?usp=sharing"",""จัดที่ดิน!AP61"")"),0)</f>
        <v>0</v>
      </c>
      <c r="K704" s="74">
        <f t="shared" ca="1" si="424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IFERROR(__xludf.DUMMYFUNCTION("IMPORTRANGE(""https://docs.google.com/spreadsheets/d/1tdoBKaGub7dwA3U6UFTqxio9LNnvDCQjHKmttSEBsFQ/edit?usp=sharing"",""จัดที่ดิน!AQ61"")"),0)</f>
        <v>0</v>
      </c>
      <c r="K705" s="74">
        <f t="shared" si="424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IFERROR(__xludf.DUMMYFUNCTION("IMPORTRANGE(""https://docs.google.com/spreadsheets/d/1eHaY18a8A9IcSdp1K8H6x8fbOy06t2VsZHhMHf-1x7Y/edit?usp=sharing"",""แผน!LK61"")"),3)</f>
        <v>3</v>
      </c>
      <c r="J706" s="293">
        <f ca="1">IFERROR(__xludf.DUMMYFUNCTION("IMPORTRANGE(""https://docs.google.com/spreadsheets/d/1tdoBKaGub7dwA3U6UFTqxio9LNnvDCQjHKmttSEBsFQ/edit?usp=sharing"",""จัดที่ดิน!AR61"")"),0)</f>
        <v>0</v>
      </c>
      <c r="K706" s="768">
        <f t="shared" ca="1" si="424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IFERROR(__xludf.DUMMYFUNCTION("IMPORTRANGE(""https://docs.google.com/spreadsheets/d/1tdoBKaGub7dwA3U6UFTqxio9LNnvDCQjHKmttSEBsFQ/edit?usp=sharing"",""จัดที่ดิน!AS61"")"),0)</f>
        <v>0</v>
      </c>
      <c r="K707" s="74">
        <f t="shared" si="424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IFERROR(__xludf.DUMMYFUNCTION("IMPORTRANGE(""https://docs.google.com/spreadsheets/d/1eHaY18a8A9IcSdp1K8H6x8fbOy06t2VsZHhMHf-1x7Y/edit?usp=sharing"",""แผน!LJ61"")"),0)</f>
        <v>0</v>
      </c>
      <c r="J708" s="293">
        <f ca="1">IFERROR(__xludf.DUMMYFUNCTION("IMPORTRANGE(""https://docs.google.com/spreadsheets/d/1tdoBKaGub7dwA3U6UFTqxio9LNnvDCQjHKmttSEBsFQ/edit?usp=sharing"",""จัดที่ดิน!BN61"")"),0)</f>
        <v>0</v>
      </c>
      <c r="K708" s="74">
        <f t="shared" ca="1" si="424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IFERROR(__xludf.DUMMYFUNCTION("IMPORTRANGE(""https://docs.google.com/spreadsheets/d/1tdoBKaGub7dwA3U6UFTqxio9LNnvDCQjHKmttSEBsFQ/edit?usp=sharing"",""จัดที่ดิน!BO61"")"),0)</f>
        <v>0</v>
      </c>
      <c r="K709" s="74">
        <f t="shared" si="424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IFERROR(__xludf.DUMMYFUNCTION("IMPORTRANGE(""https://docs.google.com/spreadsheets/d/1eHaY18a8A9IcSdp1K8H6x8fbOy06t2VsZHhMHf-1x7Y/edit?usp=sharing"",""แผน!LK61"")"),3)</f>
        <v>3</v>
      </c>
      <c r="J710" s="293">
        <f ca="1">IFERROR(__xludf.DUMMYFUNCTION("IMPORTRANGE(""https://docs.google.com/spreadsheets/d/1tdoBKaGub7dwA3U6UFTqxio9LNnvDCQjHKmttSEBsFQ/edit?usp=sharing"",""จัดที่ดิน!BP61"")"),0)</f>
        <v>0</v>
      </c>
      <c r="K710" s="74">
        <f t="shared" ca="1" si="424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IFERROR(__xludf.DUMMYFUNCTION("IMPORTRANGE(""https://docs.google.com/spreadsheets/d/1tdoBKaGub7dwA3U6UFTqxio9LNnvDCQjHKmttSEBsFQ/edit?usp=sharing"",""จัดที่ดิน!BQ61"")"),0)</f>
        <v>0</v>
      </c>
      <c r="K711" s="74">
        <f t="shared" si="424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1257">
        <f t="shared" ref="L715:N715" si="426">L716+L717</f>
        <v>0</v>
      </c>
      <c r="M715" s="264">
        <f t="shared" si="426"/>
        <v>0</v>
      </c>
      <c r="N715" s="264">
        <f t="shared" si="426"/>
        <v>0</v>
      </c>
      <c r="O715" s="264">
        <f t="shared" ref="O715:O723" si="427">IF(L715&gt;0,N715*100/L715,0)</f>
        <v>0</v>
      </c>
      <c r="P715" s="264">
        <f t="shared" ref="P715:P723" si="428">IF(M715&gt;0,N715*100/M715,0)</f>
        <v>0</v>
      </c>
      <c r="Q715" s="264">
        <f t="shared" ref="Q715:S715" si="429">Q716+Q717</f>
        <v>0</v>
      </c>
      <c r="R715" s="264">
        <f t="shared" si="429"/>
        <v>0</v>
      </c>
      <c r="S715" s="264">
        <f t="shared" si="429"/>
        <v>0</v>
      </c>
      <c r="T715" s="264">
        <f t="shared" ref="T715:T723" si="430">IF(Q715&gt;0,S715*100/Q715,0)</f>
        <v>0</v>
      </c>
      <c r="U715" s="264">
        <f t="shared" ref="U715:U723" si="431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6">
        <f t="shared" ref="L716:N717" si="432">L719+L722</f>
        <v>0</v>
      </c>
      <c r="M716" s="77">
        <f t="shared" si="432"/>
        <v>0</v>
      </c>
      <c r="N716" s="77">
        <f t="shared" si="432"/>
        <v>0</v>
      </c>
      <c r="O716" s="77">
        <f t="shared" si="427"/>
        <v>0</v>
      </c>
      <c r="P716" s="77">
        <f t="shared" si="428"/>
        <v>0</v>
      </c>
      <c r="Q716" s="77">
        <f t="shared" ref="Q716:S717" si="433">Q719+Q722</f>
        <v>0</v>
      </c>
      <c r="R716" s="77">
        <f t="shared" si="433"/>
        <v>0</v>
      </c>
      <c r="S716" s="77">
        <f t="shared" si="433"/>
        <v>0</v>
      </c>
      <c r="T716" s="77">
        <f t="shared" si="430"/>
        <v>0</v>
      </c>
      <c r="U716" s="77">
        <f t="shared" si="431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3">
        <f t="shared" si="432"/>
        <v>0</v>
      </c>
      <c r="M717" s="74">
        <f t="shared" si="432"/>
        <v>0</v>
      </c>
      <c r="N717" s="74">
        <f t="shared" si="432"/>
        <v>0</v>
      </c>
      <c r="O717" s="74">
        <f t="shared" si="427"/>
        <v>0</v>
      </c>
      <c r="P717" s="74">
        <f t="shared" si="428"/>
        <v>0</v>
      </c>
      <c r="Q717" s="74">
        <f t="shared" si="433"/>
        <v>0</v>
      </c>
      <c r="R717" s="74">
        <f t="shared" si="433"/>
        <v>0</v>
      </c>
      <c r="S717" s="74">
        <f t="shared" si="433"/>
        <v>0</v>
      </c>
      <c r="T717" s="74">
        <f t="shared" si="430"/>
        <v>0</v>
      </c>
      <c r="U717" s="74">
        <f t="shared" si="431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3">
        <f t="shared" ref="L718:N718" si="434">L719+L720</f>
        <v>0</v>
      </c>
      <c r="M718" s="74">
        <f t="shared" si="434"/>
        <v>0</v>
      </c>
      <c r="N718" s="74">
        <f t="shared" si="434"/>
        <v>0</v>
      </c>
      <c r="O718" s="74">
        <f t="shared" si="427"/>
        <v>0</v>
      </c>
      <c r="P718" s="74">
        <f t="shared" si="428"/>
        <v>0</v>
      </c>
      <c r="Q718" s="74">
        <f t="shared" ref="Q718:S718" si="435">Q719+Q720</f>
        <v>0</v>
      </c>
      <c r="R718" s="74">
        <f t="shared" si="435"/>
        <v>0</v>
      </c>
      <c r="S718" s="74">
        <f t="shared" si="435"/>
        <v>0</v>
      </c>
      <c r="T718" s="74">
        <f t="shared" si="430"/>
        <v>0</v>
      </c>
      <c r="U718" s="74">
        <f t="shared" si="431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77">
        <f t="shared" si="427"/>
        <v>0</v>
      </c>
      <c r="P719" s="77">
        <f t="shared" si="428"/>
        <v>0</v>
      </c>
      <c r="Q719" s="77">
        <v>0</v>
      </c>
      <c r="R719" s="77">
        <v>0</v>
      </c>
      <c r="S719" s="77">
        <v>0</v>
      </c>
      <c r="T719" s="77">
        <f t="shared" si="430"/>
        <v>0</v>
      </c>
      <c r="U719" s="77">
        <f t="shared" si="431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74">
        <f t="shared" si="427"/>
        <v>0</v>
      </c>
      <c r="P720" s="74">
        <f t="shared" si="428"/>
        <v>0</v>
      </c>
      <c r="Q720" s="74">
        <v>0</v>
      </c>
      <c r="R720" s="74">
        <v>0</v>
      </c>
      <c r="S720" s="74">
        <v>0</v>
      </c>
      <c r="T720" s="74">
        <f t="shared" si="430"/>
        <v>0</v>
      </c>
      <c r="U720" s="74">
        <f t="shared" si="431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3">
        <f t="shared" ref="L721:N721" si="436">L722+L723</f>
        <v>0</v>
      </c>
      <c r="M721" s="74">
        <f t="shared" si="436"/>
        <v>0</v>
      </c>
      <c r="N721" s="74">
        <f t="shared" si="436"/>
        <v>0</v>
      </c>
      <c r="O721" s="74">
        <f t="shared" si="427"/>
        <v>0</v>
      </c>
      <c r="P721" s="74">
        <f t="shared" si="428"/>
        <v>0</v>
      </c>
      <c r="Q721" s="74">
        <f t="shared" ref="Q721:S721" si="437">Q722+Q723</f>
        <v>0</v>
      </c>
      <c r="R721" s="74">
        <f t="shared" si="437"/>
        <v>0</v>
      </c>
      <c r="S721" s="74">
        <f t="shared" si="437"/>
        <v>0</v>
      </c>
      <c r="T721" s="74">
        <f t="shared" si="430"/>
        <v>0</v>
      </c>
      <c r="U721" s="74">
        <f t="shared" si="431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77">
        <f t="shared" si="427"/>
        <v>0</v>
      </c>
      <c r="P722" s="77">
        <f t="shared" si="428"/>
        <v>0</v>
      </c>
      <c r="Q722" s="77">
        <v>0</v>
      </c>
      <c r="R722" s="77">
        <v>0</v>
      </c>
      <c r="S722" s="77">
        <v>0</v>
      </c>
      <c r="T722" s="77">
        <f t="shared" si="430"/>
        <v>0</v>
      </c>
      <c r="U722" s="77">
        <f t="shared" si="431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74">
        <f t="shared" si="427"/>
        <v>0</v>
      </c>
      <c r="P723" s="74">
        <f t="shared" si="428"/>
        <v>0</v>
      </c>
      <c r="Q723" s="74">
        <v>0</v>
      </c>
      <c r="R723" s="74">
        <v>0</v>
      </c>
      <c r="S723" s="74">
        <v>0</v>
      </c>
      <c r="T723" s="74">
        <f t="shared" si="430"/>
        <v>0</v>
      </c>
      <c r="U723" s="74">
        <f t="shared" si="431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hidden="1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IFERROR(__xludf.DUMMYFUNCTION("IMPORTRANGE(""https://docs.google.com/spreadsheets/d/1eHaY18a8A9IcSdp1K8H6x8fbOy06t2VsZHhMHf-1x7Y/edit?usp=sharing"",""แผน!FZ61"")"),0)</f>
        <v>0</v>
      </c>
      <c r="J727" s="781">
        <f>J743+J747+J750</f>
        <v>0</v>
      </c>
      <c r="K727" s="766">
        <f t="shared" ref="K727:K728" ca="1" si="438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hidden="1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IFERROR(__xludf.DUMMYFUNCTION("IMPORTRANGE(""https://docs.google.com/spreadsheets/d/1eHaY18a8A9IcSdp1K8H6x8fbOy06t2VsZHhMHf-1x7Y/edit?usp=sharing"",""แผน!GA61"")"),0)</f>
        <v>0</v>
      </c>
      <c r="J728" s="781">
        <f>J753+J756</f>
        <v>0</v>
      </c>
      <c r="K728" s="766">
        <f t="shared" ca="1" si="438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hidden="1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1257">
        <f t="shared" ref="L729:N729" si="439">L730+L731</f>
        <v>0</v>
      </c>
      <c r="M729" s="264">
        <f t="shared" si="439"/>
        <v>0</v>
      </c>
      <c r="N729" s="264">
        <f t="shared" si="439"/>
        <v>0</v>
      </c>
      <c r="O729" s="264">
        <f t="shared" ref="O729:O737" si="440">IF(L729&gt;0,N729*100/L729,0)</f>
        <v>0</v>
      </c>
      <c r="P729" s="264">
        <f t="shared" ref="P729:P737" si="441">IF(M729&gt;0,N729*100/M729,0)</f>
        <v>0</v>
      </c>
      <c r="Q729" s="264">
        <f t="shared" ref="Q729:S729" ca="1" si="442">Q730+Q731</f>
        <v>0</v>
      </c>
      <c r="R729" s="264">
        <f t="shared" ca="1" si="442"/>
        <v>0</v>
      </c>
      <c r="S729" s="264">
        <f t="shared" ca="1" si="442"/>
        <v>0</v>
      </c>
      <c r="T729" s="264">
        <f t="shared" ref="T729:T737" ca="1" si="443">IF(Q729&gt;0,S729*100/Q729,0)</f>
        <v>0</v>
      </c>
      <c r="U729" s="264">
        <f t="shared" ref="U729:U737" ca="1" si="444">IF(R729&gt;0,S729*100/R729,0)</f>
        <v>0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6">
        <f t="shared" ref="L730:N731" si="445">L733+L736</f>
        <v>0</v>
      </c>
      <c r="M730" s="77">
        <f t="shared" si="445"/>
        <v>0</v>
      </c>
      <c r="N730" s="77">
        <f t="shared" si="445"/>
        <v>0</v>
      </c>
      <c r="O730" s="77">
        <f t="shared" si="440"/>
        <v>0</v>
      </c>
      <c r="P730" s="77">
        <f t="shared" si="441"/>
        <v>0</v>
      </c>
      <c r="Q730" s="77">
        <f t="shared" ref="Q730:S731" si="446">Q733+Q736</f>
        <v>0</v>
      </c>
      <c r="R730" s="77">
        <f t="shared" si="446"/>
        <v>0</v>
      </c>
      <c r="S730" s="77">
        <f t="shared" si="446"/>
        <v>0</v>
      </c>
      <c r="T730" s="77">
        <f t="shared" si="443"/>
        <v>0</v>
      </c>
      <c r="U730" s="77">
        <f t="shared" si="444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3">
        <f t="shared" si="445"/>
        <v>0</v>
      </c>
      <c r="M731" s="74">
        <f t="shared" si="445"/>
        <v>0</v>
      </c>
      <c r="N731" s="74">
        <f t="shared" si="445"/>
        <v>0</v>
      </c>
      <c r="O731" s="74">
        <f t="shared" si="440"/>
        <v>0</v>
      </c>
      <c r="P731" s="74">
        <f t="shared" si="441"/>
        <v>0</v>
      </c>
      <c r="Q731" s="74">
        <f t="shared" ca="1" si="446"/>
        <v>0</v>
      </c>
      <c r="R731" s="74">
        <f t="shared" ca="1" si="446"/>
        <v>0</v>
      </c>
      <c r="S731" s="74">
        <f t="shared" ca="1" si="446"/>
        <v>0</v>
      </c>
      <c r="T731" s="74">
        <f t="shared" ca="1" si="443"/>
        <v>0</v>
      </c>
      <c r="U731" s="74">
        <f t="shared" ca="1" si="444"/>
        <v>0</v>
      </c>
    </row>
    <row r="732" spans="1:21" ht="18.75" hidden="1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3">
        <f t="shared" ref="L732:N732" si="447">L733+L734</f>
        <v>0</v>
      </c>
      <c r="M732" s="74">
        <f t="shared" si="447"/>
        <v>0</v>
      </c>
      <c r="N732" s="74">
        <f t="shared" si="447"/>
        <v>0</v>
      </c>
      <c r="O732" s="74">
        <f t="shared" si="440"/>
        <v>0</v>
      </c>
      <c r="P732" s="74">
        <f t="shared" si="441"/>
        <v>0</v>
      </c>
      <c r="Q732" s="74">
        <f t="shared" ref="Q732:S732" ca="1" si="448">Q733+Q734</f>
        <v>0</v>
      </c>
      <c r="R732" s="74">
        <f t="shared" ca="1" si="448"/>
        <v>0</v>
      </c>
      <c r="S732" s="74">
        <f t="shared" ca="1" si="448"/>
        <v>0</v>
      </c>
      <c r="T732" s="74">
        <f t="shared" ca="1" si="443"/>
        <v>0</v>
      </c>
      <c r="U732" s="74">
        <f t="shared" ca="1" si="444"/>
        <v>0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77">
        <f t="shared" si="440"/>
        <v>0</v>
      </c>
      <c r="P733" s="77">
        <f t="shared" si="441"/>
        <v>0</v>
      </c>
      <c r="Q733" s="77">
        <v>0</v>
      </c>
      <c r="R733" s="77">
        <v>0</v>
      </c>
      <c r="S733" s="77">
        <v>0</v>
      </c>
      <c r="T733" s="77">
        <f t="shared" si="443"/>
        <v>0</v>
      </c>
      <c r="U733" s="77">
        <f t="shared" si="444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74">
        <f t="shared" si="440"/>
        <v>0</v>
      </c>
      <c r="P734" s="74">
        <f t="shared" si="441"/>
        <v>0</v>
      </c>
      <c r="Q734" s="74">
        <f ca="1">IFERROR(__xludf.DUMMYFUNCTION("IMPORTRANGE(""https://docs.google.com/spreadsheets/d/1ItG2mGa2ceCfYo0BwxsXqNm01IGEUdYcSSLTEv9YCik/edit?usp=sharing"",""เบิกจ่ายกองทุน!O61"")"),0)</f>
        <v>0</v>
      </c>
      <c r="R734" s="74">
        <f ca="1">IFERROR(__xludf.DUMMYFUNCTION("IMPORTRANGE(""https://docs.google.com/spreadsheets/d/1ItG2mGa2ceCfYo0BwxsXqNm01IGEUdYcSSLTEv9YCik/edit?usp=sharing"",""เบิกจ่ายกองทุน!P61"")"),0)</f>
        <v>0</v>
      </c>
      <c r="S734" s="74">
        <f ca="1">IFERROR(__xludf.DUMMYFUNCTION("IMPORTRANGE(""https://docs.google.com/spreadsheets/d/1ItG2mGa2ceCfYo0BwxsXqNm01IGEUdYcSSLTEv9YCik/edit?usp=sharing"",""เบิกจ่ายกองทุน!Q61"")"),0)</f>
        <v>0</v>
      </c>
      <c r="T734" s="74">
        <f t="shared" ca="1" si="443"/>
        <v>0</v>
      </c>
      <c r="U734" s="74">
        <f t="shared" ca="1" si="444"/>
        <v>0</v>
      </c>
    </row>
    <row r="735" spans="1:21" ht="18.75" hidden="1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3">
        <f t="shared" ref="L735:N735" si="449">L736+L737</f>
        <v>0</v>
      </c>
      <c r="M735" s="74">
        <f t="shared" si="449"/>
        <v>0</v>
      </c>
      <c r="N735" s="74">
        <f t="shared" si="449"/>
        <v>0</v>
      </c>
      <c r="O735" s="74">
        <f t="shared" si="440"/>
        <v>0</v>
      </c>
      <c r="P735" s="74">
        <f t="shared" si="441"/>
        <v>0</v>
      </c>
      <c r="Q735" s="74">
        <f t="shared" ref="Q735:S735" si="450">Q736+Q737</f>
        <v>0</v>
      </c>
      <c r="R735" s="74">
        <f t="shared" si="450"/>
        <v>0</v>
      </c>
      <c r="S735" s="74">
        <f t="shared" si="450"/>
        <v>0</v>
      </c>
      <c r="T735" s="74">
        <f t="shared" si="443"/>
        <v>0</v>
      </c>
      <c r="U735" s="74">
        <f t="shared" si="444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77">
        <f t="shared" si="440"/>
        <v>0</v>
      </c>
      <c r="P736" s="77">
        <f t="shared" si="441"/>
        <v>0</v>
      </c>
      <c r="Q736" s="77">
        <v>0</v>
      </c>
      <c r="R736" s="77">
        <v>0</v>
      </c>
      <c r="S736" s="77">
        <v>0</v>
      </c>
      <c r="T736" s="77">
        <f t="shared" si="443"/>
        <v>0</v>
      </c>
      <c r="U736" s="77">
        <f t="shared" si="444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74">
        <f t="shared" si="440"/>
        <v>0</v>
      </c>
      <c r="P737" s="74">
        <f t="shared" si="441"/>
        <v>0</v>
      </c>
      <c r="Q737" s="74">
        <v>0</v>
      </c>
      <c r="R737" s="74">
        <v>0</v>
      </c>
      <c r="S737" s="74">
        <v>0</v>
      </c>
      <c r="T737" s="74">
        <f t="shared" si="443"/>
        <v>0</v>
      </c>
      <c r="U737" s="74">
        <f t="shared" si="444"/>
        <v>0</v>
      </c>
    </row>
    <row r="738" spans="1:21" ht="19.5" hidden="1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hidden="1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hidden="1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hidden="1" x14ac:dyDescent="0.25">
      <c r="A741" s="276"/>
      <c r="B741" s="277"/>
      <c r="C741" s="277"/>
      <c r="D741" s="277"/>
      <c r="E741" s="277"/>
      <c r="F741" s="745" t="s">
        <v>271</v>
      </c>
      <c r="G741" s="282"/>
      <c r="H741" s="268" t="s">
        <v>46</v>
      </c>
      <c r="I741" s="293">
        <f ca="1">IFERROR(__xludf.DUMMYFUNCTION("IMPORTRANGE(""https://docs.google.com/spreadsheets/d/1eHaY18a8A9IcSdp1K8H6x8fbOy06t2VsZHhMHf-1x7Y/edit?usp=sharing"",""แผน!GB61"")"),0)</f>
        <v>0</v>
      </c>
      <c r="J741" s="294">
        <v>0</v>
      </c>
      <c r="K741" s="74">
        <f ca="1">IF(I741&gt;0,J741*100/I741,0)</f>
        <v>0</v>
      </c>
      <c r="L741" s="86"/>
      <c r="M741" s="87"/>
      <c r="N741" s="87"/>
      <c r="O741" s="87"/>
      <c r="P741" s="87"/>
      <c r="Q741" s="87"/>
      <c r="R741" s="87"/>
      <c r="S741" s="87"/>
      <c r="T741" s="87"/>
      <c r="U741" s="87"/>
    </row>
    <row r="742" spans="1:21" ht="18.75" hidden="1" x14ac:dyDescent="0.25">
      <c r="A742" s="276"/>
      <c r="B742" s="277"/>
      <c r="C742" s="277"/>
      <c r="D742" s="277"/>
      <c r="E742" s="277"/>
      <c r="F742" s="745" t="s">
        <v>272</v>
      </c>
      <c r="G742" s="282"/>
      <c r="H742" s="268" t="s">
        <v>35</v>
      </c>
      <c r="I742" s="263"/>
      <c r="J742" s="294">
        <v>0</v>
      </c>
      <c r="K742" s="87"/>
      <c r="L742" s="86"/>
      <c r="M742" s="87"/>
      <c r="N742" s="87"/>
      <c r="O742" s="87"/>
      <c r="P742" s="87"/>
      <c r="Q742" s="87"/>
      <c r="R742" s="87"/>
      <c r="S742" s="87"/>
      <c r="T742" s="87"/>
      <c r="U742" s="87"/>
    </row>
    <row r="743" spans="1:21" ht="18.75" hidden="1" x14ac:dyDescent="0.25">
      <c r="A743" s="276"/>
      <c r="B743" s="277"/>
      <c r="C743" s="277"/>
      <c r="D743" s="277"/>
      <c r="E743" s="277"/>
      <c r="F743" s="745" t="s">
        <v>273</v>
      </c>
      <c r="G743" s="282"/>
      <c r="H743" s="268" t="s">
        <v>35</v>
      </c>
      <c r="I743" s="293">
        <f ca="1">IFERROR(__xludf.DUMMYFUNCTION("IMPORTRANGE(""https://docs.google.com/spreadsheets/d/1eHaY18a8A9IcSdp1K8H6x8fbOy06t2VsZHhMHf-1x7Y/edit?usp=sharing"",""แผน!GC61"")"),0)</f>
        <v>0</v>
      </c>
      <c r="J743" s="294">
        <v>0</v>
      </c>
      <c r="K743" s="74">
        <f ca="1">IF(I743&gt;0,J743*100/I743,0)</f>
        <v>0</v>
      </c>
      <c r="L743" s="86"/>
      <c r="M743" s="87"/>
      <c r="N743" s="87"/>
      <c r="O743" s="87"/>
      <c r="P743" s="87"/>
      <c r="Q743" s="87"/>
      <c r="R743" s="87"/>
      <c r="S743" s="87"/>
      <c r="T743" s="87"/>
      <c r="U743" s="87"/>
    </row>
    <row r="744" spans="1:21" ht="18.75" hidden="1" x14ac:dyDescent="0.25">
      <c r="A744" s="276"/>
      <c r="B744" s="277"/>
      <c r="C744" s="277"/>
      <c r="D744" s="277"/>
      <c r="E744" s="745" t="s">
        <v>274</v>
      </c>
      <c r="F744" s="277"/>
      <c r="G744" s="282"/>
      <c r="H744" s="312"/>
      <c r="I744" s="263"/>
      <c r="J744" s="263"/>
      <c r="K744" s="87"/>
      <c r="L744" s="86"/>
      <c r="M744" s="87"/>
      <c r="N744" s="87"/>
      <c r="O744" s="87"/>
      <c r="P744" s="87"/>
      <c r="Q744" s="87"/>
      <c r="R744" s="87"/>
      <c r="S744" s="87"/>
      <c r="T744" s="87"/>
      <c r="U744" s="87"/>
    </row>
    <row r="745" spans="1:21" ht="18.75" hidden="1" x14ac:dyDescent="0.25">
      <c r="A745" s="276"/>
      <c r="B745" s="277"/>
      <c r="C745" s="277"/>
      <c r="D745" s="277"/>
      <c r="E745" s="277"/>
      <c r="F745" s="745" t="s">
        <v>271</v>
      </c>
      <c r="G745" s="282"/>
      <c r="H745" s="268" t="s">
        <v>46</v>
      </c>
      <c r="I745" s="293">
        <f ca="1">IFERROR(__xludf.DUMMYFUNCTION("IMPORTRANGE(""https://docs.google.com/spreadsheets/d/1eHaY18a8A9IcSdp1K8H6x8fbOy06t2VsZHhMHf-1x7Y/edit?usp=sharing"",""แผน!GD61"")"),0)</f>
        <v>0</v>
      </c>
      <c r="J745" s="294">
        <v>0</v>
      </c>
      <c r="K745" s="74">
        <f ca="1">IF(I745&gt;0,J745*100/I745,0)</f>
        <v>0</v>
      </c>
      <c r="L745" s="86"/>
      <c r="M745" s="87"/>
      <c r="N745" s="87"/>
      <c r="O745" s="87"/>
      <c r="P745" s="87"/>
      <c r="Q745" s="87"/>
      <c r="R745" s="87"/>
      <c r="S745" s="87"/>
      <c r="T745" s="87"/>
      <c r="U745" s="87"/>
    </row>
    <row r="746" spans="1:21" ht="18.75" hidden="1" x14ac:dyDescent="0.25">
      <c r="A746" s="276"/>
      <c r="B746" s="277"/>
      <c r="C746" s="277"/>
      <c r="D746" s="277"/>
      <c r="E746" s="277"/>
      <c r="F746" s="745" t="s">
        <v>275</v>
      </c>
      <c r="G746" s="282"/>
      <c r="H746" s="268" t="s">
        <v>35</v>
      </c>
      <c r="I746" s="263"/>
      <c r="J746" s="294">
        <v>0</v>
      </c>
      <c r="K746" s="87"/>
      <c r="L746" s="86"/>
      <c r="M746" s="87"/>
      <c r="N746" s="87"/>
      <c r="O746" s="87"/>
      <c r="P746" s="87"/>
      <c r="Q746" s="87"/>
      <c r="R746" s="87"/>
      <c r="S746" s="87"/>
      <c r="T746" s="87"/>
      <c r="U746" s="87"/>
    </row>
    <row r="747" spans="1:21" ht="18.75" hidden="1" x14ac:dyDescent="0.25">
      <c r="A747" s="276"/>
      <c r="B747" s="277"/>
      <c r="C747" s="277"/>
      <c r="D747" s="277"/>
      <c r="E747" s="277"/>
      <c r="F747" s="745" t="s">
        <v>276</v>
      </c>
      <c r="G747" s="282"/>
      <c r="H747" s="268" t="s">
        <v>35</v>
      </c>
      <c r="I747" s="293">
        <f ca="1">IFERROR(__xludf.DUMMYFUNCTION("IMPORTRANGE(""https://docs.google.com/spreadsheets/d/1eHaY18a8A9IcSdp1K8H6x8fbOy06t2VsZHhMHf-1x7Y/edit?usp=sharing"",""แผน!GE61"")"),0)</f>
        <v>0</v>
      </c>
      <c r="J747" s="294">
        <v>0</v>
      </c>
      <c r="K747" s="74">
        <f ca="1">IF(I747&gt;0,J747*100/I747,0)</f>
        <v>0</v>
      </c>
      <c r="L747" s="86"/>
      <c r="M747" s="87"/>
      <c r="N747" s="87"/>
      <c r="O747" s="87"/>
      <c r="P747" s="87"/>
      <c r="Q747" s="87"/>
      <c r="R747" s="87"/>
      <c r="S747" s="87"/>
      <c r="T747" s="87"/>
      <c r="U747" s="87"/>
    </row>
    <row r="748" spans="1:21" ht="18.75" hidden="1" x14ac:dyDescent="0.25">
      <c r="A748" s="276"/>
      <c r="B748" s="277"/>
      <c r="C748" s="277"/>
      <c r="D748" s="277"/>
      <c r="E748" s="745" t="s">
        <v>277</v>
      </c>
      <c r="F748" s="296"/>
      <c r="G748" s="282"/>
      <c r="H748" s="312"/>
      <c r="I748" s="263"/>
      <c r="J748" s="263"/>
      <c r="K748" s="87"/>
      <c r="L748" s="86"/>
      <c r="M748" s="87"/>
      <c r="N748" s="87"/>
      <c r="O748" s="87"/>
      <c r="P748" s="87"/>
      <c r="Q748" s="87"/>
      <c r="R748" s="87"/>
      <c r="S748" s="87"/>
      <c r="T748" s="87"/>
      <c r="U748" s="87"/>
    </row>
    <row r="749" spans="1:21" ht="18.75" hidden="1" x14ac:dyDescent="0.25">
      <c r="A749" s="276"/>
      <c r="B749" s="277"/>
      <c r="C749" s="277"/>
      <c r="D749" s="277"/>
      <c r="E749" s="277"/>
      <c r="F749" s="745" t="s">
        <v>278</v>
      </c>
      <c r="G749" s="282"/>
      <c r="H749" s="268" t="s">
        <v>35</v>
      </c>
      <c r="I749" s="263"/>
      <c r="J749" s="294">
        <v>0</v>
      </c>
      <c r="K749" s="87"/>
      <c r="L749" s="86"/>
      <c r="M749" s="87"/>
      <c r="N749" s="87"/>
      <c r="O749" s="87"/>
      <c r="P749" s="87"/>
      <c r="Q749" s="87"/>
      <c r="R749" s="87"/>
      <c r="S749" s="87"/>
      <c r="T749" s="87"/>
      <c r="U749" s="87"/>
    </row>
    <row r="750" spans="1:21" ht="18.75" hidden="1" x14ac:dyDescent="0.25">
      <c r="A750" s="276"/>
      <c r="B750" s="277"/>
      <c r="C750" s="277"/>
      <c r="D750" s="277"/>
      <c r="E750" s="277"/>
      <c r="F750" s="745" t="s">
        <v>279</v>
      </c>
      <c r="G750" s="282"/>
      <c r="H750" s="268" t="s">
        <v>35</v>
      </c>
      <c r="I750" s="293">
        <f ca="1">IFERROR(__xludf.DUMMYFUNCTION("IMPORTRANGE(""https://docs.google.com/spreadsheets/d/1eHaY18a8A9IcSdp1K8H6x8fbOy06t2VsZHhMHf-1x7Y/edit?usp=sharing"",""แผน!GF61"")"),0)</f>
        <v>0</v>
      </c>
      <c r="J750" s="294">
        <v>0</v>
      </c>
      <c r="K750" s="74">
        <f ca="1">IF(I750&gt;0,J750*100/I750,0)</f>
        <v>0</v>
      </c>
      <c r="L750" s="86"/>
      <c r="M750" s="87"/>
      <c r="N750" s="87"/>
      <c r="O750" s="87"/>
      <c r="P750" s="87"/>
      <c r="Q750" s="87"/>
      <c r="R750" s="87"/>
      <c r="S750" s="87"/>
      <c r="T750" s="87"/>
      <c r="U750" s="87"/>
    </row>
    <row r="751" spans="1:21" ht="19.5" hidden="1" x14ac:dyDescent="0.3">
      <c r="A751" s="276"/>
      <c r="B751" s="277"/>
      <c r="C751" s="277"/>
      <c r="D751" s="784" t="s">
        <v>50</v>
      </c>
      <c r="E751" s="277"/>
      <c r="F751" s="296"/>
      <c r="G751" s="282"/>
      <c r="H751" s="312"/>
      <c r="I751" s="263"/>
      <c r="J751" s="263"/>
      <c r="K751" s="87"/>
      <c r="L751" s="86"/>
      <c r="M751" s="87"/>
      <c r="N751" s="87"/>
      <c r="O751" s="87"/>
      <c r="P751" s="87"/>
      <c r="Q751" s="87"/>
      <c r="R751" s="87"/>
      <c r="S751" s="87"/>
      <c r="T751" s="87"/>
      <c r="U751" s="87"/>
    </row>
    <row r="752" spans="1:21" ht="18.75" hidden="1" x14ac:dyDescent="0.25">
      <c r="A752" s="276"/>
      <c r="B752" s="277"/>
      <c r="C752" s="277"/>
      <c r="D752" s="277"/>
      <c r="E752" s="745" t="s">
        <v>270</v>
      </c>
      <c r="F752" s="296"/>
      <c r="G752" s="282"/>
      <c r="H752" s="312"/>
      <c r="I752" s="263"/>
      <c r="J752" s="263"/>
      <c r="K752" s="87"/>
      <c r="L752" s="86"/>
      <c r="M752" s="87"/>
      <c r="N752" s="87"/>
      <c r="O752" s="87"/>
      <c r="P752" s="87"/>
      <c r="Q752" s="87"/>
      <c r="R752" s="87"/>
      <c r="S752" s="87"/>
      <c r="T752" s="87"/>
      <c r="U752" s="87"/>
    </row>
    <row r="753" spans="1:21" ht="18.75" hidden="1" x14ac:dyDescent="0.25">
      <c r="A753" s="276"/>
      <c r="B753" s="277"/>
      <c r="C753" s="277"/>
      <c r="D753" s="277"/>
      <c r="E753" s="277"/>
      <c r="F753" s="295" t="s">
        <v>280</v>
      </c>
      <c r="G753" s="282"/>
      <c r="H753" s="268" t="s">
        <v>46</v>
      </c>
      <c r="I753" s="293">
        <f ca="1">IFERROR(__xludf.DUMMYFUNCTION("IMPORTRANGE(""https://docs.google.com/spreadsheets/d/1eHaY18a8A9IcSdp1K8H6x8fbOy06t2VsZHhMHf-1x7Y/edit?usp=sharing"",""แผน!GC61"")"),0)</f>
        <v>0</v>
      </c>
      <c r="J753" s="294">
        <v>0</v>
      </c>
      <c r="K753" s="74">
        <f ca="1">IF(I753&gt;0,J753*100/I753,0)</f>
        <v>0</v>
      </c>
      <c r="L753" s="86"/>
      <c r="M753" s="87"/>
      <c r="N753" s="87"/>
      <c r="O753" s="87"/>
      <c r="P753" s="87"/>
      <c r="Q753" s="87"/>
      <c r="R753" s="87"/>
      <c r="S753" s="87"/>
      <c r="T753" s="87"/>
      <c r="U753" s="87"/>
    </row>
    <row r="754" spans="1:21" ht="18.75" hidden="1" x14ac:dyDescent="0.25">
      <c r="A754" s="276"/>
      <c r="B754" s="277"/>
      <c r="C754" s="277"/>
      <c r="D754" s="277"/>
      <c r="E754" s="277"/>
      <c r="F754" s="295" t="s">
        <v>281</v>
      </c>
      <c r="G754" s="282"/>
      <c r="H754" s="268" t="s">
        <v>46</v>
      </c>
      <c r="I754" s="263"/>
      <c r="J754" s="294">
        <v>0</v>
      </c>
      <c r="K754" s="87"/>
      <c r="L754" s="86"/>
      <c r="M754" s="87"/>
      <c r="N754" s="87"/>
      <c r="O754" s="87"/>
      <c r="P754" s="87"/>
      <c r="Q754" s="87"/>
      <c r="R754" s="87"/>
      <c r="S754" s="87"/>
      <c r="T754" s="87"/>
      <c r="U754" s="87"/>
    </row>
    <row r="755" spans="1:21" ht="18.75" hidden="1" x14ac:dyDescent="0.25">
      <c r="A755" s="276"/>
      <c r="B755" s="277"/>
      <c r="C755" s="277"/>
      <c r="D755" s="277"/>
      <c r="E755" s="745" t="s">
        <v>274</v>
      </c>
      <c r="F755" s="296"/>
      <c r="G755" s="282"/>
      <c r="H755" s="312"/>
      <c r="I755" s="263"/>
      <c r="J755" s="263"/>
      <c r="K755" s="87"/>
      <c r="L755" s="86"/>
      <c r="M755" s="87"/>
      <c r="N755" s="87"/>
      <c r="O755" s="87"/>
      <c r="P755" s="87"/>
      <c r="Q755" s="87"/>
      <c r="R755" s="87"/>
      <c r="S755" s="87"/>
      <c r="T755" s="87"/>
      <c r="U755" s="87"/>
    </row>
    <row r="756" spans="1:21" ht="18.75" hidden="1" x14ac:dyDescent="0.25">
      <c r="A756" s="276"/>
      <c r="B756" s="277"/>
      <c r="C756" s="277"/>
      <c r="D756" s="277"/>
      <c r="E756" s="296"/>
      <c r="F756" s="295" t="s">
        <v>282</v>
      </c>
      <c r="G756" s="282"/>
      <c r="H756" s="268" t="s">
        <v>46</v>
      </c>
      <c r="I756" s="293">
        <f ca="1">IFERROR(__xludf.DUMMYFUNCTION("IMPORTRANGE(""https://docs.google.com/spreadsheets/d/1eHaY18a8A9IcSdp1K8H6x8fbOy06t2VsZHhMHf-1x7Y/edit?usp=sharing"",""แผน!GE61"")"),0)</f>
        <v>0</v>
      </c>
      <c r="J756" s="294">
        <v>0</v>
      </c>
      <c r="K756" s="74">
        <f ca="1">IF(I756&gt;0,J756*100/I756,0)</f>
        <v>0</v>
      </c>
      <c r="L756" s="86"/>
      <c r="M756" s="87"/>
      <c r="N756" s="87"/>
      <c r="O756" s="87"/>
      <c r="P756" s="87"/>
      <c r="Q756" s="87"/>
      <c r="R756" s="87"/>
      <c r="S756" s="87"/>
      <c r="T756" s="87"/>
      <c r="U756" s="87"/>
    </row>
    <row r="757" spans="1:21" ht="18.75" hidden="1" x14ac:dyDescent="0.25">
      <c r="A757" s="276"/>
      <c r="B757" s="277"/>
      <c r="C757" s="277"/>
      <c r="D757" s="277"/>
      <c r="E757" s="296"/>
      <c r="F757" s="295" t="s">
        <v>283</v>
      </c>
      <c r="G757" s="282"/>
      <c r="H757" s="268" t="s">
        <v>46</v>
      </c>
      <c r="I757" s="263"/>
      <c r="J757" s="294">
        <v>0</v>
      </c>
      <c r="K757" s="87"/>
      <c r="L757" s="86"/>
      <c r="M757" s="87"/>
      <c r="N757" s="87"/>
      <c r="O757" s="87"/>
      <c r="P757" s="87"/>
      <c r="Q757" s="87"/>
      <c r="R757" s="87"/>
      <c r="S757" s="87"/>
      <c r="T757" s="87"/>
      <c r="U757" s="87"/>
    </row>
    <row r="758" spans="1:21" ht="19.5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1">I772</f>
        <v>10</v>
      </c>
      <c r="J758" s="781">
        <f t="shared" si="451"/>
        <v>0</v>
      </c>
      <c r="K758" s="766">
        <f t="shared" ref="K758:K759" ca="1" si="452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3">I774</f>
        <v>20</v>
      </c>
      <c r="J759" s="781">
        <f t="shared" si="453"/>
        <v>0</v>
      </c>
      <c r="K759" s="766">
        <f t="shared" ca="1" si="452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1257">
        <f t="shared" ref="L760:N760" si="454">L761+L762</f>
        <v>0</v>
      </c>
      <c r="M760" s="264">
        <f t="shared" si="454"/>
        <v>0</v>
      </c>
      <c r="N760" s="264">
        <f t="shared" si="454"/>
        <v>0</v>
      </c>
      <c r="O760" s="264">
        <f t="shared" ref="O760:O768" si="455">IF(L760&gt;0,N760*100/L760,0)</f>
        <v>0</v>
      </c>
      <c r="P760" s="264">
        <f t="shared" ref="P760:P768" si="456">IF(M760&gt;0,N760*100/M760,0)</f>
        <v>0</v>
      </c>
      <c r="Q760" s="264">
        <f t="shared" ref="Q760:S760" ca="1" si="457">Q761+Q762</f>
        <v>91360</v>
      </c>
      <c r="R760" s="264">
        <f t="shared" ca="1" si="457"/>
        <v>91360</v>
      </c>
      <c r="S760" s="264">
        <f t="shared" ca="1" si="457"/>
        <v>1240</v>
      </c>
      <c r="T760" s="264">
        <f t="shared" ref="T760:T768" ca="1" si="458">IF(Q760&gt;0,S760*100/Q760,0)</f>
        <v>1.3572679509632224</v>
      </c>
      <c r="U760" s="264">
        <f t="shared" ref="U760:U768" ca="1" si="459">IF(R760&gt;0,S760*100/R760,0)</f>
        <v>1.3572679509632224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6">
        <f t="shared" ref="L761:N762" si="460">L764+L767</f>
        <v>0</v>
      </c>
      <c r="M761" s="77">
        <f t="shared" si="460"/>
        <v>0</v>
      </c>
      <c r="N761" s="77">
        <f t="shared" si="460"/>
        <v>0</v>
      </c>
      <c r="O761" s="77">
        <f t="shared" si="455"/>
        <v>0</v>
      </c>
      <c r="P761" s="77">
        <f t="shared" si="456"/>
        <v>0</v>
      </c>
      <c r="Q761" s="77">
        <f t="shared" ref="Q761:S762" si="461">Q764+Q767</f>
        <v>0</v>
      </c>
      <c r="R761" s="77">
        <f t="shared" si="461"/>
        <v>0</v>
      </c>
      <c r="S761" s="77">
        <f t="shared" si="461"/>
        <v>0</v>
      </c>
      <c r="T761" s="77">
        <f t="shared" si="458"/>
        <v>0</v>
      </c>
      <c r="U761" s="77">
        <f t="shared" si="459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3">
        <f t="shared" si="460"/>
        <v>0</v>
      </c>
      <c r="M762" s="74">
        <f t="shared" si="460"/>
        <v>0</v>
      </c>
      <c r="N762" s="74">
        <f t="shared" si="460"/>
        <v>0</v>
      </c>
      <c r="O762" s="74">
        <f t="shared" si="455"/>
        <v>0</v>
      </c>
      <c r="P762" s="74">
        <f t="shared" si="456"/>
        <v>0</v>
      </c>
      <c r="Q762" s="74">
        <f t="shared" ca="1" si="461"/>
        <v>91360</v>
      </c>
      <c r="R762" s="74">
        <f t="shared" ca="1" si="461"/>
        <v>91360</v>
      </c>
      <c r="S762" s="74">
        <f t="shared" ca="1" si="461"/>
        <v>1240</v>
      </c>
      <c r="T762" s="74">
        <f t="shared" ca="1" si="458"/>
        <v>1.3572679509632224</v>
      </c>
      <c r="U762" s="74">
        <f t="shared" ca="1" si="459"/>
        <v>1.3572679509632224</v>
      </c>
    </row>
    <row r="763" spans="1:21" ht="18.75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3">
        <f t="shared" ref="L763:N763" si="462">L764+L765</f>
        <v>0</v>
      </c>
      <c r="M763" s="74">
        <f t="shared" si="462"/>
        <v>0</v>
      </c>
      <c r="N763" s="74">
        <f t="shared" si="462"/>
        <v>0</v>
      </c>
      <c r="O763" s="74">
        <f t="shared" si="455"/>
        <v>0</v>
      </c>
      <c r="P763" s="74">
        <f t="shared" si="456"/>
        <v>0</v>
      </c>
      <c r="Q763" s="74">
        <f t="shared" ref="Q763:S763" ca="1" si="463">Q764+Q765</f>
        <v>91360</v>
      </c>
      <c r="R763" s="74">
        <f t="shared" ca="1" si="463"/>
        <v>91360</v>
      </c>
      <c r="S763" s="74">
        <f t="shared" ca="1" si="463"/>
        <v>1240</v>
      </c>
      <c r="T763" s="74">
        <f t="shared" ca="1" si="458"/>
        <v>1.3572679509632224</v>
      </c>
      <c r="U763" s="74">
        <f t="shared" ca="1" si="459"/>
        <v>1.3572679509632224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77">
        <f t="shared" si="455"/>
        <v>0</v>
      </c>
      <c r="P764" s="77">
        <f t="shared" si="456"/>
        <v>0</v>
      </c>
      <c r="Q764" s="77">
        <v>0</v>
      </c>
      <c r="R764" s="77">
        <v>0</v>
      </c>
      <c r="S764" s="77">
        <v>0</v>
      </c>
      <c r="T764" s="77">
        <f t="shared" si="458"/>
        <v>0</v>
      </c>
      <c r="U764" s="77">
        <f t="shared" si="459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74">
        <f t="shared" si="455"/>
        <v>0</v>
      </c>
      <c r="P765" s="74">
        <f t="shared" si="456"/>
        <v>0</v>
      </c>
      <c r="Q765" s="74">
        <f ca="1">IFERROR(__xludf.DUMMYFUNCTION("IMPORTRANGE(""https://docs.google.com/spreadsheets/d/1ItG2mGa2ceCfYo0BwxsXqNm01IGEUdYcSSLTEv9YCik/edit?usp=sharing"",""เบิกจ่ายกองทุน!U61"")"),91360)</f>
        <v>91360</v>
      </c>
      <c r="R765" s="74">
        <f ca="1">IFERROR(__xludf.DUMMYFUNCTION("IMPORTRANGE(""https://docs.google.com/spreadsheets/d/1ItG2mGa2ceCfYo0BwxsXqNm01IGEUdYcSSLTEv9YCik/edit?usp=sharing"",""เบิกจ่ายกองทุน!V61"")"),91360)</f>
        <v>91360</v>
      </c>
      <c r="S765" s="74">
        <f ca="1">IFERROR(__xludf.DUMMYFUNCTION("IMPORTRANGE(""https://docs.google.com/spreadsheets/d/1ItG2mGa2ceCfYo0BwxsXqNm01IGEUdYcSSLTEv9YCik/edit?usp=sharing"",""เบิกจ่ายกองทุน!W61"")"),1240)</f>
        <v>1240</v>
      </c>
      <c r="T765" s="74">
        <f t="shared" ca="1" si="458"/>
        <v>1.3572679509632224</v>
      </c>
      <c r="U765" s="74">
        <f t="shared" ca="1" si="459"/>
        <v>1.3572679509632224</v>
      </c>
    </row>
    <row r="766" spans="1:21" ht="18.75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3">
        <f t="shared" ref="L766:N766" si="464">L767+L768</f>
        <v>0</v>
      </c>
      <c r="M766" s="74">
        <f t="shared" si="464"/>
        <v>0</v>
      </c>
      <c r="N766" s="74">
        <f t="shared" si="464"/>
        <v>0</v>
      </c>
      <c r="O766" s="74">
        <f t="shared" si="455"/>
        <v>0</v>
      </c>
      <c r="P766" s="74">
        <f t="shared" si="456"/>
        <v>0</v>
      </c>
      <c r="Q766" s="74">
        <f t="shared" ref="Q766:S766" si="465">Q767+Q768</f>
        <v>0</v>
      </c>
      <c r="R766" s="74">
        <f t="shared" si="465"/>
        <v>0</v>
      </c>
      <c r="S766" s="74">
        <f t="shared" si="465"/>
        <v>0</v>
      </c>
      <c r="T766" s="74">
        <f t="shared" si="458"/>
        <v>0</v>
      </c>
      <c r="U766" s="74">
        <f t="shared" si="459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77">
        <f t="shared" si="455"/>
        <v>0</v>
      </c>
      <c r="P767" s="77">
        <f t="shared" si="456"/>
        <v>0</v>
      </c>
      <c r="Q767" s="77">
        <v>0</v>
      </c>
      <c r="R767" s="77">
        <v>0</v>
      </c>
      <c r="S767" s="77">
        <v>0</v>
      </c>
      <c r="T767" s="77">
        <f t="shared" si="458"/>
        <v>0</v>
      </c>
      <c r="U767" s="77">
        <f t="shared" si="459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74">
        <f t="shared" si="455"/>
        <v>0</v>
      </c>
      <c r="P768" s="74">
        <f t="shared" si="456"/>
        <v>0</v>
      </c>
      <c r="Q768" s="74">
        <v>0</v>
      </c>
      <c r="R768" s="74">
        <v>0</v>
      </c>
      <c r="S768" s="74">
        <v>0</v>
      </c>
      <c r="T768" s="74">
        <f t="shared" si="458"/>
        <v>0</v>
      </c>
      <c r="U768" s="74">
        <f t="shared" si="459"/>
        <v>0</v>
      </c>
    </row>
    <row r="769" spans="1:21" ht="19.5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IFERROR(__xludf.DUMMYFUNCTION("IMPORTRANGE(""https://docs.google.com/spreadsheets/d/1eHaY18a8A9IcSdp1K8H6x8fbOy06t2VsZHhMHf-1x7Y/edit?usp=sharing"",""แผน!FI61"")"),0)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IFERROR(__xludf.DUMMYFUNCTION("IMPORTRANGE(""https://docs.google.com/spreadsheets/d/1eHaY18a8A9IcSdp1K8H6x8fbOy06t2VsZHhMHf-1x7Y/edit?usp=sharing"",""แผน!FQ61"")"),10)</f>
        <v>10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IFERROR(__xludf.DUMMYFUNCTION("IMPORTRANGE(""https://docs.google.com/spreadsheets/d/1eHaY18a8A9IcSdp1K8H6x8fbOy06t2VsZHhMHf-1x7Y/edit?usp=sharing"",""แผน!FR61"")"),20)</f>
        <v>20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IFERROR(__xludf.DUMMYFUNCTION("IMPORTRANGE(""https://docs.google.com/spreadsheets/d/1eHaY18a8A9IcSdp1K8H6x8fbOy06t2VsZHhMHf-1x7Y/edit?usp=sharing"",""แผน!FS61"")"),20)</f>
        <v>20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IFERROR(__xludf.DUMMYFUNCTION("IMPORTRANGE(""https://docs.google.com/spreadsheets/d/1eHaY18a8A9IcSdp1K8H6x8fbOy06t2VsZHhMHf-1x7Y/edit?usp=sharing"",""แผน!FT61"")"),10)</f>
        <v>10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IFERROR(__xludf.DUMMYFUNCTION("IMPORTRANGE(""https://docs.google.com/spreadsheets/d/10OvvATaaLtwErnr3qtWFcTmtbfpFEt5Bsqel9sXx0uE/edit?usp=sharing"",""งานกองทุน!D61"")"),1318000)</f>
        <v>1318000</v>
      </c>
      <c r="J778" s="293">
        <f ca="1">IFERROR(__xludf.DUMMYFUNCTION("IMPORTRANGE(""https://docs.google.com/spreadsheets/d/10OvvATaaLtwErnr3qtWFcTmtbfpFEt5Bsqel9sXx0uE/edit?usp=sharing"",""งานกองทุน!F61"")"),66000)</f>
        <v>66000</v>
      </c>
      <c r="K778" s="74">
        <f t="shared" ref="K778:K785" ca="1" si="466">IF(I778&gt;0,J778*100/I778,0)</f>
        <v>5.0075872534142638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IFERROR(__xludf.DUMMYFUNCTION("IMPORTRANGE(""https://docs.google.com/spreadsheets/d/10OvvATaaLtwErnr3qtWFcTmtbfpFEt5Bsqel9sXx0uE/edit?usp=sharing"",""งานกองทุน!C61"")"),45)</f>
        <v>45</v>
      </c>
      <c r="J779" s="293">
        <f ca="1">IFERROR(__xludf.DUMMYFUNCTION("IMPORTRANGE(""https://docs.google.com/spreadsheets/d/10OvvATaaLtwErnr3qtWFcTmtbfpFEt5Bsqel9sXx0uE/edit?usp=sharing"",""งานกองทุน!E61"")"),5)</f>
        <v>5</v>
      </c>
      <c r="K779" s="74">
        <f t="shared" ca="1" si="466"/>
        <v>11.111111111111111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IFERROR(__xludf.DUMMYFUNCTION("IMPORTRANGE(""https://docs.google.com/spreadsheets/d/10OvvATaaLtwErnr3qtWFcTmtbfpFEt5Bsqel9sXx0uE/edit?usp=sharing"",""งานกองทุน!I61"")"),88462.27)</f>
        <v>88462.27</v>
      </c>
      <c r="J780" s="293">
        <f ca="1">IFERROR(__xludf.DUMMYFUNCTION("IMPORTRANGE(""https://docs.google.com/spreadsheets/d/10OvvATaaLtwErnr3qtWFcTmtbfpFEt5Bsqel9sXx0uE/edit?usp=sharing"",""งานกองทุน!K61"")"),32251.8)</f>
        <v>32251.8</v>
      </c>
      <c r="K780" s="74">
        <f t="shared" ca="1" si="466"/>
        <v>36.458255027821465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IFERROR(__xludf.DUMMYFUNCTION("IMPORTRANGE(""https://docs.google.com/spreadsheets/d/10OvvATaaLtwErnr3qtWFcTmtbfpFEt5Bsqel9sXx0uE/edit?usp=sharing"",""งานกองทุน!H61"")"),6)</f>
        <v>6</v>
      </c>
      <c r="J781" s="293">
        <f ca="1">IFERROR(__xludf.DUMMYFUNCTION("IMPORTRANGE(""https://docs.google.com/spreadsheets/d/10OvvATaaLtwErnr3qtWFcTmtbfpFEt5Bsqel9sXx0uE/edit?usp=sharing"",""งานกองทุน!J61"")"),4)</f>
        <v>4</v>
      </c>
      <c r="K781" s="74">
        <f t="shared" ca="1" si="466"/>
        <v>66.666666666666671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IFERROR(__xludf.DUMMYFUNCTION("IMPORTRANGE(""https://docs.google.com/spreadsheets/d/10OvvATaaLtwErnr3qtWFcTmtbfpFEt5Bsqel9sXx0uE/edit?usp=sharing"",""งานกองทุน!N61"")"),2513736.39)</f>
        <v>2513736.39</v>
      </c>
      <c r="J782" s="293">
        <f ca="1">IFERROR(__xludf.DUMMYFUNCTION("IMPORTRANGE(""https://docs.google.com/spreadsheets/d/10OvvATaaLtwErnr3qtWFcTmtbfpFEt5Bsqel9sXx0uE/edit?usp=sharing"",""งานกองทุน!P61"")"),724398.16)</f>
        <v>724398.16</v>
      </c>
      <c r="K782" s="74">
        <f t="shared" ca="1" si="466"/>
        <v>28.817586556878382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IFERROR(__xludf.DUMMYFUNCTION("IMPORTRANGE(""https://docs.google.com/spreadsheets/d/10OvvATaaLtwErnr3qtWFcTmtbfpFEt5Bsqel9sXx0uE/edit?usp=sharing"",""งานกองทุน!M61"")"),1855)</f>
        <v>1855</v>
      </c>
      <c r="J783" s="293">
        <f ca="1">IFERROR(__xludf.DUMMYFUNCTION("IMPORTRANGE(""https://docs.google.com/spreadsheets/d/10OvvATaaLtwErnr3qtWFcTmtbfpFEt5Bsqel9sXx0uE/edit?usp=sharing"",""งานกองทุน!O61"")"),1218)</f>
        <v>1218</v>
      </c>
      <c r="K783" s="74">
        <f t="shared" ca="1" si="466"/>
        <v>65.660377358490564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IFERROR(__xludf.DUMMYFUNCTION("IMPORTRANGE(""https://docs.google.com/spreadsheets/d/10OvvATaaLtwErnr3qtWFcTmtbfpFEt5Bsqel9sXx0uE/edit?usp=sharing"",""งานกองทุน!S61"")"),1092000)</f>
        <v>1092000</v>
      </c>
      <c r="J784" s="293">
        <f ca="1">IFERROR(__xludf.DUMMYFUNCTION("IMPORTRANGE(""https://docs.google.com/spreadsheets/d/10OvvATaaLtwErnr3qtWFcTmtbfpFEt5Bsqel9sXx0uE/edit?usp=sharing"",""งานกองทุน!U61"")"),0)</f>
        <v>0</v>
      </c>
      <c r="K784" s="74">
        <f t="shared" ca="1" si="466"/>
        <v>0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IFERROR(__xludf.DUMMYFUNCTION("IMPORTRANGE(""https://docs.google.com/spreadsheets/d/10OvvATaaLtwErnr3qtWFcTmtbfpFEt5Bsqel9sXx0uE/edit?usp=sharing"",""งานกองทุน!R61"")"),39)</f>
        <v>39</v>
      </c>
      <c r="J785" s="786">
        <f ca="1">IFERROR(__xludf.DUMMYFUNCTION("IMPORTRANGE(""https://docs.google.com/spreadsheets/d/10OvvATaaLtwErnr3qtWFcTmtbfpFEt5Bsqel9sXx0uE/edit?usp=sharing"",""งานกองทุน!T61"")"),0)</f>
        <v>0</v>
      </c>
      <c r="K785" s="182">
        <f t="shared" ca="1" si="466"/>
        <v>0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59E9C-F210-4F86-B5AD-D3667E85C2CC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3" width="21.28515625" bestFit="1" customWidth="1"/>
    <col min="14" max="14" width="18.7109375" bestFit="1" customWidth="1"/>
    <col min="15" max="15" width="10.8554687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345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4" t="s">
        <v>4</v>
      </c>
      <c r="B6" s="1385"/>
      <c r="C6" s="1385"/>
      <c r="D6" s="1385"/>
      <c r="E6" s="1385"/>
      <c r="F6" s="1385"/>
      <c r="G6" s="1386"/>
      <c r="H6" s="1037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8">
        <f t="shared" ref="L19:N19" ca="1" si="0">L20+L21</f>
        <v>1209180</v>
      </c>
      <c r="M19" s="59">
        <f t="shared" ca="1" si="0"/>
        <v>1220433</v>
      </c>
      <c r="N19" s="59">
        <f t="shared" ca="1" si="0"/>
        <v>745708.66</v>
      </c>
      <c r="O19" s="59">
        <f t="shared" ref="O19:O27" ca="1" si="1">IF(L19&gt;0,N19*100/L19,0)</f>
        <v>61.670608180750591</v>
      </c>
      <c r="P19" s="59">
        <f t="shared" ref="P19:P27" ca="1" si="2">IF(M19&gt;0,N19*100/M19,0)</f>
        <v>61.101974463161845</v>
      </c>
      <c r="Q19" s="59">
        <f t="shared" ref="Q19:S19" ca="1" si="3">Q20+Q21</f>
        <v>1142515.3900000001</v>
      </c>
      <c r="R19" s="59">
        <f t="shared" ca="1" si="3"/>
        <v>1123765</v>
      </c>
      <c r="S19" s="59">
        <f t="shared" ca="1" si="3"/>
        <v>1360</v>
      </c>
      <c r="T19" s="59">
        <f t="shared" ref="T19:T27" ca="1" si="4">IF(Q19&gt;0,S19*100/Q19,0)</f>
        <v>0.11903559566055384</v>
      </c>
      <c r="U19" s="59">
        <f t="shared" ref="U19:U27" ca="1" si="5">IF(R19&gt;0,S19*100/R19,0)</f>
        <v>0.12102174386993722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2">
        <f t="shared" ref="L20:N21" si="6">L23+L26</f>
        <v>0</v>
      </c>
      <c r="M20" s="63">
        <f t="shared" si="6"/>
        <v>0</v>
      </c>
      <c r="N20" s="63">
        <f t="shared" si="6"/>
        <v>0</v>
      </c>
      <c r="O20" s="63">
        <f t="shared" si="1"/>
        <v>0</v>
      </c>
      <c r="P20" s="63">
        <f t="shared" si="2"/>
        <v>0</v>
      </c>
      <c r="Q20" s="63">
        <f t="shared" ref="Q20:S21" si="7">Q23+Q26</f>
        <v>0</v>
      </c>
      <c r="R20" s="63">
        <f t="shared" si="7"/>
        <v>0</v>
      </c>
      <c r="S20" s="63">
        <f t="shared" si="7"/>
        <v>0</v>
      </c>
      <c r="T20" s="63">
        <f t="shared" si="4"/>
        <v>0</v>
      </c>
      <c r="U20" s="6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4">
        <f t="shared" ca="1" si="6"/>
        <v>1209180</v>
      </c>
      <c r="M21" s="65">
        <f t="shared" ca="1" si="6"/>
        <v>1220433</v>
      </c>
      <c r="N21" s="65">
        <f t="shared" ca="1" si="6"/>
        <v>745708.66</v>
      </c>
      <c r="O21" s="65">
        <f t="shared" ca="1" si="1"/>
        <v>61.670608180750591</v>
      </c>
      <c r="P21" s="65">
        <f t="shared" ca="1" si="2"/>
        <v>61.101974463161845</v>
      </c>
      <c r="Q21" s="65">
        <f t="shared" ca="1" si="7"/>
        <v>1142515.3900000001</v>
      </c>
      <c r="R21" s="65">
        <f t="shared" ca="1" si="7"/>
        <v>1123765</v>
      </c>
      <c r="S21" s="65">
        <f t="shared" ca="1" si="7"/>
        <v>1360</v>
      </c>
      <c r="T21" s="65">
        <f t="shared" ca="1" si="4"/>
        <v>0.11903559566055384</v>
      </c>
      <c r="U21" s="65">
        <f t="shared" ca="1" si="5"/>
        <v>0.12102174386993722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3">
        <f t="shared" ref="L22:N22" ca="1" si="8">L23+L24</f>
        <v>1209180</v>
      </c>
      <c r="M22" s="74">
        <f t="shared" ca="1" si="8"/>
        <v>1220433</v>
      </c>
      <c r="N22" s="74">
        <f t="shared" ca="1" si="8"/>
        <v>745708.66</v>
      </c>
      <c r="O22" s="74">
        <f t="shared" ca="1" si="1"/>
        <v>61.670608180750591</v>
      </c>
      <c r="P22" s="74">
        <f t="shared" ca="1" si="2"/>
        <v>61.101974463161845</v>
      </c>
      <c r="Q22" s="74">
        <f t="shared" ref="Q22:S22" ca="1" si="9">Q23+Q24</f>
        <v>1142515.3900000001</v>
      </c>
      <c r="R22" s="74">
        <f t="shared" ca="1" si="9"/>
        <v>1123765</v>
      </c>
      <c r="S22" s="74">
        <f t="shared" ca="1" si="9"/>
        <v>1360</v>
      </c>
      <c r="T22" s="74">
        <f t="shared" ca="1" si="4"/>
        <v>0.11903559566055384</v>
      </c>
      <c r="U22" s="74">
        <f t="shared" ca="1" si="5"/>
        <v>0.12102174386993722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6">
        <f t="shared" ref="L23:N24" si="10">L49+L64+L77+L99+L130+L144+L162+L191+L178+L271+L287+L308+L325+L338+L361+L518</f>
        <v>0</v>
      </c>
      <c r="M23" s="77">
        <f t="shared" si="10"/>
        <v>0</v>
      </c>
      <c r="N23" s="77">
        <f t="shared" si="10"/>
        <v>0</v>
      </c>
      <c r="O23" s="77">
        <f t="shared" si="1"/>
        <v>0</v>
      </c>
      <c r="P23" s="77">
        <f t="shared" si="2"/>
        <v>0</v>
      </c>
      <c r="Q23" s="77">
        <f t="shared" ref="Q23:S24" si="11">Q77+Q99+Q122+Q144+Q162+Q178+Q191+Q271+Q287+Q308+Q338+Q380+Q397+Q418+Q498+Q604+Q621+Q647+Q695+Q719+Q733+Q764</f>
        <v>0</v>
      </c>
      <c r="R23" s="77">
        <f t="shared" si="11"/>
        <v>0</v>
      </c>
      <c r="S23" s="77">
        <f t="shared" si="11"/>
        <v>0</v>
      </c>
      <c r="T23" s="77">
        <f t="shared" si="4"/>
        <v>0</v>
      </c>
      <c r="U23" s="77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3">
        <f t="shared" ca="1" si="10"/>
        <v>1209180</v>
      </c>
      <c r="M24" s="74">
        <f t="shared" ca="1" si="10"/>
        <v>1220433</v>
      </c>
      <c r="N24" s="74">
        <f t="shared" ca="1" si="10"/>
        <v>745708.66</v>
      </c>
      <c r="O24" s="74">
        <f t="shared" ca="1" si="1"/>
        <v>61.670608180750591</v>
      </c>
      <c r="P24" s="74">
        <f t="shared" ca="1" si="2"/>
        <v>61.101974463161845</v>
      </c>
      <c r="Q24" s="74">
        <f t="shared" ca="1" si="11"/>
        <v>1142515.3900000001</v>
      </c>
      <c r="R24" s="74">
        <f t="shared" ca="1" si="11"/>
        <v>1123765</v>
      </c>
      <c r="S24" s="74">
        <f t="shared" ca="1" si="11"/>
        <v>1360</v>
      </c>
      <c r="T24" s="74">
        <f t="shared" ca="1" si="4"/>
        <v>0.11903559566055384</v>
      </c>
      <c r="U24" s="74">
        <f t="shared" ca="1" si="5"/>
        <v>0.12102174386993722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3">
        <f t="shared" ref="L25:N25" ca="1" si="12">L26+L27</f>
        <v>0</v>
      </c>
      <c r="M25" s="74">
        <f t="shared" ca="1" si="12"/>
        <v>0</v>
      </c>
      <c r="N25" s="74">
        <f t="shared" ca="1" si="12"/>
        <v>0</v>
      </c>
      <c r="O25" s="74">
        <f t="shared" ca="1" si="1"/>
        <v>0</v>
      </c>
      <c r="P25" s="74">
        <f t="shared" ca="1" si="2"/>
        <v>0</v>
      </c>
      <c r="Q25" s="74">
        <f t="shared" ref="Q25:S25" si="13">Q26+Q27</f>
        <v>0</v>
      </c>
      <c r="R25" s="74">
        <f t="shared" si="13"/>
        <v>0</v>
      </c>
      <c r="S25" s="74">
        <f t="shared" si="13"/>
        <v>0</v>
      </c>
      <c r="T25" s="74">
        <f t="shared" si="4"/>
        <v>0</v>
      </c>
      <c r="U25" s="74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6">
        <f t="shared" ref="L26:N27" si="14">L52+L67+L80+L102+L133+L147+L165+L194+L181+L274+L290+L311+L328+L341+L364+L521</f>
        <v>0</v>
      </c>
      <c r="M26" s="77">
        <f t="shared" si="14"/>
        <v>0</v>
      </c>
      <c r="N26" s="77">
        <f t="shared" si="14"/>
        <v>0</v>
      </c>
      <c r="O26" s="77">
        <f t="shared" si="1"/>
        <v>0</v>
      </c>
      <c r="P26" s="77">
        <f t="shared" si="2"/>
        <v>0</v>
      </c>
      <c r="Q26" s="77">
        <f t="shared" ref="Q26:S27" si="15">Q80+Q102+Q125+Q147+Q165+Q181+Q194+Q274+Q290+Q311+Q341+Q383+Q400+Q421+Q501+Q607+Q624+Q650+Q698+Q722+Q736+Q767</f>
        <v>0</v>
      </c>
      <c r="R26" s="77">
        <f t="shared" si="15"/>
        <v>0</v>
      </c>
      <c r="S26" s="77">
        <f t="shared" si="15"/>
        <v>0</v>
      </c>
      <c r="T26" s="77">
        <f t="shared" si="4"/>
        <v>0</v>
      </c>
      <c r="U26" s="77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3">
        <f t="shared" ca="1" si="14"/>
        <v>0</v>
      </c>
      <c r="M27" s="74">
        <f t="shared" ca="1" si="14"/>
        <v>0</v>
      </c>
      <c r="N27" s="74">
        <f t="shared" ca="1" si="14"/>
        <v>0</v>
      </c>
      <c r="O27" s="74">
        <f t="shared" ca="1" si="1"/>
        <v>0</v>
      </c>
      <c r="P27" s="74">
        <f t="shared" ca="1" si="2"/>
        <v>0</v>
      </c>
      <c r="Q27" s="77">
        <f t="shared" si="15"/>
        <v>0</v>
      </c>
      <c r="R27" s="77">
        <f t="shared" si="15"/>
        <v>0</v>
      </c>
      <c r="S27" s="77">
        <f t="shared" si="15"/>
        <v>0</v>
      </c>
      <c r="T27" s="74">
        <f t="shared" si="4"/>
        <v>0</v>
      </c>
      <c r="U27" s="74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81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80">
        <f t="shared" ref="L41:N41" ca="1" si="16">L45+L60+L73+L95+L126+L140+L158+L174+L187+L267+L283+L304+L321+L334+L357</f>
        <v>1209180</v>
      </c>
      <c r="M41" s="1279">
        <f t="shared" ca="1" si="16"/>
        <v>1220433</v>
      </c>
      <c r="N41" s="1279">
        <f t="shared" ca="1" si="16"/>
        <v>745708.66</v>
      </c>
      <c r="O41" s="1279">
        <f ca="1">IF(L41&gt;0,N41*100/L41,0)</f>
        <v>61.670608180750591</v>
      </c>
      <c r="P41" s="1279">
        <f ca="1">IF(M41&gt;0,N41*100/M41,0)</f>
        <v>61.101974463161845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6">
        <f t="shared" ref="L45:N45" ca="1" si="17">L46+L47</f>
        <v>192600</v>
      </c>
      <c r="M45" s="1275">
        <f t="shared" ca="1" si="17"/>
        <v>197433</v>
      </c>
      <c r="N45" s="1275">
        <f t="shared" ca="1" si="17"/>
        <v>168833</v>
      </c>
      <c r="O45" s="1275">
        <f t="shared" ref="O45:O53" ca="1" si="18">IF(L45&gt;0,N45*100/L45,0)</f>
        <v>87.659916926272061</v>
      </c>
      <c r="P45" s="1275">
        <f t="shared" ref="P45:P53" ca="1" si="19">IF(M45&gt;0,N45*100/M45,0)</f>
        <v>85.514073128605659</v>
      </c>
      <c r="Q45" s="1275">
        <f t="shared" ref="Q45:S45" si="20">Q46+Q47</f>
        <v>0</v>
      </c>
      <c r="R45" s="1275">
        <f t="shared" si="20"/>
        <v>0</v>
      </c>
      <c r="S45" s="1275">
        <f t="shared" si="20"/>
        <v>0</v>
      </c>
      <c r="T45" s="1275">
        <f t="shared" ref="T45:T53" si="21">IF(Q45&gt;0,S45*100/Q45,0)</f>
        <v>0</v>
      </c>
      <c r="U45" s="1275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4">
        <f t="shared" ref="L46:N47" si="23">L49+L52</f>
        <v>0</v>
      </c>
      <c r="M46" s="1273">
        <f t="shared" si="23"/>
        <v>0</v>
      </c>
      <c r="N46" s="1273">
        <f t="shared" si="23"/>
        <v>0</v>
      </c>
      <c r="O46" s="1273">
        <f t="shared" si="18"/>
        <v>0</v>
      </c>
      <c r="P46" s="1273">
        <f t="shared" si="19"/>
        <v>0</v>
      </c>
      <c r="Q46" s="1273">
        <f t="shared" ref="Q46:S47" si="24">Q49+Q52</f>
        <v>0</v>
      </c>
      <c r="R46" s="1273">
        <f t="shared" si="24"/>
        <v>0</v>
      </c>
      <c r="S46" s="1273">
        <f t="shared" si="24"/>
        <v>0</v>
      </c>
      <c r="T46" s="1273">
        <f t="shared" si="21"/>
        <v>0</v>
      </c>
      <c r="U46" s="1273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2">
        <f t="shared" ca="1" si="23"/>
        <v>192600</v>
      </c>
      <c r="M47" s="1271">
        <f t="shared" ca="1" si="23"/>
        <v>197433</v>
      </c>
      <c r="N47" s="1271">
        <f t="shared" ca="1" si="23"/>
        <v>168833</v>
      </c>
      <c r="O47" s="1271">
        <f t="shared" ca="1" si="18"/>
        <v>87.659916926272061</v>
      </c>
      <c r="P47" s="1271">
        <f t="shared" ca="1" si="19"/>
        <v>85.514073128605659</v>
      </c>
      <c r="Q47" s="1271">
        <f t="shared" si="24"/>
        <v>0</v>
      </c>
      <c r="R47" s="1271">
        <f t="shared" si="24"/>
        <v>0</v>
      </c>
      <c r="S47" s="1271">
        <f t="shared" si="24"/>
        <v>0</v>
      </c>
      <c r="T47" s="1271">
        <f t="shared" si="21"/>
        <v>0</v>
      </c>
      <c r="U47" s="1271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3">
        <f t="shared" ref="L48:N48" ca="1" si="25">L49+L50</f>
        <v>192600</v>
      </c>
      <c r="M48" s="74">
        <f t="shared" ca="1" si="25"/>
        <v>197433</v>
      </c>
      <c r="N48" s="74">
        <f t="shared" ca="1" si="25"/>
        <v>168833</v>
      </c>
      <c r="O48" s="74">
        <f t="shared" ca="1" si="18"/>
        <v>87.659916926272061</v>
      </c>
      <c r="P48" s="74">
        <f t="shared" ca="1" si="19"/>
        <v>85.514073128605659</v>
      </c>
      <c r="Q48" s="74">
        <f t="shared" ref="Q48:S48" si="26">Q49+Q50</f>
        <v>0</v>
      </c>
      <c r="R48" s="74">
        <f t="shared" si="26"/>
        <v>0</v>
      </c>
      <c r="S48" s="74">
        <f t="shared" si="26"/>
        <v>0</v>
      </c>
      <c r="T48" s="74">
        <f t="shared" si="21"/>
        <v>0</v>
      </c>
      <c r="U48" s="74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77">
        <f t="shared" si="18"/>
        <v>0</v>
      </c>
      <c r="P49" s="77">
        <f t="shared" si="19"/>
        <v>0</v>
      </c>
      <c r="Q49" s="77">
        <v>0</v>
      </c>
      <c r="R49" s="77">
        <v>0</v>
      </c>
      <c r="S49" s="77">
        <v>0</v>
      </c>
      <c r="T49" s="77">
        <f t="shared" si="21"/>
        <v>0</v>
      </c>
      <c r="U49" s="77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3">
        <f ca="1">IFERROR(__xludf.DUMMYFUNCTION("IMPORTRANGE(""https://docs.google.com/spreadsheets/d/1-uDff_7J0KD5mKrp0Vvzr7lt3OU09vwQwhkpOPPYv2Y/edit?usp=sharing"",""งบพรบ!P62"")"),192600)</f>
        <v>192600</v>
      </c>
      <c r="M50" s="74">
        <f ca="1">IFERROR(__xludf.DUMMYFUNCTION("IMPORTRANGE(""https://docs.google.com/spreadsheets/d/1-uDff_7J0KD5mKrp0Vvzr7lt3OU09vwQwhkpOPPYv2Y/edit?usp=sharing"",""งบพรบ!V62"")"),197433)</f>
        <v>197433</v>
      </c>
      <c r="N50" s="74">
        <f ca="1">IFERROR(__xludf.DUMMYFUNCTION("IMPORTRANGE(""https://docs.google.com/spreadsheets/d/1-uDff_7J0KD5mKrp0Vvzr7lt3OU09vwQwhkpOPPYv2Y/edit?usp=sharing"",""งบพรบ!Y62"")"),168833)</f>
        <v>168833</v>
      </c>
      <c r="O50" s="74">
        <f t="shared" ca="1" si="18"/>
        <v>87.659916926272061</v>
      </c>
      <c r="P50" s="74">
        <f t="shared" ca="1" si="19"/>
        <v>85.514073128605659</v>
      </c>
      <c r="Q50" s="74">
        <v>0</v>
      </c>
      <c r="R50" s="74">
        <v>0</v>
      </c>
      <c r="S50" s="74">
        <v>0</v>
      </c>
      <c r="T50" s="74">
        <f t="shared" si="21"/>
        <v>0</v>
      </c>
      <c r="U50" s="74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3">
        <f t="shared" ref="L51:N51" ca="1" si="27">L52+L53</f>
        <v>0</v>
      </c>
      <c r="M51" s="74">
        <f t="shared" ca="1" si="27"/>
        <v>0</v>
      </c>
      <c r="N51" s="74">
        <f t="shared" ca="1" si="27"/>
        <v>0</v>
      </c>
      <c r="O51" s="74">
        <f t="shared" ca="1" si="18"/>
        <v>0</v>
      </c>
      <c r="P51" s="74">
        <f t="shared" ca="1" si="19"/>
        <v>0</v>
      </c>
      <c r="Q51" s="74">
        <f t="shared" ref="Q51:S51" si="28">Q52+Q53</f>
        <v>0</v>
      </c>
      <c r="R51" s="74">
        <f t="shared" si="28"/>
        <v>0</v>
      </c>
      <c r="S51" s="74">
        <f t="shared" si="28"/>
        <v>0</v>
      </c>
      <c r="T51" s="74">
        <f t="shared" si="21"/>
        <v>0</v>
      </c>
      <c r="U51" s="74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77">
        <f t="shared" si="18"/>
        <v>0</v>
      </c>
      <c r="P52" s="77">
        <f t="shared" si="19"/>
        <v>0</v>
      </c>
      <c r="Q52" s="77">
        <v>0</v>
      </c>
      <c r="R52" s="77">
        <v>0</v>
      </c>
      <c r="S52" s="77">
        <v>0</v>
      </c>
      <c r="T52" s="77">
        <f t="shared" si="21"/>
        <v>0</v>
      </c>
      <c r="U52" s="77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3">
        <f ca="1">IFERROR(__xludf.DUMMYFUNCTION("IMPORTRANGE(""https://docs.google.com/spreadsheets/d/1-uDff_7J0KD5mKrp0Vvzr7lt3OU09vwQwhkpOPPYv2Y/edit?usp=sharing"",""งบพรบ!S62"")"),0)</f>
        <v>0</v>
      </c>
      <c r="M53" s="74">
        <f ca="1">IFERROR(__xludf.DUMMYFUNCTION("IMPORTRANGE(""https://docs.google.com/spreadsheets/d/1-uDff_7J0KD5mKrp0Vvzr7lt3OU09vwQwhkpOPPYv2Y/edit?usp=sharing"",""งบพรบ!W62"")"),0)</f>
        <v>0</v>
      </c>
      <c r="N53" s="74">
        <f ca="1">IFERROR(__xludf.DUMMYFUNCTION("IMPORTRANGE(""https://docs.google.com/spreadsheets/d/1-uDff_7J0KD5mKrp0Vvzr7lt3OU09vwQwhkpOPPYv2Y/edit?usp=sharing"",""งบพรบ!Z62"")"),0)</f>
        <v>0</v>
      </c>
      <c r="O53" s="74">
        <f t="shared" ca="1" si="18"/>
        <v>0</v>
      </c>
      <c r="P53" s="74">
        <f t="shared" ca="1" si="19"/>
        <v>0</v>
      </c>
      <c r="Q53" s="74">
        <v>0</v>
      </c>
      <c r="R53" s="74">
        <v>0</v>
      </c>
      <c r="S53" s="74">
        <v>0</v>
      </c>
      <c r="T53" s="74">
        <f t="shared" si="21"/>
        <v>0</v>
      </c>
      <c r="U53" s="74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9">
        <f t="shared" ref="L60:N60" ca="1" si="29">L61+L62</f>
        <v>393200</v>
      </c>
      <c r="M60" s="1268">
        <f t="shared" ca="1" si="29"/>
        <v>393200</v>
      </c>
      <c r="N60" s="1268">
        <f t="shared" ca="1" si="29"/>
        <v>325258.77</v>
      </c>
      <c r="O60" s="1268">
        <f t="shared" ref="O60:O68" ca="1" si="30">IF(L60&gt;0,N60*100/L60,0)</f>
        <v>82.720948626653097</v>
      </c>
      <c r="P60" s="1268">
        <f t="shared" ref="P60:P68" ca="1" si="31">IF(M60&gt;0,N60*100/M60,0)</f>
        <v>82.720948626653097</v>
      </c>
      <c r="Q60" s="1268">
        <f t="shared" ref="Q60:S60" si="32">Q61+Q62</f>
        <v>0</v>
      </c>
      <c r="R60" s="1268">
        <f t="shared" si="32"/>
        <v>0</v>
      </c>
      <c r="S60" s="1268">
        <f t="shared" si="32"/>
        <v>0</v>
      </c>
      <c r="T60" s="1268">
        <f t="shared" ref="T60:T68" si="33">IF(Q60&gt;0,S60*100/Q60,0)</f>
        <v>0</v>
      </c>
      <c r="U60" s="1268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7">
        <f t="shared" ref="L61:N62" si="35">L64+L67</f>
        <v>0</v>
      </c>
      <c r="M61" s="1266">
        <f t="shared" si="35"/>
        <v>0</v>
      </c>
      <c r="N61" s="1266">
        <f t="shared" si="35"/>
        <v>0</v>
      </c>
      <c r="O61" s="1266">
        <f t="shared" si="30"/>
        <v>0</v>
      </c>
      <c r="P61" s="1266">
        <f t="shared" si="31"/>
        <v>0</v>
      </c>
      <c r="Q61" s="1266">
        <f t="shared" ref="Q61:S62" si="36">Q64+Q67</f>
        <v>0</v>
      </c>
      <c r="R61" s="1266">
        <f t="shared" si="36"/>
        <v>0</v>
      </c>
      <c r="S61" s="1266">
        <f t="shared" si="36"/>
        <v>0</v>
      </c>
      <c r="T61" s="1266">
        <f t="shared" si="33"/>
        <v>0</v>
      </c>
      <c r="U61" s="1266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5">
        <f t="shared" ca="1" si="35"/>
        <v>393200</v>
      </c>
      <c r="M62" s="1264">
        <f t="shared" ca="1" si="35"/>
        <v>393200</v>
      </c>
      <c r="N62" s="1264">
        <f t="shared" ca="1" si="35"/>
        <v>325258.77</v>
      </c>
      <c r="O62" s="1264">
        <f t="shared" ca="1" si="30"/>
        <v>82.720948626653097</v>
      </c>
      <c r="P62" s="1264">
        <f t="shared" ca="1" si="31"/>
        <v>82.720948626653097</v>
      </c>
      <c r="Q62" s="1264">
        <f t="shared" si="36"/>
        <v>0</v>
      </c>
      <c r="R62" s="1264">
        <f t="shared" si="36"/>
        <v>0</v>
      </c>
      <c r="S62" s="1264">
        <f t="shared" si="36"/>
        <v>0</v>
      </c>
      <c r="T62" s="1264">
        <f t="shared" si="33"/>
        <v>0</v>
      </c>
      <c r="U62" s="1264">
        <f t="shared" si="34"/>
        <v>0</v>
      </c>
    </row>
    <row r="63" spans="1:21" ht="18.75" x14ac:dyDescent="0.25">
      <c r="A63" s="550"/>
      <c r="B63" s="269"/>
      <c r="C63" s="269"/>
      <c r="D63" s="967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3">
        <f t="shared" ref="L63:N63" ca="1" si="37">L64+L65</f>
        <v>393200</v>
      </c>
      <c r="M63" s="74">
        <f t="shared" ca="1" si="37"/>
        <v>393200</v>
      </c>
      <c r="N63" s="74">
        <f t="shared" ca="1" si="37"/>
        <v>325258.77</v>
      </c>
      <c r="O63" s="74">
        <f t="shared" ca="1" si="30"/>
        <v>82.720948626653097</v>
      </c>
      <c r="P63" s="74">
        <f t="shared" ca="1" si="31"/>
        <v>82.720948626653097</v>
      </c>
      <c r="Q63" s="74">
        <f t="shared" ref="Q63:S63" si="38">Q64+Q65</f>
        <v>0</v>
      </c>
      <c r="R63" s="74">
        <f t="shared" si="38"/>
        <v>0</v>
      </c>
      <c r="S63" s="74">
        <f t="shared" si="38"/>
        <v>0</v>
      </c>
      <c r="T63" s="74">
        <f t="shared" si="33"/>
        <v>0</v>
      </c>
      <c r="U63" s="74">
        <f t="shared" si="34"/>
        <v>0</v>
      </c>
    </row>
    <row r="64" spans="1:21" ht="18.75" hidden="1" x14ac:dyDescent="0.25">
      <c r="A64" s="550"/>
      <c r="B64" s="258"/>
      <c r="C64" s="269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77">
        <f t="shared" si="30"/>
        <v>0</v>
      </c>
      <c r="P64" s="77">
        <f t="shared" si="31"/>
        <v>0</v>
      </c>
      <c r="Q64" s="77">
        <v>0</v>
      </c>
      <c r="R64" s="77">
        <v>0</v>
      </c>
      <c r="S64" s="77">
        <v>0</v>
      </c>
      <c r="T64" s="77">
        <f t="shared" si="33"/>
        <v>0</v>
      </c>
      <c r="U64" s="77">
        <f t="shared" si="34"/>
        <v>0</v>
      </c>
    </row>
    <row r="65" spans="1:21" ht="18.75" hidden="1" x14ac:dyDescent="0.25">
      <c r="A65" s="257"/>
      <c r="B65" s="258"/>
      <c r="C65" s="258"/>
      <c r="D65" s="269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3">
        <f ca="1">IFERROR(__xludf.DUMMYFUNCTION("IMPORTRANGE(""https://docs.google.com/spreadsheets/d/1-uDff_7J0KD5mKrp0Vvzr7lt3OU09vwQwhkpOPPYv2Y/edit?usp=sharing"",""งบพรบ!AC62"")"),393200)</f>
        <v>393200</v>
      </c>
      <c r="M65" s="74">
        <f ca="1">IFERROR(__xludf.DUMMYFUNCTION("IMPORTRANGE(""https://docs.google.com/spreadsheets/d/1-uDff_7J0KD5mKrp0Vvzr7lt3OU09vwQwhkpOPPYv2Y/edit?usp=sharing"",""งบพรบ!AH62"")"),393200)</f>
        <v>393200</v>
      </c>
      <c r="N65" s="74">
        <f ca="1">IFERROR(__xludf.DUMMYFUNCTION("IMPORTRANGE(""https://docs.google.com/spreadsheets/d/1-uDff_7J0KD5mKrp0Vvzr7lt3OU09vwQwhkpOPPYv2Y/edit?usp=sharing"",""งบพรบ!AJ62"")"),325258.77)</f>
        <v>325258.77</v>
      </c>
      <c r="O65" s="74">
        <f t="shared" ca="1" si="30"/>
        <v>82.720948626653097</v>
      </c>
      <c r="P65" s="74">
        <f t="shared" ca="1" si="31"/>
        <v>82.720948626653097</v>
      </c>
      <c r="Q65" s="74">
        <v>0</v>
      </c>
      <c r="R65" s="74">
        <v>0</v>
      </c>
      <c r="S65" s="74">
        <v>0</v>
      </c>
      <c r="T65" s="74">
        <f t="shared" si="33"/>
        <v>0</v>
      </c>
      <c r="U65" s="74">
        <f t="shared" si="34"/>
        <v>0</v>
      </c>
    </row>
    <row r="66" spans="1:21" ht="18.75" x14ac:dyDescent="0.25">
      <c r="A66" s="257"/>
      <c r="B66" s="258"/>
      <c r="C66" s="258"/>
      <c r="D66" s="967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3">
        <f t="shared" ref="L66:N66" ca="1" si="39">L67+L68</f>
        <v>0</v>
      </c>
      <c r="M66" s="74">
        <f t="shared" ca="1" si="39"/>
        <v>0</v>
      </c>
      <c r="N66" s="74">
        <f t="shared" ca="1" si="39"/>
        <v>0</v>
      </c>
      <c r="O66" s="74">
        <f t="shared" ca="1" si="30"/>
        <v>0</v>
      </c>
      <c r="P66" s="74">
        <f t="shared" ca="1" si="31"/>
        <v>0</v>
      </c>
      <c r="Q66" s="74">
        <f t="shared" ref="Q66:S66" si="40">Q67+Q68</f>
        <v>0</v>
      </c>
      <c r="R66" s="74">
        <f t="shared" si="40"/>
        <v>0</v>
      </c>
      <c r="S66" s="74">
        <f t="shared" si="40"/>
        <v>0</v>
      </c>
      <c r="T66" s="74">
        <f t="shared" si="33"/>
        <v>0</v>
      </c>
      <c r="U66" s="74">
        <f t="shared" si="34"/>
        <v>0</v>
      </c>
    </row>
    <row r="67" spans="1:21" ht="18.75" hidden="1" x14ac:dyDescent="0.25">
      <c r="A67" s="257"/>
      <c r="B67" s="258"/>
      <c r="C67" s="258"/>
      <c r="D67" s="258"/>
      <c r="E67" s="265" t="s">
        <v>20</v>
      </c>
      <c r="F67" s="258"/>
      <c r="G67" s="261"/>
      <c r="H67" s="266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77">
        <f t="shared" si="30"/>
        <v>0</v>
      </c>
      <c r="P67" s="77">
        <f t="shared" si="31"/>
        <v>0</v>
      </c>
      <c r="Q67" s="77">
        <v>0</v>
      </c>
      <c r="R67" s="77">
        <v>0</v>
      </c>
      <c r="S67" s="77">
        <v>0</v>
      </c>
      <c r="T67" s="77">
        <f t="shared" si="33"/>
        <v>0</v>
      </c>
      <c r="U67" s="77">
        <f t="shared" si="34"/>
        <v>0</v>
      </c>
    </row>
    <row r="68" spans="1:21" ht="18.75" hidden="1" x14ac:dyDescent="0.25">
      <c r="A68" s="1094"/>
      <c r="B68" s="636"/>
      <c r="C68" s="636"/>
      <c r="D68" s="636"/>
      <c r="E68" s="849" t="s">
        <v>21</v>
      </c>
      <c r="F68" s="636"/>
      <c r="G68" s="637"/>
      <c r="H68" s="630" t="s">
        <v>14</v>
      </c>
      <c r="I68" s="631"/>
      <c r="J68" s="631"/>
      <c r="K68" s="98"/>
      <c r="L68" s="181">
        <f ca="1">IFERROR(__xludf.DUMMYFUNCTION("IMPORTRANGE(""https://docs.google.com/spreadsheets/d/1-uDff_7J0KD5mKrp0Vvzr7lt3OU09vwQwhkpOPPYv2Y/edit?usp=sharing"",""งบพรบ!AF62"")"),0)</f>
        <v>0</v>
      </c>
      <c r="M68" s="182">
        <f ca="1">IFERROR(__xludf.DUMMYFUNCTION("IMPORTRANGE(""https://docs.google.com/spreadsheets/d/1-uDff_7J0KD5mKrp0Vvzr7lt3OU09vwQwhkpOPPYv2Y/edit?usp=sharing"",""งบพรบ!AI62"")"),0)</f>
        <v>0</v>
      </c>
      <c r="N68" s="182">
        <f ca="1">IFERROR(__xludf.DUMMYFUNCTION("IMPORTRANGE(""https://docs.google.com/spreadsheets/d/1-uDff_7J0KD5mKrp0Vvzr7lt3OU09vwQwhkpOPPYv2Y/edit?usp=sharing"",""งบพรบ!AK62"")"),0)</f>
        <v>0</v>
      </c>
      <c r="O68" s="182">
        <f t="shared" ca="1" si="30"/>
        <v>0</v>
      </c>
      <c r="P68" s="182">
        <f t="shared" ca="1" si="31"/>
        <v>0</v>
      </c>
      <c r="Q68" s="182">
        <v>0</v>
      </c>
      <c r="R68" s="182">
        <v>0</v>
      </c>
      <c r="S68" s="182">
        <v>0</v>
      </c>
      <c r="T68" s="182">
        <f t="shared" si="33"/>
        <v>0</v>
      </c>
      <c r="U68" s="182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6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hidden="1" x14ac:dyDescent="0.3">
      <c r="A70" s="1099" t="s">
        <v>32</v>
      </c>
      <c r="B70" s="691"/>
      <c r="C70" s="693"/>
      <c r="D70" s="691"/>
      <c r="E70" s="691"/>
      <c r="F70" s="691"/>
      <c r="G70" s="1100"/>
      <c r="H70" s="1101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39" hidden="1" x14ac:dyDescent="0.3">
      <c r="A71" s="250"/>
      <c r="B71" s="251" t="s">
        <v>33</v>
      </c>
      <c r="C71" s="252"/>
      <c r="D71" s="253"/>
      <c r="E71" s="252"/>
      <c r="F71" s="252"/>
      <c r="G71" s="254"/>
      <c r="H71" s="255" t="s">
        <v>34</v>
      </c>
      <c r="I71" s="256">
        <f t="shared" ref="I71:J72" ca="1" si="41">I83</f>
        <v>0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hidden="1" x14ac:dyDescent="0.3">
      <c r="A72" s="250"/>
      <c r="B72" s="252"/>
      <c r="C72" s="252"/>
      <c r="D72" s="253"/>
      <c r="E72" s="252"/>
      <c r="F72" s="252"/>
      <c r="G72" s="254"/>
      <c r="H72" s="255" t="s">
        <v>35</v>
      </c>
      <c r="I72" s="256">
        <f t="shared" ca="1" si="41"/>
        <v>0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hidden="1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1257">
        <f t="shared" ref="L73:N73" ca="1" si="43">L74+L75</f>
        <v>0</v>
      </c>
      <c r="M73" s="264">
        <f t="shared" ca="1" si="43"/>
        <v>0</v>
      </c>
      <c r="N73" s="264">
        <f t="shared" ca="1" si="43"/>
        <v>0</v>
      </c>
      <c r="O73" s="264">
        <f t="shared" ref="O73:O81" ca="1" si="44">IF(L73&gt;0,N73*100/L73,0)</f>
        <v>0</v>
      </c>
      <c r="P73" s="264">
        <f t="shared" ref="P73:P81" ca="1" si="45">IF(M73&gt;0,N73*100/M73,0)</f>
        <v>0</v>
      </c>
      <c r="Q73" s="264">
        <f t="shared" ref="Q73:S73" ca="1" si="46">Q74+Q75</f>
        <v>0</v>
      </c>
      <c r="R73" s="264">
        <f t="shared" ca="1" si="46"/>
        <v>0</v>
      </c>
      <c r="S73" s="264">
        <f t="shared" ca="1" si="46"/>
        <v>0</v>
      </c>
      <c r="T73" s="264">
        <f t="shared" ref="T73:T81" ca="1" si="47">IF(Q73&gt;0,S73*100/Q73,0)</f>
        <v>0</v>
      </c>
      <c r="U73" s="264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6">
        <f t="shared" ref="L74:N75" si="49">L77+L80</f>
        <v>0</v>
      </c>
      <c r="M74" s="77">
        <f t="shared" si="49"/>
        <v>0</v>
      </c>
      <c r="N74" s="77">
        <f t="shared" si="49"/>
        <v>0</v>
      </c>
      <c r="O74" s="77">
        <f t="shared" si="44"/>
        <v>0</v>
      </c>
      <c r="P74" s="77">
        <f t="shared" si="45"/>
        <v>0</v>
      </c>
      <c r="Q74" s="77">
        <f t="shared" ref="Q74:S75" si="50">Q77+Q80</f>
        <v>0</v>
      </c>
      <c r="R74" s="77">
        <f t="shared" si="50"/>
        <v>0</v>
      </c>
      <c r="S74" s="77">
        <f t="shared" si="50"/>
        <v>0</v>
      </c>
      <c r="T74" s="77">
        <f t="shared" si="47"/>
        <v>0</v>
      </c>
      <c r="U74" s="77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3">
        <f t="shared" ca="1" si="49"/>
        <v>0</v>
      </c>
      <c r="M75" s="74">
        <f t="shared" ca="1" si="49"/>
        <v>0</v>
      </c>
      <c r="N75" s="74">
        <f t="shared" ca="1" si="49"/>
        <v>0</v>
      </c>
      <c r="O75" s="74">
        <f t="shared" ca="1" si="44"/>
        <v>0</v>
      </c>
      <c r="P75" s="74">
        <f t="shared" ca="1" si="45"/>
        <v>0</v>
      </c>
      <c r="Q75" s="74">
        <f t="shared" ca="1" si="50"/>
        <v>0</v>
      </c>
      <c r="R75" s="74">
        <f t="shared" ca="1" si="50"/>
        <v>0</v>
      </c>
      <c r="S75" s="74">
        <f t="shared" ca="1" si="50"/>
        <v>0</v>
      </c>
      <c r="T75" s="74">
        <f t="shared" ca="1" si="47"/>
        <v>0</v>
      </c>
      <c r="U75" s="74">
        <f t="shared" ca="1" si="48"/>
        <v>0</v>
      </c>
    </row>
    <row r="76" spans="1:21" ht="18.75" hidden="1" x14ac:dyDescent="0.25">
      <c r="A76" s="257"/>
      <c r="B76" s="269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3">
        <f t="shared" ref="L76:N76" ca="1" si="51">L77+L78</f>
        <v>0</v>
      </c>
      <c r="M76" s="74">
        <f t="shared" ca="1" si="51"/>
        <v>0</v>
      </c>
      <c r="N76" s="74">
        <f t="shared" ca="1" si="51"/>
        <v>0</v>
      </c>
      <c r="O76" s="74">
        <f t="shared" ca="1" si="44"/>
        <v>0</v>
      </c>
      <c r="P76" s="74">
        <f t="shared" ca="1" si="45"/>
        <v>0</v>
      </c>
      <c r="Q76" s="74">
        <f t="shared" ref="Q76:S76" ca="1" si="52">Q77+Q78</f>
        <v>0</v>
      </c>
      <c r="R76" s="74">
        <f t="shared" ca="1" si="52"/>
        <v>0</v>
      </c>
      <c r="S76" s="74">
        <f t="shared" ca="1" si="52"/>
        <v>0</v>
      </c>
      <c r="T76" s="74">
        <f t="shared" ca="1" si="47"/>
        <v>0</v>
      </c>
      <c r="U76" s="74">
        <f t="shared" ca="1" si="48"/>
        <v>0</v>
      </c>
    </row>
    <row r="77" spans="1:21" ht="18.75" hidden="1" x14ac:dyDescent="0.25">
      <c r="A77" s="257"/>
      <c r="B77" s="269"/>
      <c r="C77" s="269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77">
        <f t="shared" si="44"/>
        <v>0</v>
      </c>
      <c r="P77" s="77">
        <f t="shared" si="45"/>
        <v>0</v>
      </c>
      <c r="Q77" s="77">
        <v>0</v>
      </c>
      <c r="R77" s="77">
        <v>0</v>
      </c>
      <c r="S77" s="77">
        <v>0</v>
      </c>
      <c r="T77" s="77">
        <f t="shared" si="47"/>
        <v>0</v>
      </c>
      <c r="U77" s="77">
        <f t="shared" si="48"/>
        <v>0</v>
      </c>
    </row>
    <row r="78" spans="1:21" ht="18.75" hidden="1" x14ac:dyDescent="0.25">
      <c r="A78" s="257"/>
      <c r="B78" s="269"/>
      <c r="C78" s="269"/>
      <c r="D78" s="269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3">
        <f ca="1">IFERROR(__xludf.DUMMYFUNCTION("IMPORTRANGE(""https://docs.google.com/spreadsheets/d/1-uDff_7J0KD5mKrp0Vvzr7lt3OU09vwQwhkpOPPYv2Y/edit?usp=sharing"",""งบพรบ!AM62"")"),0)</f>
        <v>0</v>
      </c>
      <c r="M78" s="74">
        <f ca="1">IFERROR(__xludf.DUMMYFUNCTION("IMPORTRANGE(""https://docs.google.com/spreadsheets/d/1-uDff_7J0KD5mKrp0Vvzr7lt3OU09vwQwhkpOPPYv2Y/edit?usp=sharing"",""งบพรบ!AR62"")"),0)</f>
        <v>0</v>
      </c>
      <c r="N78" s="74">
        <f ca="1">IFERROR(__xludf.DUMMYFUNCTION("IMPORTRANGE(""https://docs.google.com/spreadsheets/d/1-uDff_7J0KD5mKrp0Vvzr7lt3OU09vwQwhkpOPPYv2Y/edit?usp=sharing"",""งบพรบ!AT62"")"),0)</f>
        <v>0</v>
      </c>
      <c r="O78" s="74">
        <f t="shared" ca="1" si="44"/>
        <v>0</v>
      </c>
      <c r="P78" s="74">
        <f t="shared" ca="1" si="45"/>
        <v>0</v>
      </c>
      <c r="Q78" s="74">
        <f ca="1">IFERROR(__xludf.DUMMYFUNCTION("IMPORTRANGE(""https://docs.google.com/spreadsheets/d/1ItG2mGa2ceCfYo0BwxsXqNm01IGEUdYcSSLTEv9YCik/edit?usp=sharing"",""เบิกจ่ายกองทุน!AS62"")"),0)</f>
        <v>0</v>
      </c>
      <c r="R78" s="74">
        <f ca="1">IFERROR(__xludf.DUMMYFUNCTION("IMPORTRANGE(""https://docs.google.com/spreadsheets/d/1ItG2mGa2ceCfYo0BwxsXqNm01IGEUdYcSSLTEv9YCik/edit?usp=sharing"",""เบิกจ่ายกองทุน!AT62"")"),0)</f>
        <v>0</v>
      </c>
      <c r="S78" s="74">
        <f ca="1">IFERROR(__xludf.DUMMYFUNCTION("IMPORTRANGE(""https://docs.google.com/spreadsheets/d/1ItG2mGa2ceCfYo0BwxsXqNm01IGEUdYcSSLTEv9YCik/edit?usp=sharing"",""เบิกจ่ายกองทุน!AU62"")"),0)</f>
        <v>0</v>
      </c>
      <c r="T78" s="74">
        <f t="shared" ca="1" si="47"/>
        <v>0</v>
      </c>
      <c r="U78" s="74">
        <f t="shared" ca="1" si="48"/>
        <v>0</v>
      </c>
    </row>
    <row r="79" spans="1:21" ht="18.75" hidden="1" x14ac:dyDescent="0.25">
      <c r="A79" s="257"/>
      <c r="B79" s="269"/>
      <c r="C79" s="269"/>
      <c r="D79" s="967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3">
        <f t="shared" ref="L79:N79" ca="1" si="53">L80+L81</f>
        <v>0</v>
      </c>
      <c r="M79" s="74">
        <f t="shared" ca="1" si="53"/>
        <v>0</v>
      </c>
      <c r="N79" s="74">
        <f t="shared" ca="1" si="53"/>
        <v>0</v>
      </c>
      <c r="O79" s="74">
        <f t="shared" ca="1" si="44"/>
        <v>0</v>
      </c>
      <c r="P79" s="74">
        <f t="shared" ca="1" si="45"/>
        <v>0</v>
      </c>
      <c r="Q79" s="74">
        <f t="shared" ref="Q79:S79" si="54">Q80+Q81</f>
        <v>0</v>
      </c>
      <c r="R79" s="74">
        <f t="shared" si="54"/>
        <v>0</v>
      </c>
      <c r="S79" s="74">
        <f t="shared" si="54"/>
        <v>0</v>
      </c>
      <c r="T79" s="74">
        <f t="shared" si="47"/>
        <v>0</v>
      </c>
      <c r="U79" s="74">
        <f t="shared" si="48"/>
        <v>0</v>
      </c>
    </row>
    <row r="80" spans="1:21" ht="18.75" hidden="1" x14ac:dyDescent="0.25">
      <c r="A80" s="257"/>
      <c r="B80" s="269"/>
      <c r="C80" s="269"/>
      <c r="D80" s="269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77">
        <f t="shared" si="44"/>
        <v>0</v>
      </c>
      <c r="P80" s="77">
        <f t="shared" si="45"/>
        <v>0</v>
      </c>
      <c r="Q80" s="77">
        <v>0</v>
      </c>
      <c r="R80" s="74">
        <v>0</v>
      </c>
      <c r="S80" s="74">
        <v>0</v>
      </c>
      <c r="T80" s="77">
        <f t="shared" si="47"/>
        <v>0</v>
      </c>
      <c r="U80" s="77">
        <f t="shared" si="48"/>
        <v>0</v>
      </c>
    </row>
    <row r="81" spans="1:21" ht="18.75" hidden="1" x14ac:dyDescent="0.25">
      <c r="A81" s="257"/>
      <c r="B81" s="269"/>
      <c r="C81" s="269"/>
      <c r="D81" s="269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3">
        <f ca="1">IFERROR(__xludf.DUMMYFUNCTION("IMPORTRANGE(""https://docs.google.com/spreadsheets/d/1-uDff_7J0KD5mKrp0Vvzr7lt3OU09vwQwhkpOPPYv2Y/edit?usp=sharing"",""งบพรบ!AP62"")"),0)</f>
        <v>0</v>
      </c>
      <c r="M81" s="74">
        <f ca="1">IFERROR(__xludf.DUMMYFUNCTION("IMPORTRANGE(""https://docs.google.com/spreadsheets/d/1-uDff_7J0KD5mKrp0Vvzr7lt3OU09vwQwhkpOPPYv2Y/edit?usp=sharing"",""งบพรบ!AS62"")"),0)</f>
        <v>0</v>
      </c>
      <c r="N81" s="74">
        <f ca="1">IFERROR(__xludf.DUMMYFUNCTION("IMPORTRANGE(""https://docs.google.com/spreadsheets/d/1-uDff_7J0KD5mKrp0Vvzr7lt3OU09vwQwhkpOPPYv2Y/edit?usp=sharing"",""งบพรบ!AU62"")"),0)</f>
        <v>0</v>
      </c>
      <c r="O81" s="74">
        <f t="shared" ca="1" si="44"/>
        <v>0</v>
      </c>
      <c r="P81" s="74">
        <f t="shared" ca="1" si="45"/>
        <v>0</v>
      </c>
      <c r="Q81" s="74">
        <v>0</v>
      </c>
      <c r="R81" s="74">
        <v>0</v>
      </c>
      <c r="S81" s="74">
        <v>0</v>
      </c>
      <c r="T81" s="74">
        <f t="shared" si="47"/>
        <v>0</v>
      </c>
      <c r="U81" s="74">
        <f t="shared" si="48"/>
        <v>0</v>
      </c>
    </row>
    <row r="82" spans="1:21" ht="19.5" hidden="1" x14ac:dyDescent="0.3">
      <c r="A82" s="276"/>
      <c r="B82" s="277"/>
      <c r="C82" s="621" t="s">
        <v>18</v>
      </c>
      <c r="D82" s="968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hidden="1" x14ac:dyDescent="0.3">
      <c r="A83" s="276"/>
      <c r="B83" s="277"/>
      <c r="C83" s="277"/>
      <c r="D83" s="1103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0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hidden="1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0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hidden="1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IFERROR(__xludf.DUMMYFUNCTION("IMPORTRANGE(""https://docs.google.com/spreadsheets/d/1eHaY18a8A9IcSdp1K8H6x8fbOy06t2VsZHhMHf-1x7Y/edit?usp=sharing"",""แผน!H62"")"),0)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hidden="1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IFERROR(__xludf.DUMMYFUNCTION("IMPORTRANGE(""https://docs.google.com/spreadsheets/d/1eHaY18a8A9IcSdp1K8H6x8fbOy06t2VsZHhMHf-1x7Y/edit?usp=sharing"",""แผน!I62"")"),0)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hidden="1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IFERROR(__xludf.DUMMYFUNCTION("IMPORTRANGE(""https://docs.google.com/spreadsheets/d/1eHaY18a8A9IcSdp1K8H6x8fbOy06t2VsZHhMHf-1x7Y/edit?usp=sharing"",""แผน!F62"")"),0)</f>
        <v>0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hidden="1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IFERROR(__xludf.DUMMYFUNCTION("IMPORTRANGE(""https://docs.google.com/spreadsheets/d/1eHaY18a8A9IcSdp1K8H6x8fbOy06t2VsZHhMHf-1x7Y/edit?usp=sharing"",""แผน!G62"")"),0)</f>
        <v>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hidden="1" x14ac:dyDescent="0.25">
      <c r="A89" s="276"/>
      <c r="B89" s="277"/>
      <c r="C89" s="277"/>
      <c r="D89" s="277"/>
      <c r="E89" s="295" t="s">
        <v>42</v>
      </c>
      <c r="F89" s="296"/>
      <c r="G89" s="282"/>
      <c r="H89" s="275" t="s">
        <v>34</v>
      </c>
      <c r="I89" s="298">
        <f ca="1">IFERROR(__xludf.DUMMYFUNCTION("IMPORTRANGE(""https://docs.google.com/spreadsheets/d/1eHaY18a8A9IcSdp1K8H6x8fbOy06t2VsZHhMHf-1x7Y/edit?usp=sharing"",""แผน!D62"")"),0)</f>
        <v>0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hidden="1" x14ac:dyDescent="0.25">
      <c r="A90" s="276"/>
      <c r="B90" s="277"/>
      <c r="C90" s="277"/>
      <c r="D90" s="277"/>
      <c r="E90" s="296"/>
      <c r="F90" s="296"/>
      <c r="G90" s="282"/>
      <c r="H90" s="275" t="s">
        <v>35</v>
      </c>
      <c r="I90" s="298">
        <f ca="1">IFERROR(__xludf.DUMMYFUNCTION("IMPORTRANGE(""https://docs.google.com/spreadsheets/d/1eHaY18a8A9IcSdp1K8H6x8fbOy06t2VsZHhMHf-1x7Y/edit?usp=sharing"",""แผน!E62"")"),0)</f>
        <v>0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hidden="1" x14ac:dyDescent="0.25">
      <c r="A91" s="276"/>
      <c r="B91" s="277"/>
      <c r="C91" s="277"/>
      <c r="D91" s="767" t="s">
        <v>43</v>
      </c>
      <c r="E91" s="296"/>
      <c r="F91" s="296"/>
      <c r="G91" s="282"/>
      <c r="H91" s="271" t="s">
        <v>34</v>
      </c>
      <c r="I91" s="298">
        <f ca="1">IFERROR(__xludf.DUMMYFUNCTION("IMPORTRANGE(""https://docs.google.com/spreadsheets/d/1eHaY18a8A9IcSdp1K8H6x8fbOy06t2VsZHhMHf-1x7Y/edit?usp=sharing"",""แผน!J62"")"),0)</f>
        <v>0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x14ac:dyDescent="0.3">
      <c r="A92" s="1099" t="s">
        <v>44</v>
      </c>
      <c r="B92" s="691"/>
      <c r="C92" s="693"/>
      <c r="D92" s="691"/>
      <c r="E92" s="691"/>
      <c r="F92" s="691"/>
      <c r="G92" s="1100"/>
      <c r="H92" s="1101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x14ac:dyDescent="0.3">
      <c r="A93" s="250"/>
      <c r="B93" s="251" t="s">
        <v>45</v>
      </c>
      <c r="C93" s="252"/>
      <c r="D93" s="253"/>
      <c r="E93" s="252"/>
      <c r="F93" s="252"/>
      <c r="G93" s="254"/>
      <c r="H93" s="255" t="s">
        <v>46</v>
      </c>
      <c r="I93" s="256">
        <f t="shared" ref="I93:J94" ca="1" si="57">I109</f>
        <v>45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x14ac:dyDescent="0.3">
      <c r="A94" s="250"/>
      <c r="B94" s="252"/>
      <c r="C94" s="252"/>
      <c r="D94" s="253"/>
      <c r="E94" s="252"/>
      <c r="F94" s="252"/>
      <c r="G94" s="254"/>
      <c r="H94" s="255" t="s">
        <v>35</v>
      </c>
      <c r="I94" s="256">
        <f t="shared" ca="1" si="57"/>
        <v>15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1257">
        <f t="shared" ref="L95:N95" ca="1" si="59">L96+L97</f>
        <v>0</v>
      </c>
      <c r="M95" s="264">
        <f t="shared" ca="1" si="59"/>
        <v>0</v>
      </c>
      <c r="N95" s="264">
        <f t="shared" ca="1" si="59"/>
        <v>0</v>
      </c>
      <c r="O95" s="264">
        <f t="shared" ref="O95:O103" ca="1" si="60">IF(L95&gt;0,N95*100/L95,0)</f>
        <v>0</v>
      </c>
      <c r="P95" s="264">
        <f t="shared" ref="P95:P103" ca="1" si="61">IF(M95&gt;0,N95*100/M95,0)</f>
        <v>0</v>
      </c>
      <c r="Q95" s="264">
        <f t="shared" ref="Q95:S95" ca="1" si="62">Q96+Q97</f>
        <v>126630</v>
      </c>
      <c r="R95" s="264">
        <f t="shared" ca="1" si="62"/>
        <v>126630</v>
      </c>
      <c r="S95" s="264">
        <f t="shared" ca="1" si="62"/>
        <v>0</v>
      </c>
      <c r="T95" s="264">
        <f t="shared" ref="T95:T103" ca="1" si="63">IF(Q95&gt;0,S95*100/Q95,0)</f>
        <v>0</v>
      </c>
      <c r="U95" s="264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6">
        <f t="shared" ref="L96:N97" si="65">L99+L102</f>
        <v>0</v>
      </c>
      <c r="M96" s="77">
        <f t="shared" si="65"/>
        <v>0</v>
      </c>
      <c r="N96" s="77">
        <f t="shared" si="65"/>
        <v>0</v>
      </c>
      <c r="O96" s="77">
        <f t="shared" si="60"/>
        <v>0</v>
      </c>
      <c r="P96" s="77">
        <f t="shared" si="61"/>
        <v>0</v>
      </c>
      <c r="Q96" s="77">
        <f t="shared" ref="Q96:S97" si="66">Q99+Q102</f>
        <v>0</v>
      </c>
      <c r="R96" s="77">
        <f t="shared" si="66"/>
        <v>0</v>
      </c>
      <c r="S96" s="77">
        <f t="shared" si="66"/>
        <v>0</v>
      </c>
      <c r="T96" s="77">
        <f t="shared" si="63"/>
        <v>0</v>
      </c>
      <c r="U96" s="77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3">
        <f t="shared" ca="1" si="65"/>
        <v>0</v>
      </c>
      <c r="M97" s="74">
        <f t="shared" ca="1" si="65"/>
        <v>0</v>
      </c>
      <c r="N97" s="74">
        <f t="shared" ca="1" si="65"/>
        <v>0</v>
      </c>
      <c r="O97" s="74">
        <f t="shared" ca="1" si="60"/>
        <v>0</v>
      </c>
      <c r="P97" s="74">
        <f t="shared" ca="1" si="61"/>
        <v>0</v>
      </c>
      <c r="Q97" s="74">
        <f t="shared" ca="1" si="66"/>
        <v>126630</v>
      </c>
      <c r="R97" s="74">
        <f t="shared" ca="1" si="66"/>
        <v>126630</v>
      </c>
      <c r="S97" s="74">
        <f t="shared" ca="1" si="66"/>
        <v>0</v>
      </c>
      <c r="T97" s="74">
        <f t="shared" ca="1" si="63"/>
        <v>0</v>
      </c>
      <c r="U97" s="74">
        <f t="shared" ca="1" si="64"/>
        <v>0</v>
      </c>
    </row>
    <row r="98" spans="1:21" ht="18.75" x14ac:dyDescent="0.25">
      <c r="A98" s="257"/>
      <c r="B98" s="269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3">
        <f t="shared" ref="L98:N98" ca="1" si="67">L99+L100</f>
        <v>0</v>
      </c>
      <c r="M98" s="74">
        <f t="shared" ca="1" si="67"/>
        <v>0</v>
      </c>
      <c r="N98" s="74">
        <f t="shared" ca="1" si="67"/>
        <v>0</v>
      </c>
      <c r="O98" s="74">
        <f t="shared" ca="1" si="60"/>
        <v>0</v>
      </c>
      <c r="P98" s="74">
        <f t="shared" ca="1" si="61"/>
        <v>0</v>
      </c>
      <c r="Q98" s="74">
        <f t="shared" ref="Q98:S98" ca="1" si="68">Q99+Q100</f>
        <v>126630</v>
      </c>
      <c r="R98" s="74">
        <f t="shared" ca="1" si="68"/>
        <v>126630</v>
      </c>
      <c r="S98" s="74">
        <f t="shared" ca="1" si="68"/>
        <v>0</v>
      </c>
      <c r="T98" s="74">
        <f t="shared" ca="1" si="63"/>
        <v>0</v>
      </c>
      <c r="U98" s="74">
        <f t="shared" ca="1" si="64"/>
        <v>0</v>
      </c>
    </row>
    <row r="99" spans="1:21" ht="18.75" hidden="1" x14ac:dyDescent="0.25">
      <c r="A99" s="257"/>
      <c r="B99" s="269"/>
      <c r="C99" s="269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77">
        <f t="shared" si="60"/>
        <v>0</v>
      </c>
      <c r="P99" s="77">
        <f t="shared" si="61"/>
        <v>0</v>
      </c>
      <c r="Q99" s="77">
        <v>0</v>
      </c>
      <c r="R99" s="77">
        <v>0</v>
      </c>
      <c r="S99" s="77">
        <v>0</v>
      </c>
      <c r="T99" s="77">
        <f t="shared" si="63"/>
        <v>0</v>
      </c>
      <c r="U99" s="77">
        <f t="shared" si="64"/>
        <v>0</v>
      </c>
    </row>
    <row r="100" spans="1:21" ht="18.75" hidden="1" x14ac:dyDescent="0.25">
      <c r="A100" s="257"/>
      <c r="B100" s="269"/>
      <c r="C100" s="269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3">
        <f ca="1">IFERROR(__xludf.DUMMYFUNCTION("IMPORTRANGE(""https://docs.google.com/spreadsheets/d/1-uDff_7J0KD5mKrp0Vvzr7lt3OU09vwQwhkpOPPYv2Y/edit?usp=sharing"",""งบพรบ!AW62"")"),0)</f>
        <v>0</v>
      </c>
      <c r="M100" s="74">
        <f ca="1">IFERROR(__xludf.DUMMYFUNCTION("IMPORTRANGE(""https://docs.google.com/spreadsheets/d/1-uDff_7J0KD5mKrp0Vvzr7lt3OU09vwQwhkpOPPYv2Y/edit?usp=sharing"",""งบพรบ!BB62"")"),0)</f>
        <v>0</v>
      </c>
      <c r="N100" s="74">
        <f ca="1">IFERROR(__xludf.DUMMYFUNCTION("IMPORTRANGE(""https://docs.google.com/spreadsheets/d/1-uDff_7J0KD5mKrp0Vvzr7lt3OU09vwQwhkpOPPYv2Y/edit?usp=sharing"",""งบพรบ!BD62"")"),0)</f>
        <v>0</v>
      </c>
      <c r="O100" s="74">
        <f t="shared" ca="1" si="60"/>
        <v>0</v>
      </c>
      <c r="P100" s="74">
        <f t="shared" ca="1" si="61"/>
        <v>0</v>
      </c>
      <c r="Q100" s="74">
        <f ca="1">IFERROR(__xludf.DUMMYFUNCTION("IMPORTRANGE(""https://docs.google.com/spreadsheets/d/1ItG2mGa2ceCfYo0BwxsXqNm01IGEUdYcSSLTEv9YCik/edit?usp=sharing"",""เบิกจ่ายกองทุน!AD62"")"),126630)</f>
        <v>126630</v>
      </c>
      <c r="R100" s="74">
        <f ca="1">IFERROR(__xludf.DUMMYFUNCTION("IMPORTRANGE(""https://docs.google.com/spreadsheets/d/1ItG2mGa2ceCfYo0BwxsXqNm01IGEUdYcSSLTEv9YCik/edit?usp=sharing"",""เบิกจ่ายกองทุน!AE62"")"),126630)</f>
        <v>126630</v>
      </c>
      <c r="S100" s="74">
        <f ca="1">IFERROR(__xludf.DUMMYFUNCTION("IMPORTRANGE(""https://docs.google.com/spreadsheets/d/1ItG2mGa2ceCfYo0BwxsXqNm01IGEUdYcSSLTEv9YCik/edit?usp=sharing"",""เบิกจ่ายกองทุน!AF62"")"),0)</f>
        <v>0</v>
      </c>
      <c r="T100" s="74">
        <f t="shared" ca="1" si="63"/>
        <v>0</v>
      </c>
      <c r="U100" s="74">
        <f t="shared" ca="1" si="64"/>
        <v>0</v>
      </c>
    </row>
    <row r="101" spans="1:21" ht="18.75" x14ac:dyDescent="0.25">
      <c r="A101" s="257"/>
      <c r="B101" s="269"/>
      <c r="C101" s="269"/>
      <c r="D101" s="967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3">
        <f t="shared" ref="L101:N101" ca="1" si="69">L102+L103</f>
        <v>0</v>
      </c>
      <c r="M101" s="74">
        <f t="shared" ca="1" si="69"/>
        <v>0</v>
      </c>
      <c r="N101" s="74">
        <f t="shared" ca="1" si="69"/>
        <v>0</v>
      </c>
      <c r="O101" s="74">
        <f t="shared" ca="1" si="60"/>
        <v>0</v>
      </c>
      <c r="P101" s="74">
        <f t="shared" ca="1" si="61"/>
        <v>0</v>
      </c>
      <c r="Q101" s="74">
        <f t="shared" ref="Q101:S101" si="70">Q102+Q103</f>
        <v>0</v>
      </c>
      <c r="R101" s="74">
        <f t="shared" si="70"/>
        <v>0</v>
      </c>
      <c r="S101" s="74">
        <f t="shared" si="70"/>
        <v>0</v>
      </c>
      <c r="T101" s="74">
        <f t="shared" si="63"/>
        <v>0</v>
      </c>
      <c r="U101" s="74">
        <f t="shared" si="64"/>
        <v>0</v>
      </c>
    </row>
    <row r="102" spans="1:21" ht="18.75" hidden="1" x14ac:dyDescent="0.25">
      <c r="A102" s="257"/>
      <c r="B102" s="269"/>
      <c r="C102" s="269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77">
        <f t="shared" si="60"/>
        <v>0</v>
      </c>
      <c r="P102" s="77">
        <f t="shared" si="61"/>
        <v>0</v>
      </c>
      <c r="Q102" s="77">
        <v>0</v>
      </c>
      <c r="R102" s="77">
        <v>0</v>
      </c>
      <c r="S102" s="77">
        <v>0</v>
      </c>
      <c r="T102" s="77">
        <f t="shared" si="63"/>
        <v>0</v>
      </c>
      <c r="U102" s="77">
        <f t="shared" si="64"/>
        <v>0</v>
      </c>
    </row>
    <row r="103" spans="1:21" ht="18.75" hidden="1" x14ac:dyDescent="0.25">
      <c r="A103" s="257"/>
      <c r="B103" s="269"/>
      <c r="C103" s="269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3">
        <f ca="1">IFERROR(__xludf.DUMMYFUNCTION("IMPORTRANGE(""https://docs.google.com/spreadsheets/d/1-uDff_7J0KD5mKrp0Vvzr7lt3OU09vwQwhkpOPPYv2Y/edit?usp=sharing"",""งบพรบ!AZ62"")"),0)</f>
        <v>0</v>
      </c>
      <c r="M103" s="74">
        <f ca="1">IFERROR(__xludf.DUMMYFUNCTION("IMPORTRANGE(""https://docs.google.com/spreadsheets/d/1-uDff_7J0KD5mKrp0Vvzr7lt3OU09vwQwhkpOPPYv2Y/edit?usp=sharing"",""งบพรบ!BC62"")"),0)</f>
        <v>0</v>
      </c>
      <c r="N103" s="74">
        <f ca="1">IFERROR(__xludf.DUMMYFUNCTION("IMPORTRANGE(""https://docs.google.com/spreadsheets/d/1-uDff_7J0KD5mKrp0Vvzr7lt3OU09vwQwhkpOPPYv2Y/edit?usp=sharing"",""งบพรบ!BE62"")"),0)</f>
        <v>0</v>
      </c>
      <c r="O103" s="74">
        <f t="shared" ca="1" si="60"/>
        <v>0</v>
      </c>
      <c r="P103" s="74">
        <f t="shared" ca="1" si="61"/>
        <v>0</v>
      </c>
      <c r="Q103" s="74">
        <v>0</v>
      </c>
      <c r="R103" s="74">
        <v>0</v>
      </c>
      <c r="S103" s="74">
        <v>0</v>
      </c>
      <c r="T103" s="74">
        <f t="shared" si="63"/>
        <v>0</v>
      </c>
      <c r="U103" s="74">
        <f t="shared" si="64"/>
        <v>0</v>
      </c>
    </row>
    <row r="104" spans="1:21" ht="19.5" x14ac:dyDescent="0.3">
      <c r="A104" s="276"/>
      <c r="B104" s="277"/>
      <c r="C104" s="621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IFERROR(__xludf.DUMMYFUNCTION("IMPORTRANGE(""https://docs.google.com/spreadsheets/d/1eHaY18a8A9IcSdp1K8H6x8fbOy06t2VsZHhMHf-1x7Y/edit?usp=sharing"",""แผน!N62"")"),45)</f>
        <v>45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IFERROR(__xludf.DUMMYFUNCTION("IMPORTRANGE(""https://docs.google.com/spreadsheets/d/1eHaY18a8A9IcSdp1K8H6x8fbOy06t2VsZHhMHf-1x7Y/edit?usp=sharing"",""แผน!O62"")"),15)</f>
        <v>15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4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8.75" x14ac:dyDescent="0.25">
      <c r="A114" s="890"/>
      <c r="B114" s="891"/>
      <c r="C114" s="891"/>
      <c r="D114" s="1106" t="s">
        <v>50</v>
      </c>
      <c r="E114" s="893"/>
      <c r="F114" s="893"/>
      <c r="G114" s="894"/>
      <c r="H114" s="895" t="s">
        <v>46</v>
      </c>
      <c r="I114" s="896">
        <f ca="1">IFERROR(__xludf.DUMMYFUNCTION("IMPORTRANGE(""https://docs.google.com/spreadsheets/d/1eHaY18a8A9IcSdp1K8H6x8fbOy06t2VsZHhMHf-1x7Y/edit?usp=sharing"",""แผน!S62"")"),0)</f>
        <v>0</v>
      </c>
      <c r="J114" s="897">
        <v>0</v>
      </c>
      <c r="K114" s="898">
        <f t="shared" ref="K114:K115" ca="1" si="72">IF(I114&gt;0,J114*100/I114,0)</f>
        <v>0</v>
      </c>
      <c r="L114" s="450"/>
      <c r="M114" s="450"/>
      <c r="N114" s="450"/>
      <c r="O114" s="899"/>
      <c r="P114" s="899"/>
      <c r="Q114" s="450"/>
      <c r="R114" s="450"/>
      <c r="S114" s="450"/>
      <c r="T114" s="899"/>
      <c r="U114" s="899"/>
    </row>
    <row r="115" spans="1:21" ht="18.75" x14ac:dyDescent="0.25">
      <c r="A115" s="276"/>
      <c r="B115" s="277"/>
      <c r="C115" s="277"/>
      <c r="D115" s="296"/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IFERROR(__xludf.DUMMYFUNCTION("IMPORTRANGE(""https://docs.google.com/spreadsheets/d/1eHaY18a8A9IcSdp1K8H6x8fbOy06t2VsZHhMHf-1x7Y/edit?usp=sharing"",""แผน!R62"")"),15)</f>
        <v>15</v>
      </c>
      <c r="J115" s="294">
        <v>0</v>
      </c>
      <c r="K115" s="74">
        <f t="shared" ca="1" si="72"/>
        <v>0</v>
      </c>
      <c r="L115" s="87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1099" t="s">
        <v>51</v>
      </c>
      <c r="B116" s="691"/>
      <c r="C116" s="692"/>
      <c r="D116" s="691"/>
      <c r="E116" s="691"/>
      <c r="F116" s="691"/>
      <c r="G116" s="691"/>
      <c r="H116" s="693"/>
      <c r="I116" s="694"/>
      <c r="J116" s="694"/>
      <c r="K116" s="695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50"/>
      <c r="B117" s="251" t="s">
        <v>52</v>
      </c>
      <c r="C117" s="304"/>
      <c r="D117" s="253"/>
      <c r="E117" s="252"/>
      <c r="F117" s="252"/>
      <c r="G117" s="252"/>
      <c r="H117" s="253"/>
      <c r="I117" s="900">
        <f t="shared" ref="I117:J117" ca="1" si="73">I128</f>
        <v>11</v>
      </c>
      <c r="J117" s="901">
        <f t="shared" si="73"/>
        <v>0</v>
      </c>
      <c r="K117" s="902">
        <f ca="1">IF(I117&gt;0,J117*100/I117,0)</f>
        <v>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58"/>
      <c r="C118" s="259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1257">
        <f t="shared" ref="L118:N118" ca="1" si="74">L119+L120</f>
        <v>0</v>
      </c>
      <c r="M118" s="264">
        <f t="shared" ca="1" si="74"/>
        <v>0</v>
      </c>
      <c r="N118" s="264">
        <f t="shared" ca="1" si="74"/>
        <v>0</v>
      </c>
      <c r="O118" s="264">
        <f t="shared" ref="O118:O126" ca="1" si="75">IF(L118&gt;0,N118*100/L118,0)</f>
        <v>0</v>
      </c>
      <c r="P118" s="264">
        <f t="shared" ref="P118:P126" ca="1" si="76">IF(M118&gt;0,N118*100/M118,0)</f>
        <v>0</v>
      </c>
      <c r="Q118" s="264">
        <f t="shared" ref="Q118:S118" ca="1" si="77">Q119+Q120</f>
        <v>177330</v>
      </c>
      <c r="R118" s="264">
        <f t="shared" ca="1" si="77"/>
        <v>177330</v>
      </c>
      <c r="S118" s="264">
        <f t="shared" ca="1" si="77"/>
        <v>0</v>
      </c>
      <c r="T118" s="264">
        <f t="shared" ref="T118:T126" ca="1" si="78">IF(Q118&gt;0,S118*100/Q118,0)</f>
        <v>0</v>
      </c>
      <c r="U118" s="264">
        <f t="shared" ref="U118:U126" ca="1" si="79">IF(R118&gt;0,S118*100/R118,0)</f>
        <v>0</v>
      </c>
    </row>
    <row r="119" spans="1:21" ht="18.75" hidden="1" x14ac:dyDescent="0.25">
      <c r="A119" s="257"/>
      <c r="B119" s="258"/>
      <c r="C119" s="258"/>
      <c r="D119" s="258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6">
        <f t="shared" ref="L119:N120" si="80">L122+L125</f>
        <v>0</v>
      </c>
      <c r="M119" s="77">
        <f t="shared" si="80"/>
        <v>0</v>
      </c>
      <c r="N119" s="77">
        <f t="shared" si="80"/>
        <v>0</v>
      </c>
      <c r="O119" s="77">
        <f t="shared" si="75"/>
        <v>0</v>
      </c>
      <c r="P119" s="77">
        <f t="shared" si="76"/>
        <v>0</v>
      </c>
      <c r="Q119" s="77">
        <f t="shared" ref="Q119:S120" si="81">Q122+Q125</f>
        <v>0</v>
      </c>
      <c r="R119" s="77">
        <f t="shared" si="81"/>
        <v>0</v>
      </c>
      <c r="S119" s="77">
        <f t="shared" si="81"/>
        <v>0</v>
      </c>
      <c r="T119" s="77">
        <f t="shared" si="78"/>
        <v>0</v>
      </c>
      <c r="U119" s="77">
        <f t="shared" si="79"/>
        <v>0</v>
      </c>
    </row>
    <row r="120" spans="1:21" ht="18.75" hidden="1" x14ac:dyDescent="0.25">
      <c r="A120" s="257"/>
      <c r="B120" s="258"/>
      <c r="C120" s="258"/>
      <c r="D120" s="258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3">
        <f t="shared" ca="1" si="80"/>
        <v>0</v>
      </c>
      <c r="M120" s="74">
        <f t="shared" ca="1" si="80"/>
        <v>0</v>
      </c>
      <c r="N120" s="74">
        <f t="shared" ca="1" si="80"/>
        <v>0</v>
      </c>
      <c r="O120" s="74">
        <f t="shared" ca="1" si="75"/>
        <v>0</v>
      </c>
      <c r="P120" s="74">
        <f t="shared" ca="1" si="76"/>
        <v>0</v>
      </c>
      <c r="Q120" s="74">
        <f t="shared" ca="1" si="81"/>
        <v>177330</v>
      </c>
      <c r="R120" s="74">
        <f t="shared" ca="1" si="81"/>
        <v>177330</v>
      </c>
      <c r="S120" s="74">
        <f t="shared" ca="1" si="81"/>
        <v>0</v>
      </c>
      <c r="T120" s="74">
        <f t="shared" ca="1" si="78"/>
        <v>0</v>
      </c>
      <c r="U120" s="74">
        <f t="shared" ca="1" si="79"/>
        <v>0</v>
      </c>
    </row>
    <row r="121" spans="1:21" ht="18.75" x14ac:dyDescent="0.25">
      <c r="A121" s="257"/>
      <c r="B121" s="258"/>
      <c r="C121" s="306"/>
      <c r="D121" s="270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3">
        <f t="shared" ref="L121:N121" ca="1" si="82">L122+L123</f>
        <v>0</v>
      </c>
      <c r="M121" s="74">
        <f t="shared" ca="1" si="82"/>
        <v>0</v>
      </c>
      <c r="N121" s="74">
        <f t="shared" ca="1" si="82"/>
        <v>0</v>
      </c>
      <c r="O121" s="74">
        <f t="shared" ca="1" si="75"/>
        <v>0</v>
      </c>
      <c r="P121" s="74">
        <f t="shared" ca="1" si="76"/>
        <v>0</v>
      </c>
      <c r="Q121" s="74">
        <f t="shared" ref="Q121:S121" ca="1" si="83">Q122+Q123</f>
        <v>177330</v>
      </c>
      <c r="R121" s="74">
        <f t="shared" ca="1" si="83"/>
        <v>177330</v>
      </c>
      <c r="S121" s="74">
        <f t="shared" ca="1" si="83"/>
        <v>0</v>
      </c>
      <c r="T121" s="74">
        <f t="shared" ca="1" si="78"/>
        <v>0</v>
      </c>
      <c r="U121" s="74">
        <f t="shared" ca="1" si="79"/>
        <v>0</v>
      </c>
    </row>
    <row r="122" spans="1:21" ht="18.75" hidden="1" x14ac:dyDescent="0.25">
      <c r="A122" s="257"/>
      <c r="B122" s="258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77">
        <f t="shared" si="75"/>
        <v>0</v>
      </c>
      <c r="P122" s="77">
        <f t="shared" si="76"/>
        <v>0</v>
      </c>
      <c r="Q122" s="77">
        <v>0</v>
      </c>
      <c r="R122" s="77">
        <v>0</v>
      </c>
      <c r="S122" s="77">
        <v>0</v>
      </c>
      <c r="T122" s="77">
        <f t="shared" si="78"/>
        <v>0</v>
      </c>
      <c r="U122" s="77">
        <f t="shared" si="79"/>
        <v>0</v>
      </c>
    </row>
    <row r="123" spans="1:21" ht="18.75" hidden="1" x14ac:dyDescent="0.25">
      <c r="A123" s="257"/>
      <c r="B123" s="258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3">
        <f ca="1">IFERROR(__xludf.DUMMYFUNCTION("IMPORTRANGE(""https://docs.google.com/spreadsheets/d/1-uDff_7J0KD5mKrp0Vvzr7lt3OU09vwQwhkpOPPYv2Y/edit?usp=sharing"",""งบพรบ!BG62"")"),0)</f>
        <v>0</v>
      </c>
      <c r="M123" s="74">
        <f ca="1">IFERROR(__xludf.DUMMYFUNCTION("IMPORTRANGE(""https://docs.google.com/spreadsheets/d/1-uDff_7J0KD5mKrp0Vvzr7lt3OU09vwQwhkpOPPYv2Y/edit?usp=sharing"",""งบพรบ!BL62"")"),0)</f>
        <v>0</v>
      </c>
      <c r="N123" s="74">
        <f ca="1">IFERROR(__xludf.DUMMYFUNCTION("IMPORTRANGE(""https://docs.google.com/spreadsheets/d/1-uDff_7J0KD5mKrp0Vvzr7lt3OU09vwQwhkpOPPYv2Y/edit?usp=sharing"",""งบพรบ!BN62"")"),0)</f>
        <v>0</v>
      </c>
      <c r="O123" s="74">
        <f t="shared" ca="1" si="75"/>
        <v>0</v>
      </c>
      <c r="P123" s="74">
        <f t="shared" ca="1" si="76"/>
        <v>0</v>
      </c>
      <c r="Q123" s="74">
        <f ca="1">IFERROR(__xludf.DUMMYFUNCTION("IMPORTRANGE(""https://docs.google.com/spreadsheets/d/1ItG2mGa2ceCfYo0BwxsXqNm01IGEUdYcSSLTEv9YCik/edit?usp=sharing"",""เบิกจ่ายกองทุน!R62"")"),177330)</f>
        <v>177330</v>
      </c>
      <c r="R123" s="74">
        <f ca="1">IFERROR(__xludf.DUMMYFUNCTION("IMPORTRANGE(""https://docs.google.com/spreadsheets/d/1ItG2mGa2ceCfYo0BwxsXqNm01IGEUdYcSSLTEv9YCik/edit?usp=sharing"",""เบิกจ่ายกองทุน!S62"")"),177330)</f>
        <v>177330</v>
      </c>
      <c r="S123" s="74">
        <f ca="1">IFERROR(__xludf.DUMMYFUNCTION("IMPORTRANGE(""https://docs.google.com/spreadsheets/d/1ItG2mGa2ceCfYo0BwxsXqNm01IGEUdYcSSLTEv9YCik/edit?usp=sharing"",""เบิกจ่ายกองทุน!T62"")"),0)</f>
        <v>0</v>
      </c>
      <c r="T123" s="74">
        <f t="shared" ca="1" si="78"/>
        <v>0</v>
      </c>
      <c r="U123" s="74">
        <f t="shared" ca="1" si="79"/>
        <v>0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3">
        <f t="shared" ref="L124:N124" ca="1" si="84">L125+L126</f>
        <v>0</v>
      </c>
      <c r="M124" s="74">
        <f t="shared" ca="1" si="84"/>
        <v>0</v>
      </c>
      <c r="N124" s="74">
        <f t="shared" ca="1" si="84"/>
        <v>0</v>
      </c>
      <c r="O124" s="74">
        <f t="shared" ca="1" si="75"/>
        <v>0</v>
      </c>
      <c r="P124" s="74">
        <f t="shared" ca="1" si="76"/>
        <v>0</v>
      </c>
      <c r="Q124" s="74">
        <f t="shared" ref="Q124:S124" si="85">Q125+Q126</f>
        <v>0</v>
      </c>
      <c r="R124" s="74">
        <f t="shared" si="85"/>
        <v>0</v>
      </c>
      <c r="S124" s="74">
        <f t="shared" si="85"/>
        <v>0</v>
      </c>
      <c r="T124" s="74">
        <f t="shared" si="78"/>
        <v>0</v>
      </c>
      <c r="U124" s="74">
        <f t="shared" si="79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77">
        <f t="shared" si="75"/>
        <v>0</v>
      </c>
      <c r="P125" s="77">
        <f t="shared" si="76"/>
        <v>0</v>
      </c>
      <c r="Q125" s="77">
        <v>0</v>
      </c>
      <c r="R125" s="77">
        <v>0</v>
      </c>
      <c r="S125" s="77">
        <v>0</v>
      </c>
      <c r="T125" s="77">
        <f t="shared" si="78"/>
        <v>0</v>
      </c>
      <c r="U125" s="77">
        <f t="shared" si="79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3">
        <f ca="1">IFERROR(__xludf.DUMMYFUNCTION("IMPORTRANGE(""https://docs.google.com/spreadsheets/d/1-uDff_7J0KD5mKrp0Vvzr7lt3OU09vwQwhkpOPPYv2Y/edit?usp=sharing"",""งบพรบ!BJ62"")"),0)</f>
        <v>0</v>
      </c>
      <c r="M126" s="74">
        <f ca="1">IFERROR(__xludf.DUMMYFUNCTION("IMPORTRANGE(""https://docs.google.com/spreadsheets/d/1-uDff_7J0KD5mKrp0Vvzr7lt3OU09vwQwhkpOPPYv2Y/edit?usp=sharing"",""งบพรบ!BM62"")"),0)</f>
        <v>0</v>
      </c>
      <c r="N126" s="74">
        <f ca="1">IFERROR(__xludf.DUMMYFUNCTION("IMPORTRANGE(""https://docs.google.com/spreadsheets/d/1-uDff_7J0KD5mKrp0Vvzr7lt3OU09vwQwhkpOPPYv2Y/edit?usp=sharing"",""งบพรบ!BO62"")"),0)</f>
        <v>0</v>
      </c>
      <c r="O126" s="74">
        <f t="shared" ca="1" si="75"/>
        <v>0</v>
      </c>
      <c r="P126" s="74">
        <f t="shared" ca="1" si="76"/>
        <v>0</v>
      </c>
      <c r="Q126" s="74">
        <v>0</v>
      </c>
      <c r="R126" s="74">
        <v>0</v>
      </c>
      <c r="S126" s="74">
        <v>0</v>
      </c>
      <c r="T126" s="74">
        <f t="shared" si="78"/>
        <v>0</v>
      </c>
      <c r="U126" s="74">
        <f t="shared" si="79"/>
        <v>0</v>
      </c>
    </row>
    <row r="127" spans="1:21" ht="19.5" x14ac:dyDescent="0.3">
      <c r="A127" s="890"/>
      <c r="B127" s="891"/>
      <c r="C127" s="905" t="s">
        <v>18</v>
      </c>
      <c r="D127" s="1108" t="s">
        <v>38</v>
      </c>
      <c r="E127" s="1109"/>
      <c r="F127" s="1109"/>
      <c r="G127" s="1110"/>
      <c r="H127" s="1111"/>
      <c r="I127" s="846"/>
      <c r="J127" s="846"/>
      <c r="K127" s="450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IFERROR(__xludf.DUMMYFUNCTION("IMPORTRANGE(""https://docs.google.com/spreadsheets/d/1eHaY18a8A9IcSdp1K8H6x8fbOy06t2VsZHhMHf-1x7Y/edit?usp=sharing"",""แผน!FF62"")"),11)</f>
        <v>11</v>
      </c>
      <c r="J128" s="294">
        <v>0</v>
      </c>
      <c r="K128" s="74">
        <f t="shared" ref="K128:K131" ca="1" si="86">IF(I128&gt;0,J128*100/I128,0)</f>
        <v>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IFERROR(__xludf.DUMMYFUNCTION("IMPORTRANGE(""https://docs.google.com/spreadsheets/d/1eHaY18a8A9IcSdp1K8H6x8fbOy06t2VsZHhMHf-1x7Y/edit?usp=sharing"",""แผน!FG62"")"),0)</f>
        <v>0</v>
      </c>
      <c r="J129" s="294">
        <v>0</v>
      </c>
      <c r="K129" s="74">
        <f t="shared" ca="1" si="86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74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IFERROR(__xludf.DUMMYFUNCTION("IMPORTRANGE(""https://docs.google.com/spreadsheets/d/1eHaY18a8A9IcSdp1K8H6x8fbOy06t2VsZHhMHf-1x7Y/edit?usp=sharing"",""แผน!FH62"")"),11)</f>
        <v>11</v>
      </c>
      <c r="J130" s="294">
        <v>0</v>
      </c>
      <c r="K130" s="74">
        <f t="shared" ca="1" si="86"/>
        <v>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77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IFERROR(__xludf.DUMMYFUNCTION("IMPORTRANGE(""https://docs.google.com/spreadsheets/d/1eHaY18a8A9IcSdp1K8H6x8fbOy06t2VsZHhMHf-1x7Y/edit?usp=sharing"",""แผน!FI62"")"),0)</f>
        <v>0</v>
      </c>
      <c r="J131" s="294">
        <v>0</v>
      </c>
      <c r="K131" s="74">
        <f t="shared" ca="1" si="86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708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708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hidden="1" x14ac:dyDescent="0.3">
      <c r="A135" s="1099" t="s">
        <v>58</v>
      </c>
      <c r="B135" s="691"/>
      <c r="C135" s="692"/>
      <c r="D135" s="691"/>
      <c r="E135" s="691"/>
      <c r="F135" s="691"/>
      <c r="G135" s="691"/>
      <c r="H135" s="693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hidden="1" x14ac:dyDescent="0.3">
      <c r="A136" s="250"/>
      <c r="B136" s="251" t="s">
        <v>59</v>
      </c>
      <c r="C136" s="304"/>
      <c r="D136" s="253"/>
      <c r="E136" s="252"/>
      <c r="F136" s="252"/>
      <c r="G136" s="252"/>
      <c r="H136" s="253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hidden="1" x14ac:dyDescent="0.3">
      <c r="A137" s="250"/>
      <c r="B137" s="252"/>
      <c r="C137" s="1112" t="s">
        <v>60</v>
      </c>
      <c r="D137" s="253"/>
      <c r="E137" s="252"/>
      <c r="F137" s="252"/>
      <c r="G137" s="254"/>
      <c r="H137" s="255" t="s">
        <v>61</v>
      </c>
      <c r="I137" s="256">
        <f t="shared" ref="I137:J137" ca="1" si="87">I155</f>
        <v>0</v>
      </c>
      <c r="J137" s="256">
        <f t="shared" si="87"/>
        <v>0</v>
      </c>
      <c r="K137" s="59">
        <f t="shared" ref="K137:K139" ca="1" si="88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hidden="1" x14ac:dyDescent="0.3">
      <c r="A138" s="250"/>
      <c r="B138" s="252"/>
      <c r="C138" s="1112" t="s">
        <v>62</v>
      </c>
      <c r="D138" s="253"/>
      <c r="E138" s="252"/>
      <c r="F138" s="252"/>
      <c r="G138" s="254"/>
      <c r="H138" s="255" t="s">
        <v>35</v>
      </c>
      <c r="I138" s="256">
        <f t="shared" ref="I138:J139" ca="1" si="89">I153</f>
        <v>0</v>
      </c>
      <c r="J138" s="256">
        <f t="shared" si="89"/>
        <v>0</v>
      </c>
      <c r="K138" s="59">
        <f t="shared" ca="1" si="88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hidden="1" x14ac:dyDescent="0.3">
      <c r="A139" s="250"/>
      <c r="B139" s="252"/>
      <c r="C139" s="304"/>
      <c r="D139" s="253"/>
      <c r="E139" s="252"/>
      <c r="F139" s="252"/>
      <c r="G139" s="254"/>
      <c r="H139" s="255" t="s">
        <v>54</v>
      </c>
      <c r="I139" s="256">
        <f t="shared" ca="1" si="89"/>
        <v>0</v>
      </c>
      <c r="J139" s="256">
        <f t="shared" si="89"/>
        <v>0</v>
      </c>
      <c r="K139" s="59">
        <f t="shared" ca="1" si="88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hidden="1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1257">
        <f t="shared" ref="L140:N140" ca="1" si="90">L141+L142</f>
        <v>0</v>
      </c>
      <c r="M140" s="264">
        <f t="shared" ca="1" si="90"/>
        <v>0</v>
      </c>
      <c r="N140" s="264">
        <f t="shared" ca="1" si="90"/>
        <v>0</v>
      </c>
      <c r="O140" s="264">
        <f t="shared" ref="O140:O148" ca="1" si="91">IF(L140&gt;0,N140*100/L140,0)</f>
        <v>0</v>
      </c>
      <c r="P140" s="264">
        <f t="shared" ref="P140:P148" ca="1" si="92">IF(M140&gt;0,N140*100/M140,0)</f>
        <v>0</v>
      </c>
      <c r="Q140" s="264">
        <f t="shared" ref="Q140:S140" ca="1" si="93">Q141+Q142</f>
        <v>0</v>
      </c>
      <c r="R140" s="264">
        <f t="shared" ca="1" si="93"/>
        <v>0</v>
      </c>
      <c r="S140" s="264">
        <f t="shared" ca="1" si="93"/>
        <v>0</v>
      </c>
      <c r="T140" s="264">
        <f t="shared" ref="T140:T148" ca="1" si="94">IF(Q140&gt;0,S140*100/Q140,0)</f>
        <v>0</v>
      </c>
      <c r="U140" s="264">
        <f t="shared" ref="U140:U148" ca="1" si="95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6">
        <f t="shared" ref="L141:N142" si="96">L144+L147</f>
        <v>0</v>
      </c>
      <c r="M141" s="77">
        <f t="shared" si="96"/>
        <v>0</v>
      </c>
      <c r="N141" s="77">
        <f t="shared" si="96"/>
        <v>0</v>
      </c>
      <c r="O141" s="77">
        <f t="shared" si="91"/>
        <v>0</v>
      </c>
      <c r="P141" s="77">
        <f t="shared" si="92"/>
        <v>0</v>
      </c>
      <c r="Q141" s="77">
        <f t="shared" ref="Q141:S142" si="97">Q144+Q147</f>
        <v>0</v>
      </c>
      <c r="R141" s="77">
        <f t="shared" si="97"/>
        <v>0</v>
      </c>
      <c r="S141" s="77">
        <f t="shared" si="97"/>
        <v>0</v>
      </c>
      <c r="T141" s="77">
        <f t="shared" si="94"/>
        <v>0</v>
      </c>
      <c r="U141" s="77">
        <f t="shared" si="95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3">
        <f t="shared" ca="1" si="96"/>
        <v>0</v>
      </c>
      <c r="M142" s="74">
        <f t="shared" ca="1" si="96"/>
        <v>0</v>
      </c>
      <c r="N142" s="74">
        <f t="shared" ca="1" si="96"/>
        <v>0</v>
      </c>
      <c r="O142" s="74">
        <f t="shared" ca="1" si="91"/>
        <v>0</v>
      </c>
      <c r="P142" s="74">
        <f t="shared" ca="1" si="92"/>
        <v>0</v>
      </c>
      <c r="Q142" s="74">
        <f t="shared" ca="1" si="97"/>
        <v>0</v>
      </c>
      <c r="R142" s="74">
        <f t="shared" ca="1" si="97"/>
        <v>0</v>
      </c>
      <c r="S142" s="74">
        <f t="shared" ca="1" si="97"/>
        <v>0</v>
      </c>
      <c r="T142" s="74">
        <f t="shared" ca="1" si="94"/>
        <v>0</v>
      </c>
      <c r="U142" s="74">
        <f t="shared" ca="1" si="95"/>
        <v>0</v>
      </c>
    </row>
    <row r="143" spans="1:21" ht="18.75" hidden="1" x14ac:dyDescent="0.25">
      <c r="A143" s="257"/>
      <c r="B143" s="269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3">
        <f t="shared" ref="L143:N143" ca="1" si="98">L144+L145</f>
        <v>0</v>
      </c>
      <c r="M143" s="74">
        <f t="shared" ca="1" si="98"/>
        <v>0</v>
      </c>
      <c r="N143" s="74">
        <f t="shared" ca="1" si="98"/>
        <v>0</v>
      </c>
      <c r="O143" s="74">
        <f t="shared" ca="1" si="91"/>
        <v>0</v>
      </c>
      <c r="P143" s="74">
        <f t="shared" ca="1" si="92"/>
        <v>0</v>
      </c>
      <c r="Q143" s="74">
        <f t="shared" ref="Q143:S143" ca="1" si="99">Q144+Q145</f>
        <v>0</v>
      </c>
      <c r="R143" s="74">
        <f t="shared" ca="1" si="99"/>
        <v>0</v>
      </c>
      <c r="S143" s="74">
        <f t="shared" ca="1" si="99"/>
        <v>0</v>
      </c>
      <c r="T143" s="74">
        <f t="shared" ca="1" si="94"/>
        <v>0</v>
      </c>
      <c r="U143" s="74">
        <f t="shared" ca="1" si="95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77">
        <f t="shared" si="91"/>
        <v>0</v>
      </c>
      <c r="P144" s="77">
        <f t="shared" si="92"/>
        <v>0</v>
      </c>
      <c r="Q144" s="77">
        <v>0</v>
      </c>
      <c r="R144" s="77">
        <v>0</v>
      </c>
      <c r="S144" s="77">
        <v>0</v>
      </c>
      <c r="T144" s="77">
        <f t="shared" si="94"/>
        <v>0</v>
      </c>
      <c r="U144" s="77">
        <f t="shared" si="95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3">
        <f ca="1">IFERROR(__xludf.DUMMYFUNCTION("IMPORTRANGE(""https://docs.google.com/spreadsheets/d/1-uDff_7J0KD5mKrp0Vvzr7lt3OU09vwQwhkpOPPYv2Y/edit?usp=sharing"",""งบพรบ!BQ62"")"),0)</f>
        <v>0</v>
      </c>
      <c r="M145" s="74">
        <f ca="1">IFERROR(__xludf.DUMMYFUNCTION("IMPORTRANGE(""https://docs.google.com/spreadsheets/d/1-uDff_7J0KD5mKrp0Vvzr7lt3OU09vwQwhkpOPPYv2Y/edit?usp=sharing"",""งบพรบ!BV62"")"),0)</f>
        <v>0</v>
      </c>
      <c r="N145" s="74">
        <f ca="1">IFERROR(__xludf.DUMMYFUNCTION("IMPORTRANGE(""https://docs.google.com/spreadsheets/d/1-uDff_7J0KD5mKrp0Vvzr7lt3OU09vwQwhkpOPPYv2Y/edit?usp=sharing"",""งบพรบ!BX62"")"),0)</f>
        <v>0</v>
      </c>
      <c r="O145" s="74">
        <f t="shared" ca="1" si="91"/>
        <v>0</v>
      </c>
      <c r="P145" s="74">
        <f t="shared" ca="1" si="92"/>
        <v>0</v>
      </c>
      <c r="Q145" s="74">
        <f ca="1">IFERROR(__xludf.DUMMYFUNCTION("IMPORTRANGE(""https://docs.google.com/spreadsheets/d/1ItG2mGa2ceCfYo0BwxsXqNm01IGEUdYcSSLTEv9YCik/edit?usp=sharing"",""เบิกจ่ายกองทุน!BB62"")"),0)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IFERROR(__xludf.DUMMYFUNCTION("IMPORTRANGE(""https://docs.google.com/spreadsheets/d/1ItG2mGa2ceCfYo0BwxsXqNm01IGEUdYcSSLTEv9YCik/edit?usp=sharing"",""เบิกจ่ายกองทุน!BC62"")"),0)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IFERROR(__xludf.DUMMYFUNCTION("IMPORTRANGE(""https://docs.google.com/spreadsheets/d/1ItG2mGa2ceCfYo0BwxsXqNm01IGEUdYcSSLTEv9YCik/edit?usp=sharing"",""เบิกจ่ายกองทุน!BD62"")"),0)</f>
        <v>0</v>
      </c>
      <c r="T145" s="74">
        <f t="shared" ca="1" si="94"/>
        <v>0</v>
      </c>
      <c r="U145" s="74">
        <f t="shared" ca="1" si="95"/>
        <v>0</v>
      </c>
    </row>
    <row r="146" spans="1:21" ht="18.75" hidden="1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3">
        <f t="shared" ref="L146:N146" ca="1" si="100">L147+L148</f>
        <v>0</v>
      </c>
      <c r="M146" s="74">
        <f t="shared" ca="1" si="100"/>
        <v>0</v>
      </c>
      <c r="N146" s="74">
        <f t="shared" ca="1" si="100"/>
        <v>0</v>
      </c>
      <c r="O146" s="74">
        <f t="shared" ca="1" si="91"/>
        <v>0</v>
      </c>
      <c r="P146" s="74">
        <f t="shared" ca="1" si="92"/>
        <v>0</v>
      </c>
      <c r="Q146" s="74">
        <f t="shared" ref="Q146:S146" si="101">Q147+Q148</f>
        <v>0</v>
      </c>
      <c r="R146" s="74">
        <f t="shared" si="101"/>
        <v>0</v>
      </c>
      <c r="S146" s="74">
        <f t="shared" si="101"/>
        <v>0</v>
      </c>
      <c r="T146" s="74">
        <f t="shared" si="94"/>
        <v>0</v>
      </c>
      <c r="U146" s="74">
        <f t="shared" si="95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77">
        <f t="shared" si="91"/>
        <v>0</v>
      </c>
      <c r="P147" s="77">
        <f t="shared" si="92"/>
        <v>0</v>
      </c>
      <c r="Q147" s="77">
        <v>0</v>
      </c>
      <c r="R147" s="77">
        <v>0</v>
      </c>
      <c r="S147" s="77">
        <v>0</v>
      </c>
      <c r="T147" s="77">
        <f t="shared" si="94"/>
        <v>0</v>
      </c>
      <c r="U147" s="77">
        <f t="shared" si="95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3">
        <f ca="1">IFERROR(__xludf.DUMMYFUNCTION("IMPORTRANGE(""https://docs.google.com/spreadsheets/d/1-uDff_7J0KD5mKrp0Vvzr7lt3OU09vwQwhkpOPPYv2Y/edit?usp=sharing"",""งบพรบ!BT62"")"),0)</f>
        <v>0</v>
      </c>
      <c r="M148" s="74">
        <f ca="1">IFERROR(__xludf.DUMMYFUNCTION("IMPORTRANGE(""https://docs.google.com/spreadsheets/d/1-uDff_7J0KD5mKrp0Vvzr7lt3OU09vwQwhkpOPPYv2Y/edit?usp=sharing"",""งบพรบ!BW62"")"),0)</f>
        <v>0</v>
      </c>
      <c r="N148" s="74">
        <f ca="1">IFERROR(__xludf.DUMMYFUNCTION("IMPORTRANGE(""https://docs.google.com/spreadsheets/d/1-uDff_7J0KD5mKrp0Vvzr7lt3OU09vwQwhkpOPPYv2Y/edit?usp=sharing"",""งบพรบ!BY62"")"),0)</f>
        <v>0</v>
      </c>
      <c r="O148" s="74">
        <f t="shared" ca="1" si="91"/>
        <v>0</v>
      </c>
      <c r="P148" s="74">
        <f t="shared" ca="1" si="92"/>
        <v>0</v>
      </c>
      <c r="Q148" s="74">
        <v>0</v>
      </c>
      <c r="R148" s="74">
        <v>0</v>
      </c>
      <c r="S148" s="74">
        <v>0</v>
      </c>
      <c r="T148" s="74">
        <f t="shared" si="94"/>
        <v>0</v>
      </c>
      <c r="U148" s="74">
        <f t="shared" si="95"/>
        <v>0</v>
      </c>
    </row>
    <row r="149" spans="1:21" ht="19.5" hidden="1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hidden="1" x14ac:dyDescent="0.25">
      <c r="A150" s="257"/>
      <c r="B150" s="258"/>
      <c r="C150" s="306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hidden="1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IFERROR(__xludf.DUMMYFUNCTION("IMPORTRANGE(""https://docs.google.com/spreadsheets/d/1eHaY18a8A9IcSdp1K8H6x8fbOy06t2VsZHhMHf-1x7Y/edit?usp=sharing"",""แผน!U62"")"),0)</f>
        <v>0</v>
      </c>
      <c r="J151" s="294">
        <v>0</v>
      </c>
      <c r="K151" s="74">
        <f t="shared" ref="K151:K155" ca="1" si="102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hidden="1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IFERROR(__xludf.DUMMYFUNCTION("IMPORTRANGE(""https://docs.google.com/spreadsheets/d/1eHaY18a8A9IcSdp1K8H6x8fbOy06t2VsZHhMHf-1x7Y/edit?usp=sharing"",""แผน!V62"")"),0)</f>
        <v>0</v>
      </c>
      <c r="J152" s="294">
        <v>0</v>
      </c>
      <c r="K152" s="74">
        <f t="shared" ca="1" si="102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hidden="1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IFERROR(__xludf.DUMMYFUNCTION("IMPORTRANGE(""https://docs.google.com/spreadsheets/d/1eHaY18a8A9IcSdp1K8H6x8fbOy06t2VsZHhMHf-1x7Y/edit?usp=sharing"",""แผน!W62"")"),0)</f>
        <v>0</v>
      </c>
      <c r="J153" s="294">
        <v>0</v>
      </c>
      <c r="K153" s="74">
        <f t="shared" ca="1" si="102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hidden="1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IFERROR(__xludf.DUMMYFUNCTION("IMPORTRANGE(""https://docs.google.com/spreadsheets/d/1eHaY18a8A9IcSdp1K8H6x8fbOy06t2VsZHhMHf-1x7Y/edit?usp=sharing"",""แผน!X62"")"),0)</f>
        <v>0</v>
      </c>
      <c r="J154" s="294">
        <v>0</v>
      </c>
      <c r="K154" s="74">
        <f t="shared" ca="1" si="102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hidden="1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IFERROR(__xludf.DUMMYFUNCTION("IMPORTRANGE(""https://docs.google.com/spreadsheets/d/1eHaY18a8A9IcSdp1K8H6x8fbOy06t2VsZHhMHf-1x7Y/edit?usp=sharing"",""แผน!Y62"")"),0)</f>
        <v>0</v>
      </c>
      <c r="J155" s="294">
        <v>0</v>
      </c>
      <c r="K155" s="74">
        <f t="shared" ca="1" si="102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x14ac:dyDescent="0.3">
      <c r="A156" s="1099" t="s">
        <v>67</v>
      </c>
      <c r="B156" s="691"/>
      <c r="C156" s="692"/>
      <c r="D156" s="691"/>
      <c r="E156" s="691"/>
      <c r="F156" s="691"/>
      <c r="G156" s="691"/>
      <c r="H156" s="693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3">I168</f>
        <v>10</v>
      </c>
      <c r="J157" s="256">
        <f t="shared" si="103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1257">
        <f t="shared" ref="L158:N158" ca="1" si="104">L159+L160</f>
        <v>3000</v>
      </c>
      <c r="M158" s="264">
        <f t="shared" ca="1" si="104"/>
        <v>4250</v>
      </c>
      <c r="N158" s="264">
        <f t="shared" ca="1" si="104"/>
        <v>0</v>
      </c>
      <c r="O158" s="264">
        <f t="shared" ref="O158:O166" ca="1" si="105">IF(L158&gt;0,N158*100/L158,0)</f>
        <v>0</v>
      </c>
      <c r="P158" s="264">
        <f t="shared" ref="P158:P166" ca="1" si="106">IF(M158&gt;0,N158*100/M158,0)</f>
        <v>0</v>
      </c>
      <c r="Q158" s="264">
        <f t="shared" ref="Q158:S158" ca="1" si="107">Q159+Q160</f>
        <v>0</v>
      </c>
      <c r="R158" s="264">
        <f t="shared" ca="1" si="107"/>
        <v>0</v>
      </c>
      <c r="S158" s="264">
        <f t="shared" ca="1" si="107"/>
        <v>0</v>
      </c>
      <c r="T158" s="264">
        <f t="shared" ref="T158:T166" ca="1" si="108">IF(Q158&gt;0,S158*100/Q158,0)</f>
        <v>0</v>
      </c>
      <c r="U158" s="264">
        <f t="shared" ref="U158:U166" ca="1" si="109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6">
        <f t="shared" ref="L159:N160" si="110">L162+L165</f>
        <v>0</v>
      </c>
      <c r="M159" s="77">
        <f t="shared" si="110"/>
        <v>0</v>
      </c>
      <c r="N159" s="77">
        <f t="shared" si="110"/>
        <v>0</v>
      </c>
      <c r="O159" s="77">
        <f t="shared" si="105"/>
        <v>0</v>
      </c>
      <c r="P159" s="77">
        <f t="shared" si="106"/>
        <v>0</v>
      </c>
      <c r="Q159" s="77">
        <f t="shared" ref="Q159:S160" si="111">Q162+Q165</f>
        <v>0</v>
      </c>
      <c r="R159" s="77">
        <f t="shared" si="111"/>
        <v>0</v>
      </c>
      <c r="S159" s="77">
        <f t="shared" si="111"/>
        <v>0</v>
      </c>
      <c r="T159" s="77">
        <f t="shared" si="108"/>
        <v>0</v>
      </c>
      <c r="U159" s="77">
        <f t="shared" si="109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3">
        <f t="shared" ca="1" si="110"/>
        <v>3000</v>
      </c>
      <c r="M160" s="74">
        <f t="shared" ca="1" si="110"/>
        <v>4250</v>
      </c>
      <c r="N160" s="74">
        <f t="shared" ca="1" si="110"/>
        <v>0</v>
      </c>
      <c r="O160" s="74">
        <f t="shared" ca="1" si="105"/>
        <v>0</v>
      </c>
      <c r="P160" s="74">
        <f t="shared" ca="1" si="106"/>
        <v>0</v>
      </c>
      <c r="Q160" s="74">
        <f t="shared" ca="1" si="111"/>
        <v>0</v>
      </c>
      <c r="R160" s="74">
        <f t="shared" ca="1" si="111"/>
        <v>0</v>
      </c>
      <c r="S160" s="74">
        <f t="shared" ca="1" si="111"/>
        <v>0</v>
      </c>
      <c r="T160" s="74">
        <f t="shared" ca="1" si="108"/>
        <v>0</v>
      </c>
      <c r="U160" s="74">
        <f t="shared" ca="1" si="109"/>
        <v>0</v>
      </c>
    </row>
    <row r="161" spans="1:21" ht="18.75" x14ac:dyDescent="0.25">
      <c r="A161" s="257"/>
      <c r="B161" s="269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3">
        <f t="shared" ref="L161:N161" ca="1" si="112">L162+L163</f>
        <v>3000</v>
      </c>
      <c r="M161" s="74">
        <f t="shared" ca="1" si="112"/>
        <v>4250</v>
      </c>
      <c r="N161" s="74">
        <f t="shared" ca="1" si="112"/>
        <v>0</v>
      </c>
      <c r="O161" s="74">
        <f t="shared" ca="1" si="105"/>
        <v>0</v>
      </c>
      <c r="P161" s="74">
        <f t="shared" ca="1" si="106"/>
        <v>0</v>
      </c>
      <c r="Q161" s="74">
        <f t="shared" ref="Q161:S161" ca="1" si="113">Q162+Q163</f>
        <v>0</v>
      </c>
      <c r="R161" s="74">
        <f t="shared" ca="1" si="113"/>
        <v>0</v>
      </c>
      <c r="S161" s="74">
        <f t="shared" ca="1" si="113"/>
        <v>0</v>
      </c>
      <c r="T161" s="74">
        <f t="shared" ca="1" si="108"/>
        <v>0</v>
      </c>
      <c r="U161" s="74">
        <f t="shared" ca="1" si="109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77">
        <f t="shared" si="105"/>
        <v>0</v>
      </c>
      <c r="P162" s="77">
        <f t="shared" si="106"/>
        <v>0</v>
      </c>
      <c r="Q162" s="77">
        <v>0</v>
      </c>
      <c r="R162" s="77">
        <v>0</v>
      </c>
      <c r="S162" s="77">
        <v>0</v>
      </c>
      <c r="T162" s="77">
        <f t="shared" si="108"/>
        <v>0</v>
      </c>
      <c r="U162" s="77">
        <f t="shared" si="109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3">
        <f ca="1">IFERROR(__xludf.DUMMYFUNCTION("IMPORTRANGE(""https://docs.google.com/spreadsheets/d/1-uDff_7J0KD5mKrp0Vvzr7lt3OU09vwQwhkpOPPYv2Y/edit?usp=sharing"",""งบพรบ!CA62"")"),3000)</f>
        <v>3000</v>
      </c>
      <c r="M163" s="74">
        <f ca="1">IFERROR(__xludf.DUMMYFUNCTION("IMPORTRANGE(""https://docs.google.com/spreadsheets/d/1-uDff_7J0KD5mKrp0Vvzr7lt3OU09vwQwhkpOPPYv2Y/edit?usp=sharing"",""งบพรบ!CF62"")"),4250)</f>
        <v>4250</v>
      </c>
      <c r="N163" s="74">
        <f ca="1">IFERROR(__xludf.DUMMYFUNCTION("IMPORTRANGE(""https://docs.google.com/spreadsheets/d/1-uDff_7J0KD5mKrp0Vvzr7lt3OU09vwQwhkpOPPYv2Y/edit?usp=sharing"",""งบพรบ!CH62"")"),0)</f>
        <v>0</v>
      </c>
      <c r="O163" s="74">
        <f t="shared" ca="1" si="105"/>
        <v>0</v>
      </c>
      <c r="P163" s="74">
        <f t="shared" ca="1" si="106"/>
        <v>0</v>
      </c>
      <c r="Q163" s="74">
        <f ca="1">IFERROR(__xludf.DUMMYFUNCTION("IMPORTRANGE(""https://docs.google.com/spreadsheets/d/1ItG2mGa2ceCfYo0BwxsXqNm01IGEUdYcSSLTEv9YCik/edit?usp=sharing"",""เบิกจ่ายกองทุน!AG62"")"),0)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IFERROR(__xludf.DUMMYFUNCTION("IMPORTRANGE(""https://docs.google.com/spreadsheets/d/1ItG2mGa2ceCfYo0BwxsXqNm01IGEUdYcSSLTEv9YCik/edit?usp=sharing"",""เบิกจ่ายกองทุน!AH62"")"),0)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IFERROR(__xludf.DUMMYFUNCTION("IMPORTRANGE(""https://docs.google.com/spreadsheets/d/1ItG2mGa2ceCfYo0BwxsXqNm01IGEUdYcSSLTEv9YCik/edit?usp=sharing"",""เบิกจ่ายกองทุน!AI62"")"),0)</f>
        <v>0</v>
      </c>
      <c r="T163" s="74">
        <f t="shared" ca="1" si="108"/>
        <v>0</v>
      </c>
      <c r="U163" s="74">
        <f t="shared" ca="1" si="109"/>
        <v>0</v>
      </c>
    </row>
    <row r="164" spans="1:21" ht="18.75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3">
        <f t="shared" ref="L164:N164" ca="1" si="114">L165+L166</f>
        <v>0</v>
      </c>
      <c r="M164" s="74">
        <f t="shared" ca="1" si="114"/>
        <v>0</v>
      </c>
      <c r="N164" s="74">
        <f t="shared" ca="1" si="114"/>
        <v>0</v>
      </c>
      <c r="O164" s="74">
        <f t="shared" ca="1" si="105"/>
        <v>0</v>
      </c>
      <c r="P164" s="74">
        <f t="shared" ca="1" si="106"/>
        <v>0</v>
      </c>
      <c r="Q164" s="74">
        <f t="shared" ref="Q164:S164" si="115">Q165+Q166</f>
        <v>0</v>
      </c>
      <c r="R164" s="74">
        <f t="shared" si="115"/>
        <v>0</v>
      </c>
      <c r="S164" s="74">
        <f t="shared" si="115"/>
        <v>0</v>
      </c>
      <c r="T164" s="74">
        <f t="shared" si="108"/>
        <v>0</v>
      </c>
      <c r="U164" s="74">
        <f t="shared" si="109"/>
        <v>0</v>
      </c>
    </row>
    <row r="165" spans="1:21" ht="18.75" hidden="1" x14ac:dyDescent="0.25">
      <c r="A165" s="257"/>
      <c r="B165" s="269"/>
      <c r="C165" s="269"/>
      <c r="D165" s="269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77">
        <f t="shared" si="105"/>
        <v>0</v>
      </c>
      <c r="P165" s="77">
        <f t="shared" si="106"/>
        <v>0</v>
      </c>
      <c r="Q165" s="77">
        <v>0</v>
      </c>
      <c r="R165" s="77">
        <v>0</v>
      </c>
      <c r="S165" s="77">
        <v>0</v>
      </c>
      <c r="T165" s="77">
        <f t="shared" si="108"/>
        <v>0</v>
      </c>
      <c r="U165" s="77">
        <f t="shared" si="109"/>
        <v>0</v>
      </c>
    </row>
    <row r="166" spans="1:21" ht="18.75" hidden="1" x14ac:dyDescent="0.25">
      <c r="A166" s="257"/>
      <c r="B166" s="269"/>
      <c r="C166" s="269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3">
        <f ca="1">IFERROR(__xludf.DUMMYFUNCTION("IMPORTRANGE(""https://docs.google.com/spreadsheets/d/1-uDff_7J0KD5mKrp0Vvzr7lt3OU09vwQwhkpOPPYv2Y/edit?usp=sharing"",""งบพรบ!CD62"")"),0)</f>
        <v>0</v>
      </c>
      <c r="M166" s="74">
        <f ca="1">IFERROR(__xludf.DUMMYFUNCTION("IMPORTRANGE(""https://docs.google.com/spreadsheets/d/1-uDff_7J0KD5mKrp0Vvzr7lt3OU09vwQwhkpOPPYv2Y/edit?usp=sharing"",""งบพรบ!CG62"")"),0)</f>
        <v>0</v>
      </c>
      <c r="N166" s="74">
        <f ca="1">IFERROR(__xludf.DUMMYFUNCTION("IMPORTRANGE(""https://docs.google.com/spreadsheets/d/1-uDff_7J0KD5mKrp0Vvzr7lt3OU09vwQwhkpOPPYv2Y/edit?usp=sharing"",""งบพรบ!CI62"")"),0)</f>
        <v>0</v>
      </c>
      <c r="O166" s="74">
        <f t="shared" ca="1" si="105"/>
        <v>0</v>
      </c>
      <c r="P166" s="74">
        <f t="shared" ca="1" si="106"/>
        <v>0</v>
      </c>
      <c r="Q166" s="74">
        <v>0</v>
      </c>
      <c r="R166" s="74">
        <v>0</v>
      </c>
      <c r="S166" s="74">
        <v>0</v>
      </c>
      <c r="T166" s="74">
        <f t="shared" si="108"/>
        <v>0</v>
      </c>
      <c r="U166" s="74">
        <f t="shared" si="109"/>
        <v>0</v>
      </c>
    </row>
    <row r="167" spans="1:21" ht="19.5" x14ac:dyDescent="0.3">
      <c r="A167" s="276"/>
      <c r="B167" s="277"/>
      <c r="C167" s="621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IFERROR(__xludf.DUMMYFUNCTION("IMPORTRANGE(""https://docs.google.com/spreadsheets/d/1eHaY18a8A9IcSdp1K8H6x8fbOy06t2VsZHhMHf-1x7Y/edit?usp=sharing"",""แผน!Z62"")"),10)</f>
        <v>10</v>
      </c>
      <c r="J168" s="294">
        <v>0</v>
      </c>
      <c r="K168" s="74">
        <f t="shared" ref="K168:K170" ca="1" si="116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I168</f>
        <v>10</v>
      </c>
      <c r="J169" s="910">
        <v>0</v>
      </c>
      <c r="K169" s="77">
        <f t="shared" ca="1" si="116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I168</f>
        <v>10</v>
      </c>
      <c r="J170" s="999">
        <v>0</v>
      </c>
      <c r="K170" s="1000">
        <f t="shared" ca="1" si="116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5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121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125" t="s">
        <v>35</v>
      </c>
      <c r="I173" s="1126">
        <f t="shared" ref="I173:J173" ca="1" si="117">I184+I185</f>
        <v>7</v>
      </c>
      <c r="J173" s="1126">
        <f t="shared" si="117"/>
        <v>7</v>
      </c>
      <c r="K173" s="1127">
        <f ca="1">IF(I173&gt;0,J173*100/I173,0)</f>
        <v>100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1257">
        <f t="shared" ref="L174:N174" ca="1" si="118">L175+L176</f>
        <v>19590</v>
      </c>
      <c r="M174" s="264">
        <f t="shared" ca="1" si="118"/>
        <v>30760</v>
      </c>
      <c r="N174" s="264">
        <f t="shared" ca="1" si="118"/>
        <v>17180</v>
      </c>
      <c r="O174" s="264">
        <f t="shared" ref="O174:O182" ca="1" si="119">IF(L174&gt;0,N174*100/L174,0)</f>
        <v>87.697805002552329</v>
      </c>
      <c r="P174" s="264">
        <f t="shared" ref="P174:P182" ca="1" si="120">IF(M174&gt;0,N174*100/M174,0)</f>
        <v>55.851755526657996</v>
      </c>
      <c r="Q174" s="264">
        <f t="shared" ref="Q174:S174" ca="1" si="121">Q175+Q176</f>
        <v>0</v>
      </c>
      <c r="R174" s="264">
        <f t="shared" ca="1" si="121"/>
        <v>0</v>
      </c>
      <c r="S174" s="264">
        <f t="shared" ca="1" si="121"/>
        <v>0</v>
      </c>
      <c r="T174" s="264">
        <f t="shared" ref="T174:T182" ca="1" si="122">IF(Q174&gt;0,S174*100/Q174,0)</f>
        <v>0</v>
      </c>
      <c r="U174" s="264">
        <f t="shared" ref="U174:U182" ca="1" si="123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6">
        <f t="shared" ref="L175:N176" si="124">L178+L181</f>
        <v>0</v>
      </c>
      <c r="M175" s="77">
        <f t="shared" si="124"/>
        <v>0</v>
      </c>
      <c r="N175" s="77">
        <f t="shared" si="124"/>
        <v>0</v>
      </c>
      <c r="O175" s="77">
        <f t="shared" si="119"/>
        <v>0</v>
      </c>
      <c r="P175" s="77">
        <f t="shared" si="120"/>
        <v>0</v>
      </c>
      <c r="Q175" s="77">
        <f t="shared" ref="Q175:S176" si="125">Q178+Q181</f>
        <v>0</v>
      </c>
      <c r="R175" s="77">
        <f t="shared" si="125"/>
        <v>0</v>
      </c>
      <c r="S175" s="77">
        <f t="shared" si="125"/>
        <v>0</v>
      </c>
      <c r="T175" s="77">
        <f t="shared" si="122"/>
        <v>0</v>
      </c>
      <c r="U175" s="77">
        <f t="shared" si="123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3">
        <f t="shared" ca="1" si="124"/>
        <v>19590</v>
      </c>
      <c r="M176" s="74">
        <f t="shared" ca="1" si="124"/>
        <v>30760</v>
      </c>
      <c r="N176" s="74">
        <f t="shared" ca="1" si="124"/>
        <v>17180</v>
      </c>
      <c r="O176" s="74">
        <f t="shared" ca="1" si="119"/>
        <v>87.697805002552329</v>
      </c>
      <c r="P176" s="74">
        <f t="shared" ca="1" si="120"/>
        <v>55.851755526657996</v>
      </c>
      <c r="Q176" s="74">
        <f t="shared" ca="1" si="125"/>
        <v>0</v>
      </c>
      <c r="R176" s="74">
        <f t="shared" ca="1" si="125"/>
        <v>0</v>
      </c>
      <c r="S176" s="74">
        <f t="shared" ca="1" si="125"/>
        <v>0</v>
      </c>
      <c r="T176" s="74">
        <f t="shared" ca="1" si="122"/>
        <v>0</v>
      </c>
      <c r="U176" s="74">
        <f t="shared" ca="1" si="123"/>
        <v>0</v>
      </c>
    </row>
    <row r="177" spans="1:21" ht="18.75" x14ac:dyDescent="0.25">
      <c r="A177" s="257"/>
      <c r="B177" s="269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3">
        <f t="shared" ref="L177:N177" ca="1" si="126">L178+L179</f>
        <v>19590</v>
      </c>
      <c r="M177" s="74">
        <f t="shared" ca="1" si="126"/>
        <v>30760</v>
      </c>
      <c r="N177" s="74">
        <f t="shared" ca="1" si="126"/>
        <v>17180</v>
      </c>
      <c r="O177" s="74">
        <f t="shared" ca="1" si="119"/>
        <v>87.697805002552329</v>
      </c>
      <c r="P177" s="74">
        <f t="shared" ca="1" si="120"/>
        <v>55.851755526657996</v>
      </c>
      <c r="Q177" s="74">
        <f t="shared" ref="Q177:S177" ca="1" si="127">Q178+Q179</f>
        <v>0</v>
      </c>
      <c r="R177" s="74">
        <f t="shared" ca="1" si="127"/>
        <v>0</v>
      </c>
      <c r="S177" s="74">
        <f t="shared" ca="1" si="127"/>
        <v>0</v>
      </c>
      <c r="T177" s="74">
        <f t="shared" ca="1" si="122"/>
        <v>0</v>
      </c>
      <c r="U177" s="74">
        <f t="shared" ca="1" si="123"/>
        <v>0</v>
      </c>
    </row>
    <row r="178" spans="1:21" ht="18.75" hidden="1" x14ac:dyDescent="0.25">
      <c r="A178" s="257"/>
      <c r="B178" s="258"/>
      <c r="C178" s="269"/>
      <c r="D178" s="269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77">
        <f t="shared" si="119"/>
        <v>0</v>
      </c>
      <c r="P178" s="77">
        <f t="shared" si="120"/>
        <v>0</v>
      </c>
      <c r="Q178" s="77">
        <v>0</v>
      </c>
      <c r="R178" s="77">
        <v>0</v>
      </c>
      <c r="S178" s="77">
        <v>0</v>
      </c>
      <c r="T178" s="77">
        <f t="shared" si="122"/>
        <v>0</v>
      </c>
      <c r="U178" s="77">
        <f t="shared" si="123"/>
        <v>0</v>
      </c>
    </row>
    <row r="179" spans="1:21" ht="18.75" hidden="1" x14ac:dyDescent="0.25">
      <c r="A179" s="257"/>
      <c r="B179" s="269"/>
      <c r="C179" s="269"/>
      <c r="D179" s="269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3">
        <f ca="1">IFERROR(__xludf.DUMMYFUNCTION("IMPORTRANGE(""https://docs.google.com/spreadsheets/d/1-uDff_7J0KD5mKrp0Vvzr7lt3OU09vwQwhkpOPPYv2Y/edit?usp=sharing"",""งบพรบ!CK62"")"),19590)</f>
        <v>19590</v>
      </c>
      <c r="M179" s="74">
        <f ca="1">IFERROR(__xludf.DUMMYFUNCTION("IMPORTRANGE(""https://docs.google.com/spreadsheets/d/1-uDff_7J0KD5mKrp0Vvzr7lt3OU09vwQwhkpOPPYv2Y/edit?usp=sharing"",""งบพรบ!CP62"")"),30760)</f>
        <v>30760</v>
      </c>
      <c r="N179" s="74">
        <f ca="1">IFERROR(__xludf.DUMMYFUNCTION("IMPORTRANGE(""https://docs.google.com/spreadsheets/d/1-uDff_7J0KD5mKrp0Vvzr7lt3OU09vwQwhkpOPPYv2Y/edit?usp=sharing"",""งบพรบ!CR62"")"),17180)</f>
        <v>17180</v>
      </c>
      <c r="O179" s="74">
        <f t="shared" ca="1" si="119"/>
        <v>87.697805002552329</v>
      </c>
      <c r="P179" s="74">
        <f t="shared" ca="1" si="120"/>
        <v>55.851755526657996</v>
      </c>
      <c r="Q179" s="74">
        <f ca="1">IFERROR(__xludf.DUMMYFUNCTION("IMPORTRANGE(""https://docs.google.com/spreadsheets/d/1ItG2mGa2ceCfYo0BwxsXqNm01IGEUdYcSSLTEv9YCik/edit?usp=sharing"",""เบิกจ่ายกองทุน!BE62"")"),0)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IFERROR(__xludf.DUMMYFUNCTION("IMPORTRANGE(""https://docs.google.com/spreadsheets/d/1ItG2mGa2ceCfYo0BwxsXqNm01IGEUdYcSSLTEv9YCik/edit?usp=sharing"",""เบิกจ่ายกองทุน!BF62"")"),0)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IFERROR(__xludf.DUMMYFUNCTION("IMPORTRANGE(""https://docs.google.com/spreadsheets/d/1ItG2mGa2ceCfYo0BwxsXqNm01IGEUdYcSSLTEv9YCik/edit?usp=sharing"",""เบิกจ่ายกองทุน!BG62"")"),0)</f>
        <v>0</v>
      </c>
      <c r="T179" s="74">
        <f t="shared" ca="1" si="122"/>
        <v>0</v>
      </c>
      <c r="U179" s="74">
        <f t="shared" ca="1" si="123"/>
        <v>0</v>
      </c>
    </row>
    <row r="180" spans="1:21" ht="18.75" x14ac:dyDescent="0.25">
      <c r="A180" s="257"/>
      <c r="B180" s="258"/>
      <c r="C180" s="269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3">
        <f t="shared" ref="L180:N180" ca="1" si="128">L181+L182</f>
        <v>0</v>
      </c>
      <c r="M180" s="74">
        <f t="shared" ca="1" si="128"/>
        <v>0</v>
      </c>
      <c r="N180" s="74">
        <f t="shared" ca="1" si="128"/>
        <v>0</v>
      </c>
      <c r="O180" s="74">
        <f t="shared" ca="1" si="119"/>
        <v>0</v>
      </c>
      <c r="P180" s="74">
        <f t="shared" ca="1" si="120"/>
        <v>0</v>
      </c>
      <c r="Q180" s="74">
        <f t="shared" ref="Q180:S180" si="129">Q181+Q182</f>
        <v>0</v>
      </c>
      <c r="R180" s="74">
        <f t="shared" si="129"/>
        <v>0</v>
      </c>
      <c r="S180" s="74">
        <f t="shared" si="129"/>
        <v>0</v>
      </c>
      <c r="T180" s="74">
        <f t="shared" si="122"/>
        <v>0</v>
      </c>
      <c r="U180" s="74">
        <f t="shared" si="123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77">
        <f t="shared" si="119"/>
        <v>0</v>
      </c>
      <c r="P181" s="77">
        <f t="shared" si="120"/>
        <v>0</v>
      </c>
      <c r="Q181" s="77">
        <v>0</v>
      </c>
      <c r="R181" s="77">
        <v>0</v>
      </c>
      <c r="S181" s="77">
        <v>0</v>
      </c>
      <c r="T181" s="77">
        <f t="shared" si="122"/>
        <v>0</v>
      </c>
      <c r="U181" s="77">
        <f t="shared" si="123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3">
        <f ca="1">IFERROR(__xludf.DUMMYFUNCTION("IMPORTRANGE(""https://docs.google.com/spreadsheets/d/1-uDff_7J0KD5mKrp0Vvzr7lt3OU09vwQwhkpOPPYv2Y/edit?usp=sharing"",""งบพรบ!CN62"")"),0)</f>
        <v>0</v>
      </c>
      <c r="M182" s="74">
        <f ca="1">IFERROR(__xludf.DUMMYFUNCTION("IMPORTRANGE(""https://docs.google.com/spreadsheets/d/1-uDff_7J0KD5mKrp0Vvzr7lt3OU09vwQwhkpOPPYv2Y/edit?usp=sharing"",""งบพรบ!CQ62"")"),0)</f>
        <v>0</v>
      </c>
      <c r="N182" s="74">
        <f ca="1">IFERROR(__xludf.DUMMYFUNCTION("IMPORTRANGE(""https://docs.google.com/spreadsheets/d/1-uDff_7J0KD5mKrp0Vvzr7lt3OU09vwQwhkpOPPYv2Y/edit?usp=sharing"",""งบพรบ!CS62"")"),0)</f>
        <v>0</v>
      </c>
      <c r="O182" s="74">
        <f t="shared" ca="1" si="119"/>
        <v>0</v>
      </c>
      <c r="P182" s="74">
        <f t="shared" ca="1" si="120"/>
        <v>0</v>
      </c>
      <c r="Q182" s="74">
        <v>0</v>
      </c>
      <c r="R182" s="74">
        <v>0</v>
      </c>
      <c r="S182" s="74">
        <v>0</v>
      </c>
      <c r="T182" s="74">
        <f t="shared" si="122"/>
        <v>0</v>
      </c>
      <c r="U182" s="74">
        <f t="shared" si="123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307" t="s">
        <v>35</v>
      </c>
      <c r="I184" s="293">
        <f ca="1">IFERROR(__xludf.DUMMYFUNCTION("IMPORTRANGE(""https://docs.google.com/spreadsheets/d/1eHaY18a8A9IcSdp1K8H6x8fbOy06t2VsZHhMHf-1x7Y/edit?usp=sharing"",""แผน!AA62"")"),7)</f>
        <v>7</v>
      </c>
      <c r="J184" s="294">
        <v>7</v>
      </c>
      <c r="K184" s="74">
        <f t="shared" ref="K184:K186" ca="1" si="130">IF(I184&gt;0,J184*100/I184,0)</f>
        <v>100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308" t="s">
        <v>35</v>
      </c>
      <c r="I185" s="592">
        <v>0</v>
      </c>
      <c r="J185" s="592">
        <v>0</v>
      </c>
      <c r="K185" s="77">
        <f t="shared" si="130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125" t="s">
        <v>35</v>
      </c>
      <c r="I186" s="1126">
        <f t="shared" ref="I186:J186" ca="1" si="131">I231+I232</f>
        <v>0</v>
      </c>
      <c r="J186" s="1126">
        <f t="shared" si="131"/>
        <v>0</v>
      </c>
      <c r="K186" s="1127">
        <f t="shared" ca="1" si="130"/>
        <v>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1257">
        <f t="shared" ref="L187:N187" ca="1" si="132">L188+L189</f>
        <v>115200</v>
      </c>
      <c r="M187" s="264">
        <f t="shared" ca="1" si="132"/>
        <v>99200</v>
      </c>
      <c r="N187" s="264">
        <f t="shared" ca="1" si="132"/>
        <v>34080</v>
      </c>
      <c r="O187" s="264">
        <f t="shared" ref="O187:O195" ca="1" si="133">IF(L187&gt;0,N187*100/L187,0)</f>
        <v>29.583333333333332</v>
      </c>
      <c r="P187" s="264">
        <f t="shared" ref="P187:P195" ca="1" si="134">IF(M187&gt;0,N187*100/M187,0)</f>
        <v>34.354838709677416</v>
      </c>
      <c r="Q187" s="264">
        <f t="shared" ref="Q187:S187" ca="1" si="135">Q188+Q189</f>
        <v>28000</v>
      </c>
      <c r="R187" s="264">
        <f t="shared" ca="1" si="135"/>
        <v>28000</v>
      </c>
      <c r="S187" s="264">
        <f t="shared" ca="1" si="135"/>
        <v>0</v>
      </c>
      <c r="T187" s="264">
        <f t="shared" ref="T187:T195" ca="1" si="136">IF(Q187&gt;0,S187*100/Q187,0)</f>
        <v>0</v>
      </c>
      <c r="U187" s="264">
        <f t="shared" ref="U187:U195" ca="1" si="137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6">
        <f t="shared" ref="L188:N189" si="138">L191+L194</f>
        <v>0</v>
      </c>
      <c r="M188" s="77">
        <f t="shared" si="138"/>
        <v>0</v>
      </c>
      <c r="N188" s="77">
        <f t="shared" si="138"/>
        <v>0</v>
      </c>
      <c r="O188" s="77">
        <f t="shared" si="133"/>
        <v>0</v>
      </c>
      <c r="P188" s="77">
        <f t="shared" si="134"/>
        <v>0</v>
      </c>
      <c r="Q188" s="77">
        <f t="shared" ref="Q188:S189" si="139">Q191+Q194</f>
        <v>0</v>
      </c>
      <c r="R188" s="77">
        <f t="shared" si="139"/>
        <v>0</v>
      </c>
      <c r="S188" s="77">
        <f t="shared" si="139"/>
        <v>0</v>
      </c>
      <c r="T188" s="77">
        <f t="shared" si="136"/>
        <v>0</v>
      </c>
      <c r="U188" s="77">
        <f t="shared" si="137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3">
        <f t="shared" ca="1" si="138"/>
        <v>115200</v>
      </c>
      <c r="M189" s="74">
        <f t="shared" ca="1" si="138"/>
        <v>99200</v>
      </c>
      <c r="N189" s="74">
        <f t="shared" ca="1" si="138"/>
        <v>34080</v>
      </c>
      <c r="O189" s="74">
        <f t="shared" ca="1" si="133"/>
        <v>29.583333333333332</v>
      </c>
      <c r="P189" s="74">
        <f t="shared" ca="1" si="134"/>
        <v>34.354838709677416</v>
      </c>
      <c r="Q189" s="74">
        <f t="shared" ca="1" si="139"/>
        <v>28000</v>
      </c>
      <c r="R189" s="74">
        <f t="shared" ca="1" si="139"/>
        <v>28000</v>
      </c>
      <c r="S189" s="74">
        <f t="shared" ca="1" si="139"/>
        <v>0</v>
      </c>
      <c r="T189" s="74">
        <f t="shared" ca="1" si="136"/>
        <v>0</v>
      </c>
      <c r="U189" s="74">
        <f t="shared" ca="1" si="137"/>
        <v>0</v>
      </c>
    </row>
    <row r="190" spans="1:21" ht="18.75" x14ac:dyDescent="0.25">
      <c r="A190" s="257"/>
      <c r="B190" s="269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3">
        <f t="shared" ref="L190:N190" ca="1" si="140">L191+L192</f>
        <v>115200</v>
      </c>
      <c r="M190" s="74">
        <f t="shared" ca="1" si="140"/>
        <v>99200</v>
      </c>
      <c r="N190" s="74">
        <f t="shared" ca="1" si="140"/>
        <v>34080</v>
      </c>
      <c r="O190" s="74">
        <f t="shared" ca="1" si="133"/>
        <v>29.583333333333332</v>
      </c>
      <c r="P190" s="74">
        <f t="shared" ca="1" si="134"/>
        <v>34.354838709677416</v>
      </c>
      <c r="Q190" s="74">
        <f t="shared" ref="Q190:S190" ca="1" si="141">Q191+Q192</f>
        <v>28000</v>
      </c>
      <c r="R190" s="74">
        <f t="shared" ca="1" si="141"/>
        <v>28000</v>
      </c>
      <c r="S190" s="74">
        <f t="shared" ca="1" si="141"/>
        <v>0</v>
      </c>
      <c r="T190" s="74">
        <f t="shared" ca="1" si="136"/>
        <v>0</v>
      </c>
      <c r="U190" s="74">
        <f t="shared" ca="1" si="137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77">
        <f t="shared" si="133"/>
        <v>0</v>
      </c>
      <c r="P191" s="77">
        <f t="shared" si="134"/>
        <v>0</v>
      </c>
      <c r="Q191" s="77">
        <v>0</v>
      </c>
      <c r="R191" s="77">
        <v>0</v>
      </c>
      <c r="S191" s="77">
        <v>0</v>
      </c>
      <c r="T191" s="77">
        <f t="shared" si="136"/>
        <v>0</v>
      </c>
      <c r="U191" s="77">
        <f t="shared" si="137"/>
        <v>0</v>
      </c>
    </row>
    <row r="192" spans="1:21" ht="18.75" hidden="1" x14ac:dyDescent="0.25">
      <c r="A192" s="257"/>
      <c r="B192" s="269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3">
        <f ca="1">IFERROR(__xludf.DUMMYFUNCTION("IMPORTRANGE(""https://docs.google.com/spreadsheets/d/1-uDff_7J0KD5mKrp0Vvzr7lt3OU09vwQwhkpOPPYv2Y/edit?usp=sharing"",""งบพรบ!CU62"")"),115200)</f>
        <v>115200</v>
      </c>
      <c r="M192" s="74">
        <f ca="1">IFERROR(__xludf.DUMMYFUNCTION("IMPORTRANGE(""https://docs.google.com/spreadsheets/d/1-uDff_7J0KD5mKrp0Vvzr7lt3OU09vwQwhkpOPPYv2Y/edit?usp=sharing"",""งบพรบ!CZ62"")"),99200)</f>
        <v>99200</v>
      </c>
      <c r="N192" s="74">
        <f ca="1">IFERROR(__xludf.DUMMYFUNCTION("IMPORTRANGE(""https://docs.google.com/spreadsheets/d/1-uDff_7J0KD5mKrp0Vvzr7lt3OU09vwQwhkpOPPYv2Y/edit?usp=sharing"",""งบพรบ!DB62"")"),34080)</f>
        <v>34080</v>
      </c>
      <c r="O192" s="74">
        <f t="shared" ca="1" si="133"/>
        <v>29.583333333333332</v>
      </c>
      <c r="P192" s="74">
        <f t="shared" ca="1" si="134"/>
        <v>34.354838709677416</v>
      </c>
      <c r="Q192" s="74">
        <f ca="1">IFERROR(__xludf.DUMMYFUNCTION("IMPORTRANGE(""https://docs.google.com/spreadsheets/d/1ItG2mGa2ceCfYo0BwxsXqNm01IGEUdYcSSLTEv9YCik/edit?usp=sharing"",""เบิกจ่ายกองทุน!AV62"")"),28000)</f>
        <v>28000</v>
      </c>
      <c r="R192" s="74">
        <f ca="1">IFERROR(__xludf.DUMMYFUNCTION("IMPORTRANGE(""https://docs.google.com/spreadsheets/d/1ItG2mGa2ceCfYo0BwxsXqNm01IGEUdYcSSLTEv9YCik/edit?usp=sharing"",""เบิกจ่ายกองทุน!AW62"")"),28000)</f>
        <v>28000</v>
      </c>
      <c r="S192" s="74">
        <f ca="1">IFERROR(__xludf.DUMMYFUNCTION("IMPORTRANGE(""https://docs.google.com/spreadsheets/d/1ItG2mGa2ceCfYo0BwxsXqNm01IGEUdYcSSLTEv9YCik/edit?usp=sharing"",""เบิกจ่ายกองทุน!AX62"")"),0)</f>
        <v>0</v>
      </c>
      <c r="T192" s="74">
        <f t="shared" ca="1" si="136"/>
        <v>0</v>
      </c>
      <c r="U192" s="74">
        <f t="shared" ca="1" si="137"/>
        <v>0</v>
      </c>
    </row>
    <row r="193" spans="1:21" ht="18.75" x14ac:dyDescent="0.25">
      <c r="A193" s="257"/>
      <c r="B193" s="269"/>
      <c r="C193" s="269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3">
        <f t="shared" ref="L193:N193" ca="1" si="142">L194+L195</f>
        <v>0</v>
      </c>
      <c r="M193" s="74">
        <f t="shared" ca="1" si="142"/>
        <v>0</v>
      </c>
      <c r="N193" s="74">
        <f t="shared" ca="1" si="142"/>
        <v>0</v>
      </c>
      <c r="O193" s="74">
        <f t="shared" ca="1" si="133"/>
        <v>0</v>
      </c>
      <c r="P193" s="74">
        <f t="shared" ca="1" si="134"/>
        <v>0</v>
      </c>
      <c r="Q193" s="74">
        <f t="shared" ref="Q193:S193" si="143">Q194+Q195</f>
        <v>0</v>
      </c>
      <c r="R193" s="74">
        <f t="shared" si="143"/>
        <v>0</v>
      </c>
      <c r="S193" s="74">
        <f t="shared" si="143"/>
        <v>0</v>
      </c>
      <c r="T193" s="74">
        <f t="shared" si="136"/>
        <v>0</v>
      </c>
      <c r="U193" s="74">
        <f t="shared" si="137"/>
        <v>0</v>
      </c>
    </row>
    <row r="194" spans="1:21" ht="18.75" hidden="1" x14ac:dyDescent="0.25">
      <c r="A194" s="257"/>
      <c r="B194" s="269"/>
      <c r="C194" s="269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77">
        <f t="shared" si="133"/>
        <v>0</v>
      </c>
      <c r="P194" s="77">
        <f t="shared" si="134"/>
        <v>0</v>
      </c>
      <c r="Q194" s="77">
        <v>0</v>
      </c>
      <c r="R194" s="77">
        <v>0</v>
      </c>
      <c r="S194" s="77">
        <v>0</v>
      </c>
      <c r="T194" s="77">
        <f t="shared" si="136"/>
        <v>0</v>
      </c>
      <c r="U194" s="77">
        <f t="shared" si="137"/>
        <v>0</v>
      </c>
    </row>
    <row r="195" spans="1:21" ht="18.75" hidden="1" x14ac:dyDescent="0.25">
      <c r="A195" s="257"/>
      <c r="B195" s="269"/>
      <c r="C195" s="269"/>
      <c r="D195" s="269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3">
        <f ca="1">IFERROR(__xludf.DUMMYFUNCTION("IMPORTRANGE(""https://docs.google.com/spreadsheets/d/1-uDff_7J0KD5mKrp0Vvzr7lt3OU09vwQwhkpOPPYv2Y/edit?usp=sharing"",""งบพรบ!CX62"")"),0)</f>
        <v>0</v>
      </c>
      <c r="M195" s="74">
        <f ca="1">IFERROR(__xludf.DUMMYFUNCTION("IMPORTRANGE(""https://docs.google.com/spreadsheets/d/1-uDff_7J0KD5mKrp0Vvzr7lt3OU09vwQwhkpOPPYv2Y/edit?usp=sharing"",""งบพรบ!DA62"")"),0)</f>
        <v>0</v>
      </c>
      <c r="N195" s="74">
        <f ca="1">IFERROR(__xludf.DUMMYFUNCTION("IMPORTRANGE(""https://docs.google.com/spreadsheets/d/1-uDff_7J0KD5mKrp0Vvzr7lt3OU09vwQwhkpOPPYv2Y/edit?usp=sharing"",""งบพรบ!DC62"")"),0)</f>
        <v>0</v>
      </c>
      <c r="O195" s="74">
        <f t="shared" ca="1" si="133"/>
        <v>0</v>
      </c>
      <c r="P195" s="74">
        <f t="shared" ca="1" si="134"/>
        <v>0</v>
      </c>
      <c r="Q195" s="74">
        <v>0</v>
      </c>
      <c r="R195" s="74">
        <v>0</v>
      </c>
      <c r="S195" s="74">
        <v>0</v>
      </c>
      <c r="T195" s="74">
        <f t="shared" si="136"/>
        <v>0</v>
      </c>
      <c r="U195" s="74">
        <f t="shared" si="137"/>
        <v>0</v>
      </c>
    </row>
    <row r="196" spans="1:21" ht="19.5" x14ac:dyDescent="0.3">
      <c r="A196" s="553"/>
      <c r="B196" s="555"/>
      <c r="C196" s="1128" t="s">
        <v>78</v>
      </c>
      <c r="D196" s="555"/>
      <c r="E196" s="554"/>
      <c r="F196" s="554"/>
      <c r="G196" s="557"/>
      <c r="H196" s="558" t="s">
        <v>79</v>
      </c>
      <c r="I196" s="559">
        <f t="shared" ref="I196:J196" ca="1" si="144">I199</f>
        <v>4</v>
      </c>
      <c r="J196" s="559">
        <f t="shared" si="144"/>
        <v>2</v>
      </c>
      <c r="K196" s="560">
        <f ca="1">IF(I196&gt;0,J196*100/I196,0)</f>
        <v>50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69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1257">
        <f ca="1">IFERROR(__xludf.DUMMYFUNCTION("IMPORTRANGE(""https://docs.google.com/spreadsheets/d/1eHaY18a8A9IcSdp1K8H6x8fbOy06t2VsZHhMHf-1x7Y/edit?usp=sharing"",""แผน!AB62"")"),6000)</f>
        <v>6000</v>
      </c>
      <c r="M197" s="87"/>
      <c r="N197" s="923">
        <v>0</v>
      </c>
      <c r="O197" s="264">
        <f ca="1">IF(L197&gt;0,N197*100/L197,0)</f>
        <v>0</v>
      </c>
      <c r="P197" s="264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310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75" t="s">
        <v>79</v>
      </c>
      <c r="I199" s="293">
        <f ca="1">IFERROR(__xludf.DUMMYFUNCTION("IMPORTRANGE(""https://docs.google.com/spreadsheets/d/1eHaY18a8A9IcSdp1K8H6x8fbOy06t2VsZHhMHf-1x7Y/edit?usp=sharing"",""แผน!AE62"")"),4)</f>
        <v>4</v>
      </c>
      <c r="J199" s="294">
        <v>2</v>
      </c>
      <c r="K199" s="74">
        <f ca="1">IF(I199&gt;0,J199*100/I199,0)</f>
        <v>50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69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69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5">I210</f>
        <v>2</v>
      </c>
      <c r="J203" s="559">
        <f t="shared" si="145"/>
        <v>0</v>
      </c>
      <c r="K203" s="560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69"/>
      <c r="C204" s="621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1257">
        <f ca="1">L205+L206+L207+L208</f>
        <v>26000</v>
      </c>
      <c r="M204" s="87"/>
      <c r="N204" s="264">
        <f>N205+N206+N207+N208</f>
        <v>0</v>
      </c>
      <c r="O204" s="264">
        <f ca="1">IF(L204&gt;0,N204*100/L204,0)</f>
        <v>0</v>
      </c>
      <c r="P204" s="264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69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73">
        <f ca="1">IFERROR(__xludf.DUMMYFUNCTION("IMPORTRANGE(""https://docs.google.com/spreadsheets/d/1eHaY18a8A9IcSdp1K8H6x8fbOy06t2VsZHhMHf-1x7Y/edit?usp=sharing"",""แผน!AG62"")"),2000)</f>
        <v>2000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69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73">
        <f ca="1">IFERROR(__xludf.DUMMYFUNCTION("IMPORTRANGE(""https://docs.google.com/spreadsheets/d/1eHaY18a8A9IcSdp1K8H6x8fbOy06t2VsZHhMHf-1x7Y/edit?usp=sharing"",""แผน!AH62"")"),0)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69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73">
        <f ca="1">IFERROR(__xludf.DUMMYFUNCTION("IMPORTRANGE(""https://docs.google.com/spreadsheets/d/1eHaY18a8A9IcSdp1K8H6x8fbOy06t2VsZHhMHf-1x7Y/edit?usp=sharing"",""แผน!AI62"")"),16000)</f>
        <v>16000</v>
      </c>
      <c r="M207" s="87"/>
      <c r="N207" s="924">
        <v>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69"/>
      <c r="D208" s="267" t="s">
        <v>89</v>
      </c>
      <c r="E208" s="258"/>
      <c r="F208" s="258"/>
      <c r="G208" s="261"/>
      <c r="H208" s="292" t="s">
        <v>14</v>
      </c>
      <c r="I208" s="263"/>
      <c r="J208" s="263"/>
      <c r="K208" s="87"/>
      <c r="L208" s="73">
        <f ca="1">IFERROR(__xludf.DUMMYFUNCTION("IMPORTRANGE(""https://docs.google.com/spreadsheets/d/1eHaY18a8A9IcSdp1K8H6x8fbOy06t2VsZHhMHf-1x7Y/edit?usp=sharing"",""แผน!AJ62"")"),8000)</f>
        <v>8000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310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2" t="s">
        <v>85</v>
      </c>
      <c r="I210" s="293">
        <f ca="1">IFERROR(__xludf.DUMMYFUNCTION("IMPORTRANGE(""https://docs.google.com/spreadsheets/d/1eHaY18a8A9IcSdp1K8H6x8fbOy06t2VsZHhMHf-1x7Y/edit?usp=sharing"",""แผน!AK62"")"),2)</f>
        <v>2</v>
      </c>
      <c r="J210" s="294">
        <v>0</v>
      </c>
      <c r="K210" s="768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310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2" t="s">
        <v>85</v>
      </c>
      <c r="I212" s="293">
        <f ca="1">IFERROR(__xludf.DUMMYFUNCTION("IMPORTRANGE(""https://docs.google.com/spreadsheets/d/1eHaY18a8A9IcSdp1K8H6x8fbOy06t2VsZHhMHf-1x7Y/edit?usp=sharing"",""แผน!JX62"")"),2)</f>
        <v>2</v>
      </c>
      <c r="J212" s="294">
        <v>0</v>
      </c>
      <c r="K212" s="768">
        <f t="shared" ref="K212:K214" ca="1" si="146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IFERROR(__xludf.DUMMYFUNCTION("IMPORTRANGE(""https://docs.google.com/spreadsheets/d/1eHaY18a8A9IcSdp1K8H6x8fbOy06t2VsZHhMHf-1x7Y/edit?usp=sharing"",""แผน!JY62"")"),0)</f>
        <v>0</v>
      </c>
      <c r="J213" s="294">
        <v>0</v>
      </c>
      <c r="K213" s="768">
        <f t="shared" ca="1" si="146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hidden="1" x14ac:dyDescent="0.3">
      <c r="A214" s="553"/>
      <c r="B214" s="555"/>
      <c r="C214" s="1128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7">I221</f>
        <v>0</v>
      </c>
      <c r="J214" s="559">
        <f t="shared" si="147"/>
        <v>0</v>
      </c>
      <c r="K214" s="560">
        <f t="shared" ca="1" si="146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hidden="1" x14ac:dyDescent="0.3">
      <c r="A215" s="257"/>
      <c r="B215" s="269"/>
      <c r="C215" s="621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1257">
        <f ca="1">L216+L217+L218</f>
        <v>0</v>
      </c>
      <c r="M215" s="87"/>
      <c r="N215" s="264">
        <f>N216+N217+N218</f>
        <v>0</v>
      </c>
      <c r="O215" s="264">
        <f ca="1">IF(L215&gt;0,N215*100/L215,0)</f>
        <v>0</v>
      </c>
      <c r="P215" s="264">
        <f>IF(M215&gt;0,N215*100/M215,0)</f>
        <v>0</v>
      </c>
      <c r="Q215" s="87"/>
      <c r="R215" s="87"/>
      <c r="S215" s="87"/>
      <c r="T215" s="87"/>
      <c r="U215" s="87"/>
    </row>
    <row r="216" spans="1:21" ht="18.75" hidden="1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3">
        <f ca="1">IFERROR(__xludf.DUMMYFUNCTION("IMPORTRANGE(""https://docs.google.com/spreadsheets/d/1eHaY18a8A9IcSdp1K8H6x8fbOy06t2VsZHhMHf-1x7Y/edit?usp=sharing"",""แผน!AM62"")"),0)</f>
        <v>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hidden="1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3">
        <f ca="1">IFERROR(__xludf.DUMMYFUNCTION("IMPORTRANGE(""https://docs.google.com/spreadsheets/d/1eHaY18a8A9IcSdp1K8H6x8fbOy06t2VsZHhMHf-1x7Y/edit?usp=sharing"",""แผน!AN62"")"),0)</f>
        <v>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hidden="1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3">
        <f ca="1">IFERROR(__xludf.DUMMYFUNCTION("IMPORTRANGE(""https://docs.google.com/spreadsheets/d/1eHaY18a8A9IcSdp1K8H6x8fbOy06t2VsZHhMHf-1x7Y/edit?usp=sharing"",""แผน!AO62"")"),0)</f>
        <v>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hidden="1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310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hidden="1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2" t="s">
        <v>85</v>
      </c>
      <c r="I220" s="293">
        <f ca="1">IFERROR(__xludf.DUMMYFUNCTION("IMPORTRANGE(""https://docs.google.com/spreadsheets/d/1eHaY18a8A9IcSdp1K8H6x8fbOy06t2VsZHhMHf-1x7Y/edit?usp=sharing"",""แผน!AP62"")"),0)</f>
        <v>0</v>
      </c>
      <c r="J220" s="294">
        <v>0</v>
      </c>
      <c r="K220" s="74">
        <f t="shared" ref="K220:K222" ca="1" si="148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hidden="1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IFERROR(__xludf.DUMMYFUNCTION("IMPORTRANGE(""https://docs.google.com/spreadsheets/d/1eHaY18a8A9IcSdp1K8H6x8fbOy06t2VsZHhMHf-1x7Y/edit?usp=sharing"",""แผน!AP62"")"),0)</f>
        <v>0</v>
      </c>
      <c r="J221" s="294">
        <v>0</v>
      </c>
      <c r="K221" s="74">
        <f t="shared" ca="1" si="148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28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9">I230</f>
        <v>20000</v>
      </c>
      <c r="J222" s="559">
        <f t="shared" si="149"/>
        <v>0</v>
      </c>
      <c r="K222" s="560">
        <f t="shared" ca="1" si="148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69"/>
      <c r="C223" s="621" t="s">
        <v>18</v>
      </c>
      <c r="D223" s="96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1257">
        <f ca="1">L224+L225+L226</f>
        <v>4500</v>
      </c>
      <c r="M223" s="87"/>
      <c r="N223" s="264">
        <f>N224+N225+N226</f>
        <v>0</v>
      </c>
      <c r="O223" s="264">
        <f ca="1">IF(L223&gt;0,N223*100/L223,0)</f>
        <v>0</v>
      </c>
      <c r="P223" s="264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69"/>
      <c r="D224" s="1134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3">
        <f ca="1">IFERROR(__xludf.DUMMYFUNCTION("IMPORTRANGE(""https://docs.google.com/spreadsheets/d/1eHaY18a8A9IcSdp1K8H6x8fbOy06t2VsZHhMHf-1x7Y/edit?usp=sharing"",""แผน!AR62"")"),3000)</f>
        <v>3000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3">
        <f ca="1">IFERROR(__xludf.DUMMYFUNCTION("IMPORTRANGE(""https://docs.google.com/spreadsheets/d/1eHaY18a8A9IcSdp1K8H6x8fbOy06t2VsZHhMHf-1x7Y/edit?usp=sharing"",""แผน!AS62"")"),1500)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3">
        <f ca="1">IFERROR(__xludf.DUMMYFUNCTION("IMPORTRANGE(""https://docs.google.com/spreadsheets/d/1eHaY18a8A9IcSdp1K8H6x8fbOy06t2VsZHhMHf-1x7Y/edit?usp=sharing"",""แผน!AT62"")"),0)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310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310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75" t="s">
        <v>99</v>
      </c>
      <c r="I229" s="293">
        <f ca="1">IFERROR(__xludf.DUMMYFUNCTION("IMPORTRANGE(""https://docs.google.com/spreadsheets/d/1eHaY18a8A9IcSdp1K8H6x8fbOy06t2VsZHhMHf-1x7Y/edit?usp=sharing"",""แผน!AV62"")"),20000)</f>
        <v>20000</v>
      </c>
      <c r="J229" s="294">
        <v>0</v>
      </c>
      <c r="K229" s="768">
        <f t="shared" ref="K229:K232" ca="1" si="150">IF(I229&gt;0,J229*100/I229,0)</f>
        <v>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75" t="s">
        <v>99</v>
      </c>
      <c r="I230" s="293">
        <f ca="1">IFERROR(__xludf.DUMMYFUNCTION("IMPORTRANGE(""https://docs.google.com/spreadsheets/d/1eHaY18a8A9IcSdp1K8H6x8fbOy06t2VsZHhMHf-1x7Y/edit?usp=sharing"",""แผน!AV62"")"),20000)</f>
        <v>20000</v>
      </c>
      <c r="J230" s="294">
        <v>0</v>
      </c>
      <c r="K230" s="768">
        <f t="shared" ca="1" si="150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75" t="s">
        <v>35</v>
      </c>
      <c r="I231" s="293">
        <f ca="1">IFERROR(__xludf.DUMMYFUNCTION("IMPORTRANGE(""https://docs.google.com/spreadsheets/d/1eHaY18a8A9IcSdp1K8H6x8fbOy06t2VsZHhMHf-1x7Y/edit?usp=sharing"",""แผน!AU62"")"),0)</f>
        <v>0</v>
      </c>
      <c r="J231" s="294">
        <v>0</v>
      </c>
      <c r="K231" s="768">
        <f t="shared" ca="1" si="150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553"/>
      <c r="B232" s="555"/>
      <c r="C232" s="1128" t="s">
        <v>105</v>
      </c>
      <c r="D232" s="554"/>
      <c r="E232" s="554"/>
      <c r="F232" s="554"/>
      <c r="G232" s="557"/>
      <c r="H232" s="558" t="s">
        <v>35</v>
      </c>
      <c r="I232" s="559">
        <f t="shared" ref="I232:J232" ca="1" si="151">I243+I254</f>
        <v>0</v>
      </c>
      <c r="J232" s="559">
        <f t="shared" si="151"/>
        <v>0</v>
      </c>
      <c r="K232" s="560">
        <f t="shared" ca="1" si="150"/>
        <v>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257"/>
      <c r="B233" s="269"/>
      <c r="C233" s="621" t="s">
        <v>18</v>
      </c>
      <c r="D233" s="260" t="s">
        <v>19</v>
      </c>
      <c r="E233" s="258"/>
      <c r="F233" s="258"/>
      <c r="G233" s="261"/>
      <c r="H233" s="633" t="s">
        <v>14</v>
      </c>
      <c r="I233" s="272"/>
      <c r="J233" s="272"/>
      <c r="K233" s="229"/>
      <c r="L233" s="1281">
        <f t="shared" ref="L233:L237" ca="1" si="152">L244+L255</f>
        <v>0</v>
      </c>
      <c r="M233" s="87"/>
      <c r="N233" s="1258">
        <f t="shared" ref="N233:N237" si="153">N244+N255</f>
        <v>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257"/>
      <c r="B234" s="269"/>
      <c r="C234" s="269"/>
      <c r="D234" s="749" t="s">
        <v>86</v>
      </c>
      <c r="E234" s="258"/>
      <c r="F234" s="258"/>
      <c r="G234" s="261"/>
      <c r="H234" s="271" t="s">
        <v>14</v>
      </c>
      <c r="I234" s="272"/>
      <c r="J234" s="272"/>
      <c r="K234" s="229"/>
      <c r="L234" s="76">
        <f t="shared" ca="1" si="152"/>
        <v>0</v>
      </c>
      <c r="M234" s="87"/>
      <c r="N234" s="77">
        <f t="shared" si="153"/>
        <v>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550"/>
      <c r="B235" s="269"/>
      <c r="C235" s="269"/>
      <c r="D235" s="749" t="s">
        <v>88</v>
      </c>
      <c r="E235" s="258"/>
      <c r="F235" s="258"/>
      <c r="G235" s="261"/>
      <c r="H235" s="271" t="s">
        <v>14</v>
      </c>
      <c r="I235" s="263"/>
      <c r="J235" s="263"/>
      <c r="K235" s="87"/>
      <c r="L235" s="76">
        <f t="shared" ca="1" si="152"/>
        <v>0</v>
      </c>
      <c r="M235" s="87"/>
      <c r="N235" s="77">
        <f t="shared" si="153"/>
        <v>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550"/>
      <c r="B236" s="269"/>
      <c r="C236" s="269"/>
      <c r="D236" s="749" t="s">
        <v>106</v>
      </c>
      <c r="E236" s="258"/>
      <c r="F236" s="258"/>
      <c r="G236" s="261"/>
      <c r="H236" s="271" t="s">
        <v>14</v>
      </c>
      <c r="I236" s="263"/>
      <c r="J236" s="263"/>
      <c r="K236" s="87"/>
      <c r="L236" s="76">
        <f t="shared" ca="1" si="152"/>
        <v>0</v>
      </c>
      <c r="M236" s="87"/>
      <c r="N236" s="77">
        <f t="shared" si="153"/>
        <v>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550"/>
      <c r="B237" s="269"/>
      <c r="C237" s="269"/>
      <c r="D237" s="267" t="s">
        <v>107</v>
      </c>
      <c r="E237" s="258"/>
      <c r="F237" s="258"/>
      <c r="G237" s="261"/>
      <c r="H237" s="271" t="s">
        <v>14</v>
      </c>
      <c r="I237" s="263"/>
      <c r="J237" s="263"/>
      <c r="K237" s="87"/>
      <c r="L237" s="76">
        <f t="shared" ca="1" si="152"/>
        <v>0</v>
      </c>
      <c r="M237" s="87"/>
      <c r="N237" s="77">
        <f t="shared" si="153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276"/>
      <c r="B238" s="277"/>
      <c r="C238" s="621" t="s">
        <v>18</v>
      </c>
      <c r="D238" s="1019" t="s">
        <v>38</v>
      </c>
      <c r="E238" s="280"/>
      <c r="F238" s="280"/>
      <c r="G238" s="281"/>
      <c r="H238" s="310"/>
      <c r="I238" s="272"/>
      <c r="J238" s="263"/>
      <c r="K238" s="87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276"/>
      <c r="B239" s="277"/>
      <c r="C239" s="277"/>
      <c r="D239" s="295" t="s">
        <v>108</v>
      </c>
      <c r="E239" s="296"/>
      <c r="F239" s="296"/>
      <c r="G239" s="282"/>
      <c r="H239" s="275" t="s">
        <v>35</v>
      </c>
      <c r="I239" s="293">
        <f t="shared" ref="I239:J239" ca="1" si="154">I250+I261</f>
        <v>0</v>
      </c>
      <c r="J239" s="293">
        <f t="shared" si="154"/>
        <v>0</v>
      </c>
      <c r="K239" s="74">
        <f ca="1">IF(I239&gt;0,J239*100/I239,0)</f>
        <v>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276"/>
      <c r="B240" s="277"/>
      <c r="C240" s="277"/>
      <c r="D240" s="1103" t="s">
        <v>43</v>
      </c>
      <c r="E240" s="296"/>
      <c r="F240" s="296"/>
      <c r="G240" s="282"/>
      <c r="H240" s="310"/>
      <c r="I240" s="263"/>
      <c r="J240" s="263"/>
      <c r="K240" s="87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276"/>
      <c r="B241" s="277"/>
      <c r="C241" s="277"/>
      <c r="D241" s="277"/>
      <c r="E241" s="767" t="s">
        <v>109</v>
      </c>
      <c r="F241" s="296"/>
      <c r="G241" s="282"/>
      <c r="H241" s="275" t="s">
        <v>35</v>
      </c>
      <c r="I241" s="293">
        <f t="shared" ref="I241:J242" si="155">I252+I263</f>
        <v>0</v>
      </c>
      <c r="J241" s="293">
        <f t="shared" si="155"/>
        <v>0</v>
      </c>
      <c r="K241" s="74">
        <f t="shared" ref="K241:K243" si="156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276"/>
      <c r="B242" s="277"/>
      <c r="C242" s="277"/>
      <c r="D242" s="277"/>
      <c r="E242" s="767" t="s">
        <v>110</v>
      </c>
      <c r="F242" s="296"/>
      <c r="G242" s="282"/>
      <c r="H242" s="275" t="s">
        <v>61</v>
      </c>
      <c r="I242" s="293">
        <f t="shared" si="155"/>
        <v>0</v>
      </c>
      <c r="J242" s="293">
        <f t="shared" si="155"/>
        <v>0</v>
      </c>
      <c r="K242" s="74">
        <f t="shared" si="156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hidden="1" x14ac:dyDescent="0.3">
      <c r="A243" s="553"/>
      <c r="B243" s="555"/>
      <c r="C243" s="1135" t="s">
        <v>111</v>
      </c>
      <c r="D243" s="554"/>
      <c r="E243" s="554"/>
      <c r="F243" s="554"/>
      <c r="G243" s="557"/>
      <c r="H243" s="930" t="s">
        <v>35</v>
      </c>
      <c r="I243" s="931">
        <f t="shared" ref="I243:J243" ca="1" si="157">I250</f>
        <v>0</v>
      </c>
      <c r="J243" s="931">
        <f t="shared" si="157"/>
        <v>0</v>
      </c>
      <c r="K243" s="932">
        <f t="shared" ca="1" si="156"/>
        <v>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hidden="1" x14ac:dyDescent="0.3">
      <c r="A244" s="257"/>
      <c r="B244" s="269"/>
      <c r="C244" s="939" t="s">
        <v>18</v>
      </c>
      <c r="D244" s="934" t="s">
        <v>19</v>
      </c>
      <c r="E244" s="258"/>
      <c r="F244" s="258"/>
      <c r="G244" s="261"/>
      <c r="H244" s="703" t="s">
        <v>14</v>
      </c>
      <c r="I244" s="272"/>
      <c r="J244" s="272"/>
      <c r="K244" s="229"/>
      <c r="L244" s="1257">
        <f ca="1">L245+L246+L247+L248</f>
        <v>0</v>
      </c>
      <c r="M244" s="87"/>
      <c r="N244" s="264">
        <f>N245+N246+N247+N248</f>
        <v>0</v>
      </c>
      <c r="O244" s="264">
        <f ca="1">IF(L244&gt;0,N244*100/L244,0)</f>
        <v>0</v>
      </c>
      <c r="P244" s="264">
        <f>IF(M244&gt;0,N244*100/M244,0)</f>
        <v>0</v>
      </c>
      <c r="Q244" s="87"/>
      <c r="R244" s="87"/>
      <c r="S244" s="87"/>
      <c r="T244" s="87"/>
      <c r="U244" s="87"/>
    </row>
    <row r="245" spans="1:21" ht="18.75" hidden="1" x14ac:dyDescent="0.25">
      <c r="A245" s="257"/>
      <c r="B245" s="269"/>
      <c r="C245" s="269"/>
      <c r="D245" s="775" t="s">
        <v>86</v>
      </c>
      <c r="E245" s="258"/>
      <c r="F245" s="258"/>
      <c r="G245" s="261"/>
      <c r="H245" s="273" t="s">
        <v>14</v>
      </c>
      <c r="I245" s="272"/>
      <c r="J245" s="272"/>
      <c r="K245" s="229"/>
      <c r="L245" s="73">
        <f ca="1">IFERROR(__xludf.DUMMYFUNCTION("IMPORTRANGE(""https://docs.google.com/spreadsheets/d/1eHaY18a8A9IcSdp1K8H6x8fbOy06t2VsZHhMHf-1x7Y/edit?usp=sharing"",""แผน!AX62"")"),0)</f>
        <v>0</v>
      </c>
      <c r="M245" s="87"/>
      <c r="N245" s="924">
        <v>0</v>
      </c>
      <c r="O245" s="87"/>
      <c r="P245" s="87"/>
      <c r="Q245" s="87"/>
      <c r="R245" s="87"/>
      <c r="S245" s="87"/>
      <c r="T245" s="87"/>
      <c r="U245" s="87"/>
    </row>
    <row r="246" spans="1:21" ht="18.75" hidden="1" x14ac:dyDescent="0.25">
      <c r="A246" s="550"/>
      <c r="B246" s="269"/>
      <c r="C246" s="269"/>
      <c r="D246" s="775" t="s">
        <v>88</v>
      </c>
      <c r="E246" s="258"/>
      <c r="F246" s="258"/>
      <c r="G246" s="261"/>
      <c r="H246" s="273" t="s">
        <v>14</v>
      </c>
      <c r="I246" s="263"/>
      <c r="J246" s="263"/>
      <c r="K246" s="87"/>
      <c r="L246" s="73">
        <f ca="1">IFERROR(__xludf.DUMMYFUNCTION("IMPORTRANGE(""https://docs.google.com/spreadsheets/d/1eHaY18a8A9IcSdp1K8H6x8fbOy06t2VsZHhMHf-1x7Y/edit?usp=sharing"",""แผน!AY62"")"),0)</f>
        <v>0</v>
      </c>
      <c r="M246" s="87"/>
      <c r="N246" s="924">
        <v>0</v>
      </c>
      <c r="O246" s="87"/>
      <c r="P246" s="87"/>
      <c r="Q246" s="87"/>
      <c r="R246" s="87"/>
      <c r="S246" s="87"/>
      <c r="T246" s="87"/>
      <c r="U246" s="87"/>
    </row>
    <row r="247" spans="1:21" ht="18.75" hidden="1" x14ac:dyDescent="0.25">
      <c r="A247" s="550"/>
      <c r="B247" s="269"/>
      <c r="C247" s="269"/>
      <c r="D247" s="775" t="s">
        <v>106</v>
      </c>
      <c r="E247" s="258"/>
      <c r="F247" s="258"/>
      <c r="G247" s="261"/>
      <c r="H247" s="273" t="s">
        <v>14</v>
      </c>
      <c r="I247" s="263"/>
      <c r="J247" s="263"/>
      <c r="K247" s="87"/>
      <c r="L247" s="73">
        <f ca="1">IFERROR(__xludf.DUMMYFUNCTION("IMPORTRANGE(""https://docs.google.com/spreadsheets/d/1eHaY18a8A9IcSdp1K8H6x8fbOy06t2VsZHhMHf-1x7Y/edit?usp=sharing"",""แผน!AZ62"")"),0)</f>
        <v>0</v>
      </c>
      <c r="M247" s="87"/>
      <c r="N247" s="924">
        <v>0</v>
      </c>
      <c r="O247" s="87"/>
      <c r="P247" s="87"/>
      <c r="Q247" s="87"/>
      <c r="R247" s="87"/>
      <c r="S247" s="87"/>
      <c r="T247" s="87"/>
      <c r="U247" s="87"/>
    </row>
    <row r="248" spans="1:21" ht="18.75" hidden="1" x14ac:dyDescent="0.25">
      <c r="A248" s="550"/>
      <c r="B248" s="269"/>
      <c r="C248" s="269"/>
      <c r="D248" s="265" t="s">
        <v>107</v>
      </c>
      <c r="E248" s="258"/>
      <c r="F248" s="258"/>
      <c r="G248" s="261"/>
      <c r="H248" s="273" t="s">
        <v>14</v>
      </c>
      <c r="I248" s="263"/>
      <c r="J248" s="263"/>
      <c r="K248" s="87"/>
      <c r="L248" s="73">
        <f ca="1">IFERROR(__xludf.DUMMYFUNCTION("IMPORTRANGE(""https://docs.google.com/spreadsheets/d/1eHaY18a8A9IcSdp1K8H6x8fbOy06t2VsZHhMHf-1x7Y/edit?usp=sharing"",""แผน!BA62"")"),0)</f>
        <v>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hidden="1" x14ac:dyDescent="0.3">
      <c r="A249" s="276"/>
      <c r="B249" s="277"/>
      <c r="C249" s="939" t="s">
        <v>18</v>
      </c>
      <c r="D249" s="940" t="s">
        <v>38</v>
      </c>
      <c r="E249" s="280"/>
      <c r="F249" s="280"/>
      <c r="G249" s="281"/>
      <c r="H249" s="310"/>
      <c r="I249" s="272"/>
      <c r="J249" s="263"/>
      <c r="K249" s="87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hidden="1" x14ac:dyDescent="0.25">
      <c r="A250" s="276"/>
      <c r="B250" s="277"/>
      <c r="C250" s="277"/>
      <c r="D250" s="311" t="s">
        <v>108</v>
      </c>
      <c r="E250" s="296"/>
      <c r="F250" s="296"/>
      <c r="G250" s="282"/>
      <c r="H250" s="706" t="s">
        <v>35</v>
      </c>
      <c r="I250" s="592">
        <f ca="1">IFERROR(__xludf.DUMMYFUNCTION("IMPORTRANGE(""https://docs.google.com/spreadsheets/d/1eHaY18a8A9IcSdp1K8H6x8fbOy06t2VsZHhMHf-1x7Y/edit?usp=sharing"",""แผน!BG62"")"),0)</f>
        <v>0</v>
      </c>
      <c r="J250" s="910">
        <v>0</v>
      </c>
      <c r="K250" s="77">
        <f ca="1">IF(I250&gt;0,J250*100/I250,0)</f>
        <v>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hidden="1" x14ac:dyDescent="0.25">
      <c r="A251" s="276"/>
      <c r="B251" s="277"/>
      <c r="C251" s="277"/>
      <c r="D251" s="946" t="s">
        <v>43</v>
      </c>
      <c r="E251" s="296"/>
      <c r="F251" s="296"/>
      <c r="G251" s="282"/>
      <c r="H251" s="310"/>
      <c r="I251" s="263"/>
      <c r="J251" s="263"/>
      <c r="K251" s="87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hidden="1" x14ac:dyDescent="0.25">
      <c r="A252" s="276"/>
      <c r="B252" s="277"/>
      <c r="C252" s="277"/>
      <c r="D252" s="277"/>
      <c r="E252" s="947" t="s">
        <v>109</v>
      </c>
      <c r="F252" s="296"/>
      <c r="G252" s="282"/>
      <c r="H252" s="706" t="s">
        <v>35</v>
      </c>
      <c r="I252" s="592">
        <v>0</v>
      </c>
      <c r="J252" s="910">
        <v>0</v>
      </c>
      <c r="K252" s="77">
        <f t="shared" ref="K252:K254" si="158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hidden="1" x14ac:dyDescent="0.25">
      <c r="A253" s="276"/>
      <c r="B253" s="277"/>
      <c r="C253" s="277"/>
      <c r="D253" s="277"/>
      <c r="E253" s="947" t="s">
        <v>110</v>
      </c>
      <c r="F253" s="296"/>
      <c r="G253" s="282"/>
      <c r="H253" s="706" t="s">
        <v>61</v>
      </c>
      <c r="I253" s="592">
        <v>0</v>
      </c>
      <c r="J253" s="910">
        <v>0</v>
      </c>
      <c r="K253" s="77">
        <f t="shared" si="158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553"/>
      <c r="B254" s="555"/>
      <c r="C254" s="1135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9">I261</f>
        <v>0</v>
      </c>
      <c r="J254" s="931">
        <f t="shared" si="159"/>
        <v>0</v>
      </c>
      <c r="K254" s="932">
        <f t="shared" ca="1" si="158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257"/>
      <c r="B255" s="269"/>
      <c r="C255" s="939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1257">
        <f ca="1">L256+L257+L258+L259</f>
        <v>0</v>
      </c>
      <c r="M255" s="87"/>
      <c r="N255" s="264">
        <f>N256+N257+N258+N259</f>
        <v>0</v>
      </c>
      <c r="O255" s="264">
        <f ca="1">IF(L255&gt;0,N255*100/L255,0)</f>
        <v>0</v>
      </c>
      <c r="P255" s="264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257"/>
      <c r="B256" s="269"/>
      <c r="C256" s="269"/>
      <c r="D256" s="775" t="s">
        <v>86</v>
      </c>
      <c r="E256" s="258"/>
      <c r="F256" s="258"/>
      <c r="G256" s="261"/>
      <c r="H256" s="273" t="s">
        <v>14</v>
      </c>
      <c r="I256" s="272"/>
      <c r="J256" s="272"/>
      <c r="K256" s="229"/>
      <c r="L256" s="73">
        <f ca="1">IFERROR(__xludf.DUMMYFUNCTION("IMPORTRANGE(""https://docs.google.com/spreadsheets/d/1eHaY18a8A9IcSdp1K8H6x8fbOy06t2VsZHhMHf-1x7Y/edit?usp=sharing"",""แผน!BB62"")"),0)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775" t="s">
        <v>88</v>
      </c>
      <c r="E257" s="258"/>
      <c r="F257" s="258"/>
      <c r="G257" s="261"/>
      <c r="H257" s="273" t="s">
        <v>14</v>
      </c>
      <c r="I257" s="263"/>
      <c r="J257" s="263"/>
      <c r="K257" s="87"/>
      <c r="L257" s="73">
        <f ca="1">IFERROR(__xludf.DUMMYFUNCTION("IMPORTRANGE(""https://docs.google.com/spreadsheets/d/1eHaY18a8A9IcSdp1K8H6x8fbOy06t2VsZHhMHf-1x7Y/edit?usp=sharing"",""แผน!BC62"")"),0)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775" t="s">
        <v>106</v>
      </c>
      <c r="E258" s="258"/>
      <c r="F258" s="258"/>
      <c r="G258" s="261"/>
      <c r="H258" s="273" t="s">
        <v>14</v>
      </c>
      <c r="I258" s="263"/>
      <c r="J258" s="263"/>
      <c r="K258" s="87"/>
      <c r="L258" s="73">
        <f ca="1">IFERROR(__xludf.DUMMYFUNCTION("IMPORTRANGE(""https://docs.google.com/spreadsheets/d/1eHaY18a8A9IcSdp1K8H6x8fbOy06t2VsZHhMHf-1x7Y/edit?usp=sharing"",""แผน!BD62"")"),0)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5" t="s">
        <v>107</v>
      </c>
      <c r="E259" s="258"/>
      <c r="F259" s="258"/>
      <c r="G259" s="261"/>
      <c r="H259" s="273" t="s">
        <v>14</v>
      </c>
      <c r="I259" s="263"/>
      <c r="J259" s="263"/>
      <c r="K259" s="87"/>
      <c r="L259" s="73">
        <f ca="1">IFERROR(__xludf.DUMMYFUNCTION("IMPORTRANGE(""https://docs.google.com/spreadsheets/d/1eHaY18a8A9IcSdp1K8H6x8fbOy06t2VsZHhMHf-1x7Y/edit?usp=sharing"",""แผน!BE62"")"),0)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706" t="s">
        <v>35</v>
      </c>
      <c r="I261" s="592">
        <f ca="1">IFERROR(__xludf.DUMMYFUNCTION("IMPORTRANGE(""https://docs.google.com/spreadsheets/d/1eHaY18a8A9IcSdp1K8H6x8fbOy06t2VsZHhMHf-1x7Y/edit?usp=sharing"",""แผน!BH62"")"),0)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310"/>
      <c r="I262" s="263"/>
      <c r="J262" s="263"/>
      <c r="K262" s="87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706" t="s">
        <v>35</v>
      </c>
      <c r="I263" s="263"/>
      <c r="J263" s="910">
        <v>0</v>
      </c>
      <c r="K263" s="77">
        <f t="shared" ref="K263:K264" si="160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706" t="s">
        <v>61</v>
      </c>
      <c r="I264" s="263"/>
      <c r="J264" s="910">
        <v>0</v>
      </c>
      <c r="K264" s="77">
        <f t="shared" si="160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1138"/>
      <c r="I265" s="364"/>
      <c r="J265" s="364"/>
      <c r="K265" s="365"/>
      <c r="L265" s="366"/>
      <c r="M265" s="367"/>
      <c r="N265" s="367"/>
      <c r="O265" s="367"/>
      <c r="P265" s="367"/>
      <c r="Q265" s="367"/>
      <c r="R265" s="367"/>
      <c r="S265" s="367"/>
      <c r="T265" s="367"/>
      <c r="U265" s="367"/>
    </row>
    <row r="266" spans="1:21" ht="19.5" x14ac:dyDescent="0.3">
      <c r="A266" s="1285"/>
      <c r="B266" s="537" t="s">
        <v>114</v>
      </c>
      <c r="C266" s="1286"/>
      <c r="D266" s="537"/>
      <c r="E266" s="537"/>
      <c r="F266" s="537"/>
      <c r="G266" s="1287"/>
      <c r="H266" s="1139" t="s">
        <v>35</v>
      </c>
      <c r="I266" s="1140">
        <f t="shared" ref="I266:J266" ca="1" si="161">I277</f>
        <v>22</v>
      </c>
      <c r="J266" s="1140">
        <f t="shared" si="161"/>
        <v>0</v>
      </c>
      <c r="K266" s="373">
        <f ca="1">IF(I266&gt;0,J266*100/I266,0)</f>
        <v>0</v>
      </c>
      <c r="L266" s="375"/>
      <c r="M266" s="376"/>
      <c r="N266" s="376"/>
      <c r="O266" s="376"/>
      <c r="P266" s="376"/>
      <c r="Q266" s="376"/>
      <c r="R266" s="376"/>
      <c r="S266" s="376"/>
      <c r="T266" s="376"/>
      <c r="U266" s="376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1257">
        <f t="shared" ref="L267:N267" ca="1" si="162">L268+L269</f>
        <v>0</v>
      </c>
      <c r="M267" s="264">
        <f t="shared" ca="1" si="162"/>
        <v>5000</v>
      </c>
      <c r="N267" s="264">
        <f t="shared" ca="1" si="162"/>
        <v>0</v>
      </c>
      <c r="O267" s="264">
        <f t="shared" ref="O267:O275" ca="1" si="163">IF(L267&gt;0,N267*100/L267,0)</f>
        <v>0</v>
      </c>
      <c r="P267" s="264">
        <f t="shared" ref="P267:P275" ca="1" si="164">IF(M267&gt;0,N267*100/M267,0)</f>
        <v>0</v>
      </c>
      <c r="Q267" s="264">
        <f t="shared" ref="Q267:S267" ca="1" si="165">Q268+Q269</f>
        <v>50660</v>
      </c>
      <c r="R267" s="264">
        <f t="shared" ca="1" si="165"/>
        <v>50660</v>
      </c>
      <c r="S267" s="264">
        <f t="shared" ca="1" si="165"/>
        <v>0</v>
      </c>
      <c r="T267" s="264">
        <f t="shared" ref="T267:T275" ca="1" si="166">IF(Q267&gt;0,S267*100/Q267,0)</f>
        <v>0</v>
      </c>
      <c r="U267" s="264">
        <f t="shared" ref="U267:U275" ca="1" si="167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76">
        <f t="shared" ref="L268:N269" si="168">L271+L274</f>
        <v>0</v>
      </c>
      <c r="M268" s="77">
        <f t="shared" si="168"/>
        <v>0</v>
      </c>
      <c r="N268" s="77">
        <f t="shared" si="168"/>
        <v>0</v>
      </c>
      <c r="O268" s="77">
        <f t="shared" si="163"/>
        <v>0</v>
      </c>
      <c r="P268" s="77">
        <f t="shared" si="164"/>
        <v>0</v>
      </c>
      <c r="Q268" s="77">
        <f t="shared" ref="Q268:S269" si="169">Q271+Q274</f>
        <v>0</v>
      </c>
      <c r="R268" s="77">
        <f t="shared" si="169"/>
        <v>0</v>
      </c>
      <c r="S268" s="77">
        <f t="shared" si="169"/>
        <v>0</v>
      </c>
      <c r="T268" s="77">
        <f t="shared" si="166"/>
        <v>0</v>
      </c>
      <c r="U268" s="77">
        <f t="shared" si="167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73">
        <f t="shared" ca="1" si="168"/>
        <v>0</v>
      </c>
      <c r="M269" s="74">
        <f t="shared" ca="1" si="168"/>
        <v>5000</v>
      </c>
      <c r="N269" s="74">
        <f t="shared" ca="1" si="168"/>
        <v>0</v>
      </c>
      <c r="O269" s="74">
        <f t="shared" ca="1" si="163"/>
        <v>0</v>
      </c>
      <c r="P269" s="74">
        <f t="shared" ca="1" si="164"/>
        <v>0</v>
      </c>
      <c r="Q269" s="74">
        <f t="shared" ca="1" si="169"/>
        <v>50660</v>
      </c>
      <c r="R269" s="74">
        <f t="shared" ca="1" si="169"/>
        <v>50660</v>
      </c>
      <c r="S269" s="74">
        <f t="shared" ca="1" si="169"/>
        <v>0</v>
      </c>
      <c r="T269" s="74">
        <f t="shared" ca="1" si="166"/>
        <v>0</v>
      </c>
      <c r="U269" s="74">
        <f t="shared" ca="1" si="167"/>
        <v>0</v>
      </c>
    </row>
    <row r="270" spans="1:21" ht="18.75" x14ac:dyDescent="0.25">
      <c r="A270" s="209"/>
      <c r="B270" s="381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73">
        <f t="shared" ref="L270:N270" ca="1" si="170">L271+L272</f>
        <v>0</v>
      </c>
      <c r="M270" s="74">
        <f t="shared" ca="1" si="170"/>
        <v>5000</v>
      </c>
      <c r="N270" s="74">
        <f t="shared" ca="1" si="170"/>
        <v>0</v>
      </c>
      <c r="O270" s="74">
        <f t="shared" ca="1" si="163"/>
        <v>0</v>
      </c>
      <c r="P270" s="74">
        <f t="shared" ca="1" si="164"/>
        <v>0</v>
      </c>
      <c r="Q270" s="74">
        <f t="shared" ref="Q270:S270" ca="1" si="171">Q271+Q272</f>
        <v>50660</v>
      </c>
      <c r="R270" s="74">
        <f t="shared" ca="1" si="171"/>
        <v>50660</v>
      </c>
      <c r="S270" s="74">
        <f t="shared" ca="1" si="171"/>
        <v>0</v>
      </c>
      <c r="T270" s="74">
        <f t="shared" ca="1" si="166"/>
        <v>0</v>
      </c>
      <c r="U270" s="74">
        <f t="shared" ca="1" si="167"/>
        <v>0</v>
      </c>
    </row>
    <row r="271" spans="1:21" ht="18.75" hidden="1" x14ac:dyDescent="0.25">
      <c r="A271" s="880"/>
      <c r="B271" s="920"/>
      <c r="C271" s="920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77">
        <f t="shared" si="163"/>
        <v>0</v>
      </c>
      <c r="P271" s="77">
        <f t="shared" si="164"/>
        <v>0</v>
      </c>
      <c r="Q271" s="77">
        <v>0</v>
      </c>
      <c r="R271" s="77">
        <v>0</v>
      </c>
      <c r="S271" s="77">
        <v>0</v>
      </c>
      <c r="T271" s="77">
        <f t="shared" si="166"/>
        <v>0</v>
      </c>
      <c r="U271" s="77">
        <f t="shared" si="167"/>
        <v>0</v>
      </c>
    </row>
    <row r="272" spans="1:21" ht="18.75" hidden="1" x14ac:dyDescent="0.25">
      <c r="A272" s="209"/>
      <c r="B272" s="381"/>
      <c r="C272" s="381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73">
        <f ca="1">IFERROR(__xludf.DUMMYFUNCTION("IMPORTRANGE(""https://docs.google.com/spreadsheets/d/1-uDff_7J0KD5mKrp0Vvzr7lt3OU09vwQwhkpOPPYv2Y/edit?usp=sharing"",""งบพรบ!DE62"")"),0)</f>
        <v>0</v>
      </c>
      <c r="M272" s="74">
        <f ca="1">IFERROR(__xludf.DUMMYFUNCTION("IMPORTRANGE(""https://docs.google.com/spreadsheets/d/1-uDff_7J0KD5mKrp0Vvzr7lt3OU09vwQwhkpOPPYv2Y/edit?usp=sharing"",""งบพรบ!DJ62"")"),5000)</f>
        <v>5000</v>
      </c>
      <c r="N272" s="74">
        <f ca="1">IFERROR(__xludf.DUMMYFUNCTION("IMPORTRANGE(""https://docs.google.com/spreadsheets/d/1-uDff_7J0KD5mKrp0Vvzr7lt3OU09vwQwhkpOPPYv2Y/edit?usp=sharing"",""งบพรบ!DL62"")"),0)</f>
        <v>0</v>
      </c>
      <c r="O272" s="74">
        <f t="shared" ca="1" si="163"/>
        <v>0</v>
      </c>
      <c r="P272" s="74">
        <f t="shared" ca="1" si="164"/>
        <v>0</v>
      </c>
      <c r="Q272" s="74">
        <f ca="1">IFERROR(__xludf.DUMMYFUNCTION("IMPORTRANGE(""https://docs.google.com/spreadsheets/d/1ItG2mGa2ceCfYo0BwxsXqNm01IGEUdYcSSLTEv9YCik/edit?usp=sharing"",""เบิกจ่ายกองทุน!AJ62"")"),50660)</f>
        <v>50660</v>
      </c>
      <c r="R272" s="74">
        <f ca="1">IFERROR(__xludf.DUMMYFUNCTION("IMPORTRANGE(""https://docs.google.com/spreadsheets/d/1ItG2mGa2ceCfYo0BwxsXqNm01IGEUdYcSSLTEv9YCik/edit?usp=sharing"",""เบิกจ่ายกองทุน!AK62"")"),50660)</f>
        <v>50660</v>
      </c>
      <c r="S272" s="74">
        <f ca="1">IFERROR(__xludf.DUMMYFUNCTION("IMPORTRANGE(""https://docs.google.com/spreadsheets/d/1ItG2mGa2ceCfYo0BwxsXqNm01IGEUdYcSSLTEv9YCik/edit?usp=sharing"",""เบิกจ่ายกองทุน!AL62"")"),0)</f>
        <v>0</v>
      </c>
      <c r="T272" s="74">
        <f t="shared" ca="1" si="166"/>
        <v>0</v>
      </c>
      <c r="U272" s="74">
        <f t="shared" ca="1" si="167"/>
        <v>0</v>
      </c>
    </row>
    <row r="273" spans="1:21" ht="18.75" x14ac:dyDescent="0.25">
      <c r="A273" s="209"/>
      <c r="B273" s="381"/>
      <c r="C273" s="381"/>
      <c r="D273" s="1141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73">
        <f t="shared" ref="L273:N273" ca="1" si="172">L274+L275</f>
        <v>0</v>
      </c>
      <c r="M273" s="74">
        <f t="shared" ca="1" si="172"/>
        <v>0</v>
      </c>
      <c r="N273" s="74">
        <f t="shared" ca="1" si="172"/>
        <v>0</v>
      </c>
      <c r="O273" s="74">
        <f t="shared" ca="1" si="163"/>
        <v>0</v>
      </c>
      <c r="P273" s="74">
        <f t="shared" ca="1" si="164"/>
        <v>0</v>
      </c>
      <c r="Q273" s="74">
        <f t="shared" ref="Q273:S273" si="173">Q274+Q275</f>
        <v>0</v>
      </c>
      <c r="R273" s="74">
        <f t="shared" si="173"/>
        <v>0</v>
      </c>
      <c r="S273" s="74">
        <f t="shared" si="173"/>
        <v>0</v>
      </c>
      <c r="T273" s="74">
        <f t="shared" si="166"/>
        <v>0</v>
      </c>
      <c r="U273" s="74">
        <f t="shared" si="167"/>
        <v>0</v>
      </c>
    </row>
    <row r="274" spans="1:21" ht="18.75" hidden="1" x14ac:dyDescent="0.25">
      <c r="A274" s="880"/>
      <c r="B274" s="838"/>
      <c r="C274" s="920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77">
        <f t="shared" si="163"/>
        <v>0</v>
      </c>
      <c r="P274" s="77">
        <f t="shared" si="164"/>
        <v>0</v>
      </c>
      <c r="Q274" s="77">
        <v>0</v>
      </c>
      <c r="R274" s="77">
        <v>0</v>
      </c>
      <c r="S274" s="77">
        <v>0</v>
      </c>
      <c r="T274" s="77">
        <f t="shared" si="166"/>
        <v>0</v>
      </c>
      <c r="U274" s="77">
        <f t="shared" si="167"/>
        <v>0</v>
      </c>
    </row>
    <row r="275" spans="1:21" ht="18.75" hidden="1" x14ac:dyDescent="0.25">
      <c r="A275" s="209"/>
      <c r="B275" s="67"/>
      <c r="C275" s="67"/>
      <c r="D275" s="381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73">
        <f ca="1">IFERROR(__xludf.DUMMYFUNCTION("IMPORTRANGE(""https://docs.google.com/spreadsheets/d/1-uDff_7J0KD5mKrp0Vvzr7lt3OU09vwQwhkpOPPYv2Y/edit?usp=sharing"",""งบพรบ!DH62"")"),0)</f>
        <v>0</v>
      </c>
      <c r="M275" s="74">
        <f ca="1">IFERROR(__xludf.DUMMYFUNCTION("IMPORTRANGE(""https://docs.google.com/spreadsheets/d/1-uDff_7J0KD5mKrp0Vvzr7lt3OU09vwQwhkpOPPYv2Y/edit?usp=sharing"",""งบพรบ!DK62"")"),0)</f>
        <v>0</v>
      </c>
      <c r="N275" s="74">
        <f ca="1">IFERROR(__xludf.DUMMYFUNCTION("IMPORTRANGE(""https://docs.google.com/spreadsheets/d/1-uDff_7J0KD5mKrp0Vvzr7lt3OU09vwQwhkpOPPYv2Y/edit?usp=sharing"",""งบพรบ!DM62"")"),0)</f>
        <v>0</v>
      </c>
      <c r="O275" s="74">
        <f t="shared" ca="1" si="163"/>
        <v>0</v>
      </c>
      <c r="P275" s="74">
        <f t="shared" ca="1" si="164"/>
        <v>0</v>
      </c>
      <c r="Q275" s="74">
        <v>0</v>
      </c>
      <c r="R275" s="74">
        <v>0</v>
      </c>
      <c r="S275" s="74">
        <v>0</v>
      </c>
      <c r="T275" s="74">
        <f t="shared" si="166"/>
        <v>0</v>
      </c>
      <c r="U275" s="74">
        <f t="shared" si="167"/>
        <v>0</v>
      </c>
    </row>
    <row r="276" spans="1:21" ht="19.5" x14ac:dyDescent="0.3">
      <c r="A276" s="222"/>
      <c r="B276" s="223"/>
      <c r="C276" s="440" t="s">
        <v>18</v>
      </c>
      <c r="D276" s="1142" t="s">
        <v>38</v>
      </c>
      <c r="E276" s="225"/>
      <c r="F276" s="225"/>
      <c r="G276" s="226"/>
      <c r="H276" s="227"/>
      <c r="I276" s="219"/>
      <c r="J276" s="219"/>
      <c r="K276" s="220"/>
      <c r="L276" s="228"/>
      <c r="M276" s="229"/>
      <c r="N276" s="229"/>
      <c r="O276" s="229"/>
      <c r="P276" s="229"/>
      <c r="Q276" s="229"/>
      <c r="R276" s="229"/>
      <c r="S276" s="229"/>
      <c r="T276" s="229"/>
      <c r="U276" s="229"/>
    </row>
    <row r="277" spans="1:21" ht="18.75" x14ac:dyDescent="0.25">
      <c r="A277" s="949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IFERROR(__xludf.DUMMYFUNCTION("IMPORTRANGE(""https://docs.google.com/spreadsheets/d/1eHaY18a8A9IcSdp1K8H6x8fbOy06t2VsZHhMHf-1x7Y/edit?usp=sharing"",""แผน!EC62"")"),22)</f>
        <v>22</v>
      </c>
      <c r="J277" s="908">
        <v>0</v>
      </c>
      <c r="K277" s="85">
        <f ca="1">IF(I277&gt;0,J277*100/I277,0)</f>
        <v>0</v>
      </c>
      <c r="L277" s="86"/>
      <c r="M277" s="87"/>
      <c r="N277" s="87"/>
      <c r="O277" s="87"/>
      <c r="P277" s="87"/>
      <c r="Q277" s="87"/>
      <c r="R277" s="87"/>
      <c r="S277" s="87"/>
      <c r="T277" s="87"/>
      <c r="U277" s="87"/>
    </row>
    <row r="278" spans="1:21" ht="18.75" hidden="1" x14ac:dyDescent="0.25">
      <c r="A278" s="755"/>
      <c r="B278" s="757"/>
      <c r="C278" s="757"/>
      <c r="D278" s="1145" t="s">
        <v>116</v>
      </c>
      <c r="E278" s="758"/>
      <c r="F278" s="758"/>
      <c r="G278" s="759"/>
      <c r="H278" s="1146" t="s">
        <v>35</v>
      </c>
      <c r="I278" s="779">
        <v>0</v>
      </c>
      <c r="J278" s="779">
        <v>0</v>
      </c>
      <c r="K278" s="1147">
        <v>0</v>
      </c>
      <c r="L278" s="459"/>
      <c r="M278" s="460"/>
      <c r="N278" s="460"/>
      <c r="O278" s="460"/>
      <c r="P278" s="460"/>
      <c r="Q278" s="460"/>
      <c r="R278" s="460"/>
      <c r="S278" s="460"/>
      <c r="T278" s="460"/>
      <c r="U278" s="46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49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4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162" t="s">
        <v>35</v>
      </c>
      <c r="I281" s="1163">
        <f t="shared" ref="I281:J281" ca="1" si="174">I294</f>
        <v>0</v>
      </c>
      <c r="J281" s="1163">
        <f t="shared" si="174"/>
        <v>0</v>
      </c>
      <c r="K281" s="1164">
        <f t="shared" ref="K281:K282" ca="1" si="175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162" t="s">
        <v>46</v>
      </c>
      <c r="I282" s="1163">
        <f t="shared" ref="I282:J282" ca="1" si="176">I293</f>
        <v>0</v>
      </c>
      <c r="J282" s="1163">
        <f t="shared" si="176"/>
        <v>0</v>
      </c>
      <c r="K282" s="1164">
        <f t="shared" ca="1" si="175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1257">
        <f t="shared" ref="L283:N283" ca="1" si="177">L284+L285</f>
        <v>0</v>
      </c>
      <c r="M283" s="264">
        <f t="shared" ca="1" si="177"/>
        <v>0</v>
      </c>
      <c r="N283" s="264">
        <f t="shared" ca="1" si="177"/>
        <v>0</v>
      </c>
      <c r="O283" s="264">
        <f t="shared" ref="O283:O291" ca="1" si="178">IF(L283&gt;0,N283*100/L283,0)</f>
        <v>0</v>
      </c>
      <c r="P283" s="264">
        <f t="shared" ref="P283:P291" ca="1" si="179">IF(M283&gt;0,N283*100/M283,0)</f>
        <v>0</v>
      </c>
      <c r="Q283" s="264">
        <f t="shared" ref="Q283:S283" si="180">Q284+Q285</f>
        <v>0</v>
      </c>
      <c r="R283" s="264">
        <f t="shared" si="180"/>
        <v>0</v>
      </c>
      <c r="S283" s="264">
        <f t="shared" si="180"/>
        <v>0</v>
      </c>
      <c r="T283" s="264">
        <f t="shared" ref="T283:T291" si="181">IF(Q283&gt;0,S283*100/Q283,0)</f>
        <v>0</v>
      </c>
      <c r="U283" s="264">
        <f t="shared" ref="U283:U291" si="182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6">
        <f t="shared" ref="L284:N285" si="183">L287+L290</f>
        <v>0</v>
      </c>
      <c r="M284" s="77">
        <f t="shared" si="183"/>
        <v>0</v>
      </c>
      <c r="N284" s="77">
        <f t="shared" si="183"/>
        <v>0</v>
      </c>
      <c r="O284" s="77">
        <f t="shared" si="178"/>
        <v>0</v>
      </c>
      <c r="P284" s="77">
        <f t="shared" si="179"/>
        <v>0</v>
      </c>
      <c r="Q284" s="77">
        <f t="shared" ref="Q284:S285" si="184">Q287+Q290</f>
        <v>0</v>
      </c>
      <c r="R284" s="77">
        <f t="shared" si="184"/>
        <v>0</v>
      </c>
      <c r="S284" s="77">
        <f t="shared" si="184"/>
        <v>0</v>
      </c>
      <c r="T284" s="77">
        <f t="shared" si="181"/>
        <v>0</v>
      </c>
      <c r="U284" s="77">
        <f t="shared" si="182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3">
        <f t="shared" ca="1" si="183"/>
        <v>0</v>
      </c>
      <c r="M285" s="74">
        <f t="shared" ca="1" si="183"/>
        <v>0</v>
      </c>
      <c r="N285" s="74">
        <f t="shared" ca="1" si="183"/>
        <v>0</v>
      </c>
      <c r="O285" s="74">
        <f t="shared" ca="1" si="178"/>
        <v>0</v>
      </c>
      <c r="P285" s="74">
        <f t="shared" ca="1" si="179"/>
        <v>0</v>
      </c>
      <c r="Q285" s="74">
        <f t="shared" si="184"/>
        <v>0</v>
      </c>
      <c r="R285" s="74">
        <f t="shared" si="184"/>
        <v>0</v>
      </c>
      <c r="S285" s="74">
        <f t="shared" si="184"/>
        <v>0</v>
      </c>
      <c r="T285" s="74">
        <f t="shared" si="181"/>
        <v>0</v>
      </c>
      <c r="U285" s="74">
        <f t="shared" si="182"/>
        <v>0</v>
      </c>
    </row>
    <row r="286" spans="1:21" ht="18.75" hidden="1" x14ac:dyDescent="0.25">
      <c r="A286" s="257"/>
      <c r="B286" s="269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3">
        <f t="shared" ref="L286:N286" ca="1" si="185">L287+L288</f>
        <v>0</v>
      </c>
      <c r="M286" s="74">
        <f t="shared" ca="1" si="185"/>
        <v>0</v>
      </c>
      <c r="N286" s="74">
        <f t="shared" ca="1" si="185"/>
        <v>0</v>
      </c>
      <c r="O286" s="74">
        <f t="shared" ca="1" si="178"/>
        <v>0</v>
      </c>
      <c r="P286" s="74">
        <f t="shared" ca="1" si="179"/>
        <v>0</v>
      </c>
      <c r="Q286" s="74">
        <f t="shared" ref="Q286:S286" si="186">Q287+Q288</f>
        <v>0</v>
      </c>
      <c r="R286" s="74">
        <f t="shared" si="186"/>
        <v>0</v>
      </c>
      <c r="S286" s="74">
        <f t="shared" si="186"/>
        <v>0</v>
      </c>
      <c r="T286" s="74">
        <f t="shared" si="181"/>
        <v>0</v>
      </c>
      <c r="U286" s="74">
        <f t="shared" si="182"/>
        <v>0</v>
      </c>
    </row>
    <row r="287" spans="1:21" ht="18.75" hidden="1" x14ac:dyDescent="0.25">
      <c r="A287" s="257"/>
      <c r="B287" s="269"/>
      <c r="C287" s="269"/>
      <c r="D287" s="258"/>
      <c r="E287" s="77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77">
        <f t="shared" si="178"/>
        <v>0</v>
      </c>
      <c r="P287" s="77">
        <f t="shared" si="179"/>
        <v>0</v>
      </c>
      <c r="Q287" s="77">
        <v>0</v>
      </c>
      <c r="R287" s="77">
        <v>0</v>
      </c>
      <c r="S287" s="77">
        <v>0</v>
      </c>
      <c r="T287" s="77">
        <f t="shared" si="181"/>
        <v>0</v>
      </c>
      <c r="U287" s="77">
        <f t="shared" si="182"/>
        <v>0</v>
      </c>
    </row>
    <row r="288" spans="1:21" ht="18.75" hidden="1" x14ac:dyDescent="0.25">
      <c r="A288" s="257"/>
      <c r="B288" s="269"/>
      <c r="C288" s="269"/>
      <c r="D288" s="258"/>
      <c r="E288" s="749" t="s">
        <v>37</v>
      </c>
      <c r="F288" s="258"/>
      <c r="G288" s="261"/>
      <c r="H288" s="271" t="s">
        <v>14</v>
      </c>
      <c r="I288" s="272"/>
      <c r="J288" s="272"/>
      <c r="K288" s="229"/>
      <c r="L288" s="73">
        <f ca="1">IFERROR(__xludf.DUMMYFUNCTION("IMPORTRANGE(""https://docs.google.com/spreadsheets/d/1-uDff_7J0KD5mKrp0Vvzr7lt3OU09vwQwhkpOPPYv2Y/edit?usp=sharing"",""งบพรบ!DO62"")"),0)</f>
        <v>0</v>
      </c>
      <c r="M288" s="74">
        <f ca="1">IFERROR(__xludf.DUMMYFUNCTION("IMPORTRANGE(""https://docs.google.com/spreadsheets/d/1-uDff_7J0KD5mKrp0Vvzr7lt3OU09vwQwhkpOPPYv2Y/edit?usp=sharing"",""งบพรบ!DT62"")"),0)</f>
        <v>0</v>
      </c>
      <c r="N288" s="74">
        <f ca="1">IFERROR(__xludf.DUMMYFUNCTION("IMPORTRANGE(""https://docs.google.com/spreadsheets/d/1-uDff_7J0KD5mKrp0Vvzr7lt3OU09vwQwhkpOPPYv2Y/edit?usp=sharing"",""งบพรบ!DV62"")"),0)</f>
        <v>0</v>
      </c>
      <c r="O288" s="74">
        <f t="shared" ca="1" si="178"/>
        <v>0</v>
      </c>
      <c r="P288" s="74">
        <f t="shared" ca="1" si="179"/>
        <v>0</v>
      </c>
      <c r="Q288" s="74">
        <v>0</v>
      </c>
      <c r="R288" s="74">
        <v>0</v>
      </c>
      <c r="S288" s="74">
        <v>0</v>
      </c>
      <c r="T288" s="77">
        <f t="shared" si="181"/>
        <v>0</v>
      </c>
      <c r="U288" s="77">
        <f t="shared" si="182"/>
        <v>0</v>
      </c>
    </row>
    <row r="289" spans="1:21" ht="18.75" hidden="1" x14ac:dyDescent="0.25">
      <c r="A289" s="257"/>
      <c r="B289" s="269"/>
      <c r="C289" s="269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3">
        <f t="shared" ref="L289:N289" ca="1" si="187">L290+L291</f>
        <v>0</v>
      </c>
      <c r="M289" s="74">
        <f t="shared" ca="1" si="187"/>
        <v>0</v>
      </c>
      <c r="N289" s="74">
        <f t="shared" ca="1" si="187"/>
        <v>0</v>
      </c>
      <c r="O289" s="74">
        <f t="shared" ca="1" si="178"/>
        <v>0</v>
      </c>
      <c r="P289" s="74">
        <f t="shared" ca="1" si="179"/>
        <v>0</v>
      </c>
      <c r="Q289" s="74">
        <f t="shared" ref="Q289:S289" si="188">Q290+Q291</f>
        <v>0</v>
      </c>
      <c r="R289" s="74">
        <f t="shared" si="188"/>
        <v>0</v>
      </c>
      <c r="S289" s="74">
        <f t="shared" si="188"/>
        <v>0</v>
      </c>
      <c r="T289" s="74">
        <f t="shared" si="181"/>
        <v>0</v>
      </c>
      <c r="U289" s="74">
        <f t="shared" si="182"/>
        <v>0</v>
      </c>
    </row>
    <row r="290" spans="1:21" ht="18.75" hidden="1" x14ac:dyDescent="0.25">
      <c r="A290" s="257"/>
      <c r="B290" s="269"/>
      <c r="C290" s="269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77">
        <f t="shared" si="178"/>
        <v>0</v>
      </c>
      <c r="P290" s="77">
        <f t="shared" si="179"/>
        <v>0</v>
      </c>
      <c r="Q290" s="77">
        <v>0</v>
      </c>
      <c r="R290" s="77">
        <v>0</v>
      </c>
      <c r="S290" s="77">
        <v>0</v>
      </c>
      <c r="T290" s="77">
        <f t="shared" si="181"/>
        <v>0</v>
      </c>
      <c r="U290" s="77">
        <f t="shared" si="182"/>
        <v>0</v>
      </c>
    </row>
    <row r="291" spans="1:21" ht="18.75" hidden="1" x14ac:dyDescent="0.25">
      <c r="A291" s="257"/>
      <c r="B291" s="269"/>
      <c r="C291" s="269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3">
        <f ca="1">IFERROR(__xludf.DUMMYFUNCTION("IMPORTRANGE(""https://docs.google.com/spreadsheets/d/1-uDff_7J0KD5mKrp0Vvzr7lt3OU09vwQwhkpOPPYv2Y/edit?usp=sharing"",""งบพรบ!DR62"")"),0)</f>
        <v>0</v>
      </c>
      <c r="M291" s="74">
        <f ca="1">IFERROR(__xludf.DUMMYFUNCTION("IMPORTRANGE(""https://docs.google.com/spreadsheets/d/1-uDff_7J0KD5mKrp0Vvzr7lt3OU09vwQwhkpOPPYv2Y/edit?usp=sharing"",""งบพรบ!DU62"")"),0)</f>
        <v>0</v>
      </c>
      <c r="N291" s="74">
        <f ca="1">IFERROR(__xludf.DUMMYFUNCTION("IMPORTRANGE(""https://docs.google.com/spreadsheets/d/1-uDff_7J0KD5mKrp0Vvzr7lt3OU09vwQwhkpOPPYv2Y/edit?usp=sharing"",""งบพรบ!DW62"")"),0)</f>
        <v>0</v>
      </c>
      <c r="O291" s="74">
        <f t="shared" ca="1" si="178"/>
        <v>0</v>
      </c>
      <c r="P291" s="74">
        <f t="shared" ca="1" si="179"/>
        <v>0</v>
      </c>
      <c r="Q291" s="74">
        <v>0</v>
      </c>
      <c r="R291" s="74">
        <v>0</v>
      </c>
      <c r="S291" s="74">
        <v>0</v>
      </c>
      <c r="T291" s="74">
        <f t="shared" si="181"/>
        <v>0</v>
      </c>
      <c r="U291" s="74">
        <f t="shared" si="182"/>
        <v>0</v>
      </c>
    </row>
    <row r="292" spans="1:21" ht="19.5" hidden="1" x14ac:dyDescent="0.3">
      <c r="A292" s="276"/>
      <c r="B292" s="277"/>
      <c r="C292" s="621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IFERROR(__xludf.DUMMYFUNCTION("IMPORTRANGE(""https://docs.google.com/spreadsheets/d/1eHaY18a8A9IcSdp1K8H6x8fbOy06t2VsZHhMHf-1x7Y/edit?usp=sharing"",""แผน!EE62"")"),0)</f>
        <v>0</v>
      </c>
      <c r="J293" s="294">
        <v>0</v>
      </c>
      <c r="K293" s="768">
        <f t="shared" ref="K293:K294" ca="1" si="189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IFERROR(__xludf.DUMMYFUNCTION("IMPORTRANGE(""https://docs.google.com/spreadsheets/d/1eHaY18a8A9IcSdp1K8H6x8fbOy06t2VsZHhMHf-1x7Y/edit?usp=sharing"",""แผน!ED62"")"),0)</f>
        <v>0</v>
      </c>
      <c r="J294" s="622">
        <f>J297</f>
        <v>0</v>
      </c>
      <c r="K294" s="1105">
        <f t="shared" ca="1" si="189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77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IFERROR(__xludf.DUMMYFUNCTION("IMPORTRANGE(""https://docs.google.com/spreadsheets/d/1eHaY18a8A9IcSdp1K8H6x8fbOy06t2VsZHhMHf-1x7Y/edit?usp=sharing"",""แผน!ED62"")"),0)</f>
        <v>0</v>
      </c>
      <c r="J296" s="294">
        <v>0</v>
      </c>
      <c r="K296" s="768">
        <f t="shared" ref="K296:K297" ca="1" si="190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IFERROR(__xludf.DUMMYFUNCTION("IMPORTRANGE(""https://docs.google.com/spreadsheets/d/1eHaY18a8A9IcSdp1K8H6x8fbOy06t2VsZHhMHf-1x7Y/edit?usp=sharing"",""แผน!ED62"")"),0)</f>
        <v>0</v>
      </c>
      <c r="J297" s="294">
        <v>0</v>
      </c>
      <c r="K297" s="768">
        <f t="shared" ca="1" si="190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313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313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168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0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7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x14ac:dyDescent="0.3">
      <c r="A303" s="1179"/>
      <c r="B303" s="1180" t="s">
        <v>127</v>
      </c>
      <c r="C303" s="607"/>
      <c r="D303" s="607"/>
      <c r="E303" s="607"/>
      <c r="F303" s="607"/>
      <c r="G303" s="608"/>
      <c r="H303" s="609" t="s">
        <v>35</v>
      </c>
      <c r="I303" s="617">
        <f t="shared" ref="I303:J303" ca="1" si="191">I315</f>
        <v>25</v>
      </c>
      <c r="J303" s="617">
        <f t="shared" si="191"/>
        <v>0</v>
      </c>
      <c r="K303" s="611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1257">
        <f t="shared" ref="L304:N304" ca="1" si="192">L305+L306</f>
        <v>0</v>
      </c>
      <c r="M304" s="264">
        <f t="shared" ca="1" si="192"/>
        <v>0</v>
      </c>
      <c r="N304" s="264">
        <f t="shared" ca="1" si="192"/>
        <v>0</v>
      </c>
      <c r="O304" s="264">
        <f t="shared" ref="O304:O312" ca="1" si="193">IF(L304&gt;0,N304*100/L304,0)</f>
        <v>0</v>
      </c>
      <c r="P304" s="264">
        <f t="shared" ref="P304:P312" ca="1" si="194">IF(M304&gt;0,N304*100/M304,0)</f>
        <v>0</v>
      </c>
      <c r="Q304" s="264">
        <f t="shared" ref="Q304:S304" ca="1" si="195">Q305+Q306</f>
        <v>228095.39</v>
      </c>
      <c r="R304" s="264">
        <f t="shared" ca="1" si="195"/>
        <v>228095</v>
      </c>
      <c r="S304" s="264">
        <f t="shared" ca="1" si="195"/>
        <v>0</v>
      </c>
      <c r="T304" s="264">
        <f t="shared" ref="T304:T312" ca="1" si="196">IF(Q304&gt;0,S304*100/Q304,0)</f>
        <v>0</v>
      </c>
      <c r="U304" s="264">
        <f t="shared" ref="U304:U312" ca="1" si="197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6">
        <f t="shared" ref="L305:N306" si="198">L308+L311</f>
        <v>0</v>
      </c>
      <c r="M305" s="77">
        <f t="shared" si="198"/>
        <v>0</v>
      </c>
      <c r="N305" s="77">
        <f t="shared" si="198"/>
        <v>0</v>
      </c>
      <c r="O305" s="77">
        <f t="shared" si="193"/>
        <v>0</v>
      </c>
      <c r="P305" s="77">
        <f t="shared" si="194"/>
        <v>0</v>
      </c>
      <c r="Q305" s="77">
        <f t="shared" ref="Q305:S306" si="199">Q308+Q311</f>
        <v>0</v>
      </c>
      <c r="R305" s="77">
        <f t="shared" si="199"/>
        <v>0</v>
      </c>
      <c r="S305" s="77">
        <f t="shared" si="199"/>
        <v>0</v>
      </c>
      <c r="T305" s="77">
        <f t="shared" si="196"/>
        <v>0</v>
      </c>
      <c r="U305" s="77">
        <f t="shared" si="197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3">
        <f t="shared" ca="1" si="198"/>
        <v>0</v>
      </c>
      <c r="M306" s="74">
        <f t="shared" ca="1" si="198"/>
        <v>0</v>
      </c>
      <c r="N306" s="74">
        <f t="shared" ca="1" si="198"/>
        <v>0</v>
      </c>
      <c r="O306" s="74">
        <f t="shared" ca="1" si="193"/>
        <v>0</v>
      </c>
      <c r="P306" s="74">
        <f t="shared" ca="1" si="194"/>
        <v>0</v>
      </c>
      <c r="Q306" s="74">
        <f t="shared" ca="1" si="199"/>
        <v>228095.39</v>
      </c>
      <c r="R306" s="74">
        <f t="shared" ca="1" si="199"/>
        <v>228095</v>
      </c>
      <c r="S306" s="74">
        <f t="shared" ca="1" si="199"/>
        <v>0</v>
      </c>
      <c r="T306" s="74">
        <f t="shared" ca="1" si="196"/>
        <v>0</v>
      </c>
      <c r="U306" s="74">
        <f t="shared" ca="1" si="197"/>
        <v>0</v>
      </c>
    </row>
    <row r="307" spans="1:21" ht="18.75" x14ac:dyDescent="0.25">
      <c r="A307" s="257"/>
      <c r="B307" s="269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3">
        <f t="shared" ref="L307:N307" ca="1" si="200">L308+L309</f>
        <v>0</v>
      </c>
      <c r="M307" s="74">
        <f t="shared" ca="1" si="200"/>
        <v>0</v>
      </c>
      <c r="N307" s="74">
        <f t="shared" ca="1" si="200"/>
        <v>0</v>
      </c>
      <c r="O307" s="74">
        <f t="shared" ca="1" si="193"/>
        <v>0</v>
      </c>
      <c r="P307" s="74">
        <f t="shared" ca="1" si="194"/>
        <v>0</v>
      </c>
      <c r="Q307" s="74">
        <f t="shared" ref="Q307:S307" ca="1" si="201">Q308+Q309</f>
        <v>228095.39</v>
      </c>
      <c r="R307" s="74">
        <f t="shared" ca="1" si="201"/>
        <v>228095</v>
      </c>
      <c r="S307" s="74">
        <f t="shared" ca="1" si="201"/>
        <v>0</v>
      </c>
      <c r="T307" s="74">
        <f t="shared" ca="1" si="196"/>
        <v>0</v>
      </c>
      <c r="U307" s="74">
        <f t="shared" ca="1" si="197"/>
        <v>0</v>
      </c>
    </row>
    <row r="308" spans="1:21" ht="18.75" hidden="1" x14ac:dyDescent="0.25">
      <c r="A308" s="257"/>
      <c r="B308" s="269"/>
      <c r="C308" s="269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77">
        <f t="shared" si="193"/>
        <v>0</v>
      </c>
      <c r="P308" s="77">
        <f t="shared" si="194"/>
        <v>0</v>
      </c>
      <c r="Q308" s="77">
        <v>0</v>
      </c>
      <c r="R308" s="77">
        <v>0</v>
      </c>
      <c r="S308" s="77">
        <v>0</v>
      </c>
      <c r="T308" s="77">
        <f t="shared" si="196"/>
        <v>0</v>
      </c>
      <c r="U308" s="77">
        <f t="shared" si="197"/>
        <v>0</v>
      </c>
    </row>
    <row r="309" spans="1:21" ht="18.75" hidden="1" x14ac:dyDescent="0.25">
      <c r="A309" s="257"/>
      <c r="B309" s="269"/>
      <c r="C309" s="269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3">
        <f ca="1">IFERROR(__xludf.DUMMYFUNCTION("IMPORTRANGE(""https://docs.google.com/spreadsheets/d/1-uDff_7J0KD5mKrp0Vvzr7lt3OU09vwQwhkpOPPYv2Y/edit?usp=sharing"",""งบพรบ!DY62"")"),0)</f>
        <v>0</v>
      </c>
      <c r="M309" s="74">
        <f ca="1">IFERROR(__xludf.DUMMYFUNCTION("IMPORTRANGE(""https://docs.google.com/spreadsheets/d/1-uDff_7J0KD5mKrp0Vvzr7lt3OU09vwQwhkpOPPYv2Y/edit?usp=sharing"",""งบพรบ!ED62"")"),0)</f>
        <v>0</v>
      </c>
      <c r="N309" s="74">
        <f ca="1">IFERROR(__xludf.DUMMYFUNCTION("IMPORTRANGE(""https://docs.google.com/spreadsheets/d/1-uDff_7J0KD5mKrp0Vvzr7lt3OU09vwQwhkpOPPYv2Y/edit?usp=sharing"",""งบพรบ!EF62"")"),0)</f>
        <v>0</v>
      </c>
      <c r="O309" s="74">
        <f t="shared" ca="1" si="193"/>
        <v>0</v>
      </c>
      <c r="P309" s="74">
        <f t="shared" ca="1" si="194"/>
        <v>0</v>
      </c>
      <c r="Q309" s="74">
        <f ca="1">IFERROR(__xludf.DUMMYFUNCTION("IMPORTRANGE(""https://docs.google.com/spreadsheets/d/1ItG2mGa2ceCfYo0BwxsXqNm01IGEUdYcSSLTEv9YCik/edit?usp=sharing"",""เบิกจ่ายกองทุน!AP62"")"),228095.39)</f>
        <v>228095.39</v>
      </c>
      <c r="R309" s="74">
        <f ca="1">IFERROR(__xludf.DUMMYFUNCTION("IMPORTRANGE(""https://docs.google.com/spreadsheets/d/1ItG2mGa2ceCfYo0BwxsXqNm01IGEUdYcSSLTEv9YCik/edit?usp=sharing"",""เบิกจ่ายกองทุน!AQ62"")"),228095)</f>
        <v>228095</v>
      </c>
      <c r="S309" s="74">
        <f ca="1">IFERROR(__xludf.DUMMYFUNCTION("IMPORTRANGE(""https://docs.google.com/spreadsheets/d/1ItG2mGa2ceCfYo0BwxsXqNm01IGEUdYcSSLTEv9YCik/edit?usp=sharing"",""เบิกจ่ายกองทุน!AR62"")"),0)</f>
        <v>0</v>
      </c>
      <c r="T309" s="74">
        <f t="shared" ca="1" si="196"/>
        <v>0</v>
      </c>
      <c r="U309" s="74">
        <f t="shared" ca="1" si="197"/>
        <v>0</v>
      </c>
    </row>
    <row r="310" spans="1:21" ht="18.75" x14ac:dyDescent="0.25">
      <c r="A310" s="257"/>
      <c r="B310" s="269"/>
      <c r="C310" s="269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3">
        <f t="shared" ref="L310:N310" ca="1" si="202">L311+L312</f>
        <v>0</v>
      </c>
      <c r="M310" s="74">
        <f t="shared" ca="1" si="202"/>
        <v>0</v>
      </c>
      <c r="N310" s="74">
        <f t="shared" ca="1" si="202"/>
        <v>0</v>
      </c>
      <c r="O310" s="74">
        <f t="shared" ca="1" si="193"/>
        <v>0</v>
      </c>
      <c r="P310" s="74">
        <f t="shared" ca="1" si="194"/>
        <v>0</v>
      </c>
      <c r="Q310" s="74">
        <f t="shared" ref="Q310:S310" si="203">Q311+Q312</f>
        <v>0</v>
      </c>
      <c r="R310" s="74">
        <f t="shared" si="203"/>
        <v>0</v>
      </c>
      <c r="S310" s="74">
        <f t="shared" si="203"/>
        <v>0</v>
      </c>
      <c r="T310" s="74">
        <f t="shared" si="196"/>
        <v>0</v>
      </c>
      <c r="U310" s="74">
        <f t="shared" si="197"/>
        <v>0</v>
      </c>
    </row>
    <row r="311" spans="1:21" ht="18.75" hidden="1" x14ac:dyDescent="0.25">
      <c r="A311" s="257"/>
      <c r="B311" s="269"/>
      <c r="C311" s="269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77">
        <f t="shared" si="193"/>
        <v>0</v>
      </c>
      <c r="P311" s="77">
        <f t="shared" si="194"/>
        <v>0</v>
      </c>
      <c r="Q311" s="77">
        <v>0</v>
      </c>
      <c r="R311" s="77">
        <v>0</v>
      </c>
      <c r="S311" s="77">
        <v>0</v>
      </c>
      <c r="T311" s="77">
        <f t="shared" si="196"/>
        <v>0</v>
      </c>
      <c r="U311" s="77">
        <f t="shared" si="197"/>
        <v>0</v>
      </c>
    </row>
    <row r="312" spans="1:21" ht="18.75" hidden="1" x14ac:dyDescent="0.25">
      <c r="A312" s="257"/>
      <c r="B312" s="269"/>
      <c r="C312" s="269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3">
        <f ca="1">IFERROR(__xludf.DUMMYFUNCTION("IMPORTRANGE(""https://docs.google.com/spreadsheets/d/1-uDff_7J0KD5mKrp0Vvzr7lt3OU09vwQwhkpOPPYv2Y/edit?usp=sharing"",""งบพรบ!EB62"")"),0)</f>
        <v>0</v>
      </c>
      <c r="M312" s="74">
        <f ca="1">IFERROR(__xludf.DUMMYFUNCTION("IMPORTRANGE(""https://docs.google.com/spreadsheets/d/1-uDff_7J0KD5mKrp0Vvzr7lt3OU09vwQwhkpOPPYv2Y/edit?usp=sharing"",""งบพรบ!EE62"")"),0)</f>
        <v>0</v>
      </c>
      <c r="N312" s="74">
        <f ca="1">IFERROR(__xludf.DUMMYFUNCTION("IMPORTRANGE(""https://docs.google.com/spreadsheets/d/1-uDff_7J0KD5mKrp0Vvzr7lt3OU09vwQwhkpOPPYv2Y/edit?usp=sharing"",""งบพรบ!EG62"")"),0)</f>
        <v>0</v>
      </c>
      <c r="O312" s="74">
        <f t="shared" ca="1" si="193"/>
        <v>0</v>
      </c>
      <c r="P312" s="74">
        <f t="shared" ca="1" si="194"/>
        <v>0</v>
      </c>
      <c r="Q312" s="74">
        <v>0</v>
      </c>
      <c r="R312" s="74">
        <v>0</v>
      </c>
      <c r="S312" s="74">
        <v>0</v>
      </c>
      <c r="T312" s="74">
        <f t="shared" si="196"/>
        <v>0</v>
      </c>
      <c r="U312" s="74">
        <f t="shared" si="197"/>
        <v>0</v>
      </c>
    </row>
    <row r="313" spans="1:21" ht="19.5" x14ac:dyDescent="0.3">
      <c r="A313" s="276"/>
      <c r="B313" s="277"/>
      <c r="C313" s="621" t="s">
        <v>18</v>
      </c>
      <c r="D313" s="1019" t="s">
        <v>38</v>
      </c>
      <c r="E313" s="783"/>
      <c r="F313" s="783"/>
      <c r="G313" s="11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9.5" hidden="1" x14ac:dyDescent="0.3">
      <c r="A314" s="1288"/>
      <c r="B314" s="1289"/>
      <c r="C314" s="1289"/>
      <c r="D314" s="1290"/>
      <c r="E314" s="1291"/>
      <c r="F314" s="1291"/>
      <c r="G314" s="1292"/>
      <c r="H314" s="1292"/>
      <c r="I314" s="1293"/>
      <c r="J314" s="1294"/>
      <c r="K314" s="1295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x14ac:dyDescent="0.25">
      <c r="A315" s="276"/>
      <c r="B315" s="277"/>
      <c r="C315" s="277"/>
      <c r="D315" s="295" t="s">
        <v>121</v>
      </c>
      <c r="E315" s="296"/>
      <c r="F315" s="296"/>
      <c r="G315" s="282"/>
      <c r="H315" s="275" t="s">
        <v>35</v>
      </c>
      <c r="I315" s="293">
        <f ca="1">IFERROR(__xludf.DUMMYFUNCTION("IMPORTRANGE(""https://docs.google.com/spreadsheets/d/1eHaY18a8A9IcSdp1K8H6x8fbOy06t2VsZHhMHf-1x7Y/edit?usp=sharing"",""แผน!EF62"")"),25)</f>
        <v>25</v>
      </c>
      <c r="J315" s="294">
        <v>0</v>
      </c>
      <c r="K315" s="74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254"/>
      <c r="I316" s="1252"/>
      <c r="J316" s="1252"/>
      <c r="K316" s="1255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254"/>
      <c r="I317" s="1252"/>
      <c r="J317" s="1252"/>
      <c r="K317" s="1255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283"/>
      <c r="B318" s="284"/>
      <c r="C318" s="284"/>
      <c r="D318" s="812"/>
      <c r="E318" s="285"/>
      <c r="F318" s="285"/>
      <c r="G318" s="286"/>
      <c r="H318" s="1256"/>
      <c r="I318" s="887"/>
      <c r="J318" s="887"/>
      <c r="K318" s="888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4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609" t="s">
        <v>133</v>
      </c>
      <c r="I320" s="617">
        <f t="shared" ref="I320:J320" ca="1" si="204">I331</f>
        <v>0</v>
      </c>
      <c r="J320" s="617">
        <f t="shared" si="204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1257">
        <f t="shared" ref="L321:N321" ca="1" si="205">L322+L323</f>
        <v>0</v>
      </c>
      <c r="M321" s="264">
        <f t="shared" ca="1" si="205"/>
        <v>0</v>
      </c>
      <c r="N321" s="264">
        <f t="shared" ca="1" si="205"/>
        <v>0</v>
      </c>
      <c r="O321" s="264">
        <f t="shared" ref="O321:O329" ca="1" si="206">IF(L321&gt;0,N321*100/L321,0)</f>
        <v>0</v>
      </c>
      <c r="P321" s="264">
        <f t="shared" ref="P321:P329" ca="1" si="207">IF(M321&gt;0,N321*100/M321,0)</f>
        <v>0</v>
      </c>
      <c r="Q321" s="264">
        <f t="shared" ref="Q321:S321" si="208">Q322+Q323</f>
        <v>0</v>
      </c>
      <c r="R321" s="264">
        <f t="shared" si="208"/>
        <v>0</v>
      </c>
      <c r="S321" s="264">
        <f t="shared" si="208"/>
        <v>0</v>
      </c>
      <c r="T321" s="264">
        <f t="shared" ref="T321:T329" si="209">IF(Q321&gt;0,S321*100/Q321,0)</f>
        <v>0</v>
      </c>
      <c r="U321" s="264">
        <f t="shared" ref="U321:U329" si="210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6">
        <f t="shared" ref="L322:N323" si="211">L325+L328</f>
        <v>0</v>
      </c>
      <c r="M322" s="77">
        <f t="shared" si="211"/>
        <v>0</v>
      </c>
      <c r="N322" s="77">
        <f t="shared" si="211"/>
        <v>0</v>
      </c>
      <c r="O322" s="77">
        <f t="shared" si="206"/>
        <v>0</v>
      </c>
      <c r="P322" s="77">
        <f t="shared" si="207"/>
        <v>0</v>
      </c>
      <c r="Q322" s="77">
        <f t="shared" ref="Q322:S323" si="212">Q325+Q328</f>
        <v>0</v>
      </c>
      <c r="R322" s="77">
        <f t="shared" si="212"/>
        <v>0</v>
      </c>
      <c r="S322" s="77">
        <f t="shared" si="212"/>
        <v>0</v>
      </c>
      <c r="T322" s="77">
        <f t="shared" si="209"/>
        <v>0</v>
      </c>
      <c r="U322" s="77">
        <f t="shared" si="210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3">
        <f t="shared" ca="1" si="211"/>
        <v>0</v>
      </c>
      <c r="M323" s="74">
        <f t="shared" ca="1" si="211"/>
        <v>0</v>
      </c>
      <c r="N323" s="74">
        <f t="shared" ca="1" si="211"/>
        <v>0</v>
      </c>
      <c r="O323" s="74">
        <f t="shared" ca="1" si="206"/>
        <v>0</v>
      </c>
      <c r="P323" s="74">
        <f t="shared" ca="1" si="207"/>
        <v>0</v>
      </c>
      <c r="Q323" s="74">
        <f t="shared" si="212"/>
        <v>0</v>
      </c>
      <c r="R323" s="74">
        <f t="shared" si="212"/>
        <v>0</v>
      </c>
      <c r="S323" s="74">
        <f t="shared" si="212"/>
        <v>0</v>
      </c>
      <c r="T323" s="74">
        <f t="shared" si="209"/>
        <v>0</v>
      </c>
      <c r="U323" s="74">
        <f t="shared" si="210"/>
        <v>0</v>
      </c>
    </row>
    <row r="324" spans="1:21" ht="18.75" hidden="1" x14ac:dyDescent="0.25">
      <c r="A324" s="257"/>
      <c r="B324" s="269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3">
        <f t="shared" ref="L324:N324" ca="1" si="213">L325+L326</f>
        <v>0</v>
      </c>
      <c r="M324" s="74">
        <f t="shared" ca="1" si="213"/>
        <v>0</v>
      </c>
      <c r="N324" s="74">
        <f t="shared" ca="1" si="213"/>
        <v>0</v>
      </c>
      <c r="O324" s="74">
        <f t="shared" ca="1" si="206"/>
        <v>0</v>
      </c>
      <c r="P324" s="74">
        <f t="shared" ca="1" si="207"/>
        <v>0</v>
      </c>
      <c r="Q324" s="74">
        <f t="shared" ref="Q324:S324" si="214">Q325+Q326</f>
        <v>0</v>
      </c>
      <c r="R324" s="74">
        <f t="shared" si="214"/>
        <v>0</v>
      </c>
      <c r="S324" s="74">
        <f t="shared" si="214"/>
        <v>0</v>
      </c>
      <c r="T324" s="74">
        <f t="shared" si="209"/>
        <v>0</v>
      </c>
      <c r="U324" s="74">
        <f t="shared" si="210"/>
        <v>0</v>
      </c>
    </row>
    <row r="325" spans="1:21" ht="18.75" hidden="1" x14ac:dyDescent="0.25">
      <c r="A325" s="257"/>
      <c r="B325" s="269"/>
      <c r="C325" s="269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77">
        <f t="shared" si="206"/>
        <v>0</v>
      </c>
      <c r="P325" s="77">
        <f t="shared" si="207"/>
        <v>0</v>
      </c>
      <c r="Q325" s="77">
        <v>0</v>
      </c>
      <c r="R325" s="77">
        <v>0</v>
      </c>
      <c r="S325" s="77">
        <v>0</v>
      </c>
      <c r="T325" s="77">
        <f t="shared" si="209"/>
        <v>0</v>
      </c>
      <c r="U325" s="77">
        <f t="shared" si="210"/>
        <v>0</v>
      </c>
    </row>
    <row r="326" spans="1:21" ht="18.75" hidden="1" x14ac:dyDescent="0.25">
      <c r="A326" s="257"/>
      <c r="B326" s="269"/>
      <c r="C326" s="269"/>
      <c r="D326" s="258"/>
      <c r="E326" s="749" t="s">
        <v>37</v>
      </c>
      <c r="F326" s="269"/>
      <c r="G326" s="312"/>
      <c r="H326" s="271" t="s">
        <v>14</v>
      </c>
      <c r="I326" s="272"/>
      <c r="J326" s="272"/>
      <c r="K326" s="229"/>
      <c r="L326" s="73">
        <f ca="1">IFERROR(__xludf.DUMMYFUNCTION("IMPORTRANGE(""https://docs.google.com/spreadsheets/d/1-uDff_7J0KD5mKrp0Vvzr7lt3OU09vwQwhkpOPPYv2Y/edit?usp=sharing"",""งบพรบ!EI62"")"),0)</f>
        <v>0</v>
      </c>
      <c r="M326" s="74">
        <f ca="1">IFERROR(__xludf.DUMMYFUNCTION("IMPORTRANGE(""https://docs.google.com/spreadsheets/d/1-uDff_7J0KD5mKrp0Vvzr7lt3OU09vwQwhkpOPPYv2Y/edit?usp=sharing"",""งบพรบ!EN62"")"),0)</f>
        <v>0</v>
      </c>
      <c r="N326" s="74">
        <f ca="1">IFERROR(__xludf.DUMMYFUNCTION("IMPORTRANGE(""https://docs.google.com/spreadsheets/d/1-uDff_7J0KD5mKrp0Vvzr7lt3OU09vwQwhkpOPPYv2Y/edit?usp=sharing"",""งบพรบ!EP62"")"),0)</f>
        <v>0</v>
      </c>
      <c r="O326" s="74">
        <f t="shared" ca="1" si="206"/>
        <v>0</v>
      </c>
      <c r="P326" s="74">
        <f t="shared" ca="1" si="207"/>
        <v>0</v>
      </c>
      <c r="Q326" s="74">
        <v>0</v>
      </c>
      <c r="R326" s="74">
        <v>0</v>
      </c>
      <c r="S326" s="74">
        <v>0</v>
      </c>
      <c r="T326" s="74">
        <f t="shared" si="209"/>
        <v>0</v>
      </c>
      <c r="U326" s="74">
        <f t="shared" si="210"/>
        <v>0</v>
      </c>
    </row>
    <row r="327" spans="1:21" ht="18.75" hidden="1" x14ac:dyDescent="0.25">
      <c r="A327" s="257"/>
      <c r="B327" s="258"/>
      <c r="C327" s="269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3">
        <f t="shared" ref="L327:N327" ca="1" si="215">L328+L329</f>
        <v>0</v>
      </c>
      <c r="M327" s="74">
        <f t="shared" ca="1" si="215"/>
        <v>0</v>
      </c>
      <c r="N327" s="74">
        <f t="shared" ca="1" si="215"/>
        <v>0</v>
      </c>
      <c r="O327" s="74">
        <f t="shared" ca="1" si="206"/>
        <v>0</v>
      </c>
      <c r="P327" s="74">
        <f t="shared" ca="1" si="207"/>
        <v>0</v>
      </c>
      <c r="Q327" s="74">
        <f t="shared" ref="Q327:S327" si="216">Q328+Q329</f>
        <v>0</v>
      </c>
      <c r="R327" s="74">
        <f t="shared" si="216"/>
        <v>0</v>
      </c>
      <c r="S327" s="74">
        <f t="shared" si="216"/>
        <v>0</v>
      </c>
      <c r="T327" s="74">
        <f t="shared" si="209"/>
        <v>0</v>
      </c>
      <c r="U327" s="74">
        <f t="shared" si="210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77">
        <f t="shared" si="206"/>
        <v>0</v>
      </c>
      <c r="P328" s="77">
        <f t="shared" si="207"/>
        <v>0</v>
      </c>
      <c r="Q328" s="77">
        <v>0</v>
      </c>
      <c r="R328" s="77">
        <v>0</v>
      </c>
      <c r="S328" s="77">
        <v>0</v>
      </c>
      <c r="T328" s="77">
        <f t="shared" si="209"/>
        <v>0</v>
      </c>
      <c r="U328" s="77">
        <f t="shared" si="210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3">
        <f ca="1">IFERROR(__xludf.DUMMYFUNCTION("IMPORTRANGE(""https://docs.google.com/spreadsheets/d/1-uDff_7J0KD5mKrp0Vvzr7lt3OU09vwQwhkpOPPYv2Y/edit?usp=sharing"",""งบพรบ!EL62"")"),0)</f>
        <v>0</v>
      </c>
      <c r="M329" s="74">
        <f ca="1">IFERROR(__xludf.DUMMYFUNCTION("IMPORTRANGE(""https://docs.google.com/spreadsheets/d/1-uDff_7J0KD5mKrp0Vvzr7lt3OU09vwQwhkpOPPYv2Y/edit?usp=sharing"",""งบพรบ!EO62"")"),0)</f>
        <v>0</v>
      </c>
      <c r="N329" s="74">
        <f ca="1">IFERROR(__xludf.DUMMYFUNCTION("IMPORTRANGE(""https://docs.google.com/spreadsheets/d/1-uDff_7J0KD5mKrp0Vvzr7lt3OU09vwQwhkpOPPYv2Y/edit?usp=sharing"",""งบพรบ!EQ62"")"),0)</f>
        <v>0</v>
      </c>
      <c r="O329" s="74">
        <f t="shared" ca="1" si="206"/>
        <v>0</v>
      </c>
      <c r="P329" s="74">
        <f t="shared" ca="1" si="207"/>
        <v>0</v>
      </c>
      <c r="Q329" s="74">
        <v>0</v>
      </c>
      <c r="R329" s="74">
        <v>0</v>
      </c>
      <c r="S329" s="74">
        <v>0</v>
      </c>
      <c r="T329" s="74">
        <f t="shared" si="209"/>
        <v>0</v>
      </c>
      <c r="U329" s="74">
        <f t="shared" si="210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310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68" t="s">
        <v>133</v>
      </c>
      <c r="I331" s="293">
        <f ca="1">IFERROR(__xludf.DUMMYFUNCTION("IMPORTRANGE(""https://docs.google.com/spreadsheets/d/1eHaY18a8A9IcSdp1K8H6x8fbOy06t2VsZHhMHf-1x7Y/edit?usp=sharing"",""แผน!EJ62"")"),0)</f>
        <v>0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4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609" t="s">
        <v>35</v>
      </c>
      <c r="I333" s="534">
        <f ca="1">I345</f>
        <v>540</v>
      </c>
      <c r="J333" s="535">
        <f ca="1">J345+J348+J349+J350+J354</f>
        <v>1057</v>
      </c>
      <c r="K333" s="536">
        <f ca="1">IF(I333&gt;0,J333*100/I333,0)</f>
        <v>195.74074074074073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1257">
        <f t="shared" ref="L334:N334" ca="1" si="217">L335+L336</f>
        <v>218600</v>
      </c>
      <c r="M334" s="264">
        <f t="shared" ca="1" si="217"/>
        <v>223600</v>
      </c>
      <c r="N334" s="264">
        <f t="shared" ca="1" si="217"/>
        <v>103443.55</v>
      </c>
      <c r="O334" s="264">
        <f t="shared" ref="O334:O342" ca="1" si="218">IF(L334&gt;0,N334*100/L334,0)</f>
        <v>47.320928636779506</v>
      </c>
      <c r="P334" s="264">
        <f t="shared" ref="P334:P342" ca="1" si="219">IF(M334&gt;0,N334*100/M334,0)</f>
        <v>46.262768336314849</v>
      </c>
      <c r="Q334" s="264">
        <f t="shared" ref="Q334:S334" si="220">Q335+Q336</f>
        <v>0</v>
      </c>
      <c r="R334" s="264">
        <f t="shared" si="220"/>
        <v>0</v>
      </c>
      <c r="S334" s="264">
        <f t="shared" si="220"/>
        <v>0</v>
      </c>
      <c r="T334" s="264">
        <f t="shared" ref="T334:T342" si="221">IF(Q334&gt;0,S334*100/Q334,0)</f>
        <v>0</v>
      </c>
      <c r="U334" s="264">
        <f t="shared" ref="U334:U342" si="222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6">
        <f t="shared" ref="L335:N336" si="223">L338+L341</f>
        <v>0</v>
      </c>
      <c r="M335" s="77">
        <f t="shared" si="223"/>
        <v>0</v>
      </c>
      <c r="N335" s="77">
        <f t="shared" si="223"/>
        <v>0</v>
      </c>
      <c r="O335" s="77">
        <f t="shared" si="218"/>
        <v>0</v>
      </c>
      <c r="P335" s="77">
        <f t="shared" si="219"/>
        <v>0</v>
      </c>
      <c r="Q335" s="77">
        <f t="shared" ref="Q335:S336" si="224">Q338+Q341</f>
        <v>0</v>
      </c>
      <c r="R335" s="77">
        <f t="shared" si="224"/>
        <v>0</v>
      </c>
      <c r="S335" s="77">
        <f t="shared" si="224"/>
        <v>0</v>
      </c>
      <c r="T335" s="77">
        <f t="shared" si="221"/>
        <v>0</v>
      </c>
      <c r="U335" s="77">
        <f t="shared" si="222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3">
        <f t="shared" ca="1" si="223"/>
        <v>218600</v>
      </c>
      <c r="M336" s="74">
        <f t="shared" ca="1" si="223"/>
        <v>223600</v>
      </c>
      <c r="N336" s="74">
        <f t="shared" ca="1" si="223"/>
        <v>103443.55</v>
      </c>
      <c r="O336" s="74">
        <f t="shared" ca="1" si="218"/>
        <v>47.320928636779506</v>
      </c>
      <c r="P336" s="74">
        <f t="shared" ca="1" si="219"/>
        <v>46.262768336314849</v>
      </c>
      <c r="Q336" s="74">
        <f t="shared" si="224"/>
        <v>0</v>
      </c>
      <c r="R336" s="74">
        <f t="shared" si="224"/>
        <v>0</v>
      </c>
      <c r="S336" s="74">
        <f t="shared" si="224"/>
        <v>0</v>
      </c>
      <c r="T336" s="74">
        <f t="shared" si="221"/>
        <v>0</v>
      </c>
      <c r="U336" s="74">
        <f t="shared" si="222"/>
        <v>0</v>
      </c>
    </row>
    <row r="337" spans="1:21" ht="18.75" x14ac:dyDescent="0.25">
      <c r="A337" s="257"/>
      <c r="B337" s="269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3">
        <f t="shared" ref="L337:N337" ca="1" si="225">L338+L339</f>
        <v>218600</v>
      </c>
      <c r="M337" s="74">
        <f t="shared" ca="1" si="225"/>
        <v>223600</v>
      </c>
      <c r="N337" s="74">
        <f t="shared" ca="1" si="225"/>
        <v>103443.55</v>
      </c>
      <c r="O337" s="74">
        <f t="shared" ca="1" si="218"/>
        <v>47.320928636779506</v>
      </c>
      <c r="P337" s="74">
        <f t="shared" ca="1" si="219"/>
        <v>46.262768336314849</v>
      </c>
      <c r="Q337" s="74">
        <f t="shared" ref="Q337:S337" si="226">Q338+Q339</f>
        <v>0</v>
      </c>
      <c r="R337" s="74">
        <f t="shared" si="226"/>
        <v>0</v>
      </c>
      <c r="S337" s="74">
        <f t="shared" si="226"/>
        <v>0</v>
      </c>
      <c r="T337" s="74">
        <f t="shared" si="221"/>
        <v>0</v>
      </c>
      <c r="U337" s="74">
        <f t="shared" si="222"/>
        <v>0</v>
      </c>
    </row>
    <row r="338" spans="1:21" ht="18.75" hidden="1" x14ac:dyDescent="0.25">
      <c r="A338" s="257"/>
      <c r="B338" s="258"/>
      <c r="C338" s="269"/>
      <c r="D338" s="258"/>
      <c r="E338" s="77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77">
        <f t="shared" si="218"/>
        <v>0</v>
      </c>
      <c r="P338" s="77">
        <f t="shared" si="219"/>
        <v>0</v>
      </c>
      <c r="Q338" s="77">
        <v>0</v>
      </c>
      <c r="R338" s="77">
        <v>0</v>
      </c>
      <c r="S338" s="77">
        <v>0</v>
      </c>
      <c r="T338" s="77">
        <f t="shared" si="221"/>
        <v>0</v>
      </c>
      <c r="U338" s="77">
        <f t="shared" si="222"/>
        <v>0</v>
      </c>
    </row>
    <row r="339" spans="1:21" ht="18.75" hidden="1" x14ac:dyDescent="0.25">
      <c r="A339" s="257"/>
      <c r="B339" s="258"/>
      <c r="C339" s="269"/>
      <c r="D339" s="258"/>
      <c r="E339" s="749" t="s">
        <v>37</v>
      </c>
      <c r="F339" s="258"/>
      <c r="G339" s="261"/>
      <c r="H339" s="271" t="s">
        <v>14</v>
      </c>
      <c r="I339" s="272"/>
      <c r="J339" s="272"/>
      <c r="K339" s="229"/>
      <c r="L339" s="73">
        <f ca="1">IFERROR(__xludf.DUMMYFUNCTION("IMPORTRANGE(""https://docs.google.com/spreadsheets/d/1-uDff_7J0KD5mKrp0Vvzr7lt3OU09vwQwhkpOPPYv2Y/edit?usp=sharing"",""งบพรบ!ES62"")"),218600)</f>
        <v>218600</v>
      </c>
      <c r="M339" s="74">
        <f ca="1">IFERROR(__xludf.DUMMYFUNCTION("IMPORTRANGE(""https://docs.google.com/spreadsheets/d/1-uDff_7J0KD5mKrp0Vvzr7lt3OU09vwQwhkpOPPYv2Y/edit?usp=sharing"",""งบพรบ!EX62"")"),223600)</f>
        <v>223600</v>
      </c>
      <c r="N339" s="74">
        <f ca="1">IFERROR(__xludf.DUMMYFUNCTION("IMPORTRANGE(""https://docs.google.com/spreadsheets/d/1-uDff_7J0KD5mKrp0Vvzr7lt3OU09vwQwhkpOPPYv2Y/edit?usp=sharing"",""งบพรบ!EZ62"")"),103443.55)</f>
        <v>103443.55</v>
      </c>
      <c r="O339" s="74">
        <f t="shared" ca="1" si="218"/>
        <v>47.320928636779506</v>
      </c>
      <c r="P339" s="74">
        <f t="shared" ca="1" si="219"/>
        <v>46.262768336314849</v>
      </c>
      <c r="Q339" s="74">
        <v>0</v>
      </c>
      <c r="R339" s="74">
        <v>0</v>
      </c>
      <c r="S339" s="74">
        <v>0</v>
      </c>
      <c r="T339" s="74">
        <f t="shared" si="221"/>
        <v>0</v>
      </c>
      <c r="U339" s="74">
        <f t="shared" si="222"/>
        <v>0</v>
      </c>
    </row>
    <row r="340" spans="1:21" ht="18.75" x14ac:dyDescent="0.25">
      <c r="A340" s="257"/>
      <c r="B340" s="258"/>
      <c r="C340" s="269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3">
        <f t="shared" ref="L340:N340" ca="1" si="227">L341+L342</f>
        <v>0</v>
      </c>
      <c r="M340" s="74">
        <f t="shared" ca="1" si="227"/>
        <v>0</v>
      </c>
      <c r="N340" s="74">
        <f t="shared" ca="1" si="227"/>
        <v>0</v>
      </c>
      <c r="O340" s="74">
        <f t="shared" ca="1" si="218"/>
        <v>0</v>
      </c>
      <c r="P340" s="74">
        <f t="shared" ca="1" si="219"/>
        <v>0</v>
      </c>
      <c r="Q340" s="74">
        <f t="shared" ref="Q340:S340" si="228">Q341+Q342</f>
        <v>0</v>
      </c>
      <c r="R340" s="74">
        <f t="shared" si="228"/>
        <v>0</v>
      </c>
      <c r="S340" s="74">
        <f t="shared" si="228"/>
        <v>0</v>
      </c>
      <c r="T340" s="74">
        <f t="shared" si="221"/>
        <v>0</v>
      </c>
      <c r="U340" s="74">
        <f t="shared" si="222"/>
        <v>0</v>
      </c>
    </row>
    <row r="341" spans="1:21" ht="18.75" hidden="1" x14ac:dyDescent="0.25">
      <c r="A341" s="257"/>
      <c r="B341" s="258"/>
      <c r="C341" s="269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77">
        <f t="shared" si="218"/>
        <v>0</v>
      </c>
      <c r="P341" s="77">
        <f t="shared" si="219"/>
        <v>0</v>
      </c>
      <c r="Q341" s="77">
        <v>0</v>
      </c>
      <c r="R341" s="77">
        <v>0</v>
      </c>
      <c r="S341" s="77">
        <v>0</v>
      </c>
      <c r="T341" s="77">
        <f t="shared" si="221"/>
        <v>0</v>
      </c>
      <c r="U341" s="77">
        <f t="shared" si="222"/>
        <v>0</v>
      </c>
    </row>
    <row r="342" spans="1:21" ht="18.75" hidden="1" x14ac:dyDescent="0.25">
      <c r="A342" s="257"/>
      <c r="B342" s="258"/>
      <c r="C342" s="269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3">
        <f ca="1">IFERROR(__xludf.DUMMYFUNCTION("IMPORTRANGE(""https://docs.google.com/spreadsheets/d/1-uDff_7J0KD5mKrp0Vvzr7lt3OU09vwQwhkpOPPYv2Y/edit?usp=sharing"",""งบพรบ!EV62"")"),0)</f>
        <v>0</v>
      </c>
      <c r="M342" s="74">
        <f ca="1">IFERROR(__xludf.DUMMYFUNCTION("IMPORTRANGE(""https://docs.google.com/spreadsheets/d/1-uDff_7J0KD5mKrp0Vvzr7lt3OU09vwQwhkpOPPYv2Y/edit?usp=sharing"",""งบพรบ!EY62"")"),0)</f>
        <v>0</v>
      </c>
      <c r="N342" s="74">
        <f ca="1">IFERROR(__xludf.DUMMYFUNCTION("IMPORTRANGE(""https://docs.google.com/spreadsheets/d/1-uDff_7J0KD5mKrp0Vvzr7lt3OU09vwQwhkpOPPYv2Y/edit?usp=sharing"",""งบพรบ!FA62"")"),0)</f>
        <v>0</v>
      </c>
      <c r="O342" s="74">
        <f t="shared" ca="1" si="218"/>
        <v>0</v>
      </c>
      <c r="P342" s="74">
        <f t="shared" ca="1" si="219"/>
        <v>0</v>
      </c>
      <c r="Q342" s="74">
        <v>0</v>
      </c>
      <c r="R342" s="74">
        <v>0</v>
      </c>
      <c r="S342" s="74">
        <v>0</v>
      </c>
      <c r="T342" s="74">
        <f t="shared" si="221"/>
        <v>0</v>
      </c>
      <c r="U342" s="74">
        <f t="shared" si="222"/>
        <v>0</v>
      </c>
    </row>
    <row r="343" spans="1:21" ht="19.5" x14ac:dyDescent="0.3">
      <c r="A343" s="276"/>
      <c r="B343" s="277"/>
      <c r="C343" s="621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170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307" t="s">
        <v>35</v>
      </c>
      <c r="I345" s="293">
        <f ca="1">IFERROR(__xludf.DUMMYFUNCTION("IMPORTRANGE(""https://docs.google.com/spreadsheets/d/1eHaY18a8A9IcSdp1K8H6x8fbOy06t2VsZHhMHf-1x7Y/edit?usp=sharing"",""แผน!EK62"")"),540)</f>
        <v>540</v>
      </c>
      <c r="J345" s="293">
        <f ca="1">IFERROR(__xludf.DUMMYFUNCTION("IMPORTRANGE(""https://docs.google.com/spreadsheets/d/1awYsYK3VOup2i3Pq_Yjnu8DRu_mYwSBnCR2QPthd0rU/edit?usp=sharing"",""ศูนย์ยกเว้นโฉนด!D62"")"),167)</f>
        <v>167</v>
      </c>
      <c r="K345" s="74">
        <f ca="1">IF(I345&gt;0,J345*100/I345,0)</f>
        <v>30.925925925925927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IFERROR(__xludf.DUMMYFUNCTION("IMPORTRANGE(""https://docs.google.com/spreadsheets/d/1eHaY18a8A9IcSdp1K8H6x8fbOy06t2VsZHhMHf-1x7Y/edit?usp=sharing"",""แผน!EL62"")"),2)</f>
        <v>2</v>
      </c>
      <c r="J347" s="293">
        <f ca="1">IFERROR(__xludf.DUMMYFUNCTION("IMPORTRANGE(""https://docs.google.com/spreadsheets/d/1awYsYK3VOup2i3Pq_Yjnu8DRu_mYwSBnCR2QPthd0rU/edit?usp=sharing"",""ศูนย์รวม!E62"")"),0)</f>
        <v>0</v>
      </c>
      <c r="K347" s="74">
        <f ca="1">IF(I347&gt;0,J347*100/I347,0)</f>
        <v>0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IFERROR(__xludf.DUMMYFUNCTION("IMPORTRANGE(""https://docs.google.com/spreadsheets/d/1awYsYK3VOup2i3Pq_Yjnu8DRu_mYwSBnCR2QPthd0rU/edit?usp=sharing"",""ศูนย์ยกเว้นโฉนด!F62"")"),0)</f>
        <v>0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IFERROR(__xludf.DUMMYFUNCTION("IMPORTRANGE(""https://docs.google.com/spreadsheets/d/1awYsYK3VOup2i3Pq_Yjnu8DRu_mYwSBnCR2QPthd0rU/edit?usp=sharing"",""ศูนย์ยกเว้นโฉนด!G62"")"),3)</f>
        <v>3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IFERROR(__xludf.DUMMYFUNCTION("IMPORTRANGE(""https://docs.google.com/spreadsheets/d/1awYsYK3VOup2i3Pq_Yjnu8DRu_mYwSBnCR2QPthd0rU/edit?usp=sharing"",""ศูนย์ยกเว้นโฉนด!H62"")"),0)</f>
        <v>0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1188" t="s">
        <v>35</v>
      </c>
      <c r="I352" s="559">
        <v>0</v>
      </c>
      <c r="J352" s="559">
        <f ca="1">J353+J354</f>
        <v>3583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IFERROR(__xludf.DUMMYFUNCTION("IMPORTRANGE(""https://docs.google.com/spreadsheets/d/1awYsYK3VOup2i3Pq_Yjnu8DRu_mYwSBnCR2QPthd0rU/edit?usp=sharing"",""โฉนดM3!G62"")"),2696)</f>
        <v>2696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IFERROR(__xludf.DUMMYFUNCTION("IMPORTRANGE(""https://docs.google.com/spreadsheets/d/1awYsYK3VOup2i3Pq_Yjnu8DRu_mYwSBnCR2QPthd0rU/edit?usp=sharing"",""โฉนดM3!H62"")"),887)</f>
        <v>887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15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1257">
        <f t="shared" ref="L357:N357" ca="1" si="229">L358+L359</f>
        <v>266990</v>
      </c>
      <c r="M357" s="264">
        <f t="shared" ca="1" si="229"/>
        <v>266990</v>
      </c>
      <c r="N357" s="264">
        <f t="shared" ca="1" si="229"/>
        <v>96913.34</v>
      </c>
      <c r="O357" s="264">
        <f t="shared" ref="O357:O365" ca="1" si="230">IF(L357&gt;0,N357*100/L357,0)</f>
        <v>36.298490580171539</v>
      </c>
      <c r="P357" s="264">
        <f t="shared" ref="P357:P365" ca="1" si="231">IF(M357&gt;0,N357*100/M357,0)</f>
        <v>36.298490580171539</v>
      </c>
      <c r="Q357" s="264">
        <f t="shared" ref="Q357:S357" si="232">Q358+Q359</f>
        <v>0</v>
      </c>
      <c r="R357" s="264">
        <f t="shared" si="232"/>
        <v>0</v>
      </c>
      <c r="S357" s="264">
        <f t="shared" si="232"/>
        <v>0</v>
      </c>
      <c r="T357" s="264">
        <f t="shared" ref="T357:T365" si="233">IF(Q357&gt;0,S357*100/Q357,0)</f>
        <v>0</v>
      </c>
      <c r="U357" s="264">
        <f t="shared" ref="U357:U365" si="234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6">
        <f t="shared" ref="L358:N359" si="235">L361+L364</f>
        <v>0</v>
      </c>
      <c r="M358" s="77">
        <f t="shared" si="235"/>
        <v>0</v>
      </c>
      <c r="N358" s="77">
        <f t="shared" si="235"/>
        <v>0</v>
      </c>
      <c r="O358" s="77">
        <f t="shared" si="230"/>
        <v>0</v>
      </c>
      <c r="P358" s="77">
        <f t="shared" si="231"/>
        <v>0</v>
      </c>
      <c r="Q358" s="77">
        <f t="shared" ref="Q358:S359" si="236">Q361+Q364</f>
        <v>0</v>
      </c>
      <c r="R358" s="77">
        <f t="shared" si="236"/>
        <v>0</v>
      </c>
      <c r="S358" s="77">
        <f t="shared" si="236"/>
        <v>0</v>
      </c>
      <c r="T358" s="77">
        <f t="shared" si="233"/>
        <v>0</v>
      </c>
      <c r="U358" s="77">
        <f t="shared" si="234"/>
        <v>0</v>
      </c>
    </row>
    <row r="359" spans="1:21" ht="18.75" hidden="1" x14ac:dyDescent="0.25">
      <c r="A359" s="257"/>
      <c r="B359" s="269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3">
        <f t="shared" ca="1" si="235"/>
        <v>266990</v>
      </c>
      <c r="M359" s="74">
        <f t="shared" ca="1" si="235"/>
        <v>266990</v>
      </c>
      <c r="N359" s="74">
        <f t="shared" ca="1" si="235"/>
        <v>96913.34</v>
      </c>
      <c r="O359" s="74">
        <f t="shared" ca="1" si="230"/>
        <v>36.298490580171539</v>
      </c>
      <c r="P359" s="74">
        <f t="shared" ca="1" si="231"/>
        <v>36.298490580171539</v>
      </c>
      <c r="Q359" s="74">
        <f t="shared" si="236"/>
        <v>0</v>
      </c>
      <c r="R359" s="74">
        <f t="shared" si="236"/>
        <v>0</v>
      </c>
      <c r="S359" s="74">
        <f t="shared" si="236"/>
        <v>0</v>
      </c>
      <c r="T359" s="74">
        <f t="shared" si="233"/>
        <v>0</v>
      </c>
      <c r="U359" s="74">
        <f t="shared" si="234"/>
        <v>0</v>
      </c>
    </row>
    <row r="360" spans="1:21" ht="18.75" x14ac:dyDescent="0.25">
      <c r="A360" s="257"/>
      <c r="B360" s="269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3">
        <f t="shared" ref="L360:N360" ca="1" si="237">L361+L362</f>
        <v>266990</v>
      </c>
      <c r="M360" s="74">
        <f t="shared" ca="1" si="237"/>
        <v>266990</v>
      </c>
      <c r="N360" s="74">
        <f t="shared" ca="1" si="237"/>
        <v>96913.34</v>
      </c>
      <c r="O360" s="74">
        <f t="shared" ca="1" si="230"/>
        <v>36.298490580171539</v>
      </c>
      <c r="P360" s="74">
        <f t="shared" ca="1" si="231"/>
        <v>36.298490580171539</v>
      </c>
      <c r="Q360" s="74">
        <f t="shared" ref="Q360:S360" si="238">Q361+Q362</f>
        <v>0</v>
      </c>
      <c r="R360" s="74">
        <f t="shared" si="238"/>
        <v>0</v>
      </c>
      <c r="S360" s="74">
        <f t="shared" si="238"/>
        <v>0</v>
      </c>
      <c r="T360" s="74">
        <f t="shared" si="233"/>
        <v>0</v>
      </c>
      <c r="U360" s="74">
        <f t="shared" si="234"/>
        <v>0</v>
      </c>
    </row>
    <row r="361" spans="1:21" ht="18.75" hidden="1" x14ac:dyDescent="0.25">
      <c r="A361" s="257"/>
      <c r="B361" s="258"/>
      <c r="C361" s="269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77">
        <f t="shared" si="230"/>
        <v>0</v>
      </c>
      <c r="P361" s="77">
        <f t="shared" si="231"/>
        <v>0</v>
      </c>
      <c r="Q361" s="77">
        <v>0</v>
      </c>
      <c r="R361" s="77">
        <v>0</v>
      </c>
      <c r="S361" s="77">
        <v>0</v>
      </c>
      <c r="T361" s="77">
        <f t="shared" si="233"/>
        <v>0</v>
      </c>
      <c r="U361" s="77">
        <f t="shared" si="234"/>
        <v>0</v>
      </c>
    </row>
    <row r="362" spans="1:21" ht="18.75" hidden="1" x14ac:dyDescent="0.25">
      <c r="A362" s="257"/>
      <c r="B362" s="258"/>
      <c r="C362" s="269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3">
        <f ca="1">IFERROR(__xludf.DUMMYFUNCTION("IMPORTRANGE(""https://docs.google.com/spreadsheets/d/1-uDff_7J0KD5mKrp0Vvzr7lt3OU09vwQwhkpOPPYv2Y/edit?usp=sharing"",""งบพรบ!FC62"")"),266990)</f>
        <v>266990</v>
      </c>
      <c r="M362" s="74">
        <f ca="1">IFERROR(__xludf.DUMMYFUNCTION("IMPORTRANGE(""https://docs.google.com/spreadsheets/d/1-uDff_7J0KD5mKrp0Vvzr7lt3OU09vwQwhkpOPPYv2Y/edit?usp=sharing"",""งบพรบ!FH62"")"),266990)</f>
        <v>266990</v>
      </c>
      <c r="N362" s="74">
        <f ca="1">IFERROR(__xludf.DUMMYFUNCTION("IMPORTRANGE(""https://docs.google.com/spreadsheets/d/1-uDff_7J0KD5mKrp0Vvzr7lt3OU09vwQwhkpOPPYv2Y/edit?usp=sharing"",""งบพรบ!FJ62"")"),96913.34)</f>
        <v>96913.34</v>
      </c>
      <c r="O362" s="74">
        <f t="shared" ca="1" si="230"/>
        <v>36.298490580171539</v>
      </c>
      <c r="P362" s="74">
        <f t="shared" ca="1" si="231"/>
        <v>36.298490580171539</v>
      </c>
      <c r="Q362" s="74">
        <v>0</v>
      </c>
      <c r="R362" s="74">
        <v>0</v>
      </c>
      <c r="S362" s="74">
        <v>0</v>
      </c>
      <c r="T362" s="74">
        <f t="shared" si="233"/>
        <v>0</v>
      </c>
      <c r="U362" s="74">
        <f t="shared" si="234"/>
        <v>0</v>
      </c>
    </row>
    <row r="363" spans="1:21" ht="18.75" x14ac:dyDescent="0.25">
      <c r="A363" s="257"/>
      <c r="B363" s="258"/>
      <c r="C363" s="269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3">
        <f t="shared" ref="L363:N363" ca="1" si="239">L364+L365</f>
        <v>0</v>
      </c>
      <c r="M363" s="74">
        <f t="shared" ca="1" si="239"/>
        <v>0</v>
      </c>
      <c r="N363" s="74">
        <f t="shared" ca="1" si="239"/>
        <v>0</v>
      </c>
      <c r="O363" s="74">
        <f t="shared" ca="1" si="230"/>
        <v>0</v>
      </c>
      <c r="P363" s="74">
        <f t="shared" ca="1" si="231"/>
        <v>0</v>
      </c>
      <c r="Q363" s="74">
        <f t="shared" ref="Q363:S363" si="240">Q364+Q365</f>
        <v>0</v>
      </c>
      <c r="R363" s="74">
        <f t="shared" si="240"/>
        <v>0</v>
      </c>
      <c r="S363" s="74">
        <f t="shared" si="240"/>
        <v>0</v>
      </c>
      <c r="T363" s="74">
        <f t="shared" si="233"/>
        <v>0</v>
      </c>
      <c r="U363" s="74">
        <f t="shared" si="234"/>
        <v>0</v>
      </c>
    </row>
    <row r="364" spans="1:21" ht="18.75" hidden="1" x14ac:dyDescent="0.25">
      <c r="A364" s="257"/>
      <c r="B364" s="258"/>
      <c r="C364" s="269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77">
        <f t="shared" si="230"/>
        <v>0</v>
      </c>
      <c r="P364" s="77">
        <f t="shared" si="231"/>
        <v>0</v>
      </c>
      <c r="Q364" s="77">
        <v>0</v>
      </c>
      <c r="R364" s="77">
        <v>0</v>
      </c>
      <c r="S364" s="77">
        <v>0</v>
      </c>
      <c r="T364" s="77">
        <f t="shared" si="233"/>
        <v>0</v>
      </c>
      <c r="U364" s="77">
        <f t="shared" si="234"/>
        <v>0</v>
      </c>
    </row>
    <row r="365" spans="1:21" ht="18.75" hidden="1" x14ac:dyDescent="0.25">
      <c r="A365" s="257"/>
      <c r="B365" s="258"/>
      <c r="C365" s="269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3">
        <f ca="1">IFERROR(__xludf.DUMMYFUNCTION("IMPORTRANGE(""https://docs.google.com/spreadsheets/d/1-uDff_7J0KD5mKrp0Vvzr7lt3OU09vwQwhkpOPPYv2Y/edit?usp=sharing"",""งบพรบ!FF62"")"),0)</f>
        <v>0</v>
      </c>
      <c r="M365" s="74">
        <f ca="1">IFERROR(__xludf.DUMMYFUNCTION("IMPORTRANGE(""https://docs.google.com/spreadsheets/d/1-uDff_7J0KD5mKrp0Vvzr7lt3OU09vwQwhkpOPPYv2Y/edit?usp=sharing"",""งบพรบ!FI62"")"),0)</f>
        <v>0</v>
      </c>
      <c r="N365" s="74">
        <f ca="1">IFERROR(__xludf.DUMMYFUNCTION("IMPORTRANGE(""https://docs.google.com/spreadsheets/d/1-uDff_7J0KD5mKrp0Vvzr7lt3OU09vwQwhkpOPPYv2Y/edit?usp=sharing"",""งบพรบ!FK62"")"),0)</f>
        <v>0</v>
      </c>
      <c r="O365" s="74">
        <f t="shared" ca="1" si="230"/>
        <v>0</v>
      </c>
      <c r="P365" s="74">
        <f t="shared" ca="1" si="231"/>
        <v>0</v>
      </c>
      <c r="Q365" s="74">
        <v>0</v>
      </c>
      <c r="R365" s="74">
        <v>0</v>
      </c>
      <c r="S365" s="74">
        <v>0</v>
      </c>
      <c r="T365" s="74">
        <f t="shared" si="233"/>
        <v>0</v>
      </c>
      <c r="U365" s="74">
        <f t="shared" si="234"/>
        <v>0</v>
      </c>
    </row>
    <row r="366" spans="1:21" ht="19.5" x14ac:dyDescent="0.3">
      <c r="A366" s="553"/>
      <c r="B366" s="555"/>
      <c r="C366" s="555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1">I372</f>
        <v>65</v>
      </c>
      <c r="J366" s="559">
        <f t="shared" ca="1" si="241"/>
        <v>111</v>
      </c>
      <c r="K366" s="560">
        <f ca="1">IF(I366&gt;0,J366*100/I366,0)</f>
        <v>170.76923076923077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621" t="s">
        <v>18</v>
      </c>
      <c r="D367" s="968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77"/>
      <c r="C368" s="277"/>
      <c r="D368" s="296"/>
      <c r="E368" s="1103" t="s">
        <v>150</v>
      </c>
      <c r="F368" s="277"/>
      <c r="G368" s="310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IFERROR(__xludf.DUMMYFUNCTION("IMPORTRANGE(""https://docs.google.com/spreadsheets/d/1tdoBKaGub7dwA3U6UFTqxio9LNnvDCQjHKmttSEBsFQ/edit?usp=sharing"",""จัดที่ดิน!AB62"")"),36)</f>
        <v>36</v>
      </c>
      <c r="K368" s="74">
        <f t="shared" ref="K368:K373" si="242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IFERROR(__xludf.DUMMYFUNCTION("IMPORTRANGE(""https://docs.google.com/spreadsheets/d/1eHaY18a8A9IcSdp1K8H6x8fbOy06t2VsZHhMHf-1x7Y/edit?usp=sharing"",""แผน!EW62"")"),565)</f>
        <v>565</v>
      </c>
      <c r="J369" s="1190">
        <f ca="1">IFERROR(__xludf.DUMMYFUNCTION("IMPORTRANGE(""https://docs.google.com/spreadsheets/d/1tdoBKaGub7dwA3U6UFTqxio9LNnvDCQjHKmttSEBsFQ/edit?usp=sharing"",""จัดที่ดิน!AC62"")"),232.36)</f>
        <v>232.36</v>
      </c>
      <c r="K369" s="74">
        <f t="shared" ca="1" si="242"/>
        <v>41.125663716814159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75" t="s">
        <v>35</v>
      </c>
      <c r="I370" s="293">
        <f ca="1">IFERROR(__xludf.DUMMYFUNCTION("IMPORTRANGE(""https://docs.google.com/spreadsheets/d/1eHaY18a8A9IcSdp1K8H6x8fbOy06t2VsZHhMHf-1x7Y/edit?usp=sharing"",""แผน!EX62"")"),88)</f>
        <v>88</v>
      </c>
      <c r="J370" s="293">
        <f ca="1">IFERROR(__xludf.DUMMYFUNCTION("IMPORTRANGE(""https://docs.google.com/spreadsheets/d/1tdoBKaGub7dwA3U6UFTqxio9LNnvDCQjHKmttSEBsFQ/edit?usp=sharing"",""จัดที่ดิน!AD62"")"),110)</f>
        <v>110</v>
      </c>
      <c r="K370" s="74">
        <f t="shared" ca="1" si="242"/>
        <v>125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75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IFERROR(__xludf.DUMMYFUNCTION("IMPORTRANGE(""https://docs.google.com/spreadsheets/d/1tdoBKaGub7dwA3U6UFTqxio9LNnvDCQjHKmttSEBsFQ/edit?usp=sharing"",""จัดที่ดิน!AE62"")"),1280.64)</f>
        <v>1280.6400000000001</v>
      </c>
      <c r="K371" s="74">
        <f t="shared" si="242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75" t="s">
        <v>35</v>
      </c>
      <c r="I372" s="293">
        <f ca="1">IFERROR(__xludf.DUMMYFUNCTION("IMPORTRANGE(""https://docs.google.com/spreadsheets/d/1eHaY18a8A9IcSdp1K8H6x8fbOy06t2VsZHhMHf-1x7Y/edit?usp=sharing"",""แผน!EY62"")"),65)</f>
        <v>65</v>
      </c>
      <c r="J372" s="293">
        <f ca="1">IFERROR(__xludf.DUMMYFUNCTION("IMPORTRANGE(""https://docs.google.com/spreadsheets/d/1tdoBKaGub7dwA3U6UFTqxio9LNnvDCQjHKmttSEBsFQ/edit?usp=sharing"",""จัดที่ดิน!AF62"")"),111)</f>
        <v>111</v>
      </c>
      <c r="K372" s="74">
        <f t="shared" ca="1" si="242"/>
        <v>170.76923076923077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75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IFERROR(__xludf.DUMMYFUNCTION("IMPORTRANGE(""https://docs.google.com/spreadsheets/d/1tdoBKaGub7dwA3U6UFTqxio9LNnvDCQjHKmttSEBsFQ/edit?usp=sharing"",""จัดที่ดิน!AG62"")"),1329.6)</f>
        <v>1329.6</v>
      </c>
      <c r="K373" s="74">
        <f t="shared" si="242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29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3">I387+I389</f>
        <v>300</v>
      </c>
      <c r="J375" s="585">
        <f t="shared" ca="1" si="243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1257">
        <f t="shared" ref="L376:N376" si="244">L377+L378</f>
        <v>0</v>
      </c>
      <c r="M376" s="264">
        <f t="shared" si="244"/>
        <v>0</v>
      </c>
      <c r="N376" s="264">
        <f t="shared" si="244"/>
        <v>0</v>
      </c>
      <c r="O376" s="264">
        <f t="shared" ref="O376:O384" si="245">IF(L376&gt;0,N376*100/L376,0)</f>
        <v>0</v>
      </c>
      <c r="P376" s="264">
        <f t="shared" ref="P376:P384" si="246">IF(M376&gt;0,N376*100/M376,0)</f>
        <v>0</v>
      </c>
      <c r="Q376" s="264">
        <f t="shared" ref="Q376:S376" ca="1" si="247">Q377+Q378</f>
        <v>18750</v>
      </c>
      <c r="R376" s="264">
        <f t="shared" ca="1" si="247"/>
        <v>0</v>
      </c>
      <c r="S376" s="264">
        <f t="shared" ca="1" si="247"/>
        <v>0</v>
      </c>
      <c r="T376" s="264">
        <f t="shared" ref="T376:T384" ca="1" si="248">IF(Q376&gt;0,S376*100/Q376,0)</f>
        <v>0</v>
      </c>
      <c r="U376" s="264">
        <f t="shared" ref="U376:U384" ca="1" si="249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6">
        <f t="shared" ref="L377:N378" si="250">L380+L383</f>
        <v>0</v>
      </c>
      <c r="M377" s="77">
        <f t="shared" si="250"/>
        <v>0</v>
      </c>
      <c r="N377" s="77">
        <f t="shared" si="250"/>
        <v>0</v>
      </c>
      <c r="O377" s="77">
        <f t="shared" si="245"/>
        <v>0</v>
      </c>
      <c r="P377" s="77">
        <f t="shared" si="246"/>
        <v>0</v>
      </c>
      <c r="Q377" s="77">
        <f t="shared" ref="Q377:S378" si="251">Q380+Q383</f>
        <v>0</v>
      </c>
      <c r="R377" s="77">
        <f t="shared" si="251"/>
        <v>0</v>
      </c>
      <c r="S377" s="77">
        <f t="shared" si="251"/>
        <v>0</v>
      </c>
      <c r="T377" s="77">
        <f t="shared" si="248"/>
        <v>0</v>
      </c>
      <c r="U377" s="77">
        <f t="shared" si="249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3">
        <f t="shared" si="250"/>
        <v>0</v>
      </c>
      <c r="M378" s="74">
        <f t="shared" si="250"/>
        <v>0</v>
      </c>
      <c r="N378" s="74">
        <f t="shared" si="250"/>
        <v>0</v>
      </c>
      <c r="O378" s="74">
        <f t="shared" si="245"/>
        <v>0</v>
      </c>
      <c r="P378" s="74">
        <f t="shared" si="246"/>
        <v>0</v>
      </c>
      <c r="Q378" s="74">
        <f t="shared" ca="1" si="251"/>
        <v>18750</v>
      </c>
      <c r="R378" s="74">
        <f t="shared" ca="1" si="251"/>
        <v>0</v>
      </c>
      <c r="S378" s="74">
        <f t="shared" ca="1" si="251"/>
        <v>0</v>
      </c>
      <c r="T378" s="74">
        <f t="shared" ca="1" si="248"/>
        <v>0</v>
      </c>
      <c r="U378" s="74">
        <f t="shared" ca="1" si="249"/>
        <v>0</v>
      </c>
    </row>
    <row r="379" spans="1:21" ht="18.75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3">
        <f t="shared" ref="L379:N379" si="252">L380+L381</f>
        <v>0</v>
      </c>
      <c r="M379" s="74">
        <f t="shared" si="252"/>
        <v>0</v>
      </c>
      <c r="N379" s="74">
        <f t="shared" si="252"/>
        <v>0</v>
      </c>
      <c r="O379" s="74">
        <f t="shared" si="245"/>
        <v>0</v>
      </c>
      <c r="P379" s="74">
        <f t="shared" si="246"/>
        <v>0</v>
      </c>
      <c r="Q379" s="74">
        <f t="shared" ref="Q379:S379" ca="1" si="253">Q380+Q381</f>
        <v>18750</v>
      </c>
      <c r="R379" s="74">
        <f t="shared" ca="1" si="253"/>
        <v>0</v>
      </c>
      <c r="S379" s="74">
        <f t="shared" ca="1" si="253"/>
        <v>0</v>
      </c>
      <c r="T379" s="74">
        <f t="shared" ca="1" si="248"/>
        <v>0</v>
      </c>
      <c r="U379" s="74">
        <f t="shared" ca="1" si="249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77">
        <f t="shared" si="245"/>
        <v>0</v>
      </c>
      <c r="P380" s="77">
        <f t="shared" si="246"/>
        <v>0</v>
      </c>
      <c r="Q380" s="77">
        <v>0</v>
      </c>
      <c r="R380" s="77">
        <v>0</v>
      </c>
      <c r="S380" s="77">
        <v>0</v>
      </c>
      <c r="T380" s="77">
        <f t="shared" si="248"/>
        <v>0</v>
      </c>
      <c r="U380" s="77">
        <f t="shared" si="249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74">
        <f t="shared" si="245"/>
        <v>0</v>
      </c>
      <c r="P381" s="74">
        <f t="shared" si="246"/>
        <v>0</v>
      </c>
      <c r="Q381" s="74">
        <f ca="1">IFERROR(__xludf.DUMMYFUNCTION("IMPORTRANGE(""https://docs.google.com/spreadsheets/d/1ItG2mGa2ceCfYo0BwxsXqNm01IGEUdYcSSLTEv9YCik/edit?usp=sharing"",""เบิกจ่ายกองทุน!AY62"")"),18750)</f>
        <v>18750</v>
      </c>
      <c r="R381" s="74">
        <f ca="1">IFERROR(__xludf.DUMMYFUNCTION("IMPORTRANGE(""https://docs.google.com/spreadsheets/d/1ItG2mGa2ceCfYo0BwxsXqNm01IGEUdYcSSLTEv9YCik/edit?usp=sharing"",""เบิกจ่ายกองทุน!AZ62"")"),0)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IFERROR(__xludf.DUMMYFUNCTION("IMPORTRANGE(""https://docs.google.com/spreadsheets/d/1ItG2mGa2ceCfYo0BwxsXqNm01IGEUdYcSSLTEv9YCik/edit?usp=sharing"",""เบิกจ่ายกองทุน!BA62"")"),0)</f>
        <v>0</v>
      </c>
      <c r="T381" s="74">
        <f t="shared" ca="1" si="248"/>
        <v>0</v>
      </c>
      <c r="U381" s="74">
        <f t="shared" ca="1" si="249"/>
        <v>0</v>
      </c>
    </row>
    <row r="382" spans="1:21" ht="18.75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3">
        <f t="shared" ref="L382:N382" si="254">L383+L384</f>
        <v>0</v>
      </c>
      <c r="M382" s="74">
        <f t="shared" si="254"/>
        <v>0</v>
      </c>
      <c r="N382" s="74">
        <f t="shared" si="254"/>
        <v>0</v>
      </c>
      <c r="O382" s="74">
        <f t="shared" si="245"/>
        <v>0</v>
      </c>
      <c r="P382" s="74">
        <f t="shared" si="246"/>
        <v>0</v>
      </c>
      <c r="Q382" s="74">
        <f t="shared" ref="Q382:S382" si="255">Q383+Q384</f>
        <v>0</v>
      </c>
      <c r="R382" s="74">
        <f t="shared" si="255"/>
        <v>0</v>
      </c>
      <c r="S382" s="74">
        <f t="shared" si="255"/>
        <v>0</v>
      </c>
      <c r="T382" s="74">
        <f t="shared" si="248"/>
        <v>0</v>
      </c>
      <c r="U382" s="74">
        <f t="shared" si="249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77">
        <f t="shared" si="245"/>
        <v>0</v>
      </c>
      <c r="P383" s="77">
        <f t="shared" si="246"/>
        <v>0</v>
      </c>
      <c r="Q383" s="77">
        <v>0</v>
      </c>
      <c r="R383" s="77">
        <v>0</v>
      </c>
      <c r="S383" s="77">
        <v>0</v>
      </c>
      <c r="T383" s="77">
        <f t="shared" si="248"/>
        <v>0</v>
      </c>
      <c r="U383" s="77">
        <f t="shared" si="249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74">
        <f t="shared" si="245"/>
        <v>0</v>
      </c>
      <c r="P384" s="74">
        <f t="shared" si="246"/>
        <v>0</v>
      </c>
      <c r="Q384" s="74">
        <v>0</v>
      </c>
      <c r="R384" s="74">
        <v>0</v>
      </c>
      <c r="S384" s="74">
        <v>0</v>
      </c>
      <c r="T384" s="74">
        <f t="shared" si="248"/>
        <v>0</v>
      </c>
      <c r="U384" s="74">
        <f t="shared" si="249"/>
        <v>0</v>
      </c>
    </row>
    <row r="385" spans="1:21" ht="19.5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v>0</v>
      </c>
      <c r="J386" s="293">
        <f ca="1">IFERROR(__xludf.DUMMYFUNCTION("IMPORTRANGE(""https://docs.google.com/spreadsheets/d/1w5rwWK1o49a35cNtocGL0gxDwhFSTZUQu90BiH9_zqM/edit?usp=sharing"",""RTK!H62"")"),0)</f>
        <v>0</v>
      </c>
      <c r="K386" s="74">
        <f t="shared" ref="K386:K389" si="256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IFERROR(__xludf.DUMMYFUNCTION("IMPORTRANGE(""https://docs.google.com/spreadsheets/d/1w5rwWK1o49a35cNtocGL0gxDwhFSTZUQu90BiH9_zqM/edit?usp=sharing"",""RTK!G62"")"),300)</f>
        <v>300</v>
      </c>
      <c r="J387" s="293">
        <f ca="1">IFERROR(__xludf.DUMMYFUNCTION("IMPORTRANGE(""https://docs.google.com/spreadsheets/d/1w5rwWK1o49a35cNtocGL0gxDwhFSTZUQu90BiH9_zqM/edit?usp=sharing"",""RTK!I62"")"),0)</f>
        <v>0</v>
      </c>
      <c r="K387" s="74">
        <f t="shared" ca="1" si="256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x14ac:dyDescent="0.25">
      <c r="A388" s="381"/>
      <c r="B388" s="381"/>
      <c r="C388" s="381"/>
      <c r="D388" s="381"/>
      <c r="E388" s="379" t="s">
        <v>155</v>
      </c>
      <c r="F388" s="381"/>
      <c r="G388" s="1033"/>
      <c r="H388" s="216" t="s">
        <v>34</v>
      </c>
      <c r="I388" s="321">
        <v>0</v>
      </c>
      <c r="J388" s="321">
        <f ca="1">IFERROR(__xludf.DUMMYFUNCTION("IMPORTRANGE(""https://docs.google.com/spreadsheets/d/1w5rwWK1o49a35cNtocGL0gxDwhFSTZUQu90BiH9_zqM/edit?usp=sharing"",""RTK!L62"")"),0)</f>
        <v>0</v>
      </c>
      <c r="K388" s="399">
        <f t="shared" si="256"/>
        <v>0</v>
      </c>
      <c r="L388" s="540"/>
      <c r="M388" s="72"/>
      <c r="N388" s="72"/>
      <c r="O388" s="72"/>
      <c r="P388" s="72"/>
      <c r="Q388" s="72"/>
      <c r="R388" s="72"/>
      <c r="S388" s="72"/>
      <c r="T388" s="72"/>
      <c r="U388" s="72"/>
    </row>
    <row r="389" spans="1:21" ht="18.75" x14ac:dyDescent="0.25">
      <c r="A389" s="381"/>
      <c r="B389" s="381"/>
      <c r="C389" s="381"/>
      <c r="D389" s="381"/>
      <c r="E389" s="381"/>
      <c r="F389" s="381"/>
      <c r="G389" s="1033"/>
      <c r="H389" s="216" t="s">
        <v>46</v>
      </c>
      <c r="I389" s="321">
        <f ca="1">IFERROR(__xludf.DUMMYFUNCTION("IMPORTRANGE(""https://docs.google.com/spreadsheets/d/1w5rwWK1o49a35cNtocGL0gxDwhFSTZUQu90BiH9_zqM/edit?usp=sharing"",""RTK!K62"")"),0)</f>
        <v>0</v>
      </c>
      <c r="J389" s="321">
        <f ca="1">IFERROR(__xludf.DUMMYFUNCTION("IMPORTRANGE(""https://docs.google.com/spreadsheets/d/1w5rwWK1o49a35cNtocGL0gxDwhFSTZUQu90BiH9_zqM/edit?usp=sharing"",""RTK!M62"")"),0)</f>
        <v>0</v>
      </c>
      <c r="K389" s="399">
        <f t="shared" ca="1" si="256"/>
        <v>0</v>
      </c>
      <c r="L389" s="540"/>
      <c r="M389" s="72"/>
      <c r="N389" s="72"/>
      <c r="O389" s="72"/>
      <c r="P389" s="72"/>
      <c r="Q389" s="72"/>
      <c r="R389" s="72"/>
      <c r="S389" s="72"/>
      <c r="T389" s="72"/>
      <c r="U389" s="72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7">I403</f>
        <v>0</v>
      </c>
      <c r="J392" s="1189">
        <f t="shared" si="257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1257">
        <f t="shared" ref="L393:N393" si="258">L394+L395</f>
        <v>0</v>
      </c>
      <c r="M393" s="264">
        <f t="shared" si="258"/>
        <v>0</v>
      </c>
      <c r="N393" s="264">
        <f t="shared" si="258"/>
        <v>0</v>
      </c>
      <c r="O393" s="264">
        <f t="shared" ref="O393:O401" si="259">IF(L393&gt;0,N393*100/L393,0)</f>
        <v>0</v>
      </c>
      <c r="P393" s="264">
        <f t="shared" ref="P393:P401" si="260">IF(M393&gt;0,N393*100/M393,0)</f>
        <v>0</v>
      </c>
      <c r="Q393" s="264">
        <f t="shared" ref="Q393:S393" si="261">Q394+Q395</f>
        <v>0</v>
      </c>
      <c r="R393" s="264">
        <f t="shared" si="261"/>
        <v>0</v>
      </c>
      <c r="S393" s="264">
        <f t="shared" si="261"/>
        <v>0</v>
      </c>
      <c r="T393" s="264">
        <f t="shared" ref="T393:T401" si="262">IF(Q393&gt;0,S393*100/Q393,0)</f>
        <v>0</v>
      </c>
      <c r="U393" s="264">
        <f t="shared" ref="U393:U401" si="263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6">
        <f t="shared" ref="L394:N395" si="264">L397+L400</f>
        <v>0</v>
      </c>
      <c r="M394" s="77">
        <f t="shared" si="264"/>
        <v>0</v>
      </c>
      <c r="N394" s="77">
        <f t="shared" si="264"/>
        <v>0</v>
      </c>
      <c r="O394" s="77">
        <f t="shared" si="259"/>
        <v>0</v>
      </c>
      <c r="P394" s="77">
        <f t="shared" si="260"/>
        <v>0</v>
      </c>
      <c r="Q394" s="77">
        <f t="shared" ref="Q394:S395" si="265">Q397+Q400</f>
        <v>0</v>
      </c>
      <c r="R394" s="77">
        <f t="shared" si="265"/>
        <v>0</v>
      </c>
      <c r="S394" s="77">
        <f t="shared" si="265"/>
        <v>0</v>
      </c>
      <c r="T394" s="77">
        <f t="shared" si="262"/>
        <v>0</v>
      </c>
      <c r="U394" s="77">
        <f t="shared" si="263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3">
        <f t="shared" si="264"/>
        <v>0</v>
      </c>
      <c r="M395" s="74">
        <f t="shared" si="264"/>
        <v>0</v>
      </c>
      <c r="N395" s="74">
        <f t="shared" si="264"/>
        <v>0</v>
      </c>
      <c r="O395" s="74">
        <f t="shared" si="259"/>
        <v>0</v>
      </c>
      <c r="P395" s="74">
        <f t="shared" si="260"/>
        <v>0</v>
      </c>
      <c r="Q395" s="74">
        <f t="shared" si="265"/>
        <v>0</v>
      </c>
      <c r="R395" s="74">
        <f t="shared" si="265"/>
        <v>0</v>
      </c>
      <c r="S395" s="74">
        <f t="shared" si="265"/>
        <v>0</v>
      </c>
      <c r="T395" s="74">
        <f t="shared" si="262"/>
        <v>0</v>
      </c>
      <c r="U395" s="74">
        <f t="shared" si="263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3">
        <f t="shared" ref="L396:N396" si="266">L397+L398</f>
        <v>0</v>
      </c>
      <c r="M396" s="74">
        <f t="shared" si="266"/>
        <v>0</v>
      </c>
      <c r="N396" s="74">
        <f t="shared" si="266"/>
        <v>0</v>
      </c>
      <c r="O396" s="74">
        <f t="shared" si="259"/>
        <v>0</v>
      </c>
      <c r="P396" s="74">
        <f t="shared" si="260"/>
        <v>0</v>
      </c>
      <c r="Q396" s="74">
        <f t="shared" ref="Q396:S396" si="267">Q397+Q398</f>
        <v>0</v>
      </c>
      <c r="R396" s="74">
        <f t="shared" si="267"/>
        <v>0</v>
      </c>
      <c r="S396" s="74">
        <f t="shared" si="267"/>
        <v>0</v>
      </c>
      <c r="T396" s="74">
        <f t="shared" si="262"/>
        <v>0</v>
      </c>
      <c r="U396" s="74">
        <f t="shared" si="263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77">
        <f t="shared" si="259"/>
        <v>0</v>
      </c>
      <c r="P397" s="77">
        <f t="shared" si="260"/>
        <v>0</v>
      </c>
      <c r="Q397" s="77">
        <v>0</v>
      </c>
      <c r="R397" s="77">
        <v>0</v>
      </c>
      <c r="S397" s="77">
        <v>0</v>
      </c>
      <c r="T397" s="77">
        <f t="shared" si="262"/>
        <v>0</v>
      </c>
      <c r="U397" s="77">
        <f t="shared" si="263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74">
        <f t="shared" si="259"/>
        <v>0</v>
      </c>
      <c r="P398" s="74">
        <f t="shared" si="260"/>
        <v>0</v>
      </c>
      <c r="Q398" s="74">
        <v>0</v>
      </c>
      <c r="R398" s="74">
        <v>0</v>
      </c>
      <c r="S398" s="74">
        <v>0</v>
      </c>
      <c r="T398" s="74">
        <f t="shared" si="262"/>
        <v>0</v>
      </c>
      <c r="U398" s="74">
        <f t="shared" si="263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3">
        <f t="shared" ref="L399:N399" si="268">L400+L401</f>
        <v>0</v>
      </c>
      <c r="M399" s="74">
        <f t="shared" si="268"/>
        <v>0</v>
      </c>
      <c r="N399" s="74">
        <f t="shared" si="268"/>
        <v>0</v>
      </c>
      <c r="O399" s="74">
        <f t="shared" si="259"/>
        <v>0</v>
      </c>
      <c r="P399" s="74">
        <f t="shared" si="260"/>
        <v>0</v>
      </c>
      <c r="Q399" s="74">
        <f t="shared" ref="Q399:S399" si="269">Q400+Q401</f>
        <v>0</v>
      </c>
      <c r="R399" s="74">
        <f t="shared" si="269"/>
        <v>0</v>
      </c>
      <c r="S399" s="74">
        <f t="shared" si="269"/>
        <v>0</v>
      </c>
      <c r="T399" s="74">
        <f t="shared" si="262"/>
        <v>0</v>
      </c>
      <c r="U399" s="74">
        <f t="shared" si="263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77">
        <f t="shared" si="259"/>
        <v>0</v>
      </c>
      <c r="P400" s="77">
        <f t="shared" si="260"/>
        <v>0</v>
      </c>
      <c r="Q400" s="77">
        <v>0</v>
      </c>
      <c r="R400" s="77">
        <v>0</v>
      </c>
      <c r="S400" s="77">
        <v>0</v>
      </c>
      <c r="T400" s="77">
        <f t="shared" si="262"/>
        <v>0</v>
      </c>
      <c r="U400" s="77">
        <f t="shared" si="263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74">
        <f t="shared" si="259"/>
        <v>0</v>
      </c>
      <c r="P401" s="74">
        <f t="shared" si="260"/>
        <v>0</v>
      </c>
      <c r="Q401" s="74">
        <v>0</v>
      </c>
      <c r="R401" s="74">
        <v>0</v>
      </c>
      <c r="S401" s="74">
        <v>0</v>
      </c>
      <c r="T401" s="74">
        <f t="shared" si="262"/>
        <v>0</v>
      </c>
      <c r="U401" s="74">
        <f t="shared" si="263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70">I424</f>
        <v>0</v>
      </c>
      <c r="J413" s="617">
        <f t="shared" si="270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1257">
        <f t="shared" ref="L414:N414" si="271">L415+L416</f>
        <v>0</v>
      </c>
      <c r="M414" s="264">
        <f t="shared" si="271"/>
        <v>0</v>
      </c>
      <c r="N414" s="264">
        <f t="shared" si="271"/>
        <v>0</v>
      </c>
      <c r="O414" s="264">
        <f t="shared" ref="O414:O422" si="272">IF(L414&gt;0,N414*100/L414,0)</f>
        <v>0</v>
      </c>
      <c r="P414" s="264">
        <f t="shared" ref="P414:P422" si="273">IF(M414&gt;0,N414*100/M414,0)</f>
        <v>0</v>
      </c>
      <c r="Q414" s="264">
        <f t="shared" ref="Q414:S414" ca="1" si="274">Q415+Q416</f>
        <v>0</v>
      </c>
      <c r="R414" s="264">
        <f t="shared" ca="1" si="274"/>
        <v>0</v>
      </c>
      <c r="S414" s="264">
        <f t="shared" ca="1" si="274"/>
        <v>0</v>
      </c>
      <c r="T414" s="264">
        <f t="shared" ref="T414:T422" ca="1" si="275">IF(Q414&gt;0,S414*100/Q414,0)</f>
        <v>0</v>
      </c>
      <c r="U414" s="264">
        <f t="shared" ref="U414:U422" ca="1" si="276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6">
        <f t="shared" ref="L415:N416" si="277">L418+L421</f>
        <v>0</v>
      </c>
      <c r="M415" s="77">
        <f t="shared" si="277"/>
        <v>0</v>
      </c>
      <c r="N415" s="77">
        <f t="shared" si="277"/>
        <v>0</v>
      </c>
      <c r="O415" s="77">
        <f t="shared" si="272"/>
        <v>0</v>
      </c>
      <c r="P415" s="77">
        <f t="shared" si="273"/>
        <v>0</v>
      </c>
      <c r="Q415" s="77">
        <f t="shared" ref="Q415:S416" si="278">Q418+Q421</f>
        <v>0</v>
      </c>
      <c r="R415" s="77">
        <f t="shared" si="278"/>
        <v>0</v>
      </c>
      <c r="S415" s="77">
        <f t="shared" si="278"/>
        <v>0</v>
      </c>
      <c r="T415" s="77">
        <f t="shared" si="275"/>
        <v>0</v>
      </c>
      <c r="U415" s="77">
        <f t="shared" si="276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3">
        <f t="shared" si="277"/>
        <v>0</v>
      </c>
      <c r="M416" s="74">
        <f t="shared" si="277"/>
        <v>0</v>
      </c>
      <c r="N416" s="74">
        <f t="shared" si="277"/>
        <v>0</v>
      </c>
      <c r="O416" s="74">
        <f t="shared" si="272"/>
        <v>0</v>
      </c>
      <c r="P416" s="74">
        <f t="shared" si="273"/>
        <v>0</v>
      </c>
      <c r="Q416" s="74">
        <f t="shared" ca="1" si="278"/>
        <v>0</v>
      </c>
      <c r="R416" s="74">
        <f t="shared" ca="1" si="278"/>
        <v>0</v>
      </c>
      <c r="S416" s="74">
        <f t="shared" ca="1" si="278"/>
        <v>0</v>
      </c>
      <c r="T416" s="74">
        <f t="shared" ca="1" si="275"/>
        <v>0</v>
      </c>
      <c r="U416" s="74">
        <f t="shared" ca="1" si="276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3">
        <f t="shared" ref="L417:N417" si="279">L418+L419</f>
        <v>0</v>
      </c>
      <c r="M417" s="74">
        <f t="shared" si="279"/>
        <v>0</v>
      </c>
      <c r="N417" s="74">
        <f t="shared" si="279"/>
        <v>0</v>
      </c>
      <c r="O417" s="74">
        <f t="shared" si="272"/>
        <v>0</v>
      </c>
      <c r="P417" s="74">
        <f t="shared" si="273"/>
        <v>0</v>
      </c>
      <c r="Q417" s="74">
        <f t="shared" ref="Q417:S417" ca="1" si="280">Q418+Q419</f>
        <v>0</v>
      </c>
      <c r="R417" s="74">
        <f t="shared" ca="1" si="280"/>
        <v>0</v>
      </c>
      <c r="S417" s="74">
        <f t="shared" ca="1" si="280"/>
        <v>0</v>
      </c>
      <c r="T417" s="74">
        <f t="shared" ca="1" si="275"/>
        <v>0</v>
      </c>
      <c r="U417" s="74">
        <f t="shared" ca="1" si="276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77">
        <f t="shared" si="272"/>
        <v>0</v>
      </c>
      <c r="P418" s="77">
        <f t="shared" si="273"/>
        <v>0</v>
      </c>
      <c r="Q418" s="77">
        <v>0</v>
      </c>
      <c r="R418" s="77">
        <v>0</v>
      </c>
      <c r="S418" s="77">
        <v>0</v>
      </c>
      <c r="T418" s="77">
        <f t="shared" si="275"/>
        <v>0</v>
      </c>
      <c r="U418" s="77">
        <f t="shared" si="276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74">
        <f t="shared" si="272"/>
        <v>0</v>
      </c>
      <c r="P419" s="74">
        <f t="shared" si="273"/>
        <v>0</v>
      </c>
      <c r="Q419" s="74">
        <f ca="1">IFERROR(__xludf.DUMMYFUNCTION("IMPORTRANGE(""https://docs.google.com/spreadsheets/d/1ItG2mGa2ceCfYo0BwxsXqNm01IGEUdYcSSLTEv9YCik/edit?usp=sharing"",""เบิกจ่ายกองทุน!BH62"")"),0)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IFERROR(__xludf.DUMMYFUNCTION("IMPORTRANGE(""https://docs.google.com/spreadsheets/d/1ItG2mGa2ceCfYo0BwxsXqNm01IGEUdYcSSLTEv9YCik/edit?usp=sharing"",""เบิกจ่ายกองทุน!BI62"")"),0)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IFERROR(__xludf.DUMMYFUNCTION("IMPORTRANGE(""https://docs.google.com/spreadsheets/d/1ItG2mGa2ceCfYo0BwxsXqNm01IGEUdYcSSLTEv9YCik/edit?usp=sharing"",""เบิกจ่ายกองทุน!BJ62"")"),0)</f>
        <v>0</v>
      </c>
      <c r="T419" s="74">
        <f t="shared" ca="1" si="275"/>
        <v>0</v>
      </c>
      <c r="U419" s="74">
        <f t="shared" ca="1" si="276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3">
        <f t="shared" ref="L420:N420" si="281">L421+L422</f>
        <v>0</v>
      </c>
      <c r="M420" s="74">
        <f t="shared" si="281"/>
        <v>0</v>
      </c>
      <c r="N420" s="74">
        <f t="shared" si="281"/>
        <v>0</v>
      </c>
      <c r="O420" s="74">
        <f t="shared" si="272"/>
        <v>0</v>
      </c>
      <c r="P420" s="74">
        <f t="shared" si="273"/>
        <v>0</v>
      </c>
      <c r="Q420" s="74">
        <f t="shared" ref="Q420:S420" si="282">Q421+Q422</f>
        <v>0</v>
      </c>
      <c r="R420" s="74">
        <f t="shared" si="282"/>
        <v>0</v>
      </c>
      <c r="S420" s="74">
        <f t="shared" si="282"/>
        <v>0</v>
      </c>
      <c r="T420" s="74">
        <f t="shared" si="275"/>
        <v>0</v>
      </c>
      <c r="U420" s="74">
        <f t="shared" si="276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77">
        <f t="shared" si="272"/>
        <v>0</v>
      </c>
      <c r="P421" s="77">
        <f t="shared" si="273"/>
        <v>0</v>
      </c>
      <c r="Q421" s="77">
        <v>0</v>
      </c>
      <c r="R421" s="77">
        <v>0</v>
      </c>
      <c r="S421" s="77">
        <v>0</v>
      </c>
      <c r="T421" s="77">
        <f t="shared" si="275"/>
        <v>0</v>
      </c>
      <c r="U421" s="77">
        <f t="shared" si="276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74">
        <f t="shared" si="272"/>
        <v>0</v>
      </c>
      <c r="P422" s="74">
        <f t="shared" si="273"/>
        <v>0</v>
      </c>
      <c r="Q422" s="74">
        <v>0</v>
      </c>
      <c r="R422" s="74">
        <v>0</v>
      </c>
      <c r="S422" s="74">
        <v>0</v>
      </c>
      <c r="T422" s="74">
        <f t="shared" si="275"/>
        <v>0</v>
      </c>
      <c r="U422" s="74">
        <f t="shared" si="276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3">I441</f>
        <v>0</v>
      </c>
      <c r="J424" s="622">
        <f t="shared" si="283"/>
        <v>0</v>
      </c>
      <c r="K424" s="264">
        <f t="shared" ref="K424:K426" ca="1" si="284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IFERROR(__xludf.DUMMYFUNCTION("IMPORTRANGE(""https://docs.google.com/spreadsheets/d/1eHaY18a8A9IcSdp1K8H6x8fbOy06t2VsZHhMHf-1x7Y/edit?usp=sharing"",""แผน!HJ62"")"),0)</f>
        <v>0</v>
      </c>
      <c r="J425" s="622">
        <f t="shared" ref="J425:J426" si="285">J427+J429+J431</f>
        <v>0</v>
      </c>
      <c r="K425" s="264">
        <f t="shared" ca="1" si="284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IFERROR(__xludf.DUMMYFUNCTION("IMPORTRANGE(""https://docs.google.com/spreadsheets/d/1eHaY18a8A9IcSdp1K8H6x8fbOy06t2VsZHhMHf-1x7Y/edit?usp=sharing"",""แผน!HK62"")"),0)</f>
        <v>0</v>
      </c>
      <c r="J426" s="622">
        <f t="shared" si="285"/>
        <v>0</v>
      </c>
      <c r="K426" s="264">
        <f t="shared" ca="1" si="284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IFERROR(__xludf.DUMMYFUNCTION("IMPORTRANGE(""https://docs.google.com/spreadsheets/d/1eHaY18a8A9IcSdp1K8H6x8fbOy06t2VsZHhMHf-1x7Y/edit?usp=sharing"",""แผน!HJ62"")"),0)</f>
        <v>0</v>
      </c>
      <c r="J433" s="622">
        <f t="shared" ref="J433:J434" si="286">J435+J437+J439</f>
        <v>0</v>
      </c>
      <c r="K433" s="264">
        <f t="shared" ref="K433:K434" ca="1" si="287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IFERROR(__xludf.DUMMYFUNCTION("IMPORTRANGE(""https://docs.google.com/spreadsheets/d/1eHaY18a8A9IcSdp1K8H6x8fbOy06t2VsZHhMHf-1x7Y/edit?usp=sharing"",""แผน!HK62"")"),0)</f>
        <v>0</v>
      </c>
      <c r="J434" s="622">
        <f t="shared" si="286"/>
        <v>0</v>
      </c>
      <c r="K434" s="264">
        <f t="shared" ca="1" si="287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IFERROR(__xludf.DUMMYFUNCTION("IMPORTRANGE(""https://docs.google.com/spreadsheets/d/1eHaY18a8A9IcSdp1K8H6x8fbOy06t2VsZHhMHf-1x7Y/edit?usp=sharing"",""แผน!HJ62"")"),0)</f>
        <v>0</v>
      </c>
      <c r="J441" s="622">
        <f t="shared" ref="J441:J442" si="288">J443+J445+J447+J453+J455</f>
        <v>0</v>
      </c>
      <c r="K441" s="264">
        <f t="shared" ref="K441:K442" ca="1" si="289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IFERROR(__xludf.DUMMYFUNCTION("IMPORTRANGE(""https://docs.google.com/spreadsheets/d/1eHaY18a8A9IcSdp1K8H6x8fbOy06t2VsZHhMHf-1x7Y/edit?usp=sharing"",""แผน!HK62"")"),0)</f>
        <v>0</v>
      </c>
      <c r="J442" s="622">
        <f t="shared" si="288"/>
        <v>0</v>
      </c>
      <c r="K442" s="264">
        <f t="shared" ca="1" si="289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90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90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1">I458</f>
        <v>0</v>
      </c>
      <c r="J457" s="622">
        <f t="shared" si="291"/>
        <v>0</v>
      </c>
      <c r="K457" s="264">
        <f t="shared" ref="K457:K459" ca="1" si="292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IFERROR(__xludf.DUMMYFUNCTION("IMPORTRANGE(""https://docs.google.com/spreadsheets/d/1eHaY18a8A9IcSdp1K8H6x8fbOy06t2VsZHhMHf-1x7Y/edit?usp=sharing"",""แผน!HL62"")"),0)</f>
        <v>0</v>
      </c>
      <c r="J458" s="622">
        <f t="shared" ref="J458:J459" si="293">J460+J468+J474</f>
        <v>0</v>
      </c>
      <c r="K458" s="264">
        <f t="shared" ca="1" si="292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IFERROR(__xludf.DUMMYFUNCTION("IMPORTRANGE(""https://docs.google.com/spreadsheets/d/1eHaY18a8A9IcSdp1K8H6x8fbOy06t2VsZHhMHf-1x7Y/edit?usp=sharing"",""แผน!HM62"")"),0)</f>
        <v>0</v>
      </c>
      <c r="J459" s="622">
        <f t="shared" si="293"/>
        <v>0</v>
      </c>
      <c r="K459" s="264">
        <f t="shared" ca="1" si="292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4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4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5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5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6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7">J479+J481</f>
        <v>0</v>
      </c>
      <c r="K477" s="264">
        <f t="shared" si="296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7"/>
        <v>0</v>
      </c>
      <c r="K478" s="264">
        <f t="shared" si="296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IFERROR(__xludf.DUMMYFUNCTION("IMPORTRANGE(""https://docs.google.com/spreadsheets/d/1eHaY18a8A9IcSdp1K8H6x8fbOy06t2VsZHhMHf-1x7Y/edit?usp=sharing"",""แผน!HN62"")"),0)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IFERROR(__xludf.DUMMYFUNCTION("IMPORTRANGE(""https://docs.google.com/spreadsheets/d/1eHaY18a8A9IcSdp1K8H6x8fbOy06t2VsZHhMHf-1x7Y/edit?usp=sharing"",""แผน!HO62"")"),0)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8">J481</f>
        <v>0</v>
      </c>
      <c r="J485" s="622">
        <f t="shared" ref="J485:J486" si="299">J487+J489+J491</f>
        <v>0</v>
      </c>
      <c r="K485" s="264">
        <f t="shared" ref="K485:K486" si="300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8"/>
        <v>0</v>
      </c>
      <c r="J486" s="622">
        <f t="shared" si="299"/>
        <v>0</v>
      </c>
      <c r="K486" s="264">
        <f t="shared" si="300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hidden="1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1">I504</f>
        <v>0</v>
      </c>
      <c r="J493" s="617">
        <f t="shared" ca="1" si="301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1257">
        <f t="shared" ref="L494:N494" si="302">L495+L496</f>
        <v>0</v>
      </c>
      <c r="M494" s="264">
        <f t="shared" si="302"/>
        <v>0</v>
      </c>
      <c r="N494" s="264">
        <f t="shared" si="302"/>
        <v>0</v>
      </c>
      <c r="O494" s="264">
        <f t="shared" ref="O494:O502" si="303">IF(L494&gt;0,N494*100/L494,0)</f>
        <v>0</v>
      </c>
      <c r="P494" s="264">
        <f t="shared" ref="P494:P502" si="304">IF(M494&gt;0,N494*100/M494,0)</f>
        <v>0</v>
      </c>
      <c r="Q494" s="264">
        <f t="shared" ref="Q494:S494" ca="1" si="305">Q495+Q496</f>
        <v>0</v>
      </c>
      <c r="R494" s="264">
        <f t="shared" ca="1" si="305"/>
        <v>0</v>
      </c>
      <c r="S494" s="264">
        <f t="shared" ca="1" si="305"/>
        <v>0</v>
      </c>
      <c r="T494" s="264">
        <f t="shared" ref="T494:T502" ca="1" si="306">IF(Q494&gt;0,S494*100/Q494,0)</f>
        <v>0</v>
      </c>
      <c r="U494" s="264">
        <f t="shared" ref="U494:U502" ca="1" si="307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6">
        <f t="shared" ref="L495:N496" si="308">L498+L501</f>
        <v>0</v>
      </c>
      <c r="M495" s="77">
        <f t="shared" si="308"/>
        <v>0</v>
      </c>
      <c r="N495" s="77">
        <f t="shared" si="308"/>
        <v>0</v>
      </c>
      <c r="O495" s="77">
        <f t="shared" si="303"/>
        <v>0</v>
      </c>
      <c r="P495" s="77">
        <f t="shared" si="304"/>
        <v>0</v>
      </c>
      <c r="Q495" s="77">
        <f t="shared" ref="Q495:S496" si="309">Q498+Q501</f>
        <v>0</v>
      </c>
      <c r="R495" s="77">
        <f t="shared" si="309"/>
        <v>0</v>
      </c>
      <c r="S495" s="77">
        <f t="shared" si="309"/>
        <v>0</v>
      </c>
      <c r="T495" s="77">
        <f t="shared" si="306"/>
        <v>0</v>
      </c>
      <c r="U495" s="77">
        <f t="shared" si="307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3">
        <f t="shared" si="308"/>
        <v>0</v>
      </c>
      <c r="M496" s="74">
        <f t="shared" si="308"/>
        <v>0</v>
      </c>
      <c r="N496" s="74">
        <f t="shared" si="308"/>
        <v>0</v>
      </c>
      <c r="O496" s="74">
        <f t="shared" si="303"/>
        <v>0</v>
      </c>
      <c r="P496" s="74">
        <f t="shared" si="304"/>
        <v>0</v>
      </c>
      <c r="Q496" s="74">
        <f t="shared" ca="1" si="309"/>
        <v>0</v>
      </c>
      <c r="R496" s="74">
        <f t="shared" ca="1" si="309"/>
        <v>0</v>
      </c>
      <c r="S496" s="74">
        <f t="shared" ca="1" si="309"/>
        <v>0</v>
      </c>
      <c r="T496" s="74">
        <f t="shared" ca="1" si="306"/>
        <v>0</v>
      </c>
      <c r="U496" s="74">
        <f t="shared" ca="1" si="307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3">
        <f t="shared" ref="L497:N497" si="310">L498+L499</f>
        <v>0</v>
      </c>
      <c r="M497" s="74">
        <f t="shared" si="310"/>
        <v>0</v>
      </c>
      <c r="N497" s="74">
        <f t="shared" si="310"/>
        <v>0</v>
      </c>
      <c r="O497" s="74">
        <f t="shared" si="303"/>
        <v>0</v>
      </c>
      <c r="P497" s="74">
        <f t="shared" si="304"/>
        <v>0</v>
      </c>
      <c r="Q497" s="74">
        <f t="shared" ref="Q497:S497" ca="1" si="311">Q498+Q499</f>
        <v>0</v>
      </c>
      <c r="R497" s="74">
        <f t="shared" ca="1" si="311"/>
        <v>0</v>
      </c>
      <c r="S497" s="74">
        <f t="shared" ca="1" si="311"/>
        <v>0</v>
      </c>
      <c r="T497" s="74">
        <f t="shared" ca="1" si="306"/>
        <v>0</v>
      </c>
      <c r="U497" s="74">
        <f t="shared" ca="1" si="307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77">
        <f t="shared" si="303"/>
        <v>0</v>
      </c>
      <c r="P498" s="77">
        <f t="shared" si="304"/>
        <v>0</v>
      </c>
      <c r="Q498" s="77">
        <v>0</v>
      </c>
      <c r="R498" s="77">
        <v>0</v>
      </c>
      <c r="S498" s="77">
        <v>0</v>
      </c>
      <c r="T498" s="77">
        <f t="shared" si="306"/>
        <v>0</v>
      </c>
      <c r="U498" s="77">
        <f t="shared" si="307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74">
        <f t="shared" si="303"/>
        <v>0</v>
      </c>
      <c r="P499" s="74">
        <f t="shared" si="304"/>
        <v>0</v>
      </c>
      <c r="Q499" s="74">
        <f ca="1">IFERROR(__xludf.DUMMYFUNCTION("IMPORTRANGE(""https://docs.google.com/spreadsheets/d/1ItG2mGa2ceCfYo0BwxsXqNm01IGEUdYcSSLTEv9YCik/edit?usp=sharing"",""เบิกจ่ายกองทุน!X62"")"),0)</f>
        <v>0</v>
      </c>
      <c r="R499" s="74">
        <f ca="1">IFERROR(__xludf.DUMMYFUNCTION("IMPORTRANGE(""https://docs.google.com/spreadsheets/d/1ItG2mGa2ceCfYo0BwxsXqNm01IGEUdYcSSLTEv9YCik/edit?usp=sharing"",""เบิกจ่ายกองทุน!Y62"")"),0)</f>
        <v>0</v>
      </c>
      <c r="S499" s="74">
        <f ca="1">IFERROR(__xludf.DUMMYFUNCTION("IMPORTRANGE(""https://docs.google.com/spreadsheets/d/1ItG2mGa2ceCfYo0BwxsXqNm01IGEUdYcSSLTEv9YCik/edit?usp=sharing"",""เบิกจ่ายกองทุน!Z62"")"),0)</f>
        <v>0</v>
      </c>
      <c r="T499" s="74">
        <f t="shared" ca="1" si="306"/>
        <v>0</v>
      </c>
      <c r="U499" s="74">
        <f t="shared" ca="1" si="307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3">
        <f t="shared" ref="L500:N500" si="312">L501+L502</f>
        <v>0</v>
      </c>
      <c r="M500" s="74">
        <f t="shared" si="312"/>
        <v>0</v>
      </c>
      <c r="N500" s="74">
        <f t="shared" si="312"/>
        <v>0</v>
      </c>
      <c r="O500" s="74">
        <f t="shared" si="303"/>
        <v>0</v>
      </c>
      <c r="P500" s="74">
        <f t="shared" si="304"/>
        <v>0</v>
      </c>
      <c r="Q500" s="74">
        <f t="shared" ref="Q500:S500" si="313">Q501+Q502</f>
        <v>0</v>
      </c>
      <c r="R500" s="74">
        <f t="shared" si="313"/>
        <v>0</v>
      </c>
      <c r="S500" s="74">
        <f t="shared" si="313"/>
        <v>0</v>
      </c>
      <c r="T500" s="74">
        <f t="shared" si="306"/>
        <v>0</v>
      </c>
      <c r="U500" s="74">
        <f t="shared" si="307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77">
        <f t="shared" si="303"/>
        <v>0</v>
      </c>
      <c r="P501" s="77">
        <f t="shared" si="304"/>
        <v>0</v>
      </c>
      <c r="Q501" s="77">
        <v>0</v>
      </c>
      <c r="R501" s="77">
        <v>0</v>
      </c>
      <c r="S501" s="77">
        <v>0</v>
      </c>
      <c r="T501" s="77">
        <f t="shared" si="306"/>
        <v>0</v>
      </c>
      <c r="U501" s="77">
        <f t="shared" si="307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74">
        <f t="shared" si="303"/>
        <v>0</v>
      </c>
      <c r="P502" s="74">
        <f t="shared" si="304"/>
        <v>0</v>
      </c>
      <c r="Q502" s="74">
        <v>0</v>
      </c>
      <c r="R502" s="74">
        <v>0</v>
      </c>
      <c r="S502" s="74">
        <v>0</v>
      </c>
      <c r="T502" s="74">
        <f t="shared" si="306"/>
        <v>0</v>
      </c>
      <c r="U502" s="74">
        <f t="shared" si="307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IFERROR(__xludf.DUMMYFUNCTION("IMPORTRANGE(""https://docs.google.com/spreadsheets/d/1eHaY18a8A9IcSdp1K8H6x8fbOy06t2VsZHhMHf-1x7Y/edit?usp=sharing"",""แผน!GX62"")"),0)</f>
        <v>0</v>
      </c>
      <c r="J504" s="622">
        <f ca="1">IF(AND(J505=I505,J506=I506,J507=I507,J508=I508),I504,0)</f>
        <v>0</v>
      </c>
      <c r="K504" s="264">
        <f t="shared" ref="K504:K510" ca="1" si="314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IFERROR(__xludf.DUMMYFUNCTION("IMPORTRANGE(""https://docs.google.com/spreadsheets/d/1eHaY18a8A9IcSdp1K8H6x8fbOy06t2VsZHhMHf-1x7Y/edit?usp=sharing"",""แผน!GY62"")"),0)</f>
        <v>0</v>
      </c>
      <c r="J505" s="294">
        <v>0</v>
      </c>
      <c r="K505" s="74">
        <f t="shared" ca="1" si="314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IFERROR(__xludf.DUMMYFUNCTION("IMPORTRANGE(""https://docs.google.com/spreadsheets/d/1eHaY18a8A9IcSdp1K8H6x8fbOy06t2VsZHhMHf-1x7Y/edit?usp=sharing"",""แผน!GZ62"")"),0)</f>
        <v>0</v>
      </c>
      <c r="J506" s="294">
        <v>0</v>
      </c>
      <c r="K506" s="74">
        <f t="shared" ca="1" si="314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IFERROR(__xludf.DUMMYFUNCTION("IMPORTRANGE(""https://docs.google.com/spreadsheets/d/1eHaY18a8A9IcSdp1K8H6x8fbOy06t2VsZHhMHf-1x7Y/edit?usp=sharing"",""แผน!HA62"")"),0)</f>
        <v>0</v>
      </c>
      <c r="J507" s="294">
        <v>0</v>
      </c>
      <c r="K507" s="74">
        <f t="shared" ca="1" si="314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IFERROR(__xludf.DUMMYFUNCTION("IMPORTRANGE(""https://docs.google.com/spreadsheets/d/1eHaY18a8A9IcSdp1K8H6x8fbOy06t2VsZHhMHf-1x7Y/edit?usp=sharing"",""แผน!HB62"")"),0)</f>
        <v>0</v>
      </c>
      <c r="J508" s="294">
        <v>0</v>
      </c>
      <c r="K508" s="74">
        <f t="shared" ca="1" si="314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4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IFERROR(__xludf.DUMMYFUNCTION("IMPORTRANGE(""https://docs.google.com/spreadsheets/d/1eHaY18a8A9IcSdp1K8H6x8fbOy06t2VsZHhMHf-1x7Y/edit?usp=sharing"",""แผน!HC62"")"),0)</f>
        <v>0</v>
      </c>
      <c r="J510" s="761">
        <v>0</v>
      </c>
      <c r="K510" s="182">
        <f t="shared" ca="1" si="314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8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204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1001" t="s">
        <v>61</v>
      </c>
      <c r="I513" s="988">
        <f t="shared" ref="I513:J513" si="315">I525</f>
        <v>0</v>
      </c>
      <c r="J513" s="988">
        <f t="shared" si="315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7">
        <f t="shared" ref="L514:N514" ca="1" si="316">L515+L516</f>
        <v>0</v>
      </c>
      <c r="M514" s="264">
        <f t="shared" ca="1" si="316"/>
        <v>0</v>
      </c>
      <c r="N514" s="264">
        <f t="shared" ca="1" si="316"/>
        <v>0</v>
      </c>
      <c r="O514" s="264">
        <f t="shared" ref="O514:O522" ca="1" si="317">IF(L514&gt;0,N514*100/L514,0)</f>
        <v>0</v>
      </c>
      <c r="P514" s="264">
        <f t="shared" ref="P514:P522" ca="1" si="318">IF(M514&gt;0,N514*100/M514,0)</f>
        <v>0</v>
      </c>
      <c r="Q514" s="264">
        <f t="shared" ref="Q514:S514" si="319">Q515+Q516</f>
        <v>0</v>
      </c>
      <c r="R514" s="264">
        <f t="shared" si="319"/>
        <v>0</v>
      </c>
      <c r="S514" s="264">
        <f t="shared" si="319"/>
        <v>0</v>
      </c>
      <c r="T514" s="264">
        <f t="shared" ref="T514:T522" si="320">IF(Q514&gt;0,S514*100/Q514,0)</f>
        <v>0</v>
      </c>
      <c r="U514" s="264">
        <f t="shared" ref="U514:U522" si="321">IF(R514&gt;0,S514*100/R514,0)</f>
        <v>0</v>
      </c>
    </row>
    <row r="515" spans="1:21" ht="18.75" hidden="1" x14ac:dyDescent="0.25">
      <c r="A515" s="257"/>
      <c r="B515" s="269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6">
        <f t="shared" ref="L515:N516" si="322">L518+L521</f>
        <v>0</v>
      </c>
      <c r="M515" s="77">
        <f t="shared" si="322"/>
        <v>0</v>
      </c>
      <c r="N515" s="77">
        <f t="shared" si="322"/>
        <v>0</v>
      </c>
      <c r="O515" s="77">
        <f t="shared" si="317"/>
        <v>0</v>
      </c>
      <c r="P515" s="77">
        <f t="shared" si="318"/>
        <v>0</v>
      </c>
      <c r="Q515" s="77">
        <f t="shared" ref="Q515:S516" si="323">Q518+Q521</f>
        <v>0</v>
      </c>
      <c r="R515" s="77">
        <f t="shared" si="323"/>
        <v>0</v>
      </c>
      <c r="S515" s="77">
        <f t="shared" si="323"/>
        <v>0</v>
      </c>
      <c r="T515" s="77">
        <f t="shared" si="320"/>
        <v>0</v>
      </c>
      <c r="U515" s="77">
        <f t="shared" si="321"/>
        <v>0</v>
      </c>
    </row>
    <row r="516" spans="1:21" ht="18.75" hidden="1" x14ac:dyDescent="0.25">
      <c r="A516" s="257"/>
      <c r="B516" s="258"/>
      <c r="C516" s="269"/>
      <c r="D516" s="258"/>
      <c r="E516" s="775" t="s">
        <v>21</v>
      </c>
      <c r="F516" s="258"/>
      <c r="G516" s="261"/>
      <c r="H516" s="266" t="s">
        <v>14</v>
      </c>
      <c r="I516" s="263"/>
      <c r="J516" s="263"/>
      <c r="K516" s="87"/>
      <c r="L516" s="73">
        <f t="shared" ca="1" si="322"/>
        <v>0</v>
      </c>
      <c r="M516" s="74">
        <f t="shared" ca="1" si="322"/>
        <v>0</v>
      </c>
      <c r="N516" s="74">
        <f t="shared" ca="1" si="322"/>
        <v>0</v>
      </c>
      <c r="O516" s="74">
        <f t="shared" ca="1" si="317"/>
        <v>0</v>
      </c>
      <c r="P516" s="74">
        <f t="shared" ca="1" si="318"/>
        <v>0</v>
      </c>
      <c r="Q516" s="74">
        <f t="shared" si="323"/>
        <v>0</v>
      </c>
      <c r="R516" s="74">
        <f t="shared" si="323"/>
        <v>0</v>
      </c>
      <c r="S516" s="74">
        <f t="shared" si="323"/>
        <v>0</v>
      </c>
      <c r="T516" s="74">
        <f t="shared" si="320"/>
        <v>0</v>
      </c>
      <c r="U516" s="74">
        <f t="shared" si="321"/>
        <v>0</v>
      </c>
    </row>
    <row r="517" spans="1:21" ht="18.75" hidden="1" x14ac:dyDescent="0.25">
      <c r="A517" s="257"/>
      <c r="B517" s="258"/>
      <c r="C517" s="269"/>
      <c r="D517" s="991" t="s">
        <v>22</v>
      </c>
      <c r="E517" s="269"/>
      <c r="F517" s="258"/>
      <c r="G517" s="261"/>
      <c r="H517" s="273" t="s">
        <v>14</v>
      </c>
      <c r="I517" s="272"/>
      <c r="J517" s="272"/>
      <c r="K517" s="229"/>
      <c r="L517" s="73">
        <f t="shared" ref="L517:N517" ca="1" si="324">L518+L519</f>
        <v>0</v>
      </c>
      <c r="M517" s="74">
        <f t="shared" ca="1" si="324"/>
        <v>0</v>
      </c>
      <c r="N517" s="74">
        <f t="shared" ca="1" si="324"/>
        <v>0</v>
      </c>
      <c r="O517" s="74">
        <f t="shared" ca="1" si="317"/>
        <v>0</v>
      </c>
      <c r="P517" s="74">
        <f t="shared" ca="1" si="318"/>
        <v>0</v>
      </c>
      <c r="Q517" s="74">
        <f t="shared" ref="Q517:S517" si="325">Q518+Q519</f>
        <v>0</v>
      </c>
      <c r="R517" s="74">
        <f t="shared" si="325"/>
        <v>0</v>
      </c>
      <c r="S517" s="74">
        <f t="shared" si="325"/>
        <v>0</v>
      </c>
      <c r="T517" s="74">
        <f t="shared" si="320"/>
        <v>0</v>
      </c>
      <c r="U517" s="74">
        <f t="shared" si="321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77">
        <f t="shared" si="317"/>
        <v>0</v>
      </c>
      <c r="P518" s="77">
        <f t="shared" si="318"/>
        <v>0</v>
      </c>
      <c r="Q518" s="77">
        <v>0</v>
      </c>
      <c r="R518" s="77">
        <v>0</v>
      </c>
      <c r="S518" s="77">
        <v>0</v>
      </c>
      <c r="T518" s="77">
        <f t="shared" si="320"/>
        <v>0</v>
      </c>
      <c r="U518" s="77">
        <f t="shared" si="321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3">
        <f ca="1">IFERROR(__xludf.DUMMYFUNCTION("IMPORTRANGE(""https://docs.google.com/spreadsheets/d/1-uDff_7J0KD5mKrp0Vvzr7lt3OU09vwQwhkpOPPYv2Y/edit?usp=sharing"",""งบพรบ!FM62"")"),0)</f>
        <v>0</v>
      </c>
      <c r="M519" s="74">
        <f ca="1">IFERROR(__xludf.DUMMYFUNCTION("IMPORTRANGE(""https://docs.google.com/spreadsheets/d/1-uDff_7J0KD5mKrp0Vvzr7lt3OU09vwQwhkpOPPYv2Y/edit?usp=sharing"",""งบพรบ!FR62"")"),0)</f>
        <v>0</v>
      </c>
      <c r="N519" s="74">
        <f ca="1">IFERROR(__xludf.DUMMYFUNCTION("IMPORTRANGE(""https://docs.google.com/spreadsheets/d/1-uDff_7J0KD5mKrp0Vvzr7lt3OU09vwQwhkpOPPYv2Y/edit?usp=sharing"",""งบพรบ!FT62"")"),0)</f>
        <v>0</v>
      </c>
      <c r="O519" s="74">
        <f t="shared" ca="1" si="317"/>
        <v>0</v>
      </c>
      <c r="P519" s="74">
        <f t="shared" ca="1" si="318"/>
        <v>0</v>
      </c>
      <c r="Q519" s="74">
        <v>0</v>
      </c>
      <c r="R519" s="74">
        <v>0</v>
      </c>
      <c r="S519" s="74">
        <v>0</v>
      </c>
      <c r="T519" s="74">
        <f t="shared" si="320"/>
        <v>0</v>
      </c>
      <c r="U519" s="74">
        <f t="shared" si="321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3">
        <f t="shared" ref="L520:N520" ca="1" si="326">L521+L522</f>
        <v>0</v>
      </c>
      <c r="M520" s="74">
        <f t="shared" ca="1" si="326"/>
        <v>0</v>
      </c>
      <c r="N520" s="74">
        <f t="shared" ca="1" si="326"/>
        <v>0</v>
      </c>
      <c r="O520" s="74">
        <f t="shared" ca="1" si="317"/>
        <v>0</v>
      </c>
      <c r="P520" s="74">
        <f t="shared" ca="1" si="318"/>
        <v>0</v>
      </c>
      <c r="Q520" s="74">
        <f t="shared" ref="Q520:S520" si="327">Q521+Q522</f>
        <v>0</v>
      </c>
      <c r="R520" s="74">
        <f t="shared" si="327"/>
        <v>0</v>
      </c>
      <c r="S520" s="74">
        <f t="shared" si="327"/>
        <v>0</v>
      </c>
      <c r="T520" s="74">
        <f t="shared" si="320"/>
        <v>0</v>
      </c>
      <c r="U520" s="74">
        <f t="shared" si="321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77">
        <f t="shared" si="317"/>
        <v>0</v>
      </c>
      <c r="P521" s="77">
        <f t="shared" si="318"/>
        <v>0</v>
      </c>
      <c r="Q521" s="77">
        <v>0</v>
      </c>
      <c r="R521" s="77">
        <v>0</v>
      </c>
      <c r="S521" s="77">
        <v>0</v>
      </c>
      <c r="T521" s="77">
        <f t="shared" si="320"/>
        <v>0</v>
      </c>
      <c r="U521" s="77">
        <f t="shared" si="321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3">
        <f ca="1">IFERROR(__xludf.DUMMYFUNCTION("IMPORTRANGE(""https://docs.google.com/spreadsheets/d/1-uDff_7J0KD5mKrp0Vvzr7lt3OU09vwQwhkpOPPYv2Y/edit?usp=sharing"",""งบพรบ!FP62"")"),0)</f>
        <v>0</v>
      </c>
      <c r="M522" s="74">
        <f ca="1">IFERROR(__xludf.DUMMYFUNCTION("IMPORTRANGE(""https://docs.google.com/spreadsheets/d/1-uDff_7J0KD5mKrp0Vvzr7lt3OU09vwQwhkpOPPYv2Y/edit?usp=sharing"",""งบพรบ!FS62"")"),0)</f>
        <v>0</v>
      </c>
      <c r="N522" s="74">
        <f ca="1">IFERROR(__xludf.DUMMYFUNCTION("IMPORTRANGE(""https://docs.google.com/spreadsheets/d/1-uDff_7J0KD5mKrp0Vvzr7lt3OU09vwQwhkpOPPYv2Y/edit?usp=sharing"",""งบพรบ!FU62"")"),0)</f>
        <v>0</v>
      </c>
      <c r="O522" s="74">
        <f t="shared" ca="1" si="317"/>
        <v>0</v>
      </c>
      <c r="P522" s="74">
        <f t="shared" ca="1" si="318"/>
        <v>0</v>
      </c>
      <c r="Q522" s="74">
        <v>0</v>
      </c>
      <c r="R522" s="74">
        <v>0</v>
      </c>
      <c r="S522" s="74">
        <v>0</v>
      </c>
      <c r="T522" s="74">
        <f t="shared" si="320"/>
        <v>0</v>
      </c>
      <c r="U522" s="74">
        <f t="shared" si="321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8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8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9">I546</f>
        <v>0</v>
      </c>
      <c r="J534" s="1002">
        <f t="shared" si="329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1257">
        <f t="shared" ref="L535:N535" si="330">L536+L537</f>
        <v>0</v>
      </c>
      <c r="M535" s="264">
        <f t="shared" si="330"/>
        <v>0</v>
      </c>
      <c r="N535" s="264">
        <f t="shared" si="330"/>
        <v>0</v>
      </c>
      <c r="O535" s="264">
        <f t="shared" ref="O535:O543" si="331">IF(L535&gt;0,N535*100/L535,0)</f>
        <v>0</v>
      </c>
      <c r="P535" s="264">
        <f t="shared" ref="P535:P543" si="332">IF(M535&gt;0,N535*100/M535,0)</f>
        <v>0</v>
      </c>
      <c r="Q535" s="264">
        <f t="shared" ref="Q535:S535" si="333">Q536+Q537</f>
        <v>0</v>
      </c>
      <c r="R535" s="264">
        <f t="shared" si="333"/>
        <v>0</v>
      </c>
      <c r="S535" s="264">
        <f t="shared" si="333"/>
        <v>0</v>
      </c>
      <c r="T535" s="264">
        <f t="shared" ref="T535:T543" si="334">IF(Q535&gt;0,S535*100/Q535,0)</f>
        <v>0</v>
      </c>
      <c r="U535" s="264">
        <f t="shared" ref="U535:U543" si="335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6">
        <f t="shared" ref="L536:N537" si="336">L539+L542</f>
        <v>0</v>
      </c>
      <c r="M536" s="77">
        <f t="shared" si="336"/>
        <v>0</v>
      </c>
      <c r="N536" s="77">
        <f t="shared" si="336"/>
        <v>0</v>
      </c>
      <c r="O536" s="77">
        <f t="shared" si="331"/>
        <v>0</v>
      </c>
      <c r="P536" s="77">
        <f t="shared" si="332"/>
        <v>0</v>
      </c>
      <c r="Q536" s="77">
        <f t="shared" ref="Q536:S537" si="337">Q539+Q542</f>
        <v>0</v>
      </c>
      <c r="R536" s="77">
        <f t="shared" si="337"/>
        <v>0</v>
      </c>
      <c r="S536" s="77">
        <f t="shared" si="337"/>
        <v>0</v>
      </c>
      <c r="T536" s="77">
        <f t="shared" si="334"/>
        <v>0</v>
      </c>
      <c r="U536" s="77">
        <f t="shared" si="335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3">
        <f t="shared" si="336"/>
        <v>0</v>
      </c>
      <c r="M537" s="74">
        <f t="shared" si="336"/>
        <v>0</v>
      </c>
      <c r="N537" s="74">
        <f t="shared" si="336"/>
        <v>0</v>
      </c>
      <c r="O537" s="74">
        <f t="shared" si="331"/>
        <v>0</v>
      </c>
      <c r="P537" s="74">
        <f t="shared" si="332"/>
        <v>0</v>
      </c>
      <c r="Q537" s="74">
        <f t="shared" si="337"/>
        <v>0</v>
      </c>
      <c r="R537" s="74">
        <f t="shared" si="337"/>
        <v>0</v>
      </c>
      <c r="S537" s="74">
        <f t="shared" si="337"/>
        <v>0</v>
      </c>
      <c r="T537" s="74">
        <f t="shared" si="334"/>
        <v>0</v>
      </c>
      <c r="U537" s="74">
        <f t="shared" si="335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3">
        <f t="shared" ref="L538:N538" si="338">L539+L540</f>
        <v>0</v>
      </c>
      <c r="M538" s="74">
        <f t="shared" si="338"/>
        <v>0</v>
      </c>
      <c r="N538" s="74">
        <f t="shared" si="338"/>
        <v>0</v>
      </c>
      <c r="O538" s="74">
        <f t="shared" si="331"/>
        <v>0</v>
      </c>
      <c r="P538" s="74">
        <f t="shared" si="332"/>
        <v>0</v>
      </c>
      <c r="Q538" s="74">
        <f t="shared" ref="Q538:S538" si="339">Q539+Q540</f>
        <v>0</v>
      </c>
      <c r="R538" s="74">
        <f t="shared" si="339"/>
        <v>0</v>
      </c>
      <c r="S538" s="74">
        <f t="shared" si="339"/>
        <v>0</v>
      </c>
      <c r="T538" s="74">
        <f t="shared" si="334"/>
        <v>0</v>
      </c>
      <c r="U538" s="74">
        <f t="shared" si="335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77">
        <f t="shared" si="331"/>
        <v>0</v>
      </c>
      <c r="P539" s="77">
        <f t="shared" si="332"/>
        <v>0</v>
      </c>
      <c r="Q539" s="77">
        <v>0</v>
      </c>
      <c r="R539" s="77">
        <v>0</v>
      </c>
      <c r="S539" s="77">
        <v>0</v>
      </c>
      <c r="T539" s="77">
        <f t="shared" si="334"/>
        <v>0</v>
      </c>
      <c r="U539" s="77">
        <f t="shared" si="335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74">
        <f t="shared" si="331"/>
        <v>0</v>
      </c>
      <c r="P540" s="74">
        <f t="shared" si="332"/>
        <v>0</v>
      </c>
      <c r="Q540" s="74">
        <v>0</v>
      </c>
      <c r="R540" s="74">
        <v>0</v>
      </c>
      <c r="S540" s="74">
        <v>0</v>
      </c>
      <c r="T540" s="74">
        <f t="shared" si="334"/>
        <v>0</v>
      </c>
      <c r="U540" s="74">
        <f t="shared" si="335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3">
        <f t="shared" ref="L541:N541" si="340">L542+L543</f>
        <v>0</v>
      </c>
      <c r="M541" s="74">
        <f t="shared" si="340"/>
        <v>0</v>
      </c>
      <c r="N541" s="74">
        <f t="shared" si="340"/>
        <v>0</v>
      </c>
      <c r="O541" s="74">
        <f t="shared" si="331"/>
        <v>0</v>
      </c>
      <c r="P541" s="74">
        <f t="shared" si="332"/>
        <v>0</v>
      </c>
      <c r="Q541" s="74">
        <f t="shared" ref="Q541:S541" si="341">Q542+Q543</f>
        <v>0</v>
      </c>
      <c r="R541" s="74">
        <f t="shared" si="341"/>
        <v>0</v>
      </c>
      <c r="S541" s="74">
        <f t="shared" si="341"/>
        <v>0</v>
      </c>
      <c r="T541" s="74">
        <f t="shared" si="334"/>
        <v>0</v>
      </c>
      <c r="U541" s="74">
        <f t="shared" si="335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77">
        <f t="shared" si="331"/>
        <v>0</v>
      </c>
      <c r="P542" s="77">
        <f t="shared" si="332"/>
        <v>0</v>
      </c>
      <c r="Q542" s="77">
        <v>0</v>
      </c>
      <c r="R542" s="77">
        <v>0</v>
      </c>
      <c r="S542" s="77">
        <v>0</v>
      </c>
      <c r="T542" s="77">
        <f t="shared" si="334"/>
        <v>0</v>
      </c>
      <c r="U542" s="77">
        <f t="shared" si="335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74">
        <f t="shared" si="331"/>
        <v>0</v>
      </c>
      <c r="P543" s="74">
        <f t="shared" si="332"/>
        <v>0</v>
      </c>
      <c r="Q543" s="74">
        <v>0</v>
      </c>
      <c r="R543" s="74">
        <v>0</v>
      </c>
      <c r="S543" s="74">
        <v>0</v>
      </c>
      <c r="T543" s="74">
        <f t="shared" si="334"/>
        <v>0</v>
      </c>
      <c r="U543" s="74">
        <f t="shared" si="335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2">I567</f>
        <v>0</v>
      </c>
      <c r="J555" s="1002">
        <f t="shared" si="342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1257">
        <f t="shared" ref="L556:N556" si="343">L557+L558</f>
        <v>0</v>
      </c>
      <c r="M556" s="264">
        <f t="shared" si="343"/>
        <v>0</v>
      </c>
      <c r="N556" s="264">
        <f t="shared" si="343"/>
        <v>0</v>
      </c>
      <c r="O556" s="264">
        <f t="shared" ref="O556:O564" si="344">IF(L556&gt;0,N556*100/L556,0)</f>
        <v>0</v>
      </c>
      <c r="P556" s="264">
        <f t="shared" ref="P556:P564" si="345">IF(M556&gt;0,N556*100/M556,0)</f>
        <v>0</v>
      </c>
      <c r="Q556" s="264">
        <f t="shared" ref="Q556:S556" si="346">Q557+Q558</f>
        <v>0</v>
      </c>
      <c r="R556" s="264">
        <f t="shared" si="346"/>
        <v>0</v>
      </c>
      <c r="S556" s="264">
        <f t="shared" si="346"/>
        <v>0</v>
      </c>
      <c r="T556" s="264">
        <f t="shared" ref="T556:T564" si="347">IF(Q556&gt;0,S556*100/Q556,0)</f>
        <v>0</v>
      </c>
      <c r="U556" s="264">
        <f t="shared" ref="U556:U564" si="348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6">
        <f t="shared" ref="L557:N558" si="349">L560+L563</f>
        <v>0</v>
      </c>
      <c r="M557" s="77">
        <f t="shared" si="349"/>
        <v>0</v>
      </c>
      <c r="N557" s="77">
        <f t="shared" si="349"/>
        <v>0</v>
      </c>
      <c r="O557" s="77">
        <f t="shared" si="344"/>
        <v>0</v>
      </c>
      <c r="P557" s="77">
        <f t="shared" si="345"/>
        <v>0</v>
      </c>
      <c r="Q557" s="77">
        <f t="shared" ref="Q557:S558" si="350">Q560+Q563</f>
        <v>0</v>
      </c>
      <c r="R557" s="77">
        <f t="shared" si="350"/>
        <v>0</v>
      </c>
      <c r="S557" s="77">
        <f t="shared" si="350"/>
        <v>0</v>
      </c>
      <c r="T557" s="77">
        <f t="shared" si="347"/>
        <v>0</v>
      </c>
      <c r="U557" s="77">
        <f t="shared" si="348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3">
        <f t="shared" si="349"/>
        <v>0</v>
      </c>
      <c r="M558" s="74">
        <f t="shared" si="349"/>
        <v>0</v>
      </c>
      <c r="N558" s="74">
        <f t="shared" si="349"/>
        <v>0</v>
      </c>
      <c r="O558" s="74">
        <f t="shared" si="344"/>
        <v>0</v>
      </c>
      <c r="P558" s="74">
        <f t="shared" si="345"/>
        <v>0</v>
      </c>
      <c r="Q558" s="74">
        <f t="shared" si="350"/>
        <v>0</v>
      </c>
      <c r="R558" s="74">
        <f t="shared" si="350"/>
        <v>0</v>
      </c>
      <c r="S558" s="74">
        <f t="shared" si="350"/>
        <v>0</v>
      </c>
      <c r="T558" s="74">
        <f t="shared" si="347"/>
        <v>0</v>
      </c>
      <c r="U558" s="74">
        <f t="shared" si="348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3">
        <f t="shared" ref="L559:N559" si="351">L560+L561</f>
        <v>0</v>
      </c>
      <c r="M559" s="74">
        <f t="shared" si="351"/>
        <v>0</v>
      </c>
      <c r="N559" s="74">
        <f t="shared" si="351"/>
        <v>0</v>
      </c>
      <c r="O559" s="74">
        <f t="shared" si="344"/>
        <v>0</v>
      </c>
      <c r="P559" s="74">
        <f t="shared" si="345"/>
        <v>0</v>
      </c>
      <c r="Q559" s="74">
        <f t="shared" ref="Q559:S559" si="352">Q560+Q561</f>
        <v>0</v>
      </c>
      <c r="R559" s="74">
        <f t="shared" si="352"/>
        <v>0</v>
      </c>
      <c r="S559" s="74">
        <f t="shared" si="352"/>
        <v>0</v>
      </c>
      <c r="T559" s="74">
        <f t="shared" si="347"/>
        <v>0</v>
      </c>
      <c r="U559" s="74">
        <f t="shared" si="348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77">
        <f t="shared" si="344"/>
        <v>0</v>
      </c>
      <c r="P560" s="77">
        <f t="shared" si="345"/>
        <v>0</v>
      </c>
      <c r="Q560" s="77">
        <v>0</v>
      </c>
      <c r="R560" s="77">
        <v>0</v>
      </c>
      <c r="S560" s="77">
        <v>0</v>
      </c>
      <c r="T560" s="77">
        <f t="shared" si="347"/>
        <v>0</v>
      </c>
      <c r="U560" s="77">
        <f t="shared" si="348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74">
        <f t="shared" si="344"/>
        <v>0</v>
      </c>
      <c r="P561" s="74">
        <f t="shared" si="345"/>
        <v>0</v>
      </c>
      <c r="Q561" s="74">
        <v>0</v>
      </c>
      <c r="R561" s="74">
        <v>0</v>
      </c>
      <c r="S561" s="74">
        <v>0</v>
      </c>
      <c r="T561" s="74">
        <f t="shared" si="347"/>
        <v>0</v>
      </c>
      <c r="U561" s="74">
        <f t="shared" si="348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3">
        <f t="shared" ref="L562:N562" si="353">L563+L564</f>
        <v>0</v>
      </c>
      <c r="M562" s="74">
        <f t="shared" si="353"/>
        <v>0</v>
      </c>
      <c r="N562" s="74">
        <f t="shared" si="353"/>
        <v>0</v>
      </c>
      <c r="O562" s="74">
        <f t="shared" si="344"/>
        <v>0</v>
      </c>
      <c r="P562" s="74">
        <f t="shared" si="345"/>
        <v>0</v>
      </c>
      <c r="Q562" s="74">
        <f t="shared" ref="Q562:S562" si="354">Q563+Q564</f>
        <v>0</v>
      </c>
      <c r="R562" s="74">
        <f t="shared" si="354"/>
        <v>0</v>
      </c>
      <c r="S562" s="74">
        <f t="shared" si="354"/>
        <v>0</v>
      </c>
      <c r="T562" s="74">
        <f t="shared" si="347"/>
        <v>0</v>
      </c>
      <c r="U562" s="74">
        <f t="shared" si="348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77">
        <f t="shared" si="344"/>
        <v>0</v>
      </c>
      <c r="P563" s="77">
        <f t="shared" si="345"/>
        <v>0</v>
      </c>
      <c r="Q563" s="77">
        <v>0</v>
      </c>
      <c r="R563" s="77">
        <v>0</v>
      </c>
      <c r="S563" s="77">
        <v>0</v>
      </c>
      <c r="T563" s="77">
        <f t="shared" si="347"/>
        <v>0</v>
      </c>
      <c r="U563" s="77">
        <f t="shared" si="348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74">
        <f t="shared" si="344"/>
        <v>0</v>
      </c>
      <c r="P564" s="74">
        <f t="shared" si="345"/>
        <v>0</v>
      </c>
      <c r="Q564" s="74">
        <v>0</v>
      </c>
      <c r="R564" s="74">
        <v>0</v>
      </c>
      <c r="S564" s="74">
        <v>0</v>
      </c>
      <c r="T564" s="74">
        <f t="shared" si="347"/>
        <v>0</v>
      </c>
      <c r="U564" s="74">
        <f t="shared" si="348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5">I588</f>
        <v>0</v>
      </c>
      <c r="J576" s="1002">
        <f t="shared" si="355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1257">
        <f t="shared" ref="L577:N577" si="356">L578+L579</f>
        <v>0</v>
      </c>
      <c r="M577" s="264">
        <f t="shared" si="356"/>
        <v>0</v>
      </c>
      <c r="N577" s="264">
        <f t="shared" si="356"/>
        <v>0</v>
      </c>
      <c r="O577" s="264">
        <f t="shared" ref="O577:O585" si="357">IF(L577&gt;0,N577*100/L577,0)</f>
        <v>0</v>
      </c>
      <c r="P577" s="264">
        <f t="shared" ref="P577:P585" si="358">IF(M577&gt;0,N577*100/M577,0)</f>
        <v>0</v>
      </c>
      <c r="Q577" s="264">
        <f t="shared" ref="Q577:S577" si="359">Q578+Q579</f>
        <v>0</v>
      </c>
      <c r="R577" s="264">
        <f t="shared" si="359"/>
        <v>0</v>
      </c>
      <c r="S577" s="264">
        <f t="shared" si="359"/>
        <v>0</v>
      </c>
      <c r="T577" s="264">
        <f t="shared" ref="T577:T585" si="360">IF(Q577&gt;0,S577*100/Q577,0)</f>
        <v>0</v>
      </c>
      <c r="U577" s="264">
        <f t="shared" ref="U577:U585" si="361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6">
        <f t="shared" ref="L578:N579" si="362">L581+L584</f>
        <v>0</v>
      </c>
      <c r="M578" s="77">
        <f t="shared" si="362"/>
        <v>0</v>
      </c>
      <c r="N578" s="77">
        <f t="shared" si="362"/>
        <v>0</v>
      </c>
      <c r="O578" s="77">
        <f t="shared" si="357"/>
        <v>0</v>
      </c>
      <c r="P578" s="77">
        <f t="shared" si="358"/>
        <v>0</v>
      </c>
      <c r="Q578" s="77">
        <f t="shared" ref="Q578:S579" si="363">Q581+Q584</f>
        <v>0</v>
      </c>
      <c r="R578" s="77">
        <f t="shared" si="363"/>
        <v>0</v>
      </c>
      <c r="S578" s="77">
        <f t="shared" si="363"/>
        <v>0</v>
      </c>
      <c r="T578" s="77">
        <f t="shared" si="360"/>
        <v>0</v>
      </c>
      <c r="U578" s="77">
        <f t="shared" si="361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3">
        <f t="shared" si="362"/>
        <v>0</v>
      </c>
      <c r="M579" s="74">
        <f t="shared" si="362"/>
        <v>0</v>
      </c>
      <c r="N579" s="74">
        <f t="shared" si="362"/>
        <v>0</v>
      </c>
      <c r="O579" s="74">
        <f t="shared" si="357"/>
        <v>0</v>
      </c>
      <c r="P579" s="74">
        <f t="shared" si="358"/>
        <v>0</v>
      </c>
      <c r="Q579" s="74">
        <f t="shared" si="363"/>
        <v>0</v>
      </c>
      <c r="R579" s="74">
        <f t="shared" si="363"/>
        <v>0</v>
      </c>
      <c r="S579" s="74">
        <f t="shared" si="363"/>
        <v>0</v>
      </c>
      <c r="T579" s="74">
        <f t="shared" si="360"/>
        <v>0</v>
      </c>
      <c r="U579" s="74">
        <f t="shared" si="361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3">
        <f t="shared" ref="L580:N580" si="364">L581+L582</f>
        <v>0</v>
      </c>
      <c r="M580" s="74">
        <f t="shared" si="364"/>
        <v>0</v>
      </c>
      <c r="N580" s="74">
        <f t="shared" si="364"/>
        <v>0</v>
      </c>
      <c r="O580" s="74">
        <f t="shared" si="357"/>
        <v>0</v>
      </c>
      <c r="P580" s="74">
        <f t="shared" si="358"/>
        <v>0</v>
      </c>
      <c r="Q580" s="74">
        <f t="shared" ref="Q580:S580" si="365">Q581+Q582</f>
        <v>0</v>
      </c>
      <c r="R580" s="74">
        <f t="shared" si="365"/>
        <v>0</v>
      </c>
      <c r="S580" s="74">
        <f t="shared" si="365"/>
        <v>0</v>
      </c>
      <c r="T580" s="74">
        <f t="shared" si="360"/>
        <v>0</v>
      </c>
      <c r="U580" s="74">
        <f t="shared" si="361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77">
        <f t="shared" si="357"/>
        <v>0</v>
      </c>
      <c r="P581" s="77">
        <f t="shared" si="358"/>
        <v>0</v>
      </c>
      <c r="Q581" s="77">
        <v>0</v>
      </c>
      <c r="R581" s="77">
        <v>0</v>
      </c>
      <c r="S581" s="77">
        <v>0</v>
      </c>
      <c r="T581" s="77">
        <f t="shared" si="360"/>
        <v>0</v>
      </c>
      <c r="U581" s="77">
        <f t="shared" si="361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74">
        <f t="shared" si="357"/>
        <v>0</v>
      </c>
      <c r="P582" s="74">
        <f t="shared" si="358"/>
        <v>0</v>
      </c>
      <c r="Q582" s="74">
        <v>0</v>
      </c>
      <c r="R582" s="74">
        <v>0</v>
      </c>
      <c r="S582" s="74">
        <v>0</v>
      </c>
      <c r="T582" s="74">
        <f t="shared" si="360"/>
        <v>0</v>
      </c>
      <c r="U582" s="74">
        <f t="shared" si="361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3">
        <f t="shared" ref="L583:N583" si="366">L584+L585</f>
        <v>0</v>
      </c>
      <c r="M583" s="74">
        <f t="shared" si="366"/>
        <v>0</v>
      </c>
      <c r="N583" s="74">
        <f t="shared" si="366"/>
        <v>0</v>
      </c>
      <c r="O583" s="74">
        <f t="shared" si="357"/>
        <v>0</v>
      </c>
      <c r="P583" s="74">
        <f t="shared" si="358"/>
        <v>0</v>
      </c>
      <c r="Q583" s="74">
        <f t="shared" ref="Q583:S583" si="367">Q584+Q585</f>
        <v>0</v>
      </c>
      <c r="R583" s="74">
        <f t="shared" si="367"/>
        <v>0</v>
      </c>
      <c r="S583" s="74">
        <f t="shared" si="367"/>
        <v>0</v>
      </c>
      <c r="T583" s="74">
        <f t="shared" si="360"/>
        <v>0</v>
      </c>
      <c r="U583" s="74">
        <f t="shared" si="361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77">
        <f t="shared" si="357"/>
        <v>0</v>
      </c>
      <c r="P584" s="77">
        <f t="shared" si="358"/>
        <v>0</v>
      </c>
      <c r="Q584" s="77">
        <v>0</v>
      </c>
      <c r="R584" s="77">
        <v>0</v>
      </c>
      <c r="S584" s="77">
        <v>0</v>
      </c>
      <c r="T584" s="77">
        <f t="shared" si="360"/>
        <v>0</v>
      </c>
      <c r="U584" s="77">
        <f t="shared" si="361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74">
        <f t="shared" si="357"/>
        <v>0</v>
      </c>
      <c r="P585" s="74">
        <f t="shared" si="358"/>
        <v>0</v>
      </c>
      <c r="Q585" s="74">
        <v>0</v>
      </c>
      <c r="R585" s="74">
        <v>0</v>
      </c>
      <c r="S585" s="74">
        <v>0</v>
      </c>
      <c r="T585" s="74">
        <f t="shared" si="360"/>
        <v>0</v>
      </c>
      <c r="U585" s="74">
        <f t="shared" si="361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1257">
        <f t="shared" ref="L600:N600" si="368">L601+L602</f>
        <v>0</v>
      </c>
      <c r="M600" s="264">
        <f t="shared" si="368"/>
        <v>0</v>
      </c>
      <c r="N600" s="264">
        <f t="shared" si="368"/>
        <v>0</v>
      </c>
      <c r="O600" s="264">
        <f t="shared" ref="O600:O608" si="369">IF(L600&gt;0,N600*100/L600,0)</f>
        <v>0</v>
      </c>
      <c r="P600" s="264">
        <f t="shared" ref="P600:P608" si="370">IF(M600&gt;0,N600*100/M600,0)</f>
        <v>0</v>
      </c>
      <c r="Q600" s="264">
        <f t="shared" ref="Q600:S600" si="371">Q601+Q602</f>
        <v>0</v>
      </c>
      <c r="R600" s="264">
        <f t="shared" si="371"/>
        <v>0</v>
      </c>
      <c r="S600" s="264">
        <f t="shared" si="371"/>
        <v>0</v>
      </c>
      <c r="T600" s="264">
        <f t="shared" ref="T600:T608" si="372">IF(Q600&gt;0,S600*100/Q600,0)</f>
        <v>0</v>
      </c>
      <c r="U600" s="264">
        <f t="shared" ref="U600:U608" si="373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6">
        <f t="shared" ref="L601:N602" si="374">L604+L607</f>
        <v>0</v>
      </c>
      <c r="M601" s="77">
        <f t="shared" si="374"/>
        <v>0</v>
      </c>
      <c r="N601" s="77">
        <f t="shared" si="374"/>
        <v>0</v>
      </c>
      <c r="O601" s="77">
        <f t="shared" si="369"/>
        <v>0</v>
      </c>
      <c r="P601" s="77">
        <f t="shared" si="370"/>
        <v>0</v>
      </c>
      <c r="Q601" s="77">
        <f t="shared" ref="Q601:S602" si="375">Q604+Q607</f>
        <v>0</v>
      </c>
      <c r="R601" s="77">
        <f t="shared" si="375"/>
        <v>0</v>
      </c>
      <c r="S601" s="77">
        <f t="shared" si="375"/>
        <v>0</v>
      </c>
      <c r="T601" s="77">
        <f t="shared" si="372"/>
        <v>0</v>
      </c>
      <c r="U601" s="77">
        <f t="shared" si="373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3">
        <f t="shared" si="374"/>
        <v>0</v>
      </c>
      <c r="M602" s="74">
        <f t="shared" si="374"/>
        <v>0</v>
      </c>
      <c r="N602" s="74">
        <f t="shared" si="374"/>
        <v>0</v>
      </c>
      <c r="O602" s="74">
        <f t="shared" si="369"/>
        <v>0</v>
      </c>
      <c r="P602" s="74">
        <f t="shared" si="370"/>
        <v>0</v>
      </c>
      <c r="Q602" s="74">
        <f t="shared" si="375"/>
        <v>0</v>
      </c>
      <c r="R602" s="74">
        <f t="shared" si="375"/>
        <v>0</v>
      </c>
      <c r="S602" s="74">
        <f t="shared" si="375"/>
        <v>0</v>
      </c>
      <c r="T602" s="74">
        <f t="shared" si="372"/>
        <v>0</v>
      </c>
      <c r="U602" s="74">
        <f t="shared" si="373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3">
        <f t="shared" ref="L603:N603" si="376">L604+L605</f>
        <v>0</v>
      </c>
      <c r="M603" s="74">
        <f t="shared" si="376"/>
        <v>0</v>
      </c>
      <c r="N603" s="74">
        <f t="shared" si="376"/>
        <v>0</v>
      </c>
      <c r="O603" s="74">
        <f t="shared" si="369"/>
        <v>0</v>
      </c>
      <c r="P603" s="74">
        <f t="shared" si="370"/>
        <v>0</v>
      </c>
      <c r="Q603" s="74">
        <f t="shared" ref="Q603:S603" si="377">Q604+Q605</f>
        <v>0</v>
      </c>
      <c r="R603" s="74">
        <f t="shared" si="377"/>
        <v>0</v>
      </c>
      <c r="S603" s="74">
        <f t="shared" si="377"/>
        <v>0</v>
      </c>
      <c r="T603" s="74">
        <f t="shared" si="372"/>
        <v>0</v>
      </c>
      <c r="U603" s="74">
        <f t="shared" si="373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77">
        <f t="shared" si="369"/>
        <v>0</v>
      </c>
      <c r="P604" s="77">
        <f t="shared" si="370"/>
        <v>0</v>
      </c>
      <c r="Q604" s="77">
        <v>0</v>
      </c>
      <c r="R604" s="77">
        <v>0</v>
      </c>
      <c r="S604" s="77">
        <v>0</v>
      </c>
      <c r="T604" s="77">
        <f t="shared" si="372"/>
        <v>0</v>
      </c>
      <c r="U604" s="77">
        <f t="shared" si="373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74">
        <f t="shared" si="369"/>
        <v>0</v>
      </c>
      <c r="P605" s="74">
        <f t="shared" si="370"/>
        <v>0</v>
      </c>
      <c r="Q605" s="74">
        <v>0</v>
      </c>
      <c r="R605" s="74">
        <v>0</v>
      </c>
      <c r="S605" s="74">
        <v>0</v>
      </c>
      <c r="T605" s="74">
        <f t="shared" si="372"/>
        <v>0</v>
      </c>
      <c r="U605" s="74">
        <f t="shared" si="373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3">
        <f t="shared" ref="L606:N606" si="378">L607+L608</f>
        <v>0</v>
      </c>
      <c r="M606" s="74">
        <f t="shared" si="378"/>
        <v>0</v>
      </c>
      <c r="N606" s="74">
        <f t="shared" si="378"/>
        <v>0</v>
      </c>
      <c r="O606" s="74">
        <f t="shared" si="369"/>
        <v>0</v>
      </c>
      <c r="P606" s="74">
        <f t="shared" si="370"/>
        <v>0</v>
      </c>
      <c r="Q606" s="74">
        <f t="shared" ref="Q606:S606" si="379">Q607+Q608</f>
        <v>0</v>
      </c>
      <c r="R606" s="74">
        <f t="shared" si="379"/>
        <v>0</v>
      </c>
      <c r="S606" s="74">
        <f t="shared" si="379"/>
        <v>0</v>
      </c>
      <c r="T606" s="74">
        <f t="shared" si="372"/>
        <v>0</v>
      </c>
      <c r="U606" s="74">
        <f t="shared" si="373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77">
        <f t="shared" si="369"/>
        <v>0</v>
      </c>
      <c r="P607" s="77">
        <f t="shared" si="370"/>
        <v>0</v>
      </c>
      <c r="Q607" s="77">
        <v>0</v>
      </c>
      <c r="R607" s="77">
        <v>0</v>
      </c>
      <c r="S607" s="77">
        <v>0</v>
      </c>
      <c r="T607" s="77">
        <f t="shared" si="372"/>
        <v>0</v>
      </c>
      <c r="U607" s="77">
        <f t="shared" si="373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74">
        <f t="shared" si="369"/>
        <v>0</v>
      </c>
      <c r="P608" s="74">
        <f t="shared" si="370"/>
        <v>0</v>
      </c>
      <c r="Q608" s="74">
        <v>0</v>
      </c>
      <c r="R608" s="74">
        <v>0</v>
      </c>
      <c r="S608" s="74">
        <v>0</v>
      </c>
      <c r="T608" s="74">
        <f t="shared" si="372"/>
        <v>0</v>
      </c>
      <c r="U608" s="74">
        <f t="shared" si="373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hidden="1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1245">
        <f t="shared" ref="I616:J616" ca="1" si="380">I627</f>
        <v>0</v>
      </c>
      <c r="J616" s="1245">
        <f t="shared" si="380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1257">
        <f t="shared" ref="L617:N617" si="381">L618+L619</f>
        <v>0</v>
      </c>
      <c r="M617" s="264">
        <f t="shared" si="381"/>
        <v>0</v>
      </c>
      <c r="N617" s="264">
        <f t="shared" si="381"/>
        <v>0</v>
      </c>
      <c r="O617" s="264">
        <f t="shared" ref="O617:O625" si="382">IF(L617&gt;0,N617*100/L617,0)</f>
        <v>0</v>
      </c>
      <c r="P617" s="264">
        <f t="shared" ref="P617:P625" si="383">IF(M617&gt;0,N617*100/M617,0)</f>
        <v>0</v>
      </c>
      <c r="Q617" s="264">
        <f t="shared" ref="Q617:S617" ca="1" si="384">Q618+Q619</f>
        <v>1800</v>
      </c>
      <c r="R617" s="264">
        <f t="shared" ca="1" si="384"/>
        <v>1800</v>
      </c>
      <c r="S617" s="264">
        <f t="shared" ca="1" si="384"/>
        <v>0</v>
      </c>
      <c r="T617" s="264">
        <f t="shared" ref="T617:T625" ca="1" si="385">IF(Q617&gt;0,S617*100/Q617,0)</f>
        <v>0</v>
      </c>
      <c r="U617" s="264">
        <f t="shared" ref="U617:U625" ca="1" si="386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6">
        <f t="shared" ref="L618:N619" si="387">L621+L624</f>
        <v>0</v>
      </c>
      <c r="M618" s="77">
        <f t="shared" si="387"/>
        <v>0</v>
      </c>
      <c r="N618" s="77">
        <f t="shared" si="387"/>
        <v>0</v>
      </c>
      <c r="O618" s="77">
        <f t="shared" si="382"/>
        <v>0</v>
      </c>
      <c r="P618" s="77">
        <f t="shared" si="383"/>
        <v>0</v>
      </c>
      <c r="Q618" s="77">
        <f t="shared" ref="Q618:S619" si="388">Q621+Q624</f>
        <v>0</v>
      </c>
      <c r="R618" s="77">
        <f t="shared" si="388"/>
        <v>0</v>
      </c>
      <c r="S618" s="77">
        <f t="shared" si="388"/>
        <v>0</v>
      </c>
      <c r="T618" s="77">
        <f t="shared" si="385"/>
        <v>0</v>
      </c>
      <c r="U618" s="77">
        <f t="shared" si="386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3">
        <f t="shared" si="387"/>
        <v>0</v>
      </c>
      <c r="M619" s="74">
        <f t="shared" si="387"/>
        <v>0</v>
      </c>
      <c r="N619" s="74">
        <f t="shared" si="387"/>
        <v>0</v>
      </c>
      <c r="O619" s="74">
        <f t="shared" si="382"/>
        <v>0</v>
      </c>
      <c r="P619" s="74">
        <f t="shared" si="383"/>
        <v>0</v>
      </c>
      <c r="Q619" s="74">
        <f t="shared" ca="1" si="388"/>
        <v>1800</v>
      </c>
      <c r="R619" s="74">
        <f t="shared" ca="1" si="388"/>
        <v>1800</v>
      </c>
      <c r="S619" s="74">
        <f t="shared" ca="1" si="388"/>
        <v>0</v>
      </c>
      <c r="T619" s="74">
        <f t="shared" ca="1" si="385"/>
        <v>0</v>
      </c>
      <c r="U619" s="74">
        <f t="shared" ca="1" si="386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3">
        <f t="shared" ref="L620:N620" si="389">L621+L622</f>
        <v>0</v>
      </c>
      <c r="M620" s="74">
        <f t="shared" si="389"/>
        <v>0</v>
      </c>
      <c r="N620" s="74">
        <f t="shared" si="389"/>
        <v>0</v>
      </c>
      <c r="O620" s="74">
        <f t="shared" si="382"/>
        <v>0</v>
      </c>
      <c r="P620" s="74">
        <f t="shared" si="383"/>
        <v>0</v>
      </c>
      <c r="Q620" s="74">
        <f t="shared" ref="Q620:S620" ca="1" si="390">Q621+Q622</f>
        <v>1800</v>
      </c>
      <c r="R620" s="74">
        <f t="shared" ca="1" si="390"/>
        <v>1800</v>
      </c>
      <c r="S620" s="74">
        <f t="shared" ca="1" si="390"/>
        <v>0</v>
      </c>
      <c r="T620" s="74">
        <f t="shared" ca="1" si="385"/>
        <v>0</v>
      </c>
      <c r="U620" s="74">
        <f t="shared" ca="1" si="386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77">
        <f t="shared" si="382"/>
        <v>0</v>
      </c>
      <c r="P621" s="77">
        <f t="shared" si="383"/>
        <v>0</v>
      </c>
      <c r="Q621" s="77">
        <v>0</v>
      </c>
      <c r="R621" s="77">
        <v>0</v>
      </c>
      <c r="S621" s="77">
        <v>0</v>
      </c>
      <c r="T621" s="77">
        <f t="shared" si="385"/>
        <v>0</v>
      </c>
      <c r="U621" s="77">
        <f t="shared" si="386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74">
        <f t="shared" si="382"/>
        <v>0</v>
      </c>
      <c r="P622" s="74">
        <f t="shared" si="383"/>
        <v>0</v>
      </c>
      <c r="Q622" s="74">
        <f ca="1">IFERROR(__xludf.DUMMYFUNCTION("IMPORTRANGE(""https://docs.google.com/spreadsheets/d/1ItG2mGa2ceCfYo0BwxsXqNm01IGEUdYcSSLTEv9YCik/edit?usp=sharing"",""เบิกจ่ายกองทุน!F62"")"),1800)</f>
        <v>1800</v>
      </c>
      <c r="R622" s="74">
        <f ca="1">IFERROR(__xludf.DUMMYFUNCTION("IMPORTRANGE(""https://docs.google.com/spreadsheets/d/1ItG2mGa2ceCfYo0BwxsXqNm01IGEUdYcSSLTEv9YCik/edit?usp=sharing"",""เบิกจ่ายกองทุน!G62"")"),1800)</f>
        <v>1800</v>
      </c>
      <c r="S622" s="74">
        <f ca="1">IFERROR(__xludf.DUMMYFUNCTION("IMPORTRANGE(""https://docs.google.com/spreadsheets/d/1ItG2mGa2ceCfYo0BwxsXqNm01IGEUdYcSSLTEv9YCik/edit?usp=sharing"",""เบิกจ่ายกองทุน!H62"")"),0)</f>
        <v>0</v>
      </c>
      <c r="T622" s="74">
        <f t="shared" ca="1" si="385"/>
        <v>0</v>
      </c>
      <c r="U622" s="74">
        <f t="shared" ca="1" si="386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3">
        <f t="shared" ref="L623:N623" si="391">L624+L625</f>
        <v>0</v>
      </c>
      <c r="M623" s="74">
        <f t="shared" si="391"/>
        <v>0</v>
      </c>
      <c r="N623" s="74">
        <f t="shared" si="391"/>
        <v>0</v>
      </c>
      <c r="O623" s="74">
        <f t="shared" si="382"/>
        <v>0</v>
      </c>
      <c r="P623" s="74">
        <f t="shared" si="383"/>
        <v>0</v>
      </c>
      <c r="Q623" s="74">
        <f t="shared" ref="Q623:S623" si="392">Q624+Q625</f>
        <v>0</v>
      </c>
      <c r="R623" s="74">
        <f t="shared" si="392"/>
        <v>0</v>
      </c>
      <c r="S623" s="74">
        <f t="shared" si="392"/>
        <v>0</v>
      </c>
      <c r="T623" s="74">
        <f t="shared" si="385"/>
        <v>0</v>
      </c>
      <c r="U623" s="74">
        <f t="shared" si="386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77">
        <f t="shared" si="382"/>
        <v>0</v>
      </c>
      <c r="P624" s="77">
        <f t="shared" si="383"/>
        <v>0</v>
      </c>
      <c r="Q624" s="77">
        <v>0</v>
      </c>
      <c r="R624" s="77">
        <v>0</v>
      </c>
      <c r="S624" s="77">
        <v>0</v>
      </c>
      <c r="T624" s="77">
        <f t="shared" si="385"/>
        <v>0</v>
      </c>
      <c r="U624" s="77">
        <f t="shared" si="386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74">
        <f t="shared" si="382"/>
        <v>0</v>
      </c>
      <c r="P625" s="74">
        <f t="shared" si="383"/>
        <v>0</v>
      </c>
      <c r="Q625" s="74">
        <v>0</v>
      </c>
      <c r="R625" s="74">
        <v>0</v>
      </c>
      <c r="S625" s="74">
        <v>0</v>
      </c>
      <c r="T625" s="74">
        <f t="shared" si="385"/>
        <v>0</v>
      </c>
      <c r="U625" s="74">
        <f t="shared" si="386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IFERROR(__xludf.DUMMYFUNCTION("IMPORTRANGE(""https://docs.google.com/spreadsheets/d/1eHaY18a8A9IcSdp1K8H6x8fbOy06t2VsZHhMHf-1x7Y/edit?usp=sharing"",""แผน!ID62"")"),0)</f>
        <v>0</v>
      </c>
      <c r="J627" s="622">
        <f>J633</f>
        <v>0</v>
      </c>
      <c r="K627" s="26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IFERROR(__xludf.DUMMYFUNCTION("IMPORTRANGE(""https://docs.google.com/spreadsheets/d/1eHaY18a8A9IcSdp1K8H6x8fbOy06t2VsZHhMHf-1x7Y/edit?usp=sharing"",""แผน!IC62"")"),1)</f>
        <v>1</v>
      </c>
      <c r="J628" s="294">
        <v>0</v>
      </c>
      <c r="K628" s="74">
        <f t="shared" ref="K628:K629" ca="1" si="393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IFERROR(__xludf.DUMMYFUNCTION("IMPORTRANGE(""https://docs.google.com/spreadsheets/d/1eHaY18a8A9IcSdp1K8H6x8fbOy06t2VsZHhMHf-1x7Y/edit?usp=sharing"",""แผน!IC62"")"),1)</f>
        <v>1</v>
      </c>
      <c r="J629" s="294">
        <v>0</v>
      </c>
      <c r="K629" s="74">
        <f t="shared" ca="1" si="393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0</v>
      </c>
      <c r="K630" s="74">
        <f t="shared" ref="K630:K632" ca="1" si="394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t="shared" ca="1" si="394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t="shared" ca="1" si="394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IFERROR(__xludf.DUMMYFUNCTION("IMPORTRANGE(""https://docs.google.com/spreadsheets/d/1eHaY18a8A9IcSdp1K8H6x8fbOy06t2VsZHhMHf-1x7Y/edit?usp=sharing"",""แผน!IE62"")"),0)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hidden="1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hidden="1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1257">
        <f t="shared" ref="L643:N643" si="395">L644+L645</f>
        <v>0</v>
      </c>
      <c r="M643" s="264">
        <f t="shared" si="395"/>
        <v>0</v>
      </c>
      <c r="N643" s="264">
        <f t="shared" si="395"/>
        <v>0</v>
      </c>
      <c r="O643" s="264">
        <f t="shared" ref="O643:O651" si="396">IF(L643&gt;0,N643*100/L643,0)</f>
        <v>0</v>
      </c>
      <c r="P643" s="264">
        <f t="shared" ref="P643:P651" si="397">IF(M643&gt;0,N643*100/M643,0)</f>
        <v>0</v>
      </c>
      <c r="Q643" s="264">
        <f t="shared" ref="Q643:S643" ca="1" si="398">Q644+Q645</f>
        <v>0</v>
      </c>
      <c r="R643" s="264">
        <f t="shared" ca="1" si="398"/>
        <v>0</v>
      </c>
      <c r="S643" s="264">
        <f t="shared" ca="1" si="398"/>
        <v>0</v>
      </c>
      <c r="T643" s="264">
        <f t="shared" ref="T643:T651" ca="1" si="399">IF(Q643&gt;0,S643*100/Q643,0)</f>
        <v>0</v>
      </c>
      <c r="U643" s="264">
        <f t="shared" ref="U643:U651" ca="1" si="400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6">
        <f t="shared" ref="L644:N645" si="401">L647+L650</f>
        <v>0</v>
      </c>
      <c r="M644" s="77">
        <f t="shared" si="401"/>
        <v>0</v>
      </c>
      <c r="N644" s="77">
        <f t="shared" si="401"/>
        <v>0</v>
      </c>
      <c r="O644" s="77">
        <f t="shared" si="396"/>
        <v>0</v>
      </c>
      <c r="P644" s="77">
        <f t="shared" si="397"/>
        <v>0</v>
      </c>
      <c r="Q644" s="77">
        <f t="shared" ref="Q644:S645" si="402">Q647+Q650</f>
        <v>0</v>
      </c>
      <c r="R644" s="77">
        <f t="shared" si="402"/>
        <v>0</v>
      </c>
      <c r="S644" s="77">
        <f t="shared" si="402"/>
        <v>0</v>
      </c>
      <c r="T644" s="77">
        <f t="shared" si="399"/>
        <v>0</v>
      </c>
      <c r="U644" s="77">
        <f t="shared" si="400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3">
        <f t="shared" si="401"/>
        <v>0</v>
      </c>
      <c r="M645" s="74">
        <f t="shared" si="401"/>
        <v>0</v>
      </c>
      <c r="N645" s="74">
        <f t="shared" si="401"/>
        <v>0</v>
      </c>
      <c r="O645" s="74">
        <f t="shared" si="396"/>
        <v>0</v>
      </c>
      <c r="P645" s="74">
        <f t="shared" si="397"/>
        <v>0</v>
      </c>
      <c r="Q645" s="74">
        <f t="shared" ca="1" si="402"/>
        <v>0</v>
      </c>
      <c r="R645" s="74">
        <f t="shared" ca="1" si="402"/>
        <v>0</v>
      </c>
      <c r="S645" s="74">
        <f t="shared" ca="1" si="402"/>
        <v>0</v>
      </c>
      <c r="T645" s="74">
        <f t="shared" ca="1" si="399"/>
        <v>0</v>
      </c>
      <c r="U645" s="74">
        <f t="shared" ca="1" si="400"/>
        <v>0</v>
      </c>
    </row>
    <row r="646" spans="1:21" ht="18.75" hidden="1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3">
        <f t="shared" ref="L646:N646" si="403">L647+L648</f>
        <v>0</v>
      </c>
      <c r="M646" s="74">
        <f t="shared" si="403"/>
        <v>0</v>
      </c>
      <c r="N646" s="74">
        <f t="shared" si="403"/>
        <v>0</v>
      </c>
      <c r="O646" s="74">
        <f t="shared" si="396"/>
        <v>0</v>
      </c>
      <c r="P646" s="74">
        <f t="shared" si="397"/>
        <v>0</v>
      </c>
      <c r="Q646" s="74">
        <f t="shared" ref="Q646:S646" ca="1" si="404">Q647+Q648</f>
        <v>0</v>
      </c>
      <c r="R646" s="74">
        <f t="shared" ca="1" si="404"/>
        <v>0</v>
      </c>
      <c r="S646" s="74">
        <f t="shared" ca="1" si="404"/>
        <v>0</v>
      </c>
      <c r="T646" s="74">
        <f t="shared" ca="1" si="399"/>
        <v>0</v>
      </c>
      <c r="U646" s="74">
        <f t="shared" ca="1" si="400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77">
        <f t="shared" si="396"/>
        <v>0</v>
      </c>
      <c r="P647" s="77">
        <f t="shared" si="397"/>
        <v>0</v>
      </c>
      <c r="Q647" s="77">
        <v>0</v>
      </c>
      <c r="R647" s="77">
        <v>0</v>
      </c>
      <c r="S647" s="77">
        <v>0</v>
      </c>
      <c r="T647" s="77">
        <f t="shared" si="399"/>
        <v>0</v>
      </c>
      <c r="U647" s="77">
        <f t="shared" si="400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74">
        <f t="shared" si="396"/>
        <v>0</v>
      </c>
      <c r="P648" s="74">
        <f t="shared" si="397"/>
        <v>0</v>
      </c>
      <c r="Q648" s="74">
        <f ca="1">IFERROR(__xludf.DUMMYFUNCTION("IMPORTRANGE(""https://docs.google.com/spreadsheets/d/1ItG2mGa2ceCfYo0BwxsXqNm01IGEUdYcSSLTEv9YCik/edit?usp=sharing"",""เบิกจ่ายกองทุน!I62"")"),0)</f>
        <v>0</v>
      </c>
      <c r="R648" s="74">
        <f ca="1">IFERROR(__xludf.DUMMYFUNCTION("IMPORTRANGE(""https://docs.google.com/spreadsheets/d/1ItG2mGa2ceCfYo0BwxsXqNm01IGEUdYcSSLTEv9YCik/edit?usp=sharing"",""เบิกจ่ายกองทุน!J62"")"),0)</f>
        <v>0</v>
      </c>
      <c r="S648" s="74">
        <f ca="1">IFERROR(__xludf.DUMMYFUNCTION("IMPORTRANGE(""https://docs.google.com/spreadsheets/d/1ItG2mGa2ceCfYo0BwxsXqNm01IGEUdYcSSLTEv9YCik/edit?usp=sharing"",""เบิกจ่ายกองทุน!K62"")"),0)</f>
        <v>0</v>
      </c>
      <c r="T648" s="74">
        <f t="shared" ca="1" si="399"/>
        <v>0</v>
      </c>
      <c r="U648" s="74">
        <f t="shared" ca="1" si="400"/>
        <v>0</v>
      </c>
    </row>
    <row r="649" spans="1:21" ht="18.75" hidden="1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3">
        <f t="shared" ref="L649:N649" si="405">L650+L651</f>
        <v>0</v>
      </c>
      <c r="M649" s="74">
        <f t="shared" si="405"/>
        <v>0</v>
      </c>
      <c r="N649" s="74">
        <f t="shared" si="405"/>
        <v>0</v>
      </c>
      <c r="O649" s="74">
        <f t="shared" si="396"/>
        <v>0</v>
      </c>
      <c r="P649" s="74">
        <f t="shared" si="397"/>
        <v>0</v>
      </c>
      <c r="Q649" s="74">
        <f t="shared" ref="Q649:S649" si="406">Q650+Q651</f>
        <v>0</v>
      </c>
      <c r="R649" s="74">
        <f t="shared" si="406"/>
        <v>0</v>
      </c>
      <c r="S649" s="74">
        <f t="shared" si="406"/>
        <v>0</v>
      </c>
      <c r="T649" s="74">
        <f t="shared" si="399"/>
        <v>0</v>
      </c>
      <c r="U649" s="74">
        <f t="shared" si="400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77">
        <f t="shared" si="396"/>
        <v>0</v>
      </c>
      <c r="P650" s="77">
        <f t="shared" si="397"/>
        <v>0</v>
      </c>
      <c r="Q650" s="77">
        <v>0</v>
      </c>
      <c r="R650" s="77">
        <v>0</v>
      </c>
      <c r="S650" s="77">
        <v>0</v>
      </c>
      <c r="T650" s="77">
        <f t="shared" si="399"/>
        <v>0</v>
      </c>
      <c r="U650" s="77">
        <f t="shared" si="400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74">
        <f t="shared" si="396"/>
        <v>0</v>
      </c>
      <c r="P651" s="74">
        <f t="shared" si="397"/>
        <v>0</v>
      </c>
      <c r="Q651" s="74">
        <v>0</v>
      </c>
      <c r="R651" s="74">
        <v>0</v>
      </c>
      <c r="S651" s="74">
        <v>0</v>
      </c>
      <c r="T651" s="74">
        <f t="shared" si="399"/>
        <v>0</v>
      </c>
      <c r="U651" s="74">
        <f t="shared" si="400"/>
        <v>0</v>
      </c>
    </row>
    <row r="652" spans="1:21" ht="19.5" hidden="1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IFERROR(__xludf.DUMMYFUNCTION("IMPORTRANGE(""https://docs.google.com/spreadsheets/d/1eHaY18a8A9IcSdp1K8H6x8fbOy06t2VsZHhMHf-1x7Y/edit?usp=sharing"",""แผน!IF62"")"),0)</f>
        <v>0</v>
      </c>
      <c r="J653" s="293">
        <f ca="1">IFERROR(__xludf.DUMMYFUNCTION("IMPORTRANGE(""https://docs.google.com/spreadsheets/d/1tdoBKaGub7dwA3U6UFTqxio9LNnvDCQjHKmttSEBsFQ/edit?usp=sharing"",""จัดที่ดิน!AU62"")"),0)</f>
        <v>0</v>
      </c>
      <c r="K653" s="74">
        <f t="shared" ref="K653:K655" ca="1" si="407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hidden="1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IFERROR(__xludf.DUMMYFUNCTION("IMPORTRANGE(""https://docs.google.com/spreadsheets/d/1eHaY18a8A9IcSdp1K8H6x8fbOy06t2VsZHhMHf-1x7Y/edit?usp=sharing"",""แผน!IG62"")"),0)</f>
        <v>0</v>
      </c>
      <c r="J654" s="293">
        <f ca="1">IFERROR(__xludf.DUMMYFUNCTION("IMPORTRANGE(""https://docs.google.com/spreadsheets/d/1tdoBKaGub7dwA3U6UFTqxio9LNnvDCQjHKmttSEBsFQ/edit?usp=sharing"",""จัดที่ดิน!AW62"")"),0)</f>
        <v>0</v>
      </c>
      <c r="K654" s="74">
        <f t="shared" ca="1" si="407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hidden="1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IFERROR(__xludf.DUMMYFUNCTION("IMPORTRANGE(""https://docs.google.com/spreadsheets/d/1eHaY18a8A9IcSdp1K8H6x8fbOy06t2VsZHhMHf-1x7Y/edit?usp=sharing"",""แผน!IH62"")"),0)</f>
        <v>0</v>
      </c>
      <c r="J655" s="622">
        <f>J658+J661</f>
        <v>0</v>
      </c>
      <c r="K655" s="264">
        <f t="shared" ca="1" si="407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hidden="1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hidden="1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hidden="1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IFERROR(__xludf.DUMMYFUNCTION("IMPORTRANGE(""https://docs.google.com/spreadsheets/d/1eHaY18a8A9IcSdp1K8H6x8fbOy06t2VsZHhMHf-1x7Y/edit?usp=sharing"",""แผน!II62"")"),0)</f>
        <v>0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hidden="1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hidden="1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hidden="1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IFERROR(__xludf.DUMMYFUNCTION("IMPORTRANGE(""https://docs.google.com/spreadsheets/d/1eHaY18a8A9IcSdp1K8H6x8fbOy06t2VsZHhMHf-1x7Y/edit?usp=sharing"",""แผน!IJ62"")"),0)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hidden="1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IFERROR(__xludf.DUMMYFUNCTION("IMPORTRANGE(""https://docs.google.com/spreadsheets/d/1eHaY18a8A9IcSdp1K8H6x8fbOy06t2VsZHhMHf-1x7Y/edit?usp=sharing"",""แผน!IK62"")"),0)</f>
        <v>0</v>
      </c>
      <c r="J662" s="622">
        <f>J668+J671</f>
        <v>0</v>
      </c>
      <c r="K662" s="264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hidden="1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hidden="1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hidden="1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hidden="1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hidden="1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hidden="1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hidden="1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hidden="1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hidden="1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hidden="1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IFERROR(__xludf.DUMMYFUNCTION("IMPORTRANGE(""https://docs.google.com/spreadsheets/d/1tdoBKaGub7dwA3U6UFTqxio9LNnvDCQjHKmttSEBsFQ/edit?usp=sharing"",""จัดที่ดิน!AY62"")"),0)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hidden="1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IFERROR(__xludf.DUMMYFUNCTION("IMPORTRANGE(""https://docs.google.com/spreadsheets/d/1tdoBKaGub7dwA3U6UFTqxio9LNnvDCQjHKmttSEBsFQ/edit?usp=sharing"",""จัดที่ดิน!AZ62"")"),0)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hidden="1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IFERROR(__xludf.DUMMYFUNCTION("IMPORTRANGE(""https://docs.google.com/spreadsheets/d/1eHaY18a8A9IcSdp1K8H6x8fbOy06t2VsZHhMHf-1x7Y/edit?usp=sharing"",""แผน!IL62"")"),0)</f>
        <v>0</v>
      </c>
      <c r="J674" s="293">
        <f ca="1">IFERROR(__xludf.DUMMYFUNCTION("IMPORTRANGE(""https://docs.google.com/spreadsheets/d/1tdoBKaGub7dwA3U6UFTqxio9LNnvDCQjHKmttSEBsFQ/edit?usp=sharing"",""จัดที่ดิน!BA62"")"),0)</f>
        <v>0</v>
      </c>
      <c r="K674" s="74">
        <f t="shared" ref="K674:K677" ca="1" si="408">IF(I674&gt;0,J674*100/I674,0)</f>
        <v>0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hidden="1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IFERROR(__xludf.DUMMYFUNCTION("IMPORTRANGE(""https://docs.google.com/spreadsheets/d/1eHaY18a8A9IcSdp1K8H6x8fbOy06t2VsZHhMHf-1x7Y/edit?usp=sharing"",""แผน!IM62"")"),0)</f>
        <v>0</v>
      </c>
      <c r="J675" s="622">
        <f ca="1">J677+J680</f>
        <v>0</v>
      </c>
      <c r="K675" s="264">
        <f t="shared" ca="1" si="408"/>
        <v>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hidden="1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IFERROR(__xludf.DUMMYFUNCTION("IMPORTRANGE(""https://docs.google.com/spreadsheets/d/1eHaY18a8A9IcSdp1K8H6x8fbOy06t2VsZHhMHf-1x7Y/edit?usp=sharing"",""แผน!IN62"")"),0)</f>
        <v>0</v>
      </c>
      <c r="J676" s="622">
        <f ca="1">J679+J682</f>
        <v>0</v>
      </c>
      <c r="K676" s="264">
        <f t="shared" ca="1" si="408"/>
        <v>0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hidden="1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IFERROR(__xludf.DUMMYFUNCTION("IMPORTRANGE(""https://docs.google.com/spreadsheets/d/1eHaY18a8A9IcSdp1K8H6x8fbOy06t2VsZHhMHf-1x7Y/edit?usp=sharing"",""แผน!IO62"")"),0)</f>
        <v>0</v>
      </c>
      <c r="J677" s="293">
        <f ca="1">IFERROR(__xludf.DUMMYFUNCTION("IMPORTRANGE(""https://docs.google.com/spreadsheets/d/1tdoBKaGub7dwA3U6UFTqxio9LNnvDCQjHKmttSEBsFQ/edit?usp=sharing"",""จัดที่ดิน!BF62"")"),0)</f>
        <v>0</v>
      </c>
      <c r="K677" s="74">
        <f t="shared" ca="1" si="408"/>
        <v>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hidden="1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IFERROR(__xludf.DUMMYFUNCTION("IMPORTRANGE(""https://docs.google.com/spreadsheets/d/1tdoBKaGub7dwA3U6UFTqxio9LNnvDCQjHKmttSEBsFQ/edit?usp=sharing"",""จัดที่ดิน!BG62"")"),0)</f>
        <v>0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hidden="1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IFERROR(__xludf.DUMMYFUNCTION("IMPORTRANGE(""https://docs.google.com/spreadsheets/d/1eHaY18a8A9IcSdp1K8H6x8fbOy06t2VsZHhMHf-1x7Y/edit?usp=sharing"",""แผน!IP62"")"),0)</f>
        <v>0</v>
      </c>
      <c r="J679" s="293">
        <f ca="1">IFERROR(__xludf.DUMMYFUNCTION("IMPORTRANGE(""https://docs.google.com/spreadsheets/d/1tdoBKaGub7dwA3U6UFTqxio9LNnvDCQjHKmttSEBsFQ/edit?usp=sharing"",""จัดที่ดิน!BH62"")"),0)</f>
        <v>0</v>
      </c>
      <c r="K679" s="74">
        <f t="shared" ref="K679:K680" ca="1" si="409">IF(I679&gt;0,J679*100/I679,0)</f>
        <v>0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hidden="1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IFERROR(__xludf.DUMMYFUNCTION("IMPORTRANGE(""https://docs.google.com/spreadsheets/d/1eHaY18a8A9IcSdp1K8H6x8fbOy06t2VsZHhMHf-1x7Y/edit?usp=sharing"",""แผน!IQ62"")"),0)</f>
        <v>0</v>
      </c>
      <c r="J680" s="293">
        <f ca="1">IFERROR(__xludf.DUMMYFUNCTION("IMPORTRANGE(""https://docs.google.com/spreadsheets/d/1tdoBKaGub7dwA3U6UFTqxio9LNnvDCQjHKmttSEBsFQ/edit?usp=sharing"",""จัดที่ดิน!BK62"")"),0)</f>
        <v>0</v>
      </c>
      <c r="K680" s="74">
        <f t="shared" ca="1" si="409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hidden="1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IFERROR(__xludf.DUMMYFUNCTION("IMPORTRANGE(""https://docs.google.com/spreadsheets/d/1tdoBKaGub7dwA3U6UFTqxio9LNnvDCQjHKmttSEBsFQ/edit?usp=sharing"",""จัดที่ดิน!BL62"")"),0)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hidden="1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IFERROR(__xludf.DUMMYFUNCTION("IMPORTRANGE(""https://docs.google.com/spreadsheets/d/1eHaY18a8A9IcSdp1K8H6x8fbOy06t2VsZHhMHf-1x7Y/edit?usp=sharing"",""แผน!IR62"")"),0)</f>
        <v>0</v>
      </c>
      <c r="J682" s="293">
        <f ca="1">IFERROR(__xludf.DUMMYFUNCTION("IMPORTRANGE(""https://docs.google.com/spreadsheets/d/1tdoBKaGub7dwA3U6UFTqxio9LNnvDCQjHKmttSEBsFQ/edit?usp=sharing"",""จัดที่ดิน!BM62"")"),0)</f>
        <v>0</v>
      </c>
      <c r="K682" s="74">
        <f t="shared" ref="K682:K683" ca="1" si="410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hidden="1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IFERROR(__xludf.DUMMYFUNCTION("IMPORTRANGE(""https://docs.google.com/spreadsheets/d/1eHaY18a8A9IcSdp1K8H6x8fbOy06t2VsZHhMHf-1x7Y/edit?usp=sharing"",""แผน!IS62"")"),0)</f>
        <v>0</v>
      </c>
      <c r="J683" s="622">
        <f>J686+J689</f>
        <v>0</v>
      </c>
      <c r="K683" s="264">
        <f t="shared" ca="1" si="410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hidden="1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hidden="1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hidden="1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hidden="1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hidden="1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hidden="1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80" t="s">
        <v>35</v>
      </c>
      <c r="I690" s="781">
        <f t="shared" ref="I690:J690" ca="1" si="411">I708</f>
        <v>20</v>
      </c>
      <c r="J690" s="781">
        <f t="shared" ca="1" si="411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1257">
        <f t="shared" ref="L691:N691" si="412">L692+L693</f>
        <v>0</v>
      </c>
      <c r="M691" s="264">
        <f t="shared" si="412"/>
        <v>0</v>
      </c>
      <c r="N691" s="264">
        <f t="shared" si="412"/>
        <v>0</v>
      </c>
      <c r="O691" s="264">
        <f t="shared" ref="O691:O699" si="413">IF(L691&gt;0,N691*100/L691,0)</f>
        <v>0</v>
      </c>
      <c r="P691" s="264">
        <f t="shared" ref="P691:P699" si="414">IF(M691&gt;0,N691*100/M691,0)</f>
        <v>0</v>
      </c>
      <c r="Q691" s="264">
        <f t="shared" ref="Q691:S691" ca="1" si="415">Q692+Q693</f>
        <v>132160</v>
      </c>
      <c r="R691" s="264">
        <f t="shared" ca="1" si="415"/>
        <v>132160</v>
      </c>
      <c r="S691" s="264">
        <f t="shared" ca="1" si="415"/>
        <v>0</v>
      </c>
      <c r="T691" s="264">
        <f t="shared" ref="T691:T699" ca="1" si="416">IF(Q691&gt;0,S691*100/Q691,0)</f>
        <v>0</v>
      </c>
      <c r="U691" s="264">
        <f t="shared" ref="U691:U699" ca="1" si="417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6">
        <f t="shared" ref="L692:N693" si="418">L695+L698</f>
        <v>0</v>
      </c>
      <c r="M692" s="77">
        <f t="shared" si="418"/>
        <v>0</v>
      </c>
      <c r="N692" s="77">
        <f t="shared" si="418"/>
        <v>0</v>
      </c>
      <c r="O692" s="77">
        <f t="shared" si="413"/>
        <v>0</v>
      </c>
      <c r="P692" s="77">
        <f t="shared" si="414"/>
        <v>0</v>
      </c>
      <c r="Q692" s="77">
        <f t="shared" ref="Q692:S693" si="419">Q695+Q698</f>
        <v>0</v>
      </c>
      <c r="R692" s="77">
        <f t="shared" si="419"/>
        <v>0</v>
      </c>
      <c r="S692" s="77">
        <f t="shared" si="419"/>
        <v>0</v>
      </c>
      <c r="T692" s="77">
        <f t="shared" si="416"/>
        <v>0</v>
      </c>
      <c r="U692" s="77">
        <f t="shared" si="417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3">
        <f t="shared" si="418"/>
        <v>0</v>
      </c>
      <c r="M693" s="74">
        <f t="shared" si="418"/>
        <v>0</v>
      </c>
      <c r="N693" s="74">
        <f t="shared" si="418"/>
        <v>0</v>
      </c>
      <c r="O693" s="74">
        <f t="shared" si="413"/>
        <v>0</v>
      </c>
      <c r="P693" s="74">
        <f t="shared" si="414"/>
        <v>0</v>
      </c>
      <c r="Q693" s="74">
        <f t="shared" ca="1" si="419"/>
        <v>132160</v>
      </c>
      <c r="R693" s="74">
        <f t="shared" ca="1" si="419"/>
        <v>132160</v>
      </c>
      <c r="S693" s="74">
        <f t="shared" ca="1" si="419"/>
        <v>0</v>
      </c>
      <c r="T693" s="74">
        <f t="shared" ca="1" si="416"/>
        <v>0</v>
      </c>
      <c r="U693" s="74">
        <f t="shared" ca="1" si="417"/>
        <v>0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3">
        <f t="shared" ref="L694:N694" si="420">L695+L696</f>
        <v>0</v>
      </c>
      <c r="M694" s="74">
        <f t="shared" si="420"/>
        <v>0</v>
      </c>
      <c r="N694" s="74">
        <f t="shared" si="420"/>
        <v>0</v>
      </c>
      <c r="O694" s="74">
        <f t="shared" si="413"/>
        <v>0</v>
      </c>
      <c r="P694" s="74">
        <f t="shared" si="414"/>
        <v>0</v>
      </c>
      <c r="Q694" s="74">
        <f t="shared" ref="Q694:S694" ca="1" si="421">Q695+Q696</f>
        <v>132160</v>
      </c>
      <c r="R694" s="74">
        <f t="shared" ca="1" si="421"/>
        <v>132160</v>
      </c>
      <c r="S694" s="74">
        <f t="shared" ca="1" si="421"/>
        <v>0</v>
      </c>
      <c r="T694" s="74">
        <f t="shared" ca="1" si="416"/>
        <v>0</v>
      </c>
      <c r="U694" s="74">
        <f t="shared" ca="1" si="417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77">
        <f t="shared" si="413"/>
        <v>0</v>
      </c>
      <c r="P695" s="77">
        <f t="shared" si="414"/>
        <v>0</v>
      </c>
      <c r="Q695" s="77">
        <v>0</v>
      </c>
      <c r="R695" s="77">
        <v>0</v>
      </c>
      <c r="S695" s="77">
        <v>0</v>
      </c>
      <c r="T695" s="77">
        <f t="shared" si="416"/>
        <v>0</v>
      </c>
      <c r="U695" s="77">
        <f t="shared" si="417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74">
        <f t="shared" si="413"/>
        <v>0</v>
      </c>
      <c r="P696" s="74">
        <f t="shared" si="414"/>
        <v>0</v>
      </c>
      <c r="Q696" s="74">
        <f ca="1">IFERROR(__xludf.DUMMYFUNCTION("IMPORTRANGE(""https://docs.google.com/spreadsheets/d/1ItG2mGa2ceCfYo0BwxsXqNm01IGEUdYcSSLTEv9YCik/edit?usp=sharing"",""เบิกจ่ายกองทุน!L62"")"),132160)</f>
        <v>132160</v>
      </c>
      <c r="R696" s="74">
        <f ca="1">IFERROR(__xludf.DUMMYFUNCTION("IMPORTRANGE(""https://docs.google.com/spreadsheets/d/1ItG2mGa2ceCfYo0BwxsXqNm01IGEUdYcSSLTEv9YCik/edit?usp=sharing"",""เบิกจ่ายกองทุน!M62"")"),132160)</f>
        <v>132160</v>
      </c>
      <c r="S696" s="74">
        <f ca="1">IFERROR(__xludf.DUMMYFUNCTION("IMPORTRANGE(""https://docs.google.com/spreadsheets/d/1ItG2mGa2ceCfYo0BwxsXqNm01IGEUdYcSSLTEv9YCik/edit?usp=sharing"",""เบิกจ่ายกองทุน!N62"")"),0)</f>
        <v>0</v>
      </c>
      <c r="T696" s="74">
        <f t="shared" ca="1" si="416"/>
        <v>0</v>
      </c>
      <c r="U696" s="74">
        <f t="shared" ca="1" si="417"/>
        <v>0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3">
        <f t="shared" ref="L697:N697" si="422">L698+L699</f>
        <v>0</v>
      </c>
      <c r="M697" s="74">
        <f t="shared" si="422"/>
        <v>0</v>
      </c>
      <c r="N697" s="74">
        <f t="shared" si="422"/>
        <v>0</v>
      </c>
      <c r="O697" s="74">
        <f t="shared" si="413"/>
        <v>0</v>
      </c>
      <c r="P697" s="74">
        <f t="shared" si="414"/>
        <v>0</v>
      </c>
      <c r="Q697" s="74">
        <f t="shared" ref="Q697:S697" si="423">Q698+Q699</f>
        <v>0</v>
      </c>
      <c r="R697" s="74">
        <f t="shared" si="423"/>
        <v>0</v>
      </c>
      <c r="S697" s="74">
        <f t="shared" si="423"/>
        <v>0</v>
      </c>
      <c r="T697" s="74">
        <f t="shared" si="416"/>
        <v>0</v>
      </c>
      <c r="U697" s="74">
        <f t="shared" si="417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77">
        <f t="shared" si="413"/>
        <v>0</v>
      </c>
      <c r="P698" s="77">
        <f t="shared" si="414"/>
        <v>0</v>
      </c>
      <c r="Q698" s="77">
        <v>0</v>
      </c>
      <c r="R698" s="77">
        <v>0</v>
      </c>
      <c r="S698" s="77">
        <v>0</v>
      </c>
      <c r="T698" s="77">
        <f t="shared" si="416"/>
        <v>0</v>
      </c>
      <c r="U698" s="77">
        <f t="shared" si="417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74">
        <f t="shared" si="413"/>
        <v>0</v>
      </c>
      <c r="P699" s="74">
        <f t="shared" si="414"/>
        <v>0</v>
      </c>
      <c r="Q699" s="74">
        <v>0</v>
      </c>
      <c r="R699" s="74">
        <v>0</v>
      </c>
      <c r="S699" s="74">
        <v>0</v>
      </c>
      <c r="T699" s="74">
        <f t="shared" si="416"/>
        <v>0</v>
      </c>
      <c r="U699" s="74">
        <f t="shared" si="417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IFERROR(__xludf.DUMMYFUNCTION("IMPORTRANGE(""https://docs.google.com/spreadsheets/d/1eHaY18a8A9IcSdp1K8H6x8fbOy06t2VsZHhMHf-1x7Y/edit?usp=sharing"",""แผน!LC62"")"),0)</f>
        <v>0</v>
      </c>
      <c r="J701" s="294">
        <v>0</v>
      </c>
      <c r="K701" s="768">
        <f t="shared" ref="K701:K711" ca="1" si="424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t="shared" ref="I702:J702" ca="1" si="425">I704+I706</f>
        <v>21</v>
      </c>
      <c r="J702" s="622">
        <f t="shared" ca="1" si="425"/>
        <v>0</v>
      </c>
      <c r="K702" s="264">
        <f t="shared" ca="1" si="424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0</v>
      </c>
      <c r="K703" s="264">
        <f t="shared" si="424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IFERROR(__xludf.DUMMYFUNCTION("IMPORTRANGE(""https://docs.google.com/spreadsheets/d/1eHaY18a8A9IcSdp1K8H6x8fbOy06t2VsZHhMHf-1x7Y/edit?usp=sharing"",""แผน!LJ62"")"),20)</f>
        <v>20</v>
      </c>
      <c r="J704" s="293">
        <f ca="1">IFERROR(__xludf.DUMMYFUNCTION("IMPORTRANGE(""https://docs.google.com/spreadsheets/d/1tdoBKaGub7dwA3U6UFTqxio9LNnvDCQjHKmttSEBsFQ/edit?usp=sharing"",""จัดที่ดิน!AP62"")"),0)</f>
        <v>0</v>
      </c>
      <c r="K704" s="74">
        <f t="shared" ca="1" si="424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IFERROR(__xludf.DUMMYFUNCTION("IMPORTRANGE(""https://docs.google.com/spreadsheets/d/1tdoBKaGub7dwA3U6UFTqxio9LNnvDCQjHKmttSEBsFQ/edit?usp=sharing"",""จัดที่ดิน!AQ62"")"),0)</f>
        <v>0</v>
      </c>
      <c r="K705" s="74">
        <f t="shared" si="424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IFERROR(__xludf.DUMMYFUNCTION("IMPORTRANGE(""https://docs.google.com/spreadsheets/d/1eHaY18a8A9IcSdp1K8H6x8fbOy06t2VsZHhMHf-1x7Y/edit?usp=sharing"",""แผน!LK62"")"),1)</f>
        <v>1</v>
      </c>
      <c r="J706" s="293">
        <f ca="1">IFERROR(__xludf.DUMMYFUNCTION("IMPORTRANGE(""https://docs.google.com/spreadsheets/d/1tdoBKaGub7dwA3U6UFTqxio9LNnvDCQjHKmttSEBsFQ/edit?usp=sharing"",""จัดที่ดิน!AR62"")"),0)</f>
        <v>0</v>
      </c>
      <c r="K706" s="768">
        <f t="shared" ca="1" si="424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IFERROR(__xludf.DUMMYFUNCTION("IMPORTRANGE(""https://docs.google.com/spreadsheets/d/1tdoBKaGub7dwA3U6UFTqxio9LNnvDCQjHKmttSEBsFQ/edit?usp=sharing"",""จัดที่ดิน!AS62"")"),0)</f>
        <v>0</v>
      </c>
      <c r="K707" s="74">
        <f t="shared" si="424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IFERROR(__xludf.DUMMYFUNCTION("IMPORTRANGE(""https://docs.google.com/spreadsheets/d/1eHaY18a8A9IcSdp1K8H6x8fbOy06t2VsZHhMHf-1x7Y/edit?usp=sharing"",""แผน!LJ62"")"),20)</f>
        <v>20</v>
      </c>
      <c r="J708" s="293">
        <f ca="1">IFERROR(__xludf.DUMMYFUNCTION("IMPORTRANGE(""https://docs.google.com/spreadsheets/d/1tdoBKaGub7dwA3U6UFTqxio9LNnvDCQjHKmttSEBsFQ/edit?usp=sharing"",""จัดที่ดิน!BN62"")"),0)</f>
        <v>0</v>
      </c>
      <c r="K708" s="74">
        <f t="shared" ca="1" si="424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IFERROR(__xludf.DUMMYFUNCTION("IMPORTRANGE(""https://docs.google.com/spreadsheets/d/1tdoBKaGub7dwA3U6UFTqxio9LNnvDCQjHKmttSEBsFQ/edit?usp=sharing"",""จัดที่ดิน!BO62"")"),0)</f>
        <v>0</v>
      </c>
      <c r="K709" s="74">
        <f t="shared" si="424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IFERROR(__xludf.DUMMYFUNCTION("IMPORTRANGE(""https://docs.google.com/spreadsheets/d/1eHaY18a8A9IcSdp1K8H6x8fbOy06t2VsZHhMHf-1x7Y/edit?usp=sharing"",""แผน!LK62"")"),1)</f>
        <v>1</v>
      </c>
      <c r="J710" s="293">
        <f ca="1">IFERROR(__xludf.DUMMYFUNCTION("IMPORTRANGE(""https://docs.google.com/spreadsheets/d/1tdoBKaGub7dwA3U6UFTqxio9LNnvDCQjHKmttSEBsFQ/edit?usp=sharing"",""จัดที่ดิน!BP62"")"),0)</f>
        <v>0</v>
      </c>
      <c r="K710" s="74">
        <f t="shared" ca="1" si="424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IFERROR(__xludf.DUMMYFUNCTION("IMPORTRANGE(""https://docs.google.com/spreadsheets/d/1tdoBKaGub7dwA3U6UFTqxio9LNnvDCQjHKmttSEBsFQ/edit?usp=sharing"",""จัดที่ดิน!BQ62"")"),0)</f>
        <v>0</v>
      </c>
      <c r="K711" s="74">
        <f t="shared" si="424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1257">
        <f t="shared" ref="L715:N715" si="426">L716+L717</f>
        <v>0</v>
      </c>
      <c r="M715" s="264">
        <f t="shared" si="426"/>
        <v>0</v>
      </c>
      <c r="N715" s="264">
        <f t="shared" si="426"/>
        <v>0</v>
      </c>
      <c r="O715" s="264">
        <f t="shared" ref="O715:O723" si="427">IF(L715&gt;0,N715*100/L715,0)</f>
        <v>0</v>
      </c>
      <c r="P715" s="264">
        <f t="shared" ref="P715:P723" si="428">IF(M715&gt;0,N715*100/M715,0)</f>
        <v>0</v>
      </c>
      <c r="Q715" s="264">
        <f t="shared" ref="Q715:S715" si="429">Q716+Q717</f>
        <v>0</v>
      </c>
      <c r="R715" s="264">
        <f t="shared" si="429"/>
        <v>0</v>
      </c>
      <c r="S715" s="264">
        <f t="shared" si="429"/>
        <v>0</v>
      </c>
      <c r="T715" s="264">
        <f t="shared" ref="T715:T723" si="430">IF(Q715&gt;0,S715*100/Q715,0)</f>
        <v>0</v>
      </c>
      <c r="U715" s="264">
        <f t="shared" ref="U715:U723" si="431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6">
        <f t="shared" ref="L716:N717" si="432">L719+L722</f>
        <v>0</v>
      </c>
      <c r="M716" s="77">
        <f t="shared" si="432"/>
        <v>0</v>
      </c>
      <c r="N716" s="77">
        <f t="shared" si="432"/>
        <v>0</v>
      </c>
      <c r="O716" s="77">
        <f t="shared" si="427"/>
        <v>0</v>
      </c>
      <c r="P716" s="77">
        <f t="shared" si="428"/>
        <v>0</v>
      </c>
      <c r="Q716" s="77">
        <f t="shared" ref="Q716:S717" si="433">Q719+Q722</f>
        <v>0</v>
      </c>
      <c r="R716" s="77">
        <f t="shared" si="433"/>
        <v>0</v>
      </c>
      <c r="S716" s="77">
        <f t="shared" si="433"/>
        <v>0</v>
      </c>
      <c r="T716" s="77">
        <f t="shared" si="430"/>
        <v>0</v>
      </c>
      <c r="U716" s="77">
        <f t="shared" si="431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3">
        <f t="shared" si="432"/>
        <v>0</v>
      </c>
      <c r="M717" s="74">
        <f t="shared" si="432"/>
        <v>0</v>
      </c>
      <c r="N717" s="74">
        <f t="shared" si="432"/>
        <v>0</v>
      </c>
      <c r="O717" s="74">
        <f t="shared" si="427"/>
        <v>0</v>
      </c>
      <c r="P717" s="74">
        <f t="shared" si="428"/>
        <v>0</v>
      </c>
      <c r="Q717" s="74">
        <f t="shared" si="433"/>
        <v>0</v>
      </c>
      <c r="R717" s="74">
        <f t="shared" si="433"/>
        <v>0</v>
      </c>
      <c r="S717" s="74">
        <f t="shared" si="433"/>
        <v>0</v>
      </c>
      <c r="T717" s="74">
        <f t="shared" si="430"/>
        <v>0</v>
      </c>
      <c r="U717" s="74">
        <f t="shared" si="431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3">
        <f t="shared" ref="L718:N718" si="434">L719+L720</f>
        <v>0</v>
      </c>
      <c r="M718" s="74">
        <f t="shared" si="434"/>
        <v>0</v>
      </c>
      <c r="N718" s="74">
        <f t="shared" si="434"/>
        <v>0</v>
      </c>
      <c r="O718" s="74">
        <f t="shared" si="427"/>
        <v>0</v>
      </c>
      <c r="P718" s="74">
        <f t="shared" si="428"/>
        <v>0</v>
      </c>
      <c r="Q718" s="74">
        <f t="shared" ref="Q718:S718" si="435">Q719+Q720</f>
        <v>0</v>
      </c>
      <c r="R718" s="74">
        <f t="shared" si="435"/>
        <v>0</v>
      </c>
      <c r="S718" s="74">
        <f t="shared" si="435"/>
        <v>0</v>
      </c>
      <c r="T718" s="74">
        <f t="shared" si="430"/>
        <v>0</v>
      </c>
      <c r="U718" s="74">
        <f t="shared" si="431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77">
        <f t="shared" si="427"/>
        <v>0</v>
      </c>
      <c r="P719" s="77">
        <f t="shared" si="428"/>
        <v>0</v>
      </c>
      <c r="Q719" s="77">
        <v>0</v>
      </c>
      <c r="R719" s="77">
        <v>0</v>
      </c>
      <c r="S719" s="77">
        <v>0</v>
      </c>
      <c r="T719" s="77">
        <f t="shared" si="430"/>
        <v>0</v>
      </c>
      <c r="U719" s="77">
        <f t="shared" si="431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74">
        <f t="shared" si="427"/>
        <v>0</v>
      </c>
      <c r="P720" s="74">
        <f t="shared" si="428"/>
        <v>0</v>
      </c>
      <c r="Q720" s="74">
        <v>0</v>
      </c>
      <c r="R720" s="74">
        <v>0</v>
      </c>
      <c r="S720" s="74">
        <v>0</v>
      </c>
      <c r="T720" s="74">
        <f t="shared" si="430"/>
        <v>0</v>
      </c>
      <c r="U720" s="74">
        <f t="shared" si="431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3">
        <f t="shared" ref="L721:N721" si="436">L722+L723</f>
        <v>0</v>
      </c>
      <c r="M721" s="74">
        <f t="shared" si="436"/>
        <v>0</v>
      </c>
      <c r="N721" s="74">
        <f t="shared" si="436"/>
        <v>0</v>
      </c>
      <c r="O721" s="74">
        <f t="shared" si="427"/>
        <v>0</v>
      </c>
      <c r="P721" s="74">
        <f t="shared" si="428"/>
        <v>0</v>
      </c>
      <c r="Q721" s="74">
        <f t="shared" ref="Q721:S721" si="437">Q722+Q723</f>
        <v>0</v>
      </c>
      <c r="R721" s="74">
        <f t="shared" si="437"/>
        <v>0</v>
      </c>
      <c r="S721" s="74">
        <f t="shared" si="437"/>
        <v>0</v>
      </c>
      <c r="T721" s="74">
        <f t="shared" si="430"/>
        <v>0</v>
      </c>
      <c r="U721" s="74">
        <f t="shared" si="431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77">
        <f t="shared" si="427"/>
        <v>0</v>
      </c>
      <c r="P722" s="77">
        <f t="shared" si="428"/>
        <v>0</v>
      </c>
      <c r="Q722" s="77">
        <v>0</v>
      </c>
      <c r="R722" s="77">
        <v>0</v>
      </c>
      <c r="S722" s="77">
        <v>0</v>
      </c>
      <c r="T722" s="77">
        <f t="shared" si="430"/>
        <v>0</v>
      </c>
      <c r="U722" s="77">
        <f t="shared" si="431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74">
        <f t="shared" si="427"/>
        <v>0</v>
      </c>
      <c r="P723" s="74">
        <f t="shared" si="428"/>
        <v>0</v>
      </c>
      <c r="Q723" s="74">
        <v>0</v>
      </c>
      <c r="R723" s="74">
        <v>0</v>
      </c>
      <c r="S723" s="74">
        <v>0</v>
      </c>
      <c r="T723" s="74">
        <f t="shared" si="430"/>
        <v>0</v>
      </c>
      <c r="U723" s="74">
        <f t="shared" si="431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IFERROR(__xludf.DUMMYFUNCTION("IMPORTRANGE(""https://docs.google.com/spreadsheets/d/1eHaY18a8A9IcSdp1K8H6x8fbOy06t2VsZHhMHf-1x7Y/edit?usp=sharing"",""แผน!GA62"")"),51)</f>
        <v>51</v>
      </c>
      <c r="J727" s="781">
        <f>J743+J747+J750</f>
        <v>0</v>
      </c>
      <c r="K727" s="766">
        <f t="shared" ref="K727:K728" ca="1" si="438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IFERROR(__xludf.DUMMYFUNCTION("IMPORTRANGE(""https://docs.google.com/spreadsheets/d/1eHaY18a8A9IcSdp1K8H6x8fbOy06t2VsZHhMHf-1x7Y/edit?usp=sharing"",""แผน!FZ62"")"),500)</f>
        <v>500</v>
      </c>
      <c r="J728" s="781">
        <f>J753+J756</f>
        <v>0</v>
      </c>
      <c r="K728" s="766">
        <f t="shared" ca="1" si="438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1257">
        <f t="shared" ref="L729:N729" si="439">L730+L731</f>
        <v>0</v>
      </c>
      <c r="M729" s="264">
        <f t="shared" si="439"/>
        <v>0</v>
      </c>
      <c r="N729" s="264">
        <f t="shared" si="439"/>
        <v>0</v>
      </c>
      <c r="O729" s="264">
        <f t="shared" ref="O729:O737" si="440">IF(L729&gt;0,N729*100/L729,0)</f>
        <v>0</v>
      </c>
      <c r="P729" s="264">
        <f t="shared" ref="P729:P737" si="441">IF(M729&gt;0,N729*100/M729,0)</f>
        <v>0</v>
      </c>
      <c r="Q729" s="264">
        <f t="shared" ref="Q729:S729" ca="1" si="442">Q730+Q731</f>
        <v>379090</v>
      </c>
      <c r="R729" s="264">
        <f t="shared" ca="1" si="442"/>
        <v>379090</v>
      </c>
      <c r="S729" s="264">
        <f t="shared" ca="1" si="442"/>
        <v>1360</v>
      </c>
      <c r="T729" s="264">
        <f t="shared" ref="T729:T737" ca="1" si="443">IF(Q729&gt;0,S729*100/Q729,0)</f>
        <v>0.35875385792292069</v>
      </c>
      <c r="U729" s="264">
        <f t="shared" ref="U729:U737" ca="1" si="444">IF(R729&gt;0,S729*100/R729,0)</f>
        <v>0.35875385792292069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6">
        <f t="shared" ref="L730:N731" si="445">L733+L736</f>
        <v>0</v>
      </c>
      <c r="M730" s="77">
        <f t="shared" si="445"/>
        <v>0</v>
      </c>
      <c r="N730" s="77">
        <f t="shared" si="445"/>
        <v>0</v>
      </c>
      <c r="O730" s="77">
        <f t="shared" si="440"/>
        <v>0</v>
      </c>
      <c r="P730" s="77">
        <f t="shared" si="441"/>
        <v>0</v>
      </c>
      <c r="Q730" s="77">
        <f t="shared" ref="Q730:S731" si="446">Q733+Q736</f>
        <v>0</v>
      </c>
      <c r="R730" s="77">
        <f t="shared" si="446"/>
        <v>0</v>
      </c>
      <c r="S730" s="77">
        <f t="shared" si="446"/>
        <v>0</v>
      </c>
      <c r="T730" s="77">
        <f t="shared" si="443"/>
        <v>0</v>
      </c>
      <c r="U730" s="77">
        <f t="shared" si="444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3">
        <f t="shared" si="445"/>
        <v>0</v>
      </c>
      <c r="M731" s="74">
        <f t="shared" si="445"/>
        <v>0</v>
      </c>
      <c r="N731" s="74">
        <f t="shared" si="445"/>
        <v>0</v>
      </c>
      <c r="O731" s="74">
        <f t="shared" si="440"/>
        <v>0</v>
      </c>
      <c r="P731" s="74">
        <f t="shared" si="441"/>
        <v>0</v>
      </c>
      <c r="Q731" s="74">
        <f t="shared" ca="1" si="446"/>
        <v>379090</v>
      </c>
      <c r="R731" s="74">
        <f t="shared" ca="1" si="446"/>
        <v>379090</v>
      </c>
      <c r="S731" s="74">
        <f t="shared" ca="1" si="446"/>
        <v>1360</v>
      </c>
      <c r="T731" s="74">
        <f t="shared" ca="1" si="443"/>
        <v>0.35875385792292069</v>
      </c>
      <c r="U731" s="74">
        <f t="shared" ca="1" si="444"/>
        <v>0.35875385792292069</v>
      </c>
    </row>
    <row r="732" spans="1:21" ht="18.75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3">
        <f t="shared" ref="L732:N732" si="447">L733+L734</f>
        <v>0</v>
      </c>
      <c r="M732" s="74">
        <f t="shared" si="447"/>
        <v>0</v>
      </c>
      <c r="N732" s="74">
        <f t="shared" si="447"/>
        <v>0</v>
      </c>
      <c r="O732" s="74">
        <f t="shared" si="440"/>
        <v>0</v>
      </c>
      <c r="P732" s="74">
        <f t="shared" si="441"/>
        <v>0</v>
      </c>
      <c r="Q732" s="74">
        <f t="shared" ref="Q732:S732" ca="1" si="448">Q733+Q734</f>
        <v>379090</v>
      </c>
      <c r="R732" s="74">
        <f t="shared" ca="1" si="448"/>
        <v>379090</v>
      </c>
      <c r="S732" s="74">
        <f t="shared" ca="1" si="448"/>
        <v>1360</v>
      </c>
      <c r="T732" s="74">
        <f t="shared" ca="1" si="443"/>
        <v>0.35875385792292069</v>
      </c>
      <c r="U732" s="74">
        <f t="shared" ca="1" si="444"/>
        <v>0.35875385792292069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77">
        <f t="shared" si="440"/>
        <v>0</v>
      </c>
      <c r="P733" s="77">
        <f t="shared" si="441"/>
        <v>0</v>
      </c>
      <c r="Q733" s="77">
        <v>0</v>
      </c>
      <c r="R733" s="77">
        <v>0</v>
      </c>
      <c r="S733" s="77">
        <v>0</v>
      </c>
      <c r="T733" s="77">
        <f t="shared" si="443"/>
        <v>0</v>
      </c>
      <c r="U733" s="77">
        <f t="shared" si="444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74">
        <f t="shared" si="440"/>
        <v>0</v>
      </c>
      <c r="P734" s="74">
        <f t="shared" si="441"/>
        <v>0</v>
      </c>
      <c r="Q734" s="74">
        <f ca="1">IFERROR(__xludf.DUMMYFUNCTION("IMPORTRANGE(""https://docs.google.com/spreadsheets/d/1ItG2mGa2ceCfYo0BwxsXqNm01IGEUdYcSSLTEv9YCik/edit?usp=sharing"",""เบิกจ่ายกองทุน!O62"")"),379090)</f>
        <v>379090</v>
      </c>
      <c r="R734" s="74">
        <f ca="1">IFERROR(__xludf.DUMMYFUNCTION("IMPORTRANGE(""https://docs.google.com/spreadsheets/d/1ItG2mGa2ceCfYo0BwxsXqNm01IGEUdYcSSLTEv9YCik/edit?usp=sharing"",""เบิกจ่ายกองทุน!P62"")"),379090)</f>
        <v>379090</v>
      </c>
      <c r="S734" s="74">
        <f ca="1">IFERROR(__xludf.DUMMYFUNCTION("IMPORTRANGE(""https://docs.google.com/spreadsheets/d/1ItG2mGa2ceCfYo0BwxsXqNm01IGEUdYcSSLTEv9YCik/edit?usp=sharing"",""เบิกจ่ายกองทุน!Q62"")"),1360)</f>
        <v>1360</v>
      </c>
      <c r="T734" s="74">
        <f t="shared" ca="1" si="443"/>
        <v>0.35875385792292069</v>
      </c>
      <c r="U734" s="74">
        <f t="shared" ca="1" si="444"/>
        <v>0.35875385792292069</v>
      </c>
    </row>
    <row r="735" spans="1:21" ht="18.75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3">
        <f t="shared" ref="L735:N735" si="449">L736+L737</f>
        <v>0</v>
      </c>
      <c r="M735" s="74">
        <f t="shared" si="449"/>
        <v>0</v>
      </c>
      <c r="N735" s="74">
        <f t="shared" si="449"/>
        <v>0</v>
      </c>
      <c r="O735" s="74">
        <f t="shared" si="440"/>
        <v>0</v>
      </c>
      <c r="P735" s="74">
        <f t="shared" si="441"/>
        <v>0</v>
      </c>
      <c r="Q735" s="74">
        <f t="shared" ref="Q735:S735" si="450">Q736+Q737</f>
        <v>0</v>
      </c>
      <c r="R735" s="74">
        <f t="shared" si="450"/>
        <v>0</v>
      </c>
      <c r="S735" s="74">
        <f t="shared" si="450"/>
        <v>0</v>
      </c>
      <c r="T735" s="74">
        <f t="shared" si="443"/>
        <v>0</v>
      </c>
      <c r="U735" s="74">
        <f t="shared" si="444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77">
        <f t="shared" si="440"/>
        <v>0</v>
      </c>
      <c r="P736" s="77">
        <f t="shared" si="441"/>
        <v>0</v>
      </c>
      <c r="Q736" s="77">
        <v>0</v>
      </c>
      <c r="R736" s="77">
        <v>0</v>
      </c>
      <c r="S736" s="77">
        <v>0</v>
      </c>
      <c r="T736" s="77">
        <f t="shared" si="443"/>
        <v>0</v>
      </c>
      <c r="U736" s="77">
        <f t="shared" si="444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74">
        <f t="shared" si="440"/>
        <v>0</v>
      </c>
      <c r="P737" s="74">
        <f t="shared" si="441"/>
        <v>0</v>
      </c>
      <c r="Q737" s="74">
        <v>0</v>
      </c>
      <c r="R737" s="74">
        <v>0</v>
      </c>
      <c r="S737" s="74">
        <v>0</v>
      </c>
      <c r="T737" s="74">
        <f t="shared" si="443"/>
        <v>0</v>
      </c>
      <c r="U737" s="74">
        <f t="shared" si="444"/>
        <v>0</v>
      </c>
    </row>
    <row r="738" spans="1:21" ht="19.5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x14ac:dyDescent="0.25">
      <c r="A741" s="222"/>
      <c r="B741" s="223"/>
      <c r="C741" s="223"/>
      <c r="D741" s="223"/>
      <c r="E741" s="223"/>
      <c r="F741" s="1032" t="s">
        <v>271</v>
      </c>
      <c r="G741" s="227"/>
      <c r="H741" s="216" t="s">
        <v>46</v>
      </c>
      <c r="I741" s="321">
        <f ca="1">IFERROR(__xludf.DUMMYFUNCTION("IMPORTRANGE(""https://docs.google.com/spreadsheets/d/1eHaY18a8A9IcSdp1K8H6x8fbOy06t2VsZHhMHf-1x7Y/edit?usp=sharing"",""แผน!GB62"")"),400)</f>
        <v>400</v>
      </c>
      <c r="J741" s="884">
        <v>0</v>
      </c>
      <c r="K741" s="399">
        <f ca="1">IF(I741&gt;0,J741*100/I741,0)</f>
        <v>0</v>
      </c>
      <c r="L741" s="540"/>
      <c r="M741" s="72"/>
      <c r="N741" s="72"/>
      <c r="O741" s="72"/>
      <c r="P741" s="72"/>
      <c r="Q741" s="72"/>
      <c r="R741" s="72"/>
      <c r="S741" s="72"/>
      <c r="T741" s="72"/>
      <c r="U741" s="72"/>
    </row>
    <row r="742" spans="1:21" ht="18.75" x14ac:dyDescent="0.25">
      <c r="A742" s="222"/>
      <c r="B742" s="223"/>
      <c r="C742" s="223"/>
      <c r="D742" s="223"/>
      <c r="E742" s="223"/>
      <c r="F742" s="1032" t="s">
        <v>311</v>
      </c>
      <c r="G742" s="227"/>
      <c r="H742" s="216" t="s">
        <v>35</v>
      </c>
      <c r="I742" s="71"/>
      <c r="J742" s="884">
        <v>0</v>
      </c>
      <c r="K742" s="72"/>
      <c r="L742" s="540"/>
      <c r="M742" s="72"/>
      <c r="N742" s="72"/>
      <c r="O742" s="72"/>
      <c r="P742" s="72"/>
      <c r="Q742" s="72"/>
      <c r="R742" s="72"/>
      <c r="S742" s="72"/>
      <c r="T742" s="72"/>
      <c r="U742" s="72"/>
    </row>
    <row r="743" spans="1:21" ht="18.75" x14ac:dyDescent="0.25">
      <c r="A743" s="222"/>
      <c r="B743" s="223"/>
      <c r="C743" s="223"/>
      <c r="D743" s="223"/>
      <c r="E743" s="223"/>
      <c r="F743" s="1032" t="s">
        <v>312</v>
      </c>
      <c r="G743" s="227"/>
      <c r="H743" s="216" t="s">
        <v>35</v>
      </c>
      <c r="I743" s="321">
        <f ca="1">IFERROR(__xludf.DUMMYFUNCTION("IMPORTRANGE(""https://docs.google.com/spreadsheets/d/1eHaY18a8A9IcSdp1K8H6x8fbOy06t2VsZHhMHf-1x7Y/edit?usp=sharing"",""แผน!GC62"")"),40)</f>
        <v>40</v>
      </c>
      <c r="J743" s="884">
        <v>0</v>
      </c>
      <c r="K743" s="399">
        <f ca="1">IF(I743&gt;0,J743*100/I743,0)</f>
        <v>0</v>
      </c>
      <c r="L743" s="540"/>
      <c r="M743" s="72"/>
      <c r="N743" s="72"/>
      <c r="O743" s="72"/>
      <c r="P743" s="72"/>
      <c r="Q743" s="72"/>
      <c r="R743" s="72"/>
      <c r="S743" s="72"/>
      <c r="T743" s="72"/>
      <c r="U743" s="72"/>
    </row>
    <row r="744" spans="1:21" ht="18.75" x14ac:dyDescent="0.25">
      <c r="A744" s="222"/>
      <c r="B744" s="223"/>
      <c r="C744" s="223"/>
      <c r="D744" s="223"/>
      <c r="E744" s="1032" t="s">
        <v>274</v>
      </c>
      <c r="F744" s="223"/>
      <c r="G744" s="227"/>
      <c r="H744" s="1033"/>
      <c r="I744" s="71"/>
      <c r="J744" s="71"/>
      <c r="K744" s="72"/>
      <c r="L744" s="540"/>
      <c r="M744" s="72"/>
      <c r="N744" s="72"/>
      <c r="O744" s="72"/>
      <c r="P744" s="72"/>
      <c r="Q744" s="72"/>
      <c r="R744" s="72"/>
      <c r="S744" s="72"/>
      <c r="T744" s="72"/>
      <c r="U744" s="72"/>
    </row>
    <row r="745" spans="1:21" ht="18.75" x14ac:dyDescent="0.25">
      <c r="A745" s="222"/>
      <c r="B745" s="223"/>
      <c r="C745" s="223"/>
      <c r="D745" s="223"/>
      <c r="E745" s="223"/>
      <c r="F745" s="1032" t="s">
        <v>271</v>
      </c>
      <c r="G745" s="227"/>
      <c r="H745" s="216" t="s">
        <v>46</v>
      </c>
      <c r="I745" s="321">
        <f ca="1">IFERROR(__xludf.DUMMYFUNCTION("IMPORTRANGE(""https://docs.google.com/spreadsheets/d/1eHaY18a8A9IcSdp1K8H6x8fbOy06t2VsZHhMHf-1x7Y/edit?usp=sharing"",""แผน!GD62"")"),100)</f>
        <v>100</v>
      </c>
      <c r="J745" s="884">
        <v>0</v>
      </c>
      <c r="K745" s="399">
        <f ca="1">IF(I745&gt;0,J745*100/I745,0)</f>
        <v>0</v>
      </c>
      <c r="L745" s="540"/>
      <c r="M745" s="72"/>
      <c r="N745" s="72"/>
      <c r="O745" s="72"/>
      <c r="P745" s="72"/>
      <c r="Q745" s="72"/>
      <c r="R745" s="72"/>
      <c r="S745" s="72"/>
      <c r="T745" s="72"/>
      <c r="U745" s="72"/>
    </row>
    <row r="746" spans="1:21" ht="18.75" x14ac:dyDescent="0.25">
      <c r="A746" s="222"/>
      <c r="B746" s="223"/>
      <c r="C746" s="223"/>
      <c r="D746" s="223"/>
      <c r="E746" s="223"/>
      <c r="F746" s="1032" t="s">
        <v>313</v>
      </c>
      <c r="G746" s="227"/>
      <c r="H746" s="216" t="s">
        <v>35</v>
      </c>
      <c r="I746" s="71"/>
      <c r="J746" s="884">
        <v>0</v>
      </c>
      <c r="K746" s="72"/>
      <c r="L746" s="540"/>
      <c r="M746" s="72"/>
      <c r="N746" s="72"/>
      <c r="O746" s="72"/>
      <c r="P746" s="72"/>
      <c r="Q746" s="72"/>
      <c r="R746" s="72"/>
      <c r="S746" s="72"/>
      <c r="T746" s="72"/>
      <c r="U746" s="72"/>
    </row>
    <row r="747" spans="1:21" ht="18.75" x14ac:dyDescent="0.25">
      <c r="A747" s="222"/>
      <c r="B747" s="223"/>
      <c r="C747" s="223"/>
      <c r="D747" s="223"/>
      <c r="E747" s="223"/>
      <c r="F747" s="1032" t="s">
        <v>314</v>
      </c>
      <c r="G747" s="227"/>
      <c r="H747" s="216" t="s">
        <v>35</v>
      </c>
      <c r="I747" s="321">
        <f ca="1">IFERROR(__xludf.DUMMYFUNCTION("IMPORTRANGE(""https://docs.google.com/spreadsheets/d/1eHaY18a8A9IcSdp1K8H6x8fbOy06t2VsZHhMHf-1x7Y/edit?usp=sharing"",""แผน!GE62"")"),10)</f>
        <v>10</v>
      </c>
      <c r="J747" s="884">
        <v>0</v>
      </c>
      <c r="K747" s="399">
        <f ca="1">IF(I747&gt;0,J747*100/I747,0)</f>
        <v>0</v>
      </c>
      <c r="L747" s="540"/>
      <c r="M747" s="72"/>
      <c r="N747" s="72"/>
      <c r="O747" s="72"/>
      <c r="P747" s="72"/>
      <c r="Q747" s="72"/>
      <c r="R747" s="72"/>
      <c r="S747" s="72"/>
      <c r="T747" s="72"/>
      <c r="U747" s="72"/>
    </row>
    <row r="748" spans="1:21" ht="18.75" x14ac:dyDescent="0.25">
      <c r="A748" s="222"/>
      <c r="B748" s="223"/>
      <c r="C748" s="223"/>
      <c r="D748" s="223"/>
      <c r="E748" s="1032" t="s">
        <v>277</v>
      </c>
      <c r="F748" s="231"/>
      <c r="G748" s="227"/>
      <c r="H748" s="1033"/>
      <c r="I748" s="71"/>
      <c r="J748" s="71"/>
      <c r="K748" s="72"/>
      <c r="L748" s="540"/>
      <c r="M748" s="72"/>
      <c r="N748" s="72"/>
      <c r="O748" s="72"/>
      <c r="P748" s="72"/>
      <c r="Q748" s="72"/>
      <c r="R748" s="72"/>
      <c r="S748" s="72"/>
      <c r="T748" s="72"/>
      <c r="U748" s="72"/>
    </row>
    <row r="749" spans="1:21" ht="18.75" x14ac:dyDescent="0.25">
      <c r="A749" s="222"/>
      <c r="B749" s="223"/>
      <c r="C749" s="223"/>
      <c r="D749" s="223"/>
      <c r="E749" s="223"/>
      <c r="F749" s="1032" t="s">
        <v>315</v>
      </c>
      <c r="G749" s="227"/>
      <c r="H749" s="216" t="s">
        <v>35</v>
      </c>
      <c r="I749" s="71"/>
      <c r="J749" s="884">
        <v>0</v>
      </c>
      <c r="K749" s="72"/>
      <c r="L749" s="540"/>
      <c r="M749" s="72"/>
      <c r="N749" s="72"/>
      <c r="O749" s="72"/>
      <c r="P749" s="72"/>
      <c r="Q749" s="72"/>
      <c r="R749" s="72"/>
      <c r="S749" s="72"/>
      <c r="T749" s="72"/>
      <c r="U749" s="72"/>
    </row>
    <row r="750" spans="1:21" ht="18.75" x14ac:dyDescent="0.25">
      <c r="A750" s="222"/>
      <c r="B750" s="223"/>
      <c r="C750" s="223"/>
      <c r="D750" s="223"/>
      <c r="E750" s="223"/>
      <c r="F750" s="1032" t="s">
        <v>316</v>
      </c>
      <c r="G750" s="227"/>
      <c r="H750" s="216" t="s">
        <v>35</v>
      </c>
      <c r="I750" s="321">
        <f ca="1">IFERROR(__xludf.DUMMYFUNCTION("IMPORTRANGE(""https://docs.google.com/spreadsheets/d/1eHaY18a8A9IcSdp1K8H6x8fbOy06t2VsZHhMHf-1x7Y/edit?usp=sharing"",""แผน!GF62"")"),1)</f>
        <v>1</v>
      </c>
      <c r="J750" s="884">
        <v>0</v>
      </c>
      <c r="K750" s="399">
        <f ca="1">IF(I750&gt;0,J750*100/I750,0)</f>
        <v>0</v>
      </c>
      <c r="L750" s="540"/>
      <c r="M750" s="72"/>
      <c r="N750" s="72"/>
      <c r="O750" s="72"/>
      <c r="P750" s="72"/>
      <c r="Q750" s="72"/>
      <c r="R750" s="72"/>
      <c r="S750" s="72"/>
      <c r="T750" s="72"/>
      <c r="U750" s="72"/>
    </row>
    <row r="751" spans="1:21" ht="19.5" x14ac:dyDescent="0.3">
      <c r="A751" s="222"/>
      <c r="B751" s="223"/>
      <c r="C751" s="223"/>
      <c r="D751" s="1034" t="s">
        <v>50</v>
      </c>
      <c r="E751" s="223"/>
      <c r="F751" s="231"/>
      <c r="G751" s="227"/>
      <c r="H751" s="1033"/>
      <c r="I751" s="71"/>
      <c r="J751" s="71"/>
      <c r="K751" s="72"/>
      <c r="L751" s="540"/>
      <c r="M751" s="72"/>
      <c r="N751" s="72"/>
      <c r="O751" s="72"/>
      <c r="P751" s="72"/>
      <c r="Q751" s="72"/>
      <c r="R751" s="72"/>
      <c r="S751" s="72"/>
      <c r="T751" s="72"/>
      <c r="U751" s="72"/>
    </row>
    <row r="752" spans="1:21" ht="18.75" x14ac:dyDescent="0.25">
      <c r="A752" s="222"/>
      <c r="B752" s="223"/>
      <c r="C752" s="223"/>
      <c r="D752" s="223"/>
      <c r="E752" s="1032" t="s">
        <v>270</v>
      </c>
      <c r="F752" s="231"/>
      <c r="G752" s="227"/>
      <c r="H752" s="1033"/>
      <c r="I752" s="71"/>
      <c r="J752" s="71"/>
      <c r="K752" s="72"/>
      <c r="L752" s="540"/>
      <c r="M752" s="72"/>
      <c r="N752" s="72"/>
      <c r="O752" s="72"/>
      <c r="P752" s="72"/>
      <c r="Q752" s="72"/>
      <c r="R752" s="72"/>
      <c r="S752" s="72"/>
      <c r="T752" s="72"/>
      <c r="U752" s="72"/>
    </row>
    <row r="753" spans="1:21" ht="18.75" x14ac:dyDescent="0.25">
      <c r="A753" s="222"/>
      <c r="B753" s="223"/>
      <c r="C753" s="223"/>
      <c r="D753" s="223"/>
      <c r="E753" s="223"/>
      <c r="F753" s="395" t="s">
        <v>317</v>
      </c>
      <c r="G753" s="227"/>
      <c r="H753" s="216" t="s">
        <v>46</v>
      </c>
      <c r="I753" s="321">
        <f ca="1">IFERROR(__xludf.DUMMYFUNCTION("IMPORTRANGE(""https://docs.google.com/spreadsheets/d/1eHaY18a8A9IcSdp1K8H6x8fbOy06t2VsZHhMHf-1x7Y/edit?usp=sharing"",""แผน!GC62"")"),40)</f>
        <v>40</v>
      </c>
      <c r="J753" s="884">
        <v>0</v>
      </c>
      <c r="K753" s="399">
        <f ca="1">IF(I753&gt;0,J753*100/I753,0)</f>
        <v>0</v>
      </c>
      <c r="L753" s="540"/>
      <c r="M753" s="72"/>
      <c r="N753" s="72"/>
      <c r="O753" s="72"/>
      <c r="P753" s="72"/>
      <c r="Q753" s="72"/>
      <c r="R753" s="72"/>
      <c r="S753" s="72"/>
      <c r="T753" s="72"/>
      <c r="U753" s="72"/>
    </row>
    <row r="754" spans="1:21" ht="18.75" x14ac:dyDescent="0.25">
      <c r="A754" s="222"/>
      <c r="B754" s="223"/>
      <c r="C754" s="223"/>
      <c r="D754" s="223"/>
      <c r="E754" s="223"/>
      <c r="F754" s="395" t="s">
        <v>318</v>
      </c>
      <c r="G754" s="227"/>
      <c r="H754" s="216" t="s">
        <v>46</v>
      </c>
      <c r="I754" s="71"/>
      <c r="J754" s="884">
        <v>0</v>
      </c>
      <c r="K754" s="72"/>
      <c r="L754" s="540"/>
      <c r="M754" s="72"/>
      <c r="N754" s="72"/>
      <c r="O754" s="72"/>
      <c r="P754" s="72"/>
      <c r="Q754" s="72"/>
      <c r="R754" s="72"/>
      <c r="S754" s="72"/>
      <c r="T754" s="72"/>
      <c r="U754" s="72"/>
    </row>
    <row r="755" spans="1:21" ht="18.75" x14ac:dyDescent="0.25">
      <c r="A755" s="222"/>
      <c r="B755" s="223"/>
      <c r="C755" s="223"/>
      <c r="D755" s="223"/>
      <c r="E755" s="1032" t="s">
        <v>274</v>
      </c>
      <c r="F755" s="231"/>
      <c r="G755" s="227"/>
      <c r="H755" s="1033"/>
      <c r="I755" s="71"/>
      <c r="J755" s="71"/>
      <c r="K755" s="72"/>
      <c r="L755" s="540"/>
      <c r="M755" s="72"/>
      <c r="N755" s="72"/>
      <c r="O755" s="72"/>
      <c r="P755" s="72"/>
      <c r="Q755" s="72"/>
      <c r="R755" s="72"/>
      <c r="S755" s="72"/>
      <c r="T755" s="72"/>
      <c r="U755" s="72"/>
    </row>
    <row r="756" spans="1:21" ht="18.75" x14ac:dyDescent="0.25">
      <c r="A756" s="222"/>
      <c r="B756" s="223"/>
      <c r="C756" s="223"/>
      <c r="D756" s="223"/>
      <c r="E756" s="231"/>
      <c r="F756" s="395" t="s">
        <v>319</v>
      </c>
      <c r="G756" s="227"/>
      <c r="H756" s="216" t="s">
        <v>46</v>
      </c>
      <c r="I756" s="321">
        <f ca="1">IFERROR(__xludf.DUMMYFUNCTION("IMPORTRANGE(""https://docs.google.com/spreadsheets/d/1eHaY18a8A9IcSdp1K8H6x8fbOy06t2VsZHhMHf-1x7Y/edit?usp=sharing"",""แผน!GE62"")"),10)</f>
        <v>10</v>
      </c>
      <c r="J756" s="884">
        <v>0</v>
      </c>
      <c r="K756" s="399">
        <f ca="1">IF(I756&gt;0,J756*100/I756,0)</f>
        <v>0</v>
      </c>
      <c r="L756" s="540"/>
      <c r="M756" s="72"/>
      <c r="N756" s="72"/>
      <c r="O756" s="72"/>
      <c r="P756" s="72"/>
      <c r="Q756" s="72"/>
      <c r="R756" s="72"/>
      <c r="S756" s="72"/>
      <c r="T756" s="72"/>
      <c r="U756" s="72"/>
    </row>
    <row r="757" spans="1:21" ht="18.75" x14ac:dyDescent="0.25">
      <c r="A757" s="222"/>
      <c r="B757" s="223"/>
      <c r="C757" s="223"/>
      <c r="D757" s="223"/>
      <c r="E757" s="231"/>
      <c r="F757" s="395" t="s">
        <v>320</v>
      </c>
      <c r="G757" s="227"/>
      <c r="H757" s="216" t="s">
        <v>46</v>
      </c>
      <c r="I757" s="71"/>
      <c r="J757" s="884">
        <v>0</v>
      </c>
      <c r="K757" s="72"/>
      <c r="L757" s="540"/>
      <c r="M757" s="72"/>
      <c r="N757" s="72"/>
      <c r="O757" s="72"/>
      <c r="P757" s="72"/>
      <c r="Q757" s="72"/>
      <c r="R757" s="72"/>
      <c r="S757" s="72"/>
      <c r="T757" s="72"/>
      <c r="U757" s="72"/>
    </row>
    <row r="758" spans="1:21" ht="19.5" hidden="1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1">I772</f>
        <v>0</v>
      </c>
      <c r="J758" s="781">
        <f t="shared" si="451"/>
        <v>0</v>
      </c>
      <c r="K758" s="766">
        <f t="shared" ref="K758:K759" ca="1" si="452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hidden="1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3">I774</f>
        <v>0</v>
      </c>
      <c r="J759" s="781">
        <f t="shared" si="453"/>
        <v>0</v>
      </c>
      <c r="K759" s="766">
        <f t="shared" ca="1" si="452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hidden="1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1257">
        <f t="shared" ref="L760:N760" si="454">L761+L762</f>
        <v>0</v>
      </c>
      <c r="M760" s="264">
        <f t="shared" si="454"/>
        <v>0</v>
      </c>
      <c r="N760" s="264">
        <f t="shared" si="454"/>
        <v>0</v>
      </c>
      <c r="O760" s="264">
        <f t="shared" ref="O760:O768" si="455">IF(L760&gt;0,N760*100/L760,0)</f>
        <v>0</v>
      </c>
      <c r="P760" s="264">
        <f t="shared" ref="P760:P768" si="456">IF(M760&gt;0,N760*100/M760,0)</f>
        <v>0</v>
      </c>
      <c r="Q760" s="264">
        <f t="shared" ref="Q760:S760" ca="1" si="457">Q761+Q762</f>
        <v>0</v>
      </c>
      <c r="R760" s="264">
        <f t="shared" ca="1" si="457"/>
        <v>0</v>
      </c>
      <c r="S760" s="264">
        <f t="shared" ca="1" si="457"/>
        <v>0</v>
      </c>
      <c r="T760" s="264">
        <f t="shared" ref="T760:T768" ca="1" si="458">IF(Q760&gt;0,S760*100/Q760,0)</f>
        <v>0</v>
      </c>
      <c r="U760" s="264">
        <f t="shared" ref="U760:U768" ca="1" si="459">IF(R760&gt;0,S760*100/R760,0)</f>
        <v>0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6">
        <f t="shared" ref="L761:N762" si="460">L764+L767</f>
        <v>0</v>
      </c>
      <c r="M761" s="77">
        <f t="shared" si="460"/>
        <v>0</v>
      </c>
      <c r="N761" s="77">
        <f t="shared" si="460"/>
        <v>0</v>
      </c>
      <c r="O761" s="77">
        <f t="shared" si="455"/>
        <v>0</v>
      </c>
      <c r="P761" s="77">
        <f t="shared" si="456"/>
        <v>0</v>
      </c>
      <c r="Q761" s="77">
        <f t="shared" ref="Q761:S762" si="461">Q764+Q767</f>
        <v>0</v>
      </c>
      <c r="R761" s="77">
        <f t="shared" si="461"/>
        <v>0</v>
      </c>
      <c r="S761" s="77">
        <f t="shared" si="461"/>
        <v>0</v>
      </c>
      <c r="T761" s="77">
        <f t="shared" si="458"/>
        <v>0</v>
      </c>
      <c r="U761" s="77">
        <f t="shared" si="459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3">
        <f t="shared" si="460"/>
        <v>0</v>
      </c>
      <c r="M762" s="74">
        <f t="shared" si="460"/>
        <v>0</v>
      </c>
      <c r="N762" s="74">
        <f t="shared" si="460"/>
        <v>0</v>
      </c>
      <c r="O762" s="74">
        <f t="shared" si="455"/>
        <v>0</v>
      </c>
      <c r="P762" s="74">
        <f t="shared" si="456"/>
        <v>0</v>
      </c>
      <c r="Q762" s="74">
        <f t="shared" ca="1" si="461"/>
        <v>0</v>
      </c>
      <c r="R762" s="74">
        <f t="shared" ca="1" si="461"/>
        <v>0</v>
      </c>
      <c r="S762" s="74">
        <f t="shared" ca="1" si="461"/>
        <v>0</v>
      </c>
      <c r="T762" s="74">
        <f t="shared" ca="1" si="458"/>
        <v>0</v>
      </c>
      <c r="U762" s="74">
        <f t="shared" ca="1" si="459"/>
        <v>0</v>
      </c>
    </row>
    <row r="763" spans="1:21" ht="18.75" hidden="1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3">
        <f t="shared" ref="L763:N763" si="462">L764+L765</f>
        <v>0</v>
      </c>
      <c r="M763" s="74">
        <f t="shared" si="462"/>
        <v>0</v>
      </c>
      <c r="N763" s="74">
        <f t="shared" si="462"/>
        <v>0</v>
      </c>
      <c r="O763" s="74">
        <f t="shared" si="455"/>
        <v>0</v>
      </c>
      <c r="P763" s="74">
        <f t="shared" si="456"/>
        <v>0</v>
      </c>
      <c r="Q763" s="74">
        <f t="shared" ref="Q763:S763" ca="1" si="463">Q764+Q765</f>
        <v>0</v>
      </c>
      <c r="R763" s="74">
        <f t="shared" ca="1" si="463"/>
        <v>0</v>
      </c>
      <c r="S763" s="74">
        <f t="shared" ca="1" si="463"/>
        <v>0</v>
      </c>
      <c r="T763" s="74">
        <f t="shared" ca="1" si="458"/>
        <v>0</v>
      </c>
      <c r="U763" s="74">
        <f t="shared" ca="1" si="459"/>
        <v>0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77">
        <f t="shared" si="455"/>
        <v>0</v>
      </c>
      <c r="P764" s="77">
        <f t="shared" si="456"/>
        <v>0</v>
      </c>
      <c r="Q764" s="77">
        <v>0</v>
      </c>
      <c r="R764" s="77">
        <v>0</v>
      </c>
      <c r="S764" s="77">
        <v>0</v>
      </c>
      <c r="T764" s="77">
        <f t="shared" si="458"/>
        <v>0</v>
      </c>
      <c r="U764" s="77">
        <f t="shared" si="459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74">
        <f t="shared" si="455"/>
        <v>0</v>
      </c>
      <c r="P765" s="74">
        <f t="shared" si="456"/>
        <v>0</v>
      </c>
      <c r="Q765" s="74">
        <f ca="1">IFERROR(__xludf.DUMMYFUNCTION("IMPORTRANGE(""https://docs.google.com/spreadsheets/d/1ItG2mGa2ceCfYo0BwxsXqNm01IGEUdYcSSLTEv9YCik/edit?usp=sharing"",""เบิกจ่ายกองทุน!U62"")"),0)</f>
        <v>0</v>
      </c>
      <c r="R765" s="74">
        <f ca="1">IFERROR(__xludf.DUMMYFUNCTION("IMPORTRANGE(""https://docs.google.com/spreadsheets/d/1ItG2mGa2ceCfYo0BwxsXqNm01IGEUdYcSSLTEv9YCik/edit?usp=sharing"",""เบิกจ่ายกองทุน!V62"")"),0)</f>
        <v>0</v>
      </c>
      <c r="S765" s="74">
        <f ca="1">IFERROR(__xludf.DUMMYFUNCTION("IMPORTRANGE(""https://docs.google.com/spreadsheets/d/1ItG2mGa2ceCfYo0BwxsXqNm01IGEUdYcSSLTEv9YCik/edit?usp=sharing"",""เบิกจ่ายกองทุน!W62"")"),0)</f>
        <v>0</v>
      </c>
      <c r="T765" s="74">
        <f t="shared" ca="1" si="458"/>
        <v>0</v>
      </c>
      <c r="U765" s="74">
        <f t="shared" ca="1" si="459"/>
        <v>0</v>
      </c>
    </row>
    <row r="766" spans="1:21" ht="18.75" hidden="1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3">
        <f t="shared" ref="L766:N766" si="464">L767+L768</f>
        <v>0</v>
      </c>
      <c r="M766" s="74">
        <f t="shared" si="464"/>
        <v>0</v>
      </c>
      <c r="N766" s="74">
        <f t="shared" si="464"/>
        <v>0</v>
      </c>
      <c r="O766" s="74">
        <f t="shared" si="455"/>
        <v>0</v>
      </c>
      <c r="P766" s="74">
        <f t="shared" si="456"/>
        <v>0</v>
      </c>
      <c r="Q766" s="74">
        <f t="shared" ref="Q766:S766" si="465">Q767+Q768</f>
        <v>0</v>
      </c>
      <c r="R766" s="74">
        <f t="shared" si="465"/>
        <v>0</v>
      </c>
      <c r="S766" s="74">
        <f t="shared" si="465"/>
        <v>0</v>
      </c>
      <c r="T766" s="74">
        <f t="shared" si="458"/>
        <v>0</v>
      </c>
      <c r="U766" s="74">
        <f t="shared" si="459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77">
        <f t="shared" si="455"/>
        <v>0</v>
      </c>
      <c r="P767" s="77">
        <f t="shared" si="456"/>
        <v>0</v>
      </c>
      <c r="Q767" s="77">
        <v>0</v>
      </c>
      <c r="R767" s="77">
        <v>0</v>
      </c>
      <c r="S767" s="77">
        <v>0</v>
      </c>
      <c r="T767" s="77">
        <f t="shared" si="458"/>
        <v>0</v>
      </c>
      <c r="U767" s="77">
        <f t="shared" si="459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74">
        <f t="shared" si="455"/>
        <v>0</v>
      </c>
      <c r="P768" s="74">
        <f t="shared" si="456"/>
        <v>0</v>
      </c>
      <c r="Q768" s="74">
        <v>0</v>
      </c>
      <c r="R768" s="74">
        <v>0</v>
      </c>
      <c r="S768" s="74">
        <v>0</v>
      </c>
      <c r="T768" s="74">
        <f t="shared" si="458"/>
        <v>0</v>
      </c>
      <c r="U768" s="74">
        <f t="shared" si="459"/>
        <v>0</v>
      </c>
    </row>
    <row r="769" spans="1:21" ht="19.5" hidden="1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IFERROR(__xludf.DUMMYFUNCTION("IMPORTRANGE(""https://docs.google.com/spreadsheets/d/1eHaY18a8A9IcSdp1K8H6x8fbOy06t2VsZHhMHf-1x7Y/edit?usp=sharing"",""แผน!FI62"")"),0)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hidden="1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IFERROR(__xludf.DUMMYFUNCTION("IMPORTRANGE(""https://docs.google.com/spreadsheets/d/1eHaY18a8A9IcSdp1K8H6x8fbOy06t2VsZHhMHf-1x7Y/edit?usp=sharing"",""แผน!FQ62"")"),0)</f>
        <v>0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hidden="1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hidden="1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IFERROR(__xludf.DUMMYFUNCTION("IMPORTRANGE(""https://docs.google.com/spreadsheets/d/1eHaY18a8A9IcSdp1K8H6x8fbOy06t2VsZHhMHf-1x7Y/edit?usp=sharing"",""แผน!FR62"")"),0)</f>
        <v>0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hidden="1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IFERROR(__xludf.DUMMYFUNCTION("IMPORTRANGE(""https://docs.google.com/spreadsheets/d/1eHaY18a8A9IcSdp1K8H6x8fbOy06t2VsZHhMHf-1x7Y/edit?usp=sharing"",""แผน!FS62"")"),0)</f>
        <v>0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hidden="1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IFERROR(__xludf.DUMMYFUNCTION("IMPORTRANGE(""https://docs.google.com/spreadsheets/d/1eHaY18a8A9IcSdp1K8H6x8fbOy06t2VsZHhMHf-1x7Y/edit?usp=sharing"",""แผน!FT62"")"),0)</f>
        <v>0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IFERROR(__xludf.DUMMYFUNCTION("IMPORTRANGE(""https://docs.google.com/spreadsheets/d/10OvvATaaLtwErnr3qtWFcTmtbfpFEt5Bsqel9sXx0uE/edit?usp=sharing"",""งานกองทุน!D62"")"),2457317.87)</f>
        <v>2457317.87</v>
      </c>
      <c r="J778" s="293">
        <f ca="1">IFERROR(__xludf.DUMMYFUNCTION("IMPORTRANGE(""https://docs.google.com/spreadsheets/d/10OvvATaaLtwErnr3qtWFcTmtbfpFEt5Bsqel9sXx0uE/edit?usp=sharing"",""งานกองทุน!F62"")"),806062.21)</f>
        <v>806062.21</v>
      </c>
      <c r="K778" s="74">
        <f t="shared" ref="K778:K785" ca="1" si="466">IF(I778&gt;0,J778*100/I778,0)</f>
        <v>32.802520986021236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IFERROR(__xludf.DUMMYFUNCTION("IMPORTRANGE(""https://docs.google.com/spreadsheets/d/10OvvATaaLtwErnr3qtWFcTmtbfpFEt5Bsqel9sXx0uE/edit?usp=sharing"",""งานกองทุน!C62"")"),167)</f>
        <v>167</v>
      </c>
      <c r="J779" s="293">
        <f ca="1">IFERROR(__xludf.DUMMYFUNCTION("IMPORTRANGE(""https://docs.google.com/spreadsheets/d/10OvvATaaLtwErnr3qtWFcTmtbfpFEt5Bsqel9sXx0uE/edit?usp=sharing"",""งานกองทุน!E62"")"),53)</f>
        <v>53</v>
      </c>
      <c r="K779" s="74">
        <f t="shared" ca="1" si="466"/>
        <v>31.736526946107784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IFERROR(__xludf.DUMMYFUNCTION("IMPORTRANGE(""https://docs.google.com/spreadsheets/d/10OvvATaaLtwErnr3qtWFcTmtbfpFEt5Bsqel9sXx0uE/edit?usp=sharing"",""งานกองทุน!I62"")"),247543.29)</f>
        <v>247543.29</v>
      </c>
      <c r="J780" s="293">
        <f ca="1">IFERROR(__xludf.DUMMYFUNCTION("IMPORTRANGE(""https://docs.google.com/spreadsheets/d/10OvvATaaLtwErnr3qtWFcTmtbfpFEt5Bsqel9sXx0uE/edit?usp=sharing"",""งานกองทุน!K62"")"),16393.33)</f>
        <v>16393.330000000002</v>
      </c>
      <c r="K780" s="74">
        <f t="shared" ca="1" si="466"/>
        <v>6.6224093571673874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IFERROR(__xludf.DUMMYFUNCTION("IMPORTRANGE(""https://docs.google.com/spreadsheets/d/10OvvATaaLtwErnr3qtWFcTmtbfpFEt5Bsqel9sXx0uE/edit?usp=sharing"",""งานกองทุน!H62"")"),16)</f>
        <v>16</v>
      </c>
      <c r="J781" s="293">
        <f ca="1">IFERROR(__xludf.DUMMYFUNCTION("IMPORTRANGE(""https://docs.google.com/spreadsheets/d/10OvvATaaLtwErnr3qtWFcTmtbfpFEt5Bsqel9sXx0uE/edit?usp=sharing"",""งานกองทุน!J62"")"),10)</f>
        <v>10</v>
      </c>
      <c r="K781" s="74">
        <f t="shared" ca="1" si="466"/>
        <v>62.5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IFERROR(__xludf.DUMMYFUNCTION("IMPORTRANGE(""https://docs.google.com/spreadsheets/d/10OvvATaaLtwErnr3qtWFcTmtbfpFEt5Bsqel9sXx0uE/edit?usp=sharing"",""งานกองทุน!N62"")"),231.96)</f>
        <v>231.96</v>
      </c>
      <c r="J782" s="293">
        <f ca="1">IFERROR(__xludf.DUMMYFUNCTION("IMPORTRANGE(""https://docs.google.com/spreadsheets/d/10OvvATaaLtwErnr3qtWFcTmtbfpFEt5Bsqel9sXx0uE/edit?usp=sharing"",""งานกองทุน!P62"")"),231.96)</f>
        <v>231.96</v>
      </c>
      <c r="K782" s="74">
        <f t="shared" ca="1" si="466"/>
        <v>100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IFERROR(__xludf.DUMMYFUNCTION("IMPORTRANGE(""https://docs.google.com/spreadsheets/d/10OvvATaaLtwErnr3qtWFcTmtbfpFEt5Bsqel9sXx0uE/edit?usp=sharing"",""งานกองทุน!M62"")"),1)</f>
        <v>1</v>
      </c>
      <c r="J783" s="293">
        <f ca="1">IFERROR(__xludf.DUMMYFUNCTION("IMPORTRANGE(""https://docs.google.com/spreadsheets/d/10OvvATaaLtwErnr3qtWFcTmtbfpFEt5Bsqel9sXx0uE/edit?usp=sharing"",""งานกองทุน!O62"")"),1)</f>
        <v>1</v>
      </c>
      <c r="K783" s="74">
        <f t="shared" ca="1" si="466"/>
        <v>100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IFERROR(__xludf.DUMMYFUNCTION("IMPORTRANGE(""https://docs.google.com/spreadsheets/d/10OvvATaaLtwErnr3qtWFcTmtbfpFEt5Bsqel9sXx0uE/edit?usp=sharing"",""งานกองทุน!S62"")"),2940000)</f>
        <v>2940000</v>
      </c>
      <c r="J784" s="293">
        <f ca="1">IFERROR(__xludf.DUMMYFUNCTION("IMPORTRANGE(""https://docs.google.com/spreadsheets/d/10OvvATaaLtwErnr3qtWFcTmtbfpFEt5Bsqel9sXx0uE/edit?usp=sharing"",""งานกองทุน!U62"")"),0)</f>
        <v>0</v>
      </c>
      <c r="K784" s="74">
        <f t="shared" ca="1" si="466"/>
        <v>0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IFERROR(__xludf.DUMMYFUNCTION("IMPORTRANGE(""https://docs.google.com/spreadsheets/d/10OvvATaaLtwErnr3qtWFcTmtbfpFEt5Bsqel9sXx0uE/edit?usp=sharing"",""งานกองทุน!R62"")"),105)</f>
        <v>105</v>
      </c>
      <c r="J785" s="786">
        <f ca="1">IFERROR(__xludf.DUMMYFUNCTION("IMPORTRANGE(""https://docs.google.com/spreadsheets/d/10OvvATaaLtwErnr3qtWFcTmtbfpFEt5Bsqel9sXx0uE/edit?usp=sharing"",""งานกองทุน!T62"")"),0)</f>
        <v>0</v>
      </c>
      <c r="K785" s="182">
        <f t="shared" ca="1" si="466"/>
        <v>0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80C00-4B29-47A1-881D-611BD87E4BE6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3" width="21.28515625" bestFit="1" customWidth="1"/>
    <col min="14" max="14" width="18.7109375" bestFit="1" customWidth="1"/>
    <col min="15" max="15" width="10.8554687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346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4" t="s">
        <v>4</v>
      </c>
      <c r="B6" s="1385"/>
      <c r="C6" s="1385"/>
      <c r="D6" s="1385"/>
      <c r="E6" s="1385"/>
      <c r="F6" s="1385"/>
      <c r="G6" s="1386"/>
      <c r="H6" s="1037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8">
        <f t="shared" ref="L19:N19" ca="1" si="0">L20+L21</f>
        <v>1602665</v>
      </c>
      <c r="M19" s="59">
        <f t="shared" ca="1" si="0"/>
        <v>1574665</v>
      </c>
      <c r="N19" s="59">
        <f t="shared" ca="1" si="0"/>
        <v>811106.10000000009</v>
      </c>
      <c r="O19" s="59">
        <f t="shared" ref="O19:O27" ca="1" si="1">IF(L19&gt;0,N19*100/L19,0)</f>
        <v>50.609834244835952</v>
      </c>
      <c r="P19" s="59">
        <f t="shared" ref="P19:P27" ca="1" si="2">IF(M19&gt;0,N19*100/M19,0)</f>
        <v>51.509756043348915</v>
      </c>
      <c r="Q19" s="59">
        <f t="shared" ref="Q19:S19" ca="1" si="3">Q20+Q21</f>
        <v>1428040.24</v>
      </c>
      <c r="R19" s="59">
        <f t="shared" ca="1" si="3"/>
        <v>1303040</v>
      </c>
      <c r="S19" s="59">
        <f t="shared" ca="1" si="3"/>
        <v>34687</v>
      </c>
      <c r="T19" s="59">
        <f t="shared" ref="T19:T27" ca="1" si="4">IF(Q19&gt;0,S19*100/Q19,0)</f>
        <v>2.4289931773911357</v>
      </c>
      <c r="U19" s="59">
        <f t="shared" ref="U19:U27" ca="1" si="5">IF(R19&gt;0,S19*100/R19,0)</f>
        <v>2.6620057711198428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2">
        <f t="shared" ref="L20:N21" si="6">L23+L26</f>
        <v>0</v>
      </c>
      <c r="M20" s="63">
        <f t="shared" si="6"/>
        <v>0</v>
      </c>
      <c r="N20" s="63">
        <f t="shared" si="6"/>
        <v>0</v>
      </c>
      <c r="O20" s="63">
        <f t="shared" si="1"/>
        <v>0</v>
      </c>
      <c r="P20" s="63">
        <f t="shared" si="2"/>
        <v>0</v>
      </c>
      <c r="Q20" s="63">
        <f t="shared" ref="Q20:S21" si="7">Q23+Q26</f>
        <v>0</v>
      </c>
      <c r="R20" s="63">
        <f t="shared" si="7"/>
        <v>0</v>
      </c>
      <c r="S20" s="63">
        <f t="shared" si="7"/>
        <v>0</v>
      </c>
      <c r="T20" s="63">
        <f t="shared" si="4"/>
        <v>0</v>
      </c>
      <c r="U20" s="6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4">
        <f t="shared" ca="1" si="6"/>
        <v>1602665</v>
      </c>
      <c r="M21" s="65">
        <f t="shared" ca="1" si="6"/>
        <v>1574665</v>
      </c>
      <c r="N21" s="65">
        <f t="shared" ca="1" si="6"/>
        <v>811106.10000000009</v>
      </c>
      <c r="O21" s="65">
        <f t="shared" ca="1" si="1"/>
        <v>50.609834244835952</v>
      </c>
      <c r="P21" s="65">
        <f t="shared" ca="1" si="2"/>
        <v>51.509756043348915</v>
      </c>
      <c r="Q21" s="65">
        <f t="shared" ca="1" si="7"/>
        <v>1428040.24</v>
      </c>
      <c r="R21" s="65">
        <f t="shared" ca="1" si="7"/>
        <v>1303040</v>
      </c>
      <c r="S21" s="65">
        <f t="shared" ca="1" si="7"/>
        <v>34687</v>
      </c>
      <c r="T21" s="65">
        <f t="shared" ca="1" si="4"/>
        <v>2.4289931773911357</v>
      </c>
      <c r="U21" s="65">
        <f t="shared" ca="1" si="5"/>
        <v>2.6620057711198428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3">
        <f t="shared" ref="L22:N22" ca="1" si="8">L23+L24</f>
        <v>1602665</v>
      </c>
      <c r="M22" s="74">
        <f t="shared" ca="1" si="8"/>
        <v>1574665</v>
      </c>
      <c r="N22" s="74">
        <f t="shared" ca="1" si="8"/>
        <v>811106.10000000009</v>
      </c>
      <c r="O22" s="74">
        <f t="shared" ca="1" si="1"/>
        <v>50.609834244835952</v>
      </c>
      <c r="P22" s="74">
        <f t="shared" ca="1" si="2"/>
        <v>51.509756043348915</v>
      </c>
      <c r="Q22" s="74">
        <f t="shared" ref="Q22:S22" ca="1" si="9">Q23+Q24</f>
        <v>1428040.24</v>
      </c>
      <c r="R22" s="74">
        <f t="shared" ca="1" si="9"/>
        <v>1303040</v>
      </c>
      <c r="S22" s="74">
        <f t="shared" ca="1" si="9"/>
        <v>34687</v>
      </c>
      <c r="T22" s="74">
        <f t="shared" ca="1" si="4"/>
        <v>2.4289931773911357</v>
      </c>
      <c r="U22" s="74">
        <f t="shared" ca="1" si="5"/>
        <v>2.6620057711198428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6">
        <f t="shared" ref="L23:N24" si="10">L49+L64+L77+L99+L130+L144+L162+L191+L178+L271+L287+L308+L325+L338+L361+L518</f>
        <v>0</v>
      </c>
      <c r="M23" s="77">
        <f t="shared" si="10"/>
        <v>0</v>
      </c>
      <c r="N23" s="77">
        <f t="shared" si="10"/>
        <v>0</v>
      </c>
      <c r="O23" s="77">
        <f t="shared" si="1"/>
        <v>0</v>
      </c>
      <c r="P23" s="77">
        <f t="shared" si="2"/>
        <v>0</v>
      </c>
      <c r="Q23" s="77">
        <f t="shared" ref="Q23:S24" si="11">Q77+Q99+Q122+Q144+Q162+Q178+Q191+Q271+Q287+Q308+Q338+Q380+Q397+Q418+Q498+Q604+Q621+Q647+Q695+Q719+Q733+Q764</f>
        <v>0</v>
      </c>
      <c r="R23" s="77">
        <f t="shared" si="11"/>
        <v>0</v>
      </c>
      <c r="S23" s="77">
        <f t="shared" si="11"/>
        <v>0</v>
      </c>
      <c r="T23" s="77">
        <f t="shared" si="4"/>
        <v>0</v>
      </c>
      <c r="U23" s="77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3">
        <f t="shared" ca="1" si="10"/>
        <v>1602665</v>
      </c>
      <c r="M24" s="74">
        <f t="shared" ca="1" si="10"/>
        <v>1574665</v>
      </c>
      <c r="N24" s="74">
        <f t="shared" ca="1" si="10"/>
        <v>811106.10000000009</v>
      </c>
      <c r="O24" s="74">
        <f t="shared" ca="1" si="1"/>
        <v>50.609834244835952</v>
      </c>
      <c r="P24" s="74">
        <f t="shared" ca="1" si="2"/>
        <v>51.509756043348915</v>
      </c>
      <c r="Q24" s="74">
        <f t="shared" ca="1" si="11"/>
        <v>1428040.24</v>
      </c>
      <c r="R24" s="74">
        <f t="shared" ca="1" si="11"/>
        <v>1303040</v>
      </c>
      <c r="S24" s="74">
        <f t="shared" ca="1" si="11"/>
        <v>34687</v>
      </c>
      <c r="T24" s="74">
        <f t="shared" ca="1" si="4"/>
        <v>2.4289931773911357</v>
      </c>
      <c r="U24" s="74">
        <f t="shared" ca="1" si="5"/>
        <v>2.6620057711198428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3">
        <f t="shared" ref="L25:N25" ca="1" si="12">L26+L27</f>
        <v>0</v>
      </c>
      <c r="M25" s="74">
        <f t="shared" ca="1" si="12"/>
        <v>0</v>
      </c>
      <c r="N25" s="74">
        <f t="shared" ca="1" si="12"/>
        <v>0</v>
      </c>
      <c r="O25" s="74">
        <f t="shared" ca="1" si="1"/>
        <v>0</v>
      </c>
      <c r="P25" s="74">
        <f t="shared" ca="1" si="2"/>
        <v>0</v>
      </c>
      <c r="Q25" s="74">
        <f t="shared" ref="Q25:S25" si="13">Q26+Q27</f>
        <v>0</v>
      </c>
      <c r="R25" s="74">
        <f t="shared" si="13"/>
        <v>0</v>
      </c>
      <c r="S25" s="74">
        <f t="shared" si="13"/>
        <v>0</v>
      </c>
      <c r="T25" s="74">
        <f t="shared" si="4"/>
        <v>0</v>
      </c>
      <c r="U25" s="74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6">
        <f t="shared" ref="L26:N27" si="14">L52+L67+L80+L102+L133+L147+L165+L194+L181+L274+L290+L311+L328+L341+L364+L521</f>
        <v>0</v>
      </c>
      <c r="M26" s="77">
        <f t="shared" si="14"/>
        <v>0</v>
      </c>
      <c r="N26" s="77">
        <f t="shared" si="14"/>
        <v>0</v>
      </c>
      <c r="O26" s="77">
        <f t="shared" si="1"/>
        <v>0</v>
      </c>
      <c r="P26" s="77">
        <f t="shared" si="2"/>
        <v>0</v>
      </c>
      <c r="Q26" s="77">
        <f t="shared" ref="Q26:S27" si="15">Q80+Q102+Q125+Q147+Q165+Q181+Q194+Q274+Q290+Q311+Q341+Q383+Q400+Q421+Q501+Q607+Q624+Q650+Q698+Q722+Q736+Q767</f>
        <v>0</v>
      </c>
      <c r="R26" s="77">
        <f t="shared" si="15"/>
        <v>0</v>
      </c>
      <c r="S26" s="77">
        <f t="shared" si="15"/>
        <v>0</v>
      </c>
      <c r="T26" s="77">
        <f t="shared" si="4"/>
        <v>0</v>
      </c>
      <c r="U26" s="77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3">
        <f t="shared" ca="1" si="14"/>
        <v>0</v>
      </c>
      <c r="M27" s="74">
        <f t="shared" ca="1" si="14"/>
        <v>0</v>
      </c>
      <c r="N27" s="74">
        <f t="shared" ca="1" si="14"/>
        <v>0</v>
      </c>
      <c r="O27" s="74">
        <f t="shared" ca="1" si="1"/>
        <v>0</v>
      </c>
      <c r="P27" s="74">
        <f t="shared" ca="1" si="2"/>
        <v>0</v>
      </c>
      <c r="Q27" s="77">
        <f t="shared" si="15"/>
        <v>0</v>
      </c>
      <c r="R27" s="77">
        <f t="shared" si="15"/>
        <v>0</v>
      </c>
      <c r="S27" s="77">
        <f t="shared" si="15"/>
        <v>0</v>
      </c>
      <c r="T27" s="74">
        <f t="shared" si="4"/>
        <v>0</v>
      </c>
      <c r="U27" s="74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79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80">
        <f t="shared" ref="L41:N41" ca="1" si="16">L45+L60+L73+L95+L126+L140+L158+L174+L187+L267+L283+L304+L321+L334+L357</f>
        <v>1602665</v>
      </c>
      <c r="M41" s="1279">
        <f t="shared" ca="1" si="16"/>
        <v>1574665</v>
      </c>
      <c r="N41" s="1279">
        <f t="shared" ca="1" si="16"/>
        <v>811106.10000000009</v>
      </c>
      <c r="O41" s="1279">
        <f ca="1">IF(L41&gt;0,N41*100/L41,0)</f>
        <v>50.609834244835952</v>
      </c>
      <c r="P41" s="1279">
        <f ca="1">IF(M41&gt;0,N41*100/M41,0)</f>
        <v>51.509756043348915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6">
        <f t="shared" ref="L45:N45" ca="1" si="17">L46+L47</f>
        <v>210650</v>
      </c>
      <c r="M45" s="1275">
        <f t="shared" ca="1" si="17"/>
        <v>213430</v>
      </c>
      <c r="N45" s="1275">
        <f t="shared" ca="1" si="17"/>
        <v>150740</v>
      </c>
      <c r="O45" s="1275">
        <f t="shared" ref="O45:O53" ca="1" si="18">IF(L45&gt;0,N45*100/L45,0)</f>
        <v>71.55945881794446</v>
      </c>
      <c r="P45" s="1275">
        <f t="shared" ref="P45:P53" ca="1" si="19">IF(M45&gt;0,N45*100/M45,0)</f>
        <v>70.627371972075153</v>
      </c>
      <c r="Q45" s="1275">
        <f t="shared" ref="Q45:S45" si="20">Q46+Q47</f>
        <v>0</v>
      </c>
      <c r="R45" s="1275">
        <f t="shared" si="20"/>
        <v>0</v>
      </c>
      <c r="S45" s="1275">
        <f t="shared" si="20"/>
        <v>0</v>
      </c>
      <c r="T45" s="1275">
        <f t="shared" ref="T45:T53" si="21">IF(Q45&gt;0,S45*100/Q45,0)</f>
        <v>0</v>
      </c>
      <c r="U45" s="1275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4">
        <f t="shared" ref="L46:N47" si="23">L49+L52</f>
        <v>0</v>
      </c>
      <c r="M46" s="1273">
        <f t="shared" si="23"/>
        <v>0</v>
      </c>
      <c r="N46" s="1273">
        <f t="shared" si="23"/>
        <v>0</v>
      </c>
      <c r="O46" s="1273">
        <f t="shared" si="18"/>
        <v>0</v>
      </c>
      <c r="P46" s="1273">
        <f t="shared" si="19"/>
        <v>0</v>
      </c>
      <c r="Q46" s="1273">
        <f t="shared" ref="Q46:S47" si="24">Q49+Q52</f>
        <v>0</v>
      </c>
      <c r="R46" s="1273">
        <f t="shared" si="24"/>
        <v>0</v>
      </c>
      <c r="S46" s="1273">
        <f t="shared" si="24"/>
        <v>0</v>
      </c>
      <c r="T46" s="1273">
        <f t="shared" si="21"/>
        <v>0</v>
      </c>
      <c r="U46" s="1273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2">
        <f t="shared" ca="1" si="23"/>
        <v>210650</v>
      </c>
      <c r="M47" s="1271">
        <f t="shared" ca="1" si="23"/>
        <v>213430</v>
      </c>
      <c r="N47" s="1271">
        <f t="shared" ca="1" si="23"/>
        <v>150740</v>
      </c>
      <c r="O47" s="1271">
        <f t="shared" ca="1" si="18"/>
        <v>71.55945881794446</v>
      </c>
      <c r="P47" s="1271">
        <f t="shared" ca="1" si="19"/>
        <v>70.627371972075153</v>
      </c>
      <c r="Q47" s="1271">
        <f t="shared" si="24"/>
        <v>0</v>
      </c>
      <c r="R47" s="1271">
        <f t="shared" si="24"/>
        <v>0</v>
      </c>
      <c r="S47" s="1271">
        <f t="shared" si="24"/>
        <v>0</v>
      </c>
      <c r="T47" s="1271">
        <f t="shared" si="21"/>
        <v>0</v>
      </c>
      <c r="U47" s="1271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3">
        <f t="shared" ref="L48:N48" ca="1" si="25">L49+L50</f>
        <v>210650</v>
      </c>
      <c r="M48" s="74">
        <f t="shared" ca="1" si="25"/>
        <v>213430</v>
      </c>
      <c r="N48" s="74">
        <f t="shared" ca="1" si="25"/>
        <v>150740</v>
      </c>
      <c r="O48" s="74">
        <f t="shared" ca="1" si="18"/>
        <v>71.55945881794446</v>
      </c>
      <c r="P48" s="74">
        <f t="shared" ca="1" si="19"/>
        <v>70.627371972075153</v>
      </c>
      <c r="Q48" s="74">
        <f t="shared" ref="Q48:S48" si="26">Q49+Q50</f>
        <v>0</v>
      </c>
      <c r="R48" s="74">
        <f t="shared" si="26"/>
        <v>0</v>
      </c>
      <c r="S48" s="74">
        <f t="shared" si="26"/>
        <v>0</v>
      </c>
      <c r="T48" s="74">
        <f t="shared" si="21"/>
        <v>0</v>
      </c>
      <c r="U48" s="74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77">
        <f t="shared" si="18"/>
        <v>0</v>
      </c>
      <c r="P49" s="77">
        <f t="shared" si="19"/>
        <v>0</v>
      </c>
      <c r="Q49" s="77">
        <v>0</v>
      </c>
      <c r="R49" s="77">
        <v>0</v>
      </c>
      <c r="S49" s="77">
        <v>0</v>
      </c>
      <c r="T49" s="77">
        <f t="shared" si="21"/>
        <v>0</v>
      </c>
      <c r="U49" s="77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3">
        <f ca="1">IFERROR(__xludf.DUMMYFUNCTION("IMPORTRANGE(""https://docs.google.com/spreadsheets/d/1-uDff_7J0KD5mKrp0Vvzr7lt3OU09vwQwhkpOPPYv2Y/edit?usp=sharing"",""งบพรบ!P63"")"),210650)</f>
        <v>210650</v>
      </c>
      <c r="M50" s="74">
        <f ca="1">IFERROR(__xludf.DUMMYFUNCTION("IMPORTRANGE(""https://docs.google.com/spreadsheets/d/1-uDff_7J0KD5mKrp0Vvzr7lt3OU09vwQwhkpOPPYv2Y/edit?usp=sharing"",""งบพรบ!V63"")"),213430)</f>
        <v>213430</v>
      </c>
      <c r="N50" s="74">
        <f ca="1">IFERROR(__xludf.DUMMYFUNCTION("IMPORTRANGE(""https://docs.google.com/spreadsheets/d/1-uDff_7J0KD5mKrp0Vvzr7lt3OU09vwQwhkpOPPYv2Y/edit?usp=sharing"",""งบพรบ!Y63"")"),150740)</f>
        <v>150740</v>
      </c>
      <c r="O50" s="74">
        <f t="shared" ca="1" si="18"/>
        <v>71.55945881794446</v>
      </c>
      <c r="P50" s="74">
        <f t="shared" ca="1" si="19"/>
        <v>70.627371972075153</v>
      </c>
      <c r="Q50" s="74">
        <v>0</v>
      </c>
      <c r="R50" s="74">
        <v>0</v>
      </c>
      <c r="S50" s="74">
        <v>0</v>
      </c>
      <c r="T50" s="74">
        <f t="shared" si="21"/>
        <v>0</v>
      </c>
      <c r="U50" s="74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3">
        <f t="shared" ref="L51:N51" ca="1" si="27">L52+L53</f>
        <v>0</v>
      </c>
      <c r="M51" s="74">
        <f t="shared" ca="1" si="27"/>
        <v>0</v>
      </c>
      <c r="N51" s="74">
        <f t="shared" ca="1" si="27"/>
        <v>0</v>
      </c>
      <c r="O51" s="74">
        <f t="shared" ca="1" si="18"/>
        <v>0</v>
      </c>
      <c r="P51" s="74">
        <f t="shared" ca="1" si="19"/>
        <v>0</v>
      </c>
      <c r="Q51" s="74">
        <f t="shared" ref="Q51:S51" si="28">Q52+Q53</f>
        <v>0</v>
      </c>
      <c r="R51" s="74">
        <f t="shared" si="28"/>
        <v>0</v>
      </c>
      <c r="S51" s="74">
        <f t="shared" si="28"/>
        <v>0</v>
      </c>
      <c r="T51" s="74">
        <f t="shared" si="21"/>
        <v>0</v>
      </c>
      <c r="U51" s="74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77">
        <f t="shared" si="18"/>
        <v>0</v>
      </c>
      <c r="P52" s="77">
        <f t="shared" si="19"/>
        <v>0</v>
      </c>
      <c r="Q52" s="77">
        <v>0</v>
      </c>
      <c r="R52" s="77">
        <v>0</v>
      </c>
      <c r="S52" s="77">
        <v>0</v>
      </c>
      <c r="T52" s="77">
        <f t="shared" si="21"/>
        <v>0</v>
      </c>
      <c r="U52" s="77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3">
        <f ca="1">IFERROR(__xludf.DUMMYFUNCTION("IMPORTRANGE(""https://docs.google.com/spreadsheets/d/1-uDff_7J0KD5mKrp0Vvzr7lt3OU09vwQwhkpOPPYv2Y/edit?usp=sharing"",""งบพรบ!S63"")"),0)</f>
        <v>0</v>
      </c>
      <c r="M53" s="74">
        <f ca="1">IFERROR(__xludf.DUMMYFUNCTION("IMPORTRANGE(""https://docs.google.com/spreadsheets/d/1-uDff_7J0KD5mKrp0Vvzr7lt3OU09vwQwhkpOPPYv2Y/edit?usp=sharing"",""งบพรบ!W63"")"),0)</f>
        <v>0</v>
      </c>
      <c r="N53" s="74">
        <f ca="1">IFERROR(__xludf.DUMMYFUNCTION("IMPORTRANGE(""https://docs.google.com/spreadsheets/d/1-uDff_7J0KD5mKrp0Vvzr7lt3OU09vwQwhkpOPPYv2Y/edit?usp=sharing"",""งบพรบ!Z63"")"),0)</f>
        <v>0</v>
      </c>
      <c r="O53" s="74">
        <f t="shared" ca="1" si="18"/>
        <v>0</v>
      </c>
      <c r="P53" s="74">
        <f t="shared" ca="1" si="19"/>
        <v>0</v>
      </c>
      <c r="Q53" s="74">
        <v>0</v>
      </c>
      <c r="R53" s="74">
        <v>0</v>
      </c>
      <c r="S53" s="74">
        <v>0</v>
      </c>
      <c r="T53" s="74">
        <f t="shared" si="21"/>
        <v>0</v>
      </c>
      <c r="U53" s="74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9">
        <f t="shared" ref="L60:N60" ca="1" si="29">L61+L62</f>
        <v>230300</v>
      </c>
      <c r="M60" s="1268">
        <f t="shared" ca="1" si="29"/>
        <v>230300</v>
      </c>
      <c r="N60" s="1268">
        <f t="shared" ca="1" si="29"/>
        <v>119583.4</v>
      </c>
      <c r="O60" s="1268">
        <f t="shared" ref="O60:O68" ca="1" si="30">IF(L60&gt;0,N60*100/L60,0)</f>
        <v>51.925054277029957</v>
      </c>
      <c r="P60" s="1268">
        <f t="shared" ref="P60:P68" ca="1" si="31">IF(M60&gt;0,N60*100/M60,0)</f>
        <v>51.925054277029957</v>
      </c>
      <c r="Q60" s="1268">
        <f t="shared" ref="Q60:S60" si="32">Q61+Q62</f>
        <v>0</v>
      </c>
      <c r="R60" s="1268">
        <f t="shared" si="32"/>
        <v>0</v>
      </c>
      <c r="S60" s="1268">
        <f t="shared" si="32"/>
        <v>0</v>
      </c>
      <c r="T60" s="1268">
        <f t="shared" ref="T60:T68" si="33">IF(Q60&gt;0,S60*100/Q60,0)</f>
        <v>0</v>
      </c>
      <c r="U60" s="1268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7">
        <f t="shared" ref="L61:N62" si="35">L64+L67</f>
        <v>0</v>
      </c>
      <c r="M61" s="1266">
        <f t="shared" si="35"/>
        <v>0</v>
      </c>
      <c r="N61" s="1266">
        <f t="shared" si="35"/>
        <v>0</v>
      </c>
      <c r="O61" s="1266">
        <f t="shared" si="30"/>
        <v>0</v>
      </c>
      <c r="P61" s="1266">
        <f t="shared" si="31"/>
        <v>0</v>
      </c>
      <c r="Q61" s="1266">
        <f t="shared" ref="Q61:S62" si="36">Q64+Q67</f>
        <v>0</v>
      </c>
      <c r="R61" s="1266">
        <f t="shared" si="36"/>
        <v>0</v>
      </c>
      <c r="S61" s="1266">
        <f t="shared" si="36"/>
        <v>0</v>
      </c>
      <c r="T61" s="1266">
        <f t="shared" si="33"/>
        <v>0</v>
      </c>
      <c r="U61" s="1266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5">
        <f t="shared" ca="1" si="35"/>
        <v>230300</v>
      </c>
      <c r="M62" s="1264">
        <f t="shared" ca="1" si="35"/>
        <v>230300</v>
      </c>
      <c r="N62" s="1264">
        <f t="shared" ca="1" si="35"/>
        <v>119583.4</v>
      </c>
      <c r="O62" s="1264">
        <f t="shared" ca="1" si="30"/>
        <v>51.925054277029957</v>
      </c>
      <c r="P62" s="1264">
        <f t="shared" ca="1" si="31"/>
        <v>51.925054277029957</v>
      </c>
      <c r="Q62" s="1264">
        <f t="shared" si="36"/>
        <v>0</v>
      </c>
      <c r="R62" s="1264">
        <f t="shared" si="36"/>
        <v>0</v>
      </c>
      <c r="S62" s="1264">
        <f t="shared" si="36"/>
        <v>0</v>
      </c>
      <c r="T62" s="1264">
        <f t="shared" si="33"/>
        <v>0</v>
      </c>
      <c r="U62" s="1264">
        <f t="shared" si="34"/>
        <v>0</v>
      </c>
    </row>
    <row r="63" spans="1:21" ht="18.75" x14ac:dyDescent="0.25">
      <c r="A63" s="847"/>
      <c r="B63" s="258"/>
      <c r="C63" s="258"/>
      <c r="D63" s="270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3">
        <f t="shared" ref="L63:N63" ca="1" si="37">L64+L65</f>
        <v>230300</v>
      </c>
      <c r="M63" s="74">
        <f t="shared" ca="1" si="37"/>
        <v>230300</v>
      </c>
      <c r="N63" s="74">
        <f t="shared" ca="1" si="37"/>
        <v>119583.4</v>
      </c>
      <c r="O63" s="74">
        <f t="shared" ca="1" si="30"/>
        <v>51.925054277029957</v>
      </c>
      <c r="P63" s="74">
        <f t="shared" ca="1" si="31"/>
        <v>51.925054277029957</v>
      </c>
      <c r="Q63" s="74">
        <f t="shared" ref="Q63:S63" si="38">Q64+Q65</f>
        <v>0</v>
      </c>
      <c r="R63" s="74">
        <f t="shared" si="38"/>
        <v>0</v>
      </c>
      <c r="S63" s="74">
        <f t="shared" si="38"/>
        <v>0</v>
      </c>
      <c r="T63" s="74">
        <f t="shared" si="33"/>
        <v>0</v>
      </c>
      <c r="U63" s="74">
        <f t="shared" si="34"/>
        <v>0</v>
      </c>
    </row>
    <row r="64" spans="1:21" ht="18.75" hidden="1" x14ac:dyDescent="0.25">
      <c r="A64" s="847"/>
      <c r="B64" s="258"/>
      <c r="C64" s="258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77">
        <f t="shared" si="30"/>
        <v>0</v>
      </c>
      <c r="P64" s="77">
        <f t="shared" si="31"/>
        <v>0</v>
      </c>
      <c r="Q64" s="77">
        <v>0</v>
      </c>
      <c r="R64" s="77">
        <v>0</v>
      </c>
      <c r="S64" s="77">
        <v>0</v>
      </c>
      <c r="T64" s="77">
        <f t="shared" si="33"/>
        <v>0</v>
      </c>
      <c r="U64" s="77">
        <f t="shared" si="34"/>
        <v>0</v>
      </c>
    </row>
    <row r="65" spans="1:21" ht="18.75" hidden="1" x14ac:dyDescent="0.25">
      <c r="A65" s="847"/>
      <c r="B65" s="258"/>
      <c r="C65" s="258"/>
      <c r="D65" s="258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3">
        <f ca="1">IFERROR(__xludf.DUMMYFUNCTION("IMPORTRANGE(""https://docs.google.com/spreadsheets/d/1-uDff_7J0KD5mKrp0Vvzr7lt3OU09vwQwhkpOPPYv2Y/edit?usp=sharing"",""งบพรบ!AC63"")"),230300)</f>
        <v>230300</v>
      </c>
      <c r="M65" s="74">
        <f ca="1">IFERROR(__xludf.DUMMYFUNCTION("IMPORTRANGE(""https://docs.google.com/spreadsheets/d/1-uDff_7J0KD5mKrp0Vvzr7lt3OU09vwQwhkpOPPYv2Y/edit?usp=sharing"",""งบพรบ!AH63"")"),230300)</f>
        <v>230300</v>
      </c>
      <c r="N65" s="74">
        <f ca="1">IFERROR(__xludf.DUMMYFUNCTION("IMPORTRANGE(""https://docs.google.com/spreadsheets/d/1-uDff_7J0KD5mKrp0Vvzr7lt3OU09vwQwhkpOPPYv2Y/edit?usp=sharing"",""งบพรบ!AJ63"")"),119583.4)</f>
        <v>119583.4</v>
      </c>
      <c r="O65" s="74">
        <f t="shared" ca="1" si="30"/>
        <v>51.925054277029957</v>
      </c>
      <c r="P65" s="74">
        <f t="shared" ca="1" si="31"/>
        <v>51.925054277029957</v>
      </c>
      <c r="Q65" s="74">
        <v>0</v>
      </c>
      <c r="R65" s="74">
        <v>0</v>
      </c>
      <c r="S65" s="74">
        <v>0</v>
      </c>
      <c r="T65" s="74">
        <f t="shared" si="33"/>
        <v>0</v>
      </c>
      <c r="U65" s="74">
        <f t="shared" si="34"/>
        <v>0</v>
      </c>
    </row>
    <row r="66" spans="1:21" ht="18.75" x14ac:dyDescent="0.25">
      <c r="A66" s="847"/>
      <c r="B66" s="258"/>
      <c r="C66" s="258"/>
      <c r="D66" s="270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3">
        <f t="shared" ref="L66:N66" ca="1" si="39">L67+L68</f>
        <v>0</v>
      </c>
      <c r="M66" s="74">
        <f t="shared" ca="1" si="39"/>
        <v>0</v>
      </c>
      <c r="N66" s="74">
        <f t="shared" ca="1" si="39"/>
        <v>0</v>
      </c>
      <c r="O66" s="74">
        <f t="shared" ca="1" si="30"/>
        <v>0</v>
      </c>
      <c r="P66" s="74">
        <f t="shared" ca="1" si="31"/>
        <v>0</v>
      </c>
      <c r="Q66" s="74">
        <f t="shared" ref="Q66:S66" si="40">Q67+Q68</f>
        <v>0</v>
      </c>
      <c r="R66" s="74">
        <f t="shared" si="40"/>
        <v>0</v>
      </c>
      <c r="S66" s="74">
        <f t="shared" si="40"/>
        <v>0</v>
      </c>
      <c r="T66" s="74">
        <f t="shared" si="33"/>
        <v>0</v>
      </c>
      <c r="U66" s="74">
        <f t="shared" si="34"/>
        <v>0</v>
      </c>
    </row>
    <row r="67" spans="1:21" ht="18.75" hidden="1" x14ac:dyDescent="0.25">
      <c r="A67" s="847"/>
      <c r="B67" s="258"/>
      <c r="C67" s="258"/>
      <c r="D67" s="258"/>
      <c r="E67" s="265" t="s">
        <v>20</v>
      </c>
      <c r="F67" s="258"/>
      <c r="G67" s="261"/>
      <c r="H67" s="840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77">
        <f t="shared" si="30"/>
        <v>0</v>
      </c>
      <c r="P67" s="77">
        <f t="shared" si="31"/>
        <v>0</v>
      </c>
      <c r="Q67" s="77">
        <v>0</v>
      </c>
      <c r="R67" s="77">
        <v>0</v>
      </c>
      <c r="S67" s="77">
        <v>0</v>
      </c>
      <c r="T67" s="77">
        <f t="shared" si="33"/>
        <v>0</v>
      </c>
      <c r="U67" s="77">
        <f t="shared" si="34"/>
        <v>0</v>
      </c>
    </row>
    <row r="68" spans="1:21" ht="18.75" hidden="1" x14ac:dyDescent="0.25">
      <c r="A68" s="848"/>
      <c r="B68" s="636"/>
      <c r="C68" s="636"/>
      <c r="D68" s="636"/>
      <c r="E68" s="849" t="s">
        <v>21</v>
      </c>
      <c r="F68" s="636"/>
      <c r="G68" s="637"/>
      <c r="H68" s="850" t="s">
        <v>14</v>
      </c>
      <c r="I68" s="631"/>
      <c r="J68" s="631"/>
      <c r="K68" s="98"/>
      <c r="L68" s="181">
        <f ca="1">IFERROR(__xludf.DUMMYFUNCTION("IMPORTRANGE(""https://docs.google.com/spreadsheets/d/1-uDff_7J0KD5mKrp0Vvzr7lt3OU09vwQwhkpOPPYv2Y/edit?usp=sharing"",""งบพรบ!AF63"")"),0)</f>
        <v>0</v>
      </c>
      <c r="M68" s="182">
        <f ca="1">IFERROR(__xludf.DUMMYFUNCTION("IMPORTRANGE(""https://docs.google.com/spreadsheets/d/1-uDff_7J0KD5mKrp0Vvzr7lt3OU09vwQwhkpOPPYv2Y/edit?usp=sharing"",""งบพรบ!AI63"")"),0)</f>
        <v>0</v>
      </c>
      <c r="N68" s="182">
        <f ca="1">IFERROR(__xludf.DUMMYFUNCTION("IMPORTRANGE(""https://docs.google.com/spreadsheets/d/1-uDff_7J0KD5mKrp0Vvzr7lt3OU09vwQwhkpOPPYv2Y/edit?usp=sharing"",""งบพรบ!AK63"")"),0)</f>
        <v>0</v>
      </c>
      <c r="O68" s="182">
        <f t="shared" ca="1" si="30"/>
        <v>0</v>
      </c>
      <c r="P68" s="182">
        <f t="shared" ca="1" si="31"/>
        <v>0</v>
      </c>
      <c r="Q68" s="182">
        <v>0</v>
      </c>
      <c r="R68" s="182">
        <v>0</v>
      </c>
      <c r="S68" s="182">
        <v>0</v>
      </c>
      <c r="T68" s="182">
        <f t="shared" si="33"/>
        <v>0</v>
      </c>
      <c r="U68" s="182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7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hidden="1" x14ac:dyDescent="0.3">
      <c r="A70" s="1099" t="s">
        <v>32</v>
      </c>
      <c r="B70" s="691"/>
      <c r="C70" s="693"/>
      <c r="D70" s="691"/>
      <c r="E70" s="691"/>
      <c r="F70" s="691"/>
      <c r="G70" s="1100"/>
      <c r="H70" s="1100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19.5" hidden="1" x14ac:dyDescent="0.3">
      <c r="A71" s="250"/>
      <c r="B71" s="251" t="s">
        <v>33</v>
      </c>
      <c r="C71" s="252"/>
      <c r="D71" s="253"/>
      <c r="E71" s="252"/>
      <c r="F71" s="252"/>
      <c r="G71" s="254"/>
      <c r="H71" s="1296" t="s">
        <v>34</v>
      </c>
      <c r="I71" s="256">
        <f t="shared" ref="I71:J72" ca="1" si="41">I83</f>
        <v>0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hidden="1" x14ac:dyDescent="0.3">
      <c r="A72" s="250"/>
      <c r="B72" s="252"/>
      <c r="C72" s="252"/>
      <c r="D72" s="253"/>
      <c r="E72" s="252"/>
      <c r="F72" s="252"/>
      <c r="G72" s="254"/>
      <c r="H72" s="1296" t="s">
        <v>35</v>
      </c>
      <c r="I72" s="256">
        <f t="shared" ca="1" si="41"/>
        <v>0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hidden="1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1257">
        <f t="shared" ref="L73:N73" ca="1" si="43">L74+L75</f>
        <v>0</v>
      </c>
      <c r="M73" s="264">
        <f t="shared" ca="1" si="43"/>
        <v>0</v>
      </c>
      <c r="N73" s="264">
        <f t="shared" ca="1" si="43"/>
        <v>0</v>
      </c>
      <c r="O73" s="264">
        <f t="shared" ref="O73:O81" ca="1" si="44">IF(L73&gt;0,N73*100/L73,0)</f>
        <v>0</v>
      </c>
      <c r="P73" s="264">
        <f t="shared" ref="P73:P81" ca="1" si="45">IF(M73&gt;0,N73*100/M73,0)</f>
        <v>0</v>
      </c>
      <c r="Q73" s="264">
        <f t="shared" ref="Q73:S73" ca="1" si="46">Q74+Q75</f>
        <v>0</v>
      </c>
      <c r="R73" s="264">
        <f t="shared" ca="1" si="46"/>
        <v>0</v>
      </c>
      <c r="S73" s="264">
        <f t="shared" ca="1" si="46"/>
        <v>0</v>
      </c>
      <c r="T73" s="264">
        <f t="shared" ref="T73:T81" ca="1" si="47">IF(Q73&gt;0,S73*100/Q73,0)</f>
        <v>0</v>
      </c>
      <c r="U73" s="264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6">
        <f t="shared" ref="L74:N75" si="49">L77+L80</f>
        <v>0</v>
      </c>
      <c r="M74" s="77">
        <f t="shared" si="49"/>
        <v>0</v>
      </c>
      <c r="N74" s="77">
        <f t="shared" si="49"/>
        <v>0</v>
      </c>
      <c r="O74" s="77">
        <f t="shared" si="44"/>
        <v>0</v>
      </c>
      <c r="P74" s="77">
        <f t="shared" si="45"/>
        <v>0</v>
      </c>
      <c r="Q74" s="77">
        <f t="shared" ref="Q74:S75" si="50">Q77+Q80</f>
        <v>0</v>
      </c>
      <c r="R74" s="77">
        <f t="shared" si="50"/>
        <v>0</v>
      </c>
      <c r="S74" s="77">
        <f t="shared" si="50"/>
        <v>0</v>
      </c>
      <c r="T74" s="77">
        <f t="shared" si="47"/>
        <v>0</v>
      </c>
      <c r="U74" s="77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3">
        <f t="shared" ca="1" si="49"/>
        <v>0</v>
      </c>
      <c r="M75" s="74">
        <f t="shared" ca="1" si="49"/>
        <v>0</v>
      </c>
      <c r="N75" s="74">
        <f t="shared" ca="1" si="49"/>
        <v>0</v>
      </c>
      <c r="O75" s="74">
        <f t="shared" ca="1" si="44"/>
        <v>0</v>
      </c>
      <c r="P75" s="74">
        <f t="shared" ca="1" si="45"/>
        <v>0</v>
      </c>
      <c r="Q75" s="74">
        <f t="shared" ca="1" si="50"/>
        <v>0</v>
      </c>
      <c r="R75" s="74">
        <f t="shared" ca="1" si="50"/>
        <v>0</v>
      </c>
      <c r="S75" s="74">
        <f t="shared" ca="1" si="50"/>
        <v>0</v>
      </c>
      <c r="T75" s="74">
        <f t="shared" ca="1" si="47"/>
        <v>0</v>
      </c>
      <c r="U75" s="74">
        <f t="shared" ca="1" si="48"/>
        <v>0</v>
      </c>
    </row>
    <row r="76" spans="1:21" ht="18.75" hidden="1" x14ac:dyDescent="0.25">
      <c r="A76" s="257"/>
      <c r="B76" s="258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3">
        <f t="shared" ref="L76:N76" ca="1" si="51">L77+L78</f>
        <v>0</v>
      </c>
      <c r="M76" s="74">
        <f t="shared" ca="1" si="51"/>
        <v>0</v>
      </c>
      <c r="N76" s="74">
        <f t="shared" ca="1" si="51"/>
        <v>0</v>
      </c>
      <c r="O76" s="74">
        <f t="shared" ca="1" si="44"/>
        <v>0</v>
      </c>
      <c r="P76" s="74">
        <f t="shared" ca="1" si="45"/>
        <v>0</v>
      </c>
      <c r="Q76" s="74">
        <f t="shared" ref="Q76:S76" ca="1" si="52">Q77+Q78</f>
        <v>0</v>
      </c>
      <c r="R76" s="74">
        <f t="shared" ca="1" si="52"/>
        <v>0</v>
      </c>
      <c r="S76" s="74">
        <f t="shared" ca="1" si="52"/>
        <v>0</v>
      </c>
      <c r="T76" s="74">
        <f t="shared" ca="1" si="47"/>
        <v>0</v>
      </c>
      <c r="U76" s="74">
        <f t="shared" ca="1" si="48"/>
        <v>0</v>
      </c>
    </row>
    <row r="77" spans="1:21" ht="18.75" hidden="1" x14ac:dyDescent="0.25">
      <c r="A77" s="257"/>
      <c r="B77" s="258"/>
      <c r="C77" s="258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77">
        <f t="shared" si="44"/>
        <v>0</v>
      </c>
      <c r="P77" s="77">
        <f t="shared" si="45"/>
        <v>0</v>
      </c>
      <c r="Q77" s="77">
        <v>0</v>
      </c>
      <c r="R77" s="77">
        <v>0</v>
      </c>
      <c r="S77" s="77">
        <v>0</v>
      </c>
      <c r="T77" s="77">
        <f t="shared" si="47"/>
        <v>0</v>
      </c>
      <c r="U77" s="77">
        <f t="shared" si="48"/>
        <v>0</v>
      </c>
    </row>
    <row r="78" spans="1:21" ht="18.75" hidden="1" x14ac:dyDescent="0.25">
      <c r="A78" s="257"/>
      <c r="B78" s="258"/>
      <c r="C78" s="258"/>
      <c r="D78" s="258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3">
        <f ca="1">IFERROR(__xludf.DUMMYFUNCTION("IMPORTRANGE(""https://docs.google.com/spreadsheets/d/1-uDff_7J0KD5mKrp0Vvzr7lt3OU09vwQwhkpOPPYv2Y/edit?usp=sharing"",""งบพรบ!AM63"")"),0)</f>
        <v>0</v>
      </c>
      <c r="M78" s="74">
        <f ca="1">IFERROR(__xludf.DUMMYFUNCTION("IMPORTRANGE(""https://docs.google.com/spreadsheets/d/1-uDff_7J0KD5mKrp0Vvzr7lt3OU09vwQwhkpOPPYv2Y/edit?usp=sharing"",""งบพรบ!AR63"")"),0)</f>
        <v>0</v>
      </c>
      <c r="N78" s="74">
        <f ca="1">IFERROR(__xludf.DUMMYFUNCTION("IMPORTRANGE(""https://docs.google.com/spreadsheets/d/1-uDff_7J0KD5mKrp0Vvzr7lt3OU09vwQwhkpOPPYv2Y/edit?usp=sharing"",""งบพรบ!AT63"")"),0)</f>
        <v>0</v>
      </c>
      <c r="O78" s="74">
        <f t="shared" ca="1" si="44"/>
        <v>0</v>
      </c>
      <c r="P78" s="74">
        <f t="shared" ca="1" si="45"/>
        <v>0</v>
      </c>
      <c r="Q78" s="74">
        <f ca="1">IFERROR(__xludf.DUMMYFUNCTION("IMPORTRANGE(""https://docs.google.com/spreadsheets/d/1ItG2mGa2ceCfYo0BwxsXqNm01IGEUdYcSSLTEv9YCik/edit?usp=sharing"",""เบิกจ่ายกองทุน!AS63"")"),0)</f>
        <v>0</v>
      </c>
      <c r="R78" s="74">
        <f ca="1">IFERROR(__xludf.DUMMYFUNCTION("IMPORTRANGE(""https://docs.google.com/spreadsheets/d/1ItG2mGa2ceCfYo0BwxsXqNm01IGEUdYcSSLTEv9YCik/edit?usp=sharing"",""เบิกจ่ายกองทุน!AT63"")"),0)</f>
        <v>0</v>
      </c>
      <c r="S78" s="74">
        <f ca="1">IFERROR(__xludf.DUMMYFUNCTION("IMPORTRANGE(""https://docs.google.com/spreadsheets/d/1ItG2mGa2ceCfYo0BwxsXqNm01IGEUdYcSSLTEv9YCik/edit?usp=sharing"",""เบิกจ่ายกองทุน!AU63"")"),0)</f>
        <v>0</v>
      </c>
      <c r="T78" s="74">
        <f t="shared" ca="1" si="47"/>
        <v>0</v>
      </c>
      <c r="U78" s="74">
        <f t="shared" ca="1" si="48"/>
        <v>0</v>
      </c>
    </row>
    <row r="79" spans="1:21" ht="18.75" hidden="1" x14ac:dyDescent="0.25">
      <c r="A79" s="257"/>
      <c r="B79" s="258"/>
      <c r="C79" s="258"/>
      <c r="D79" s="270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3">
        <f t="shared" ref="L79:N79" ca="1" si="53">L80+L81</f>
        <v>0</v>
      </c>
      <c r="M79" s="74">
        <f t="shared" ca="1" si="53"/>
        <v>0</v>
      </c>
      <c r="N79" s="74">
        <f t="shared" ca="1" si="53"/>
        <v>0</v>
      </c>
      <c r="O79" s="74">
        <f t="shared" ca="1" si="44"/>
        <v>0</v>
      </c>
      <c r="P79" s="74">
        <f t="shared" ca="1" si="45"/>
        <v>0</v>
      </c>
      <c r="Q79" s="74">
        <f t="shared" ref="Q79:S79" si="54">Q80+Q81</f>
        <v>0</v>
      </c>
      <c r="R79" s="74">
        <f t="shared" si="54"/>
        <v>0</v>
      </c>
      <c r="S79" s="74">
        <f t="shared" si="54"/>
        <v>0</v>
      </c>
      <c r="T79" s="74">
        <f t="shared" si="47"/>
        <v>0</v>
      </c>
      <c r="U79" s="74">
        <f t="shared" si="48"/>
        <v>0</v>
      </c>
    </row>
    <row r="80" spans="1:21" ht="18.75" hidden="1" x14ac:dyDescent="0.25">
      <c r="A80" s="257"/>
      <c r="B80" s="258"/>
      <c r="C80" s="258"/>
      <c r="D80" s="258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77">
        <f t="shared" si="44"/>
        <v>0</v>
      </c>
      <c r="P80" s="77">
        <f t="shared" si="45"/>
        <v>0</v>
      </c>
      <c r="Q80" s="77">
        <v>0</v>
      </c>
      <c r="R80" s="74">
        <v>0</v>
      </c>
      <c r="S80" s="74">
        <v>0</v>
      </c>
      <c r="T80" s="77">
        <f t="shared" si="47"/>
        <v>0</v>
      </c>
      <c r="U80" s="77">
        <f t="shared" si="48"/>
        <v>0</v>
      </c>
    </row>
    <row r="81" spans="1:21" ht="18.75" hidden="1" x14ac:dyDescent="0.25">
      <c r="A81" s="257"/>
      <c r="B81" s="258"/>
      <c r="C81" s="258"/>
      <c r="D81" s="258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3">
        <f ca="1">IFERROR(__xludf.DUMMYFUNCTION("IMPORTRANGE(""https://docs.google.com/spreadsheets/d/1-uDff_7J0KD5mKrp0Vvzr7lt3OU09vwQwhkpOPPYv2Y/edit?usp=sharing"",""งบพรบ!AP63"")"),0)</f>
        <v>0</v>
      </c>
      <c r="M81" s="74">
        <f ca="1">IFERROR(__xludf.DUMMYFUNCTION("IMPORTRANGE(""https://docs.google.com/spreadsheets/d/1-uDff_7J0KD5mKrp0Vvzr7lt3OU09vwQwhkpOPPYv2Y/edit?usp=sharing"",""งบพรบ!AS63"")"),0)</f>
        <v>0</v>
      </c>
      <c r="N81" s="74">
        <f ca="1">IFERROR(__xludf.DUMMYFUNCTION("IMPORTRANGE(""https://docs.google.com/spreadsheets/d/1-uDff_7J0KD5mKrp0Vvzr7lt3OU09vwQwhkpOPPYv2Y/edit?usp=sharing"",""งบพรบ!AU63"")"),0)</f>
        <v>0</v>
      </c>
      <c r="O81" s="74">
        <f t="shared" ca="1" si="44"/>
        <v>0</v>
      </c>
      <c r="P81" s="74">
        <f t="shared" ca="1" si="45"/>
        <v>0</v>
      </c>
      <c r="Q81" s="74">
        <v>0</v>
      </c>
      <c r="R81" s="74">
        <v>0</v>
      </c>
      <c r="S81" s="74">
        <v>0</v>
      </c>
      <c r="T81" s="74">
        <f t="shared" si="47"/>
        <v>0</v>
      </c>
      <c r="U81" s="74">
        <f t="shared" si="48"/>
        <v>0</v>
      </c>
    </row>
    <row r="82" spans="1:21" ht="19.5" hidden="1" x14ac:dyDescent="0.3">
      <c r="A82" s="276"/>
      <c r="B82" s="277"/>
      <c r="C82" s="259" t="s">
        <v>18</v>
      </c>
      <c r="D82" s="1019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hidden="1" x14ac:dyDescent="0.3">
      <c r="A83" s="276"/>
      <c r="B83" s="277"/>
      <c r="C83" s="277"/>
      <c r="D83" s="767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0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hidden="1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0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hidden="1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IFERROR(__xludf.DUMMYFUNCTION("IMPORTRANGE(""https://docs.google.com/spreadsheets/d/1eHaY18a8A9IcSdp1K8H6x8fbOy06t2VsZHhMHf-1x7Y/edit?usp=sharing"",""แผน!H63"")"),0)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hidden="1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IFERROR(__xludf.DUMMYFUNCTION("IMPORTRANGE(""https://docs.google.com/spreadsheets/d/1eHaY18a8A9IcSdp1K8H6x8fbOy06t2VsZHhMHf-1x7Y/edit?usp=sharing"",""แผน!I63"")"),0)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hidden="1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IFERROR(__xludf.DUMMYFUNCTION("IMPORTRANGE(""https://docs.google.com/spreadsheets/d/1eHaY18a8A9IcSdp1K8H6x8fbOy06t2VsZHhMHf-1x7Y/edit?usp=sharing"",""แผน!F63"")"),0)</f>
        <v>0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hidden="1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IFERROR(__xludf.DUMMYFUNCTION("IMPORTRANGE(""https://docs.google.com/spreadsheets/d/1eHaY18a8A9IcSdp1K8H6x8fbOy06t2VsZHhMHf-1x7Y/edit?usp=sharing"",""แผน!G63"")"),0)</f>
        <v>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hidden="1" x14ac:dyDescent="0.25">
      <c r="A89" s="276"/>
      <c r="B89" s="277"/>
      <c r="C89" s="277"/>
      <c r="D89" s="277"/>
      <c r="E89" s="295" t="s">
        <v>42</v>
      </c>
      <c r="F89" s="296"/>
      <c r="G89" s="282"/>
      <c r="H89" s="299" t="s">
        <v>34</v>
      </c>
      <c r="I89" s="298">
        <f ca="1">IFERROR(__xludf.DUMMYFUNCTION("IMPORTRANGE(""https://docs.google.com/spreadsheets/d/1eHaY18a8A9IcSdp1K8H6x8fbOy06t2VsZHhMHf-1x7Y/edit?usp=sharing"",""แผน!D63"")"),0)</f>
        <v>0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hidden="1" x14ac:dyDescent="0.25">
      <c r="A90" s="276"/>
      <c r="B90" s="277"/>
      <c r="C90" s="277"/>
      <c r="D90" s="277"/>
      <c r="E90" s="296"/>
      <c r="F90" s="296"/>
      <c r="G90" s="282"/>
      <c r="H90" s="299" t="s">
        <v>35</v>
      </c>
      <c r="I90" s="298">
        <f ca="1">IFERROR(__xludf.DUMMYFUNCTION("IMPORTRANGE(""https://docs.google.com/spreadsheets/d/1eHaY18a8A9IcSdp1K8H6x8fbOy06t2VsZHhMHf-1x7Y/edit?usp=sharing"",""แผน!E63"")"),0)</f>
        <v>0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hidden="1" x14ac:dyDescent="0.25">
      <c r="A91" s="276"/>
      <c r="B91" s="277"/>
      <c r="C91" s="277"/>
      <c r="D91" s="767" t="s">
        <v>43</v>
      </c>
      <c r="E91" s="296"/>
      <c r="F91" s="296"/>
      <c r="G91" s="282"/>
      <c r="H91" s="1165" t="s">
        <v>34</v>
      </c>
      <c r="I91" s="298">
        <f ca="1">IFERROR(__xludf.DUMMYFUNCTION("IMPORTRANGE(""https://docs.google.com/spreadsheets/d/1eHaY18a8A9IcSdp1K8H6x8fbOy06t2VsZHhMHf-1x7Y/edit?usp=sharing"",""แผน!J63"")"),0)</f>
        <v>0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x14ac:dyDescent="0.3">
      <c r="A92" s="1099" t="s">
        <v>44</v>
      </c>
      <c r="B92" s="691"/>
      <c r="C92" s="693"/>
      <c r="D92" s="691"/>
      <c r="E92" s="691"/>
      <c r="F92" s="691"/>
      <c r="G92" s="1100"/>
      <c r="H92" s="1100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x14ac:dyDescent="0.3">
      <c r="A93" s="250"/>
      <c r="B93" s="251" t="s">
        <v>45</v>
      </c>
      <c r="C93" s="252"/>
      <c r="D93" s="253"/>
      <c r="E93" s="252"/>
      <c r="F93" s="252"/>
      <c r="G93" s="254"/>
      <c r="H93" s="1296" t="s">
        <v>46</v>
      </c>
      <c r="I93" s="256">
        <f t="shared" ref="I93:J94" ca="1" si="57">I109</f>
        <v>93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x14ac:dyDescent="0.3">
      <c r="A94" s="250"/>
      <c r="B94" s="252"/>
      <c r="C94" s="252"/>
      <c r="D94" s="253"/>
      <c r="E94" s="252"/>
      <c r="F94" s="252"/>
      <c r="G94" s="254"/>
      <c r="H94" s="1296" t="s">
        <v>35</v>
      </c>
      <c r="I94" s="256">
        <f t="shared" ca="1" si="57"/>
        <v>31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1257">
        <f t="shared" ref="L95:N95" ca="1" si="59">L96+L97</f>
        <v>205600</v>
      </c>
      <c r="M95" s="264">
        <f t="shared" ca="1" si="59"/>
        <v>144420</v>
      </c>
      <c r="N95" s="264">
        <f t="shared" ca="1" si="59"/>
        <v>128065.5</v>
      </c>
      <c r="O95" s="264">
        <f t="shared" ref="O95:O103" ca="1" si="60">IF(L95&gt;0,N95*100/L95,0)</f>
        <v>62.288667315175097</v>
      </c>
      <c r="P95" s="264">
        <f t="shared" ref="P95:P103" ca="1" si="61">IF(M95&gt;0,N95*100/M95,0)</f>
        <v>88.675737432488575</v>
      </c>
      <c r="Q95" s="264">
        <f t="shared" ref="Q95:S95" ca="1" si="62">Q96+Q97</f>
        <v>175522</v>
      </c>
      <c r="R95" s="264">
        <f t="shared" ca="1" si="62"/>
        <v>175522</v>
      </c>
      <c r="S95" s="264">
        <f t="shared" ca="1" si="62"/>
        <v>0</v>
      </c>
      <c r="T95" s="264">
        <f t="shared" ref="T95:T103" ca="1" si="63">IF(Q95&gt;0,S95*100/Q95,0)</f>
        <v>0</v>
      </c>
      <c r="U95" s="264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6">
        <f t="shared" ref="L96:N97" si="65">L99+L102</f>
        <v>0</v>
      </c>
      <c r="M96" s="77">
        <f t="shared" si="65"/>
        <v>0</v>
      </c>
      <c r="N96" s="77">
        <f t="shared" si="65"/>
        <v>0</v>
      </c>
      <c r="O96" s="77">
        <f t="shared" si="60"/>
        <v>0</v>
      </c>
      <c r="P96" s="77">
        <f t="shared" si="61"/>
        <v>0</v>
      </c>
      <c r="Q96" s="77">
        <f t="shared" ref="Q96:S97" si="66">Q99+Q102</f>
        <v>0</v>
      </c>
      <c r="R96" s="77">
        <f t="shared" si="66"/>
        <v>0</v>
      </c>
      <c r="S96" s="77">
        <f t="shared" si="66"/>
        <v>0</v>
      </c>
      <c r="T96" s="77">
        <f t="shared" si="63"/>
        <v>0</v>
      </c>
      <c r="U96" s="77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3">
        <f t="shared" ca="1" si="65"/>
        <v>205600</v>
      </c>
      <c r="M97" s="74">
        <f t="shared" ca="1" si="65"/>
        <v>144420</v>
      </c>
      <c r="N97" s="74">
        <f t="shared" ca="1" si="65"/>
        <v>128065.5</v>
      </c>
      <c r="O97" s="74">
        <f t="shared" ca="1" si="60"/>
        <v>62.288667315175097</v>
      </c>
      <c r="P97" s="74">
        <f t="shared" ca="1" si="61"/>
        <v>88.675737432488575</v>
      </c>
      <c r="Q97" s="74">
        <f t="shared" ca="1" si="66"/>
        <v>175522</v>
      </c>
      <c r="R97" s="74">
        <f t="shared" ca="1" si="66"/>
        <v>175522</v>
      </c>
      <c r="S97" s="74">
        <f t="shared" ca="1" si="66"/>
        <v>0</v>
      </c>
      <c r="T97" s="74">
        <f t="shared" ca="1" si="63"/>
        <v>0</v>
      </c>
      <c r="U97" s="74">
        <f t="shared" ca="1" si="64"/>
        <v>0</v>
      </c>
    </row>
    <row r="98" spans="1:21" ht="18.75" x14ac:dyDescent="0.25">
      <c r="A98" s="257"/>
      <c r="B98" s="258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3">
        <f t="shared" ref="L98:N98" ca="1" si="67">L99+L100</f>
        <v>205600</v>
      </c>
      <c r="M98" s="74">
        <f t="shared" ca="1" si="67"/>
        <v>144420</v>
      </c>
      <c r="N98" s="74">
        <f t="shared" ca="1" si="67"/>
        <v>128065.5</v>
      </c>
      <c r="O98" s="74">
        <f t="shared" ca="1" si="60"/>
        <v>62.288667315175097</v>
      </c>
      <c r="P98" s="74">
        <f t="shared" ca="1" si="61"/>
        <v>88.675737432488575</v>
      </c>
      <c r="Q98" s="74">
        <f t="shared" ref="Q98:S98" ca="1" si="68">Q99+Q100</f>
        <v>175522</v>
      </c>
      <c r="R98" s="74">
        <f t="shared" ca="1" si="68"/>
        <v>175522</v>
      </c>
      <c r="S98" s="74">
        <f t="shared" ca="1" si="68"/>
        <v>0</v>
      </c>
      <c r="T98" s="74">
        <f t="shared" ca="1" si="63"/>
        <v>0</v>
      </c>
      <c r="U98" s="74">
        <f t="shared" ca="1" si="64"/>
        <v>0</v>
      </c>
    </row>
    <row r="99" spans="1:21" ht="18.75" hidden="1" x14ac:dyDescent="0.25">
      <c r="A99" s="257"/>
      <c r="B99" s="258"/>
      <c r="C99" s="258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77">
        <f t="shared" si="60"/>
        <v>0</v>
      </c>
      <c r="P99" s="77">
        <f t="shared" si="61"/>
        <v>0</v>
      </c>
      <c r="Q99" s="77">
        <v>0</v>
      </c>
      <c r="R99" s="77">
        <v>0</v>
      </c>
      <c r="S99" s="77">
        <v>0</v>
      </c>
      <c r="T99" s="77">
        <f t="shared" si="63"/>
        <v>0</v>
      </c>
      <c r="U99" s="77">
        <f t="shared" si="64"/>
        <v>0</v>
      </c>
    </row>
    <row r="100" spans="1:21" ht="18.75" hidden="1" x14ac:dyDescent="0.25">
      <c r="A100" s="257"/>
      <c r="B100" s="258"/>
      <c r="C100" s="258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3">
        <f ca="1">IFERROR(__xludf.DUMMYFUNCTION("IMPORTRANGE(""https://docs.google.com/spreadsheets/d/1-uDff_7J0KD5mKrp0Vvzr7lt3OU09vwQwhkpOPPYv2Y/edit?usp=sharing"",""งบพรบ!AW63"")"),205600)</f>
        <v>205600</v>
      </c>
      <c r="M100" s="74">
        <f ca="1">IFERROR(__xludf.DUMMYFUNCTION("IMPORTRANGE(""https://docs.google.com/spreadsheets/d/1-uDff_7J0KD5mKrp0Vvzr7lt3OU09vwQwhkpOPPYv2Y/edit?usp=sharing"",""งบพรบ!BB63"")"),144420)</f>
        <v>144420</v>
      </c>
      <c r="N100" s="74">
        <f ca="1">IFERROR(__xludf.DUMMYFUNCTION("IMPORTRANGE(""https://docs.google.com/spreadsheets/d/1-uDff_7J0KD5mKrp0Vvzr7lt3OU09vwQwhkpOPPYv2Y/edit?usp=sharing"",""งบพรบ!BD63"")"),128065.5)</f>
        <v>128065.5</v>
      </c>
      <c r="O100" s="74">
        <f t="shared" ca="1" si="60"/>
        <v>62.288667315175097</v>
      </c>
      <c r="P100" s="74">
        <f t="shared" ca="1" si="61"/>
        <v>88.675737432488575</v>
      </c>
      <c r="Q100" s="74">
        <f ca="1">IFERROR(__xludf.DUMMYFUNCTION("IMPORTRANGE(""https://docs.google.com/spreadsheets/d/1ItG2mGa2ceCfYo0BwxsXqNm01IGEUdYcSSLTEv9YCik/edit?usp=sharing"",""เบิกจ่ายกองทุน!AD63"")"),175522)</f>
        <v>175522</v>
      </c>
      <c r="R100" s="74">
        <f ca="1">IFERROR(__xludf.DUMMYFUNCTION("IMPORTRANGE(""https://docs.google.com/spreadsheets/d/1ItG2mGa2ceCfYo0BwxsXqNm01IGEUdYcSSLTEv9YCik/edit?usp=sharing"",""เบิกจ่ายกองทุน!AE63"")"),175522)</f>
        <v>175522</v>
      </c>
      <c r="S100" s="74">
        <f ca="1">IFERROR(__xludf.DUMMYFUNCTION("IMPORTRANGE(""https://docs.google.com/spreadsheets/d/1ItG2mGa2ceCfYo0BwxsXqNm01IGEUdYcSSLTEv9YCik/edit?usp=sharing"",""เบิกจ่ายกองทุน!AF63"")"),0)</f>
        <v>0</v>
      </c>
      <c r="T100" s="74">
        <f t="shared" ca="1" si="63"/>
        <v>0</v>
      </c>
      <c r="U100" s="74">
        <f t="shared" ca="1" si="64"/>
        <v>0</v>
      </c>
    </row>
    <row r="101" spans="1:21" ht="18.75" x14ac:dyDescent="0.25">
      <c r="A101" s="257"/>
      <c r="B101" s="258"/>
      <c r="C101" s="258"/>
      <c r="D101" s="270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3">
        <f t="shared" ref="L101:N101" ca="1" si="69">L102+L103</f>
        <v>0</v>
      </c>
      <c r="M101" s="74">
        <f t="shared" ca="1" si="69"/>
        <v>0</v>
      </c>
      <c r="N101" s="74">
        <f t="shared" ca="1" si="69"/>
        <v>0</v>
      </c>
      <c r="O101" s="74">
        <f t="shared" ca="1" si="60"/>
        <v>0</v>
      </c>
      <c r="P101" s="74">
        <f t="shared" ca="1" si="61"/>
        <v>0</v>
      </c>
      <c r="Q101" s="74">
        <f t="shared" ref="Q101:S101" si="70">Q102+Q103</f>
        <v>0</v>
      </c>
      <c r="R101" s="74">
        <f t="shared" si="70"/>
        <v>0</v>
      </c>
      <c r="S101" s="74">
        <f t="shared" si="70"/>
        <v>0</v>
      </c>
      <c r="T101" s="74">
        <f t="shared" si="63"/>
        <v>0</v>
      </c>
      <c r="U101" s="74">
        <f t="shared" si="64"/>
        <v>0</v>
      </c>
    </row>
    <row r="102" spans="1:21" ht="18.75" hidden="1" x14ac:dyDescent="0.25">
      <c r="A102" s="257"/>
      <c r="B102" s="258"/>
      <c r="C102" s="258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77">
        <f t="shared" si="60"/>
        <v>0</v>
      </c>
      <c r="P102" s="77">
        <f t="shared" si="61"/>
        <v>0</v>
      </c>
      <c r="Q102" s="77">
        <v>0</v>
      </c>
      <c r="R102" s="77">
        <v>0</v>
      </c>
      <c r="S102" s="77">
        <v>0</v>
      </c>
      <c r="T102" s="77">
        <f t="shared" si="63"/>
        <v>0</v>
      </c>
      <c r="U102" s="77">
        <f t="shared" si="64"/>
        <v>0</v>
      </c>
    </row>
    <row r="103" spans="1:21" ht="18.75" hidden="1" x14ac:dyDescent="0.25">
      <c r="A103" s="257"/>
      <c r="B103" s="258"/>
      <c r="C103" s="258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3">
        <f ca="1">IFERROR(__xludf.DUMMYFUNCTION("IMPORTRANGE(""https://docs.google.com/spreadsheets/d/1-uDff_7J0KD5mKrp0Vvzr7lt3OU09vwQwhkpOPPYv2Y/edit?usp=sharing"",""งบพรบ!AZ63"")"),0)</f>
        <v>0</v>
      </c>
      <c r="M103" s="74">
        <f ca="1">IFERROR(__xludf.DUMMYFUNCTION("IMPORTRANGE(""https://docs.google.com/spreadsheets/d/1-uDff_7J0KD5mKrp0Vvzr7lt3OU09vwQwhkpOPPYv2Y/edit?usp=sharing"",""งบพรบ!BC63"")"),0)</f>
        <v>0</v>
      </c>
      <c r="N103" s="74">
        <f ca="1">IFERROR(__xludf.DUMMYFUNCTION("IMPORTRANGE(""https://docs.google.com/spreadsheets/d/1-uDff_7J0KD5mKrp0Vvzr7lt3OU09vwQwhkpOPPYv2Y/edit?usp=sharing"",""งบพรบ!BE63"")"),0)</f>
        <v>0</v>
      </c>
      <c r="O103" s="74">
        <f t="shared" ca="1" si="60"/>
        <v>0</v>
      </c>
      <c r="P103" s="74">
        <f t="shared" ca="1" si="61"/>
        <v>0</v>
      </c>
      <c r="Q103" s="74">
        <v>0</v>
      </c>
      <c r="R103" s="74">
        <v>0</v>
      </c>
      <c r="S103" s="74">
        <v>0</v>
      </c>
      <c r="T103" s="74">
        <f t="shared" si="63"/>
        <v>0</v>
      </c>
      <c r="U103" s="74">
        <f t="shared" si="64"/>
        <v>0</v>
      </c>
    </row>
    <row r="104" spans="1:21" ht="19.5" x14ac:dyDescent="0.3">
      <c r="A104" s="276"/>
      <c r="B104" s="277"/>
      <c r="C104" s="259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IFERROR(__xludf.DUMMYFUNCTION("IMPORTRANGE(""https://docs.google.com/spreadsheets/d/1eHaY18a8A9IcSdp1K8H6x8fbOy06t2VsZHhMHf-1x7Y/edit?usp=sharing"",""แผน!N63"")"),93)</f>
        <v>93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IFERROR(__xludf.DUMMYFUNCTION("IMPORTRANGE(""https://docs.google.com/spreadsheets/d/1eHaY18a8A9IcSdp1K8H6x8fbOy06t2VsZHhMHf-1x7Y/edit?usp=sharing"",""แผน!O63"")"),31)</f>
        <v>31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5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8.75" x14ac:dyDescent="0.25">
      <c r="A114" s="890"/>
      <c r="B114" s="891"/>
      <c r="C114" s="891"/>
      <c r="D114" s="892" t="s">
        <v>50</v>
      </c>
      <c r="E114" s="893"/>
      <c r="F114" s="893"/>
      <c r="G114" s="894"/>
      <c r="H114" s="895" t="s">
        <v>46</v>
      </c>
      <c r="I114" s="896">
        <f ca="1">IFERROR(__xludf.DUMMYFUNCTION("IMPORTRANGE(""https://docs.google.com/spreadsheets/d/1eHaY18a8A9IcSdp1K8H6x8fbOy06t2VsZHhMHf-1x7Y/edit?usp=sharing"",""แผน!S63"")"),0)</f>
        <v>0</v>
      </c>
      <c r="J114" s="897">
        <v>0</v>
      </c>
      <c r="K114" s="898">
        <f t="shared" ref="K114:K115" ca="1" si="72">IF(I114&gt;0,J114*100/I114,0)</f>
        <v>0</v>
      </c>
      <c r="L114" s="450"/>
      <c r="M114" s="450"/>
      <c r="N114" s="450"/>
      <c r="O114" s="899"/>
      <c r="P114" s="899"/>
      <c r="Q114" s="450"/>
      <c r="R114" s="450"/>
      <c r="S114" s="450"/>
      <c r="T114" s="899"/>
      <c r="U114" s="899"/>
    </row>
    <row r="115" spans="1:21" ht="18.75" x14ac:dyDescent="0.25">
      <c r="A115" s="276"/>
      <c r="B115" s="277"/>
      <c r="C115" s="277"/>
      <c r="D115" s="296"/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IFERROR(__xludf.DUMMYFUNCTION("IMPORTRANGE(""https://docs.google.com/spreadsheets/d/1eHaY18a8A9IcSdp1K8H6x8fbOy06t2VsZHhMHf-1x7Y/edit?usp=sharing"",""แผน!R63"")"),31)</f>
        <v>31</v>
      </c>
      <c r="J115" s="294">
        <v>0</v>
      </c>
      <c r="K115" s="74">
        <f t="shared" ca="1" si="72"/>
        <v>0</v>
      </c>
      <c r="L115" s="87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1099" t="s">
        <v>51</v>
      </c>
      <c r="B116" s="691"/>
      <c r="C116" s="692"/>
      <c r="D116" s="691"/>
      <c r="E116" s="691"/>
      <c r="F116" s="691"/>
      <c r="G116" s="691"/>
      <c r="H116" s="691"/>
      <c r="I116" s="694"/>
      <c r="J116" s="694"/>
      <c r="K116" s="695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1297"/>
      <c r="B117" s="251" t="s">
        <v>52</v>
      </c>
      <c r="C117" s="1298"/>
      <c r="D117" s="1299"/>
      <c r="E117" s="1300"/>
      <c r="F117" s="1300"/>
      <c r="G117" s="1301"/>
      <c r="H117" s="1301"/>
      <c r="I117" s="256">
        <f t="shared" ref="I117:J117" ca="1" si="73">I128</f>
        <v>15</v>
      </c>
      <c r="J117" s="256">
        <f t="shared" si="73"/>
        <v>0</v>
      </c>
      <c r="K117" s="59">
        <f ca="1">IF(I117&gt;0,J117*100/I117,0)</f>
        <v>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58"/>
      <c r="C118" s="259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1257">
        <f t="shared" ref="L118:N118" ca="1" si="74">L119+L120</f>
        <v>0</v>
      </c>
      <c r="M118" s="264">
        <f t="shared" ca="1" si="74"/>
        <v>0</v>
      </c>
      <c r="N118" s="264">
        <f t="shared" ca="1" si="74"/>
        <v>0</v>
      </c>
      <c r="O118" s="264">
        <f t="shared" ref="O118:O126" ca="1" si="75">IF(L118&gt;0,N118*100/L118,0)</f>
        <v>0</v>
      </c>
      <c r="P118" s="264">
        <f t="shared" ref="P118:P126" ca="1" si="76">IF(M118&gt;0,N118*100/M118,0)</f>
        <v>0</v>
      </c>
      <c r="Q118" s="264">
        <f t="shared" ref="Q118:S118" ca="1" si="77">Q119+Q120</f>
        <v>191460</v>
      </c>
      <c r="R118" s="264">
        <f t="shared" ca="1" si="77"/>
        <v>191460</v>
      </c>
      <c r="S118" s="264">
        <f t="shared" ca="1" si="77"/>
        <v>13000</v>
      </c>
      <c r="T118" s="264">
        <f t="shared" ref="T118:T126" ca="1" si="78">IF(Q118&gt;0,S118*100/Q118,0)</f>
        <v>6.7899300114906511</v>
      </c>
      <c r="U118" s="264">
        <f t="shared" ref="U118:U126" ca="1" si="79">IF(R118&gt;0,S118*100/R118,0)</f>
        <v>6.7899300114906511</v>
      </c>
    </row>
    <row r="119" spans="1:21" ht="18.75" hidden="1" x14ac:dyDescent="0.25">
      <c r="A119" s="257"/>
      <c r="B119" s="258"/>
      <c r="C119" s="258"/>
      <c r="D119" s="258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6">
        <f t="shared" ref="L119:N120" si="80">L122+L125</f>
        <v>0</v>
      </c>
      <c r="M119" s="77">
        <f t="shared" si="80"/>
        <v>0</v>
      </c>
      <c r="N119" s="77">
        <f t="shared" si="80"/>
        <v>0</v>
      </c>
      <c r="O119" s="77">
        <f t="shared" si="75"/>
        <v>0</v>
      </c>
      <c r="P119" s="77">
        <f t="shared" si="76"/>
        <v>0</v>
      </c>
      <c r="Q119" s="77">
        <f t="shared" ref="Q119:S120" si="81">Q122+Q125</f>
        <v>0</v>
      </c>
      <c r="R119" s="77">
        <f t="shared" si="81"/>
        <v>0</v>
      </c>
      <c r="S119" s="77">
        <f t="shared" si="81"/>
        <v>0</v>
      </c>
      <c r="T119" s="77">
        <f t="shared" si="78"/>
        <v>0</v>
      </c>
      <c r="U119" s="77">
        <f t="shared" si="79"/>
        <v>0</v>
      </c>
    </row>
    <row r="120" spans="1:21" ht="18.75" hidden="1" x14ac:dyDescent="0.25">
      <c r="A120" s="257"/>
      <c r="B120" s="258"/>
      <c r="C120" s="258"/>
      <c r="D120" s="258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3">
        <f t="shared" ca="1" si="80"/>
        <v>0</v>
      </c>
      <c r="M120" s="74">
        <f t="shared" ca="1" si="80"/>
        <v>0</v>
      </c>
      <c r="N120" s="74">
        <f t="shared" ca="1" si="80"/>
        <v>0</v>
      </c>
      <c r="O120" s="74">
        <f t="shared" ca="1" si="75"/>
        <v>0</v>
      </c>
      <c r="P120" s="74">
        <f t="shared" ca="1" si="76"/>
        <v>0</v>
      </c>
      <c r="Q120" s="74">
        <f t="shared" ca="1" si="81"/>
        <v>191460</v>
      </c>
      <c r="R120" s="74">
        <f t="shared" ca="1" si="81"/>
        <v>191460</v>
      </c>
      <c r="S120" s="74">
        <f t="shared" ca="1" si="81"/>
        <v>13000</v>
      </c>
      <c r="T120" s="74">
        <f t="shared" ca="1" si="78"/>
        <v>6.7899300114906511</v>
      </c>
      <c r="U120" s="74">
        <f t="shared" ca="1" si="79"/>
        <v>6.7899300114906511</v>
      </c>
    </row>
    <row r="121" spans="1:21" ht="18.75" x14ac:dyDescent="0.25">
      <c r="A121" s="257"/>
      <c r="B121" s="258"/>
      <c r="C121" s="258"/>
      <c r="D121" s="270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3">
        <f t="shared" ref="L121:N121" ca="1" si="82">L122+L123</f>
        <v>0</v>
      </c>
      <c r="M121" s="74">
        <f t="shared" ca="1" si="82"/>
        <v>0</v>
      </c>
      <c r="N121" s="74">
        <f t="shared" ca="1" si="82"/>
        <v>0</v>
      </c>
      <c r="O121" s="74">
        <f t="shared" ca="1" si="75"/>
        <v>0</v>
      </c>
      <c r="P121" s="74">
        <f t="shared" ca="1" si="76"/>
        <v>0</v>
      </c>
      <c r="Q121" s="74">
        <f t="shared" ref="Q121:S121" ca="1" si="83">Q122+Q123</f>
        <v>191460</v>
      </c>
      <c r="R121" s="74">
        <f t="shared" ca="1" si="83"/>
        <v>191460</v>
      </c>
      <c r="S121" s="74">
        <f t="shared" ca="1" si="83"/>
        <v>13000</v>
      </c>
      <c r="T121" s="74">
        <f t="shared" ca="1" si="78"/>
        <v>6.7899300114906511</v>
      </c>
      <c r="U121" s="74">
        <f t="shared" ca="1" si="79"/>
        <v>6.7899300114906511</v>
      </c>
    </row>
    <row r="122" spans="1:21" ht="18.75" hidden="1" x14ac:dyDescent="0.25">
      <c r="A122" s="257"/>
      <c r="B122" s="258"/>
      <c r="C122" s="258"/>
      <c r="D122" s="258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77">
        <f t="shared" si="75"/>
        <v>0</v>
      </c>
      <c r="P122" s="77">
        <f t="shared" si="76"/>
        <v>0</v>
      </c>
      <c r="Q122" s="77">
        <v>0</v>
      </c>
      <c r="R122" s="77">
        <v>0</v>
      </c>
      <c r="S122" s="77">
        <v>0</v>
      </c>
      <c r="T122" s="77">
        <f t="shared" si="78"/>
        <v>0</v>
      </c>
      <c r="U122" s="77">
        <f t="shared" si="79"/>
        <v>0</v>
      </c>
    </row>
    <row r="123" spans="1:21" ht="18.75" hidden="1" x14ac:dyDescent="0.25">
      <c r="A123" s="257"/>
      <c r="B123" s="258"/>
      <c r="C123" s="258"/>
      <c r="D123" s="258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3">
        <f ca="1">IFERROR(__xludf.DUMMYFUNCTION("IMPORTRANGE(""https://docs.google.com/spreadsheets/d/1-uDff_7J0KD5mKrp0Vvzr7lt3OU09vwQwhkpOPPYv2Y/edit?usp=sharing"",""งบพรบ!BG63"")"),0)</f>
        <v>0</v>
      </c>
      <c r="M123" s="74">
        <f ca="1">IFERROR(__xludf.DUMMYFUNCTION("IMPORTRANGE(""https://docs.google.com/spreadsheets/d/1-uDff_7J0KD5mKrp0Vvzr7lt3OU09vwQwhkpOPPYv2Y/edit?usp=sharing"",""งบพรบ!BL63"")"),0)</f>
        <v>0</v>
      </c>
      <c r="N123" s="74">
        <f ca="1">IFERROR(__xludf.DUMMYFUNCTION("IMPORTRANGE(""https://docs.google.com/spreadsheets/d/1-uDff_7J0KD5mKrp0Vvzr7lt3OU09vwQwhkpOPPYv2Y/edit?usp=sharing"",""งบพรบ!BN63"")"),0)</f>
        <v>0</v>
      </c>
      <c r="O123" s="74">
        <f t="shared" ca="1" si="75"/>
        <v>0</v>
      </c>
      <c r="P123" s="74">
        <f t="shared" ca="1" si="76"/>
        <v>0</v>
      </c>
      <c r="Q123" s="74">
        <f ca="1">IFERROR(__xludf.DUMMYFUNCTION("IMPORTRANGE(""https://docs.google.com/spreadsheets/d/1ItG2mGa2ceCfYo0BwxsXqNm01IGEUdYcSSLTEv9YCik/edit?usp=sharing"",""เบิกจ่ายกองทุน!R63"")"),191460)</f>
        <v>191460</v>
      </c>
      <c r="R123" s="74">
        <f ca="1">IFERROR(__xludf.DUMMYFUNCTION("IMPORTRANGE(""https://docs.google.com/spreadsheets/d/1ItG2mGa2ceCfYo0BwxsXqNm01IGEUdYcSSLTEv9YCik/edit?usp=sharing"",""เบิกจ่ายกองทุน!S63"")"),191460)</f>
        <v>191460</v>
      </c>
      <c r="S123" s="74">
        <f ca="1">IFERROR(__xludf.DUMMYFUNCTION("IMPORTRANGE(""https://docs.google.com/spreadsheets/d/1ItG2mGa2ceCfYo0BwxsXqNm01IGEUdYcSSLTEv9YCik/edit?usp=sharing"",""เบิกจ่ายกองทุน!T63"")"),13000)</f>
        <v>13000</v>
      </c>
      <c r="T123" s="74">
        <f t="shared" ca="1" si="78"/>
        <v>6.7899300114906511</v>
      </c>
      <c r="U123" s="74">
        <f t="shared" ca="1" si="79"/>
        <v>6.7899300114906511</v>
      </c>
    </row>
    <row r="124" spans="1:21" ht="18.75" x14ac:dyDescent="0.25">
      <c r="A124" s="257"/>
      <c r="B124" s="258"/>
      <c r="C124" s="258"/>
      <c r="D124" s="270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3">
        <f t="shared" ref="L124:N124" ca="1" si="84">L125+L126</f>
        <v>0</v>
      </c>
      <c r="M124" s="74">
        <f t="shared" ca="1" si="84"/>
        <v>0</v>
      </c>
      <c r="N124" s="74">
        <f t="shared" ca="1" si="84"/>
        <v>0</v>
      </c>
      <c r="O124" s="74">
        <f t="shared" ca="1" si="75"/>
        <v>0</v>
      </c>
      <c r="P124" s="74">
        <f t="shared" ca="1" si="76"/>
        <v>0</v>
      </c>
      <c r="Q124" s="74">
        <f t="shared" ref="Q124:S124" si="85">Q125+Q126</f>
        <v>0</v>
      </c>
      <c r="R124" s="74">
        <f t="shared" si="85"/>
        <v>0</v>
      </c>
      <c r="S124" s="74">
        <f t="shared" si="85"/>
        <v>0</v>
      </c>
      <c r="T124" s="74">
        <f t="shared" si="78"/>
        <v>0</v>
      </c>
      <c r="U124" s="74">
        <f t="shared" si="79"/>
        <v>0</v>
      </c>
    </row>
    <row r="125" spans="1:21" ht="18.75" hidden="1" x14ac:dyDescent="0.25">
      <c r="A125" s="257"/>
      <c r="B125" s="258"/>
      <c r="C125" s="258"/>
      <c r="D125" s="258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77">
        <f t="shared" si="75"/>
        <v>0</v>
      </c>
      <c r="P125" s="77">
        <f t="shared" si="76"/>
        <v>0</v>
      </c>
      <c r="Q125" s="77">
        <v>0</v>
      </c>
      <c r="R125" s="77">
        <v>0</v>
      </c>
      <c r="S125" s="77">
        <v>0</v>
      </c>
      <c r="T125" s="77">
        <f t="shared" si="78"/>
        <v>0</v>
      </c>
      <c r="U125" s="77">
        <f t="shared" si="79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3">
        <f ca="1">IFERROR(__xludf.DUMMYFUNCTION("IMPORTRANGE(""https://docs.google.com/spreadsheets/d/1-uDff_7J0KD5mKrp0Vvzr7lt3OU09vwQwhkpOPPYv2Y/edit?usp=sharing"",""งบพรบ!BJ63"")"),0)</f>
        <v>0</v>
      </c>
      <c r="M126" s="74">
        <f ca="1">IFERROR(__xludf.DUMMYFUNCTION("IMPORTRANGE(""https://docs.google.com/spreadsheets/d/1-uDff_7J0KD5mKrp0Vvzr7lt3OU09vwQwhkpOPPYv2Y/edit?usp=sharing"",""งบพรบ!BM63"")"),0)</f>
        <v>0</v>
      </c>
      <c r="N126" s="74">
        <f ca="1">IFERROR(__xludf.DUMMYFUNCTION("IMPORTRANGE(""https://docs.google.com/spreadsheets/d/1-uDff_7J0KD5mKrp0Vvzr7lt3OU09vwQwhkpOPPYv2Y/edit?usp=sharing"",""งบพรบ!BO63"")"),0)</f>
        <v>0</v>
      </c>
      <c r="O126" s="74">
        <f t="shared" ca="1" si="75"/>
        <v>0</v>
      </c>
      <c r="P126" s="74">
        <f t="shared" ca="1" si="76"/>
        <v>0</v>
      </c>
      <c r="Q126" s="74">
        <v>0</v>
      </c>
      <c r="R126" s="74">
        <v>0</v>
      </c>
      <c r="S126" s="74">
        <v>0</v>
      </c>
      <c r="T126" s="74">
        <f t="shared" si="78"/>
        <v>0</v>
      </c>
      <c r="U126" s="74">
        <f t="shared" si="79"/>
        <v>0</v>
      </c>
    </row>
    <row r="127" spans="1:21" ht="19.5" x14ac:dyDescent="0.3">
      <c r="A127" s="890"/>
      <c r="B127" s="891"/>
      <c r="C127" s="905" t="s">
        <v>18</v>
      </c>
      <c r="D127" s="1108" t="s">
        <v>38</v>
      </c>
      <c r="E127" s="1109"/>
      <c r="F127" s="1109"/>
      <c r="G127" s="1110"/>
      <c r="H127" s="1111"/>
      <c r="I127" s="846"/>
      <c r="J127" s="846"/>
      <c r="K127" s="450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IFERROR(__xludf.DUMMYFUNCTION("IMPORTRANGE(""https://docs.google.com/spreadsheets/d/1eHaY18a8A9IcSdp1K8H6x8fbOy06t2VsZHhMHf-1x7Y/edit?usp=sharing"",""แผน!FF63"")"),15)</f>
        <v>15</v>
      </c>
      <c r="J128" s="294">
        <v>0</v>
      </c>
      <c r="K128" s="74">
        <f t="shared" ref="K128:K131" ca="1" si="86">IF(I128&gt;0,J128*100/I128,0)</f>
        <v>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IFERROR(__xludf.DUMMYFUNCTION("IMPORTRANGE(""https://docs.google.com/spreadsheets/d/1eHaY18a8A9IcSdp1K8H6x8fbOy06t2VsZHhMHf-1x7Y/edit?usp=sharing"",""แผน!FG63"")"),0)</f>
        <v>0</v>
      </c>
      <c r="J129" s="294">
        <v>0</v>
      </c>
      <c r="K129" s="74">
        <f t="shared" ca="1" si="86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29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IFERROR(__xludf.DUMMYFUNCTION("IMPORTRANGE(""https://docs.google.com/spreadsheets/d/1eHaY18a8A9IcSdp1K8H6x8fbOy06t2VsZHhMHf-1x7Y/edit?usp=sharing"",""แผน!FH63"")"),15)</f>
        <v>15</v>
      </c>
      <c r="J130" s="294">
        <v>0</v>
      </c>
      <c r="K130" s="74">
        <f t="shared" ca="1" si="86"/>
        <v>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96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IFERROR(__xludf.DUMMYFUNCTION("IMPORTRANGE(""https://docs.google.com/spreadsheets/d/1eHaY18a8A9IcSdp1K8H6x8fbOy06t2VsZHhMHf-1x7Y/edit?usp=sharing"",""แผน!FI63"")"),0)</f>
        <v>0</v>
      </c>
      <c r="J131" s="294">
        <v>0</v>
      </c>
      <c r="K131" s="74">
        <f t="shared" ca="1" si="86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311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311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x14ac:dyDescent="0.3">
      <c r="A135" s="1099" t="s">
        <v>58</v>
      </c>
      <c r="B135" s="691"/>
      <c r="C135" s="692"/>
      <c r="D135" s="691"/>
      <c r="E135" s="691"/>
      <c r="F135" s="691"/>
      <c r="G135" s="691"/>
      <c r="H135" s="691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x14ac:dyDescent="0.3">
      <c r="A136" s="250"/>
      <c r="B136" s="251" t="s">
        <v>59</v>
      </c>
      <c r="C136" s="304"/>
      <c r="D136" s="253"/>
      <c r="E136" s="252"/>
      <c r="F136" s="252"/>
      <c r="G136" s="252"/>
      <c r="H136" s="252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x14ac:dyDescent="0.3">
      <c r="A137" s="250"/>
      <c r="B137" s="252"/>
      <c r="C137" s="1112" t="s">
        <v>60</v>
      </c>
      <c r="D137" s="253"/>
      <c r="E137" s="252"/>
      <c r="F137" s="252"/>
      <c r="G137" s="254"/>
      <c r="H137" s="1296" t="s">
        <v>61</v>
      </c>
      <c r="I137" s="256">
        <f t="shared" ref="I137:J137" ca="1" si="87">I155</f>
        <v>0</v>
      </c>
      <c r="J137" s="256">
        <f t="shared" si="87"/>
        <v>0</v>
      </c>
      <c r="K137" s="59">
        <f t="shared" ref="K137:K139" ca="1" si="88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x14ac:dyDescent="0.3">
      <c r="A138" s="250"/>
      <c r="B138" s="252"/>
      <c r="C138" s="1112" t="s">
        <v>62</v>
      </c>
      <c r="D138" s="253"/>
      <c r="E138" s="252"/>
      <c r="F138" s="252"/>
      <c r="G138" s="254"/>
      <c r="H138" s="1296" t="s">
        <v>35</v>
      </c>
      <c r="I138" s="256">
        <f t="shared" ref="I138:J139" ca="1" si="89">I153</f>
        <v>50</v>
      </c>
      <c r="J138" s="256">
        <f t="shared" si="89"/>
        <v>0</v>
      </c>
      <c r="K138" s="59">
        <f t="shared" ca="1" si="88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x14ac:dyDescent="0.3">
      <c r="A139" s="250"/>
      <c r="B139" s="252"/>
      <c r="C139" s="304"/>
      <c r="D139" s="253"/>
      <c r="E139" s="252"/>
      <c r="F139" s="252"/>
      <c r="G139" s="254"/>
      <c r="H139" s="1296" t="s">
        <v>54</v>
      </c>
      <c r="I139" s="256">
        <f t="shared" ca="1" si="89"/>
        <v>5</v>
      </c>
      <c r="J139" s="256">
        <f t="shared" si="89"/>
        <v>0</v>
      </c>
      <c r="K139" s="59">
        <f t="shared" ca="1" si="88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1257">
        <f t="shared" ref="L140:N140" ca="1" si="90">L141+L142</f>
        <v>56500</v>
      </c>
      <c r="M140" s="264">
        <f t="shared" ca="1" si="90"/>
        <v>51500</v>
      </c>
      <c r="N140" s="264">
        <f t="shared" ca="1" si="90"/>
        <v>0</v>
      </c>
      <c r="O140" s="264">
        <f t="shared" ref="O140:O148" ca="1" si="91">IF(L140&gt;0,N140*100/L140,0)</f>
        <v>0</v>
      </c>
      <c r="P140" s="264">
        <f t="shared" ref="P140:P148" ca="1" si="92">IF(M140&gt;0,N140*100/M140,0)</f>
        <v>0</v>
      </c>
      <c r="Q140" s="264">
        <f t="shared" ref="Q140:S140" ca="1" si="93">Q141+Q142</f>
        <v>0</v>
      </c>
      <c r="R140" s="264">
        <f t="shared" ca="1" si="93"/>
        <v>0</v>
      </c>
      <c r="S140" s="264">
        <f t="shared" ca="1" si="93"/>
        <v>0</v>
      </c>
      <c r="T140" s="264">
        <f t="shared" ref="T140:T148" ca="1" si="94">IF(Q140&gt;0,S140*100/Q140,0)</f>
        <v>0</v>
      </c>
      <c r="U140" s="264">
        <f t="shared" ref="U140:U148" ca="1" si="95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6">
        <f t="shared" ref="L141:N142" si="96">L144+L147</f>
        <v>0</v>
      </c>
      <c r="M141" s="77">
        <f t="shared" si="96"/>
        <v>0</v>
      </c>
      <c r="N141" s="77">
        <f t="shared" si="96"/>
        <v>0</v>
      </c>
      <c r="O141" s="77">
        <f t="shared" si="91"/>
        <v>0</v>
      </c>
      <c r="P141" s="77">
        <f t="shared" si="92"/>
        <v>0</v>
      </c>
      <c r="Q141" s="77">
        <f t="shared" ref="Q141:S142" si="97">Q144+Q147</f>
        <v>0</v>
      </c>
      <c r="R141" s="77">
        <f t="shared" si="97"/>
        <v>0</v>
      </c>
      <c r="S141" s="77">
        <f t="shared" si="97"/>
        <v>0</v>
      </c>
      <c r="T141" s="77">
        <f t="shared" si="94"/>
        <v>0</v>
      </c>
      <c r="U141" s="77">
        <f t="shared" si="95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3">
        <f t="shared" ca="1" si="96"/>
        <v>56500</v>
      </c>
      <c r="M142" s="74">
        <f t="shared" ca="1" si="96"/>
        <v>51500</v>
      </c>
      <c r="N142" s="74">
        <f t="shared" ca="1" si="96"/>
        <v>0</v>
      </c>
      <c r="O142" s="74">
        <f t="shared" ca="1" si="91"/>
        <v>0</v>
      </c>
      <c r="P142" s="74">
        <f t="shared" ca="1" si="92"/>
        <v>0</v>
      </c>
      <c r="Q142" s="74">
        <f t="shared" ca="1" si="97"/>
        <v>0</v>
      </c>
      <c r="R142" s="74">
        <f t="shared" ca="1" si="97"/>
        <v>0</v>
      </c>
      <c r="S142" s="74">
        <f t="shared" ca="1" si="97"/>
        <v>0</v>
      </c>
      <c r="T142" s="74">
        <f t="shared" ca="1" si="94"/>
        <v>0</v>
      </c>
      <c r="U142" s="74">
        <f t="shared" ca="1" si="95"/>
        <v>0</v>
      </c>
    </row>
    <row r="143" spans="1:21" ht="18.75" x14ac:dyDescent="0.25">
      <c r="A143" s="257"/>
      <c r="B143" s="258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3">
        <f t="shared" ref="L143:N143" ca="1" si="98">L144+L145</f>
        <v>56500</v>
      </c>
      <c r="M143" s="74">
        <f t="shared" ca="1" si="98"/>
        <v>51500</v>
      </c>
      <c r="N143" s="74">
        <f t="shared" ca="1" si="98"/>
        <v>0</v>
      </c>
      <c r="O143" s="74">
        <f t="shared" ca="1" si="91"/>
        <v>0</v>
      </c>
      <c r="P143" s="74">
        <f t="shared" ca="1" si="92"/>
        <v>0</v>
      </c>
      <c r="Q143" s="74">
        <f t="shared" ref="Q143:S143" ca="1" si="99">Q144+Q145</f>
        <v>0</v>
      </c>
      <c r="R143" s="74">
        <f t="shared" ca="1" si="99"/>
        <v>0</v>
      </c>
      <c r="S143" s="74">
        <f t="shared" ca="1" si="99"/>
        <v>0</v>
      </c>
      <c r="T143" s="74">
        <f t="shared" ca="1" si="94"/>
        <v>0</v>
      </c>
      <c r="U143" s="74">
        <f t="shared" ca="1" si="95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77">
        <f t="shared" si="91"/>
        <v>0</v>
      </c>
      <c r="P144" s="77">
        <f t="shared" si="92"/>
        <v>0</v>
      </c>
      <c r="Q144" s="77">
        <v>0</v>
      </c>
      <c r="R144" s="77">
        <v>0</v>
      </c>
      <c r="S144" s="77">
        <v>0</v>
      </c>
      <c r="T144" s="77">
        <f t="shared" si="94"/>
        <v>0</v>
      </c>
      <c r="U144" s="77">
        <f t="shared" si="95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3">
        <f ca="1">IFERROR(__xludf.DUMMYFUNCTION("IMPORTRANGE(""https://docs.google.com/spreadsheets/d/1-uDff_7J0KD5mKrp0Vvzr7lt3OU09vwQwhkpOPPYv2Y/edit?usp=sharing"",""งบพรบ!BQ63"")"),56500)</f>
        <v>56500</v>
      </c>
      <c r="M145" s="74">
        <f ca="1">IFERROR(__xludf.DUMMYFUNCTION("IMPORTRANGE(""https://docs.google.com/spreadsheets/d/1-uDff_7J0KD5mKrp0Vvzr7lt3OU09vwQwhkpOPPYv2Y/edit?usp=sharing"",""งบพรบ!BV63"")"),51500)</f>
        <v>51500</v>
      </c>
      <c r="N145" s="74">
        <f ca="1">IFERROR(__xludf.DUMMYFUNCTION("IMPORTRANGE(""https://docs.google.com/spreadsheets/d/1-uDff_7J0KD5mKrp0Vvzr7lt3OU09vwQwhkpOPPYv2Y/edit?usp=sharing"",""งบพรบ!BX63"")"),0)</f>
        <v>0</v>
      </c>
      <c r="O145" s="74">
        <f t="shared" ca="1" si="91"/>
        <v>0</v>
      </c>
      <c r="P145" s="74">
        <f t="shared" ca="1" si="92"/>
        <v>0</v>
      </c>
      <c r="Q145" s="74">
        <f ca="1">IFERROR(__xludf.DUMMYFUNCTION("IMPORTRANGE(""https://docs.google.com/spreadsheets/d/1ItG2mGa2ceCfYo0BwxsXqNm01IGEUdYcSSLTEv9YCik/edit?usp=sharing"",""เบิกจ่ายกองทุน!BB63"")"),0)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IFERROR(__xludf.DUMMYFUNCTION("IMPORTRANGE(""https://docs.google.com/spreadsheets/d/1ItG2mGa2ceCfYo0BwxsXqNm01IGEUdYcSSLTEv9YCik/edit?usp=sharing"",""เบิกจ่ายกองทุน!BC63"")"),0)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IFERROR(__xludf.DUMMYFUNCTION("IMPORTRANGE(""https://docs.google.com/spreadsheets/d/1ItG2mGa2ceCfYo0BwxsXqNm01IGEUdYcSSLTEv9YCik/edit?usp=sharing"",""เบิกจ่ายกองทุน!BD63"")"),0)</f>
        <v>0</v>
      </c>
      <c r="T145" s="74">
        <f t="shared" ca="1" si="94"/>
        <v>0</v>
      </c>
      <c r="U145" s="74">
        <f t="shared" ca="1" si="95"/>
        <v>0</v>
      </c>
    </row>
    <row r="146" spans="1:21" ht="18.75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3">
        <f t="shared" ref="L146:N146" ca="1" si="100">L147+L148</f>
        <v>0</v>
      </c>
      <c r="M146" s="74">
        <f t="shared" ca="1" si="100"/>
        <v>0</v>
      </c>
      <c r="N146" s="74">
        <f t="shared" ca="1" si="100"/>
        <v>0</v>
      </c>
      <c r="O146" s="74">
        <f t="shared" ca="1" si="91"/>
        <v>0</v>
      </c>
      <c r="P146" s="74">
        <f t="shared" ca="1" si="92"/>
        <v>0</v>
      </c>
      <c r="Q146" s="74">
        <f t="shared" ref="Q146:S146" si="101">Q147+Q148</f>
        <v>0</v>
      </c>
      <c r="R146" s="74">
        <f t="shared" si="101"/>
        <v>0</v>
      </c>
      <c r="S146" s="74">
        <f t="shared" si="101"/>
        <v>0</v>
      </c>
      <c r="T146" s="74">
        <f t="shared" si="94"/>
        <v>0</v>
      </c>
      <c r="U146" s="74">
        <f t="shared" si="95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77">
        <f t="shared" si="91"/>
        <v>0</v>
      </c>
      <c r="P147" s="77">
        <f t="shared" si="92"/>
        <v>0</v>
      </c>
      <c r="Q147" s="77">
        <v>0</v>
      </c>
      <c r="R147" s="77">
        <v>0</v>
      </c>
      <c r="S147" s="77">
        <v>0</v>
      </c>
      <c r="T147" s="77">
        <f t="shared" si="94"/>
        <v>0</v>
      </c>
      <c r="U147" s="77">
        <f t="shared" si="95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3">
        <f ca="1">IFERROR(__xludf.DUMMYFUNCTION("IMPORTRANGE(""https://docs.google.com/spreadsheets/d/1-uDff_7J0KD5mKrp0Vvzr7lt3OU09vwQwhkpOPPYv2Y/edit?usp=sharing"",""งบพรบ!BT63"")"),0)</f>
        <v>0</v>
      </c>
      <c r="M148" s="74">
        <f ca="1">IFERROR(__xludf.DUMMYFUNCTION("IMPORTRANGE(""https://docs.google.com/spreadsheets/d/1-uDff_7J0KD5mKrp0Vvzr7lt3OU09vwQwhkpOPPYv2Y/edit?usp=sharing"",""งบพรบ!BW63"")"),0)</f>
        <v>0</v>
      </c>
      <c r="N148" s="74">
        <f ca="1">IFERROR(__xludf.DUMMYFUNCTION("IMPORTRANGE(""https://docs.google.com/spreadsheets/d/1-uDff_7J0KD5mKrp0Vvzr7lt3OU09vwQwhkpOPPYv2Y/edit?usp=sharing"",""งบพรบ!BY63"")"),0)</f>
        <v>0</v>
      </c>
      <c r="O148" s="74">
        <f t="shared" ca="1" si="91"/>
        <v>0</v>
      </c>
      <c r="P148" s="74">
        <f t="shared" ca="1" si="92"/>
        <v>0</v>
      </c>
      <c r="Q148" s="74">
        <v>0</v>
      </c>
      <c r="R148" s="74">
        <v>0</v>
      </c>
      <c r="S148" s="74">
        <v>0</v>
      </c>
      <c r="T148" s="74">
        <f t="shared" si="94"/>
        <v>0</v>
      </c>
      <c r="U148" s="74">
        <f t="shared" si="95"/>
        <v>0</v>
      </c>
    </row>
    <row r="149" spans="1:21" ht="19.5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x14ac:dyDescent="0.25">
      <c r="A150" s="257"/>
      <c r="B150" s="258"/>
      <c r="C150" s="258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IFERROR(__xludf.DUMMYFUNCTION("IMPORTRANGE(""https://docs.google.com/spreadsheets/d/1eHaY18a8A9IcSdp1K8H6x8fbOy06t2VsZHhMHf-1x7Y/edit?usp=sharing"",""แผน!U63"")"),0)</f>
        <v>0</v>
      </c>
      <c r="J151" s="294">
        <v>0</v>
      </c>
      <c r="K151" s="74">
        <f t="shared" ref="K151:K155" ca="1" si="102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IFERROR(__xludf.DUMMYFUNCTION("IMPORTRANGE(""https://docs.google.com/spreadsheets/d/1eHaY18a8A9IcSdp1K8H6x8fbOy06t2VsZHhMHf-1x7Y/edit?usp=sharing"",""แผน!V63"")"),0)</f>
        <v>0</v>
      </c>
      <c r="J152" s="294">
        <v>0</v>
      </c>
      <c r="K152" s="74">
        <f t="shared" ca="1" si="102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IFERROR(__xludf.DUMMYFUNCTION("IMPORTRANGE(""https://docs.google.com/spreadsheets/d/1eHaY18a8A9IcSdp1K8H6x8fbOy06t2VsZHhMHf-1x7Y/edit?usp=sharing"",""แผน!W63"")"),50)</f>
        <v>50</v>
      </c>
      <c r="J153" s="294">
        <v>0</v>
      </c>
      <c r="K153" s="74">
        <f t="shared" ca="1" si="102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IFERROR(__xludf.DUMMYFUNCTION("IMPORTRANGE(""https://docs.google.com/spreadsheets/d/1eHaY18a8A9IcSdp1K8H6x8fbOy06t2VsZHhMHf-1x7Y/edit?usp=sharing"",""แผน!X63"")"),5)</f>
        <v>5</v>
      </c>
      <c r="J154" s="294">
        <v>0</v>
      </c>
      <c r="K154" s="74">
        <f t="shared" ca="1" si="102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IFERROR(__xludf.DUMMYFUNCTION("IMPORTRANGE(""https://docs.google.com/spreadsheets/d/1eHaY18a8A9IcSdp1K8H6x8fbOy06t2VsZHhMHf-1x7Y/edit?usp=sharing"",""แผน!Y63"")"),0)</f>
        <v>0</v>
      </c>
      <c r="J155" s="294">
        <v>0</v>
      </c>
      <c r="K155" s="74">
        <f t="shared" ca="1" si="102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hidden="1" x14ac:dyDescent="0.3">
      <c r="A156" s="1099" t="s">
        <v>67</v>
      </c>
      <c r="B156" s="691"/>
      <c r="C156" s="692"/>
      <c r="D156" s="691"/>
      <c r="E156" s="691"/>
      <c r="F156" s="691"/>
      <c r="G156" s="691"/>
      <c r="H156" s="691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hidden="1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3">I170</f>
        <v>0</v>
      </c>
      <c r="J157" s="256">
        <f t="shared" si="103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hidden="1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1257">
        <f t="shared" ref="L158:N158" ca="1" si="104">L159+L160</f>
        <v>0</v>
      </c>
      <c r="M158" s="264">
        <f t="shared" ca="1" si="104"/>
        <v>0</v>
      </c>
      <c r="N158" s="264">
        <f t="shared" ca="1" si="104"/>
        <v>0</v>
      </c>
      <c r="O158" s="264">
        <f t="shared" ref="O158:O166" ca="1" si="105">IF(L158&gt;0,N158*100/L158,0)</f>
        <v>0</v>
      </c>
      <c r="P158" s="264">
        <f t="shared" ref="P158:P166" ca="1" si="106">IF(M158&gt;0,N158*100/M158,0)</f>
        <v>0</v>
      </c>
      <c r="Q158" s="264">
        <f t="shared" ref="Q158:S158" ca="1" si="107">Q159+Q160</f>
        <v>0</v>
      </c>
      <c r="R158" s="264">
        <f t="shared" ca="1" si="107"/>
        <v>0</v>
      </c>
      <c r="S158" s="264">
        <f t="shared" ca="1" si="107"/>
        <v>0</v>
      </c>
      <c r="T158" s="264">
        <f t="shared" ref="T158:T166" ca="1" si="108">IF(Q158&gt;0,S158*100/Q158,0)</f>
        <v>0</v>
      </c>
      <c r="U158" s="264">
        <f t="shared" ref="U158:U166" ca="1" si="109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6">
        <f t="shared" ref="L159:N160" si="110">L162+L165</f>
        <v>0</v>
      </c>
      <c r="M159" s="77">
        <f t="shared" si="110"/>
        <v>0</v>
      </c>
      <c r="N159" s="77">
        <f t="shared" si="110"/>
        <v>0</v>
      </c>
      <c r="O159" s="77">
        <f t="shared" si="105"/>
        <v>0</v>
      </c>
      <c r="P159" s="77">
        <f t="shared" si="106"/>
        <v>0</v>
      </c>
      <c r="Q159" s="77">
        <f t="shared" ref="Q159:S160" si="111">Q162+Q165</f>
        <v>0</v>
      </c>
      <c r="R159" s="77">
        <f t="shared" si="111"/>
        <v>0</v>
      </c>
      <c r="S159" s="77">
        <f t="shared" si="111"/>
        <v>0</v>
      </c>
      <c r="T159" s="77">
        <f t="shared" si="108"/>
        <v>0</v>
      </c>
      <c r="U159" s="77">
        <f t="shared" si="109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3">
        <f t="shared" ca="1" si="110"/>
        <v>0</v>
      </c>
      <c r="M160" s="74">
        <f t="shared" ca="1" si="110"/>
        <v>0</v>
      </c>
      <c r="N160" s="74">
        <f t="shared" ca="1" si="110"/>
        <v>0</v>
      </c>
      <c r="O160" s="74">
        <f t="shared" ca="1" si="105"/>
        <v>0</v>
      </c>
      <c r="P160" s="74">
        <f t="shared" ca="1" si="106"/>
        <v>0</v>
      </c>
      <c r="Q160" s="74">
        <f t="shared" ca="1" si="111"/>
        <v>0</v>
      </c>
      <c r="R160" s="74">
        <f t="shared" ca="1" si="111"/>
        <v>0</v>
      </c>
      <c r="S160" s="74">
        <f t="shared" ca="1" si="111"/>
        <v>0</v>
      </c>
      <c r="T160" s="74">
        <f t="shared" ca="1" si="108"/>
        <v>0</v>
      </c>
      <c r="U160" s="74">
        <f t="shared" ca="1" si="109"/>
        <v>0</v>
      </c>
    </row>
    <row r="161" spans="1:21" ht="18.75" hidden="1" x14ac:dyDescent="0.25">
      <c r="A161" s="257"/>
      <c r="B161" s="258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3">
        <f t="shared" ref="L161:N161" ca="1" si="112">L162+L163</f>
        <v>0</v>
      </c>
      <c r="M161" s="74">
        <f t="shared" ca="1" si="112"/>
        <v>0</v>
      </c>
      <c r="N161" s="74">
        <f t="shared" ca="1" si="112"/>
        <v>0</v>
      </c>
      <c r="O161" s="74">
        <f t="shared" ca="1" si="105"/>
        <v>0</v>
      </c>
      <c r="P161" s="74">
        <f t="shared" ca="1" si="106"/>
        <v>0</v>
      </c>
      <c r="Q161" s="74">
        <f t="shared" ref="Q161:S161" ca="1" si="113">Q162+Q163</f>
        <v>0</v>
      </c>
      <c r="R161" s="74">
        <f t="shared" ca="1" si="113"/>
        <v>0</v>
      </c>
      <c r="S161" s="74">
        <f t="shared" ca="1" si="113"/>
        <v>0</v>
      </c>
      <c r="T161" s="74">
        <f t="shared" ca="1" si="108"/>
        <v>0</v>
      </c>
      <c r="U161" s="74">
        <f t="shared" ca="1" si="109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77">
        <f t="shared" si="105"/>
        <v>0</v>
      </c>
      <c r="P162" s="77">
        <f t="shared" si="106"/>
        <v>0</v>
      </c>
      <c r="Q162" s="77">
        <v>0</v>
      </c>
      <c r="R162" s="77">
        <v>0</v>
      </c>
      <c r="S162" s="77">
        <v>0</v>
      </c>
      <c r="T162" s="77">
        <f t="shared" si="108"/>
        <v>0</v>
      </c>
      <c r="U162" s="77">
        <f t="shared" si="109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3">
        <f ca="1">IFERROR(__xludf.DUMMYFUNCTION("IMPORTRANGE(""https://docs.google.com/spreadsheets/d/1-uDff_7J0KD5mKrp0Vvzr7lt3OU09vwQwhkpOPPYv2Y/edit?usp=sharing"",""งบพรบ!CA63"")"),0)</f>
        <v>0</v>
      </c>
      <c r="M163" s="74">
        <f ca="1">IFERROR(__xludf.DUMMYFUNCTION("IMPORTRANGE(""https://docs.google.com/spreadsheets/d/1-uDff_7J0KD5mKrp0Vvzr7lt3OU09vwQwhkpOPPYv2Y/edit?usp=sharing"",""งบพรบ!CF63"")"),0)</f>
        <v>0</v>
      </c>
      <c r="N163" s="74">
        <f ca="1">IFERROR(__xludf.DUMMYFUNCTION("IMPORTRANGE(""https://docs.google.com/spreadsheets/d/1-uDff_7J0KD5mKrp0Vvzr7lt3OU09vwQwhkpOPPYv2Y/edit?usp=sharing"",""งบพรบ!CH63"")"),0)</f>
        <v>0</v>
      </c>
      <c r="O163" s="74">
        <f t="shared" ca="1" si="105"/>
        <v>0</v>
      </c>
      <c r="P163" s="74">
        <f t="shared" ca="1" si="106"/>
        <v>0</v>
      </c>
      <c r="Q163" s="74">
        <f ca="1">IFERROR(__xludf.DUMMYFUNCTION("IMPORTRANGE(""https://docs.google.com/spreadsheets/d/1ItG2mGa2ceCfYo0BwxsXqNm01IGEUdYcSSLTEv9YCik/edit?usp=sharing"",""เบิกจ่ายกองทุน!AG63"")"),0)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IFERROR(__xludf.DUMMYFUNCTION("IMPORTRANGE(""https://docs.google.com/spreadsheets/d/1ItG2mGa2ceCfYo0BwxsXqNm01IGEUdYcSSLTEv9YCik/edit?usp=sharing"",""เบิกจ่ายกองทุน!AH63"")"),0)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IFERROR(__xludf.DUMMYFUNCTION("IMPORTRANGE(""https://docs.google.com/spreadsheets/d/1ItG2mGa2ceCfYo0BwxsXqNm01IGEUdYcSSLTEv9YCik/edit?usp=sharing"",""เบิกจ่ายกองทุน!AI63"")"),0)</f>
        <v>0</v>
      </c>
      <c r="T163" s="74">
        <f t="shared" ca="1" si="108"/>
        <v>0</v>
      </c>
      <c r="U163" s="74">
        <f t="shared" ca="1" si="109"/>
        <v>0</v>
      </c>
    </row>
    <row r="164" spans="1:21" ht="18.75" hidden="1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3">
        <f t="shared" ref="L164:N164" ca="1" si="114">L165+L166</f>
        <v>0</v>
      </c>
      <c r="M164" s="74">
        <f t="shared" ca="1" si="114"/>
        <v>0</v>
      </c>
      <c r="N164" s="74">
        <f t="shared" ca="1" si="114"/>
        <v>0</v>
      </c>
      <c r="O164" s="74">
        <f t="shared" ca="1" si="105"/>
        <v>0</v>
      </c>
      <c r="P164" s="74">
        <f t="shared" ca="1" si="106"/>
        <v>0</v>
      </c>
      <c r="Q164" s="74">
        <f t="shared" ref="Q164:S164" si="115">Q165+Q166</f>
        <v>0</v>
      </c>
      <c r="R164" s="74">
        <f t="shared" si="115"/>
        <v>0</v>
      </c>
      <c r="S164" s="74">
        <f t="shared" si="115"/>
        <v>0</v>
      </c>
      <c r="T164" s="74">
        <f t="shared" si="108"/>
        <v>0</v>
      </c>
      <c r="U164" s="74">
        <f t="shared" si="109"/>
        <v>0</v>
      </c>
    </row>
    <row r="165" spans="1:21" ht="18.75" hidden="1" x14ac:dyDescent="0.25">
      <c r="A165" s="257"/>
      <c r="B165" s="258"/>
      <c r="C165" s="258"/>
      <c r="D165" s="258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77">
        <f t="shared" si="105"/>
        <v>0</v>
      </c>
      <c r="P165" s="77">
        <f t="shared" si="106"/>
        <v>0</v>
      </c>
      <c r="Q165" s="77">
        <v>0</v>
      </c>
      <c r="R165" s="77">
        <v>0</v>
      </c>
      <c r="S165" s="77">
        <v>0</v>
      </c>
      <c r="T165" s="77">
        <f t="shared" si="108"/>
        <v>0</v>
      </c>
      <c r="U165" s="77">
        <f t="shared" si="109"/>
        <v>0</v>
      </c>
    </row>
    <row r="166" spans="1:21" ht="18.75" hidden="1" x14ac:dyDescent="0.25">
      <c r="A166" s="257"/>
      <c r="B166" s="258"/>
      <c r="C166" s="258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3">
        <f ca="1">IFERROR(__xludf.DUMMYFUNCTION("IMPORTRANGE(""https://docs.google.com/spreadsheets/d/1-uDff_7J0KD5mKrp0Vvzr7lt3OU09vwQwhkpOPPYv2Y/edit?usp=sharing"",""งบพรบ!CD63"")"),0)</f>
        <v>0</v>
      </c>
      <c r="M166" s="74">
        <f ca="1">IFERROR(__xludf.DUMMYFUNCTION("IMPORTRANGE(""https://docs.google.com/spreadsheets/d/1-uDff_7J0KD5mKrp0Vvzr7lt3OU09vwQwhkpOPPYv2Y/edit?usp=sharing"",""งบพรบ!CG63"")"),0)</f>
        <v>0</v>
      </c>
      <c r="N166" s="74">
        <f ca="1">IFERROR(__xludf.DUMMYFUNCTION("IMPORTRANGE(""https://docs.google.com/spreadsheets/d/1-uDff_7J0KD5mKrp0Vvzr7lt3OU09vwQwhkpOPPYv2Y/edit?usp=sharing"",""งบพรบ!CI63"")"),0)</f>
        <v>0</v>
      </c>
      <c r="O166" s="74">
        <f t="shared" ca="1" si="105"/>
        <v>0</v>
      </c>
      <c r="P166" s="74">
        <f t="shared" ca="1" si="106"/>
        <v>0</v>
      </c>
      <c r="Q166" s="74">
        <v>0</v>
      </c>
      <c r="R166" s="74">
        <v>0</v>
      </c>
      <c r="S166" s="74">
        <v>0</v>
      </c>
      <c r="T166" s="74">
        <f t="shared" si="108"/>
        <v>0</v>
      </c>
      <c r="U166" s="74">
        <f t="shared" si="109"/>
        <v>0</v>
      </c>
    </row>
    <row r="167" spans="1:21" ht="19.5" hidden="1" x14ac:dyDescent="0.3">
      <c r="A167" s="276"/>
      <c r="B167" s="277"/>
      <c r="C167" s="259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hidden="1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IFERROR(__xludf.DUMMYFUNCTION("IMPORTRANGE(""https://docs.google.com/spreadsheets/d/1eHaY18a8A9IcSdp1K8H6x8fbOy06t2VsZHhMHf-1x7Y/edit?usp=sharing"",""แผน!Z63"")"),0)</f>
        <v>0</v>
      </c>
      <c r="J168" s="294">
        <v>0</v>
      </c>
      <c r="K168" s="74">
        <f t="shared" ref="K168:K170" ca="1" si="116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IFERROR(__xludf.DUMMYFUNCTION("IMPORTRANGE(""https://docs.google.com/spreadsheets/d/1eHaY18a8A9IcSdp1K8H6x8fbOy06t2VsZHhMHf-1x7Y/edit?usp=sharing"",""แผน!Z63"")"),0)</f>
        <v>0</v>
      </c>
      <c r="J169" s="910">
        <v>0</v>
      </c>
      <c r="K169" s="77">
        <f t="shared" ca="1" si="116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IFERROR(__xludf.DUMMYFUNCTION("IMPORTRANGE(""https://docs.google.com/spreadsheets/d/1eHaY18a8A9IcSdp1K8H6x8fbOy06t2VsZHhMHf-1x7Y/edit?usp=sharing"",""แผน!Z63"")"),0)</f>
        <v>0</v>
      </c>
      <c r="J170" s="999">
        <v>0</v>
      </c>
      <c r="K170" s="1000">
        <f t="shared" ca="1" si="116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6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302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303" t="s">
        <v>35</v>
      </c>
      <c r="I173" s="1126">
        <f t="shared" ref="I173:J173" ca="1" si="117">I184+I185</f>
        <v>7</v>
      </c>
      <c r="J173" s="1126">
        <f t="shared" si="117"/>
        <v>0</v>
      </c>
      <c r="K173" s="1127">
        <f ca="1">IF(I173&gt;0,J173*100/I173,0)</f>
        <v>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1257">
        <f t="shared" ref="L174:N174" ca="1" si="118">L175+L176</f>
        <v>19590</v>
      </c>
      <c r="M174" s="264">
        <f t="shared" ca="1" si="118"/>
        <v>36130</v>
      </c>
      <c r="N174" s="264">
        <f t="shared" ca="1" si="118"/>
        <v>18440</v>
      </c>
      <c r="O174" s="264">
        <f t="shared" ref="O174:O182" ca="1" si="119">IF(L174&gt;0,N174*100/L174,0)</f>
        <v>94.129657988769779</v>
      </c>
      <c r="P174" s="264">
        <f t="shared" ref="P174:P182" ca="1" si="120">IF(M174&gt;0,N174*100/M174,0)</f>
        <v>51.037918627179629</v>
      </c>
      <c r="Q174" s="264">
        <f t="shared" ref="Q174:S174" ca="1" si="121">Q175+Q176</f>
        <v>0</v>
      </c>
      <c r="R174" s="264">
        <f t="shared" ca="1" si="121"/>
        <v>0</v>
      </c>
      <c r="S174" s="264">
        <f t="shared" ca="1" si="121"/>
        <v>0</v>
      </c>
      <c r="T174" s="264">
        <f t="shared" ref="T174:T182" ca="1" si="122">IF(Q174&gt;0,S174*100/Q174,0)</f>
        <v>0</v>
      </c>
      <c r="U174" s="264">
        <f t="shared" ref="U174:U182" ca="1" si="123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6">
        <f t="shared" ref="L175:N176" si="124">L178+L181</f>
        <v>0</v>
      </c>
      <c r="M175" s="77">
        <f t="shared" si="124"/>
        <v>0</v>
      </c>
      <c r="N175" s="77">
        <f t="shared" si="124"/>
        <v>0</v>
      </c>
      <c r="O175" s="77">
        <f t="shared" si="119"/>
        <v>0</v>
      </c>
      <c r="P175" s="77">
        <f t="shared" si="120"/>
        <v>0</v>
      </c>
      <c r="Q175" s="77">
        <f t="shared" ref="Q175:S176" si="125">Q178+Q181</f>
        <v>0</v>
      </c>
      <c r="R175" s="77">
        <f t="shared" si="125"/>
        <v>0</v>
      </c>
      <c r="S175" s="77">
        <f t="shared" si="125"/>
        <v>0</v>
      </c>
      <c r="T175" s="77">
        <f t="shared" si="122"/>
        <v>0</v>
      </c>
      <c r="U175" s="77">
        <f t="shared" si="123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3">
        <f t="shared" ca="1" si="124"/>
        <v>19590</v>
      </c>
      <c r="M176" s="74">
        <f t="shared" ca="1" si="124"/>
        <v>36130</v>
      </c>
      <c r="N176" s="74">
        <f t="shared" ca="1" si="124"/>
        <v>18440</v>
      </c>
      <c r="O176" s="74">
        <f t="shared" ca="1" si="119"/>
        <v>94.129657988769779</v>
      </c>
      <c r="P176" s="74">
        <f t="shared" ca="1" si="120"/>
        <v>51.037918627179629</v>
      </c>
      <c r="Q176" s="74">
        <f t="shared" ca="1" si="125"/>
        <v>0</v>
      </c>
      <c r="R176" s="74">
        <f t="shared" ca="1" si="125"/>
        <v>0</v>
      </c>
      <c r="S176" s="74">
        <f t="shared" ca="1" si="125"/>
        <v>0</v>
      </c>
      <c r="T176" s="74">
        <f t="shared" ca="1" si="122"/>
        <v>0</v>
      </c>
      <c r="U176" s="74">
        <f t="shared" ca="1" si="123"/>
        <v>0</v>
      </c>
    </row>
    <row r="177" spans="1:21" ht="18.75" x14ac:dyDescent="0.25">
      <c r="A177" s="257"/>
      <c r="B177" s="258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3">
        <f t="shared" ref="L177:N177" ca="1" si="126">L178+L179</f>
        <v>19590</v>
      </c>
      <c r="M177" s="74">
        <f t="shared" ca="1" si="126"/>
        <v>36130</v>
      </c>
      <c r="N177" s="74">
        <f t="shared" ca="1" si="126"/>
        <v>18440</v>
      </c>
      <c r="O177" s="74">
        <f t="shared" ca="1" si="119"/>
        <v>94.129657988769779</v>
      </c>
      <c r="P177" s="74">
        <f t="shared" ca="1" si="120"/>
        <v>51.037918627179629</v>
      </c>
      <c r="Q177" s="74">
        <f t="shared" ref="Q177:S177" ca="1" si="127">Q178+Q179</f>
        <v>0</v>
      </c>
      <c r="R177" s="74">
        <f t="shared" ca="1" si="127"/>
        <v>0</v>
      </c>
      <c r="S177" s="74">
        <f t="shared" ca="1" si="127"/>
        <v>0</v>
      </c>
      <c r="T177" s="74">
        <f t="shared" ca="1" si="122"/>
        <v>0</v>
      </c>
      <c r="U177" s="74">
        <f t="shared" ca="1" si="123"/>
        <v>0</v>
      </c>
    </row>
    <row r="178" spans="1:21" ht="18.75" hidden="1" x14ac:dyDescent="0.25">
      <c r="A178" s="257"/>
      <c r="B178" s="258"/>
      <c r="C178" s="258"/>
      <c r="D178" s="258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77">
        <f t="shared" si="119"/>
        <v>0</v>
      </c>
      <c r="P178" s="77">
        <f t="shared" si="120"/>
        <v>0</v>
      </c>
      <c r="Q178" s="77">
        <v>0</v>
      </c>
      <c r="R178" s="77">
        <v>0</v>
      </c>
      <c r="S178" s="77">
        <v>0</v>
      </c>
      <c r="T178" s="77">
        <f t="shared" si="122"/>
        <v>0</v>
      </c>
      <c r="U178" s="77">
        <f t="shared" si="123"/>
        <v>0</v>
      </c>
    </row>
    <row r="179" spans="1:21" ht="18.75" hidden="1" x14ac:dyDescent="0.25">
      <c r="A179" s="257"/>
      <c r="B179" s="258"/>
      <c r="C179" s="258"/>
      <c r="D179" s="258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3">
        <f ca="1">IFERROR(__xludf.DUMMYFUNCTION("IMPORTRANGE(""https://docs.google.com/spreadsheets/d/1-uDff_7J0KD5mKrp0Vvzr7lt3OU09vwQwhkpOPPYv2Y/edit?usp=sharing"",""งบพรบ!CK63"")"),19590)</f>
        <v>19590</v>
      </c>
      <c r="M179" s="74">
        <f ca="1">IFERROR(__xludf.DUMMYFUNCTION("IMPORTRANGE(""https://docs.google.com/spreadsheets/d/1-uDff_7J0KD5mKrp0Vvzr7lt3OU09vwQwhkpOPPYv2Y/edit?usp=sharing"",""งบพรบ!CP63"")"),36130)</f>
        <v>36130</v>
      </c>
      <c r="N179" s="74">
        <f ca="1">IFERROR(__xludf.DUMMYFUNCTION("IMPORTRANGE(""https://docs.google.com/spreadsheets/d/1-uDff_7J0KD5mKrp0Vvzr7lt3OU09vwQwhkpOPPYv2Y/edit?usp=sharing"",""งบพรบ!CR63"")"),18440)</f>
        <v>18440</v>
      </c>
      <c r="O179" s="74">
        <f t="shared" ca="1" si="119"/>
        <v>94.129657988769779</v>
      </c>
      <c r="P179" s="74">
        <f t="shared" ca="1" si="120"/>
        <v>51.037918627179629</v>
      </c>
      <c r="Q179" s="74">
        <f ca="1">IFERROR(__xludf.DUMMYFUNCTION("IMPORTRANGE(""https://docs.google.com/spreadsheets/d/1ItG2mGa2ceCfYo0BwxsXqNm01IGEUdYcSSLTEv9YCik/edit?usp=sharing"",""เบิกจ่ายกองทุน!BE63"")"),0)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IFERROR(__xludf.DUMMYFUNCTION("IMPORTRANGE(""https://docs.google.com/spreadsheets/d/1ItG2mGa2ceCfYo0BwxsXqNm01IGEUdYcSSLTEv9YCik/edit?usp=sharing"",""เบิกจ่ายกองทุน!BF63"")"),0)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IFERROR(__xludf.DUMMYFUNCTION("IMPORTRANGE(""https://docs.google.com/spreadsheets/d/1ItG2mGa2ceCfYo0BwxsXqNm01IGEUdYcSSLTEv9YCik/edit?usp=sharing"",""เบิกจ่ายกองทุน!BG63"")"),0)</f>
        <v>0</v>
      </c>
      <c r="T179" s="74">
        <f t="shared" ca="1" si="122"/>
        <v>0</v>
      </c>
      <c r="U179" s="74">
        <f t="shared" ca="1" si="123"/>
        <v>0</v>
      </c>
    </row>
    <row r="180" spans="1:21" ht="18.75" x14ac:dyDescent="0.25">
      <c r="A180" s="257"/>
      <c r="B180" s="258"/>
      <c r="C180" s="258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3">
        <f t="shared" ref="L180:N180" ca="1" si="128">L181+L182</f>
        <v>0</v>
      </c>
      <c r="M180" s="74">
        <f t="shared" ca="1" si="128"/>
        <v>0</v>
      </c>
      <c r="N180" s="74">
        <f t="shared" ca="1" si="128"/>
        <v>0</v>
      </c>
      <c r="O180" s="74">
        <f t="shared" ca="1" si="119"/>
        <v>0</v>
      </c>
      <c r="P180" s="74">
        <f t="shared" ca="1" si="120"/>
        <v>0</v>
      </c>
      <c r="Q180" s="74">
        <f t="shared" ref="Q180:S180" si="129">Q181+Q182</f>
        <v>0</v>
      </c>
      <c r="R180" s="74">
        <f t="shared" si="129"/>
        <v>0</v>
      </c>
      <c r="S180" s="74">
        <f t="shared" si="129"/>
        <v>0</v>
      </c>
      <c r="T180" s="74">
        <f t="shared" si="122"/>
        <v>0</v>
      </c>
      <c r="U180" s="74">
        <f t="shared" si="123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77">
        <f t="shared" si="119"/>
        <v>0</v>
      </c>
      <c r="P181" s="77">
        <f t="shared" si="120"/>
        <v>0</v>
      </c>
      <c r="Q181" s="77">
        <v>0</v>
      </c>
      <c r="R181" s="77">
        <v>0</v>
      </c>
      <c r="S181" s="77">
        <v>0</v>
      </c>
      <c r="T181" s="77">
        <f t="shared" si="122"/>
        <v>0</v>
      </c>
      <c r="U181" s="77">
        <f t="shared" si="123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3">
        <f ca="1">IFERROR(__xludf.DUMMYFUNCTION("IMPORTRANGE(""https://docs.google.com/spreadsheets/d/1-uDff_7J0KD5mKrp0Vvzr7lt3OU09vwQwhkpOPPYv2Y/edit?usp=sharing"",""งบพรบ!CN63"")"),0)</f>
        <v>0</v>
      </c>
      <c r="M182" s="74">
        <f ca="1">IFERROR(__xludf.DUMMYFUNCTION("IMPORTRANGE(""https://docs.google.com/spreadsheets/d/1-uDff_7J0KD5mKrp0Vvzr7lt3OU09vwQwhkpOPPYv2Y/edit?usp=sharing"",""งบพรบ!CQ63"")"),0)</f>
        <v>0</v>
      </c>
      <c r="N182" s="74">
        <f ca="1">IFERROR(__xludf.DUMMYFUNCTION("IMPORTRANGE(""https://docs.google.com/spreadsheets/d/1-uDff_7J0KD5mKrp0Vvzr7lt3OU09vwQwhkpOPPYv2Y/edit?usp=sharing"",""งบพรบ!CS63"")"),0)</f>
        <v>0</v>
      </c>
      <c r="O182" s="74">
        <f t="shared" ca="1" si="119"/>
        <v>0</v>
      </c>
      <c r="P182" s="74">
        <f t="shared" ca="1" si="120"/>
        <v>0</v>
      </c>
      <c r="Q182" s="74">
        <v>0</v>
      </c>
      <c r="R182" s="74">
        <v>0</v>
      </c>
      <c r="S182" s="74">
        <v>0</v>
      </c>
      <c r="T182" s="74">
        <f t="shared" si="122"/>
        <v>0</v>
      </c>
      <c r="U182" s="74">
        <f t="shared" si="123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551" t="s">
        <v>35</v>
      </c>
      <c r="I184" s="293">
        <f ca="1">IFERROR(__xludf.DUMMYFUNCTION("IMPORTRANGE(""https://docs.google.com/spreadsheets/d/1eHaY18a8A9IcSdp1K8H6x8fbOy06t2VsZHhMHf-1x7Y/edit?usp=sharing"",""แผน!AA63"")"),7)</f>
        <v>7</v>
      </c>
      <c r="J184" s="294">
        <v>0</v>
      </c>
      <c r="K184" s="74">
        <f t="shared" ref="K184:K186" ca="1" si="130">IF(I184&gt;0,J184*100/I184,0)</f>
        <v>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921" t="s">
        <v>35</v>
      </c>
      <c r="I185" s="592">
        <v>0</v>
      </c>
      <c r="J185" s="592">
        <v>0</v>
      </c>
      <c r="K185" s="77">
        <f t="shared" si="130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303" t="s">
        <v>35</v>
      </c>
      <c r="I186" s="1126">
        <f t="shared" ref="I186:J186" ca="1" si="131">I231+I232</f>
        <v>20</v>
      </c>
      <c r="J186" s="1126">
        <f t="shared" si="131"/>
        <v>0</v>
      </c>
      <c r="K186" s="1127">
        <f t="shared" ca="1" si="130"/>
        <v>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1257">
        <f t="shared" ref="L187:N187" ca="1" si="132">L188+L189</f>
        <v>78100</v>
      </c>
      <c r="M187" s="264">
        <f t="shared" ca="1" si="132"/>
        <v>65260</v>
      </c>
      <c r="N187" s="264">
        <f t="shared" ca="1" si="132"/>
        <v>20360</v>
      </c>
      <c r="O187" s="264">
        <f t="shared" ref="O187:O195" ca="1" si="133">IF(L187&gt;0,N187*100/L187,0)</f>
        <v>26.069142125480155</v>
      </c>
      <c r="P187" s="264">
        <f t="shared" ref="P187:P195" ca="1" si="134">IF(M187&gt;0,N187*100/M187,0)</f>
        <v>31.198283787925224</v>
      </c>
      <c r="Q187" s="264">
        <f t="shared" ref="Q187:S187" ca="1" si="135">Q188+Q189</f>
        <v>42000</v>
      </c>
      <c r="R187" s="264">
        <f t="shared" ca="1" si="135"/>
        <v>42000</v>
      </c>
      <c r="S187" s="264">
        <f t="shared" ca="1" si="135"/>
        <v>0</v>
      </c>
      <c r="T187" s="264">
        <f t="shared" ref="T187:T195" ca="1" si="136">IF(Q187&gt;0,S187*100/Q187,0)</f>
        <v>0</v>
      </c>
      <c r="U187" s="264">
        <f t="shared" ref="U187:U195" ca="1" si="137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6">
        <f t="shared" ref="L188:N189" si="138">L191+L194</f>
        <v>0</v>
      </c>
      <c r="M188" s="77">
        <f t="shared" si="138"/>
        <v>0</v>
      </c>
      <c r="N188" s="77">
        <f t="shared" si="138"/>
        <v>0</v>
      </c>
      <c r="O188" s="77">
        <f t="shared" si="133"/>
        <v>0</v>
      </c>
      <c r="P188" s="77">
        <f t="shared" si="134"/>
        <v>0</v>
      </c>
      <c r="Q188" s="77">
        <f t="shared" ref="Q188:S189" si="139">Q191+Q194</f>
        <v>0</v>
      </c>
      <c r="R188" s="77">
        <f t="shared" si="139"/>
        <v>0</v>
      </c>
      <c r="S188" s="77">
        <f t="shared" si="139"/>
        <v>0</v>
      </c>
      <c r="T188" s="77">
        <f t="shared" si="136"/>
        <v>0</v>
      </c>
      <c r="U188" s="77">
        <f t="shared" si="137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3">
        <f t="shared" ca="1" si="138"/>
        <v>78100</v>
      </c>
      <c r="M189" s="74">
        <f t="shared" ca="1" si="138"/>
        <v>65260</v>
      </c>
      <c r="N189" s="74">
        <f t="shared" ca="1" si="138"/>
        <v>20360</v>
      </c>
      <c r="O189" s="74">
        <f t="shared" ca="1" si="133"/>
        <v>26.069142125480155</v>
      </c>
      <c r="P189" s="74">
        <f t="shared" ca="1" si="134"/>
        <v>31.198283787925224</v>
      </c>
      <c r="Q189" s="74">
        <f t="shared" ca="1" si="139"/>
        <v>42000</v>
      </c>
      <c r="R189" s="74">
        <f t="shared" ca="1" si="139"/>
        <v>42000</v>
      </c>
      <c r="S189" s="74">
        <f t="shared" ca="1" si="139"/>
        <v>0</v>
      </c>
      <c r="T189" s="74">
        <f t="shared" ca="1" si="136"/>
        <v>0</v>
      </c>
      <c r="U189" s="74">
        <f t="shared" ca="1" si="137"/>
        <v>0</v>
      </c>
    </row>
    <row r="190" spans="1:21" ht="18.75" x14ac:dyDescent="0.25">
      <c r="A190" s="257"/>
      <c r="B190" s="258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3">
        <f t="shared" ref="L190:N190" ca="1" si="140">L191+L192</f>
        <v>78100</v>
      </c>
      <c r="M190" s="74">
        <f t="shared" ca="1" si="140"/>
        <v>65260</v>
      </c>
      <c r="N190" s="74">
        <f t="shared" ca="1" si="140"/>
        <v>20360</v>
      </c>
      <c r="O190" s="74">
        <f t="shared" ca="1" si="133"/>
        <v>26.069142125480155</v>
      </c>
      <c r="P190" s="74">
        <f t="shared" ca="1" si="134"/>
        <v>31.198283787925224</v>
      </c>
      <c r="Q190" s="74">
        <f t="shared" ref="Q190:S190" ca="1" si="141">Q191+Q192</f>
        <v>42000</v>
      </c>
      <c r="R190" s="74">
        <f t="shared" ca="1" si="141"/>
        <v>42000</v>
      </c>
      <c r="S190" s="74">
        <f t="shared" ca="1" si="141"/>
        <v>0</v>
      </c>
      <c r="T190" s="74">
        <f t="shared" ca="1" si="136"/>
        <v>0</v>
      </c>
      <c r="U190" s="74">
        <f t="shared" ca="1" si="137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77">
        <f t="shared" si="133"/>
        <v>0</v>
      </c>
      <c r="P191" s="77">
        <f t="shared" si="134"/>
        <v>0</v>
      </c>
      <c r="Q191" s="77">
        <v>0</v>
      </c>
      <c r="R191" s="77">
        <v>0</v>
      </c>
      <c r="S191" s="77">
        <v>0</v>
      </c>
      <c r="T191" s="77">
        <f t="shared" si="136"/>
        <v>0</v>
      </c>
      <c r="U191" s="77">
        <f t="shared" si="137"/>
        <v>0</v>
      </c>
    </row>
    <row r="192" spans="1:21" ht="18.75" hidden="1" x14ac:dyDescent="0.25">
      <c r="A192" s="257"/>
      <c r="B192" s="258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3">
        <f ca="1">IFERROR(__xludf.DUMMYFUNCTION("IMPORTRANGE(""https://docs.google.com/spreadsheets/d/1-uDff_7J0KD5mKrp0Vvzr7lt3OU09vwQwhkpOPPYv2Y/edit?usp=sharing"",""งบพรบ!CU63"")"),78100)</f>
        <v>78100</v>
      </c>
      <c r="M192" s="74">
        <f ca="1">IFERROR(__xludf.DUMMYFUNCTION("IMPORTRANGE(""https://docs.google.com/spreadsheets/d/1-uDff_7J0KD5mKrp0Vvzr7lt3OU09vwQwhkpOPPYv2Y/edit?usp=sharing"",""งบพรบ!CZ63"")"),65260)</f>
        <v>65260</v>
      </c>
      <c r="N192" s="74">
        <f ca="1">IFERROR(__xludf.DUMMYFUNCTION("IMPORTRANGE(""https://docs.google.com/spreadsheets/d/1-uDff_7J0KD5mKrp0Vvzr7lt3OU09vwQwhkpOPPYv2Y/edit?usp=sharing"",""งบพรบ!DB63"")"),20360)</f>
        <v>20360</v>
      </c>
      <c r="O192" s="74">
        <f t="shared" ca="1" si="133"/>
        <v>26.069142125480155</v>
      </c>
      <c r="P192" s="74">
        <f t="shared" ca="1" si="134"/>
        <v>31.198283787925224</v>
      </c>
      <c r="Q192" s="74">
        <f ca="1">IFERROR(__xludf.DUMMYFUNCTION("IMPORTRANGE(""https://docs.google.com/spreadsheets/d/1ItG2mGa2ceCfYo0BwxsXqNm01IGEUdYcSSLTEv9YCik/edit?usp=sharing"",""เบิกจ่ายกองทุน!AV63"")"),42000)</f>
        <v>42000</v>
      </c>
      <c r="R192" s="74">
        <f ca="1">IFERROR(__xludf.DUMMYFUNCTION("IMPORTRANGE(""https://docs.google.com/spreadsheets/d/1ItG2mGa2ceCfYo0BwxsXqNm01IGEUdYcSSLTEv9YCik/edit?usp=sharing"",""เบิกจ่ายกองทุน!AW63"")"),42000)</f>
        <v>42000</v>
      </c>
      <c r="S192" s="74">
        <f ca="1">IFERROR(__xludf.DUMMYFUNCTION("IMPORTRANGE(""https://docs.google.com/spreadsheets/d/1ItG2mGa2ceCfYo0BwxsXqNm01IGEUdYcSSLTEv9YCik/edit?usp=sharing"",""เบิกจ่ายกองทุน!AX63"")"),0)</f>
        <v>0</v>
      </c>
      <c r="T192" s="74">
        <f t="shared" ca="1" si="136"/>
        <v>0</v>
      </c>
      <c r="U192" s="74">
        <f t="shared" ca="1" si="137"/>
        <v>0</v>
      </c>
    </row>
    <row r="193" spans="1:21" ht="18.75" x14ac:dyDescent="0.25">
      <c r="A193" s="257"/>
      <c r="B193" s="258"/>
      <c r="C193" s="258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3">
        <f t="shared" ref="L193:N193" ca="1" si="142">L194+L195</f>
        <v>0</v>
      </c>
      <c r="M193" s="74">
        <f t="shared" ca="1" si="142"/>
        <v>0</v>
      </c>
      <c r="N193" s="74">
        <f t="shared" ca="1" si="142"/>
        <v>0</v>
      </c>
      <c r="O193" s="74">
        <f t="shared" ca="1" si="133"/>
        <v>0</v>
      </c>
      <c r="P193" s="74">
        <f t="shared" ca="1" si="134"/>
        <v>0</v>
      </c>
      <c r="Q193" s="74">
        <f t="shared" ref="Q193:S193" si="143">Q194+Q195</f>
        <v>0</v>
      </c>
      <c r="R193" s="74">
        <f t="shared" si="143"/>
        <v>0</v>
      </c>
      <c r="S193" s="74">
        <f t="shared" si="143"/>
        <v>0</v>
      </c>
      <c r="T193" s="74">
        <f t="shared" si="136"/>
        <v>0</v>
      </c>
      <c r="U193" s="74">
        <f t="shared" si="137"/>
        <v>0</v>
      </c>
    </row>
    <row r="194" spans="1:21" ht="18.75" hidden="1" x14ac:dyDescent="0.25">
      <c r="A194" s="257"/>
      <c r="B194" s="258"/>
      <c r="C194" s="258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77">
        <f t="shared" si="133"/>
        <v>0</v>
      </c>
      <c r="P194" s="77">
        <f t="shared" si="134"/>
        <v>0</v>
      </c>
      <c r="Q194" s="77">
        <v>0</v>
      </c>
      <c r="R194" s="77">
        <v>0</v>
      </c>
      <c r="S194" s="77">
        <v>0</v>
      </c>
      <c r="T194" s="77">
        <f t="shared" si="136"/>
        <v>0</v>
      </c>
      <c r="U194" s="77">
        <f t="shared" si="137"/>
        <v>0</v>
      </c>
    </row>
    <row r="195" spans="1:21" ht="18.75" hidden="1" x14ac:dyDescent="0.25">
      <c r="A195" s="257"/>
      <c r="B195" s="258"/>
      <c r="C195" s="258"/>
      <c r="D195" s="258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3">
        <f ca="1">IFERROR(__xludf.DUMMYFUNCTION("IMPORTRANGE(""https://docs.google.com/spreadsheets/d/1-uDff_7J0KD5mKrp0Vvzr7lt3OU09vwQwhkpOPPYv2Y/edit?usp=sharing"",""งบพรบ!CX63"")"),0)</f>
        <v>0</v>
      </c>
      <c r="M195" s="74">
        <f ca="1">IFERROR(__xludf.DUMMYFUNCTION("IMPORTRANGE(""https://docs.google.com/spreadsheets/d/1-uDff_7J0KD5mKrp0Vvzr7lt3OU09vwQwhkpOPPYv2Y/edit?usp=sharing"",""งบพรบ!DA63"")"),0)</f>
        <v>0</v>
      </c>
      <c r="N195" s="74">
        <f ca="1">IFERROR(__xludf.DUMMYFUNCTION("IMPORTRANGE(""https://docs.google.com/spreadsheets/d/1-uDff_7J0KD5mKrp0Vvzr7lt3OU09vwQwhkpOPPYv2Y/edit?usp=sharing"",""งบพรบ!DC63"")"),0)</f>
        <v>0</v>
      </c>
      <c r="O195" s="74">
        <f t="shared" ca="1" si="133"/>
        <v>0</v>
      </c>
      <c r="P195" s="74">
        <f t="shared" ca="1" si="134"/>
        <v>0</v>
      </c>
      <c r="Q195" s="74">
        <v>0</v>
      </c>
      <c r="R195" s="74">
        <v>0</v>
      </c>
      <c r="S195" s="74">
        <v>0</v>
      </c>
      <c r="T195" s="74">
        <f t="shared" si="136"/>
        <v>0</v>
      </c>
      <c r="U195" s="74">
        <f t="shared" si="137"/>
        <v>0</v>
      </c>
    </row>
    <row r="196" spans="1:21" ht="19.5" x14ac:dyDescent="0.3">
      <c r="A196" s="553"/>
      <c r="B196" s="555"/>
      <c r="C196" s="1130" t="s">
        <v>78</v>
      </c>
      <c r="D196" s="554"/>
      <c r="E196" s="554"/>
      <c r="F196" s="554"/>
      <c r="G196" s="557"/>
      <c r="H196" s="558" t="s">
        <v>79</v>
      </c>
      <c r="I196" s="559">
        <f t="shared" ref="I196:J196" ca="1" si="144">I199</f>
        <v>4</v>
      </c>
      <c r="J196" s="559">
        <f t="shared" si="144"/>
        <v>0</v>
      </c>
      <c r="K196" s="560">
        <f ca="1">IF(I196&gt;0,J196*100/I196,0)</f>
        <v>0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58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1257">
        <f ca="1">IFERROR(__xludf.DUMMYFUNCTION("IMPORTRANGE(""https://docs.google.com/spreadsheets/d/1eHaY18a8A9IcSdp1K8H6x8fbOy06t2VsZHhMHf-1x7Y/edit?usp=sharing"",""แผน!AB63"")"),6000)</f>
        <v>6000</v>
      </c>
      <c r="M197" s="87"/>
      <c r="N197" s="923">
        <v>0</v>
      </c>
      <c r="O197" s="264">
        <f ca="1">IF(L197&gt;0,N197*100/L197,0)</f>
        <v>0</v>
      </c>
      <c r="P197" s="264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282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99" t="s">
        <v>79</v>
      </c>
      <c r="I199" s="293">
        <f ca="1">IFERROR(__xludf.DUMMYFUNCTION("IMPORTRANGE(""https://docs.google.com/spreadsheets/d/1eHaY18a8A9IcSdp1K8H6x8fbOy06t2VsZHhMHf-1x7Y/edit?usp=sharing"",""แผน!AE63"")"),4)</f>
        <v>4</v>
      </c>
      <c r="J199" s="294">
        <v>0</v>
      </c>
      <c r="K199" s="74">
        <f ca="1">IF(I199&gt;0,J199*100/I199,0)</f>
        <v>0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0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0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5">I210</f>
        <v>2</v>
      </c>
      <c r="J203" s="559">
        <f t="shared" si="145"/>
        <v>0</v>
      </c>
      <c r="K203" s="560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58"/>
      <c r="C204" s="259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1257">
        <f ca="1">L205+L206+L207+L208</f>
        <v>26000</v>
      </c>
      <c r="M204" s="87"/>
      <c r="N204" s="264">
        <f>N205+N206+N207+N208</f>
        <v>0</v>
      </c>
      <c r="O204" s="264">
        <f ca="1">IF(L204&gt;0,N204*100/L204,0)</f>
        <v>0</v>
      </c>
      <c r="P204" s="264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58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73">
        <f ca="1">IFERROR(__xludf.DUMMYFUNCTION("IMPORTRANGE(""https://docs.google.com/spreadsheets/d/1eHaY18a8A9IcSdp1K8H6x8fbOy06t2VsZHhMHf-1x7Y/edit?usp=sharing"",""แผน!AG63"")"),2000)</f>
        <v>2000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58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73">
        <f ca="1">IFERROR(__xludf.DUMMYFUNCTION("IMPORTRANGE(""https://docs.google.com/spreadsheets/d/1eHaY18a8A9IcSdp1K8H6x8fbOy06t2VsZHhMHf-1x7Y/edit?usp=sharing"",""แผน!AH63"")"),0)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58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73">
        <f ca="1">IFERROR(__xludf.DUMMYFUNCTION("IMPORTRANGE(""https://docs.google.com/spreadsheets/d/1eHaY18a8A9IcSdp1K8H6x8fbOy06t2VsZHhMHf-1x7Y/edit?usp=sharing"",""แผน!AI63"")"),16000)</f>
        <v>16000</v>
      </c>
      <c r="M207" s="87"/>
      <c r="N207" s="924">
        <v>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58"/>
      <c r="D208" s="267" t="s">
        <v>89</v>
      </c>
      <c r="E208" s="258"/>
      <c r="F208" s="258"/>
      <c r="G208" s="261"/>
      <c r="H208" s="292" t="s">
        <v>14</v>
      </c>
      <c r="I208" s="263"/>
      <c r="J208" s="263"/>
      <c r="K208" s="87"/>
      <c r="L208" s="73">
        <f ca="1">IFERROR(__xludf.DUMMYFUNCTION("IMPORTRANGE(""https://docs.google.com/spreadsheets/d/1eHaY18a8A9IcSdp1K8H6x8fbOy06t2VsZHhMHf-1x7Y/edit?usp=sharing"",""แผน!AJ63"")"),8000)</f>
        <v>8000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282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3" t="s">
        <v>85</v>
      </c>
      <c r="I210" s="293">
        <f ca="1">IFERROR(__xludf.DUMMYFUNCTION("IMPORTRANGE(""https://docs.google.com/spreadsheets/d/1eHaY18a8A9IcSdp1K8H6x8fbOy06t2VsZHhMHf-1x7Y/edit?usp=sharing"",""แผน!AK63"")"),2)</f>
        <v>2</v>
      </c>
      <c r="J210" s="294">
        <v>0</v>
      </c>
      <c r="K210" s="768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282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3" t="s">
        <v>85</v>
      </c>
      <c r="I212" s="293">
        <f ca="1">IFERROR(__xludf.DUMMYFUNCTION("IMPORTRANGE(""https://docs.google.com/spreadsheets/d/1eHaY18a8A9IcSdp1K8H6x8fbOy06t2VsZHhMHf-1x7Y/edit?usp=sharing"",""แผน!JX63"")"),2)</f>
        <v>2</v>
      </c>
      <c r="J212" s="294">
        <v>0</v>
      </c>
      <c r="K212" s="768">
        <f t="shared" ref="K212:K214" ca="1" si="146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IFERROR(__xludf.DUMMYFUNCTION("IMPORTRANGE(""https://docs.google.com/spreadsheets/d/1eHaY18a8A9IcSdp1K8H6x8fbOy06t2VsZHhMHf-1x7Y/edit?usp=sharing"",""แผน!JY63"")"),0)</f>
        <v>0</v>
      </c>
      <c r="J213" s="294">
        <v>0</v>
      </c>
      <c r="K213" s="768">
        <f t="shared" ca="1" si="146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hidden="1" x14ac:dyDescent="0.3">
      <c r="A214" s="553"/>
      <c r="B214" s="555"/>
      <c r="C214" s="1130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7">I221</f>
        <v>0</v>
      </c>
      <c r="J214" s="559">
        <f t="shared" si="147"/>
        <v>0</v>
      </c>
      <c r="K214" s="560">
        <f t="shared" ca="1" si="146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hidden="1" x14ac:dyDescent="0.3">
      <c r="A215" s="257"/>
      <c r="B215" s="258"/>
      <c r="C215" s="259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1257">
        <f ca="1">L216+L217+L218</f>
        <v>0</v>
      </c>
      <c r="M215" s="87"/>
      <c r="N215" s="264">
        <f>N216+N217+N218</f>
        <v>0</v>
      </c>
      <c r="O215" s="264">
        <f ca="1">IF(L215&gt;0,N215*100/L215,0)</f>
        <v>0</v>
      </c>
      <c r="P215" s="264">
        <f>IF(M215&gt;0,N215*100/M215,0)</f>
        <v>0</v>
      </c>
      <c r="Q215" s="87"/>
      <c r="R215" s="87"/>
      <c r="S215" s="87"/>
      <c r="T215" s="87"/>
      <c r="U215" s="87"/>
    </row>
    <row r="216" spans="1:21" ht="18.75" hidden="1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3">
        <f ca="1">IFERROR(__xludf.DUMMYFUNCTION("IMPORTRANGE(""https://docs.google.com/spreadsheets/d/1eHaY18a8A9IcSdp1K8H6x8fbOy06t2VsZHhMHf-1x7Y/edit?usp=sharing"",""แผน!AM63"")"),0)</f>
        <v>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hidden="1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3">
        <f ca="1">IFERROR(__xludf.DUMMYFUNCTION("IMPORTRANGE(""https://docs.google.com/spreadsheets/d/1eHaY18a8A9IcSdp1K8H6x8fbOy06t2VsZHhMHf-1x7Y/edit?usp=sharing"",""แผน!AN63"")"),0)</f>
        <v>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hidden="1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3">
        <f ca="1">IFERROR(__xludf.DUMMYFUNCTION("IMPORTRANGE(""https://docs.google.com/spreadsheets/d/1eHaY18a8A9IcSdp1K8H6x8fbOy06t2VsZHhMHf-1x7Y/edit?usp=sharing"",""แผน!AO63"")"),0)</f>
        <v>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hidden="1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282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hidden="1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3" t="s">
        <v>85</v>
      </c>
      <c r="I220" s="293">
        <f ca="1">IFERROR(__xludf.DUMMYFUNCTION("IMPORTRANGE(""https://docs.google.com/spreadsheets/d/1eHaY18a8A9IcSdp1K8H6x8fbOy06t2VsZHhMHf-1x7Y/edit?usp=sharing"",""แผน!AP63"")"),0)</f>
        <v>0</v>
      </c>
      <c r="J220" s="294">
        <v>0</v>
      </c>
      <c r="K220" s="74">
        <f t="shared" ref="K220:K222" ca="1" si="148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hidden="1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IFERROR(__xludf.DUMMYFUNCTION("IMPORTRANGE(""https://docs.google.com/spreadsheets/d/1eHaY18a8A9IcSdp1K8H6x8fbOy06t2VsZHhMHf-1x7Y/edit?usp=sharing"",""แผน!AP63"")"),0)</f>
        <v>0</v>
      </c>
      <c r="J221" s="294">
        <v>0</v>
      </c>
      <c r="K221" s="74">
        <f t="shared" ca="1" si="148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30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9">I230</f>
        <v>20000</v>
      </c>
      <c r="J222" s="559">
        <f t="shared" si="149"/>
        <v>0</v>
      </c>
      <c r="K222" s="560">
        <f t="shared" ca="1" si="148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58"/>
      <c r="C223" s="259" t="s">
        <v>18</v>
      </c>
      <c r="D223" s="112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1257">
        <f ca="1">L224+L225+L226</f>
        <v>4500</v>
      </c>
      <c r="M223" s="87"/>
      <c r="N223" s="264">
        <f>N224+N225+N226</f>
        <v>0</v>
      </c>
      <c r="O223" s="264">
        <f ca="1">IF(L223&gt;0,N223*100/L223,0)</f>
        <v>0</v>
      </c>
      <c r="P223" s="264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58"/>
      <c r="D224" s="398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3">
        <f ca="1">IFERROR(__xludf.DUMMYFUNCTION("IMPORTRANGE(""https://docs.google.com/spreadsheets/d/1eHaY18a8A9IcSdp1K8H6x8fbOy06t2VsZHhMHf-1x7Y/edit?usp=sharing"",""แผน!AR63"")"),3000)</f>
        <v>3000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3">
        <f ca="1">IFERROR(__xludf.DUMMYFUNCTION("IMPORTRANGE(""https://docs.google.com/spreadsheets/d/1eHaY18a8A9IcSdp1K8H6x8fbOy06t2VsZHhMHf-1x7Y/edit?usp=sharing"",""แผน!AS63"")"),1500)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3">
        <f ca="1">IFERROR(__xludf.DUMMYFUNCTION("IMPORTRANGE(""https://docs.google.com/spreadsheets/d/1eHaY18a8A9IcSdp1K8H6x8fbOy06t2VsZHhMHf-1x7Y/edit?usp=sharing"",""แผน!AT63"")"),0)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282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282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99" t="s">
        <v>99</v>
      </c>
      <c r="I229" s="293">
        <f ca="1">IFERROR(__xludf.DUMMYFUNCTION("IMPORTRANGE(""https://docs.google.com/spreadsheets/d/1eHaY18a8A9IcSdp1K8H6x8fbOy06t2VsZHhMHf-1x7Y/edit?usp=sharing"",""แผน!AV63"")"),20000)</f>
        <v>20000</v>
      </c>
      <c r="J229" s="294">
        <v>0</v>
      </c>
      <c r="K229" s="768">
        <f t="shared" ref="K229:K232" ca="1" si="150">IF(I229&gt;0,J229*100/I229,0)</f>
        <v>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99" t="s">
        <v>99</v>
      </c>
      <c r="I230" s="293">
        <f ca="1">IFERROR(__xludf.DUMMYFUNCTION("IMPORTRANGE(""https://docs.google.com/spreadsheets/d/1eHaY18a8A9IcSdp1K8H6x8fbOy06t2VsZHhMHf-1x7Y/edit?usp=sharing"",""แผน!AV63"")"),20000)</f>
        <v>20000</v>
      </c>
      <c r="J230" s="294">
        <v>0</v>
      </c>
      <c r="K230" s="768">
        <f t="shared" ca="1" si="150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99" t="s">
        <v>35</v>
      </c>
      <c r="I231" s="293">
        <f ca="1">IFERROR(__xludf.DUMMYFUNCTION("IMPORTRANGE(""https://docs.google.com/spreadsheets/d/1eHaY18a8A9IcSdp1K8H6x8fbOy06t2VsZHhMHf-1x7Y/edit?usp=sharing"",""แผน!AU63"")"),0)</f>
        <v>0</v>
      </c>
      <c r="J231" s="294">
        <v>0</v>
      </c>
      <c r="K231" s="768">
        <f t="shared" ca="1" si="150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925"/>
      <c r="B232" s="926"/>
      <c r="C232" s="927" t="s">
        <v>105</v>
      </c>
      <c r="D232" s="928"/>
      <c r="E232" s="928"/>
      <c r="F232" s="928"/>
      <c r="G232" s="929"/>
      <c r="H232" s="930" t="s">
        <v>35</v>
      </c>
      <c r="I232" s="931">
        <f t="shared" ref="I232:J232" ca="1" si="151">I243+I254</f>
        <v>20</v>
      </c>
      <c r="J232" s="931">
        <f t="shared" si="151"/>
        <v>0</v>
      </c>
      <c r="K232" s="932">
        <f t="shared" ca="1" si="150"/>
        <v>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880"/>
      <c r="B233" s="838"/>
      <c r="C233" s="933" t="s">
        <v>18</v>
      </c>
      <c r="D233" s="934" t="s">
        <v>19</v>
      </c>
      <c r="E233" s="838"/>
      <c r="F233" s="838"/>
      <c r="G233" s="839"/>
      <c r="H233" s="703" t="s">
        <v>14</v>
      </c>
      <c r="I233" s="881"/>
      <c r="J233" s="881"/>
      <c r="K233" s="882"/>
      <c r="L233" s="1281">
        <f t="shared" ref="L233:L237" ca="1" si="152">L244+L255</f>
        <v>41600</v>
      </c>
      <c r="M233" s="87"/>
      <c r="N233" s="1258">
        <f t="shared" ref="N233:N237" si="153">N244+N255</f>
        <v>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880"/>
      <c r="B234" s="920"/>
      <c r="C234" s="838"/>
      <c r="D234" s="1304" t="s">
        <v>299</v>
      </c>
      <c r="E234" s="838"/>
      <c r="F234" s="838"/>
      <c r="G234" s="839"/>
      <c r="H234" s="273" t="s">
        <v>14</v>
      </c>
      <c r="I234" s="881"/>
      <c r="J234" s="881"/>
      <c r="K234" s="882"/>
      <c r="L234" s="76">
        <f t="shared" ca="1" si="152"/>
        <v>5000</v>
      </c>
      <c r="M234" s="87"/>
      <c r="N234" s="77">
        <f t="shared" si="153"/>
        <v>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919"/>
      <c r="B235" s="920"/>
      <c r="C235" s="920"/>
      <c r="D235" s="775" t="s">
        <v>87</v>
      </c>
      <c r="E235" s="838"/>
      <c r="F235" s="838"/>
      <c r="G235" s="839"/>
      <c r="H235" s="273" t="s">
        <v>14</v>
      </c>
      <c r="I235" s="841"/>
      <c r="J235" s="841"/>
      <c r="K235" s="842"/>
      <c r="L235" s="76">
        <f t="shared" ca="1" si="152"/>
        <v>2000</v>
      </c>
      <c r="M235" s="87"/>
      <c r="N235" s="77">
        <f t="shared" si="153"/>
        <v>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919"/>
      <c r="B236" s="920"/>
      <c r="C236" s="920"/>
      <c r="D236" s="775" t="s">
        <v>88</v>
      </c>
      <c r="E236" s="838"/>
      <c r="F236" s="838"/>
      <c r="G236" s="839"/>
      <c r="H236" s="273" t="s">
        <v>14</v>
      </c>
      <c r="I236" s="841"/>
      <c r="J236" s="841"/>
      <c r="K236" s="842"/>
      <c r="L236" s="76">
        <f t="shared" ca="1" si="152"/>
        <v>15600</v>
      </c>
      <c r="M236" s="87"/>
      <c r="N236" s="77">
        <f t="shared" si="153"/>
        <v>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919"/>
      <c r="B237" s="920"/>
      <c r="C237" s="920"/>
      <c r="D237" s="265" t="s">
        <v>89</v>
      </c>
      <c r="E237" s="838"/>
      <c r="F237" s="838"/>
      <c r="G237" s="839"/>
      <c r="H237" s="273" t="s">
        <v>14</v>
      </c>
      <c r="I237" s="841"/>
      <c r="J237" s="841"/>
      <c r="K237" s="842"/>
      <c r="L237" s="76">
        <f t="shared" ca="1" si="152"/>
        <v>19000</v>
      </c>
      <c r="M237" s="87"/>
      <c r="N237" s="77">
        <f t="shared" si="153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937"/>
      <c r="B238" s="938"/>
      <c r="C238" s="939" t="s">
        <v>18</v>
      </c>
      <c r="D238" s="940" t="s">
        <v>38</v>
      </c>
      <c r="E238" s="941"/>
      <c r="F238" s="941"/>
      <c r="G238" s="942"/>
      <c r="H238" s="943"/>
      <c r="I238" s="881"/>
      <c r="J238" s="841"/>
      <c r="K238" s="842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937"/>
      <c r="B239" s="938"/>
      <c r="C239" s="938"/>
      <c r="D239" s="311" t="s">
        <v>108</v>
      </c>
      <c r="E239" s="944"/>
      <c r="F239" s="944"/>
      <c r="G239" s="943"/>
      <c r="H239" s="945" t="s">
        <v>35</v>
      </c>
      <c r="I239" s="592">
        <f t="shared" ref="I239:J239" ca="1" si="154">I250+I261</f>
        <v>20</v>
      </c>
      <c r="J239" s="592">
        <f t="shared" si="154"/>
        <v>0</v>
      </c>
      <c r="K239" s="77">
        <f ca="1">IF(I239&gt;0,J239*100/I239,0)</f>
        <v>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937"/>
      <c r="B240" s="938"/>
      <c r="C240" s="938"/>
      <c r="D240" s="946" t="s">
        <v>43</v>
      </c>
      <c r="E240" s="944"/>
      <c r="F240" s="944"/>
      <c r="G240" s="943"/>
      <c r="H240" s="943"/>
      <c r="I240" s="841"/>
      <c r="J240" s="841"/>
      <c r="K240" s="842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937"/>
      <c r="B241" s="938"/>
      <c r="C241" s="938"/>
      <c r="D241" s="938"/>
      <c r="E241" s="947" t="s">
        <v>109</v>
      </c>
      <c r="F241" s="944"/>
      <c r="G241" s="943"/>
      <c r="H241" s="945" t="s">
        <v>35</v>
      </c>
      <c r="I241" s="592">
        <f t="shared" ref="I241:J242" ca="1" si="155">I252+I263</f>
        <v>20</v>
      </c>
      <c r="J241" s="592">
        <f t="shared" si="155"/>
        <v>0</v>
      </c>
      <c r="K241" s="77">
        <f t="shared" ref="K241:K243" ca="1" si="156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937"/>
      <c r="B242" s="938"/>
      <c r="C242" s="938"/>
      <c r="D242" s="938"/>
      <c r="E242" s="947" t="s">
        <v>110</v>
      </c>
      <c r="F242" s="944"/>
      <c r="G242" s="943"/>
      <c r="H242" s="945" t="s">
        <v>61</v>
      </c>
      <c r="I242" s="592">
        <f t="shared" ca="1" si="155"/>
        <v>1</v>
      </c>
      <c r="J242" s="592">
        <f t="shared" si="155"/>
        <v>0</v>
      </c>
      <c r="K242" s="77">
        <f t="shared" ca="1" si="156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x14ac:dyDescent="0.3">
      <c r="A243" s="553"/>
      <c r="B243" s="555"/>
      <c r="C243" s="1130" t="s">
        <v>347</v>
      </c>
      <c r="D243" s="554"/>
      <c r="E243" s="554"/>
      <c r="F243" s="554"/>
      <c r="G243" s="557"/>
      <c r="H243" s="558" t="s">
        <v>35</v>
      </c>
      <c r="I243" s="559">
        <f t="shared" ref="I243:J243" ca="1" si="157">I250</f>
        <v>20</v>
      </c>
      <c r="J243" s="559">
        <f t="shared" si="157"/>
        <v>0</v>
      </c>
      <c r="K243" s="560">
        <f t="shared" ca="1" si="156"/>
        <v>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x14ac:dyDescent="0.3">
      <c r="A244" s="257"/>
      <c r="B244" s="258"/>
      <c r="C244" s="259" t="s">
        <v>18</v>
      </c>
      <c r="D244" s="260" t="s">
        <v>19</v>
      </c>
      <c r="E244" s="258"/>
      <c r="F244" s="258"/>
      <c r="G244" s="261"/>
      <c r="H244" s="633" t="s">
        <v>14</v>
      </c>
      <c r="I244" s="272"/>
      <c r="J244" s="272"/>
      <c r="K244" s="229"/>
      <c r="L244" s="1257">
        <f ca="1">L245+L246+L247+L248</f>
        <v>41600</v>
      </c>
      <c r="M244" s="87"/>
      <c r="N244" s="264">
        <f>N245+N246+N247+N248</f>
        <v>0</v>
      </c>
      <c r="O244" s="264">
        <f ca="1">IF(L244&gt;0,N244*100/L244,0)</f>
        <v>0</v>
      </c>
      <c r="P244" s="264">
        <f>IF(M244&gt;0,N244*100/M244,0)</f>
        <v>0</v>
      </c>
      <c r="Q244" s="87"/>
      <c r="R244" s="87"/>
      <c r="S244" s="87"/>
      <c r="T244" s="87"/>
      <c r="U244" s="87"/>
    </row>
    <row r="245" spans="1:21" ht="18.75" x14ac:dyDescent="0.25">
      <c r="A245" s="257"/>
      <c r="B245" s="269"/>
      <c r="C245" s="258"/>
      <c r="D245" s="1134" t="s">
        <v>299</v>
      </c>
      <c r="E245" s="258"/>
      <c r="F245" s="258"/>
      <c r="G245" s="261"/>
      <c r="H245" s="271" t="s">
        <v>14</v>
      </c>
      <c r="I245" s="272"/>
      <c r="J245" s="272"/>
      <c r="K245" s="229"/>
      <c r="L245" s="73">
        <f ca="1">IFERROR(__xludf.DUMMYFUNCTION("IMPORTRANGE(""https://docs.google.com/spreadsheets/d/1eHaY18a8A9IcSdp1K8H6x8fbOy06t2VsZHhMHf-1x7Y/edit?usp=sharing"",""แผน!AX63"")"),5000)</f>
        <v>5000</v>
      </c>
      <c r="M245" s="87"/>
      <c r="N245" s="924">
        <v>0</v>
      </c>
      <c r="O245" s="87"/>
      <c r="P245" s="87"/>
      <c r="Q245" s="87"/>
      <c r="R245" s="87"/>
      <c r="S245" s="87"/>
      <c r="T245" s="87"/>
      <c r="U245" s="87"/>
    </row>
    <row r="246" spans="1:21" ht="18.75" x14ac:dyDescent="0.25">
      <c r="A246" s="550"/>
      <c r="B246" s="269"/>
      <c r="C246" s="269"/>
      <c r="D246" s="749" t="s">
        <v>87</v>
      </c>
      <c r="E246" s="258"/>
      <c r="F246" s="258"/>
      <c r="G246" s="261"/>
      <c r="H246" s="271" t="s">
        <v>14</v>
      </c>
      <c r="I246" s="263"/>
      <c r="J246" s="263"/>
      <c r="K246" s="87"/>
      <c r="L246" s="73">
        <f ca="1">IFERROR(__xludf.DUMMYFUNCTION("IMPORTRANGE(""https://docs.google.com/spreadsheets/d/1eHaY18a8A9IcSdp1K8H6x8fbOy06t2VsZHhMHf-1x7Y/edit?usp=sharing"",""แผน!AY63"")"),2000)</f>
        <v>2000</v>
      </c>
      <c r="M246" s="87"/>
      <c r="N246" s="924">
        <v>0</v>
      </c>
      <c r="O246" s="87"/>
      <c r="P246" s="87"/>
      <c r="Q246" s="87"/>
      <c r="R246" s="87"/>
      <c r="S246" s="87"/>
      <c r="T246" s="87"/>
      <c r="U246" s="87"/>
    </row>
    <row r="247" spans="1:21" ht="18.75" x14ac:dyDescent="0.25">
      <c r="A247" s="550"/>
      <c r="B247" s="269"/>
      <c r="C247" s="269"/>
      <c r="D247" s="749" t="s">
        <v>88</v>
      </c>
      <c r="E247" s="258"/>
      <c r="F247" s="258"/>
      <c r="G247" s="261"/>
      <c r="H247" s="271" t="s">
        <v>14</v>
      </c>
      <c r="I247" s="263"/>
      <c r="J247" s="263"/>
      <c r="K247" s="87"/>
      <c r="L247" s="73">
        <f ca="1">IFERROR(__xludf.DUMMYFUNCTION("IMPORTRANGE(""https://docs.google.com/spreadsheets/d/1eHaY18a8A9IcSdp1K8H6x8fbOy06t2VsZHhMHf-1x7Y/edit?usp=sharing"",""แผน!AZ63"")"),15600)</f>
        <v>15600</v>
      </c>
      <c r="M247" s="87"/>
      <c r="N247" s="924">
        <v>0</v>
      </c>
      <c r="O247" s="87"/>
      <c r="P247" s="87"/>
      <c r="Q247" s="87"/>
      <c r="R247" s="87"/>
      <c r="S247" s="87"/>
      <c r="T247" s="87"/>
      <c r="U247" s="87"/>
    </row>
    <row r="248" spans="1:21" ht="18.75" x14ac:dyDescent="0.25">
      <c r="A248" s="550"/>
      <c r="B248" s="269"/>
      <c r="C248" s="269"/>
      <c r="D248" s="267" t="s">
        <v>89</v>
      </c>
      <c r="E248" s="258"/>
      <c r="F248" s="258"/>
      <c r="G248" s="261"/>
      <c r="H248" s="271" t="s">
        <v>14</v>
      </c>
      <c r="I248" s="263"/>
      <c r="J248" s="263"/>
      <c r="K248" s="87"/>
      <c r="L248" s="73">
        <f ca="1">IFERROR(__xludf.DUMMYFUNCTION("IMPORTRANGE(""https://docs.google.com/spreadsheets/d/1eHaY18a8A9IcSdp1K8H6x8fbOy06t2VsZHhMHf-1x7Y/edit?usp=sharing"",""แผน!BA63"")"),19000)</f>
        <v>19000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x14ac:dyDescent="0.3">
      <c r="A249" s="276"/>
      <c r="B249" s="277"/>
      <c r="C249" s="621" t="s">
        <v>18</v>
      </c>
      <c r="D249" s="1019" t="s">
        <v>38</v>
      </c>
      <c r="E249" s="280"/>
      <c r="F249" s="280"/>
      <c r="G249" s="281"/>
      <c r="H249" s="282"/>
      <c r="I249" s="272"/>
      <c r="J249" s="263"/>
      <c r="K249" s="87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x14ac:dyDescent="0.25">
      <c r="A250" s="276"/>
      <c r="B250" s="277"/>
      <c r="C250" s="277"/>
      <c r="D250" s="295" t="s">
        <v>108</v>
      </c>
      <c r="E250" s="296"/>
      <c r="F250" s="296"/>
      <c r="G250" s="282"/>
      <c r="H250" s="299" t="s">
        <v>35</v>
      </c>
      <c r="I250" s="293">
        <f ca="1">IFERROR(__xludf.DUMMYFUNCTION("IMPORTRANGE(""https://docs.google.com/spreadsheets/d/1eHaY18a8A9IcSdp1K8H6x8fbOy06t2VsZHhMHf-1x7Y/edit?usp=sharing"",""แผน!BG63"")"),20)</f>
        <v>20</v>
      </c>
      <c r="J250" s="294">
        <v>0</v>
      </c>
      <c r="K250" s="74">
        <f ca="1">IF(I250&gt;0,J250*100/I250,0)</f>
        <v>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x14ac:dyDescent="0.25">
      <c r="A251" s="276"/>
      <c r="B251" s="277"/>
      <c r="C251" s="277"/>
      <c r="D251" s="1103" t="s">
        <v>43</v>
      </c>
      <c r="E251" s="296"/>
      <c r="F251" s="296"/>
      <c r="G251" s="282"/>
      <c r="H251" s="282"/>
      <c r="I251" s="263"/>
      <c r="J251" s="263"/>
      <c r="K251" s="87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x14ac:dyDescent="0.25">
      <c r="A252" s="276"/>
      <c r="B252" s="277"/>
      <c r="C252" s="277"/>
      <c r="D252" s="277"/>
      <c r="E252" s="767" t="s">
        <v>109</v>
      </c>
      <c r="F252" s="296"/>
      <c r="G252" s="282"/>
      <c r="H252" s="299" t="s">
        <v>35</v>
      </c>
      <c r="I252" s="293">
        <f ca="1">IFERROR(__xludf.DUMMYFUNCTION("IMPORTRANGE(""https://docs.google.com/spreadsheets/d/1eHaY18a8A9IcSdp1K8H6x8fbOy06t2VsZHhMHf-1x7Y/edit?usp=sharing"",""แผน!KF63"")"),20)</f>
        <v>20</v>
      </c>
      <c r="J252" s="294">
        <v>0</v>
      </c>
      <c r="K252" s="74">
        <f t="shared" ref="K252:K254" ca="1" si="158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x14ac:dyDescent="0.25">
      <c r="A253" s="276"/>
      <c r="B253" s="277"/>
      <c r="C253" s="277"/>
      <c r="D253" s="277"/>
      <c r="E253" s="767" t="s">
        <v>110</v>
      </c>
      <c r="F253" s="296"/>
      <c r="G253" s="282"/>
      <c r="H253" s="299" t="s">
        <v>61</v>
      </c>
      <c r="I253" s="293">
        <f ca="1">IFERROR(__xludf.DUMMYFUNCTION("IMPORTRANGE(""https://docs.google.com/spreadsheets/d/1eHaY18a8A9IcSdp1K8H6x8fbOy06t2VsZHhMHf-1x7Y/edit?usp=sharing"",""แผน!KG63"")"),1)</f>
        <v>1</v>
      </c>
      <c r="J253" s="294">
        <v>0</v>
      </c>
      <c r="K253" s="74">
        <f t="shared" ca="1" si="158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553"/>
      <c r="B254" s="555"/>
      <c r="C254" s="927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9">I261</f>
        <v>0</v>
      </c>
      <c r="J254" s="931">
        <f t="shared" si="159"/>
        <v>0</v>
      </c>
      <c r="K254" s="932">
        <f t="shared" ca="1" si="158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257"/>
      <c r="B255" s="258"/>
      <c r="C255" s="933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1257">
        <f ca="1">L256+L257+L258+L259</f>
        <v>0</v>
      </c>
      <c r="M255" s="87"/>
      <c r="N255" s="264">
        <f>N256+N257+N258+N259</f>
        <v>0</v>
      </c>
      <c r="O255" s="264">
        <f ca="1">IF(L255&gt;0,N255*100/L255,0)</f>
        <v>0</v>
      </c>
      <c r="P255" s="264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257"/>
      <c r="B256" s="269"/>
      <c r="C256" s="258"/>
      <c r="D256" s="1134" t="s">
        <v>299</v>
      </c>
      <c r="E256" s="258"/>
      <c r="F256" s="258"/>
      <c r="G256" s="261"/>
      <c r="H256" s="273" t="s">
        <v>14</v>
      </c>
      <c r="I256" s="272"/>
      <c r="J256" s="272"/>
      <c r="K256" s="229"/>
      <c r="L256" s="73">
        <f ca="1">IFERROR(__xludf.DUMMYFUNCTION("IMPORTRANGE(""https://docs.google.com/spreadsheets/d/1eHaY18a8A9IcSdp1K8H6x8fbOy06t2VsZHhMHf-1x7Y/edit?usp=sharing"",""แผน!BB63"")"),0)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749" t="s">
        <v>87</v>
      </c>
      <c r="E257" s="258"/>
      <c r="F257" s="258"/>
      <c r="G257" s="261"/>
      <c r="H257" s="273" t="s">
        <v>14</v>
      </c>
      <c r="I257" s="263"/>
      <c r="J257" s="263"/>
      <c r="K257" s="87"/>
      <c r="L257" s="73">
        <f ca="1">IFERROR(__xludf.DUMMYFUNCTION("IMPORTRANGE(""https://docs.google.com/spreadsheets/d/1eHaY18a8A9IcSdp1K8H6x8fbOy06t2VsZHhMHf-1x7Y/edit?usp=sharing"",""แผน!BC63"")"),0)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749" t="s">
        <v>88</v>
      </c>
      <c r="E258" s="258"/>
      <c r="F258" s="258"/>
      <c r="G258" s="261"/>
      <c r="H258" s="273" t="s">
        <v>14</v>
      </c>
      <c r="I258" s="263"/>
      <c r="J258" s="263"/>
      <c r="K258" s="87"/>
      <c r="L258" s="73">
        <f ca="1">IFERROR(__xludf.DUMMYFUNCTION("IMPORTRANGE(""https://docs.google.com/spreadsheets/d/1eHaY18a8A9IcSdp1K8H6x8fbOy06t2VsZHhMHf-1x7Y/edit?usp=sharing"",""แผน!BD63"")"),0)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7" t="s">
        <v>89</v>
      </c>
      <c r="E259" s="258"/>
      <c r="F259" s="258"/>
      <c r="G259" s="261"/>
      <c r="H259" s="273" t="s">
        <v>14</v>
      </c>
      <c r="I259" s="263"/>
      <c r="J259" s="263"/>
      <c r="K259" s="87"/>
      <c r="L259" s="73">
        <f ca="1">IFERROR(__xludf.DUMMYFUNCTION("IMPORTRANGE(""https://docs.google.com/spreadsheets/d/1eHaY18a8A9IcSdp1K8H6x8fbOy06t2VsZHhMHf-1x7Y/edit?usp=sharing"",""แผน!BE63"")"),0)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945" t="s">
        <v>35</v>
      </c>
      <c r="I261" s="592">
        <f ca="1">IFERROR(__xludf.DUMMYFUNCTION("IMPORTRANGE(""https://docs.google.com/spreadsheets/d/1eHaY18a8A9IcSdp1K8H6x8fbOy06t2VsZHhMHf-1x7Y/edit?usp=sharing"",""แผน!BH63"")"),0)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282"/>
      <c r="I262" s="263"/>
      <c r="J262" s="263"/>
      <c r="K262" s="87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945" t="s">
        <v>35</v>
      </c>
      <c r="I263" s="263"/>
      <c r="J263" s="910">
        <v>0</v>
      </c>
      <c r="K263" s="77">
        <f t="shared" ref="K263:K264" si="160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945" t="s">
        <v>61</v>
      </c>
      <c r="I264" s="263"/>
      <c r="J264" s="910">
        <v>0</v>
      </c>
      <c r="K264" s="77">
        <f t="shared" si="160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363"/>
      <c r="I265" s="364"/>
      <c r="J265" s="364"/>
      <c r="K265" s="365"/>
      <c r="L265" s="1230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371" t="s">
        <v>35</v>
      </c>
      <c r="I266" s="1140">
        <f t="shared" ref="I266:J266" ca="1" si="161">I277</f>
        <v>22</v>
      </c>
      <c r="J266" s="1140">
        <f t="shared" si="161"/>
        <v>0</v>
      </c>
      <c r="K266" s="373">
        <f ca="1">IF(I266&gt;0,J266*100/I266,0)</f>
        <v>0</v>
      </c>
      <c r="L266" s="1231"/>
      <c r="M266" s="374"/>
      <c r="N266" s="374"/>
      <c r="O266" s="374"/>
      <c r="P266" s="374"/>
      <c r="Q266" s="374"/>
      <c r="R266" s="374"/>
      <c r="S266" s="374"/>
      <c r="T266" s="374"/>
      <c r="U266" s="374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1262">
        <f t="shared" ref="L267:N267" ca="1" si="162">L268+L269</f>
        <v>0</v>
      </c>
      <c r="M267" s="213">
        <f t="shared" ca="1" si="162"/>
        <v>5000</v>
      </c>
      <c r="N267" s="213">
        <f t="shared" ca="1" si="162"/>
        <v>0</v>
      </c>
      <c r="O267" s="213">
        <f t="shared" ref="O267:O275" ca="1" si="163">IF(L267&gt;0,N267*100/L267,0)</f>
        <v>0</v>
      </c>
      <c r="P267" s="213">
        <f t="shared" ref="P267:P275" ca="1" si="164">IF(M267&gt;0,N267*100/M267,0)</f>
        <v>0</v>
      </c>
      <c r="Q267" s="213">
        <f t="shared" ref="Q267:S267" ca="1" si="165">Q268+Q269</f>
        <v>50660</v>
      </c>
      <c r="R267" s="213">
        <f t="shared" ca="1" si="165"/>
        <v>50660</v>
      </c>
      <c r="S267" s="213">
        <f t="shared" ca="1" si="165"/>
        <v>0</v>
      </c>
      <c r="T267" s="213">
        <f t="shared" ref="T267:T275" ca="1" si="166">IF(Q267&gt;0,S267*100/Q267,0)</f>
        <v>0</v>
      </c>
      <c r="U267" s="213">
        <f t="shared" ref="U267:U275" ca="1" si="167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76">
        <f t="shared" ref="L268:N269" si="168">L271+L274</f>
        <v>0</v>
      </c>
      <c r="M268" s="77">
        <f t="shared" si="168"/>
        <v>0</v>
      </c>
      <c r="N268" s="77">
        <f t="shared" si="168"/>
        <v>0</v>
      </c>
      <c r="O268" s="77">
        <f t="shared" si="163"/>
        <v>0</v>
      </c>
      <c r="P268" s="77">
        <f t="shared" si="164"/>
        <v>0</v>
      </c>
      <c r="Q268" s="77">
        <f t="shared" ref="Q268:S269" si="169">Q271+Q274</f>
        <v>0</v>
      </c>
      <c r="R268" s="77">
        <f t="shared" si="169"/>
        <v>0</v>
      </c>
      <c r="S268" s="77">
        <f t="shared" si="169"/>
        <v>0</v>
      </c>
      <c r="T268" s="77">
        <f t="shared" si="166"/>
        <v>0</v>
      </c>
      <c r="U268" s="77">
        <f t="shared" si="167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261">
        <f t="shared" ca="1" si="168"/>
        <v>0</v>
      </c>
      <c r="M269" s="399">
        <f t="shared" ca="1" si="168"/>
        <v>5000</v>
      </c>
      <c r="N269" s="399">
        <f t="shared" ca="1" si="168"/>
        <v>0</v>
      </c>
      <c r="O269" s="399">
        <f t="shared" ca="1" si="163"/>
        <v>0</v>
      </c>
      <c r="P269" s="399">
        <f t="shared" ca="1" si="164"/>
        <v>0</v>
      </c>
      <c r="Q269" s="399">
        <f t="shared" ca="1" si="169"/>
        <v>50660</v>
      </c>
      <c r="R269" s="399">
        <f t="shared" ca="1" si="169"/>
        <v>50660</v>
      </c>
      <c r="S269" s="399">
        <f t="shared" ca="1" si="169"/>
        <v>0</v>
      </c>
      <c r="T269" s="399">
        <f t="shared" ca="1" si="166"/>
        <v>0</v>
      </c>
      <c r="U269" s="399">
        <f t="shared" ca="1" si="167"/>
        <v>0</v>
      </c>
    </row>
    <row r="270" spans="1:21" ht="18.75" x14ac:dyDescent="0.25">
      <c r="A270" s="209"/>
      <c r="B270" s="67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261">
        <f t="shared" ref="L270:N270" ca="1" si="170">L271+L272</f>
        <v>0</v>
      </c>
      <c r="M270" s="399">
        <f t="shared" ca="1" si="170"/>
        <v>5000</v>
      </c>
      <c r="N270" s="399">
        <f t="shared" ca="1" si="170"/>
        <v>0</v>
      </c>
      <c r="O270" s="399">
        <f t="shared" ca="1" si="163"/>
        <v>0</v>
      </c>
      <c r="P270" s="399">
        <f t="shared" ca="1" si="164"/>
        <v>0</v>
      </c>
      <c r="Q270" s="399">
        <f t="shared" ref="Q270:S270" ca="1" si="171">Q271+Q272</f>
        <v>50660</v>
      </c>
      <c r="R270" s="399">
        <f t="shared" ca="1" si="171"/>
        <v>50660</v>
      </c>
      <c r="S270" s="399">
        <f t="shared" ca="1" si="171"/>
        <v>0</v>
      </c>
      <c r="T270" s="399">
        <f t="shared" ca="1" si="166"/>
        <v>0</v>
      </c>
      <c r="U270" s="399">
        <f t="shared" ca="1" si="167"/>
        <v>0</v>
      </c>
    </row>
    <row r="271" spans="1:21" ht="18.75" hidden="1" x14ac:dyDescent="0.25">
      <c r="A271" s="880"/>
      <c r="B271" s="838"/>
      <c r="C271" s="838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77">
        <f t="shared" si="163"/>
        <v>0</v>
      </c>
      <c r="P271" s="77">
        <f t="shared" si="164"/>
        <v>0</v>
      </c>
      <c r="Q271" s="77">
        <v>0</v>
      </c>
      <c r="R271" s="77">
        <v>0</v>
      </c>
      <c r="S271" s="77">
        <v>0</v>
      </c>
      <c r="T271" s="77">
        <f t="shared" si="166"/>
        <v>0</v>
      </c>
      <c r="U271" s="77">
        <f t="shared" si="167"/>
        <v>0</v>
      </c>
    </row>
    <row r="272" spans="1:21" ht="18.75" hidden="1" x14ac:dyDescent="0.25">
      <c r="A272" s="209"/>
      <c r="B272" s="67"/>
      <c r="C272" s="67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261">
        <f ca="1">IFERROR(__xludf.DUMMYFUNCTION("IMPORTRANGE(""https://docs.google.com/spreadsheets/d/1-uDff_7J0KD5mKrp0Vvzr7lt3OU09vwQwhkpOPPYv2Y/edit?usp=sharing"",""งบพรบ!DE63"")"),0)</f>
        <v>0</v>
      </c>
      <c r="M272" s="399">
        <f ca="1">IFERROR(__xludf.DUMMYFUNCTION("IMPORTRANGE(""https://docs.google.com/spreadsheets/d/1-uDff_7J0KD5mKrp0Vvzr7lt3OU09vwQwhkpOPPYv2Y/edit?usp=sharing"",""งบพรบ!DJ63"")"),5000)</f>
        <v>5000</v>
      </c>
      <c r="N272" s="399">
        <f ca="1">IFERROR(__xludf.DUMMYFUNCTION("IMPORTRANGE(""https://docs.google.com/spreadsheets/d/1-uDff_7J0KD5mKrp0Vvzr7lt3OU09vwQwhkpOPPYv2Y/edit?usp=sharing"",""งบพรบ!DL63"")"),0)</f>
        <v>0</v>
      </c>
      <c r="O272" s="399">
        <f t="shared" ca="1" si="163"/>
        <v>0</v>
      </c>
      <c r="P272" s="399">
        <f t="shared" ca="1" si="164"/>
        <v>0</v>
      </c>
      <c r="Q272" s="399">
        <f ca="1">IFERROR(__xludf.DUMMYFUNCTION("IMPORTRANGE(""https://docs.google.com/spreadsheets/d/1ItG2mGa2ceCfYo0BwxsXqNm01IGEUdYcSSLTEv9YCik/edit?usp=sharing"",""เบิกจ่ายกองทุน!AJ63"")"),50660)</f>
        <v>50660</v>
      </c>
      <c r="R272" s="399">
        <f ca="1">IFERROR(__xludf.DUMMYFUNCTION("IMPORTRANGE(""https://docs.google.com/spreadsheets/d/1ItG2mGa2ceCfYo0BwxsXqNm01IGEUdYcSSLTEv9YCik/edit?usp=sharing"",""เบิกจ่ายกองทุน!AK63"")"),50660)</f>
        <v>50660</v>
      </c>
      <c r="S272" s="399">
        <f ca="1">IFERROR(__xludf.DUMMYFUNCTION("IMPORTRANGE(""https://docs.google.com/spreadsheets/d/1ItG2mGa2ceCfYo0BwxsXqNm01IGEUdYcSSLTEv9YCik/edit?usp=sharing"",""เบิกจ่ายกองทุน!AL63"")"),0)</f>
        <v>0</v>
      </c>
      <c r="T272" s="399">
        <f t="shared" ca="1" si="166"/>
        <v>0</v>
      </c>
      <c r="U272" s="399">
        <f t="shared" ca="1" si="167"/>
        <v>0</v>
      </c>
    </row>
    <row r="273" spans="1:21" ht="18.75" x14ac:dyDescent="0.25">
      <c r="A273" s="209"/>
      <c r="B273" s="67"/>
      <c r="C273" s="67"/>
      <c r="D273" s="836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261">
        <f t="shared" ref="L273:N273" ca="1" si="172">L274+L275</f>
        <v>0</v>
      </c>
      <c r="M273" s="399">
        <f t="shared" ca="1" si="172"/>
        <v>0</v>
      </c>
      <c r="N273" s="399">
        <f t="shared" ca="1" si="172"/>
        <v>0</v>
      </c>
      <c r="O273" s="399">
        <f t="shared" ca="1" si="163"/>
        <v>0</v>
      </c>
      <c r="P273" s="399">
        <f t="shared" ca="1" si="164"/>
        <v>0</v>
      </c>
      <c r="Q273" s="399">
        <f t="shared" ref="Q273:S273" si="173">Q274+Q275</f>
        <v>0</v>
      </c>
      <c r="R273" s="399">
        <f t="shared" si="173"/>
        <v>0</v>
      </c>
      <c r="S273" s="399">
        <f t="shared" si="173"/>
        <v>0</v>
      </c>
      <c r="T273" s="399">
        <f t="shared" si="166"/>
        <v>0</v>
      </c>
      <c r="U273" s="399">
        <f t="shared" si="167"/>
        <v>0</v>
      </c>
    </row>
    <row r="274" spans="1:21" ht="18.75" hidden="1" x14ac:dyDescent="0.25">
      <c r="A274" s="880"/>
      <c r="B274" s="838"/>
      <c r="C274" s="838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77">
        <f t="shared" si="163"/>
        <v>0</v>
      </c>
      <c r="P274" s="77">
        <f t="shared" si="164"/>
        <v>0</v>
      </c>
      <c r="Q274" s="77">
        <v>0</v>
      </c>
      <c r="R274" s="77">
        <v>0</v>
      </c>
      <c r="S274" s="77">
        <v>0</v>
      </c>
      <c r="T274" s="77">
        <f t="shared" si="166"/>
        <v>0</v>
      </c>
      <c r="U274" s="77">
        <f t="shared" si="167"/>
        <v>0</v>
      </c>
    </row>
    <row r="275" spans="1:21" ht="18.75" hidden="1" x14ac:dyDescent="0.25">
      <c r="A275" s="209"/>
      <c r="B275" s="67"/>
      <c r="C275" s="67"/>
      <c r="D275" s="67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261">
        <f ca="1">IFERROR(__xludf.DUMMYFUNCTION("IMPORTRANGE(""https://docs.google.com/spreadsheets/d/1-uDff_7J0KD5mKrp0Vvzr7lt3OU09vwQwhkpOPPYv2Y/edit?usp=sharing"",""งบพรบ!DH63"")"),0)</f>
        <v>0</v>
      </c>
      <c r="M275" s="399">
        <f ca="1">IFERROR(__xludf.DUMMYFUNCTION("IMPORTRANGE(""https://docs.google.com/spreadsheets/d/1-uDff_7J0KD5mKrp0Vvzr7lt3OU09vwQwhkpOPPYv2Y/edit?usp=sharing"",""งบพรบ!DK63"")"),0)</f>
        <v>0</v>
      </c>
      <c r="N275" s="399">
        <f ca="1">IFERROR(__xludf.DUMMYFUNCTION("IMPORTRANGE(""https://docs.google.com/spreadsheets/d/1-uDff_7J0KD5mKrp0Vvzr7lt3OU09vwQwhkpOPPYv2Y/edit?usp=sharing"",""งบพรบ!DM63"")"),0)</f>
        <v>0</v>
      </c>
      <c r="O275" s="399">
        <f t="shared" ca="1" si="163"/>
        <v>0</v>
      </c>
      <c r="P275" s="399">
        <f t="shared" ca="1" si="164"/>
        <v>0</v>
      </c>
      <c r="Q275" s="399">
        <v>0</v>
      </c>
      <c r="R275" s="399">
        <v>0</v>
      </c>
      <c r="S275" s="399">
        <v>0</v>
      </c>
      <c r="T275" s="399">
        <f t="shared" si="166"/>
        <v>0</v>
      </c>
      <c r="U275" s="399">
        <f t="shared" si="167"/>
        <v>0</v>
      </c>
    </row>
    <row r="276" spans="1:21" ht="19.5" x14ac:dyDescent="0.3">
      <c r="A276" s="222"/>
      <c r="B276" s="223"/>
      <c r="C276" s="440" t="s">
        <v>18</v>
      </c>
      <c r="D276" s="883" t="s">
        <v>38</v>
      </c>
      <c r="E276" s="225"/>
      <c r="F276" s="225"/>
      <c r="G276" s="226"/>
      <c r="H276" s="227"/>
      <c r="I276" s="219"/>
      <c r="J276" s="219"/>
      <c r="K276" s="220"/>
      <c r="L276" s="1235"/>
      <c r="M276" s="220"/>
      <c r="N276" s="220"/>
      <c r="O276" s="220"/>
      <c r="P276" s="220"/>
      <c r="Q276" s="220"/>
      <c r="R276" s="220"/>
      <c r="S276" s="220"/>
      <c r="T276" s="220"/>
      <c r="U276" s="220"/>
    </row>
    <row r="277" spans="1:21" ht="18.75" x14ac:dyDescent="0.25">
      <c r="A277" s="949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IFERROR(__xludf.DUMMYFUNCTION("IMPORTRANGE(""https://docs.google.com/spreadsheets/d/1eHaY18a8A9IcSdp1K8H6x8fbOy06t2VsZHhMHf-1x7Y/edit?usp=sharing"",""แผน!EC63"")"),22)</f>
        <v>22</v>
      </c>
      <c r="J277" s="908">
        <v>0</v>
      </c>
      <c r="K277" s="85">
        <f ca="1">IF(I277&gt;0,J277*100/I277,0)</f>
        <v>0</v>
      </c>
      <c r="L277" s="540"/>
      <c r="M277" s="72"/>
      <c r="N277" s="72"/>
      <c r="O277" s="72"/>
      <c r="P277" s="72"/>
      <c r="Q277" s="72"/>
      <c r="R277" s="72"/>
      <c r="S277" s="72"/>
      <c r="T277" s="72"/>
      <c r="U277" s="72"/>
    </row>
    <row r="278" spans="1:21" ht="18.75" hidden="1" x14ac:dyDescent="0.25">
      <c r="A278" s="1236"/>
      <c r="B278" s="996"/>
      <c r="C278" s="996"/>
      <c r="D278" s="1145" t="s">
        <v>116</v>
      </c>
      <c r="E278" s="1237"/>
      <c r="F278" s="1237"/>
      <c r="G278" s="1238"/>
      <c r="H278" s="1305" t="s">
        <v>35</v>
      </c>
      <c r="I278" s="779">
        <v>0</v>
      </c>
      <c r="J278" s="779">
        <v>0</v>
      </c>
      <c r="K278" s="1147">
        <v>0</v>
      </c>
      <c r="L278" s="1239"/>
      <c r="M278" s="1240"/>
      <c r="N278" s="1240"/>
      <c r="O278" s="1240"/>
      <c r="P278" s="1240"/>
      <c r="Q278" s="1240"/>
      <c r="R278" s="1240"/>
      <c r="S278" s="1240"/>
      <c r="T278" s="1240"/>
      <c r="U278" s="124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50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3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306" t="s">
        <v>35</v>
      </c>
      <c r="I281" s="1163">
        <f t="shared" ref="I281:J281" ca="1" si="174">I294</f>
        <v>0</v>
      </c>
      <c r="J281" s="1163">
        <f t="shared" si="174"/>
        <v>0</v>
      </c>
      <c r="K281" s="1164">
        <f t="shared" ref="K281:K282" ca="1" si="175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306" t="s">
        <v>46</v>
      </c>
      <c r="I282" s="1163">
        <f t="shared" ref="I282:J282" ca="1" si="176">I293</f>
        <v>0</v>
      </c>
      <c r="J282" s="1163">
        <f t="shared" si="176"/>
        <v>0</v>
      </c>
      <c r="K282" s="1164">
        <f t="shared" ca="1" si="175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1257">
        <f t="shared" ref="L283:N283" ca="1" si="177">L284+L285</f>
        <v>0</v>
      </c>
      <c r="M283" s="264">
        <f t="shared" ca="1" si="177"/>
        <v>0</v>
      </c>
      <c r="N283" s="264">
        <f t="shared" ca="1" si="177"/>
        <v>0</v>
      </c>
      <c r="O283" s="264">
        <f t="shared" ref="O283:O291" ca="1" si="178">IF(L283&gt;0,N283*100/L283,0)</f>
        <v>0</v>
      </c>
      <c r="P283" s="264">
        <f t="shared" ref="P283:P291" ca="1" si="179">IF(M283&gt;0,N283*100/M283,0)</f>
        <v>0</v>
      </c>
      <c r="Q283" s="264">
        <f t="shared" ref="Q283:S283" si="180">Q284+Q285</f>
        <v>0</v>
      </c>
      <c r="R283" s="264">
        <f t="shared" si="180"/>
        <v>0</v>
      </c>
      <c r="S283" s="264">
        <f t="shared" si="180"/>
        <v>0</v>
      </c>
      <c r="T283" s="264">
        <f t="shared" ref="T283:T291" si="181">IF(Q283&gt;0,S283*100/Q283,0)</f>
        <v>0</v>
      </c>
      <c r="U283" s="264">
        <f t="shared" ref="U283:U291" si="182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6">
        <f t="shared" ref="L284:N285" si="183">L287+L290</f>
        <v>0</v>
      </c>
      <c r="M284" s="77">
        <f t="shared" si="183"/>
        <v>0</v>
      </c>
      <c r="N284" s="77">
        <f t="shared" si="183"/>
        <v>0</v>
      </c>
      <c r="O284" s="77">
        <f t="shared" si="178"/>
        <v>0</v>
      </c>
      <c r="P284" s="77">
        <f t="shared" si="179"/>
        <v>0</v>
      </c>
      <c r="Q284" s="77">
        <f t="shared" ref="Q284:S285" si="184">Q287+Q290</f>
        <v>0</v>
      </c>
      <c r="R284" s="77">
        <f t="shared" si="184"/>
        <v>0</v>
      </c>
      <c r="S284" s="77">
        <f t="shared" si="184"/>
        <v>0</v>
      </c>
      <c r="T284" s="77">
        <f t="shared" si="181"/>
        <v>0</v>
      </c>
      <c r="U284" s="77">
        <f t="shared" si="182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3">
        <f t="shared" ca="1" si="183"/>
        <v>0</v>
      </c>
      <c r="M285" s="74">
        <f t="shared" ca="1" si="183"/>
        <v>0</v>
      </c>
      <c r="N285" s="74">
        <f t="shared" ca="1" si="183"/>
        <v>0</v>
      </c>
      <c r="O285" s="74">
        <f t="shared" ca="1" si="178"/>
        <v>0</v>
      </c>
      <c r="P285" s="74">
        <f t="shared" ca="1" si="179"/>
        <v>0</v>
      </c>
      <c r="Q285" s="74">
        <f t="shared" si="184"/>
        <v>0</v>
      </c>
      <c r="R285" s="74">
        <f t="shared" si="184"/>
        <v>0</v>
      </c>
      <c r="S285" s="74">
        <f t="shared" si="184"/>
        <v>0</v>
      </c>
      <c r="T285" s="74">
        <f t="shared" si="181"/>
        <v>0</v>
      </c>
      <c r="U285" s="74">
        <f t="shared" si="182"/>
        <v>0</v>
      </c>
    </row>
    <row r="286" spans="1:21" ht="18.75" hidden="1" x14ac:dyDescent="0.25">
      <c r="A286" s="257"/>
      <c r="B286" s="258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3">
        <f t="shared" ref="L286:N286" ca="1" si="185">L287+L288</f>
        <v>0</v>
      </c>
      <c r="M286" s="74">
        <f t="shared" ca="1" si="185"/>
        <v>0</v>
      </c>
      <c r="N286" s="74">
        <f t="shared" ca="1" si="185"/>
        <v>0</v>
      </c>
      <c r="O286" s="74">
        <f t="shared" ca="1" si="178"/>
        <v>0</v>
      </c>
      <c r="P286" s="74">
        <f t="shared" ca="1" si="179"/>
        <v>0</v>
      </c>
      <c r="Q286" s="74">
        <f t="shared" ref="Q286:S286" si="186">Q287+Q288</f>
        <v>0</v>
      </c>
      <c r="R286" s="74">
        <f t="shared" si="186"/>
        <v>0</v>
      </c>
      <c r="S286" s="74">
        <f t="shared" si="186"/>
        <v>0</v>
      </c>
      <c r="T286" s="74">
        <f t="shared" si="181"/>
        <v>0</v>
      </c>
      <c r="U286" s="74">
        <f t="shared" si="182"/>
        <v>0</v>
      </c>
    </row>
    <row r="287" spans="1:21" ht="18.75" hidden="1" x14ac:dyDescent="0.25">
      <c r="A287" s="257"/>
      <c r="B287" s="258"/>
      <c r="C287" s="258"/>
      <c r="D287" s="258"/>
      <c r="E287" s="26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77">
        <f t="shared" si="178"/>
        <v>0</v>
      </c>
      <c r="P287" s="77">
        <f t="shared" si="179"/>
        <v>0</v>
      </c>
      <c r="Q287" s="77">
        <v>0</v>
      </c>
      <c r="R287" s="77">
        <v>0</v>
      </c>
      <c r="S287" s="77">
        <v>0</v>
      </c>
      <c r="T287" s="77">
        <f t="shared" si="181"/>
        <v>0</v>
      </c>
      <c r="U287" s="77">
        <f t="shared" si="182"/>
        <v>0</v>
      </c>
    </row>
    <row r="288" spans="1:21" ht="18.75" hidden="1" x14ac:dyDescent="0.25">
      <c r="A288" s="257"/>
      <c r="B288" s="258"/>
      <c r="C288" s="258"/>
      <c r="D288" s="258"/>
      <c r="E288" s="267" t="s">
        <v>37</v>
      </c>
      <c r="F288" s="258"/>
      <c r="G288" s="261"/>
      <c r="H288" s="271" t="s">
        <v>14</v>
      </c>
      <c r="I288" s="272"/>
      <c r="J288" s="272"/>
      <c r="K288" s="229"/>
      <c r="L288" s="73">
        <f ca="1">IFERROR(__xludf.DUMMYFUNCTION("IMPORTRANGE(""https://docs.google.com/spreadsheets/d/1-uDff_7J0KD5mKrp0Vvzr7lt3OU09vwQwhkpOPPYv2Y/edit?usp=sharing"",""งบพรบ!DO63"")"),0)</f>
        <v>0</v>
      </c>
      <c r="M288" s="74">
        <f ca="1">IFERROR(__xludf.DUMMYFUNCTION("IMPORTRANGE(""https://docs.google.com/spreadsheets/d/1-uDff_7J0KD5mKrp0Vvzr7lt3OU09vwQwhkpOPPYv2Y/edit?usp=sharing"",""งบพรบ!DT63"")"),0)</f>
        <v>0</v>
      </c>
      <c r="N288" s="74">
        <f ca="1">IFERROR(__xludf.DUMMYFUNCTION("IMPORTRANGE(""https://docs.google.com/spreadsheets/d/1-uDff_7J0KD5mKrp0Vvzr7lt3OU09vwQwhkpOPPYv2Y/edit?usp=sharing"",""งบพรบ!DV63"")"),0)</f>
        <v>0</v>
      </c>
      <c r="O288" s="74">
        <f t="shared" ca="1" si="178"/>
        <v>0</v>
      </c>
      <c r="P288" s="74">
        <f t="shared" ca="1" si="179"/>
        <v>0</v>
      </c>
      <c r="Q288" s="74">
        <v>0</v>
      </c>
      <c r="R288" s="74">
        <v>0</v>
      </c>
      <c r="S288" s="74">
        <v>0</v>
      </c>
      <c r="T288" s="77">
        <f t="shared" si="181"/>
        <v>0</v>
      </c>
      <c r="U288" s="77">
        <f t="shared" si="182"/>
        <v>0</v>
      </c>
    </row>
    <row r="289" spans="1:21" ht="18.75" hidden="1" x14ac:dyDescent="0.25">
      <c r="A289" s="257"/>
      <c r="B289" s="258"/>
      <c r="C289" s="258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3">
        <f t="shared" ref="L289:N289" ca="1" si="187">L290+L291</f>
        <v>0</v>
      </c>
      <c r="M289" s="74">
        <f t="shared" ca="1" si="187"/>
        <v>0</v>
      </c>
      <c r="N289" s="74">
        <f t="shared" ca="1" si="187"/>
        <v>0</v>
      </c>
      <c r="O289" s="74">
        <f t="shared" ca="1" si="178"/>
        <v>0</v>
      </c>
      <c r="P289" s="74">
        <f t="shared" ca="1" si="179"/>
        <v>0</v>
      </c>
      <c r="Q289" s="74">
        <f t="shared" ref="Q289:S289" si="188">Q290+Q291</f>
        <v>0</v>
      </c>
      <c r="R289" s="74">
        <f t="shared" si="188"/>
        <v>0</v>
      </c>
      <c r="S289" s="74">
        <f t="shared" si="188"/>
        <v>0</v>
      </c>
      <c r="T289" s="74">
        <f t="shared" si="181"/>
        <v>0</v>
      </c>
      <c r="U289" s="74">
        <f t="shared" si="182"/>
        <v>0</v>
      </c>
    </row>
    <row r="290" spans="1:21" ht="18.75" hidden="1" x14ac:dyDescent="0.25">
      <c r="A290" s="257"/>
      <c r="B290" s="258"/>
      <c r="C290" s="258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77">
        <f t="shared" si="178"/>
        <v>0</v>
      </c>
      <c r="P290" s="77">
        <f t="shared" si="179"/>
        <v>0</v>
      </c>
      <c r="Q290" s="77">
        <v>0</v>
      </c>
      <c r="R290" s="77">
        <v>0</v>
      </c>
      <c r="S290" s="77">
        <v>0</v>
      </c>
      <c r="T290" s="77">
        <f t="shared" si="181"/>
        <v>0</v>
      </c>
      <c r="U290" s="77">
        <f t="shared" si="182"/>
        <v>0</v>
      </c>
    </row>
    <row r="291" spans="1:21" ht="18.75" hidden="1" x14ac:dyDescent="0.25">
      <c r="A291" s="257"/>
      <c r="B291" s="258"/>
      <c r="C291" s="258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3">
        <f ca="1">IFERROR(__xludf.DUMMYFUNCTION("IMPORTRANGE(""https://docs.google.com/spreadsheets/d/1-uDff_7J0KD5mKrp0Vvzr7lt3OU09vwQwhkpOPPYv2Y/edit?usp=sharing"",""งบพรบ!DR63"")"),0)</f>
        <v>0</v>
      </c>
      <c r="M291" s="74">
        <f ca="1">IFERROR(__xludf.DUMMYFUNCTION("IMPORTRANGE(""https://docs.google.com/spreadsheets/d/1-uDff_7J0KD5mKrp0Vvzr7lt3OU09vwQwhkpOPPYv2Y/edit?usp=sharing"",""งบพรบ!DU63"")"),0)</f>
        <v>0</v>
      </c>
      <c r="N291" s="74">
        <f ca="1">IFERROR(__xludf.DUMMYFUNCTION("IMPORTRANGE(""https://docs.google.com/spreadsheets/d/1-uDff_7J0KD5mKrp0Vvzr7lt3OU09vwQwhkpOPPYv2Y/edit?usp=sharing"",""งบพรบ!DW63"")"),0)</f>
        <v>0</v>
      </c>
      <c r="O291" s="74">
        <f t="shared" ca="1" si="178"/>
        <v>0</v>
      </c>
      <c r="P291" s="74">
        <f t="shared" ca="1" si="179"/>
        <v>0</v>
      </c>
      <c r="Q291" s="74">
        <v>0</v>
      </c>
      <c r="R291" s="74">
        <v>0</v>
      </c>
      <c r="S291" s="74">
        <v>0</v>
      </c>
      <c r="T291" s="74">
        <f t="shared" si="181"/>
        <v>0</v>
      </c>
      <c r="U291" s="74">
        <f t="shared" si="182"/>
        <v>0</v>
      </c>
    </row>
    <row r="292" spans="1:21" ht="19.5" hidden="1" x14ac:dyDescent="0.3">
      <c r="A292" s="276"/>
      <c r="B292" s="277"/>
      <c r="C292" s="259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IFERROR(__xludf.DUMMYFUNCTION("IMPORTRANGE(""https://docs.google.com/spreadsheets/d/1eHaY18a8A9IcSdp1K8H6x8fbOy06t2VsZHhMHf-1x7Y/edit?usp=sharing"",""แผน!EE63"")"),0)</f>
        <v>0</v>
      </c>
      <c r="J293" s="294">
        <v>0</v>
      </c>
      <c r="K293" s="768">
        <f t="shared" ref="K293:K294" ca="1" si="189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IFERROR(__xludf.DUMMYFUNCTION("IMPORTRANGE(""https://docs.google.com/spreadsheets/d/1eHaY18a8A9IcSdp1K8H6x8fbOy06t2VsZHhMHf-1x7Y/edit?usp=sharing"",""แผน!ED63"")"),0)</f>
        <v>0</v>
      </c>
      <c r="J294" s="622">
        <f>J297</f>
        <v>0</v>
      </c>
      <c r="K294" s="1105">
        <f t="shared" ca="1" si="189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96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IFERROR(__xludf.DUMMYFUNCTION("IMPORTRANGE(""https://docs.google.com/spreadsheets/d/1eHaY18a8A9IcSdp1K8H6x8fbOy06t2VsZHhMHf-1x7Y/edit?usp=sharing"",""แผน!ED63"")"),0)</f>
        <v>0</v>
      </c>
      <c r="J296" s="294">
        <v>0</v>
      </c>
      <c r="K296" s="768">
        <f t="shared" ref="K296:K297" ca="1" si="190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IFERROR(__xludf.DUMMYFUNCTION("IMPORTRANGE(""https://docs.google.com/spreadsheets/d/1eHaY18a8A9IcSdp1K8H6x8fbOy06t2VsZHhMHf-1x7Y/edit?usp=sharing"",""แผน!ED63"")"),0)</f>
        <v>0</v>
      </c>
      <c r="J297" s="294">
        <v>0</v>
      </c>
      <c r="K297" s="768">
        <f t="shared" ca="1" si="190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286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286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041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1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6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x14ac:dyDescent="0.3">
      <c r="A303" s="1179"/>
      <c r="B303" s="1180" t="s">
        <v>127</v>
      </c>
      <c r="C303" s="607"/>
      <c r="D303" s="607"/>
      <c r="E303" s="607"/>
      <c r="F303" s="607"/>
      <c r="G303" s="608"/>
      <c r="H303" s="1307" t="s">
        <v>35</v>
      </c>
      <c r="I303" s="617">
        <f t="shared" ref="I303:J303" ca="1" si="191">I315</f>
        <v>20</v>
      </c>
      <c r="J303" s="617">
        <f t="shared" si="191"/>
        <v>0</v>
      </c>
      <c r="K303" s="611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1257">
        <f t="shared" ref="L304:N304" ca="1" si="192">L305+L306</f>
        <v>82400</v>
      </c>
      <c r="M304" s="264">
        <f t="shared" ca="1" si="192"/>
        <v>82400</v>
      </c>
      <c r="N304" s="264">
        <f t="shared" ca="1" si="192"/>
        <v>1690</v>
      </c>
      <c r="O304" s="264">
        <f t="shared" ref="O304:O312" ca="1" si="193">IF(L304&gt;0,N304*100/L304,0)</f>
        <v>2.0509708737864076</v>
      </c>
      <c r="P304" s="264">
        <f t="shared" ref="P304:P312" ca="1" si="194">IF(M304&gt;0,N304*100/M304,0)</f>
        <v>2.0509708737864076</v>
      </c>
      <c r="Q304" s="264">
        <f t="shared" ref="Q304:S304" ca="1" si="195">Q305+Q306</f>
        <v>144609.24</v>
      </c>
      <c r="R304" s="264">
        <f t="shared" ca="1" si="195"/>
        <v>144609</v>
      </c>
      <c r="S304" s="264">
        <f t="shared" ca="1" si="195"/>
        <v>0</v>
      </c>
      <c r="T304" s="264">
        <f t="shared" ref="T304:T312" ca="1" si="196">IF(Q304&gt;0,S304*100/Q304,0)</f>
        <v>0</v>
      </c>
      <c r="U304" s="264">
        <f t="shared" ref="U304:U312" ca="1" si="197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6">
        <f t="shared" ref="L305:N306" si="198">L308+L311</f>
        <v>0</v>
      </c>
      <c r="M305" s="77">
        <f t="shared" si="198"/>
        <v>0</v>
      </c>
      <c r="N305" s="77">
        <f t="shared" si="198"/>
        <v>0</v>
      </c>
      <c r="O305" s="77">
        <f t="shared" si="193"/>
        <v>0</v>
      </c>
      <c r="P305" s="77">
        <f t="shared" si="194"/>
        <v>0</v>
      </c>
      <c r="Q305" s="77">
        <f t="shared" ref="Q305:S306" si="199">Q308+Q311</f>
        <v>0</v>
      </c>
      <c r="R305" s="77">
        <f t="shared" si="199"/>
        <v>0</v>
      </c>
      <c r="S305" s="77">
        <f t="shared" si="199"/>
        <v>0</v>
      </c>
      <c r="T305" s="77">
        <f t="shared" si="196"/>
        <v>0</v>
      </c>
      <c r="U305" s="77">
        <f t="shared" si="197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3">
        <f t="shared" ca="1" si="198"/>
        <v>82400</v>
      </c>
      <c r="M306" s="74">
        <f t="shared" ca="1" si="198"/>
        <v>82400</v>
      </c>
      <c r="N306" s="74">
        <f t="shared" ca="1" si="198"/>
        <v>1690</v>
      </c>
      <c r="O306" s="74">
        <f t="shared" ca="1" si="193"/>
        <v>2.0509708737864076</v>
      </c>
      <c r="P306" s="74">
        <f t="shared" ca="1" si="194"/>
        <v>2.0509708737864076</v>
      </c>
      <c r="Q306" s="74">
        <f t="shared" ca="1" si="199"/>
        <v>144609.24</v>
      </c>
      <c r="R306" s="74">
        <f t="shared" ca="1" si="199"/>
        <v>144609</v>
      </c>
      <c r="S306" s="74">
        <f t="shared" ca="1" si="199"/>
        <v>0</v>
      </c>
      <c r="T306" s="74">
        <f t="shared" ca="1" si="196"/>
        <v>0</v>
      </c>
      <c r="U306" s="74">
        <f t="shared" ca="1" si="197"/>
        <v>0</v>
      </c>
    </row>
    <row r="307" spans="1:21" ht="18.75" x14ac:dyDescent="0.25">
      <c r="A307" s="257"/>
      <c r="B307" s="258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3">
        <f t="shared" ref="L307:N307" ca="1" si="200">L308+L309</f>
        <v>82400</v>
      </c>
      <c r="M307" s="74">
        <f t="shared" ca="1" si="200"/>
        <v>82400</v>
      </c>
      <c r="N307" s="74">
        <f t="shared" ca="1" si="200"/>
        <v>1690</v>
      </c>
      <c r="O307" s="74">
        <f t="shared" ca="1" si="193"/>
        <v>2.0509708737864076</v>
      </c>
      <c r="P307" s="74">
        <f t="shared" ca="1" si="194"/>
        <v>2.0509708737864076</v>
      </c>
      <c r="Q307" s="74">
        <f t="shared" ref="Q307:S307" ca="1" si="201">Q308+Q309</f>
        <v>144609.24</v>
      </c>
      <c r="R307" s="74">
        <f t="shared" ca="1" si="201"/>
        <v>144609</v>
      </c>
      <c r="S307" s="74">
        <f t="shared" ca="1" si="201"/>
        <v>0</v>
      </c>
      <c r="T307" s="74">
        <f t="shared" ca="1" si="196"/>
        <v>0</v>
      </c>
      <c r="U307" s="74">
        <f t="shared" ca="1" si="197"/>
        <v>0</v>
      </c>
    </row>
    <row r="308" spans="1:21" ht="18.75" hidden="1" x14ac:dyDescent="0.25">
      <c r="A308" s="257"/>
      <c r="B308" s="258"/>
      <c r="C308" s="258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77">
        <f t="shared" si="193"/>
        <v>0</v>
      </c>
      <c r="P308" s="77">
        <f t="shared" si="194"/>
        <v>0</v>
      </c>
      <c r="Q308" s="77">
        <v>0</v>
      </c>
      <c r="R308" s="77">
        <v>0</v>
      </c>
      <c r="S308" s="77">
        <v>0</v>
      </c>
      <c r="T308" s="77">
        <f t="shared" si="196"/>
        <v>0</v>
      </c>
      <c r="U308" s="77">
        <f t="shared" si="197"/>
        <v>0</v>
      </c>
    </row>
    <row r="309" spans="1:21" ht="18.75" hidden="1" x14ac:dyDescent="0.25">
      <c r="A309" s="257"/>
      <c r="B309" s="258"/>
      <c r="C309" s="258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3">
        <f ca="1">IFERROR(__xludf.DUMMYFUNCTION("IMPORTRANGE(""https://docs.google.com/spreadsheets/d/1-uDff_7J0KD5mKrp0Vvzr7lt3OU09vwQwhkpOPPYv2Y/edit?usp=sharing"",""งบพรบ!DY63"")"),82400)</f>
        <v>82400</v>
      </c>
      <c r="M309" s="74">
        <f ca="1">IFERROR(__xludf.DUMMYFUNCTION("IMPORTRANGE(""https://docs.google.com/spreadsheets/d/1-uDff_7J0KD5mKrp0Vvzr7lt3OU09vwQwhkpOPPYv2Y/edit?usp=sharing"",""งบพรบ!ED63"")"),82400)</f>
        <v>82400</v>
      </c>
      <c r="N309" s="74">
        <f ca="1">IFERROR(__xludf.DUMMYFUNCTION("IMPORTRANGE(""https://docs.google.com/spreadsheets/d/1-uDff_7J0KD5mKrp0Vvzr7lt3OU09vwQwhkpOPPYv2Y/edit?usp=sharing"",""งบพรบ!EF63"")"),1690)</f>
        <v>1690</v>
      </c>
      <c r="O309" s="74">
        <f t="shared" ca="1" si="193"/>
        <v>2.0509708737864076</v>
      </c>
      <c r="P309" s="74">
        <f t="shared" ca="1" si="194"/>
        <v>2.0509708737864076</v>
      </c>
      <c r="Q309" s="74">
        <f ca="1">IFERROR(__xludf.DUMMYFUNCTION("IMPORTRANGE(""https://docs.google.com/spreadsheets/d/1ItG2mGa2ceCfYo0BwxsXqNm01IGEUdYcSSLTEv9YCik/edit?usp=sharing"",""เบิกจ่ายกองทุน!AP63"")"),144609.24)</f>
        <v>144609.24</v>
      </c>
      <c r="R309" s="74">
        <f ca="1">IFERROR(__xludf.DUMMYFUNCTION("IMPORTRANGE(""https://docs.google.com/spreadsheets/d/1ItG2mGa2ceCfYo0BwxsXqNm01IGEUdYcSSLTEv9YCik/edit?usp=sharing"",""เบิกจ่ายกองทุน!AQ63"")"),144609)</f>
        <v>144609</v>
      </c>
      <c r="S309" s="74">
        <f ca="1">IFERROR(__xludf.DUMMYFUNCTION("IMPORTRANGE(""https://docs.google.com/spreadsheets/d/1ItG2mGa2ceCfYo0BwxsXqNm01IGEUdYcSSLTEv9YCik/edit?usp=sharing"",""เบิกจ่ายกองทุน!AR63"")"),0)</f>
        <v>0</v>
      </c>
      <c r="T309" s="74">
        <f t="shared" ca="1" si="196"/>
        <v>0</v>
      </c>
      <c r="U309" s="74">
        <f t="shared" ca="1" si="197"/>
        <v>0</v>
      </c>
    </row>
    <row r="310" spans="1:21" ht="18.75" x14ac:dyDescent="0.25">
      <c r="A310" s="257"/>
      <c r="B310" s="258"/>
      <c r="C310" s="258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3">
        <f t="shared" ref="L310:N310" ca="1" si="202">L311+L312</f>
        <v>0</v>
      </c>
      <c r="M310" s="74">
        <f t="shared" ca="1" si="202"/>
        <v>0</v>
      </c>
      <c r="N310" s="74">
        <f t="shared" ca="1" si="202"/>
        <v>0</v>
      </c>
      <c r="O310" s="74">
        <f t="shared" ca="1" si="193"/>
        <v>0</v>
      </c>
      <c r="P310" s="74">
        <f t="shared" ca="1" si="194"/>
        <v>0</v>
      </c>
      <c r="Q310" s="74">
        <f t="shared" ref="Q310:S310" si="203">Q311+Q312</f>
        <v>0</v>
      </c>
      <c r="R310" s="74">
        <f t="shared" si="203"/>
        <v>0</v>
      </c>
      <c r="S310" s="74">
        <f t="shared" si="203"/>
        <v>0</v>
      </c>
      <c r="T310" s="74">
        <f t="shared" si="196"/>
        <v>0</v>
      </c>
      <c r="U310" s="74">
        <f t="shared" si="197"/>
        <v>0</v>
      </c>
    </row>
    <row r="311" spans="1:21" ht="18.75" hidden="1" x14ac:dyDescent="0.25">
      <c r="A311" s="257"/>
      <c r="B311" s="258"/>
      <c r="C311" s="258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77">
        <f t="shared" si="193"/>
        <v>0</v>
      </c>
      <c r="P311" s="77">
        <f t="shared" si="194"/>
        <v>0</v>
      </c>
      <c r="Q311" s="77">
        <v>0</v>
      </c>
      <c r="R311" s="77">
        <v>0</v>
      </c>
      <c r="S311" s="77">
        <v>0</v>
      </c>
      <c r="T311" s="77">
        <f t="shared" si="196"/>
        <v>0</v>
      </c>
      <c r="U311" s="77">
        <f t="shared" si="197"/>
        <v>0</v>
      </c>
    </row>
    <row r="312" spans="1:21" ht="18.75" hidden="1" x14ac:dyDescent="0.25">
      <c r="A312" s="257"/>
      <c r="B312" s="258"/>
      <c r="C312" s="258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3">
        <f ca="1">IFERROR(__xludf.DUMMYFUNCTION("IMPORTRANGE(""https://docs.google.com/spreadsheets/d/1-uDff_7J0KD5mKrp0Vvzr7lt3OU09vwQwhkpOPPYv2Y/edit?usp=sharing"",""งบพรบ!EB63"")"),0)</f>
        <v>0</v>
      </c>
      <c r="M312" s="74">
        <f ca="1">IFERROR(__xludf.DUMMYFUNCTION("IMPORTRANGE(""https://docs.google.com/spreadsheets/d/1-uDff_7J0KD5mKrp0Vvzr7lt3OU09vwQwhkpOPPYv2Y/edit?usp=sharing"",""งบพรบ!EE63"")"),0)</f>
        <v>0</v>
      </c>
      <c r="N312" s="74">
        <f ca="1">IFERROR(__xludf.DUMMYFUNCTION("IMPORTRANGE(""https://docs.google.com/spreadsheets/d/1-uDff_7J0KD5mKrp0Vvzr7lt3OU09vwQwhkpOPPYv2Y/edit?usp=sharing"",""งบพรบ!EG63"")"),0)</f>
        <v>0</v>
      </c>
      <c r="O312" s="74">
        <f t="shared" ca="1" si="193"/>
        <v>0</v>
      </c>
      <c r="P312" s="74">
        <f t="shared" ca="1" si="194"/>
        <v>0</v>
      </c>
      <c r="Q312" s="74">
        <v>0</v>
      </c>
      <c r="R312" s="74">
        <v>0</v>
      </c>
      <c r="S312" s="74">
        <v>0</v>
      </c>
      <c r="T312" s="74">
        <f t="shared" si="196"/>
        <v>0</v>
      </c>
      <c r="U312" s="74">
        <f t="shared" si="197"/>
        <v>0</v>
      </c>
    </row>
    <row r="313" spans="1:21" ht="19.5" x14ac:dyDescent="0.3">
      <c r="A313" s="276"/>
      <c r="B313" s="277"/>
      <c r="C313" s="259" t="s">
        <v>18</v>
      </c>
      <c r="D313" s="1019" t="s">
        <v>38</v>
      </c>
      <c r="E313" s="280"/>
      <c r="F313" s="280"/>
      <c r="G313" s="2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3"/>
      <c r="E314" s="285"/>
      <c r="F314" s="285"/>
      <c r="G314" s="286"/>
      <c r="H314" s="286"/>
      <c r="I314" s="287"/>
      <c r="J314" s="1252"/>
      <c r="K314" s="30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x14ac:dyDescent="0.25">
      <c r="A315" s="276"/>
      <c r="B315" s="277"/>
      <c r="C315" s="277"/>
      <c r="D315" s="295" t="s">
        <v>121</v>
      </c>
      <c r="E315" s="296"/>
      <c r="F315" s="296"/>
      <c r="G315" s="282"/>
      <c r="H315" s="299" t="s">
        <v>35</v>
      </c>
      <c r="I315" s="293">
        <f ca="1">IFERROR(__xludf.DUMMYFUNCTION("IMPORTRANGE(""https://docs.google.com/spreadsheets/d/1eHaY18a8A9IcSdp1K8H6x8fbOy06t2VsZHhMHf-1x7Y/edit?usp=sharing"",""แผน!EF63"")"),20)</f>
        <v>20</v>
      </c>
      <c r="J315" s="294">
        <v>0</v>
      </c>
      <c r="K315" s="74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308"/>
      <c r="I316" s="1252"/>
      <c r="J316" s="1252"/>
      <c r="K316" s="1255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308"/>
      <c r="I317" s="1252"/>
      <c r="J317" s="1252"/>
      <c r="K317" s="1255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491"/>
      <c r="B318" s="492"/>
      <c r="C318" s="492"/>
      <c r="D318" s="31"/>
      <c r="E318" s="21"/>
      <c r="F318" s="21"/>
      <c r="G318" s="24"/>
      <c r="H318" s="32"/>
      <c r="I318" s="494"/>
      <c r="J318" s="494"/>
      <c r="K318" s="33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5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1307" t="s">
        <v>133</v>
      </c>
      <c r="I320" s="617">
        <f t="shared" ref="I320:J320" ca="1" si="204">I331</f>
        <v>0</v>
      </c>
      <c r="J320" s="617">
        <f t="shared" si="204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1257">
        <f t="shared" ref="L321:N321" ca="1" si="205">L322+L323</f>
        <v>0</v>
      </c>
      <c r="M321" s="264">
        <f t="shared" ca="1" si="205"/>
        <v>0</v>
      </c>
      <c r="N321" s="264">
        <f t="shared" ca="1" si="205"/>
        <v>0</v>
      </c>
      <c r="O321" s="264">
        <f t="shared" ref="O321:O329" ca="1" si="206">IF(L321&gt;0,N321*100/L321,0)</f>
        <v>0</v>
      </c>
      <c r="P321" s="264">
        <f t="shared" ref="P321:P329" ca="1" si="207">IF(M321&gt;0,N321*100/M321,0)</f>
        <v>0</v>
      </c>
      <c r="Q321" s="264">
        <f t="shared" ref="Q321:S321" si="208">Q322+Q323</f>
        <v>0</v>
      </c>
      <c r="R321" s="264">
        <f t="shared" si="208"/>
        <v>0</v>
      </c>
      <c r="S321" s="264">
        <f t="shared" si="208"/>
        <v>0</v>
      </c>
      <c r="T321" s="264">
        <f t="shared" ref="T321:T329" si="209">IF(Q321&gt;0,S321*100/Q321,0)</f>
        <v>0</v>
      </c>
      <c r="U321" s="264">
        <f t="shared" ref="U321:U329" si="210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6">
        <f t="shared" ref="L322:N323" si="211">L325+L328</f>
        <v>0</v>
      </c>
      <c r="M322" s="77">
        <f t="shared" si="211"/>
        <v>0</v>
      </c>
      <c r="N322" s="77">
        <f t="shared" si="211"/>
        <v>0</v>
      </c>
      <c r="O322" s="77">
        <f t="shared" si="206"/>
        <v>0</v>
      </c>
      <c r="P322" s="77">
        <f t="shared" si="207"/>
        <v>0</v>
      </c>
      <c r="Q322" s="77">
        <f t="shared" ref="Q322:S323" si="212">Q325+Q328</f>
        <v>0</v>
      </c>
      <c r="R322" s="77">
        <f t="shared" si="212"/>
        <v>0</v>
      </c>
      <c r="S322" s="77">
        <f t="shared" si="212"/>
        <v>0</v>
      </c>
      <c r="T322" s="77">
        <f t="shared" si="209"/>
        <v>0</v>
      </c>
      <c r="U322" s="77">
        <f t="shared" si="210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3">
        <f t="shared" ca="1" si="211"/>
        <v>0</v>
      </c>
      <c r="M323" s="74">
        <f t="shared" ca="1" si="211"/>
        <v>0</v>
      </c>
      <c r="N323" s="74">
        <f t="shared" ca="1" si="211"/>
        <v>0</v>
      </c>
      <c r="O323" s="74">
        <f t="shared" ca="1" si="206"/>
        <v>0</v>
      </c>
      <c r="P323" s="74">
        <f t="shared" ca="1" si="207"/>
        <v>0</v>
      </c>
      <c r="Q323" s="74">
        <f t="shared" si="212"/>
        <v>0</v>
      </c>
      <c r="R323" s="74">
        <f t="shared" si="212"/>
        <v>0</v>
      </c>
      <c r="S323" s="74">
        <f t="shared" si="212"/>
        <v>0</v>
      </c>
      <c r="T323" s="74">
        <f t="shared" si="209"/>
        <v>0</v>
      </c>
      <c r="U323" s="74">
        <f t="shared" si="210"/>
        <v>0</v>
      </c>
    </row>
    <row r="324" spans="1:21" ht="18.75" hidden="1" x14ac:dyDescent="0.25">
      <c r="A324" s="257"/>
      <c r="B324" s="258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3">
        <f t="shared" ref="L324:N324" ca="1" si="213">L325+L326</f>
        <v>0</v>
      </c>
      <c r="M324" s="74">
        <f t="shared" ca="1" si="213"/>
        <v>0</v>
      </c>
      <c r="N324" s="74">
        <f t="shared" ca="1" si="213"/>
        <v>0</v>
      </c>
      <c r="O324" s="74">
        <f t="shared" ca="1" si="206"/>
        <v>0</v>
      </c>
      <c r="P324" s="74">
        <f t="shared" ca="1" si="207"/>
        <v>0</v>
      </c>
      <c r="Q324" s="74">
        <f t="shared" ref="Q324:S324" si="214">Q325+Q326</f>
        <v>0</v>
      </c>
      <c r="R324" s="74">
        <f t="shared" si="214"/>
        <v>0</v>
      </c>
      <c r="S324" s="74">
        <f t="shared" si="214"/>
        <v>0</v>
      </c>
      <c r="T324" s="74">
        <f t="shared" si="209"/>
        <v>0</v>
      </c>
      <c r="U324" s="74">
        <f t="shared" si="210"/>
        <v>0</v>
      </c>
    </row>
    <row r="325" spans="1:21" ht="18.75" hidden="1" x14ac:dyDescent="0.25">
      <c r="A325" s="257"/>
      <c r="B325" s="258"/>
      <c r="C325" s="258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77">
        <f t="shared" si="206"/>
        <v>0</v>
      </c>
      <c r="P325" s="77">
        <f t="shared" si="207"/>
        <v>0</v>
      </c>
      <c r="Q325" s="77">
        <v>0</v>
      </c>
      <c r="R325" s="77">
        <v>0</v>
      </c>
      <c r="S325" s="77">
        <v>0</v>
      </c>
      <c r="T325" s="77">
        <f t="shared" si="209"/>
        <v>0</v>
      </c>
      <c r="U325" s="77">
        <f t="shared" si="210"/>
        <v>0</v>
      </c>
    </row>
    <row r="326" spans="1:21" ht="18.75" hidden="1" x14ac:dyDescent="0.25">
      <c r="A326" s="257"/>
      <c r="B326" s="258"/>
      <c r="C326" s="258"/>
      <c r="D326" s="258"/>
      <c r="E326" s="267" t="s">
        <v>37</v>
      </c>
      <c r="F326" s="258"/>
      <c r="G326" s="261"/>
      <c r="H326" s="271" t="s">
        <v>14</v>
      </c>
      <c r="I326" s="272"/>
      <c r="J326" s="272"/>
      <c r="K326" s="229"/>
      <c r="L326" s="73">
        <f ca="1">IFERROR(__xludf.DUMMYFUNCTION("IMPORTRANGE(""https://docs.google.com/spreadsheets/d/1-uDff_7J0KD5mKrp0Vvzr7lt3OU09vwQwhkpOPPYv2Y/edit?usp=sharing"",""งบพรบ!EI63"")"),0)</f>
        <v>0</v>
      </c>
      <c r="M326" s="74">
        <f ca="1">IFERROR(__xludf.DUMMYFUNCTION("IMPORTRANGE(""https://docs.google.com/spreadsheets/d/1-uDff_7J0KD5mKrp0Vvzr7lt3OU09vwQwhkpOPPYv2Y/edit?usp=sharing"",""งบพรบ!EN63"")"),0)</f>
        <v>0</v>
      </c>
      <c r="N326" s="74">
        <f ca="1">IFERROR(__xludf.DUMMYFUNCTION("IMPORTRANGE(""https://docs.google.com/spreadsheets/d/1-uDff_7J0KD5mKrp0Vvzr7lt3OU09vwQwhkpOPPYv2Y/edit?usp=sharing"",""งบพรบ!EP63"")"),0)</f>
        <v>0</v>
      </c>
      <c r="O326" s="74">
        <f t="shared" ca="1" si="206"/>
        <v>0</v>
      </c>
      <c r="P326" s="74">
        <f t="shared" ca="1" si="207"/>
        <v>0</v>
      </c>
      <c r="Q326" s="74">
        <v>0</v>
      </c>
      <c r="R326" s="74">
        <v>0</v>
      </c>
      <c r="S326" s="74">
        <v>0</v>
      </c>
      <c r="T326" s="74">
        <f t="shared" si="209"/>
        <v>0</v>
      </c>
      <c r="U326" s="74">
        <f t="shared" si="210"/>
        <v>0</v>
      </c>
    </row>
    <row r="327" spans="1:21" ht="18.75" hidden="1" x14ac:dyDescent="0.25">
      <c r="A327" s="257"/>
      <c r="B327" s="258"/>
      <c r="C327" s="258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3">
        <f t="shared" ref="L327:N327" ca="1" si="215">L328+L329</f>
        <v>0</v>
      </c>
      <c r="M327" s="74">
        <f t="shared" ca="1" si="215"/>
        <v>0</v>
      </c>
      <c r="N327" s="74">
        <f t="shared" ca="1" si="215"/>
        <v>0</v>
      </c>
      <c r="O327" s="74">
        <f t="shared" ca="1" si="206"/>
        <v>0</v>
      </c>
      <c r="P327" s="74">
        <f t="shared" ca="1" si="207"/>
        <v>0</v>
      </c>
      <c r="Q327" s="74">
        <f t="shared" ref="Q327:S327" si="216">Q328+Q329</f>
        <v>0</v>
      </c>
      <c r="R327" s="74">
        <f t="shared" si="216"/>
        <v>0</v>
      </c>
      <c r="S327" s="74">
        <f t="shared" si="216"/>
        <v>0</v>
      </c>
      <c r="T327" s="74">
        <f t="shared" si="209"/>
        <v>0</v>
      </c>
      <c r="U327" s="74">
        <f t="shared" si="210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77">
        <f t="shared" si="206"/>
        <v>0</v>
      </c>
      <c r="P328" s="77">
        <f t="shared" si="207"/>
        <v>0</v>
      </c>
      <c r="Q328" s="77">
        <v>0</v>
      </c>
      <c r="R328" s="77">
        <v>0</v>
      </c>
      <c r="S328" s="77">
        <v>0</v>
      </c>
      <c r="T328" s="77">
        <f t="shared" si="209"/>
        <v>0</v>
      </c>
      <c r="U328" s="77">
        <f t="shared" si="210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3">
        <f ca="1">IFERROR(__xludf.DUMMYFUNCTION("IMPORTRANGE(""https://docs.google.com/spreadsheets/d/1-uDff_7J0KD5mKrp0Vvzr7lt3OU09vwQwhkpOPPYv2Y/edit?usp=sharing"",""งบพรบ!EL63"")"),0)</f>
        <v>0</v>
      </c>
      <c r="M329" s="74">
        <f ca="1">IFERROR(__xludf.DUMMYFUNCTION("IMPORTRANGE(""https://docs.google.com/spreadsheets/d/1-uDff_7J0KD5mKrp0Vvzr7lt3OU09vwQwhkpOPPYv2Y/edit?usp=sharing"",""งบพรบ!EO63"")"),0)</f>
        <v>0</v>
      </c>
      <c r="N329" s="74">
        <f ca="1">IFERROR(__xludf.DUMMYFUNCTION("IMPORTRANGE(""https://docs.google.com/spreadsheets/d/1-uDff_7J0KD5mKrp0Vvzr7lt3OU09vwQwhkpOPPYv2Y/edit?usp=sharing"",""งบพรบ!EQ63"")"),0)</f>
        <v>0</v>
      </c>
      <c r="O329" s="74">
        <f t="shared" ca="1" si="206"/>
        <v>0</v>
      </c>
      <c r="P329" s="74">
        <f t="shared" ca="1" si="207"/>
        <v>0</v>
      </c>
      <c r="Q329" s="74">
        <v>0</v>
      </c>
      <c r="R329" s="74">
        <v>0</v>
      </c>
      <c r="S329" s="74">
        <v>0</v>
      </c>
      <c r="T329" s="74">
        <f t="shared" si="209"/>
        <v>0</v>
      </c>
      <c r="U329" s="74">
        <f t="shared" si="210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282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92" t="s">
        <v>133</v>
      </c>
      <c r="I331" s="293">
        <f ca="1">IFERROR(__xludf.DUMMYFUNCTION("IMPORTRANGE(""https://docs.google.com/spreadsheets/d/1eHaY18a8A9IcSdp1K8H6x8fbOy06t2VsZHhMHf-1x7Y/edit?usp=sharing"",""แผน!EJ63"")"),0)</f>
        <v>0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5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1307" t="s">
        <v>35</v>
      </c>
      <c r="I333" s="534">
        <f ca="1">I345</f>
        <v>660</v>
      </c>
      <c r="J333" s="535">
        <f ca="1">J345+J348+J349+J350+J354</f>
        <v>1815</v>
      </c>
      <c r="K333" s="536">
        <f ca="1">IF(I333&gt;0,J333*100/I333,0)</f>
        <v>275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1257">
        <f t="shared" ref="L334:N334" ca="1" si="217">L335+L336</f>
        <v>101000</v>
      </c>
      <c r="M334" s="264">
        <f t="shared" ca="1" si="217"/>
        <v>106000</v>
      </c>
      <c r="N334" s="264">
        <f t="shared" ca="1" si="217"/>
        <v>55590</v>
      </c>
      <c r="O334" s="264">
        <f t="shared" ref="O334:O342" ca="1" si="218">IF(L334&gt;0,N334*100/L334,0)</f>
        <v>55.039603960396036</v>
      </c>
      <c r="P334" s="264">
        <f t="shared" ref="P334:P342" ca="1" si="219">IF(M334&gt;0,N334*100/M334,0)</f>
        <v>52.443396226415096</v>
      </c>
      <c r="Q334" s="264">
        <f t="shared" ref="Q334:S334" si="220">Q335+Q336</f>
        <v>0</v>
      </c>
      <c r="R334" s="264">
        <f t="shared" si="220"/>
        <v>0</v>
      </c>
      <c r="S334" s="264">
        <f t="shared" si="220"/>
        <v>0</v>
      </c>
      <c r="T334" s="264">
        <f t="shared" ref="T334:T342" si="221">IF(Q334&gt;0,S334*100/Q334,0)</f>
        <v>0</v>
      </c>
      <c r="U334" s="264">
        <f t="shared" ref="U334:U342" si="222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6">
        <f t="shared" ref="L335:N336" si="223">L338+L341</f>
        <v>0</v>
      </c>
      <c r="M335" s="77">
        <f t="shared" si="223"/>
        <v>0</v>
      </c>
      <c r="N335" s="77">
        <f t="shared" si="223"/>
        <v>0</v>
      </c>
      <c r="O335" s="77">
        <f t="shared" si="218"/>
        <v>0</v>
      </c>
      <c r="P335" s="77">
        <f t="shared" si="219"/>
        <v>0</v>
      </c>
      <c r="Q335" s="77">
        <f t="shared" ref="Q335:S336" si="224">Q338+Q341</f>
        <v>0</v>
      </c>
      <c r="R335" s="77">
        <f t="shared" si="224"/>
        <v>0</v>
      </c>
      <c r="S335" s="77">
        <f t="shared" si="224"/>
        <v>0</v>
      </c>
      <c r="T335" s="77">
        <f t="shared" si="221"/>
        <v>0</v>
      </c>
      <c r="U335" s="77">
        <f t="shared" si="222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3">
        <f t="shared" ca="1" si="223"/>
        <v>101000</v>
      </c>
      <c r="M336" s="74">
        <f t="shared" ca="1" si="223"/>
        <v>106000</v>
      </c>
      <c r="N336" s="74">
        <f t="shared" ca="1" si="223"/>
        <v>55590</v>
      </c>
      <c r="O336" s="74">
        <f t="shared" ca="1" si="218"/>
        <v>55.039603960396036</v>
      </c>
      <c r="P336" s="74">
        <f t="shared" ca="1" si="219"/>
        <v>52.443396226415096</v>
      </c>
      <c r="Q336" s="74">
        <f t="shared" si="224"/>
        <v>0</v>
      </c>
      <c r="R336" s="74">
        <f t="shared" si="224"/>
        <v>0</v>
      </c>
      <c r="S336" s="74">
        <f t="shared" si="224"/>
        <v>0</v>
      </c>
      <c r="T336" s="74">
        <f t="shared" si="221"/>
        <v>0</v>
      </c>
      <c r="U336" s="74">
        <f t="shared" si="222"/>
        <v>0</v>
      </c>
    </row>
    <row r="337" spans="1:21" ht="18.75" x14ac:dyDescent="0.25">
      <c r="A337" s="257"/>
      <c r="B337" s="258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3">
        <f t="shared" ref="L337:N337" ca="1" si="225">L338+L339</f>
        <v>101000</v>
      </c>
      <c r="M337" s="74">
        <f t="shared" ca="1" si="225"/>
        <v>106000</v>
      </c>
      <c r="N337" s="74">
        <f t="shared" ca="1" si="225"/>
        <v>55590</v>
      </c>
      <c r="O337" s="74">
        <f t="shared" ca="1" si="218"/>
        <v>55.039603960396036</v>
      </c>
      <c r="P337" s="74">
        <f t="shared" ca="1" si="219"/>
        <v>52.443396226415096</v>
      </c>
      <c r="Q337" s="74">
        <f t="shared" ref="Q337:S337" si="226">Q338+Q339</f>
        <v>0</v>
      </c>
      <c r="R337" s="74">
        <f t="shared" si="226"/>
        <v>0</v>
      </c>
      <c r="S337" s="74">
        <f t="shared" si="226"/>
        <v>0</v>
      </c>
      <c r="T337" s="74">
        <f t="shared" si="221"/>
        <v>0</v>
      </c>
      <c r="U337" s="74">
        <f t="shared" si="222"/>
        <v>0</v>
      </c>
    </row>
    <row r="338" spans="1:21" ht="18.75" hidden="1" x14ac:dyDescent="0.25">
      <c r="A338" s="257"/>
      <c r="B338" s="258"/>
      <c r="C338" s="258"/>
      <c r="D338" s="258"/>
      <c r="E338" s="26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77">
        <f t="shared" si="218"/>
        <v>0</v>
      </c>
      <c r="P338" s="77">
        <f t="shared" si="219"/>
        <v>0</v>
      </c>
      <c r="Q338" s="77">
        <v>0</v>
      </c>
      <c r="R338" s="77">
        <v>0</v>
      </c>
      <c r="S338" s="77">
        <v>0</v>
      </c>
      <c r="T338" s="77">
        <f t="shared" si="221"/>
        <v>0</v>
      </c>
      <c r="U338" s="77">
        <f t="shared" si="222"/>
        <v>0</v>
      </c>
    </row>
    <row r="339" spans="1:21" ht="18.75" hidden="1" x14ac:dyDescent="0.25">
      <c r="A339" s="257"/>
      <c r="B339" s="258"/>
      <c r="C339" s="258"/>
      <c r="D339" s="258"/>
      <c r="E339" s="267" t="s">
        <v>37</v>
      </c>
      <c r="F339" s="258"/>
      <c r="G339" s="261"/>
      <c r="H339" s="271" t="s">
        <v>14</v>
      </c>
      <c r="I339" s="272"/>
      <c r="J339" s="272"/>
      <c r="K339" s="229"/>
      <c r="L339" s="73">
        <f ca="1">IFERROR(__xludf.DUMMYFUNCTION("IMPORTRANGE(""https://docs.google.com/spreadsheets/d/1-uDff_7J0KD5mKrp0Vvzr7lt3OU09vwQwhkpOPPYv2Y/edit?usp=sharing"",""งบพรบ!ES63"")"),101000)</f>
        <v>101000</v>
      </c>
      <c r="M339" s="74">
        <f ca="1">IFERROR(__xludf.DUMMYFUNCTION("IMPORTRANGE(""https://docs.google.com/spreadsheets/d/1-uDff_7J0KD5mKrp0Vvzr7lt3OU09vwQwhkpOPPYv2Y/edit?usp=sharing"",""งบพรบ!EX63"")"),106000)</f>
        <v>106000</v>
      </c>
      <c r="N339" s="74">
        <f ca="1">IFERROR(__xludf.DUMMYFUNCTION("IMPORTRANGE(""https://docs.google.com/spreadsheets/d/1-uDff_7J0KD5mKrp0Vvzr7lt3OU09vwQwhkpOPPYv2Y/edit?usp=sharing"",""งบพรบ!EZ63"")"),55590)</f>
        <v>55590</v>
      </c>
      <c r="O339" s="74">
        <f t="shared" ca="1" si="218"/>
        <v>55.039603960396036</v>
      </c>
      <c r="P339" s="74">
        <f t="shared" ca="1" si="219"/>
        <v>52.443396226415096</v>
      </c>
      <c r="Q339" s="74">
        <v>0</v>
      </c>
      <c r="R339" s="74">
        <v>0</v>
      </c>
      <c r="S339" s="74">
        <v>0</v>
      </c>
      <c r="T339" s="74">
        <f t="shared" si="221"/>
        <v>0</v>
      </c>
      <c r="U339" s="74">
        <f t="shared" si="222"/>
        <v>0</v>
      </c>
    </row>
    <row r="340" spans="1:21" ht="18.75" x14ac:dyDescent="0.25">
      <c r="A340" s="257"/>
      <c r="B340" s="258"/>
      <c r="C340" s="258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3">
        <f t="shared" ref="L340:N340" ca="1" si="227">L341+L342</f>
        <v>0</v>
      </c>
      <c r="M340" s="74">
        <f t="shared" ca="1" si="227"/>
        <v>0</v>
      </c>
      <c r="N340" s="74">
        <f t="shared" ca="1" si="227"/>
        <v>0</v>
      </c>
      <c r="O340" s="74">
        <f t="shared" ca="1" si="218"/>
        <v>0</v>
      </c>
      <c r="P340" s="74">
        <f t="shared" ca="1" si="219"/>
        <v>0</v>
      </c>
      <c r="Q340" s="74">
        <f t="shared" ref="Q340:S340" si="228">Q341+Q342</f>
        <v>0</v>
      </c>
      <c r="R340" s="74">
        <f t="shared" si="228"/>
        <v>0</v>
      </c>
      <c r="S340" s="74">
        <f t="shared" si="228"/>
        <v>0</v>
      </c>
      <c r="T340" s="74">
        <f t="shared" si="221"/>
        <v>0</v>
      </c>
      <c r="U340" s="74">
        <f t="shared" si="222"/>
        <v>0</v>
      </c>
    </row>
    <row r="341" spans="1:21" ht="18.75" hidden="1" x14ac:dyDescent="0.25">
      <c r="A341" s="257"/>
      <c r="B341" s="258"/>
      <c r="C341" s="258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77">
        <f t="shared" si="218"/>
        <v>0</v>
      </c>
      <c r="P341" s="77">
        <f t="shared" si="219"/>
        <v>0</v>
      </c>
      <c r="Q341" s="77">
        <v>0</v>
      </c>
      <c r="R341" s="77">
        <v>0</v>
      </c>
      <c r="S341" s="77">
        <v>0</v>
      </c>
      <c r="T341" s="77">
        <f t="shared" si="221"/>
        <v>0</v>
      </c>
      <c r="U341" s="77">
        <f t="shared" si="222"/>
        <v>0</v>
      </c>
    </row>
    <row r="342" spans="1:21" ht="18.75" hidden="1" x14ac:dyDescent="0.25">
      <c r="A342" s="257"/>
      <c r="B342" s="258"/>
      <c r="C342" s="258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3">
        <f ca="1">IFERROR(__xludf.DUMMYFUNCTION("IMPORTRANGE(""https://docs.google.com/spreadsheets/d/1-uDff_7J0KD5mKrp0Vvzr7lt3OU09vwQwhkpOPPYv2Y/edit?usp=sharing"",""งบพรบ!EV63"")"),0)</f>
        <v>0</v>
      </c>
      <c r="M342" s="74">
        <f ca="1">IFERROR(__xludf.DUMMYFUNCTION("IMPORTRANGE(""https://docs.google.com/spreadsheets/d/1-uDff_7J0KD5mKrp0Vvzr7lt3OU09vwQwhkpOPPYv2Y/edit?usp=sharing"",""งบพรบ!EY63"")"),0)</f>
        <v>0</v>
      </c>
      <c r="N342" s="74">
        <f ca="1">IFERROR(__xludf.DUMMYFUNCTION("IMPORTRANGE(""https://docs.google.com/spreadsheets/d/1-uDff_7J0KD5mKrp0Vvzr7lt3OU09vwQwhkpOPPYv2Y/edit?usp=sharing"",""งบพรบ!FA63"")"),0)</f>
        <v>0</v>
      </c>
      <c r="O342" s="74">
        <f t="shared" ca="1" si="218"/>
        <v>0</v>
      </c>
      <c r="P342" s="74">
        <f t="shared" ca="1" si="219"/>
        <v>0</v>
      </c>
      <c r="Q342" s="74">
        <v>0</v>
      </c>
      <c r="R342" s="74">
        <v>0</v>
      </c>
      <c r="S342" s="74">
        <v>0</v>
      </c>
      <c r="T342" s="74">
        <f t="shared" si="221"/>
        <v>0</v>
      </c>
      <c r="U342" s="74">
        <f t="shared" si="222"/>
        <v>0</v>
      </c>
    </row>
    <row r="343" spans="1:21" ht="19.5" x14ac:dyDescent="0.3">
      <c r="A343" s="276"/>
      <c r="B343" s="277"/>
      <c r="C343" s="259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614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551" t="s">
        <v>35</v>
      </c>
      <c r="I345" s="293">
        <f ca="1">IFERROR(__xludf.DUMMYFUNCTION("IMPORTRANGE(""https://docs.google.com/spreadsheets/d/1eHaY18a8A9IcSdp1K8H6x8fbOy06t2VsZHhMHf-1x7Y/edit?usp=sharing"",""แผน!EK63"")"),660)</f>
        <v>660</v>
      </c>
      <c r="J345" s="293">
        <f ca="1">IFERROR(__xludf.DUMMYFUNCTION("IMPORTRANGE(""https://docs.google.com/spreadsheets/d/1awYsYK3VOup2i3Pq_Yjnu8DRu_mYwSBnCR2QPthd0rU/edit?usp=sharing"",""ศูนย์ยกเว้นโฉนด!D63"")"),612)</f>
        <v>612</v>
      </c>
      <c r="K345" s="74">
        <f ca="1">IF(I345&gt;0,J345*100/I345,0)</f>
        <v>92.727272727272734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IFERROR(__xludf.DUMMYFUNCTION("IMPORTRANGE(""https://docs.google.com/spreadsheets/d/1eHaY18a8A9IcSdp1K8H6x8fbOy06t2VsZHhMHf-1x7Y/edit?usp=sharing"",""แผน!EL63"")"),2)</f>
        <v>2</v>
      </c>
      <c r="J347" s="293">
        <f ca="1">IFERROR(__xludf.DUMMYFUNCTION("IMPORTRANGE(""https://docs.google.com/spreadsheets/d/1awYsYK3VOup2i3Pq_Yjnu8DRu_mYwSBnCR2QPthd0rU/edit?usp=sharing"",""ศูนย์รวม!E63"")"),1)</f>
        <v>1</v>
      </c>
      <c r="K347" s="74">
        <f ca="1">IF(I347&gt;0,J347*100/I347,0)</f>
        <v>50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IFERROR(__xludf.DUMMYFUNCTION("IMPORTRANGE(""https://docs.google.com/spreadsheets/d/1awYsYK3VOup2i3Pq_Yjnu8DRu_mYwSBnCR2QPthd0rU/edit?usp=sharing"",""ศูนย์ยกเว้นโฉนด!F63"")"),0)</f>
        <v>0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IFERROR(__xludf.DUMMYFUNCTION("IMPORTRANGE(""https://docs.google.com/spreadsheets/d/1awYsYK3VOup2i3Pq_Yjnu8DRu_mYwSBnCR2QPthd0rU/edit?usp=sharing"",""ศูนย์ยกเว้นโฉนด!G63"")"),2)</f>
        <v>2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IFERROR(__xludf.DUMMYFUNCTION("IMPORTRANGE(""https://docs.google.com/spreadsheets/d/1awYsYK3VOup2i3Pq_Yjnu8DRu_mYwSBnCR2QPthd0rU/edit?usp=sharing"",""ศูนย์ยกเว้นโฉนด!H63"")"),0)</f>
        <v>0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558" t="s">
        <v>35</v>
      </c>
      <c r="I352" s="559">
        <v>0</v>
      </c>
      <c r="J352" s="559">
        <f ca="1">J353+J354</f>
        <v>1225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IFERROR(__xludf.DUMMYFUNCTION("IMPORTRANGE(""https://docs.google.com/spreadsheets/d/1awYsYK3VOup2i3Pq_Yjnu8DRu_mYwSBnCR2QPthd0rU/edit?usp=sharing"",""โฉนดM3!G63"")"),24)</f>
        <v>24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IFERROR(__xludf.DUMMYFUNCTION("IMPORTRANGE(""https://docs.google.com/spreadsheets/d/1awYsYK3VOup2i3Pq_Yjnu8DRu_mYwSBnCR2QPthd0rU/edit?usp=sharing"",""โฉนดM3!H63"")"),1201)</f>
        <v>1201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08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1257">
        <f t="shared" ref="L357:N357" ca="1" si="229">L358+L359</f>
        <v>618525</v>
      </c>
      <c r="M357" s="264">
        <f t="shared" ca="1" si="229"/>
        <v>640225</v>
      </c>
      <c r="N357" s="264">
        <f t="shared" ca="1" si="229"/>
        <v>316637.2</v>
      </c>
      <c r="O357" s="264">
        <f t="shared" ref="O357:O365" ca="1" si="230">IF(L357&gt;0,N357*100/L357,0)</f>
        <v>51.192304272260621</v>
      </c>
      <c r="P357" s="264">
        <f t="shared" ref="P357:P365" ca="1" si="231">IF(M357&gt;0,N357*100/M357,0)</f>
        <v>49.457175211839591</v>
      </c>
      <c r="Q357" s="264">
        <f t="shared" ref="Q357:S357" si="232">Q358+Q359</f>
        <v>0</v>
      </c>
      <c r="R357" s="264">
        <f t="shared" si="232"/>
        <v>0</v>
      </c>
      <c r="S357" s="264">
        <f t="shared" si="232"/>
        <v>0</v>
      </c>
      <c r="T357" s="264">
        <f t="shared" ref="T357:T365" si="233">IF(Q357&gt;0,S357*100/Q357,0)</f>
        <v>0</v>
      </c>
      <c r="U357" s="264">
        <f t="shared" ref="U357:U365" si="234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6">
        <f t="shared" ref="L358:N359" si="235">L361+L364</f>
        <v>0</v>
      </c>
      <c r="M358" s="77">
        <f t="shared" si="235"/>
        <v>0</v>
      </c>
      <c r="N358" s="77">
        <f t="shared" si="235"/>
        <v>0</v>
      </c>
      <c r="O358" s="77">
        <f t="shared" si="230"/>
        <v>0</v>
      </c>
      <c r="P358" s="77">
        <f t="shared" si="231"/>
        <v>0</v>
      </c>
      <c r="Q358" s="77">
        <f t="shared" ref="Q358:S359" si="236">Q361+Q364</f>
        <v>0</v>
      </c>
      <c r="R358" s="77">
        <f t="shared" si="236"/>
        <v>0</v>
      </c>
      <c r="S358" s="77">
        <f t="shared" si="236"/>
        <v>0</v>
      </c>
      <c r="T358" s="77">
        <f t="shared" si="233"/>
        <v>0</v>
      </c>
      <c r="U358" s="77">
        <f t="shared" si="234"/>
        <v>0</v>
      </c>
    </row>
    <row r="359" spans="1:21" ht="18.75" hidden="1" x14ac:dyDescent="0.25">
      <c r="A359" s="257"/>
      <c r="B359" s="258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3">
        <f t="shared" ca="1" si="235"/>
        <v>618525</v>
      </c>
      <c r="M359" s="74">
        <f t="shared" ca="1" si="235"/>
        <v>640225</v>
      </c>
      <c r="N359" s="74">
        <f t="shared" ca="1" si="235"/>
        <v>316637.2</v>
      </c>
      <c r="O359" s="74">
        <f t="shared" ca="1" si="230"/>
        <v>51.192304272260621</v>
      </c>
      <c r="P359" s="74">
        <f t="shared" ca="1" si="231"/>
        <v>49.457175211839591</v>
      </c>
      <c r="Q359" s="74">
        <f t="shared" si="236"/>
        <v>0</v>
      </c>
      <c r="R359" s="74">
        <f t="shared" si="236"/>
        <v>0</v>
      </c>
      <c r="S359" s="74">
        <f t="shared" si="236"/>
        <v>0</v>
      </c>
      <c r="T359" s="74">
        <f t="shared" si="233"/>
        <v>0</v>
      </c>
      <c r="U359" s="74">
        <f t="shared" si="234"/>
        <v>0</v>
      </c>
    </row>
    <row r="360" spans="1:21" ht="18.75" x14ac:dyDescent="0.25">
      <c r="A360" s="257"/>
      <c r="B360" s="258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3">
        <f t="shared" ref="L360:N360" ca="1" si="237">L361+L362</f>
        <v>618525</v>
      </c>
      <c r="M360" s="74">
        <f t="shared" ca="1" si="237"/>
        <v>640225</v>
      </c>
      <c r="N360" s="74">
        <f t="shared" ca="1" si="237"/>
        <v>316637.2</v>
      </c>
      <c r="O360" s="74">
        <f t="shared" ca="1" si="230"/>
        <v>51.192304272260621</v>
      </c>
      <c r="P360" s="74">
        <f t="shared" ca="1" si="231"/>
        <v>49.457175211839591</v>
      </c>
      <c r="Q360" s="74">
        <f t="shared" ref="Q360:S360" si="238">Q361+Q362</f>
        <v>0</v>
      </c>
      <c r="R360" s="74">
        <f t="shared" si="238"/>
        <v>0</v>
      </c>
      <c r="S360" s="74">
        <f t="shared" si="238"/>
        <v>0</v>
      </c>
      <c r="T360" s="74">
        <f t="shared" si="233"/>
        <v>0</v>
      </c>
      <c r="U360" s="74">
        <f t="shared" si="234"/>
        <v>0</v>
      </c>
    </row>
    <row r="361" spans="1:21" ht="18.75" hidden="1" x14ac:dyDescent="0.25">
      <c r="A361" s="257"/>
      <c r="B361" s="258"/>
      <c r="C361" s="258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77">
        <f t="shared" si="230"/>
        <v>0</v>
      </c>
      <c r="P361" s="77">
        <f t="shared" si="231"/>
        <v>0</v>
      </c>
      <c r="Q361" s="77">
        <v>0</v>
      </c>
      <c r="R361" s="77">
        <v>0</v>
      </c>
      <c r="S361" s="77">
        <v>0</v>
      </c>
      <c r="T361" s="77">
        <f t="shared" si="233"/>
        <v>0</v>
      </c>
      <c r="U361" s="77">
        <f t="shared" si="234"/>
        <v>0</v>
      </c>
    </row>
    <row r="362" spans="1:21" ht="18.75" hidden="1" x14ac:dyDescent="0.25">
      <c r="A362" s="257"/>
      <c r="B362" s="258"/>
      <c r="C362" s="258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3">
        <f ca="1">IFERROR(__xludf.DUMMYFUNCTION("IMPORTRANGE(""https://docs.google.com/spreadsheets/d/1-uDff_7J0KD5mKrp0Vvzr7lt3OU09vwQwhkpOPPYv2Y/edit?usp=sharing"",""งบพรบ!FC63"")"),618525)</f>
        <v>618525</v>
      </c>
      <c r="M362" s="74">
        <f ca="1">IFERROR(__xludf.DUMMYFUNCTION("IMPORTRANGE(""https://docs.google.com/spreadsheets/d/1-uDff_7J0KD5mKrp0Vvzr7lt3OU09vwQwhkpOPPYv2Y/edit?usp=sharing"",""งบพรบ!FH63"")"),640225)</f>
        <v>640225</v>
      </c>
      <c r="N362" s="74">
        <f ca="1">IFERROR(__xludf.DUMMYFUNCTION("IMPORTRANGE(""https://docs.google.com/spreadsheets/d/1-uDff_7J0KD5mKrp0Vvzr7lt3OU09vwQwhkpOPPYv2Y/edit?usp=sharing"",""งบพรบ!FJ63"")"),316637.2)</f>
        <v>316637.2</v>
      </c>
      <c r="O362" s="74">
        <f t="shared" ca="1" si="230"/>
        <v>51.192304272260621</v>
      </c>
      <c r="P362" s="74">
        <f t="shared" ca="1" si="231"/>
        <v>49.457175211839591</v>
      </c>
      <c r="Q362" s="74">
        <v>0</v>
      </c>
      <c r="R362" s="74">
        <v>0</v>
      </c>
      <c r="S362" s="74">
        <v>0</v>
      </c>
      <c r="T362" s="74">
        <f t="shared" si="233"/>
        <v>0</v>
      </c>
      <c r="U362" s="74">
        <f t="shared" si="234"/>
        <v>0</v>
      </c>
    </row>
    <row r="363" spans="1:21" ht="18.75" x14ac:dyDescent="0.25">
      <c r="A363" s="257"/>
      <c r="B363" s="258"/>
      <c r="C363" s="258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3">
        <f t="shared" ref="L363:N363" ca="1" si="239">L364+L365</f>
        <v>0</v>
      </c>
      <c r="M363" s="74">
        <f t="shared" ca="1" si="239"/>
        <v>0</v>
      </c>
      <c r="N363" s="74">
        <f t="shared" ca="1" si="239"/>
        <v>0</v>
      </c>
      <c r="O363" s="74">
        <f t="shared" ca="1" si="230"/>
        <v>0</v>
      </c>
      <c r="P363" s="74">
        <f t="shared" ca="1" si="231"/>
        <v>0</v>
      </c>
      <c r="Q363" s="74">
        <f t="shared" ref="Q363:S363" si="240">Q364+Q365</f>
        <v>0</v>
      </c>
      <c r="R363" s="74">
        <f t="shared" si="240"/>
        <v>0</v>
      </c>
      <c r="S363" s="74">
        <f t="shared" si="240"/>
        <v>0</v>
      </c>
      <c r="T363" s="74">
        <f t="shared" si="233"/>
        <v>0</v>
      </c>
      <c r="U363" s="74">
        <f t="shared" si="234"/>
        <v>0</v>
      </c>
    </row>
    <row r="364" spans="1:21" ht="18.75" hidden="1" x14ac:dyDescent="0.25">
      <c r="A364" s="257"/>
      <c r="B364" s="258"/>
      <c r="C364" s="258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77">
        <f t="shared" si="230"/>
        <v>0</v>
      </c>
      <c r="P364" s="77">
        <f t="shared" si="231"/>
        <v>0</v>
      </c>
      <c r="Q364" s="77">
        <v>0</v>
      </c>
      <c r="R364" s="77">
        <v>0</v>
      </c>
      <c r="S364" s="77">
        <v>0</v>
      </c>
      <c r="T364" s="77">
        <f t="shared" si="233"/>
        <v>0</v>
      </c>
      <c r="U364" s="77">
        <f t="shared" si="234"/>
        <v>0</v>
      </c>
    </row>
    <row r="365" spans="1:21" ht="18.75" hidden="1" x14ac:dyDescent="0.25">
      <c r="A365" s="257"/>
      <c r="B365" s="258"/>
      <c r="C365" s="258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3">
        <f ca="1">IFERROR(__xludf.DUMMYFUNCTION("IMPORTRANGE(""https://docs.google.com/spreadsheets/d/1-uDff_7J0KD5mKrp0Vvzr7lt3OU09vwQwhkpOPPYv2Y/edit?usp=sharing"",""งบพรบ!FF63"")"),0)</f>
        <v>0</v>
      </c>
      <c r="M365" s="74">
        <f ca="1">IFERROR(__xludf.DUMMYFUNCTION("IMPORTRANGE(""https://docs.google.com/spreadsheets/d/1-uDff_7J0KD5mKrp0Vvzr7lt3OU09vwQwhkpOPPYv2Y/edit?usp=sharing"",""งบพรบ!FI63"")"),0)</f>
        <v>0</v>
      </c>
      <c r="N365" s="74">
        <f ca="1">IFERROR(__xludf.DUMMYFUNCTION("IMPORTRANGE(""https://docs.google.com/spreadsheets/d/1-uDff_7J0KD5mKrp0Vvzr7lt3OU09vwQwhkpOPPYv2Y/edit?usp=sharing"",""งบพรบ!FK63"")"),0)</f>
        <v>0</v>
      </c>
      <c r="O365" s="74">
        <f t="shared" ca="1" si="230"/>
        <v>0</v>
      </c>
      <c r="P365" s="74">
        <f t="shared" ca="1" si="231"/>
        <v>0</v>
      </c>
      <c r="Q365" s="74">
        <v>0</v>
      </c>
      <c r="R365" s="74">
        <v>0</v>
      </c>
      <c r="S365" s="74">
        <v>0</v>
      </c>
      <c r="T365" s="74">
        <f t="shared" si="233"/>
        <v>0</v>
      </c>
      <c r="U365" s="74">
        <f t="shared" si="234"/>
        <v>0</v>
      </c>
    </row>
    <row r="366" spans="1:21" ht="19.5" x14ac:dyDescent="0.3">
      <c r="A366" s="553"/>
      <c r="B366" s="555"/>
      <c r="C366" s="554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1">I372</f>
        <v>60</v>
      </c>
      <c r="J366" s="559">
        <f t="shared" ca="1" si="241"/>
        <v>0</v>
      </c>
      <c r="K366" s="560">
        <f ca="1">IF(I366&gt;0,J366*100/I366,0)</f>
        <v>0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259" t="s">
        <v>18</v>
      </c>
      <c r="D367" s="1019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96"/>
      <c r="C368" s="277"/>
      <c r="D368" s="296"/>
      <c r="E368" s="767" t="s">
        <v>150</v>
      </c>
      <c r="F368" s="296"/>
      <c r="G368" s="282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IFERROR(__xludf.DUMMYFUNCTION("IMPORTRANGE(""https://docs.google.com/spreadsheets/d/1tdoBKaGub7dwA3U6UFTqxio9LNnvDCQjHKmttSEBsFQ/edit?usp=sharing"",""จัดที่ดิน!AB63"")"),4)</f>
        <v>4</v>
      </c>
      <c r="K368" s="74">
        <f t="shared" ref="K368:K373" si="242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IFERROR(__xludf.DUMMYFUNCTION("IMPORTRANGE(""https://docs.google.com/spreadsheets/d/1eHaY18a8A9IcSdp1K8H6x8fbOy06t2VsZHhMHf-1x7Y/edit?usp=sharing"",""แผน!EW63"")"),585)</f>
        <v>585</v>
      </c>
      <c r="J369" s="1190">
        <f ca="1">IFERROR(__xludf.DUMMYFUNCTION("IMPORTRANGE(""https://docs.google.com/spreadsheets/d/1tdoBKaGub7dwA3U6UFTqxio9LNnvDCQjHKmttSEBsFQ/edit?usp=sharing"",""จัดที่ดิน!AC63"")"),82)</f>
        <v>82</v>
      </c>
      <c r="K369" s="74">
        <f t="shared" ca="1" si="242"/>
        <v>14.017094017094017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99" t="s">
        <v>35</v>
      </c>
      <c r="I370" s="293">
        <f ca="1">IFERROR(__xludf.DUMMYFUNCTION("IMPORTRANGE(""https://docs.google.com/spreadsheets/d/1eHaY18a8A9IcSdp1K8H6x8fbOy06t2VsZHhMHf-1x7Y/edit?usp=sharing"",""แผน!EX63"")"),90)</f>
        <v>90</v>
      </c>
      <c r="J370" s="293">
        <f ca="1">IFERROR(__xludf.DUMMYFUNCTION("IMPORTRANGE(""https://docs.google.com/spreadsheets/d/1tdoBKaGub7dwA3U6UFTqxio9LNnvDCQjHKmttSEBsFQ/edit?usp=sharing"",""จัดที่ดิน!AD63"")"),0)</f>
        <v>0</v>
      </c>
      <c r="K370" s="74">
        <f t="shared" ca="1" si="242"/>
        <v>0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99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IFERROR(__xludf.DUMMYFUNCTION("IMPORTRANGE(""https://docs.google.com/spreadsheets/d/1tdoBKaGub7dwA3U6UFTqxio9LNnvDCQjHKmttSEBsFQ/edit?usp=sharing"",""จัดที่ดิน!AE63"")"),0)</f>
        <v>0</v>
      </c>
      <c r="K371" s="74">
        <f t="shared" si="242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99" t="s">
        <v>35</v>
      </c>
      <c r="I372" s="293">
        <f ca="1">IFERROR(__xludf.DUMMYFUNCTION("IMPORTRANGE(""https://docs.google.com/spreadsheets/d/1eHaY18a8A9IcSdp1K8H6x8fbOy06t2VsZHhMHf-1x7Y/edit?usp=sharing"",""แผน!EY63"")"),60)</f>
        <v>60</v>
      </c>
      <c r="J372" s="293">
        <f ca="1">IFERROR(__xludf.DUMMYFUNCTION("IMPORTRANGE(""https://docs.google.com/spreadsheets/d/1tdoBKaGub7dwA3U6UFTqxio9LNnvDCQjHKmttSEBsFQ/edit?usp=sharing"",""จัดที่ดิน!AF63"")"),0)</f>
        <v>0</v>
      </c>
      <c r="K372" s="74">
        <f t="shared" ca="1" si="242"/>
        <v>0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99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IFERROR(__xludf.DUMMYFUNCTION("IMPORTRANGE(""https://docs.google.com/spreadsheets/d/1tdoBKaGub7dwA3U6UFTqxio9LNnvDCQjHKmttSEBsFQ/edit?usp=sharing"",""จัดที่ดิน!AG63"")"),0)</f>
        <v>0</v>
      </c>
      <c r="K373" s="74">
        <f t="shared" si="242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37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3">I387+I389</f>
        <v>2000</v>
      </c>
      <c r="J375" s="585">
        <f t="shared" ca="1" si="243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1257">
        <f t="shared" ref="L376:N376" si="244">L377+L378</f>
        <v>0</v>
      </c>
      <c r="M376" s="264">
        <f t="shared" si="244"/>
        <v>0</v>
      </c>
      <c r="N376" s="264">
        <f t="shared" si="244"/>
        <v>0</v>
      </c>
      <c r="O376" s="264">
        <f t="shared" ref="O376:O384" si="245">IF(L376&gt;0,N376*100/L376,0)</f>
        <v>0</v>
      </c>
      <c r="P376" s="264">
        <f t="shared" ref="P376:P384" si="246">IF(M376&gt;0,N376*100/M376,0)</f>
        <v>0</v>
      </c>
      <c r="Q376" s="264">
        <f t="shared" ref="Q376:S376" ca="1" si="247">Q377+Q378</f>
        <v>125000</v>
      </c>
      <c r="R376" s="264">
        <f t="shared" ca="1" si="247"/>
        <v>0</v>
      </c>
      <c r="S376" s="264">
        <f t="shared" ca="1" si="247"/>
        <v>0</v>
      </c>
      <c r="T376" s="264">
        <f t="shared" ref="T376:T384" ca="1" si="248">IF(Q376&gt;0,S376*100/Q376,0)</f>
        <v>0</v>
      </c>
      <c r="U376" s="264">
        <f t="shared" ref="U376:U384" ca="1" si="249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6">
        <f t="shared" ref="L377:N378" si="250">L380+L383</f>
        <v>0</v>
      </c>
      <c r="M377" s="77">
        <f t="shared" si="250"/>
        <v>0</v>
      </c>
      <c r="N377" s="77">
        <f t="shared" si="250"/>
        <v>0</v>
      </c>
      <c r="O377" s="77">
        <f t="shared" si="245"/>
        <v>0</v>
      </c>
      <c r="P377" s="77">
        <f t="shared" si="246"/>
        <v>0</v>
      </c>
      <c r="Q377" s="77">
        <f t="shared" ref="Q377:S378" si="251">Q380+Q383</f>
        <v>0</v>
      </c>
      <c r="R377" s="77">
        <f t="shared" si="251"/>
        <v>0</v>
      </c>
      <c r="S377" s="77">
        <f t="shared" si="251"/>
        <v>0</v>
      </c>
      <c r="T377" s="77">
        <f t="shared" si="248"/>
        <v>0</v>
      </c>
      <c r="U377" s="77">
        <f t="shared" si="249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3">
        <f t="shared" si="250"/>
        <v>0</v>
      </c>
      <c r="M378" s="74">
        <f t="shared" si="250"/>
        <v>0</v>
      </c>
      <c r="N378" s="74">
        <f t="shared" si="250"/>
        <v>0</v>
      </c>
      <c r="O378" s="74">
        <f t="shared" si="245"/>
        <v>0</v>
      </c>
      <c r="P378" s="74">
        <f t="shared" si="246"/>
        <v>0</v>
      </c>
      <c r="Q378" s="74">
        <f t="shared" ca="1" si="251"/>
        <v>125000</v>
      </c>
      <c r="R378" s="74">
        <f t="shared" ca="1" si="251"/>
        <v>0</v>
      </c>
      <c r="S378" s="74">
        <f t="shared" ca="1" si="251"/>
        <v>0</v>
      </c>
      <c r="T378" s="74">
        <f t="shared" ca="1" si="248"/>
        <v>0</v>
      </c>
      <c r="U378" s="74">
        <f t="shared" ca="1" si="249"/>
        <v>0</v>
      </c>
    </row>
    <row r="379" spans="1:21" ht="18.75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3">
        <f t="shared" ref="L379:N379" si="252">L380+L381</f>
        <v>0</v>
      </c>
      <c r="M379" s="74">
        <f t="shared" si="252"/>
        <v>0</v>
      </c>
      <c r="N379" s="74">
        <f t="shared" si="252"/>
        <v>0</v>
      </c>
      <c r="O379" s="74">
        <f t="shared" si="245"/>
        <v>0</v>
      </c>
      <c r="P379" s="74">
        <f t="shared" si="246"/>
        <v>0</v>
      </c>
      <c r="Q379" s="74">
        <f t="shared" ref="Q379:S379" ca="1" si="253">Q380+Q381</f>
        <v>125000</v>
      </c>
      <c r="R379" s="74">
        <f t="shared" ca="1" si="253"/>
        <v>0</v>
      </c>
      <c r="S379" s="74">
        <f t="shared" ca="1" si="253"/>
        <v>0</v>
      </c>
      <c r="T379" s="74">
        <f t="shared" ca="1" si="248"/>
        <v>0</v>
      </c>
      <c r="U379" s="74">
        <f t="shared" ca="1" si="249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77">
        <f t="shared" si="245"/>
        <v>0</v>
      </c>
      <c r="P380" s="77">
        <f t="shared" si="246"/>
        <v>0</v>
      </c>
      <c r="Q380" s="77">
        <v>0</v>
      </c>
      <c r="R380" s="77">
        <v>0</v>
      </c>
      <c r="S380" s="77">
        <v>0</v>
      </c>
      <c r="T380" s="77">
        <f t="shared" si="248"/>
        <v>0</v>
      </c>
      <c r="U380" s="77">
        <f t="shared" si="249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74">
        <f t="shared" si="245"/>
        <v>0</v>
      </c>
      <c r="P381" s="74">
        <f t="shared" si="246"/>
        <v>0</v>
      </c>
      <c r="Q381" s="74">
        <f ca="1">IFERROR(__xludf.DUMMYFUNCTION("IMPORTRANGE(""https://docs.google.com/spreadsheets/d/1ItG2mGa2ceCfYo0BwxsXqNm01IGEUdYcSSLTEv9YCik/edit?usp=sharing"",""เบิกจ่ายกองทุน!AY63"")"),125000)</f>
        <v>125000</v>
      </c>
      <c r="R381" s="74">
        <f ca="1">IFERROR(__xludf.DUMMYFUNCTION("IMPORTRANGE(""https://docs.google.com/spreadsheets/d/1ItG2mGa2ceCfYo0BwxsXqNm01IGEUdYcSSLTEv9YCik/edit?usp=sharing"",""เบิกจ่ายกองทุน!AZ63"")"),0)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IFERROR(__xludf.DUMMYFUNCTION("IMPORTRANGE(""https://docs.google.com/spreadsheets/d/1ItG2mGa2ceCfYo0BwxsXqNm01IGEUdYcSSLTEv9YCik/edit?usp=sharing"",""เบิกจ่ายกองทุน!BA63"")"),0)</f>
        <v>0</v>
      </c>
      <c r="T381" s="74">
        <f t="shared" ca="1" si="248"/>
        <v>0</v>
      </c>
      <c r="U381" s="74">
        <f t="shared" ca="1" si="249"/>
        <v>0</v>
      </c>
    </row>
    <row r="382" spans="1:21" ht="18.75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3">
        <f t="shared" ref="L382:N382" si="254">L383+L384</f>
        <v>0</v>
      </c>
      <c r="M382" s="74">
        <f t="shared" si="254"/>
        <v>0</v>
      </c>
      <c r="N382" s="74">
        <f t="shared" si="254"/>
        <v>0</v>
      </c>
      <c r="O382" s="74">
        <f t="shared" si="245"/>
        <v>0</v>
      </c>
      <c r="P382" s="74">
        <f t="shared" si="246"/>
        <v>0</v>
      </c>
      <c r="Q382" s="74">
        <f t="shared" ref="Q382:S382" si="255">Q383+Q384</f>
        <v>0</v>
      </c>
      <c r="R382" s="74">
        <f t="shared" si="255"/>
        <v>0</v>
      </c>
      <c r="S382" s="74">
        <f t="shared" si="255"/>
        <v>0</v>
      </c>
      <c r="T382" s="74">
        <f t="shared" si="248"/>
        <v>0</v>
      </c>
      <c r="U382" s="74">
        <f t="shared" si="249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77">
        <f t="shared" si="245"/>
        <v>0</v>
      </c>
      <c r="P383" s="77">
        <f t="shared" si="246"/>
        <v>0</v>
      </c>
      <c r="Q383" s="77">
        <v>0</v>
      </c>
      <c r="R383" s="77">
        <v>0</v>
      </c>
      <c r="S383" s="77">
        <v>0</v>
      </c>
      <c r="T383" s="77">
        <f t="shared" si="248"/>
        <v>0</v>
      </c>
      <c r="U383" s="77">
        <f t="shared" si="249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74">
        <f t="shared" si="245"/>
        <v>0</v>
      </c>
      <c r="P384" s="74">
        <f t="shared" si="246"/>
        <v>0</v>
      </c>
      <c r="Q384" s="74">
        <v>0</v>
      </c>
      <c r="R384" s="74">
        <v>0</v>
      </c>
      <c r="S384" s="74">
        <v>0</v>
      </c>
      <c r="T384" s="74">
        <f t="shared" si="248"/>
        <v>0</v>
      </c>
      <c r="U384" s="74">
        <f t="shared" si="249"/>
        <v>0</v>
      </c>
    </row>
    <row r="385" spans="1:21" ht="19.5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v>0</v>
      </c>
      <c r="J386" s="293">
        <f ca="1">IFERROR(__xludf.DUMMYFUNCTION("IMPORTRANGE(""https://docs.google.com/spreadsheets/d/1w5rwWK1o49a35cNtocGL0gxDwhFSTZUQu90BiH9_zqM/edit?usp=sharing"",""RTK!H63"")"),0)</f>
        <v>0</v>
      </c>
      <c r="K386" s="74">
        <f t="shared" ref="K386:K389" si="256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IFERROR(__xludf.DUMMYFUNCTION("IMPORTRANGE(""https://docs.google.com/spreadsheets/d/1w5rwWK1o49a35cNtocGL0gxDwhFSTZUQu90BiH9_zqM/edit?usp=sharing"",""RTK!G63"")"),2000)</f>
        <v>2000</v>
      </c>
      <c r="J387" s="293">
        <f ca="1">IFERROR(__xludf.DUMMYFUNCTION("IMPORTRANGE(""https://docs.google.com/spreadsheets/d/1w5rwWK1o49a35cNtocGL0gxDwhFSTZUQu90BiH9_zqM/edit?usp=sharing"",""RTK!I63"")"),0)</f>
        <v>0</v>
      </c>
      <c r="K387" s="74">
        <f t="shared" ca="1" si="256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x14ac:dyDescent="0.25">
      <c r="A388" s="381"/>
      <c r="B388" s="381"/>
      <c r="C388" s="381"/>
      <c r="D388" s="381"/>
      <c r="E388" s="379" t="s">
        <v>155</v>
      </c>
      <c r="F388" s="381"/>
      <c r="G388" s="1033"/>
      <c r="H388" s="216" t="s">
        <v>34</v>
      </c>
      <c r="I388" s="321">
        <v>0</v>
      </c>
      <c r="J388" s="321">
        <f ca="1">IFERROR(__xludf.DUMMYFUNCTION("IMPORTRANGE(""https://docs.google.com/spreadsheets/d/1w5rwWK1o49a35cNtocGL0gxDwhFSTZUQu90BiH9_zqM/edit?usp=sharing"",""RTK!L63"")"),0)</f>
        <v>0</v>
      </c>
      <c r="K388" s="399">
        <f t="shared" si="256"/>
        <v>0</v>
      </c>
      <c r="L388" s="540"/>
      <c r="M388" s="72"/>
      <c r="N388" s="72"/>
      <c r="O388" s="72"/>
      <c r="P388" s="72"/>
      <c r="Q388" s="72"/>
      <c r="R388" s="72"/>
      <c r="S388" s="72"/>
      <c r="T388" s="72"/>
      <c r="U388" s="72"/>
    </row>
    <row r="389" spans="1:21" ht="18.75" x14ac:dyDescent="0.25">
      <c r="A389" s="381"/>
      <c r="B389" s="381"/>
      <c r="C389" s="381"/>
      <c r="D389" s="381"/>
      <c r="E389" s="381"/>
      <c r="F389" s="381"/>
      <c r="G389" s="1033"/>
      <c r="H389" s="216" t="s">
        <v>46</v>
      </c>
      <c r="I389" s="321">
        <f ca="1">IFERROR(__xludf.DUMMYFUNCTION("IMPORTRANGE(""https://docs.google.com/spreadsheets/d/1w5rwWK1o49a35cNtocGL0gxDwhFSTZUQu90BiH9_zqM/edit?usp=sharing"",""RTK!K63"")"),0)</f>
        <v>0</v>
      </c>
      <c r="J389" s="321">
        <f ca="1">IFERROR(__xludf.DUMMYFUNCTION("IMPORTRANGE(""https://docs.google.com/spreadsheets/d/1w5rwWK1o49a35cNtocGL0gxDwhFSTZUQu90BiH9_zqM/edit?usp=sharing"",""RTK!M63"")"),0)</f>
        <v>0</v>
      </c>
      <c r="K389" s="399">
        <f t="shared" ca="1" si="256"/>
        <v>0</v>
      </c>
      <c r="L389" s="540"/>
      <c r="M389" s="72"/>
      <c r="N389" s="72"/>
      <c r="O389" s="72"/>
      <c r="P389" s="72"/>
      <c r="Q389" s="72"/>
      <c r="R389" s="72"/>
      <c r="S389" s="72"/>
      <c r="T389" s="72"/>
      <c r="U389" s="72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7">I403</f>
        <v>0</v>
      </c>
      <c r="J392" s="1189">
        <f t="shared" si="257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1257">
        <f t="shared" ref="L393:N393" si="258">L394+L395</f>
        <v>0</v>
      </c>
      <c r="M393" s="264">
        <f t="shared" si="258"/>
        <v>0</v>
      </c>
      <c r="N393" s="264">
        <f t="shared" si="258"/>
        <v>0</v>
      </c>
      <c r="O393" s="264">
        <f t="shared" ref="O393:O401" si="259">IF(L393&gt;0,N393*100/L393,0)</f>
        <v>0</v>
      </c>
      <c r="P393" s="264">
        <f t="shared" ref="P393:P401" si="260">IF(M393&gt;0,N393*100/M393,0)</f>
        <v>0</v>
      </c>
      <c r="Q393" s="264">
        <f t="shared" ref="Q393:S393" si="261">Q394+Q395</f>
        <v>0</v>
      </c>
      <c r="R393" s="264">
        <f t="shared" si="261"/>
        <v>0</v>
      </c>
      <c r="S393" s="264">
        <f t="shared" si="261"/>
        <v>0</v>
      </c>
      <c r="T393" s="264">
        <f t="shared" ref="T393:T401" si="262">IF(Q393&gt;0,S393*100/Q393,0)</f>
        <v>0</v>
      </c>
      <c r="U393" s="264">
        <f t="shared" ref="U393:U401" si="263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6">
        <f t="shared" ref="L394:N395" si="264">L397+L400</f>
        <v>0</v>
      </c>
      <c r="M394" s="77">
        <f t="shared" si="264"/>
        <v>0</v>
      </c>
      <c r="N394" s="77">
        <f t="shared" si="264"/>
        <v>0</v>
      </c>
      <c r="O394" s="77">
        <f t="shared" si="259"/>
        <v>0</v>
      </c>
      <c r="P394" s="77">
        <f t="shared" si="260"/>
        <v>0</v>
      </c>
      <c r="Q394" s="77">
        <f t="shared" ref="Q394:S395" si="265">Q397+Q400</f>
        <v>0</v>
      </c>
      <c r="R394" s="77">
        <f t="shared" si="265"/>
        <v>0</v>
      </c>
      <c r="S394" s="77">
        <f t="shared" si="265"/>
        <v>0</v>
      </c>
      <c r="T394" s="77">
        <f t="shared" si="262"/>
        <v>0</v>
      </c>
      <c r="U394" s="77">
        <f t="shared" si="263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3">
        <f t="shared" si="264"/>
        <v>0</v>
      </c>
      <c r="M395" s="74">
        <f t="shared" si="264"/>
        <v>0</v>
      </c>
      <c r="N395" s="74">
        <f t="shared" si="264"/>
        <v>0</v>
      </c>
      <c r="O395" s="74">
        <f t="shared" si="259"/>
        <v>0</v>
      </c>
      <c r="P395" s="74">
        <f t="shared" si="260"/>
        <v>0</v>
      </c>
      <c r="Q395" s="74">
        <f t="shared" si="265"/>
        <v>0</v>
      </c>
      <c r="R395" s="74">
        <f t="shared" si="265"/>
        <v>0</v>
      </c>
      <c r="S395" s="74">
        <f t="shared" si="265"/>
        <v>0</v>
      </c>
      <c r="T395" s="74">
        <f t="shared" si="262"/>
        <v>0</v>
      </c>
      <c r="U395" s="74">
        <f t="shared" si="263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3">
        <f t="shared" ref="L396:N396" si="266">L397+L398</f>
        <v>0</v>
      </c>
      <c r="M396" s="74">
        <f t="shared" si="266"/>
        <v>0</v>
      </c>
      <c r="N396" s="74">
        <f t="shared" si="266"/>
        <v>0</v>
      </c>
      <c r="O396" s="74">
        <f t="shared" si="259"/>
        <v>0</v>
      </c>
      <c r="P396" s="74">
        <f t="shared" si="260"/>
        <v>0</v>
      </c>
      <c r="Q396" s="74">
        <f t="shared" ref="Q396:S396" si="267">Q397+Q398</f>
        <v>0</v>
      </c>
      <c r="R396" s="74">
        <f t="shared" si="267"/>
        <v>0</v>
      </c>
      <c r="S396" s="74">
        <f t="shared" si="267"/>
        <v>0</v>
      </c>
      <c r="T396" s="74">
        <f t="shared" si="262"/>
        <v>0</v>
      </c>
      <c r="U396" s="74">
        <f t="shared" si="263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77">
        <f t="shared" si="259"/>
        <v>0</v>
      </c>
      <c r="P397" s="77">
        <f t="shared" si="260"/>
        <v>0</v>
      </c>
      <c r="Q397" s="77">
        <v>0</v>
      </c>
      <c r="R397" s="77">
        <v>0</v>
      </c>
      <c r="S397" s="77">
        <v>0</v>
      </c>
      <c r="T397" s="77">
        <f t="shared" si="262"/>
        <v>0</v>
      </c>
      <c r="U397" s="77">
        <f t="shared" si="263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74">
        <f t="shared" si="259"/>
        <v>0</v>
      </c>
      <c r="P398" s="74">
        <f t="shared" si="260"/>
        <v>0</v>
      </c>
      <c r="Q398" s="74">
        <v>0</v>
      </c>
      <c r="R398" s="74">
        <v>0</v>
      </c>
      <c r="S398" s="74">
        <v>0</v>
      </c>
      <c r="T398" s="74">
        <f t="shared" si="262"/>
        <v>0</v>
      </c>
      <c r="U398" s="74">
        <f t="shared" si="263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3">
        <f t="shared" ref="L399:N399" si="268">L400+L401</f>
        <v>0</v>
      </c>
      <c r="M399" s="74">
        <f t="shared" si="268"/>
        <v>0</v>
      </c>
      <c r="N399" s="74">
        <f t="shared" si="268"/>
        <v>0</v>
      </c>
      <c r="O399" s="74">
        <f t="shared" si="259"/>
        <v>0</v>
      </c>
      <c r="P399" s="74">
        <f t="shared" si="260"/>
        <v>0</v>
      </c>
      <c r="Q399" s="74">
        <f t="shared" ref="Q399:S399" si="269">Q400+Q401</f>
        <v>0</v>
      </c>
      <c r="R399" s="74">
        <f t="shared" si="269"/>
        <v>0</v>
      </c>
      <c r="S399" s="74">
        <f t="shared" si="269"/>
        <v>0</v>
      </c>
      <c r="T399" s="74">
        <f t="shared" si="262"/>
        <v>0</v>
      </c>
      <c r="U399" s="74">
        <f t="shared" si="263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77">
        <f t="shared" si="259"/>
        <v>0</v>
      </c>
      <c r="P400" s="77">
        <f t="shared" si="260"/>
        <v>0</v>
      </c>
      <c r="Q400" s="77">
        <v>0</v>
      </c>
      <c r="R400" s="77">
        <v>0</v>
      </c>
      <c r="S400" s="77">
        <v>0</v>
      </c>
      <c r="T400" s="77">
        <f t="shared" si="262"/>
        <v>0</v>
      </c>
      <c r="U400" s="77">
        <f t="shared" si="263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74">
        <f t="shared" si="259"/>
        <v>0</v>
      </c>
      <c r="P401" s="74">
        <f t="shared" si="260"/>
        <v>0</v>
      </c>
      <c r="Q401" s="74">
        <v>0</v>
      </c>
      <c r="R401" s="74">
        <v>0</v>
      </c>
      <c r="S401" s="74">
        <v>0</v>
      </c>
      <c r="T401" s="74">
        <f t="shared" si="262"/>
        <v>0</v>
      </c>
      <c r="U401" s="74">
        <f t="shared" si="263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70">I424</f>
        <v>0</v>
      </c>
      <c r="J413" s="617">
        <f t="shared" si="270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1257">
        <f t="shared" ref="L414:N414" si="271">L415+L416</f>
        <v>0</v>
      </c>
      <c r="M414" s="264">
        <f t="shared" si="271"/>
        <v>0</v>
      </c>
      <c r="N414" s="264">
        <f t="shared" si="271"/>
        <v>0</v>
      </c>
      <c r="O414" s="264">
        <f t="shared" ref="O414:O422" si="272">IF(L414&gt;0,N414*100/L414,0)</f>
        <v>0</v>
      </c>
      <c r="P414" s="264">
        <f t="shared" ref="P414:P422" si="273">IF(M414&gt;0,N414*100/M414,0)</f>
        <v>0</v>
      </c>
      <c r="Q414" s="264">
        <f t="shared" ref="Q414:S414" ca="1" si="274">Q415+Q416</f>
        <v>0</v>
      </c>
      <c r="R414" s="264">
        <f t="shared" ca="1" si="274"/>
        <v>0</v>
      </c>
      <c r="S414" s="264">
        <f t="shared" ca="1" si="274"/>
        <v>0</v>
      </c>
      <c r="T414" s="264">
        <f t="shared" ref="T414:T422" ca="1" si="275">IF(Q414&gt;0,S414*100/Q414,0)</f>
        <v>0</v>
      </c>
      <c r="U414" s="264">
        <f t="shared" ref="U414:U422" ca="1" si="276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6">
        <f t="shared" ref="L415:N416" si="277">L418+L421</f>
        <v>0</v>
      </c>
      <c r="M415" s="77">
        <f t="shared" si="277"/>
        <v>0</v>
      </c>
      <c r="N415" s="77">
        <f t="shared" si="277"/>
        <v>0</v>
      </c>
      <c r="O415" s="77">
        <f t="shared" si="272"/>
        <v>0</v>
      </c>
      <c r="P415" s="77">
        <f t="shared" si="273"/>
        <v>0</v>
      </c>
      <c r="Q415" s="77">
        <f t="shared" ref="Q415:S416" si="278">Q418+Q421</f>
        <v>0</v>
      </c>
      <c r="R415" s="77">
        <f t="shared" si="278"/>
        <v>0</v>
      </c>
      <c r="S415" s="77">
        <f t="shared" si="278"/>
        <v>0</v>
      </c>
      <c r="T415" s="77">
        <f t="shared" si="275"/>
        <v>0</v>
      </c>
      <c r="U415" s="77">
        <f t="shared" si="276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3">
        <f t="shared" si="277"/>
        <v>0</v>
      </c>
      <c r="M416" s="74">
        <f t="shared" si="277"/>
        <v>0</v>
      </c>
      <c r="N416" s="74">
        <f t="shared" si="277"/>
        <v>0</v>
      </c>
      <c r="O416" s="74">
        <f t="shared" si="272"/>
        <v>0</v>
      </c>
      <c r="P416" s="74">
        <f t="shared" si="273"/>
        <v>0</v>
      </c>
      <c r="Q416" s="74">
        <f t="shared" ca="1" si="278"/>
        <v>0</v>
      </c>
      <c r="R416" s="74">
        <f t="shared" ca="1" si="278"/>
        <v>0</v>
      </c>
      <c r="S416" s="74">
        <f t="shared" ca="1" si="278"/>
        <v>0</v>
      </c>
      <c r="T416" s="74">
        <f t="shared" ca="1" si="275"/>
        <v>0</v>
      </c>
      <c r="U416" s="74">
        <f t="shared" ca="1" si="276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3">
        <f t="shared" ref="L417:N417" si="279">L418+L419</f>
        <v>0</v>
      </c>
      <c r="M417" s="74">
        <f t="shared" si="279"/>
        <v>0</v>
      </c>
      <c r="N417" s="74">
        <f t="shared" si="279"/>
        <v>0</v>
      </c>
      <c r="O417" s="74">
        <f t="shared" si="272"/>
        <v>0</v>
      </c>
      <c r="P417" s="74">
        <f t="shared" si="273"/>
        <v>0</v>
      </c>
      <c r="Q417" s="74">
        <f t="shared" ref="Q417:S417" ca="1" si="280">Q418+Q419</f>
        <v>0</v>
      </c>
      <c r="R417" s="74">
        <f t="shared" ca="1" si="280"/>
        <v>0</v>
      </c>
      <c r="S417" s="74">
        <f t="shared" ca="1" si="280"/>
        <v>0</v>
      </c>
      <c r="T417" s="74">
        <f t="shared" ca="1" si="275"/>
        <v>0</v>
      </c>
      <c r="U417" s="74">
        <f t="shared" ca="1" si="276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77">
        <f t="shared" si="272"/>
        <v>0</v>
      </c>
      <c r="P418" s="77">
        <f t="shared" si="273"/>
        <v>0</v>
      </c>
      <c r="Q418" s="77">
        <v>0</v>
      </c>
      <c r="R418" s="77">
        <v>0</v>
      </c>
      <c r="S418" s="77">
        <v>0</v>
      </c>
      <c r="T418" s="77">
        <f t="shared" si="275"/>
        <v>0</v>
      </c>
      <c r="U418" s="77">
        <f t="shared" si="276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74">
        <f t="shared" si="272"/>
        <v>0</v>
      </c>
      <c r="P419" s="74">
        <f t="shared" si="273"/>
        <v>0</v>
      </c>
      <c r="Q419" s="74">
        <f ca="1">IFERROR(__xludf.DUMMYFUNCTION("IMPORTRANGE(""https://docs.google.com/spreadsheets/d/1ItG2mGa2ceCfYo0BwxsXqNm01IGEUdYcSSLTEv9YCik/edit?usp=sharing"",""เบิกจ่ายกองทุน!BH63"")"),0)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IFERROR(__xludf.DUMMYFUNCTION("IMPORTRANGE(""https://docs.google.com/spreadsheets/d/1ItG2mGa2ceCfYo0BwxsXqNm01IGEUdYcSSLTEv9YCik/edit?usp=sharing"",""เบิกจ่ายกองทุน!BI63"")"),0)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IFERROR(__xludf.DUMMYFUNCTION("IMPORTRANGE(""https://docs.google.com/spreadsheets/d/1ItG2mGa2ceCfYo0BwxsXqNm01IGEUdYcSSLTEv9YCik/edit?usp=sharing"",""เบิกจ่ายกองทุน!BJ63"")"),0)</f>
        <v>0</v>
      </c>
      <c r="T419" s="74">
        <f t="shared" ca="1" si="275"/>
        <v>0</v>
      </c>
      <c r="U419" s="74">
        <f t="shared" ca="1" si="276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3">
        <f t="shared" ref="L420:N420" si="281">L421+L422</f>
        <v>0</v>
      </c>
      <c r="M420" s="74">
        <f t="shared" si="281"/>
        <v>0</v>
      </c>
      <c r="N420" s="74">
        <f t="shared" si="281"/>
        <v>0</v>
      </c>
      <c r="O420" s="74">
        <f t="shared" si="272"/>
        <v>0</v>
      </c>
      <c r="P420" s="74">
        <f t="shared" si="273"/>
        <v>0</v>
      </c>
      <c r="Q420" s="74">
        <f t="shared" ref="Q420:S420" si="282">Q421+Q422</f>
        <v>0</v>
      </c>
      <c r="R420" s="74">
        <f t="shared" si="282"/>
        <v>0</v>
      </c>
      <c r="S420" s="74">
        <f t="shared" si="282"/>
        <v>0</v>
      </c>
      <c r="T420" s="74">
        <f t="shared" si="275"/>
        <v>0</v>
      </c>
      <c r="U420" s="74">
        <f t="shared" si="276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77">
        <f t="shared" si="272"/>
        <v>0</v>
      </c>
      <c r="P421" s="77">
        <f t="shared" si="273"/>
        <v>0</v>
      </c>
      <c r="Q421" s="77">
        <v>0</v>
      </c>
      <c r="R421" s="77">
        <v>0</v>
      </c>
      <c r="S421" s="77">
        <v>0</v>
      </c>
      <c r="T421" s="77">
        <f t="shared" si="275"/>
        <v>0</v>
      </c>
      <c r="U421" s="77">
        <f t="shared" si="276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74">
        <f t="shared" si="272"/>
        <v>0</v>
      </c>
      <c r="P422" s="74">
        <f t="shared" si="273"/>
        <v>0</v>
      </c>
      <c r="Q422" s="74">
        <v>0</v>
      </c>
      <c r="R422" s="74">
        <v>0</v>
      </c>
      <c r="S422" s="74">
        <v>0</v>
      </c>
      <c r="T422" s="74">
        <f t="shared" si="275"/>
        <v>0</v>
      </c>
      <c r="U422" s="74">
        <f t="shared" si="276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3">I441</f>
        <v>0</v>
      </c>
      <c r="J424" s="622">
        <f t="shared" si="283"/>
        <v>0</v>
      </c>
      <c r="K424" s="264">
        <f t="shared" ref="K424:K426" ca="1" si="284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IFERROR(__xludf.DUMMYFUNCTION("IMPORTRANGE(""https://docs.google.com/spreadsheets/d/1eHaY18a8A9IcSdp1K8H6x8fbOy06t2VsZHhMHf-1x7Y/edit?usp=sharing"",""แผน!HJ63"")"),0)</f>
        <v>0</v>
      </c>
      <c r="J425" s="622">
        <f t="shared" ref="J425:J426" si="285">J427+J429+J431</f>
        <v>0</v>
      </c>
      <c r="K425" s="264">
        <f t="shared" ca="1" si="284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IFERROR(__xludf.DUMMYFUNCTION("IMPORTRANGE(""https://docs.google.com/spreadsheets/d/1eHaY18a8A9IcSdp1K8H6x8fbOy06t2VsZHhMHf-1x7Y/edit?usp=sharing"",""แผน!HK63"")"),0)</f>
        <v>0</v>
      </c>
      <c r="J426" s="622">
        <f t="shared" si="285"/>
        <v>0</v>
      </c>
      <c r="K426" s="264">
        <f t="shared" ca="1" si="284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IFERROR(__xludf.DUMMYFUNCTION("IMPORTRANGE(""https://docs.google.com/spreadsheets/d/1eHaY18a8A9IcSdp1K8H6x8fbOy06t2VsZHhMHf-1x7Y/edit?usp=sharing"",""แผน!HJ63"")"),0)</f>
        <v>0</v>
      </c>
      <c r="J433" s="622">
        <f t="shared" ref="J433:J434" si="286">J435+J437+J439</f>
        <v>0</v>
      </c>
      <c r="K433" s="264">
        <f t="shared" ref="K433:K434" ca="1" si="287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IFERROR(__xludf.DUMMYFUNCTION("IMPORTRANGE(""https://docs.google.com/spreadsheets/d/1eHaY18a8A9IcSdp1K8H6x8fbOy06t2VsZHhMHf-1x7Y/edit?usp=sharing"",""แผน!HK63"")"),0)</f>
        <v>0</v>
      </c>
      <c r="J434" s="622">
        <f t="shared" si="286"/>
        <v>0</v>
      </c>
      <c r="K434" s="264">
        <f t="shared" ca="1" si="287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IFERROR(__xludf.DUMMYFUNCTION("IMPORTRANGE(""https://docs.google.com/spreadsheets/d/1eHaY18a8A9IcSdp1K8H6x8fbOy06t2VsZHhMHf-1x7Y/edit?usp=sharing"",""แผน!HJ63"")"),0)</f>
        <v>0</v>
      </c>
      <c r="J441" s="622">
        <f t="shared" ref="J441:J442" si="288">J443+J445+J447+J453+J455</f>
        <v>0</v>
      </c>
      <c r="K441" s="264">
        <f t="shared" ref="K441:K442" ca="1" si="289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IFERROR(__xludf.DUMMYFUNCTION("IMPORTRANGE(""https://docs.google.com/spreadsheets/d/1eHaY18a8A9IcSdp1K8H6x8fbOy06t2VsZHhMHf-1x7Y/edit?usp=sharing"",""แผน!HK63"")"),0)</f>
        <v>0</v>
      </c>
      <c r="J442" s="622">
        <f t="shared" si="288"/>
        <v>0</v>
      </c>
      <c r="K442" s="264">
        <f t="shared" ca="1" si="289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90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90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1">I458</f>
        <v>0</v>
      </c>
      <c r="J457" s="622">
        <f t="shared" si="291"/>
        <v>0</v>
      </c>
      <c r="K457" s="264">
        <f t="shared" ref="K457:K459" ca="1" si="292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IFERROR(__xludf.DUMMYFUNCTION("IMPORTRANGE(""https://docs.google.com/spreadsheets/d/1eHaY18a8A9IcSdp1K8H6x8fbOy06t2VsZHhMHf-1x7Y/edit?usp=sharing"",""แผน!HL63"")"),0)</f>
        <v>0</v>
      </c>
      <c r="J458" s="622">
        <f t="shared" ref="J458:J459" si="293">J460+J468+J474</f>
        <v>0</v>
      </c>
      <c r="K458" s="264">
        <f t="shared" ca="1" si="292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IFERROR(__xludf.DUMMYFUNCTION("IMPORTRANGE(""https://docs.google.com/spreadsheets/d/1eHaY18a8A9IcSdp1K8H6x8fbOy06t2VsZHhMHf-1x7Y/edit?usp=sharing"",""แผน!HM63"")"),0)</f>
        <v>0</v>
      </c>
      <c r="J459" s="622">
        <f t="shared" si="293"/>
        <v>0</v>
      </c>
      <c r="K459" s="264">
        <f t="shared" ca="1" si="292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4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4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5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5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6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7">J479+J481</f>
        <v>0</v>
      </c>
      <c r="K477" s="264">
        <f t="shared" si="296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7"/>
        <v>0</v>
      </c>
      <c r="K478" s="264">
        <f t="shared" si="296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IFERROR(__xludf.DUMMYFUNCTION("IMPORTRANGE(""https://docs.google.com/spreadsheets/d/1eHaY18a8A9IcSdp1K8H6x8fbOy06t2VsZHhMHf-1x7Y/edit?usp=sharing"",""แผน!HN63"")"),0)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IFERROR(__xludf.DUMMYFUNCTION("IMPORTRANGE(""https://docs.google.com/spreadsheets/d/1eHaY18a8A9IcSdp1K8H6x8fbOy06t2VsZHhMHf-1x7Y/edit?usp=sharing"",""แผน!HO63"")"),0)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8">J481</f>
        <v>0</v>
      </c>
      <c r="J485" s="622">
        <f t="shared" ref="J485:J486" si="299">J487+J489+J491</f>
        <v>0</v>
      </c>
      <c r="K485" s="264">
        <f t="shared" ref="K485:K486" si="300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8"/>
        <v>0</v>
      </c>
      <c r="J486" s="622">
        <f t="shared" si="299"/>
        <v>0</v>
      </c>
      <c r="K486" s="264">
        <f t="shared" si="300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hidden="1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1">I504</f>
        <v>0</v>
      </c>
      <c r="J493" s="617">
        <f t="shared" ca="1" si="301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1257">
        <f t="shared" ref="L494:N494" si="302">L495+L496</f>
        <v>0</v>
      </c>
      <c r="M494" s="264">
        <f t="shared" si="302"/>
        <v>0</v>
      </c>
      <c r="N494" s="264">
        <f t="shared" si="302"/>
        <v>0</v>
      </c>
      <c r="O494" s="264">
        <f t="shared" ref="O494:O502" si="303">IF(L494&gt;0,N494*100/L494,0)</f>
        <v>0</v>
      </c>
      <c r="P494" s="264">
        <f t="shared" ref="P494:P502" si="304">IF(M494&gt;0,N494*100/M494,0)</f>
        <v>0</v>
      </c>
      <c r="Q494" s="264">
        <f t="shared" ref="Q494:S494" ca="1" si="305">Q495+Q496</f>
        <v>0</v>
      </c>
      <c r="R494" s="264">
        <f t="shared" ca="1" si="305"/>
        <v>0</v>
      </c>
      <c r="S494" s="264">
        <f t="shared" ca="1" si="305"/>
        <v>0</v>
      </c>
      <c r="T494" s="264">
        <f t="shared" ref="T494:T502" ca="1" si="306">IF(Q494&gt;0,S494*100/Q494,0)</f>
        <v>0</v>
      </c>
      <c r="U494" s="264">
        <f t="shared" ref="U494:U502" ca="1" si="307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6">
        <f t="shared" ref="L495:N496" si="308">L498+L501</f>
        <v>0</v>
      </c>
      <c r="M495" s="77">
        <f t="shared" si="308"/>
        <v>0</v>
      </c>
      <c r="N495" s="77">
        <f t="shared" si="308"/>
        <v>0</v>
      </c>
      <c r="O495" s="77">
        <f t="shared" si="303"/>
        <v>0</v>
      </c>
      <c r="P495" s="77">
        <f t="shared" si="304"/>
        <v>0</v>
      </c>
      <c r="Q495" s="77">
        <f t="shared" ref="Q495:S496" si="309">Q498+Q501</f>
        <v>0</v>
      </c>
      <c r="R495" s="77">
        <f t="shared" si="309"/>
        <v>0</v>
      </c>
      <c r="S495" s="77">
        <f t="shared" si="309"/>
        <v>0</v>
      </c>
      <c r="T495" s="77">
        <f t="shared" si="306"/>
        <v>0</v>
      </c>
      <c r="U495" s="77">
        <f t="shared" si="307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3">
        <f t="shared" si="308"/>
        <v>0</v>
      </c>
      <c r="M496" s="74">
        <f t="shared" si="308"/>
        <v>0</v>
      </c>
      <c r="N496" s="74">
        <f t="shared" si="308"/>
        <v>0</v>
      </c>
      <c r="O496" s="74">
        <f t="shared" si="303"/>
        <v>0</v>
      </c>
      <c r="P496" s="74">
        <f t="shared" si="304"/>
        <v>0</v>
      </c>
      <c r="Q496" s="74">
        <f t="shared" ca="1" si="309"/>
        <v>0</v>
      </c>
      <c r="R496" s="74">
        <f t="shared" ca="1" si="309"/>
        <v>0</v>
      </c>
      <c r="S496" s="74">
        <f t="shared" ca="1" si="309"/>
        <v>0</v>
      </c>
      <c r="T496" s="74">
        <f t="shared" ca="1" si="306"/>
        <v>0</v>
      </c>
      <c r="U496" s="74">
        <f t="shared" ca="1" si="307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3">
        <f t="shared" ref="L497:N497" si="310">L498+L499</f>
        <v>0</v>
      </c>
      <c r="M497" s="74">
        <f t="shared" si="310"/>
        <v>0</v>
      </c>
      <c r="N497" s="74">
        <f t="shared" si="310"/>
        <v>0</v>
      </c>
      <c r="O497" s="74">
        <f t="shared" si="303"/>
        <v>0</v>
      </c>
      <c r="P497" s="74">
        <f t="shared" si="304"/>
        <v>0</v>
      </c>
      <c r="Q497" s="74">
        <f t="shared" ref="Q497:S497" ca="1" si="311">Q498+Q499</f>
        <v>0</v>
      </c>
      <c r="R497" s="74">
        <f t="shared" ca="1" si="311"/>
        <v>0</v>
      </c>
      <c r="S497" s="74">
        <f t="shared" ca="1" si="311"/>
        <v>0</v>
      </c>
      <c r="T497" s="74">
        <f t="shared" ca="1" si="306"/>
        <v>0</v>
      </c>
      <c r="U497" s="74">
        <f t="shared" ca="1" si="307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77">
        <f t="shared" si="303"/>
        <v>0</v>
      </c>
      <c r="P498" s="77">
        <f t="shared" si="304"/>
        <v>0</v>
      </c>
      <c r="Q498" s="77">
        <v>0</v>
      </c>
      <c r="R498" s="77">
        <v>0</v>
      </c>
      <c r="S498" s="77">
        <v>0</v>
      </c>
      <c r="T498" s="77">
        <f t="shared" si="306"/>
        <v>0</v>
      </c>
      <c r="U498" s="77">
        <f t="shared" si="307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74">
        <f t="shared" si="303"/>
        <v>0</v>
      </c>
      <c r="P499" s="74">
        <f t="shared" si="304"/>
        <v>0</v>
      </c>
      <c r="Q499" s="74">
        <f ca="1">IFERROR(__xludf.DUMMYFUNCTION("IMPORTRANGE(""https://docs.google.com/spreadsheets/d/1ItG2mGa2ceCfYo0BwxsXqNm01IGEUdYcSSLTEv9YCik/edit?usp=sharing"",""เบิกจ่ายกองทุน!X63"")"),0)</f>
        <v>0</v>
      </c>
      <c r="R499" s="74">
        <f ca="1">IFERROR(__xludf.DUMMYFUNCTION("IMPORTRANGE(""https://docs.google.com/spreadsheets/d/1ItG2mGa2ceCfYo0BwxsXqNm01IGEUdYcSSLTEv9YCik/edit?usp=sharing"",""เบิกจ่ายกองทุน!Y63"")"),0)</f>
        <v>0</v>
      </c>
      <c r="S499" s="74">
        <f ca="1">IFERROR(__xludf.DUMMYFUNCTION("IMPORTRANGE(""https://docs.google.com/spreadsheets/d/1ItG2mGa2ceCfYo0BwxsXqNm01IGEUdYcSSLTEv9YCik/edit?usp=sharing"",""เบิกจ่ายกองทุน!Z63"")"),0)</f>
        <v>0</v>
      </c>
      <c r="T499" s="74">
        <f t="shared" ca="1" si="306"/>
        <v>0</v>
      </c>
      <c r="U499" s="74">
        <f t="shared" ca="1" si="307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3">
        <f t="shared" ref="L500:N500" si="312">L501+L502</f>
        <v>0</v>
      </c>
      <c r="M500" s="74">
        <f t="shared" si="312"/>
        <v>0</v>
      </c>
      <c r="N500" s="74">
        <f t="shared" si="312"/>
        <v>0</v>
      </c>
      <c r="O500" s="74">
        <f t="shared" si="303"/>
        <v>0</v>
      </c>
      <c r="P500" s="74">
        <f t="shared" si="304"/>
        <v>0</v>
      </c>
      <c r="Q500" s="74">
        <f t="shared" ref="Q500:S500" si="313">Q501+Q502</f>
        <v>0</v>
      </c>
      <c r="R500" s="74">
        <f t="shared" si="313"/>
        <v>0</v>
      </c>
      <c r="S500" s="74">
        <f t="shared" si="313"/>
        <v>0</v>
      </c>
      <c r="T500" s="74">
        <f t="shared" si="306"/>
        <v>0</v>
      </c>
      <c r="U500" s="74">
        <f t="shared" si="307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77">
        <f t="shared" si="303"/>
        <v>0</v>
      </c>
      <c r="P501" s="77">
        <f t="shared" si="304"/>
        <v>0</v>
      </c>
      <c r="Q501" s="77">
        <v>0</v>
      </c>
      <c r="R501" s="77">
        <v>0</v>
      </c>
      <c r="S501" s="77">
        <v>0</v>
      </c>
      <c r="T501" s="77">
        <f t="shared" si="306"/>
        <v>0</v>
      </c>
      <c r="U501" s="77">
        <f t="shared" si="307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74">
        <f t="shared" si="303"/>
        <v>0</v>
      </c>
      <c r="P502" s="74">
        <f t="shared" si="304"/>
        <v>0</v>
      </c>
      <c r="Q502" s="74">
        <v>0</v>
      </c>
      <c r="R502" s="74">
        <v>0</v>
      </c>
      <c r="S502" s="74">
        <v>0</v>
      </c>
      <c r="T502" s="74">
        <f t="shared" si="306"/>
        <v>0</v>
      </c>
      <c r="U502" s="74">
        <f t="shared" si="307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IFERROR(__xludf.DUMMYFUNCTION("IMPORTRANGE(""https://docs.google.com/spreadsheets/d/1eHaY18a8A9IcSdp1K8H6x8fbOy06t2VsZHhMHf-1x7Y/edit?usp=sharing"",""แผน!GX63"")"),0)</f>
        <v>0</v>
      </c>
      <c r="J504" s="622">
        <f ca="1">IF(AND(J505=I505,J506=I506,J507=I507,J508=I508),I504,0)</f>
        <v>0</v>
      </c>
      <c r="K504" s="264">
        <f t="shared" ref="K504:K510" ca="1" si="314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IFERROR(__xludf.DUMMYFUNCTION("IMPORTRANGE(""https://docs.google.com/spreadsheets/d/1eHaY18a8A9IcSdp1K8H6x8fbOy06t2VsZHhMHf-1x7Y/edit?usp=sharing"",""แผน!GY63"")"),0)</f>
        <v>0</v>
      </c>
      <c r="J505" s="294">
        <v>0</v>
      </c>
      <c r="K505" s="74">
        <f t="shared" ca="1" si="314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IFERROR(__xludf.DUMMYFUNCTION("IMPORTRANGE(""https://docs.google.com/spreadsheets/d/1eHaY18a8A9IcSdp1K8H6x8fbOy06t2VsZHhMHf-1x7Y/edit?usp=sharing"",""แผน!GZ63"")"),0)</f>
        <v>0</v>
      </c>
      <c r="J506" s="294">
        <v>0</v>
      </c>
      <c r="K506" s="74">
        <f t="shared" ca="1" si="314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IFERROR(__xludf.DUMMYFUNCTION("IMPORTRANGE(""https://docs.google.com/spreadsheets/d/1eHaY18a8A9IcSdp1K8H6x8fbOy06t2VsZHhMHf-1x7Y/edit?usp=sharing"",""แผน!HA63"")"),0)</f>
        <v>0</v>
      </c>
      <c r="J507" s="294">
        <v>0</v>
      </c>
      <c r="K507" s="74">
        <f t="shared" ca="1" si="314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IFERROR(__xludf.DUMMYFUNCTION("IMPORTRANGE(""https://docs.google.com/spreadsheets/d/1eHaY18a8A9IcSdp1K8H6x8fbOy06t2VsZHhMHf-1x7Y/edit?usp=sharing"",""แผน!HB63"")"),0)</f>
        <v>0</v>
      </c>
      <c r="J508" s="294">
        <v>0</v>
      </c>
      <c r="K508" s="74">
        <f t="shared" ca="1" si="314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4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IFERROR(__xludf.DUMMYFUNCTION("IMPORTRANGE(""https://docs.google.com/spreadsheets/d/1eHaY18a8A9IcSdp1K8H6x8fbOy06t2VsZHhMHf-1x7Y/edit?usp=sharing"",""แผน!HC63"")"),0)</f>
        <v>0</v>
      </c>
      <c r="J510" s="761">
        <v>0</v>
      </c>
      <c r="K510" s="182">
        <f t="shared" ca="1" si="314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9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309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987" t="s">
        <v>61</v>
      </c>
      <c r="I513" s="988">
        <f t="shared" ref="I513:J513" si="315">I525</f>
        <v>0</v>
      </c>
      <c r="J513" s="988">
        <f t="shared" si="315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7">
        <f t="shared" ref="L514:N514" ca="1" si="316">L515+L516</f>
        <v>0</v>
      </c>
      <c r="M514" s="264">
        <f t="shared" ca="1" si="316"/>
        <v>0</v>
      </c>
      <c r="N514" s="264">
        <f t="shared" ca="1" si="316"/>
        <v>0</v>
      </c>
      <c r="O514" s="264">
        <f t="shared" ref="O514:O522" ca="1" si="317">IF(L514&gt;0,N514*100/L514,0)</f>
        <v>0</v>
      </c>
      <c r="P514" s="264">
        <f t="shared" ref="P514:P522" ca="1" si="318">IF(M514&gt;0,N514*100/M514,0)</f>
        <v>0</v>
      </c>
      <c r="Q514" s="264">
        <f t="shared" ref="Q514:S514" si="319">Q515+Q516</f>
        <v>0</v>
      </c>
      <c r="R514" s="264">
        <f t="shared" si="319"/>
        <v>0</v>
      </c>
      <c r="S514" s="264">
        <f t="shared" si="319"/>
        <v>0</v>
      </c>
      <c r="T514" s="264">
        <f t="shared" ref="T514:T522" si="320">IF(Q514&gt;0,S514*100/Q514,0)</f>
        <v>0</v>
      </c>
      <c r="U514" s="264">
        <f t="shared" ref="U514:U522" si="321">IF(R514&gt;0,S514*100/R514,0)</f>
        <v>0</v>
      </c>
    </row>
    <row r="515" spans="1:21" ht="18.75" hidden="1" x14ac:dyDescent="0.25">
      <c r="A515" s="257"/>
      <c r="B515" s="258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6">
        <f t="shared" ref="L515:N516" si="322">L518+L521</f>
        <v>0</v>
      </c>
      <c r="M515" s="77">
        <f t="shared" si="322"/>
        <v>0</v>
      </c>
      <c r="N515" s="77">
        <f t="shared" si="322"/>
        <v>0</v>
      </c>
      <c r="O515" s="77">
        <f t="shared" si="317"/>
        <v>0</v>
      </c>
      <c r="P515" s="77">
        <f t="shared" si="318"/>
        <v>0</v>
      </c>
      <c r="Q515" s="77">
        <f t="shared" ref="Q515:S516" si="323">Q518+Q521</f>
        <v>0</v>
      </c>
      <c r="R515" s="77">
        <f t="shared" si="323"/>
        <v>0</v>
      </c>
      <c r="S515" s="77">
        <f t="shared" si="323"/>
        <v>0</v>
      </c>
      <c r="T515" s="77">
        <f t="shared" si="320"/>
        <v>0</v>
      </c>
      <c r="U515" s="77">
        <f t="shared" si="321"/>
        <v>0</v>
      </c>
    </row>
    <row r="516" spans="1:21" ht="18.75" hidden="1" x14ac:dyDescent="0.25">
      <c r="A516" s="257"/>
      <c r="B516" s="258"/>
      <c r="C516" s="258"/>
      <c r="D516" s="258"/>
      <c r="E516" s="265" t="s">
        <v>21</v>
      </c>
      <c r="F516" s="258"/>
      <c r="G516" s="261"/>
      <c r="H516" s="266" t="s">
        <v>14</v>
      </c>
      <c r="I516" s="263"/>
      <c r="J516" s="263"/>
      <c r="K516" s="87"/>
      <c r="L516" s="73">
        <f t="shared" ca="1" si="322"/>
        <v>0</v>
      </c>
      <c r="M516" s="74">
        <f t="shared" ca="1" si="322"/>
        <v>0</v>
      </c>
      <c r="N516" s="74">
        <f t="shared" ca="1" si="322"/>
        <v>0</v>
      </c>
      <c r="O516" s="74">
        <f t="shared" ca="1" si="317"/>
        <v>0</v>
      </c>
      <c r="P516" s="74">
        <f t="shared" ca="1" si="318"/>
        <v>0</v>
      </c>
      <c r="Q516" s="74">
        <f t="shared" si="323"/>
        <v>0</v>
      </c>
      <c r="R516" s="74">
        <f t="shared" si="323"/>
        <v>0</v>
      </c>
      <c r="S516" s="74">
        <f t="shared" si="323"/>
        <v>0</v>
      </c>
      <c r="T516" s="74">
        <f t="shared" si="320"/>
        <v>0</v>
      </c>
      <c r="U516" s="74">
        <f t="shared" si="321"/>
        <v>0</v>
      </c>
    </row>
    <row r="517" spans="1:21" ht="18.75" hidden="1" x14ac:dyDescent="0.25">
      <c r="A517" s="257"/>
      <c r="B517" s="258"/>
      <c r="C517" s="258"/>
      <c r="D517" s="991" t="s">
        <v>22</v>
      </c>
      <c r="E517" s="258"/>
      <c r="F517" s="258"/>
      <c r="G517" s="261"/>
      <c r="H517" s="273" t="s">
        <v>14</v>
      </c>
      <c r="I517" s="272"/>
      <c r="J517" s="272"/>
      <c r="K517" s="229"/>
      <c r="L517" s="73">
        <f t="shared" ref="L517:N517" ca="1" si="324">L518+L519</f>
        <v>0</v>
      </c>
      <c r="M517" s="74">
        <f t="shared" ca="1" si="324"/>
        <v>0</v>
      </c>
      <c r="N517" s="74">
        <f t="shared" ca="1" si="324"/>
        <v>0</v>
      </c>
      <c r="O517" s="74">
        <f t="shared" ca="1" si="317"/>
        <v>0</v>
      </c>
      <c r="P517" s="74">
        <f t="shared" ca="1" si="318"/>
        <v>0</v>
      </c>
      <c r="Q517" s="74">
        <f t="shared" ref="Q517:S517" si="325">Q518+Q519</f>
        <v>0</v>
      </c>
      <c r="R517" s="74">
        <f t="shared" si="325"/>
        <v>0</v>
      </c>
      <c r="S517" s="74">
        <f t="shared" si="325"/>
        <v>0</v>
      </c>
      <c r="T517" s="74">
        <f t="shared" si="320"/>
        <v>0</v>
      </c>
      <c r="U517" s="74">
        <f t="shared" si="321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77">
        <f t="shared" si="317"/>
        <v>0</v>
      </c>
      <c r="P518" s="77">
        <f t="shared" si="318"/>
        <v>0</v>
      </c>
      <c r="Q518" s="77">
        <v>0</v>
      </c>
      <c r="R518" s="77">
        <v>0</v>
      </c>
      <c r="S518" s="77">
        <v>0</v>
      </c>
      <c r="T518" s="77">
        <f t="shared" si="320"/>
        <v>0</v>
      </c>
      <c r="U518" s="77">
        <f t="shared" si="321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3">
        <f ca="1">IFERROR(__xludf.DUMMYFUNCTION("IMPORTRANGE(""https://docs.google.com/spreadsheets/d/1-uDff_7J0KD5mKrp0Vvzr7lt3OU09vwQwhkpOPPYv2Y/edit?usp=sharing"",""งบพรบ!FM63"")"),0)</f>
        <v>0</v>
      </c>
      <c r="M519" s="74">
        <f ca="1">IFERROR(__xludf.DUMMYFUNCTION("IMPORTRANGE(""https://docs.google.com/spreadsheets/d/1-uDff_7J0KD5mKrp0Vvzr7lt3OU09vwQwhkpOPPYv2Y/edit?usp=sharing"",""งบพรบ!FR63"")"),0)</f>
        <v>0</v>
      </c>
      <c r="N519" s="74">
        <f ca="1">IFERROR(__xludf.DUMMYFUNCTION("IMPORTRANGE(""https://docs.google.com/spreadsheets/d/1-uDff_7J0KD5mKrp0Vvzr7lt3OU09vwQwhkpOPPYv2Y/edit?usp=sharing"",""งบพรบ!FT63"")"),0)</f>
        <v>0</v>
      </c>
      <c r="O519" s="74">
        <f t="shared" ca="1" si="317"/>
        <v>0</v>
      </c>
      <c r="P519" s="74">
        <f t="shared" ca="1" si="318"/>
        <v>0</v>
      </c>
      <c r="Q519" s="74">
        <v>0</v>
      </c>
      <c r="R519" s="74">
        <v>0</v>
      </c>
      <c r="S519" s="74">
        <v>0</v>
      </c>
      <c r="T519" s="74">
        <f t="shared" si="320"/>
        <v>0</v>
      </c>
      <c r="U519" s="74">
        <f t="shared" si="321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3">
        <f t="shared" ref="L520:N520" ca="1" si="326">L521+L522</f>
        <v>0</v>
      </c>
      <c r="M520" s="74">
        <f t="shared" ca="1" si="326"/>
        <v>0</v>
      </c>
      <c r="N520" s="74">
        <f t="shared" ca="1" si="326"/>
        <v>0</v>
      </c>
      <c r="O520" s="74">
        <f t="shared" ca="1" si="317"/>
        <v>0</v>
      </c>
      <c r="P520" s="74">
        <f t="shared" ca="1" si="318"/>
        <v>0</v>
      </c>
      <c r="Q520" s="74">
        <f t="shared" ref="Q520:S520" si="327">Q521+Q522</f>
        <v>0</v>
      </c>
      <c r="R520" s="74">
        <f t="shared" si="327"/>
        <v>0</v>
      </c>
      <c r="S520" s="74">
        <f t="shared" si="327"/>
        <v>0</v>
      </c>
      <c r="T520" s="74">
        <f t="shared" si="320"/>
        <v>0</v>
      </c>
      <c r="U520" s="74">
        <f t="shared" si="321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77">
        <f t="shared" si="317"/>
        <v>0</v>
      </c>
      <c r="P521" s="77">
        <f t="shared" si="318"/>
        <v>0</v>
      </c>
      <c r="Q521" s="77">
        <v>0</v>
      </c>
      <c r="R521" s="77">
        <v>0</v>
      </c>
      <c r="S521" s="77">
        <v>0</v>
      </c>
      <c r="T521" s="77">
        <f t="shared" si="320"/>
        <v>0</v>
      </c>
      <c r="U521" s="77">
        <f t="shared" si="321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3">
        <f ca="1">IFERROR(__xludf.DUMMYFUNCTION("IMPORTRANGE(""https://docs.google.com/spreadsheets/d/1-uDff_7J0KD5mKrp0Vvzr7lt3OU09vwQwhkpOPPYv2Y/edit?usp=sharing"",""งบพรบ!FP63"")"),0)</f>
        <v>0</v>
      </c>
      <c r="M522" s="74">
        <f ca="1">IFERROR(__xludf.DUMMYFUNCTION("IMPORTRANGE(""https://docs.google.com/spreadsheets/d/1-uDff_7J0KD5mKrp0Vvzr7lt3OU09vwQwhkpOPPYv2Y/edit?usp=sharing"",""งบพรบ!FS63"")"),0)</f>
        <v>0</v>
      </c>
      <c r="N522" s="74">
        <f ca="1">IFERROR(__xludf.DUMMYFUNCTION("IMPORTRANGE(""https://docs.google.com/spreadsheets/d/1-uDff_7J0KD5mKrp0Vvzr7lt3OU09vwQwhkpOPPYv2Y/edit?usp=sharing"",""งบพรบ!FU63"")"),0)</f>
        <v>0</v>
      </c>
      <c r="O522" s="74">
        <f t="shared" ca="1" si="317"/>
        <v>0</v>
      </c>
      <c r="P522" s="74">
        <f t="shared" ca="1" si="318"/>
        <v>0</v>
      </c>
      <c r="Q522" s="74">
        <v>0</v>
      </c>
      <c r="R522" s="74">
        <v>0</v>
      </c>
      <c r="S522" s="74">
        <v>0</v>
      </c>
      <c r="T522" s="74">
        <f t="shared" si="320"/>
        <v>0</v>
      </c>
      <c r="U522" s="74">
        <f t="shared" si="321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8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8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9">I546</f>
        <v>0</v>
      </c>
      <c r="J534" s="1002">
        <f t="shared" si="329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1257">
        <f t="shared" ref="L535:N535" si="330">L536+L537</f>
        <v>0</v>
      </c>
      <c r="M535" s="264">
        <f t="shared" si="330"/>
        <v>0</v>
      </c>
      <c r="N535" s="264">
        <f t="shared" si="330"/>
        <v>0</v>
      </c>
      <c r="O535" s="264">
        <f t="shared" ref="O535:O543" si="331">IF(L535&gt;0,N535*100/L535,0)</f>
        <v>0</v>
      </c>
      <c r="P535" s="264">
        <f t="shared" ref="P535:P543" si="332">IF(M535&gt;0,N535*100/M535,0)</f>
        <v>0</v>
      </c>
      <c r="Q535" s="264">
        <f t="shared" ref="Q535:S535" si="333">Q536+Q537</f>
        <v>0</v>
      </c>
      <c r="R535" s="264">
        <f t="shared" si="333"/>
        <v>0</v>
      </c>
      <c r="S535" s="264">
        <f t="shared" si="333"/>
        <v>0</v>
      </c>
      <c r="T535" s="264">
        <f t="shared" ref="T535:T543" si="334">IF(Q535&gt;0,S535*100/Q535,0)</f>
        <v>0</v>
      </c>
      <c r="U535" s="264">
        <f t="shared" ref="U535:U543" si="335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6">
        <f t="shared" ref="L536:N537" si="336">L539+L542</f>
        <v>0</v>
      </c>
      <c r="M536" s="77">
        <f t="shared" si="336"/>
        <v>0</v>
      </c>
      <c r="N536" s="77">
        <f t="shared" si="336"/>
        <v>0</v>
      </c>
      <c r="O536" s="77">
        <f t="shared" si="331"/>
        <v>0</v>
      </c>
      <c r="P536" s="77">
        <f t="shared" si="332"/>
        <v>0</v>
      </c>
      <c r="Q536" s="77">
        <f t="shared" ref="Q536:S537" si="337">Q539+Q542</f>
        <v>0</v>
      </c>
      <c r="R536" s="77">
        <f t="shared" si="337"/>
        <v>0</v>
      </c>
      <c r="S536" s="77">
        <f t="shared" si="337"/>
        <v>0</v>
      </c>
      <c r="T536" s="77">
        <f t="shared" si="334"/>
        <v>0</v>
      </c>
      <c r="U536" s="77">
        <f t="shared" si="335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3">
        <f t="shared" si="336"/>
        <v>0</v>
      </c>
      <c r="M537" s="74">
        <f t="shared" si="336"/>
        <v>0</v>
      </c>
      <c r="N537" s="74">
        <f t="shared" si="336"/>
        <v>0</v>
      </c>
      <c r="O537" s="74">
        <f t="shared" si="331"/>
        <v>0</v>
      </c>
      <c r="P537" s="74">
        <f t="shared" si="332"/>
        <v>0</v>
      </c>
      <c r="Q537" s="74">
        <f t="shared" si="337"/>
        <v>0</v>
      </c>
      <c r="R537" s="74">
        <f t="shared" si="337"/>
        <v>0</v>
      </c>
      <c r="S537" s="74">
        <f t="shared" si="337"/>
        <v>0</v>
      </c>
      <c r="T537" s="74">
        <f t="shared" si="334"/>
        <v>0</v>
      </c>
      <c r="U537" s="74">
        <f t="shared" si="335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3">
        <f t="shared" ref="L538:N538" si="338">L539+L540</f>
        <v>0</v>
      </c>
      <c r="M538" s="74">
        <f t="shared" si="338"/>
        <v>0</v>
      </c>
      <c r="N538" s="74">
        <f t="shared" si="338"/>
        <v>0</v>
      </c>
      <c r="O538" s="74">
        <f t="shared" si="331"/>
        <v>0</v>
      </c>
      <c r="P538" s="74">
        <f t="shared" si="332"/>
        <v>0</v>
      </c>
      <c r="Q538" s="74">
        <f t="shared" ref="Q538:S538" si="339">Q539+Q540</f>
        <v>0</v>
      </c>
      <c r="R538" s="74">
        <f t="shared" si="339"/>
        <v>0</v>
      </c>
      <c r="S538" s="74">
        <f t="shared" si="339"/>
        <v>0</v>
      </c>
      <c r="T538" s="74">
        <f t="shared" si="334"/>
        <v>0</v>
      </c>
      <c r="U538" s="74">
        <f t="shared" si="335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77">
        <f t="shared" si="331"/>
        <v>0</v>
      </c>
      <c r="P539" s="77">
        <f t="shared" si="332"/>
        <v>0</v>
      </c>
      <c r="Q539" s="77">
        <v>0</v>
      </c>
      <c r="R539" s="77">
        <v>0</v>
      </c>
      <c r="S539" s="77">
        <v>0</v>
      </c>
      <c r="T539" s="77">
        <f t="shared" si="334"/>
        <v>0</v>
      </c>
      <c r="U539" s="77">
        <f t="shared" si="335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74">
        <f t="shared" si="331"/>
        <v>0</v>
      </c>
      <c r="P540" s="74">
        <f t="shared" si="332"/>
        <v>0</v>
      </c>
      <c r="Q540" s="74">
        <v>0</v>
      </c>
      <c r="R540" s="74">
        <v>0</v>
      </c>
      <c r="S540" s="74">
        <v>0</v>
      </c>
      <c r="T540" s="74">
        <f t="shared" si="334"/>
        <v>0</v>
      </c>
      <c r="U540" s="74">
        <f t="shared" si="335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3">
        <f t="shared" ref="L541:N541" si="340">L542+L543</f>
        <v>0</v>
      </c>
      <c r="M541" s="74">
        <f t="shared" si="340"/>
        <v>0</v>
      </c>
      <c r="N541" s="74">
        <f t="shared" si="340"/>
        <v>0</v>
      </c>
      <c r="O541" s="74">
        <f t="shared" si="331"/>
        <v>0</v>
      </c>
      <c r="P541" s="74">
        <f t="shared" si="332"/>
        <v>0</v>
      </c>
      <c r="Q541" s="74">
        <f t="shared" ref="Q541:S541" si="341">Q542+Q543</f>
        <v>0</v>
      </c>
      <c r="R541" s="74">
        <f t="shared" si="341"/>
        <v>0</v>
      </c>
      <c r="S541" s="74">
        <f t="shared" si="341"/>
        <v>0</v>
      </c>
      <c r="T541" s="74">
        <f t="shared" si="334"/>
        <v>0</v>
      </c>
      <c r="U541" s="74">
        <f t="shared" si="335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77">
        <f t="shared" si="331"/>
        <v>0</v>
      </c>
      <c r="P542" s="77">
        <f t="shared" si="332"/>
        <v>0</v>
      </c>
      <c r="Q542" s="77">
        <v>0</v>
      </c>
      <c r="R542" s="77">
        <v>0</v>
      </c>
      <c r="S542" s="77">
        <v>0</v>
      </c>
      <c r="T542" s="77">
        <f t="shared" si="334"/>
        <v>0</v>
      </c>
      <c r="U542" s="77">
        <f t="shared" si="335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74">
        <f t="shared" si="331"/>
        <v>0</v>
      </c>
      <c r="P543" s="74">
        <f t="shared" si="332"/>
        <v>0</v>
      </c>
      <c r="Q543" s="74">
        <v>0</v>
      </c>
      <c r="R543" s="74">
        <v>0</v>
      </c>
      <c r="S543" s="74">
        <v>0</v>
      </c>
      <c r="T543" s="74">
        <f t="shared" si="334"/>
        <v>0</v>
      </c>
      <c r="U543" s="74">
        <f t="shared" si="335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2">I567</f>
        <v>0</v>
      </c>
      <c r="J555" s="1002">
        <f t="shared" si="342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1257">
        <f t="shared" ref="L556:N556" si="343">L557+L558</f>
        <v>0</v>
      </c>
      <c r="M556" s="264">
        <f t="shared" si="343"/>
        <v>0</v>
      </c>
      <c r="N556" s="264">
        <f t="shared" si="343"/>
        <v>0</v>
      </c>
      <c r="O556" s="264">
        <f t="shared" ref="O556:O564" si="344">IF(L556&gt;0,N556*100/L556,0)</f>
        <v>0</v>
      </c>
      <c r="P556" s="264">
        <f t="shared" ref="P556:P564" si="345">IF(M556&gt;0,N556*100/M556,0)</f>
        <v>0</v>
      </c>
      <c r="Q556" s="264">
        <f t="shared" ref="Q556:S556" si="346">Q557+Q558</f>
        <v>0</v>
      </c>
      <c r="R556" s="264">
        <f t="shared" si="346"/>
        <v>0</v>
      </c>
      <c r="S556" s="264">
        <f t="shared" si="346"/>
        <v>0</v>
      </c>
      <c r="T556" s="264">
        <f t="shared" ref="T556:T564" si="347">IF(Q556&gt;0,S556*100/Q556,0)</f>
        <v>0</v>
      </c>
      <c r="U556" s="264">
        <f t="shared" ref="U556:U564" si="348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6">
        <f t="shared" ref="L557:N558" si="349">L560+L563</f>
        <v>0</v>
      </c>
      <c r="M557" s="77">
        <f t="shared" si="349"/>
        <v>0</v>
      </c>
      <c r="N557" s="77">
        <f t="shared" si="349"/>
        <v>0</v>
      </c>
      <c r="O557" s="77">
        <f t="shared" si="344"/>
        <v>0</v>
      </c>
      <c r="P557" s="77">
        <f t="shared" si="345"/>
        <v>0</v>
      </c>
      <c r="Q557" s="77">
        <f t="shared" ref="Q557:S558" si="350">Q560+Q563</f>
        <v>0</v>
      </c>
      <c r="R557" s="77">
        <f t="shared" si="350"/>
        <v>0</v>
      </c>
      <c r="S557" s="77">
        <f t="shared" si="350"/>
        <v>0</v>
      </c>
      <c r="T557" s="77">
        <f t="shared" si="347"/>
        <v>0</v>
      </c>
      <c r="U557" s="77">
        <f t="shared" si="348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3">
        <f t="shared" si="349"/>
        <v>0</v>
      </c>
      <c r="M558" s="74">
        <f t="shared" si="349"/>
        <v>0</v>
      </c>
      <c r="N558" s="74">
        <f t="shared" si="349"/>
        <v>0</v>
      </c>
      <c r="O558" s="74">
        <f t="shared" si="344"/>
        <v>0</v>
      </c>
      <c r="P558" s="74">
        <f t="shared" si="345"/>
        <v>0</v>
      </c>
      <c r="Q558" s="74">
        <f t="shared" si="350"/>
        <v>0</v>
      </c>
      <c r="R558" s="74">
        <f t="shared" si="350"/>
        <v>0</v>
      </c>
      <c r="S558" s="74">
        <f t="shared" si="350"/>
        <v>0</v>
      </c>
      <c r="T558" s="74">
        <f t="shared" si="347"/>
        <v>0</v>
      </c>
      <c r="U558" s="74">
        <f t="shared" si="348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3">
        <f t="shared" ref="L559:N559" si="351">L560+L561</f>
        <v>0</v>
      </c>
      <c r="M559" s="74">
        <f t="shared" si="351"/>
        <v>0</v>
      </c>
      <c r="N559" s="74">
        <f t="shared" si="351"/>
        <v>0</v>
      </c>
      <c r="O559" s="74">
        <f t="shared" si="344"/>
        <v>0</v>
      </c>
      <c r="P559" s="74">
        <f t="shared" si="345"/>
        <v>0</v>
      </c>
      <c r="Q559" s="74">
        <f t="shared" ref="Q559:S559" si="352">Q560+Q561</f>
        <v>0</v>
      </c>
      <c r="R559" s="74">
        <f t="shared" si="352"/>
        <v>0</v>
      </c>
      <c r="S559" s="74">
        <f t="shared" si="352"/>
        <v>0</v>
      </c>
      <c r="T559" s="74">
        <f t="shared" si="347"/>
        <v>0</v>
      </c>
      <c r="U559" s="74">
        <f t="shared" si="348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77">
        <f t="shared" si="344"/>
        <v>0</v>
      </c>
      <c r="P560" s="77">
        <f t="shared" si="345"/>
        <v>0</v>
      </c>
      <c r="Q560" s="77">
        <v>0</v>
      </c>
      <c r="R560" s="77">
        <v>0</v>
      </c>
      <c r="S560" s="77">
        <v>0</v>
      </c>
      <c r="T560" s="77">
        <f t="shared" si="347"/>
        <v>0</v>
      </c>
      <c r="U560" s="77">
        <f t="shared" si="348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74">
        <f t="shared" si="344"/>
        <v>0</v>
      </c>
      <c r="P561" s="74">
        <f t="shared" si="345"/>
        <v>0</v>
      </c>
      <c r="Q561" s="74">
        <v>0</v>
      </c>
      <c r="R561" s="74">
        <v>0</v>
      </c>
      <c r="S561" s="74">
        <v>0</v>
      </c>
      <c r="T561" s="74">
        <f t="shared" si="347"/>
        <v>0</v>
      </c>
      <c r="U561" s="74">
        <f t="shared" si="348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3">
        <f t="shared" ref="L562:N562" si="353">L563+L564</f>
        <v>0</v>
      </c>
      <c r="M562" s="74">
        <f t="shared" si="353"/>
        <v>0</v>
      </c>
      <c r="N562" s="74">
        <f t="shared" si="353"/>
        <v>0</v>
      </c>
      <c r="O562" s="74">
        <f t="shared" si="344"/>
        <v>0</v>
      </c>
      <c r="P562" s="74">
        <f t="shared" si="345"/>
        <v>0</v>
      </c>
      <c r="Q562" s="74">
        <f t="shared" ref="Q562:S562" si="354">Q563+Q564</f>
        <v>0</v>
      </c>
      <c r="R562" s="74">
        <f t="shared" si="354"/>
        <v>0</v>
      </c>
      <c r="S562" s="74">
        <f t="shared" si="354"/>
        <v>0</v>
      </c>
      <c r="T562" s="74">
        <f t="shared" si="347"/>
        <v>0</v>
      </c>
      <c r="U562" s="74">
        <f t="shared" si="348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77">
        <f t="shared" si="344"/>
        <v>0</v>
      </c>
      <c r="P563" s="77">
        <f t="shared" si="345"/>
        <v>0</v>
      </c>
      <c r="Q563" s="77">
        <v>0</v>
      </c>
      <c r="R563" s="77">
        <v>0</v>
      </c>
      <c r="S563" s="77">
        <v>0</v>
      </c>
      <c r="T563" s="77">
        <f t="shared" si="347"/>
        <v>0</v>
      </c>
      <c r="U563" s="77">
        <f t="shared" si="348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74">
        <f t="shared" si="344"/>
        <v>0</v>
      </c>
      <c r="P564" s="74">
        <f t="shared" si="345"/>
        <v>0</v>
      </c>
      <c r="Q564" s="74">
        <v>0</v>
      </c>
      <c r="R564" s="74">
        <v>0</v>
      </c>
      <c r="S564" s="74">
        <v>0</v>
      </c>
      <c r="T564" s="74">
        <f t="shared" si="347"/>
        <v>0</v>
      </c>
      <c r="U564" s="74">
        <f t="shared" si="348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5">I588</f>
        <v>0</v>
      </c>
      <c r="J576" s="1002">
        <f t="shared" si="355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1257">
        <f t="shared" ref="L577:N577" si="356">L578+L579</f>
        <v>0</v>
      </c>
      <c r="M577" s="264">
        <f t="shared" si="356"/>
        <v>0</v>
      </c>
      <c r="N577" s="264">
        <f t="shared" si="356"/>
        <v>0</v>
      </c>
      <c r="O577" s="264">
        <f t="shared" ref="O577:O585" si="357">IF(L577&gt;0,N577*100/L577,0)</f>
        <v>0</v>
      </c>
      <c r="P577" s="264">
        <f t="shared" ref="P577:P585" si="358">IF(M577&gt;0,N577*100/M577,0)</f>
        <v>0</v>
      </c>
      <c r="Q577" s="264">
        <f t="shared" ref="Q577:S577" si="359">Q578+Q579</f>
        <v>0</v>
      </c>
      <c r="R577" s="264">
        <f t="shared" si="359"/>
        <v>0</v>
      </c>
      <c r="S577" s="264">
        <f t="shared" si="359"/>
        <v>0</v>
      </c>
      <c r="T577" s="264">
        <f t="shared" ref="T577:T585" si="360">IF(Q577&gt;0,S577*100/Q577,0)</f>
        <v>0</v>
      </c>
      <c r="U577" s="264">
        <f t="shared" ref="U577:U585" si="361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6">
        <f t="shared" ref="L578:N579" si="362">L581+L584</f>
        <v>0</v>
      </c>
      <c r="M578" s="77">
        <f t="shared" si="362"/>
        <v>0</v>
      </c>
      <c r="N578" s="77">
        <f t="shared" si="362"/>
        <v>0</v>
      </c>
      <c r="O578" s="77">
        <f t="shared" si="357"/>
        <v>0</v>
      </c>
      <c r="P578" s="77">
        <f t="shared" si="358"/>
        <v>0</v>
      </c>
      <c r="Q578" s="77">
        <f t="shared" ref="Q578:S579" si="363">Q581+Q584</f>
        <v>0</v>
      </c>
      <c r="R578" s="77">
        <f t="shared" si="363"/>
        <v>0</v>
      </c>
      <c r="S578" s="77">
        <f t="shared" si="363"/>
        <v>0</v>
      </c>
      <c r="T578" s="77">
        <f t="shared" si="360"/>
        <v>0</v>
      </c>
      <c r="U578" s="77">
        <f t="shared" si="361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3">
        <f t="shared" si="362"/>
        <v>0</v>
      </c>
      <c r="M579" s="74">
        <f t="shared" si="362"/>
        <v>0</v>
      </c>
      <c r="N579" s="74">
        <f t="shared" si="362"/>
        <v>0</v>
      </c>
      <c r="O579" s="74">
        <f t="shared" si="357"/>
        <v>0</v>
      </c>
      <c r="P579" s="74">
        <f t="shared" si="358"/>
        <v>0</v>
      </c>
      <c r="Q579" s="74">
        <f t="shared" si="363"/>
        <v>0</v>
      </c>
      <c r="R579" s="74">
        <f t="shared" si="363"/>
        <v>0</v>
      </c>
      <c r="S579" s="74">
        <f t="shared" si="363"/>
        <v>0</v>
      </c>
      <c r="T579" s="74">
        <f t="shared" si="360"/>
        <v>0</v>
      </c>
      <c r="U579" s="74">
        <f t="shared" si="361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3">
        <f t="shared" ref="L580:N580" si="364">L581+L582</f>
        <v>0</v>
      </c>
      <c r="M580" s="74">
        <f t="shared" si="364"/>
        <v>0</v>
      </c>
      <c r="N580" s="74">
        <f t="shared" si="364"/>
        <v>0</v>
      </c>
      <c r="O580" s="74">
        <f t="shared" si="357"/>
        <v>0</v>
      </c>
      <c r="P580" s="74">
        <f t="shared" si="358"/>
        <v>0</v>
      </c>
      <c r="Q580" s="74">
        <f t="shared" ref="Q580:S580" si="365">Q581+Q582</f>
        <v>0</v>
      </c>
      <c r="R580" s="74">
        <f t="shared" si="365"/>
        <v>0</v>
      </c>
      <c r="S580" s="74">
        <f t="shared" si="365"/>
        <v>0</v>
      </c>
      <c r="T580" s="74">
        <f t="shared" si="360"/>
        <v>0</v>
      </c>
      <c r="U580" s="74">
        <f t="shared" si="361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77">
        <f t="shared" si="357"/>
        <v>0</v>
      </c>
      <c r="P581" s="77">
        <f t="shared" si="358"/>
        <v>0</v>
      </c>
      <c r="Q581" s="77">
        <v>0</v>
      </c>
      <c r="R581" s="77">
        <v>0</v>
      </c>
      <c r="S581" s="77">
        <v>0</v>
      </c>
      <c r="T581" s="77">
        <f t="shared" si="360"/>
        <v>0</v>
      </c>
      <c r="U581" s="77">
        <f t="shared" si="361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74">
        <f t="shared" si="357"/>
        <v>0</v>
      </c>
      <c r="P582" s="74">
        <f t="shared" si="358"/>
        <v>0</v>
      </c>
      <c r="Q582" s="74">
        <v>0</v>
      </c>
      <c r="R582" s="74">
        <v>0</v>
      </c>
      <c r="S582" s="74">
        <v>0</v>
      </c>
      <c r="T582" s="74">
        <f t="shared" si="360"/>
        <v>0</v>
      </c>
      <c r="U582" s="74">
        <f t="shared" si="361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3">
        <f t="shared" ref="L583:N583" si="366">L584+L585</f>
        <v>0</v>
      </c>
      <c r="M583" s="74">
        <f t="shared" si="366"/>
        <v>0</v>
      </c>
      <c r="N583" s="74">
        <f t="shared" si="366"/>
        <v>0</v>
      </c>
      <c r="O583" s="74">
        <f t="shared" si="357"/>
        <v>0</v>
      </c>
      <c r="P583" s="74">
        <f t="shared" si="358"/>
        <v>0</v>
      </c>
      <c r="Q583" s="74">
        <f t="shared" ref="Q583:S583" si="367">Q584+Q585</f>
        <v>0</v>
      </c>
      <c r="R583" s="74">
        <f t="shared" si="367"/>
        <v>0</v>
      </c>
      <c r="S583" s="74">
        <f t="shared" si="367"/>
        <v>0</v>
      </c>
      <c r="T583" s="74">
        <f t="shared" si="360"/>
        <v>0</v>
      </c>
      <c r="U583" s="74">
        <f t="shared" si="361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77">
        <f t="shared" si="357"/>
        <v>0</v>
      </c>
      <c r="P584" s="77">
        <f t="shared" si="358"/>
        <v>0</v>
      </c>
      <c r="Q584" s="77">
        <v>0</v>
      </c>
      <c r="R584" s="77">
        <v>0</v>
      </c>
      <c r="S584" s="77">
        <v>0</v>
      </c>
      <c r="T584" s="77">
        <f t="shared" si="360"/>
        <v>0</v>
      </c>
      <c r="U584" s="77">
        <f t="shared" si="361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74">
        <f t="shared" si="357"/>
        <v>0</v>
      </c>
      <c r="P585" s="74">
        <f t="shared" si="358"/>
        <v>0</v>
      </c>
      <c r="Q585" s="74">
        <v>0</v>
      </c>
      <c r="R585" s="74">
        <v>0</v>
      </c>
      <c r="S585" s="74">
        <v>0</v>
      </c>
      <c r="T585" s="74">
        <f t="shared" si="360"/>
        <v>0</v>
      </c>
      <c r="U585" s="74">
        <f t="shared" si="361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1257">
        <f t="shared" ref="L600:N600" si="368">L601+L602</f>
        <v>0</v>
      </c>
      <c r="M600" s="264">
        <f t="shared" si="368"/>
        <v>0</v>
      </c>
      <c r="N600" s="264">
        <f t="shared" si="368"/>
        <v>0</v>
      </c>
      <c r="O600" s="264">
        <f t="shared" ref="O600:O608" si="369">IF(L600&gt;0,N600*100/L600,0)</f>
        <v>0</v>
      </c>
      <c r="P600" s="264">
        <f t="shared" ref="P600:P608" si="370">IF(M600&gt;0,N600*100/M600,0)</f>
        <v>0</v>
      </c>
      <c r="Q600" s="264">
        <f t="shared" ref="Q600:S600" si="371">Q601+Q602</f>
        <v>0</v>
      </c>
      <c r="R600" s="264">
        <f t="shared" si="371"/>
        <v>0</v>
      </c>
      <c r="S600" s="264">
        <f t="shared" si="371"/>
        <v>0</v>
      </c>
      <c r="T600" s="264">
        <f t="shared" ref="T600:T608" si="372">IF(Q600&gt;0,S600*100/Q600,0)</f>
        <v>0</v>
      </c>
      <c r="U600" s="264">
        <f t="shared" ref="U600:U608" si="373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6">
        <f t="shared" ref="L601:N602" si="374">L604+L607</f>
        <v>0</v>
      </c>
      <c r="M601" s="77">
        <f t="shared" si="374"/>
        <v>0</v>
      </c>
      <c r="N601" s="77">
        <f t="shared" si="374"/>
        <v>0</v>
      </c>
      <c r="O601" s="77">
        <f t="shared" si="369"/>
        <v>0</v>
      </c>
      <c r="P601" s="77">
        <f t="shared" si="370"/>
        <v>0</v>
      </c>
      <c r="Q601" s="77">
        <f t="shared" ref="Q601:S602" si="375">Q604+Q607</f>
        <v>0</v>
      </c>
      <c r="R601" s="77">
        <f t="shared" si="375"/>
        <v>0</v>
      </c>
      <c r="S601" s="77">
        <f t="shared" si="375"/>
        <v>0</v>
      </c>
      <c r="T601" s="77">
        <f t="shared" si="372"/>
        <v>0</v>
      </c>
      <c r="U601" s="77">
        <f t="shared" si="373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3">
        <f t="shared" si="374"/>
        <v>0</v>
      </c>
      <c r="M602" s="74">
        <f t="shared" si="374"/>
        <v>0</v>
      </c>
      <c r="N602" s="74">
        <f t="shared" si="374"/>
        <v>0</v>
      </c>
      <c r="O602" s="74">
        <f t="shared" si="369"/>
        <v>0</v>
      </c>
      <c r="P602" s="74">
        <f t="shared" si="370"/>
        <v>0</v>
      </c>
      <c r="Q602" s="74">
        <f t="shared" si="375"/>
        <v>0</v>
      </c>
      <c r="R602" s="74">
        <f t="shared" si="375"/>
        <v>0</v>
      </c>
      <c r="S602" s="74">
        <f t="shared" si="375"/>
        <v>0</v>
      </c>
      <c r="T602" s="74">
        <f t="shared" si="372"/>
        <v>0</v>
      </c>
      <c r="U602" s="74">
        <f t="shared" si="373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3">
        <f t="shared" ref="L603:N603" si="376">L604+L605</f>
        <v>0</v>
      </c>
      <c r="M603" s="74">
        <f t="shared" si="376"/>
        <v>0</v>
      </c>
      <c r="N603" s="74">
        <f t="shared" si="376"/>
        <v>0</v>
      </c>
      <c r="O603" s="74">
        <f t="shared" si="369"/>
        <v>0</v>
      </c>
      <c r="P603" s="74">
        <f t="shared" si="370"/>
        <v>0</v>
      </c>
      <c r="Q603" s="74">
        <f t="shared" ref="Q603:S603" si="377">Q604+Q605</f>
        <v>0</v>
      </c>
      <c r="R603" s="74">
        <f t="shared" si="377"/>
        <v>0</v>
      </c>
      <c r="S603" s="74">
        <f t="shared" si="377"/>
        <v>0</v>
      </c>
      <c r="T603" s="74">
        <f t="shared" si="372"/>
        <v>0</v>
      </c>
      <c r="U603" s="74">
        <f t="shared" si="373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77">
        <f t="shared" si="369"/>
        <v>0</v>
      </c>
      <c r="P604" s="77">
        <f t="shared" si="370"/>
        <v>0</v>
      </c>
      <c r="Q604" s="77">
        <v>0</v>
      </c>
      <c r="R604" s="77">
        <v>0</v>
      </c>
      <c r="S604" s="77">
        <v>0</v>
      </c>
      <c r="T604" s="77">
        <f t="shared" si="372"/>
        <v>0</v>
      </c>
      <c r="U604" s="77">
        <f t="shared" si="373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74">
        <f t="shared" si="369"/>
        <v>0</v>
      </c>
      <c r="P605" s="74">
        <f t="shared" si="370"/>
        <v>0</v>
      </c>
      <c r="Q605" s="74">
        <v>0</v>
      </c>
      <c r="R605" s="74">
        <v>0</v>
      </c>
      <c r="S605" s="74">
        <v>0</v>
      </c>
      <c r="T605" s="74">
        <f t="shared" si="372"/>
        <v>0</v>
      </c>
      <c r="U605" s="74">
        <f t="shared" si="373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3">
        <f t="shared" ref="L606:N606" si="378">L607+L608</f>
        <v>0</v>
      </c>
      <c r="M606" s="74">
        <f t="shared" si="378"/>
        <v>0</v>
      </c>
      <c r="N606" s="74">
        <f t="shared" si="378"/>
        <v>0</v>
      </c>
      <c r="O606" s="74">
        <f t="shared" si="369"/>
        <v>0</v>
      </c>
      <c r="P606" s="74">
        <f t="shared" si="370"/>
        <v>0</v>
      </c>
      <c r="Q606" s="74">
        <f t="shared" ref="Q606:S606" si="379">Q607+Q608</f>
        <v>0</v>
      </c>
      <c r="R606" s="74">
        <f t="shared" si="379"/>
        <v>0</v>
      </c>
      <c r="S606" s="74">
        <f t="shared" si="379"/>
        <v>0</v>
      </c>
      <c r="T606" s="74">
        <f t="shared" si="372"/>
        <v>0</v>
      </c>
      <c r="U606" s="74">
        <f t="shared" si="373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77">
        <f t="shared" si="369"/>
        <v>0</v>
      </c>
      <c r="P607" s="77">
        <f t="shared" si="370"/>
        <v>0</v>
      </c>
      <c r="Q607" s="77">
        <v>0</v>
      </c>
      <c r="R607" s="77">
        <v>0</v>
      </c>
      <c r="S607" s="77">
        <v>0</v>
      </c>
      <c r="T607" s="77">
        <f t="shared" si="372"/>
        <v>0</v>
      </c>
      <c r="U607" s="77">
        <f t="shared" si="373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74">
        <f t="shared" si="369"/>
        <v>0</v>
      </c>
      <c r="P608" s="74">
        <f t="shared" si="370"/>
        <v>0</v>
      </c>
      <c r="Q608" s="74">
        <v>0</v>
      </c>
      <c r="R608" s="74">
        <v>0</v>
      </c>
      <c r="S608" s="74">
        <v>0</v>
      </c>
      <c r="T608" s="74">
        <f t="shared" si="372"/>
        <v>0</v>
      </c>
      <c r="U608" s="74">
        <f t="shared" si="373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hidden="1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740">
        <f t="shared" ref="I616:J616" ca="1" si="380">I627</f>
        <v>50</v>
      </c>
      <c r="J616" s="740">
        <f t="shared" si="380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1257">
        <f t="shared" ref="L617:N617" si="381">L618+L619</f>
        <v>0</v>
      </c>
      <c r="M617" s="264">
        <f t="shared" si="381"/>
        <v>0</v>
      </c>
      <c r="N617" s="264">
        <f t="shared" si="381"/>
        <v>0</v>
      </c>
      <c r="O617" s="264">
        <f t="shared" ref="O617:O625" si="382">IF(L617&gt;0,N617*100/L617,0)</f>
        <v>0</v>
      </c>
      <c r="P617" s="264">
        <f t="shared" ref="P617:P625" si="383">IF(M617&gt;0,N617*100/M617,0)</f>
        <v>0</v>
      </c>
      <c r="Q617" s="264">
        <f t="shared" ref="Q617:S617" ca="1" si="384">Q618+Q619</f>
        <v>6675</v>
      </c>
      <c r="R617" s="264">
        <f t="shared" ca="1" si="384"/>
        <v>6675</v>
      </c>
      <c r="S617" s="264">
        <f t="shared" ca="1" si="384"/>
        <v>0</v>
      </c>
      <c r="T617" s="264">
        <f t="shared" ref="T617:T625" ca="1" si="385">IF(Q617&gt;0,S617*100/Q617,0)</f>
        <v>0</v>
      </c>
      <c r="U617" s="264">
        <f t="shared" ref="U617:U625" ca="1" si="386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6">
        <f t="shared" ref="L618:N619" si="387">L621+L624</f>
        <v>0</v>
      </c>
      <c r="M618" s="77">
        <f t="shared" si="387"/>
        <v>0</v>
      </c>
      <c r="N618" s="77">
        <f t="shared" si="387"/>
        <v>0</v>
      </c>
      <c r="O618" s="77">
        <f t="shared" si="382"/>
        <v>0</v>
      </c>
      <c r="P618" s="77">
        <f t="shared" si="383"/>
        <v>0</v>
      </c>
      <c r="Q618" s="77">
        <f t="shared" ref="Q618:S619" si="388">Q621+Q624</f>
        <v>0</v>
      </c>
      <c r="R618" s="77">
        <f t="shared" si="388"/>
        <v>0</v>
      </c>
      <c r="S618" s="77">
        <f t="shared" si="388"/>
        <v>0</v>
      </c>
      <c r="T618" s="77">
        <f t="shared" si="385"/>
        <v>0</v>
      </c>
      <c r="U618" s="77">
        <f t="shared" si="386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3">
        <f t="shared" si="387"/>
        <v>0</v>
      </c>
      <c r="M619" s="74">
        <f t="shared" si="387"/>
        <v>0</v>
      </c>
      <c r="N619" s="74">
        <f t="shared" si="387"/>
        <v>0</v>
      </c>
      <c r="O619" s="74">
        <f t="shared" si="382"/>
        <v>0</v>
      </c>
      <c r="P619" s="74">
        <f t="shared" si="383"/>
        <v>0</v>
      </c>
      <c r="Q619" s="74">
        <f t="shared" ca="1" si="388"/>
        <v>6675</v>
      </c>
      <c r="R619" s="74">
        <f t="shared" ca="1" si="388"/>
        <v>6675</v>
      </c>
      <c r="S619" s="74">
        <f t="shared" ca="1" si="388"/>
        <v>0</v>
      </c>
      <c r="T619" s="74">
        <f t="shared" ca="1" si="385"/>
        <v>0</v>
      </c>
      <c r="U619" s="74">
        <f t="shared" ca="1" si="386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3">
        <f t="shared" ref="L620:N620" si="389">L621+L622</f>
        <v>0</v>
      </c>
      <c r="M620" s="74">
        <f t="shared" si="389"/>
        <v>0</v>
      </c>
      <c r="N620" s="74">
        <f t="shared" si="389"/>
        <v>0</v>
      </c>
      <c r="O620" s="74">
        <f t="shared" si="382"/>
        <v>0</v>
      </c>
      <c r="P620" s="74">
        <f t="shared" si="383"/>
        <v>0</v>
      </c>
      <c r="Q620" s="74">
        <f t="shared" ref="Q620:S620" ca="1" si="390">Q621+Q622</f>
        <v>6675</v>
      </c>
      <c r="R620" s="74">
        <f t="shared" ca="1" si="390"/>
        <v>6675</v>
      </c>
      <c r="S620" s="74">
        <f t="shared" ca="1" si="390"/>
        <v>0</v>
      </c>
      <c r="T620" s="74">
        <f t="shared" ca="1" si="385"/>
        <v>0</v>
      </c>
      <c r="U620" s="74">
        <f t="shared" ca="1" si="386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77">
        <f t="shared" si="382"/>
        <v>0</v>
      </c>
      <c r="P621" s="77">
        <f t="shared" si="383"/>
        <v>0</v>
      </c>
      <c r="Q621" s="77">
        <v>0</v>
      </c>
      <c r="R621" s="77">
        <v>0</v>
      </c>
      <c r="S621" s="77">
        <v>0</v>
      </c>
      <c r="T621" s="77">
        <f t="shared" si="385"/>
        <v>0</v>
      </c>
      <c r="U621" s="77">
        <f t="shared" si="386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74">
        <f t="shared" si="382"/>
        <v>0</v>
      </c>
      <c r="P622" s="74">
        <f t="shared" si="383"/>
        <v>0</v>
      </c>
      <c r="Q622" s="74">
        <f ca="1">IFERROR(__xludf.DUMMYFUNCTION("IMPORTRANGE(""https://docs.google.com/spreadsheets/d/1ItG2mGa2ceCfYo0BwxsXqNm01IGEUdYcSSLTEv9YCik/edit?usp=sharing"",""เบิกจ่ายกองทุน!F63"")"),6675)</f>
        <v>6675</v>
      </c>
      <c r="R622" s="74">
        <f ca="1">IFERROR(__xludf.DUMMYFUNCTION("IMPORTRANGE(""https://docs.google.com/spreadsheets/d/1ItG2mGa2ceCfYo0BwxsXqNm01IGEUdYcSSLTEv9YCik/edit?usp=sharing"",""เบิกจ่ายกองทุน!G63"")"),6675)</f>
        <v>6675</v>
      </c>
      <c r="S622" s="74">
        <f ca="1">IFERROR(__xludf.DUMMYFUNCTION("IMPORTRANGE(""https://docs.google.com/spreadsheets/d/1ItG2mGa2ceCfYo0BwxsXqNm01IGEUdYcSSLTEv9YCik/edit?usp=sharing"",""เบิกจ่ายกองทุน!H63"")"),0)</f>
        <v>0</v>
      </c>
      <c r="T622" s="74">
        <f t="shared" ca="1" si="385"/>
        <v>0</v>
      </c>
      <c r="U622" s="74">
        <f t="shared" ca="1" si="386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3">
        <f t="shared" ref="L623:N623" si="391">L624+L625</f>
        <v>0</v>
      </c>
      <c r="M623" s="74">
        <f t="shared" si="391"/>
        <v>0</v>
      </c>
      <c r="N623" s="74">
        <f t="shared" si="391"/>
        <v>0</v>
      </c>
      <c r="O623" s="74">
        <f t="shared" si="382"/>
        <v>0</v>
      </c>
      <c r="P623" s="74">
        <f t="shared" si="383"/>
        <v>0</v>
      </c>
      <c r="Q623" s="74">
        <f t="shared" ref="Q623:S623" si="392">Q624+Q625</f>
        <v>0</v>
      </c>
      <c r="R623" s="74">
        <f t="shared" si="392"/>
        <v>0</v>
      </c>
      <c r="S623" s="74">
        <f t="shared" si="392"/>
        <v>0</v>
      </c>
      <c r="T623" s="74">
        <f t="shared" si="385"/>
        <v>0</v>
      </c>
      <c r="U623" s="74">
        <f t="shared" si="386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77">
        <f t="shared" si="382"/>
        <v>0</v>
      </c>
      <c r="P624" s="77">
        <f t="shared" si="383"/>
        <v>0</v>
      </c>
      <c r="Q624" s="77">
        <v>0</v>
      </c>
      <c r="R624" s="77">
        <v>0</v>
      </c>
      <c r="S624" s="77">
        <v>0</v>
      </c>
      <c r="T624" s="77">
        <f t="shared" si="385"/>
        <v>0</v>
      </c>
      <c r="U624" s="77">
        <f t="shared" si="386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74">
        <f t="shared" si="382"/>
        <v>0</v>
      </c>
      <c r="P625" s="74">
        <f t="shared" si="383"/>
        <v>0</v>
      </c>
      <c r="Q625" s="74">
        <v>0</v>
      </c>
      <c r="R625" s="74">
        <v>0</v>
      </c>
      <c r="S625" s="74">
        <v>0</v>
      </c>
      <c r="T625" s="74">
        <f t="shared" si="385"/>
        <v>0</v>
      </c>
      <c r="U625" s="74">
        <f t="shared" si="386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IFERROR(__xludf.DUMMYFUNCTION("IMPORTRANGE(""https://docs.google.com/spreadsheets/d/1eHaY18a8A9IcSdp1K8H6x8fbOy06t2VsZHhMHf-1x7Y/edit?usp=sharing"",""แผน!ID63"")"),50)</f>
        <v>50</v>
      </c>
      <c r="J627" s="622">
        <f>J633</f>
        <v>0</v>
      </c>
      <c r="K627" s="26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IFERROR(__xludf.DUMMYFUNCTION("IMPORTRANGE(""https://docs.google.com/spreadsheets/d/1eHaY18a8A9IcSdp1K8H6x8fbOy06t2VsZHhMHf-1x7Y/edit?usp=sharing"",""แผน!IC63"")"),0)</f>
        <v>0</v>
      </c>
      <c r="J628" s="294">
        <v>0</v>
      </c>
      <c r="K628" s="74">
        <f t="shared" ref="K628:K629" ca="1" si="393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IFERROR(__xludf.DUMMYFUNCTION("IMPORTRANGE(""https://docs.google.com/spreadsheets/d/1eHaY18a8A9IcSdp1K8H6x8fbOy06t2VsZHhMHf-1x7Y/edit?usp=sharing"",""แผน!IC63"")"),0)</f>
        <v>0</v>
      </c>
      <c r="J629" s="294">
        <v>0</v>
      </c>
      <c r="K629" s="74">
        <f t="shared" ca="1" si="393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0</v>
      </c>
      <c r="K630" s="74">
        <f t="shared" ref="K630:K632" ca="1" si="394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t="shared" ca="1" si="394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t="shared" ca="1" si="394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IFERROR(__xludf.DUMMYFUNCTION("IMPORTRANGE(""https://docs.google.com/spreadsheets/d/1eHaY18a8A9IcSdp1K8H6x8fbOy06t2VsZHhMHf-1x7Y/edit?usp=sharing"",""แผน!IE63"")"),0)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1257">
        <f t="shared" ref="L643:N643" si="395">L644+L645</f>
        <v>0</v>
      </c>
      <c r="M643" s="264">
        <f t="shared" si="395"/>
        <v>0</v>
      </c>
      <c r="N643" s="264">
        <f t="shared" si="395"/>
        <v>0</v>
      </c>
      <c r="O643" s="264">
        <f t="shared" ref="O643:O651" si="396">IF(L643&gt;0,N643*100/L643,0)</f>
        <v>0</v>
      </c>
      <c r="P643" s="264">
        <f t="shared" ref="P643:P651" si="397">IF(M643&gt;0,N643*100/M643,0)</f>
        <v>0</v>
      </c>
      <c r="Q643" s="264">
        <f t="shared" ref="Q643:S643" ca="1" si="398">Q644+Q645</f>
        <v>15680</v>
      </c>
      <c r="R643" s="264">
        <f t="shared" ca="1" si="398"/>
        <v>15680</v>
      </c>
      <c r="S643" s="264">
        <f t="shared" ca="1" si="398"/>
        <v>0</v>
      </c>
      <c r="T643" s="264">
        <f t="shared" ref="T643:T651" ca="1" si="399">IF(Q643&gt;0,S643*100/Q643,0)</f>
        <v>0</v>
      </c>
      <c r="U643" s="264">
        <f t="shared" ref="U643:U651" ca="1" si="400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6">
        <f t="shared" ref="L644:N645" si="401">L647+L650</f>
        <v>0</v>
      </c>
      <c r="M644" s="77">
        <f t="shared" si="401"/>
        <v>0</v>
      </c>
      <c r="N644" s="77">
        <f t="shared" si="401"/>
        <v>0</v>
      </c>
      <c r="O644" s="77">
        <f t="shared" si="396"/>
        <v>0</v>
      </c>
      <c r="P644" s="77">
        <f t="shared" si="397"/>
        <v>0</v>
      </c>
      <c r="Q644" s="77">
        <f t="shared" ref="Q644:S645" si="402">Q647+Q650</f>
        <v>0</v>
      </c>
      <c r="R644" s="77">
        <f t="shared" si="402"/>
        <v>0</v>
      </c>
      <c r="S644" s="77">
        <f t="shared" si="402"/>
        <v>0</v>
      </c>
      <c r="T644" s="77">
        <f t="shared" si="399"/>
        <v>0</v>
      </c>
      <c r="U644" s="77">
        <f t="shared" si="400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3">
        <f t="shared" si="401"/>
        <v>0</v>
      </c>
      <c r="M645" s="74">
        <f t="shared" si="401"/>
        <v>0</v>
      </c>
      <c r="N645" s="74">
        <f t="shared" si="401"/>
        <v>0</v>
      </c>
      <c r="O645" s="74">
        <f t="shared" si="396"/>
        <v>0</v>
      </c>
      <c r="P645" s="74">
        <f t="shared" si="397"/>
        <v>0</v>
      </c>
      <c r="Q645" s="74">
        <f t="shared" ca="1" si="402"/>
        <v>15680</v>
      </c>
      <c r="R645" s="74">
        <f t="shared" ca="1" si="402"/>
        <v>15680</v>
      </c>
      <c r="S645" s="74">
        <f t="shared" ca="1" si="402"/>
        <v>0</v>
      </c>
      <c r="T645" s="74">
        <f t="shared" ca="1" si="399"/>
        <v>0</v>
      </c>
      <c r="U645" s="74">
        <f t="shared" ca="1" si="400"/>
        <v>0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3">
        <f t="shared" ref="L646:N646" si="403">L647+L648</f>
        <v>0</v>
      </c>
      <c r="M646" s="74">
        <f t="shared" si="403"/>
        <v>0</v>
      </c>
      <c r="N646" s="74">
        <f t="shared" si="403"/>
        <v>0</v>
      </c>
      <c r="O646" s="74">
        <f t="shared" si="396"/>
        <v>0</v>
      </c>
      <c r="P646" s="74">
        <f t="shared" si="397"/>
        <v>0</v>
      </c>
      <c r="Q646" s="74">
        <f t="shared" ref="Q646:S646" ca="1" si="404">Q647+Q648</f>
        <v>15680</v>
      </c>
      <c r="R646" s="74">
        <f t="shared" ca="1" si="404"/>
        <v>15680</v>
      </c>
      <c r="S646" s="74">
        <f t="shared" ca="1" si="404"/>
        <v>0</v>
      </c>
      <c r="T646" s="74">
        <f t="shared" ca="1" si="399"/>
        <v>0</v>
      </c>
      <c r="U646" s="74">
        <f t="shared" ca="1" si="400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77">
        <f t="shared" si="396"/>
        <v>0</v>
      </c>
      <c r="P647" s="77">
        <f t="shared" si="397"/>
        <v>0</v>
      </c>
      <c r="Q647" s="77">
        <v>0</v>
      </c>
      <c r="R647" s="77">
        <v>0</v>
      </c>
      <c r="S647" s="77">
        <v>0</v>
      </c>
      <c r="T647" s="77">
        <f t="shared" si="399"/>
        <v>0</v>
      </c>
      <c r="U647" s="77">
        <f t="shared" si="400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74">
        <f t="shared" si="396"/>
        <v>0</v>
      </c>
      <c r="P648" s="74">
        <f t="shared" si="397"/>
        <v>0</v>
      </c>
      <c r="Q648" s="74">
        <f ca="1">IFERROR(__xludf.DUMMYFUNCTION("IMPORTRANGE(""https://docs.google.com/spreadsheets/d/1ItG2mGa2ceCfYo0BwxsXqNm01IGEUdYcSSLTEv9YCik/edit?usp=sharing"",""เบิกจ่ายกองทุน!I63"")"),15680)</f>
        <v>15680</v>
      </c>
      <c r="R648" s="74">
        <f ca="1">IFERROR(__xludf.DUMMYFUNCTION("IMPORTRANGE(""https://docs.google.com/spreadsheets/d/1ItG2mGa2ceCfYo0BwxsXqNm01IGEUdYcSSLTEv9YCik/edit?usp=sharing"",""เบิกจ่ายกองทุน!J63"")"),15680)</f>
        <v>15680</v>
      </c>
      <c r="S648" s="74">
        <f ca="1">IFERROR(__xludf.DUMMYFUNCTION("IMPORTRANGE(""https://docs.google.com/spreadsheets/d/1ItG2mGa2ceCfYo0BwxsXqNm01IGEUdYcSSLTEv9YCik/edit?usp=sharing"",""เบิกจ่ายกองทุน!K63"")"),0)</f>
        <v>0</v>
      </c>
      <c r="T648" s="74">
        <f t="shared" ca="1" si="399"/>
        <v>0</v>
      </c>
      <c r="U648" s="74">
        <f t="shared" ca="1" si="400"/>
        <v>0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3">
        <f t="shared" ref="L649:N649" si="405">L650+L651</f>
        <v>0</v>
      </c>
      <c r="M649" s="74">
        <f t="shared" si="405"/>
        <v>0</v>
      </c>
      <c r="N649" s="74">
        <f t="shared" si="405"/>
        <v>0</v>
      </c>
      <c r="O649" s="74">
        <f t="shared" si="396"/>
        <v>0</v>
      </c>
      <c r="P649" s="74">
        <f t="shared" si="397"/>
        <v>0</v>
      </c>
      <c r="Q649" s="74">
        <f t="shared" ref="Q649:S649" si="406">Q650+Q651</f>
        <v>0</v>
      </c>
      <c r="R649" s="74">
        <f t="shared" si="406"/>
        <v>0</v>
      </c>
      <c r="S649" s="74">
        <f t="shared" si="406"/>
        <v>0</v>
      </c>
      <c r="T649" s="74">
        <f t="shared" si="399"/>
        <v>0</v>
      </c>
      <c r="U649" s="74">
        <f t="shared" si="400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77">
        <f t="shared" si="396"/>
        <v>0</v>
      </c>
      <c r="P650" s="77">
        <f t="shared" si="397"/>
        <v>0</v>
      </c>
      <c r="Q650" s="77">
        <v>0</v>
      </c>
      <c r="R650" s="77">
        <v>0</v>
      </c>
      <c r="S650" s="77">
        <v>0</v>
      </c>
      <c r="T650" s="77">
        <f t="shared" si="399"/>
        <v>0</v>
      </c>
      <c r="U650" s="77">
        <f t="shared" si="400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74">
        <f t="shared" si="396"/>
        <v>0</v>
      </c>
      <c r="P651" s="74">
        <f t="shared" si="397"/>
        <v>0</v>
      </c>
      <c r="Q651" s="74">
        <v>0</v>
      </c>
      <c r="R651" s="74">
        <v>0</v>
      </c>
      <c r="S651" s="74">
        <v>0</v>
      </c>
      <c r="T651" s="74">
        <f t="shared" si="399"/>
        <v>0</v>
      </c>
      <c r="U651" s="74">
        <f t="shared" si="400"/>
        <v>0</v>
      </c>
    </row>
    <row r="652" spans="1:21" ht="19.5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IFERROR(__xludf.DUMMYFUNCTION("IMPORTRANGE(""https://docs.google.com/spreadsheets/d/1eHaY18a8A9IcSdp1K8H6x8fbOy06t2VsZHhMHf-1x7Y/edit?usp=sharing"",""แผน!IF63"")"),0)</f>
        <v>0</v>
      </c>
      <c r="J653" s="293">
        <f ca="1">IFERROR(__xludf.DUMMYFUNCTION("IMPORTRANGE(""https://docs.google.com/spreadsheets/d/1tdoBKaGub7dwA3U6UFTqxio9LNnvDCQjHKmttSEBsFQ/edit?usp=sharing"",""จัดที่ดิน!AU63"")"),0)</f>
        <v>0</v>
      </c>
      <c r="K653" s="74">
        <f t="shared" ref="K653:K655" ca="1" si="407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hidden="1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IFERROR(__xludf.DUMMYFUNCTION("IMPORTRANGE(""https://docs.google.com/spreadsheets/d/1eHaY18a8A9IcSdp1K8H6x8fbOy06t2VsZHhMHf-1x7Y/edit?usp=sharing"",""แผน!IG63"")"),0)</f>
        <v>0</v>
      </c>
      <c r="J654" s="293">
        <f ca="1">IFERROR(__xludf.DUMMYFUNCTION("IMPORTRANGE(""https://docs.google.com/spreadsheets/d/1tdoBKaGub7dwA3U6UFTqxio9LNnvDCQjHKmttSEBsFQ/edit?usp=sharing"",""จัดที่ดิน!AW63"")"),0)</f>
        <v>0</v>
      </c>
      <c r="K654" s="74">
        <f t="shared" ca="1" si="407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hidden="1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IFERROR(__xludf.DUMMYFUNCTION("IMPORTRANGE(""https://docs.google.com/spreadsheets/d/1eHaY18a8A9IcSdp1K8H6x8fbOy06t2VsZHhMHf-1x7Y/edit?usp=sharing"",""แผน!IH63"")"),0)</f>
        <v>0</v>
      </c>
      <c r="J655" s="622">
        <f>J658+J661</f>
        <v>0</v>
      </c>
      <c r="K655" s="264">
        <f t="shared" ca="1" si="407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hidden="1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hidden="1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hidden="1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IFERROR(__xludf.DUMMYFUNCTION("IMPORTRANGE(""https://docs.google.com/spreadsheets/d/1eHaY18a8A9IcSdp1K8H6x8fbOy06t2VsZHhMHf-1x7Y/edit?usp=sharing"",""แผน!II63"")"),0)</f>
        <v>0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hidden="1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hidden="1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hidden="1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IFERROR(__xludf.DUMMYFUNCTION("IMPORTRANGE(""https://docs.google.com/spreadsheets/d/1eHaY18a8A9IcSdp1K8H6x8fbOy06t2VsZHhMHf-1x7Y/edit?usp=sharing"",""แผน!IJ63"")"),0)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IFERROR(__xludf.DUMMYFUNCTION("IMPORTRANGE(""https://docs.google.com/spreadsheets/d/1eHaY18a8A9IcSdp1K8H6x8fbOy06t2VsZHhMHf-1x7Y/edit?usp=sharing"",""แผน!IK63"")"),137)</f>
        <v>137</v>
      </c>
      <c r="J662" s="622">
        <f>J668+J671</f>
        <v>0</v>
      </c>
      <c r="K662" s="264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IFERROR(__xludf.DUMMYFUNCTION("IMPORTRANGE(""https://docs.google.com/spreadsheets/d/1tdoBKaGub7dwA3U6UFTqxio9LNnvDCQjHKmttSEBsFQ/edit?usp=sharing"",""จัดที่ดิน!AY63"")"),0)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IFERROR(__xludf.DUMMYFUNCTION("IMPORTRANGE(""https://docs.google.com/spreadsheets/d/1tdoBKaGub7dwA3U6UFTqxio9LNnvDCQjHKmttSEBsFQ/edit?usp=sharing"",""จัดที่ดิน!AZ63"")"),0)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IFERROR(__xludf.DUMMYFUNCTION("IMPORTRANGE(""https://docs.google.com/spreadsheets/d/1eHaY18a8A9IcSdp1K8H6x8fbOy06t2VsZHhMHf-1x7Y/edit?usp=sharing"",""แผน!IL63"")"),50)</f>
        <v>50</v>
      </c>
      <c r="J674" s="293">
        <f ca="1">IFERROR(__xludf.DUMMYFUNCTION("IMPORTRANGE(""https://docs.google.com/spreadsheets/d/1tdoBKaGub7dwA3U6UFTqxio9LNnvDCQjHKmttSEBsFQ/edit?usp=sharing"",""จัดที่ดิน!BA63"")"),0)</f>
        <v>0</v>
      </c>
      <c r="K674" s="74">
        <f t="shared" ref="K674:K677" ca="1" si="408">IF(I674&gt;0,J674*100/I674,0)</f>
        <v>0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IFERROR(__xludf.DUMMYFUNCTION("IMPORTRANGE(""https://docs.google.com/spreadsheets/d/1eHaY18a8A9IcSdp1K8H6x8fbOy06t2VsZHhMHf-1x7Y/edit?usp=sharing"",""แผน!IM63"")"),10)</f>
        <v>10</v>
      </c>
      <c r="J675" s="622">
        <f ca="1">J677+J680</f>
        <v>0</v>
      </c>
      <c r="K675" s="264">
        <f t="shared" ca="1" si="408"/>
        <v>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IFERROR(__xludf.DUMMYFUNCTION("IMPORTRANGE(""https://docs.google.com/spreadsheets/d/1eHaY18a8A9IcSdp1K8H6x8fbOy06t2VsZHhMHf-1x7Y/edit?usp=sharing"",""แผน!IN63"")"),100)</f>
        <v>100</v>
      </c>
      <c r="J676" s="622">
        <f ca="1">J679+J682</f>
        <v>0</v>
      </c>
      <c r="K676" s="264">
        <f t="shared" ca="1" si="408"/>
        <v>0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IFERROR(__xludf.DUMMYFUNCTION("IMPORTRANGE(""https://docs.google.com/spreadsheets/d/1eHaY18a8A9IcSdp1K8H6x8fbOy06t2VsZHhMHf-1x7Y/edit?usp=sharing"",""แผน!IO63"")"),5)</f>
        <v>5</v>
      </c>
      <c r="J677" s="293">
        <f ca="1">IFERROR(__xludf.DUMMYFUNCTION("IMPORTRANGE(""https://docs.google.com/spreadsheets/d/1tdoBKaGub7dwA3U6UFTqxio9LNnvDCQjHKmttSEBsFQ/edit?usp=sharing"",""จัดที่ดิน!BF63"")"),0)</f>
        <v>0</v>
      </c>
      <c r="K677" s="74">
        <f t="shared" ca="1" si="408"/>
        <v>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IFERROR(__xludf.DUMMYFUNCTION("IMPORTRANGE(""https://docs.google.com/spreadsheets/d/1tdoBKaGub7dwA3U6UFTqxio9LNnvDCQjHKmttSEBsFQ/edit?usp=sharing"",""จัดที่ดิน!BG63"")"),0)</f>
        <v>0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IFERROR(__xludf.DUMMYFUNCTION("IMPORTRANGE(""https://docs.google.com/spreadsheets/d/1eHaY18a8A9IcSdp1K8H6x8fbOy06t2VsZHhMHf-1x7Y/edit?usp=sharing"",""แผน!IP63"")"),50)</f>
        <v>50</v>
      </c>
      <c r="J679" s="293">
        <f ca="1">IFERROR(__xludf.DUMMYFUNCTION("IMPORTRANGE(""https://docs.google.com/spreadsheets/d/1tdoBKaGub7dwA3U6UFTqxio9LNnvDCQjHKmttSEBsFQ/edit?usp=sharing"",""จัดที่ดิน!BH63"")"),0)</f>
        <v>0</v>
      </c>
      <c r="K679" s="74">
        <f t="shared" ref="K679:K680" ca="1" si="409">IF(I679&gt;0,J679*100/I679,0)</f>
        <v>0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IFERROR(__xludf.DUMMYFUNCTION("IMPORTRANGE(""https://docs.google.com/spreadsheets/d/1eHaY18a8A9IcSdp1K8H6x8fbOy06t2VsZHhMHf-1x7Y/edit?usp=sharing"",""แผน!IQ63"")"),5)</f>
        <v>5</v>
      </c>
      <c r="J680" s="293">
        <f ca="1">IFERROR(__xludf.DUMMYFUNCTION("IMPORTRANGE(""https://docs.google.com/spreadsheets/d/1tdoBKaGub7dwA3U6UFTqxio9LNnvDCQjHKmttSEBsFQ/edit?usp=sharing"",""จัดที่ดิน!BK63"")"),0)</f>
        <v>0</v>
      </c>
      <c r="K680" s="74">
        <f t="shared" ca="1" si="409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IFERROR(__xludf.DUMMYFUNCTION("IMPORTRANGE(""https://docs.google.com/spreadsheets/d/1tdoBKaGub7dwA3U6UFTqxio9LNnvDCQjHKmttSEBsFQ/edit?usp=sharing"",""จัดที่ดิน!BL63"")"),0)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IFERROR(__xludf.DUMMYFUNCTION("IMPORTRANGE(""https://docs.google.com/spreadsheets/d/1eHaY18a8A9IcSdp1K8H6x8fbOy06t2VsZHhMHf-1x7Y/edit?usp=sharing"",""แผน!IR63"")"),50)</f>
        <v>50</v>
      </c>
      <c r="J682" s="293">
        <f ca="1">IFERROR(__xludf.DUMMYFUNCTION("IMPORTRANGE(""https://docs.google.com/spreadsheets/d/1tdoBKaGub7dwA3U6UFTqxio9LNnvDCQjHKmttSEBsFQ/edit?usp=sharing"",""จัดที่ดิน!BM63"")"),0)</f>
        <v>0</v>
      </c>
      <c r="K682" s="74">
        <f t="shared" ref="K682:K683" ca="1" si="410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hidden="1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IFERROR(__xludf.DUMMYFUNCTION("IMPORTRANGE(""https://docs.google.com/spreadsheets/d/1eHaY18a8A9IcSdp1K8H6x8fbOy06t2VsZHhMHf-1x7Y/edit?usp=sharing"",""แผน!IS63"")"),0)</f>
        <v>0</v>
      </c>
      <c r="J683" s="622">
        <f>J686+J689</f>
        <v>0</v>
      </c>
      <c r="K683" s="264">
        <f t="shared" ca="1" si="410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hidden="1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hidden="1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hidden="1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hidden="1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hidden="1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hidden="1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80" t="s">
        <v>35</v>
      </c>
      <c r="I690" s="781">
        <f t="shared" ref="I690:J690" ca="1" si="411">I708</f>
        <v>2</v>
      </c>
      <c r="J690" s="781">
        <f t="shared" ca="1" si="411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1257">
        <f t="shared" ref="L691:N691" si="412">L692+L693</f>
        <v>0</v>
      </c>
      <c r="M691" s="264">
        <f t="shared" si="412"/>
        <v>0</v>
      </c>
      <c r="N691" s="264">
        <f t="shared" si="412"/>
        <v>0</v>
      </c>
      <c r="O691" s="264">
        <f t="shared" ref="O691:O699" si="413">IF(L691&gt;0,N691*100/L691,0)</f>
        <v>0</v>
      </c>
      <c r="P691" s="264">
        <f t="shared" ref="P691:P699" si="414">IF(M691&gt;0,N691*100/M691,0)</f>
        <v>0</v>
      </c>
      <c r="Q691" s="264">
        <f t="shared" ref="Q691:S691" ca="1" si="415">Q692+Q693</f>
        <v>61640</v>
      </c>
      <c r="R691" s="264">
        <f t="shared" ca="1" si="415"/>
        <v>61640</v>
      </c>
      <c r="S691" s="264">
        <f t="shared" ca="1" si="415"/>
        <v>0</v>
      </c>
      <c r="T691" s="264">
        <f t="shared" ref="T691:T699" ca="1" si="416">IF(Q691&gt;0,S691*100/Q691,0)</f>
        <v>0</v>
      </c>
      <c r="U691" s="264">
        <f t="shared" ref="U691:U699" ca="1" si="417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6">
        <f t="shared" ref="L692:N693" si="418">L695+L698</f>
        <v>0</v>
      </c>
      <c r="M692" s="77">
        <f t="shared" si="418"/>
        <v>0</v>
      </c>
      <c r="N692" s="77">
        <f t="shared" si="418"/>
        <v>0</v>
      </c>
      <c r="O692" s="77">
        <f t="shared" si="413"/>
        <v>0</v>
      </c>
      <c r="P692" s="77">
        <f t="shared" si="414"/>
        <v>0</v>
      </c>
      <c r="Q692" s="77">
        <f t="shared" ref="Q692:S693" si="419">Q695+Q698</f>
        <v>0</v>
      </c>
      <c r="R692" s="77">
        <f t="shared" si="419"/>
        <v>0</v>
      </c>
      <c r="S692" s="77">
        <f t="shared" si="419"/>
        <v>0</v>
      </c>
      <c r="T692" s="77">
        <f t="shared" si="416"/>
        <v>0</v>
      </c>
      <c r="U692" s="77">
        <f t="shared" si="417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3">
        <f t="shared" si="418"/>
        <v>0</v>
      </c>
      <c r="M693" s="74">
        <f t="shared" si="418"/>
        <v>0</v>
      </c>
      <c r="N693" s="74">
        <f t="shared" si="418"/>
        <v>0</v>
      </c>
      <c r="O693" s="74">
        <f t="shared" si="413"/>
        <v>0</v>
      </c>
      <c r="P693" s="74">
        <f t="shared" si="414"/>
        <v>0</v>
      </c>
      <c r="Q693" s="74">
        <f t="shared" ca="1" si="419"/>
        <v>61640</v>
      </c>
      <c r="R693" s="74">
        <f t="shared" ca="1" si="419"/>
        <v>61640</v>
      </c>
      <c r="S693" s="74">
        <f t="shared" ca="1" si="419"/>
        <v>0</v>
      </c>
      <c r="T693" s="74">
        <f t="shared" ca="1" si="416"/>
        <v>0</v>
      </c>
      <c r="U693" s="74">
        <f t="shared" ca="1" si="417"/>
        <v>0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3">
        <f t="shared" ref="L694:N694" si="420">L695+L696</f>
        <v>0</v>
      </c>
      <c r="M694" s="74">
        <f t="shared" si="420"/>
        <v>0</v>
      </c>
      <c r="N694" s="74">
        <f t="shared" si="420"/>
        <v>0</v>
      </c>
      <c r="O694" s="74">
        <f t="shared" si="413"/>
        <v>0</v>
      </c>
      <c r="P694" s="74">
        <f t="shared" si="414"/>
        <v>0</v>
      </c>
      <c r="Q694" s="74">
        <f t="shared" ref="Q694:S694" ca="1" si="421">Q695+Q696</f>
        <v>61640</v>
      </c>
      <c r="R694" s="74">
        <f t="shared" ca="1" si="421"/>
        <v>61640</v>
      </c>
      <c r="S694" s="74">
        <f t="shared" ca="1" si="421"/>
        <v>0</v>
      </c>
      <c r="T694" s="74">
        <f t="shared" ca="1" si="416"/>
        <v>0</v>
      </c>
      <c r="U694" s="74">
        <f t="shared" ca="1" si="417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77">
        <f t="shared" si="413"/>
        <v>0</v>
      </c>
      <c r="P695" s="77">
        <f t="shared" si="414"/>
        <v>0</v>
      </c>
      <c r="Q695" s="77">
        <v>0</v>
      </c>
      <c r="R695" s="77">
        <v>0</v>
      </c>
      <c r="S695" s="77">
        <v>0</v>
      </c>
      <c r="T695" s="77">
        <f t="shared" si="416"/>
        <v>0</v>
      </c>
      <c r="U695" s="77">
        <f t="shared" si="417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74">
        <f t="shared" si="413"/>
        <v>0</v>
      </c>
      <c r="P696" s="74">
        <f t="shared" si="414"/>
        <v>0</v>
      </c>
      <c r="Q696" s="74">
        <f ca="1">IFERROR(__xludf.DUMMYFUNCTION("IMPORTRANGE(""https://docs.google.com/spreadsheets/d/1ItG2mGa2ceCfYo0BwxsXqNm01IGEUdYcSSLTEv9YCik/edit?usp=sharing"",""เบิกจ่ายกองทุน!L63"")"),61640)</f>
        <v>61640</v>
      </c>
      <c r="R696" s="74">
        <f ca="1">IFERROR(__xludf.DUMMYFUNCTION("IMPORTRANGE(""https://docs.google.com/spreadsheets/d/1ItG2mGa2ceCfYo0BwxsXqNm01IGEUdYcSSLTEv9YCik/edit?usp=sharing"",""เบิกจ่ายกองทุน!M63"")"),61640)</f>
        <v>61640</v>
      </c>
      <c r="S696" s="74">
        <f ca="1">IFERROR(__xludf.DUMMYFUNCTION("IMPORTRANGE(""https://docs.google.com/spreadsheets/d/1ItG2mGa2ceCfYo0BwxsXqNm01IGEUdYcSSLTEv9YCik/edit?usp=sharing"",""เบิกจ่ายกองทุน!N63"")"),0)</f>
        <v>0</v>
      </c>
      <c r="T696" s="74">
        <f t="shared" ca="1" si="416"/>
        <v>0</v>
      </c>
      <c r="U696" s="74">
        <f t="shared" ca="1" si="417"/>
        <v>0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3">
        <f t="shared" ref="L697:N697" si="422">L698+L699</f>
        <v>0</v>
      </c>
      <c r="M697" s="74">
        <f t="shared" si="422"/>
        <v>0</v>
      </c>
      <c r="N697" s="74">
        <f t="shared" si="422"/>
        <v>0</v>
      </c>
      <c r="O697" s="74">
        <f t="shared" si="413"/>
        <v>0</v>
      </c>
      <c r="P697" s="74">
        <f t="shared" si="414"/>
        <v>0</v>
      </c>
      <c r="Q697" s="74">
        <f t="shared" ref="Q697:S697" si="423">Q698+Q699</f>
        <v>0</v>
      </c>
      <c r="R697" s="74">
        <f t="shared" si="423"/>
        <v>0</v>
      </c>
      <c r="S697" s="74">
        <f t="shared" si="423"/>
        <v>0</v>
      </c>
      <c r="T697" s="74">
        <f t="shared" si="416"/>
        <v>0</v>
      </c>
      <c r="U697" s="74">
        <f t="shared" si="417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77">
        <f t="shared" si="413"/>
        <v>0</v>
      </c>
      <c r="P698" s="77">
        <f t="shared" si="414"/>
        <v>0</v>
      </c>
      <c r="Q698" s="77">
        <v>0</v>
      </c>
      <c r="R698" s="77">
        <v>0</v>
      </c>
      <c r="S698" s="77">
        <v>0</v>
      </c>
      <c r="T698" s="77">
        <f t="shared" si="416"/>
        <v>0</v>
      </c>
      <c r="U698" s="77">
        <f t="shared" si="417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74">
        <f t="shared" si="413"/>
        <v>0</v>
      </c>
      <c r="P699" s="74">
        <f t="shared" si="414"/>
        <v>0</v>
      </c>
      <c r="Q699" s="74">
        <v>0</v>
      </c>
      <c r="R699" s="74">
        <v>0</v>
      </c>
      <c r="S699" s="74">
        <v>0</v>
      </c>
      <c r="T699" s="74">
        <f t="shared" si="416"/>
        <v>0</v>
      </c>
      <c r="U699" s="74">
        <f t="shared" si="417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IFERROR(__xludf.DUMMYFUNCTION("IMPORTRANGE(""https://docs.google.com/spreadsheets/d/1eHaY18a8A9IcSdp1K8H6x8fbOy06t2VsZHhMHf-1x7Y/edit?usp=sharing"",""แผน!LC63"")"),0)</f>
        <v>0</v>
      </c>
      <c r="J701" s="294">
        <v>0</v>
      </c>
      <c r="K701" s="768">
        <f t="shared" ref="K701:K711" ca="1" si="424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t="shared" ref="I702:J702" ca="1" si="425">I704+I706</f>
        <v>4</v>
      </c>
      <c r="J702" s="622">
        <f t="shared" ca="1" si="425"/>
        <v>0</v>
      </c>
      <c r="K702" s="264">
        <f t="shared" ca="1" si="424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0</v>
      </c>
      <c r="K703" s="264">
        <f t="shared" si="424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IFERROR(__xludf.DUMMYFUNCTION("IMPORTRANGE(""https://docs.google.com/spreadsheets/d/1eHaY18a8A9IcSdp1K8H6x8fbOy06t2VsZHhMHf-1x7Y/edit?usp=sharing"",""แผน!LJ63"")"),2)</f>
        <v>2</v>
      </c>
      <c r="J704" s="293">
        <f ca="1">IFERROR(__xludf.DUMMYFUNCTION("IMPORTRANGE(""https://docs.google.com/spreadsheets/d/1tdoBKaGub7dwA3U6UFTqxio9LNnvDCQjHKmttSEBsFQ/edit?usp=sharing"",""จัดที่ดิน!AP63"")"),0)</f>
        <v>0</v>
      </c>
      <c r="K704" s="74">
        <f t="shared" ca="1" si="424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IFERROR(__xludf.DUMMYFUNCTION("IMPORTRANGE(""https://docs.google.com/spreadsheets/d/1tdoBKaGub7dwA3U6UFTqxio9LNnvDCQjHKmttSEBsFQ/edit?usp=sharing"",""จัดที่ดิน!AQ63"")"),0)</f>
        <v>0</v>
      </c>
      <c r="K705" s="74">
        <f t="shared" si="424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IFERROR(__xludf.DUMMYFUNCTION("IMPORTRANGE(""https://docs.google.com/spreadsheets/d/1eHaY18a8A9IcSdp1K8H6x8fbOy06t2VsZHhMHf-1x7Y/edit?usp=sharing"",""แผน!LK63"")"),2)</f>
        <v>2</v>
      </c>
      <c r="J706" s="293">
        <f ca="1">IFERROR(__xludf.DUMMYFUNCTION("IMPORTRANGE(""https://docs.google.com/spreadsheets/d/1tdoBKaGub7dwA3U6UFTqxio9LNnvDCQjHKmttSEBsFQ/edit?usp=sharing"",""จัดที่ดิน!AR63"")"),0)</f>
        <v>0</v>
      </c>
      <c r="K706" s="768">
        <f t="shared" ca="1" si="424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IFERROR(__xludf.DUMMYFUNCTION("IMPORTRANGE(""https://docs.google.com/spreadsheets/d/1tdoBKaGub7dwA3U6UFTqxio9LNnvDCQjHKmttSEBsFQ/edit?usp=sharing"",""จัดที่ดิน!AS63"")"),0)</f>
        <v>0</v>
      </c>
      <c r="K707" s="74">
        <f t="shared" si="424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IFERROR(__xludf.DUMMYFUNCTION("IMPORTRANGE(""https://docs.google.com/spreadsheets/d/1eHaY18a8A9IcSdp1K8H6x8fbOy06t2VsZHhMHf-1x7Y/edit?usp=sharing"",""แผน!LJ63"")"),2)</f>
        <v>2</v>
      </c>
      <c r="J708" s="293">
        <f ca="1">IFERROR(__xludf.DUMMYFUNCTION("IMPORTRANGE(""https://docs.google.com/spreadsheets/d/1tdoBKaGub7dwA3U6UFTqxio9LNnvDCQjHKmttSEBsFQ/edit?usp=sharing"",""จัดที่ดิน!BN63"")"),0)</f>
        <v>0</v>
      </c>
      <c r="K708" s="74">
        <f t="shared" ca="1" si="424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IFERROR(__xludf.DUMMYFUNCTION("IMPORTRANGE(""https://docs.google.com/spreadsheets/d/1tdoBKaGub7dwA3U6UFTqxio9LNnvDCQjHKmttSEBsFQ/edit?usp=sharing"",""จัดที่ดิน!BO63"")"),0)</f>
        <v>0</v>
      </c>
      <c r="K709" s="74">
        <f t="shared" si="424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IFERROR(__xludf.DUMMYFUNCTION("IMPORTRANGE(""https://docs.google.com/spreadsheets/d/1eHaY18a8A9IcSdp1K8H6x8fbOy06t2VsZHhMHf-1x7Y/edit?usp=sharing"",""แผน!LK63"")"),2)</f>
        <v>2</v>
      </c>
      <c r="J710" s="293">
        <f ca="1">IFERROR(__xludf.DUMMYFUNCTION("IMPORTRANGE(""https://docs.google.com/spreadsheets/d/1tdoBKaGub7dwA3U6UFTqxio9LNnvDCQjHKmttSEBsFQ/edit?usp=sharing"",""จัดที่ดิน!BP63"")"),0)</f>
        <v>0</v>
      </c>
      <c r="K710" s="74">
        <f t="shared" ca="1" si="424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IFERROR(__xludf.DUMMYFUNCTION("IMPORTRANGE(""https://docs.google.com/spreadsheets/d/1tdoBKaGub7dwA3U6UFTqxio9LNnvDCQjHKmttSEBsFQ/edit?usp=sharing"",""จัดที่ดิน!BQ63"")"),0)</f>
        <v>0</v>
      </c>
      <c r="K711" s="74">
        <f t="shared" si="424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1257">
        <f t="shared" ref="L715:N715" si="426">L716+L717</f>
        <v>0</v>
      </c>
      <c r="M715" s="264">
        <f t="shared" si="426"/>
        <v>0</v>
      </c>
      <c r="N715" s="264">
        <f t="shared" si="426"/>
        <v>0</v>
      </c>
      <c r="O715" s="264">
        <f t="shared" ref="O715:O723" si="427">IF(L715&gt;0,N715*100/L715,0)</f>
        <v>0</v>
      </c>
      <c r="P715" s="264">
        <f t="shared" ref="P715:P723" si="428">IF(M715&gt;0,N715*100/M715,0)</f>
        <v>0</v>
      </c>
      <c r="Q715" s="264">
        <f t="shared" ref="Q715:S715" si="429">Q716+Q717</f>
        <v>0</v>
      </c>
      <c r="R715" s="264">
        <f t="shared" si="429"/>
        <v>0</v>
      </c>
      <c r="S715" s="264">
        <f t="shared" si="429"/>
        <v>0</v>
      </c>
      <c r="T715" s="264">
        <f t="shared" ref="T715:T723" si="430">IF(Q715&gt;0,S715*100/Q715,0)</f>
        <v>0</v>
      </c>
      <c r="U715" s="264">
        <f t="shared" ref="U715:U723" si="431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6">
        <f t="shared" ref="L716:N717" si="432">L719+L722</f>
        <v>0</v>
      </c>
      <c r="M716" s="77">
        <f t="shared" si="432"/>
        <v>0</v>
      </c>
      <c r="N716" s="77">
        <f t="shared" si="432"/>
        <v>0</v>
      </c>
      <c r="O716" s="77">
        <f t="shared" si="427"/>
        <v>0</v>
      </c>
      <c r="P716" s="77">
        <f t="shared" si="428"/>
        <v>0</v>
      </c>
      <c r="Q716" s="77">
        <f t="shared" ref="Q716:S717" si="433">Q719+Q722</f>
        <v>0</v>
      </c>
      <c r="R716" s="77">
        <f t="shared" si="433"/>
        <v>0</v>
      </c>
      <c r="S716" s="77">
        <f t="shared" si="433"/>
        <v>0</v>
      </c>
      <c r="T716" s="77">
        <f t="shared" si="430"/>
        <v>0</v>
      </c>
      <c r="U716" s="77">
        <f t="shared" si="431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3">
        <f t="shared" si="432"/>
        <v>0</v>
      </c>
      <c r="M717" s="74">
        <f t="shared" si="432"/>
        <v>0</v>
      </c>
      <c r="N717" s="74">
        <f t="shared" si="432"/>
        <v>0</v>
      </c>
      <c r="O717" s="74">
        <f t="shared" si="427"/>
        <v>0</v>
      </c>
      <c r="P717" s="74">
        <f t="shared" si="428"/>
        <v>0</v>
      </c>
      <c r="Q717" s="74">
        <f t="shared" si="433"/>
        <v>0</v>
      </c>
      <c r="R717" s="74">
        <f t="shared" si="433"/>
        <v>0</v>
      </c>
      <c r="S717" s="74">
        <f t="shared" si="433"/>
        <v>0</v>
      </c>
      <c r="T717" s="74">
        <f t="shared" si="430"/>
        <v>0</v>
      </c>
      <c r="U717" s="74">
        <f t="shared" si="431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3">
        <f t="shared" ref="L718:N718" si="434">L719+L720</f>
        <v>0</v>
      </c>
      <c r="M718" s="74">
        <f t="shared" si="434"/>
        <v>0</v>
      </c>
      <c r="N718" s="74">
        <f t="shared" si="434"/>
        <v>0</v>
      </c>
      <c r="O718" s="74">
        <f t="shared" si="427"/>
        <v>0</v>
      </c>
      <c r="P718" s="74">
        <f t="shared" si="428"/>
        <v>0</v>
      </c>
      <c r="Q718" s="74">
        <f t="shared" ref="Q718:S718" si="435">Q719+Q720</f>
        <v>0</v>
      </c>
      <c r="R718" s="74">
        <f t="shared" si="435"/>
        <v>0</v>
      </c>
      <c r="S718" s="74">
        <f t="shared" si="435"/>
        <v>0</v>
      </c>
      <c r="T718" s="74">
        <f t="shared" si="430"/>
        <v>0</v>
      </c>
      <c r="U718" s="74">
        <f t="shared" si="431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77">
        <f t="shared" si="427"/>
        <v>0</v>
      </c>
      <c r="P719" s="77">
        <f t="shared" si="428"/>
        <v>0</v>
      </c>
      <c r="Q719" s="77">
        <v>0</v>
      </c>
      <c r="R719" s="77">
        <v>0</v>
      </c>
      <c r="S719" s="77">
        <v>0</v>
      </c>
      <c r="T719" s="77">
        <f t="shared" si="430"/>
        <v>0</v>
      </c>
      <c r="U719" s="77">
        <f t="shared" si="431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74">
        <f t="shared" si="427"/>
        <v>0</v>
      </c>
      <c r="P720" s="74">
        <f t="shared" si="428"/>
        <v>0</v>
      </c>
      <c r="Q720" s="74">
        <v>0</v>
      </c>
      <c r="R720" s="74">
        <v>0</v>
      </c>
      <c r="S720" s="74">
        <v>0</v>
      </c>
      <c r="T720" s="74">
        <f t="shared" si="430"/>
        <v>0</v>
      </c>
      <c r="U720" s="74">
        <f t="shared" si="431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3">
        <f t="shared" ref="L721:N721" si="436">L722+L723</f>
        <v>0</v>
      </c>
      <c r="M721" s="74">
        <f t="shared" si="436"/>
        <v>0</v>
      </c>
      <c r="N721" s="74">
        <f t="shared" si="436"/>
        <v>0</v>
      </c>
      <c r="O721" s="74">
        <f t="shared" si="427"/>
        <v>0</v>
      </c>
      <c r="P721" s="74">
        <f t="shared" si="428"/>
        <v>0</v>
      </c>
      <c r="Q721" s="74">
        <f t="shared" ref="Q721:S721" si="437">Q722+Q723</f>
        <v>0</v>
      </c>
      <c r="R721" s="74">
        <f t="shared" si="437"/>
        <v>0</v>
      </c>
      <c r="S721" s="74">
        <f t="shared" si="437"/>
        <v>0</v>
      </c>
      <c r="T721" s="74">
        <f t="shared" si="430"/>
        <v>0</v>
      </c>
      <c r="U721" s="74">
        <f t="shared" si="431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77">
        <f t="shared" si="427"/>
        <v>0</v>
      </c>
      <c r="P722" s="77">
        <f t="shared" si="428"/>
        <v>0</v>
      </c>
      <c r="Q722" s="77">
        <v>0</v>
      </c>
      <c r="R722" s="77">
        <v>0</v>
      </c>
      <c r="S722" s="77">
        <v>0</v>
      </c>
      <c r="T722" s="77">
        <f t="shared" si="430"/>
        <v>0</v>
      </c>
      <c r="U722" s="77">
        <f t="shared" si="431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74">
        <f t="shared" si="427"/>
        <v>0</v>
      </c>
      <c r="P723" s="74">
        <f t="shared" si="428"/>
        <v>0</v>
      </c>
      <c r="Q723" s="74">
        <v>0</v>
      </c>
      <c r="R723" s="74">
        <v>0</v>
      </c>
      <c r="S723" s="74">
        <v>0</v>
      </c>
      <c r="T723" s="74">
        <f t="shared" si="430"/>
        <v>0</v>
      </c>
      <c r="U723" s="74">
        <f t="shared" si="431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IFERROR(__xludf.DUMMYFUNCTION("IMPORTRANGE(""https://docs.google.com/spreadsheets/d/1eHaY18a8A9IcSdp1K8H6x8fbOy06t2VsZHhMHf-1x7Y/edit?usp=sharing"",""แผน!GA63"")"),21)</f>
        <v>21</v>
      </c>
      <c r="J727" s="781">
        <f>J743+J747+J750</f>
        <v>0</v>
      </c>
      <c r="K727" s="766">
        <f t="shared" ref="K727:K728" ca="1" si="438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IFERROR(__xludf.DUMMYFUNCTION("IMPORTRANGE(""https://docs.google.com/spreadsheets/d/1eHaY18a8A9IcSdp1K8H6x8fbOy06t2VsZHhMHf-1x7Y/edit?usp=sharing"",""แผน!FZ63"")"),200)</f>
        <v>200</v>
      </c>
      <c r="J728" s="781">
        <f>J753+J756</f>
        <v>0</v>
      </c>
      <c r="K728" s="766">
        <f t="shared" ca="1" si="438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1257">
        <f t="shared" ref="L729:N729" si="439">L730+L731</f>
        <v>0</v>
      </c>
      <c r="M729" s="264">
        <f t="shared" si="439"/>
        <v>0</v>
      </c>
      <c r="N729" s="264">
        <f t="shared" si="439"/>
        <v>0</v>
      </c>
      <c r="O729" s="264">
        <f t="shared" ref="O729:O737" si="440">IF(L729&gt;0,N729*100/L729,0)</f>
        <v>0</v>
      </c>
      <c r="P729" s="264">
        <f t="shared" ref="P729:P737" si="441">IF(M729&gt;0,N729*100/M729,0)</f>
        <v>0</v>
      </c>
      <c r="Q729" s="264">
        <f t="shared" ref="Q729:S729" ca="1" si="442">Q730+Q731</f>
        <v>175994</v>
      </c>
      <c r="R729" s="264">
        <f t="shared" ca="1" si="442"/>
        <v>175994</v>
      </c>
      <c r="S729" s="264">
        <f t="shared" ca="1" si="442"/>
        <v>0</v>
      </c>
      <c r="T729" s="264">
        <f t="shared" ref="T729:T737" ca="1" si="443">IF(Q729&gt;0,S729*100/Q729,0)</f>
        <v>0</v>
      </c>
      <c r="U729" s="264">
        <f t="shared" ref="U729:U737" ca="1" si="444">IF(R729&gt;0,S729*100/R729,0)</f>
        <v>0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6">
        <f t="shared" ref="L730:N731" si="445">L733+L736</f>
        <v>0</v>
      </c>
      <c r="M730" s="77">
        <f t="shared" si="445"/>
        <v>0</v>
      </c>
      <c r="N730" s="77">
        <f t="shared" si="445"/>
        <v>0</v>
      </c>
      <c r="O730" s="77">
        <f t="shared" si="440"/>
        <v>0</v>
      </c>
      <c r="P730" s="77">
        <f t="shared" si="441"/>
        <v>0</v>
      </c>
      <c r="Q730" s="77">
        <f t="shared" ref="Q730:S731" si="446">Q733+Q736</f>
        <v>0</v>
      </c>
      <c r="R730" s="77">
        <f t="shared" si="446"/>
        <v>0</v>
      </c>
      <c r="S730" s="77">
        <f t="shared" si="446"/>
        <v>0</v>
      </c>
      <c r="T730" s="77">
        <f t="shared" si="443"/>
        <v>0</v>
      </c>
      <c r="U730" s="77">
        <f t="shared" si="444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3">
        <f t="shared" si="445"/>
        <v>0</v>
      </c>
      <c r="M731" s="74">
        <f t="shared" si="445"/>
        <v>0</v>
      </c>
      <c r="N731" s="74">
        <f t="shared" si="445"/>
        <v>0</v>
      </c>
      <c r="O731" s="74">
        <f t="shared" si="440"/>
        <v>0</v>
      </c>
      <c r="P731" s="74">
        <f t="shared" si="441"/>
        <v>0</v>
      </c>
      <c r="Q731" s="74">
        <f t="shared" ca="1" si="446"/>
        <v>175994</v>
      </c>
      <c r="R731" s="74">
        <f t="shared" ca="1" si="446"/>
        <v>175994</v>
      </c>
      <c r="S731" s="74">
        <f t="shared" ca="1" si="446"/>
        <v>0</v>
      </c>
      <c r="T731" s="74">
        <f t="shared" ca="1" si="443"/>
        <v>0</v>
      </c>
      <c r="U731" s="74">
        <f t="shared" ca="1" si="444"/>
        <v>0</v>
      </c>
    </row>
    <row r="732" spans="1:21" ht="18.75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3">
        <f t="shared" ref="L732:N732" si="447">L733+L734</f>
        <v>0</v>
      </c>
      <c r="M732" s="74">
        <f t="shared" si="447"/>
        <v>0</v>
      </c>
      <c r="N732" s="74">
        <f t="shared" si="447"/>
        <v>0</v>
      </c>
      <c r="O732" s="74">
        <f t="shared" si="440"/>
        <v>0</v>
      </c>
      <c r="P732" s="74">
        <f t="shared" si="441"/>
        <v>0</v>
      </c>
      <c r="Q732" s="74">
        <f t="shared" ref="Q732:S732" ca="1" si="448">Q733+Q734</f>
        <v>175994</v>
      </c>
      <c r="R732" s="74">
        <f t="shared" ca="1" si="448"/>
        <v>175994</v>
      </c>
      <c r="S732" s="74">
        <f t="shared" ca="1" si="448"/>
        <v>0</v>
      </c>
      <c r="T732" s="74">
        <f t="shared" ca="1" si="443"/>
        <v>0</v>
      </c>
      <c r="U732" s="74">
        <f t="shared" ca="1" si="444"/>
        <v>0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77">
        <f t="shared" si="440"/>
        <v>0</v>
      </c>
      <c r="P733" s="77">
        <f t="shared" si="441"/>
        <v>0</v>
      </c>
      <c r="Q733" s="77">
        <v>0</v>
      </c>
      <c r="R733" s="77">
        <v>0</v>
      </c>
      <c r="S733" s="77">
        <v>0</v>
      </c>
      <c r="T733" s="77">
        <f t="shared" si="443"/>
        <v>0</v>
      </c>
      <c r="U733" s="77">
        <f t="shared" si="444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74">
        <f t="shared" si="440"/>
        <v>0</v>
      </c>
      <c r="P734" s="74">
        <f t="shared" si="441"/>
        <v>0</v>
      </c>
      <c r="Q734" s="74">
        <f ca="1">IFERROR(__xludf.DUMMYFUNCTION("IMPORTRANGE(""https://docs.google.com/spreadsheets/d/1ItG2mGa2ceCfYo0BwxsXqNm01IGEUdYcSSLTEv9YCik/edit?usp=sharing"",""เบิกจ่ายกองทุน!O63"")"),175994)</f>
        <v>175994</v>
      </c>
      <c r="R734" s="74">
        <f ca="1">IFERROR(__xludf.DUMMYFUNCTION("IMPORTRANGE(""https://docs.google.com/spreadsheets/d/1ItG2mGa2ceCfYo0BwxsXqNm01IGEUdYcSSLTEv9YCik/edit?usp=sharing"",""เบิกจ่ายกองทุน!P63"")"),175994)</f>
        <v>175994</v>
      </c>
      <c r="S734" s="74">
        <f ca="1">IFERROR(__xludf.DUMMYFUNCTION("IMPORTRANGE(""https://docs.google.com/spreadsheets/d/1ItG2mGa2ceCfYo0BwxsXqNm01IGEUdYcSSLTEv9YCik/edit?usp=sharing"",""เบิกจ่ายกองทุน!Q63"")"),0)</f>
        <v>0</v>
      </c>
      <c r="T734" s="74">
        <f t="shared" ca="1" si="443"/>
        <v>0</v>
      </c>
      <c r="U734" s="74">
        <f t="shared" ca="1" si="444"/>
        <v>0</v>
      </c>
    </row>
    <row r="735" spans="1:21" ht="18.75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3">
        <f t="shared" ref="L735:N735" si="449">L736+L737</f>
        <v>0</v>
      </c>
      <c r="M735" s="74">
        <f t="shared" si="449"/>
        <v>0</v>
      </c>
      <c r="N735" s="74">
        <f t="shared" si="449"/>
        <v>0</v>
      </c>
      <c r="O735" s="74">
        <f t="shared" si="440"/>
        <v>0</v>
      </c>
      <c r="P735" s="74">
        <f t="shared" si="441"/>
        <v>0</v>
      </c>
      <c r="Q735" s="74">
        <f t="shared" ref="Q735:S735" si="450">Q736+Q737</f>
        <v>0</v>
      </c>
      <c r="R735" s="74">
        <f t="shared" si="450"/>
        <v>0</v>
      </c>
      <c r="S735" s="74">
        <f t="shared" si="450"/>
        <v>0</v>
      </c>
      <c r="T735" s="74">
        <f t="shared" si="443"/>
        <v>0</v>
      </c>
      <c r="U735" s="74">
        <f t="shared" si="444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77">
        <f t="shared" si="440"/>
        <v>0</v>
      </c>
      <c r="P736" s="77">
        <f t="shared" si="441"/>
        <v>0</v>
      </c>
      <c r="Q736" s="77">
        <v>0</v>
      </c>
      <c r="R736" s="77">
        <v>0</v>
      </c>
      <c r="S736" s="77">
        <v>0</v>
      </c>
      <c r="T736" s="77">
        <f t="shared" si="443"/>
        <v>0</v>
      </c>
      <c r="U736" s="77">
        <f t="shared" si="444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74">
        <f t="shared" si="440"/>
        <v>0</v>
      </c>
      <c r="P737" s="74">
        <f t="shared" si="441"/>
        <v>0</v>
      </c>
      <c r="Q737" s="74">
        <v>0</v>
      </c>
      <c r="R737" s="74">
        <v>0</v>
      </c>
      <c r="S737" s="74">
        <v>0</v>
      </c>
      <c r="T737" s="74">
        <f t="shared" si="443"/>
        <v>0</v>
      </c>
      <c r="U737" s="74">
        <f t="shared" si="444"/>
        <v>0</v>
      </c>
    </row>
    <row r="738" spans="1:21" ht="19.5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x14ac:dyDescent="0.25">
      <c r="A741" s="222"/>
      <c r="B741" s="223"/>
      <c r="C741" s="223"/>
      <c r="D741" s="223"/>
      <c r="E741" s="223"/>
      <c r="F741" s="1032" t="s">
        <v>271</v>
      </c>
      <c r="G741" s="227"/>
      <c r="H741" s="216" t="s">
        <v>46</v>
      </c>
      <c r="I741" s="321">
        <f ca="1">IFERROR(__xludf.DUMMYFUNCTION("IMPORTRANGE(""https://docs.google.com/spreadsheets/d/1eHaY18a8A9IcSdp1K8H6x8fbOy06t2VsZHhMHf-1x7Y/edit?usp=sharing"",""แผน!GB63"")"),160)</f>
        <v>160</v>
      </c>
      <c r="J741" s="884">
        <v>0</v>
      </c>
      <c r="K741" s="399">
        <f ca="1">IF(I741&gt;0,J741*100/I741,0)</f>
        <v>0</v>
      </c>
      <c r="L741" s="540"/>
      <c r="M741" s="72"/>
      <c r="N741" s="72"/>
      <c r="O741" s="72"/>
      <c r="P741" s="72"/>
      <c r="Q741" s="72"/>
      <c r="R741" s="72"/>
      <c r="S741" s="72"/>
      <c r="T741" s="72"/>
      <c r="U741" s="72"/>
    </row>
    <row r="742" spans="1:21" ht="18.75" x14ac:dyDescent="0.25">
      <c r="A742" s="222"/>
      <c r="B742" s="223"/>
      <c r="C742" s="223"/>
      <c r="D742" s="223"/>
      <c r="E742" s="223"/>
      <c r="F742" s="1032" t="s">
        <v>311</v>
      </c>
      <c r="G742" s="227"/>
      <c r="H742" s="216" t="s">
        <v>35</v>
      </c>
      <c r="I742" s="71"/>
      <c r="J742" s="884">
        <v>0</v>
      </c>
      <c r="K742" s="72"/>
      <c r="L742" s="540"/>
      <c r="M742" s="72"/>
      <c r="N742" s="72"/>
      <c r="O742" s="72"/>
      <c r="P742" s="72"/>
      <c r="Q742" s="72"/>
      <c r="R742" s="72"/>
      <c r="S742" s="72"/>
      <c r="T742" s="72"/>
      <c r="U742" s="72"/>
    </row>
    <row r="743" spans="1:21" ht="18.75" x14ac:dyDescent="0.25">
      <c r="A743" s="222"/>
      <c r="B743" s="223"/>
      <c r="C743" s="223"/>
      <c r="D743" s="223"/>
      <c r="E743" s="223"/>
      <c r="F743" s="1032" t="s">
        <v>312</v>
      </c>
      <c r="G743" s="227"/>
      <c r="H743" s="216" t="s">
        <v>35</v>
      </c>
      <c r="I743" s="321">
        <f ca="1">IFERROR(__xludf.DUMMYFUNCTION("IMPORTRANGE(""https://docs.google.com/spreadsheets/d/1eHaY18a8A9IcSdp1K8H6x8fbOy06t2VsZHhMHf-1x7Y/edit?usp=sharing"",""แผน!GC63"")"),16)</f>
        <v>16</v>
      </c>
      <c r="J743" s="884">
        <v>0</v>
      </c>
      <c r="K743" s="399">
        <f ca="1">IF(I743&gt;0,J743*100/I743,0)</f>
        <v>0</v>
      </c>
      <c r="L743" s="540"/>
      <c r="M743" s="72"/>
      <c r="N743" s="72"/>
      <c r="O743" s="72"/>
      <c r="P743" s="72"/>
      <c r="Q743" s="72"/>
      <c r="R743" s="72"/>
      <c r="S743" s="72"/>
      <c r="T743" s="72"/>
      <c r="U743" s="72"/>
    </row>
    <row r="744" spans="1:21" ht="18.75" x14ac:dyDescent="0.25">
      <c r="A744" s="222"/>
      <c r="B744" s="223"/>
      <c r="C744" s="223"/>
      <c r="D744" s="223"/>
      <c r="E744" s="1032" t="s">
        <v>274</v>
      </c>
      <c r="F744" s="223"/>
      <c r="G744" s="227"/>
      <c r="H744" s="1033"/>
      <c r="I744" s="71"/>
      <c r="J744" s="71"/>
      <c r="K744" s="72"/>
      <c r="L744" s="540"/>
      <c r="M744" s="72"/>
      <c r="N744" s="72"/>
      <c r="O744" s="72"/>
      <c r="P744" s="72"/>
      <c r="Q744" s="72"/>
      <c r="R744" s="72"/>
      <c r="S744" s="72"/>
      <c r="T744" s="72"/>
      <c r="U744" s="72"/>
    </row>
    <row r="745" spans="1:21" ht="18.75" x14ac:dyDescent="0.25">
      <c r="A745" s="222"/>
      <c r="B745" s="223"/>
      <c r="C745" s="223"/>
      <c r="D745" s="223"/>
      <c r="E745" s="223"/>
      <c r="F745" s="1032" t="s">
        <v>271</v>
      </c>
      <c r="G745" s="227"/>
      <c r="H745" s="216" t="s">
        <v>46</v>
      </c>
      <c r="I745" s="321">
        <f ca="1">IFERROR(__xludf.DUMMYFUNCTION("IMPORTRANGE(""https://docs.google.com/spreadsheets/d/1eHaY18a8A9IcSdp1K8H6x8fbOy06t2VsZHhMHf-1x7Y/edit?usp=sharing"",""แผน!GD63"")"),40)</f>
        <v>40</v>
      </c>
      <c r="J745" s="884">
        <v>0</v>
      </c>
      <c r="K745" s="399">
        <f ca="1">IF(I745&gt;0,J745*100/I745,0)</f>
        <v>0</v>
      </c>
      <c r="L745" s="540"/>
      <c r="M745" s="72"/>
      <c r="N745" s="72"/>
      <c r="O745" s="72"/>
      <c r="P745" s="72"/>
      <c r="Q745" s="72"/>
      <c r="R745" s="72"/>
      <c r="S745" s="72"/>
      <c r="T745" s="72"/>
      <c r="U745" s="72"/>
    </row>
    <row r="746" spans="1:21" ht="18.75" x14ac:dyDescent="0.25">
      <c r="A746" s="222"/>
      <c r="B746" s="223"/>
      <c r="C746" s="223"/>
      <c r="D746" s="223"/>
      <c r="E746" s="223"/>
      <c r="F746" s="1032" t="s">
        <v>313</v>
      </c>
      <c r="G746" s="227"/>
      <c r="H746" s="216" t="s">
        <v>35</v>
      </c>
      <c r="I746" s="71"/>
      <c r="J746" s="884">
        <v>0</v>
      </c>
      <c r="K746" s="72"/>
      <c r="L746" s="540"/>
      <c r="M746" s="72"/>
      <c r="N746" s="72"/>
      <c r="O746" s="72"/>
      <c r="P746" s="72"/>
      <c r="Q746" s="72"/>
      <c r="R746" s="72"/>
      <c r="S746" s="72"/>
      <c r="T746" s="72"/>
      <c r="U746" s="72"/>
    </row>
    <row r="747" spans="1:21" ht="18.75" x14ac:dyDescent="0.25">
      <c r="A747" s="222"/>
      <c r="B747" s="223"/>
      <c r="C747" s="223"/>
      <c r="D747" s="223"/>
      <c r="E747" s="223"/>
      <c r="F747" s="1032" t="s">
        <v>314</v>
      </c>
      <c r="G747" s="227"/>
      <c r="H747" s="216" t="s">
        <v>35</v>
      </c>
      <c r="I747" s="321">
        <f ca="1">IFERROR(__xludf.DUMMYFUNCTION("IMPORTRANGE(""https://docs.google.com/spreadsheets/d/1eHaY18a8A9IcSdp1K8H6x8fbOy06t2VsZHhMHf-1x7Y/edit?usp=sharing"",""แผน!GE63"")"),4)</f>
        <v>4</v>
      </c>
      <c r="J747" s="884">
        <v>0</v>
      </c>
      <c r="K747" s="399">
        <f ca="1">IF(I747&gt;0,J747*100/I747,0)</f>
        <v>0</v>
      </c>
      <c r="L747" s="540"/>
      <c r="M747" s="72"/>
      <c r="N747" s="72"/>
      <c r="O747" s="72"/>
      <c r="P747" s="72"/>
      <c r="Q747" s="72"/>
      <c r="R747" s="72"/>
      <c r="S747" s="72"/>
      <c r="T747" s="72"/>
      <c r="U747" s="72"/>
    </row>
    <row r="748" spans="1:21" ht="18.75" x14ac:dyDescent="0.25">
      <c r="A748" s="222"/>
      <c r="B748" s="223"/>
      <c r="C748" s="223"/>
      <c r="D748" s="223"/>
      <c r="E748" s="1032" t="s">
        <v>277</v>
      </c>
      <c r="F748" s="231"/>
      <c r="G748" s="227"/>
      <c r="H748" s="1033"/>
      <c r="I748" s="71"/>
      <c r="J748" s="71"/>
      <c r="K748" s="72"/>
      <c r="L748" s="540"/>
      <c r="M748" s="72"/>
      <c r="N748" s="72"/>
      <c r="O748" s="72"/>
      <c r="P748" s="72"/>
      <c r="Q748" s="72"/>
      <c r="R748" s="72"/>
      <c r="S748" s="72"/>
      <c r="T748" s="72"/>
      <c r="U748" s="72"/>
    </row>
    <row r="749" spans="1:21" ht="18.75" x14ac:dyDescent="0.25">
      <c r="A749" s="222"/>
      <c r="B749" s="223"/>
      <c r="C749" s="223"/>
      <c r="D749" s="223"/>
      <c r="E749" s="223"/>
      <c r="F749" s="1032" t="s">
        <v>315</v>
      </c>
      <c r="G749" s="227"/>
      <c r="H749" s="216" t="s">
        <v>35</v>
      </c>
      <c r="I749" s="71"/>
      <c r="J749" s="884">
        <v>0</v>
      </c>
      <c r="K749" s="72"/>
      <c r="L749" s="540"/>
      <c r="M749" s="72"/>
      <c r="N749" s="72"/>
      <c r="O749" s="72"/>
      <c r="P749" s="72"/>
      <c r="Q749" s="72"/>
      <c r="R749" s="72"/>
      <c r="S749" s="72"/>
      <c r="T749" s="72"/>
      <c r="U749" s="72"/>
    </row>
    <row r="750" spans="1:21" ht="18.75" x14ac:dyDescent="0.25">
      <c r="A750" s="222"/>
      <c r="B750" s="223"/>
      <c r="C750" s="223"/>
      <c r="D750" s="223"/>
      <c r="E750" s="223"/>
      <c r="F750" s="1032" t="s">
        <v>316</v>
      </c>
      <c r="G750" s="227"/>
      <c r="H750" s="216" t="s">
        <v>35</v>
      </c>
      <c r="I750" s="321">
        <f ca="1">IFERROR(__xludf.DUMMYFUNCTION("IMPORTRANGE(""https://docs.google.com/spreadsheets/d/1eHaY18a8A9IcSdp1K8H6x8fbOy06t2VsZHhMHf-1x7Y/edit?usp=sharing"",""แผน!GF63"")"),1)</f>
        <v>1</v>
      </c>
      <c r="J750" s="884">
        <v>0</v>
      </c>
      <c r="K750" s="399">
        <f ca="1">IF(I750&gt;0,J750*100/I750,0)</f>
        <v>0</v>
      </c>
      <c r="L750" s="540"/>
      <c r="M750" s="72"/>
      <c r="N750" s="72"/>
      <c r="O750" s="72"/>
      <c r="P750" s="72"/>
      <c r="Q750" s="72"/>
      <c r="R750" s="72"/>
      <c r="S750" s="72"/>
      <c r="T750" s="72"/>
      <c r="U750" s="72"/>
    </row>
    <row r="751" spans="1:21" ht="19.5" x14ac:dyDescent="0.3">
      <c r="A751" s="222"/>
      <c r="B751" s="223"/>
      <c r="C751" s="223"/>
      <c r="D751" s="1034" t="s">
        <v>50</v>
      </c>
      <c r="E751" s="223"/>
      <c r="F751" s="231"/>
      <c r="G751" s="227"/>
      <c r="H751" s="1033"/>
      <c r="I751" s="71"/>
      <c r="J751" s="71"/>
      <c r="K751" s="72"/>
      <c r="L751" s="540"/>
      <c r="M751" s="72"/>
      <c r="N751" s="72"/>
      <c r="O751" s="72"/>
      <c r="P751" s="72"/>
      <c r="Q751" s="72"/>
      <c r="R751" s="72"/>
      <c r="S751" s="72"/>
      <c r="T751" s="72"/>
      <c r="U751" s="72"/>
    </row>
    <row r="752" spans="1:21" ht="18.75" x14ac:dyDescent="0.25">
      <c r="A752" s="222"/>
      <c r="B752" s="223"/>
      <c r="C752" s="223"/>
      <c r="D752" s="223"/>
      <c r="E752" s="1032" t="s">
        <v>270</v>
      </c>
      <c r="F752" s="231"/>
      <c r="G752" s="227"/>
      <c r="H752" s="1033"/>
      <c r="I752" s="71"/>
      <c r="J752" s="71"/>
      <c r="K752" s="72"/>
      <c r="L752" s="540"/>
      <c r="M752" s="72"/>
      <c r="N752" s="72"/>
      <c r="O752" s="72"/>
      <c r="P752" s="72"/>
      <c r="Q752" s="72"/>
      <c r="R752" s="72"/>
      <c r="S752" s="72"/>
      <c r="T752" s="72"/>
      <c r="U752" s="72"/>
    </row>
    <row r="753" spans="1:21" ht="18.75" x14ac:dyDescent="0.25">
      <c r="A753" s="222"/>
      <c r="B753" s="223"/>
      <c r="C753" s="223"/>
      <c r="D753" s="223"/>
      <c r="E753" s="223"/>
      <c r="F753" s="395" t="s">
        <v>317</v>
      </c>
      <c r="G753" s="227"/>
      <c r="H753" s="216" t="s">
        <v>46</v>
      </c>
      <c r="I753" s="321">
        <f ca="1">IFERROR(__xludf.DUMMYFUNCTION("IMPORTRANGE(""https://docs.google.com/spreadsheets/d/1eHaY18a8A9IcSdp1K8H6x8fbOy06t2VsZHhMHf-1x7Y/edit?usp=sharing"",""แผน!GC63"")"),16)</f>
        <v>16</v>
      </c>
      <c r="J753" s="884">
        <v>0</v>
      </c>
      <c r="K753" s="399">
        <f ca="1">IF(I753&gt;0,J753*100/I753,0)</f>
        <v>0</v>
      </c>
      <c r="L753" s="540"/>
      <c r="M753" s="72"/>
      <c r="N753" s="72"/>
      <c r="O753" s="72"/>
      <c r="P753" s="72"/>
      <c r="Q753" s="72"/>
      <c r="R753" s="72"/>
      <c r="S753" s="72"/>
      <c r="T753" s="72"/>
      <c r="U753" s="72"/>
    </row>
    <row r="754" spans="1:21" ht="18.75" x14ac:dyDescent="0.25">
      <c r="A754" s="222"/>
      <c r="B754" s="223"/>
      <c r="C754" s="223"/>
      <c r="D754" s="223"/>
      <c r="E754" s="223"/>
      <c r="F754" s="395" t="s">
        <v>318</v>
      </c>
      <c r="G754" s="227"/>
      <c r="H754" s="216" t="s">
        <v>46</v>
      </c>
      <c r="I754" s="71"/>
      <c r="J754" s="884">
        <v>0</v>
      </c>
      <c r="K754" s="72"/>
      <c r="L754" s="540"/>
      <c r="M754" s="72"/>
      <c r="N754" s="72"/>
      <c r="O754" s="72"/>
      <c r="P754" s="72"/>
      <c r="Q754" s="72"/>
      <c r="R754" s="72"/>
      <c r="S754" s="72"/>
      <c r="T754" s="72"/>
      <c r="U754" s="72"/>
    </row>
    <row r="755" spans="1:21" ht="18.75" x14ac:dyDescent="0.25">
      <c r="A755" s="222"/>
      <c r="B755" s="223"/>
      <c r="C755" s="223"/>
      <c r="D755" s="223"/>
      <c r="E755" s="1032" t="s">
        <v>274</v>
      </c>
      <c r="F755" s="231"/>
      <c r="G755" s="227"/>
      <c r="H755" s="1033"/>
      <c r="I755" s="71"/>
      <c r="J755" s="71"/>
      <c r="K755" s="72"/>
      <c r="L755" s="540"/>
      <c r="M755" s="72"/>
      <c r="N755" s="72"/>
      <c r="O755" s="72"/>
      <c r="P755" s="72"/>
      <c r="Q755" s="72"/>
      <c r="R755" s="72"/>
      <c r="S755" s="72"/>
      <c r="T755" s="72"/>
      <c r="U755" s="72"/>
    </row>
    <row r="756" spans="1:21" ht="18.75" x14ac:dyDescent="0.25">
      <c r="A756" s="222"/>
      <c r="B756" s="223"/>
      <c r="C756" s="223"/>
      <c r="D756" s="223"/>
      <c r="E756" s="231"/>
      <c r="F756" s="395" t="s">
        <v>319</v>
      </c>
      <c r="G756" s="227"/>
      <c r="H756" s="216" t="s">
        <v>46</v>
      </c>
      <c r="I756" s="321">
        <f ca="1">IFERROR(__xludf.DUMMYFUNCTION("IMPORTRANGE(""https://docs.google.com/spreadsheets/d/1eHaY18a8A9IcSdp1K8H6x8fbOy06t2VsZHhMHf-1x7Y/edit?usp=sharing"",""แผน!GE63"")"),4)</f>
        <v>4</v>
      </c>
      <c r="J756" s="884">
        <v>0</v>
      </c>
      <c r="K756" s="399">
        <f ca="1">IF(I756&gt;0,J756*100/I756,0)</f>
        <v>0</v>
      </c>
      <c r="L756" s="540"/>
      <c r="M756" s="72"/>
      <c r="N756" s="72"/>
      <c r="O756" s="72"/>
      <c r="P756" s="72"/>
      <c r="Q756" s="72"/>
      <c r="R756" s="72"/>
      <c r="S756" s="72"/>
      <c r="T756" s="72"/>
      <c r="U756" s="72"/>
    </row>
    <row r="757" spans="1:21" ht="18.75" x14ac:dyDescent="0.25">
      <c r="A757" s="222"/>
      <c r="B757" s="223"/>
      <c r="C757" s="223"/>
      <c r="D757" s="223"/>
      <c r="E757" s="231"/>
      <c r="F757" s="395" t="s">
        <v>320</v>
      </c>
      <c r="G757" s="227"/>
      <c r="H757" s="216" t="s">
        <v>46</v>
      </c>
      <c r="I757" s="71"/>
      <c r="J757" s="884">
        <v>0</v>
      </c>
      <c r="K757" s="72"/>
      <c r="L757" s="540"/>
      <c r="M757" s="72"/>
      <c r="N757" s="72"/>
      <c r="O757" s="72"/>
      <c r="P757" s="72"/>
      <c r="Q757" s="72"/>
      <c r="R757" s="72"/>
      <c r="S757" s="72"/>
      <c r="T757" s="72"/>
      <c r="U757" s="72"/>
    </row>
    <row r="758" spans="1:21" ht="19.5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1">I772</f>
        <v>50</v>
      </c>
      <c r="J758" s="781">
        <f t="shared" si="451"/>
        <v>0</v>
      </c>
      <c r="K758" s="766">
        <f t="shared" ref="K758:K759" ca="1" si="452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3">I774</f>
        <v>150</v>
      </c>
      <c r="J759" s="781">
        <f t="shared" si="453"/>
        <v>0</v>
      </c>
      <c r="K759" s="766">
        <f t="shared" ca="1" si="452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1257">
        <f t="shared" ref="L760:N760" si="454">L761+L762</f>
        <v>0</v>
      </c>
      <c r="M760" s="264">
        <f t="shared" si="454"/>
        <v>0</v>
      </c>
      <c r="N760" s="264">
        <f t="shared" si="454"/>
        <v>0</v>
      </c>
      <c r="O760" s="264">
        <f t="shared" ref="O760:O768" si="455">IF(L760&gt;0,N760*100/L760,0)</f>
        <v>0</v>
      </c>
      <c r="P760" s="264">
        <f t="shared" ref="P760:P768" si="456">IF(M760&gt;0,N760*100/M760,0)</f>
        <v>0</v>
      </c>
      <c r="Q760" s="264">
        <f t="shared" ref="Q760:S760" ca="1" si="457">Q761+Q762</f>
        <v>438800</v>
      </c>
      <c r="R760" s="264">
        <f t="shared" ca="1" si="457"/>
        <v>438800</v>
      </c>
      <c r="S760" s="264">
        <f t="shared" ca="1" si="457"/>
        <v>21687</v>
      </c>
      <c r="T760" s="264">
        <f t="shared" ref="T760:T768" ca="1" si="458">IF(Q760&gt;0,S760*100/Q760,0)</f>
        <v>4.9423427529626256</v>
      </c>
      <c r="U760" s="264">
        <f t="shared" ref="U760:U768" ca="1" si="459">IF(R760&gt;0,S760*100/R760,0)</f>
        <v>4.9423427529626256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6">
        <f t="shared" ref="L761:N762" si="460">L764+L767</f>
        <v>0</v>
      </c>
      <c r="M761" s="77">
        <f t="shared" si="460"/>
        <v>0</v>
      </c>
      <c r="N761" s="77">
        <f t="shared" si="460"/>
        <v>0</v>
      </c>
      <c r="O761" s="77">
        <f t="shared" si="455"/>
        <v>0</v>
      </c>
      <c r="P761" s="77">
        <f t="shared" si="456"/>
        <v>0</v>
      </c>
      <c r="Q761" s="77">
        <f t="shared" ref="Q761:S762" si="461">Q764+Q767</f>
        <v>0</v>
      </c>
      <c r="R761" s="77">
        <f t="shared" si="461"/>
        <v>0</v>
      </c>
      <c r="S761" s="77">
        <f t="shared" si="461"/>
        <v>0</v>
      </c>
      <c r="T761" s="77">
        <f t="shared" si="458"/>
        <v>0</v>
      </c>
      <c r="U761" s="77">
        <f t="shared" si="459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3">
        <f t="shared" si="460"/>
        <v>0</v>
      </c>
      <c r="M762" s="74">
        <f t="shared" si="460"/>
        <v>0</v>
      </c>
      <c r="N762" s="74">
        <f t="shared" si="460"/>
        <v>0</v>
      </c>
      <c r="O762" s="74">
        <f t="shared" si="455"/>
        <v>0</v>
      </c>
      <c r="P762" s="74">
        <f t="shared" si="456"/>
        <v>0</v>
      </c>
      <c r="Q762" s="74">
        <f t="shared" ca="1" si="461"/>
        <v>438800</v>
      </c>
      <c r="R762" s="74">
        <f t="shared" ca="1" si="461"/>
        <v>438800</v>
      </c>
      <c r="S762" s="74">
        <f t="shared" ca="1" si="461"/>
        <v>21687</v>
      </c>
      <c r="T762" s="74">
        <f t="shared" ca="1" si="458"/>
        <v>4.9423427529626256</v>
      </c>
      <c r="U762" s="74">
        <f t="shared" ca="1" si="459"/>
        <v>4.9423427529626256</v>
      </c>
    </row>
    <row r="763" spans="1:21" ht="18.75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3">
        <f t="shared" ref="L763:N763" si="462">L764+L765</f>
        <v>0</v>
      </c>
      <c r="M763" s="74">
        <f t="shared" si="462"/>
        <v>0</v>
      </c>
      <c r="N763" s="74">
        <f t="shared" si="462"/>
        <v>0</v>
      </c>
      <c r="O763" s="74">
        <f t="shared" si="455"/>
        <v>0</v>
      </c>
      <c r="P763" s="74">
        <f t="shared" si="456"/>
        <v>0</v>
      </c>
      <c r="Q763" s="74">
        <f t="shared" ref="Q763:S763" ca="1" si="463">Q764+Q765</f>
        <v>438800</v>
      </c>
      <c r="R763" s="74">
        <f t="shared" ca="1" si="463"/>
        <v>438800</v>
      </c>
      <c r="S763" s="74">
        <f t="shared" ca="1" si="463"/>
        <v>21687</v>
      </c>
      <c r="T763" s="74">
        <f t="shared" ca="1" si="458"/>
        <v>4.9423427529626256</v>
      </c>
      <c r="U763" s="74">
        <f t="shared" ca="1" si="459"/>
        <v>4.9423427529626256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77">
        <f t="shared" si="455"/>
        <v>0</v>
      </c>
      <c r="P764" s="77">
        <f t="shared" si="456"/>
        <v>0</v>
      </c>
      <c r="Q764" s="77">
        <v>0</v>
      </c>
      <c r="R764" s="77">
        <v>0</v>
      </c>
      <c r="S764" s="77">
        <v>0</v>
      </c>
      <c r="T764" s="77">
        <f t="shared" si="458"/>
        <v>0</v>
      </c>
      <c r="U764" s="77">
        <f t="shared" si="459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74">
        <f t="shared" si="455"/>
        <v>0</v>
      </c>
      <c r="P765" s="74">
        <f t="shared" si="456"/>
        <v>0</v>
      </c>
      <c r="Q765" s="74">
        <f ca="1">IFERROR(__xludf.DUMMYFUNCTION("IMPORTRANGE(""https://docs.google.com/spreadsheets/d/1ItG2mGa2ceCfYo0BwxsXqNm01IGEUdYcSSLTEv9YCik/edit?usp=sharing"",""เบิกจ่ายกองทุน!U63"")"),438800)</f>
        <v>438800</v>
      </c>
      <c r="R765" s="74">
        <f ca="1">IFERROR(__xludf.DUMMYFUNCTION("IMPORTRANGE(""https://docs.google.com/spreadsheets/d/1ItG2mGa2ceCfYo0BwxsXqNm01IGEUdYcSSLTEv9YCik/edit?usp=sharing"",""เบิกจ่ายกองทุน!V63"")"),438800)</f>
        <v>438800</v>
      </c>
      <c r="S765" s="74">
        <f ca="1">IFERROR(__xludf.DUMMYFUNCTION("IMPORTRANGE(""https://docs.google.com/spreadsheets/d/1ItG2mGa2ceCfYo0BwxsXqNm01IGEUdYcSSLTEv9YCik/edit?usp=sharing"",""เบิกจ่ายกองทุน!W63"")"),21687)</f>
        <v>21687</v>
      </c>
      <c r="T765" s="74">
        <f t="shared" ca="1" si="458"/>
        <v>4.9423427529626256</v>
      </c>
      <c r="U765" s="74">
        <f t="shared" ca="1" si="459"/>
        <v>4.9423427529626256</v>
      </c>
    </row>
    <row r="766" spans="1:21" ht="18.75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3">
        <f t="shared" ref="L766:N766" si="464">L767+L768</f>
        <v>0</v>
      </c>
      <c r="M766" s="74">
        <f t="shared" si="464"/>
        <v>0</v>
      </c>
      <c r="N766" s="74">
        <f t="shared" si="464"/>
        <v>0</v>
      </c>
      <c r="O766" s="74">
        <f t="shared" si="455"/>
        <v>0</v>
      </c>
      <c r="P766" s="74">
        <f t="shared" si="456"/>
        <v>0</v>
      </c>
      <c r="Q766" s="74">
        <f t="shared" ref="Q766:S766" si="465">Q767+Q768</f>
        <v>0</v>
      </c>
      <c r="R766" s="74">
        <f t="shared" si="465"/>
        <v>0</v>
      </c>
      <c r="S766" s="74">
        <f t="shared" si="465"/>
        <v>0</v>
      </c>
      <c r="T766" s="74">
        <f t="shared" si="458"/>
        <v>0</v>
      </c>
      <c r="U766" s="74">
        <f t="shared" si="459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77">
        <f t="shared" si="455"/>
        <v>0</v>
      </c>
      <c r="P767" s="77">
        <f t="shared" si="456"/>
        <v>0</v>
      </c>
      <c r="Q767" s="77">
        <v>0</v>
      </c>
      <c r="R767" s="77">
        <v>0</v>
      </c>
      <c r="S767" s="77">
        <v>0</v>
      </c>
      <c r="T767" s="77">
        <f t="shared" si="458"/>
        <v>0</v>
      </c>
      <c r="U767" s="77">
        <f t="shared" si="459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74">
        <f t="shared" si="455"/>
        <v>0</v>
      </c>
      <c r="P768" s="74">
        <f t="shared" si="456"/>
        <v>0</v>
      </c>
      <c r="Q768" s="74">
        <v>0</v>
      </c>
      <c r="R768" s="74">
        <v>0</v>
      </c>
      <c r="S768" s="74">
        <v>0</v>
      </c>
      <c r="T768" s="74">
        <f t="shared" si="458"/>
        <v>0</v>
      </c>
      <c r="U768" s="74">
        <f t="shared" si="459"/>
        <v>0</v>
      </c>
    </row>
    <row r="769" spans="1:21" ht="19.5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IFERROR(__xludf.DUMMYFUNCTION("IMPORTRANGE(""https://docs.google.com/spreadsheets/d/1eHaY18a8A9IcSdp1K8H6x8fbOy06t2VsZHhMHf-1x7Y/edit?usp=sharing"",""แผน!FI63"")"),0)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IFERROR(__xludf.DUMMYFUNCTION("IMPORTRANGE(""https://docs.google.com/spreadsheets/d/1eHaY18a8A9IcSdp1K8H6x8fbOy06t2VsZHhMHf-1x7Y/edit?usp=sharing"",""แผน!FQ63"")"),50)</f>
        <v>50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IFERROR(__xludf.DUMMYFUNCTION("IMPORTRANGE(""https://docs.google.com/spreadsheets/d/1eHaY18a8A9IcSdp1K8H6x8fbOy06t2VsZHhMHf-1x7Y/edit?usp=sharing"",""แผน!FR63"")"),150)</f>
        <v>150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IFERROR(__xludf.DUMMYFUNCTION("IMPORTRANGE(""https://docs.google.com/spreadsheets/d/1eHaY18a8A9IcSdp1K8H6x8fbOy06t2VsZHhMHf-1x7Y/edit?usp=sharing"",""แผน!FS63"")"),150)</f>
        <v>150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IFERROR(__xludf.DUMMYFUNCTION("IMPORTRANGE(""https://docs.google.com/spreadsheets/d/1eHaY18a8A9IcSdp1K8H6x8fbOy06t2VsZHhMHf-1x7Y/edit?usp=sharing"",""แผน!FT63"")"),50)</f>
        <v>50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IFERROR(__xludf.DUMMYFUNCTION("IMPORTRANGE(""https://docs.google.com/spreadsheets/d/10OvvATaaLtwErnr3qtWFcTmtbfpFEt5Bsqel9sXx0uE/edit?usp=sharing"",""งานกองทุน!D63"")"),7634499)</f>
        <v>7634499</v>
      </c>
      <c r="J778" s="293">
        <f ca="1">IFERROR(__xludf.DUMMYFUNCTION("IMPORTRANGE(""https://docs.google.com/spreadsheets/d/10OvvATaaLtwErnr3qtWFcTmtbfpFEt5Bsqel9sXx0uE/edit?usp=sharing"",""งานกองทุน!F63"")"),586506.85)</f>
        <v>586506.85</v>
      </c>
      <c r="K778" s="74">
        <f t="shared" ref="K778:K785" ca="1" si="466">IF(I778&gt;0,J778*100/I778,0)</f>
        <v>7.6823227038211677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IFERROR(__xludf.DUMMYFUNCTION("IMPORTRANGE(""https://docs.google.com/spreadsheets/d/10OvvATaaLtwErnr3qtWFcTmtbfpFEt5Bsqel9sXx0uE/edit?usp=sharing"",""งานกองทุน!C63"")"),165)</f>
        <v>165</v>
      </c>
      <c r="J779" s="293">
        <f ca="1">IFERROR(__xludf.DUMMYFUNCTION("IMPORTRANGE(""https://docs.google.com/spreadsheets/d/10OvvATaaLtwErnr3qtWFcTmtbfpFEt5Bsqel9sXx0uE/edit?usp=sharing"",""งานกองทุน!E63"")"),15)</f>
        <v>15</v>
      </c>
      <c r="K779" s="74">
        <f t="shared" ca="1" si="466"/>
        <v>9.0909090909090917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IFERROR(__xludf.DUMMYFUNCTION("IMPORTRANGE(""https://docs.google.com/spreadsheets/d/10OvvATaaLtwErnr3qtWFcTmtbfpFEt5Bsqel9sXx0uE/edit?usp=sharing"",""งานกองทุน!I63"")"),5629096.37)</f>
        <v>5629096.3700000001</v>
      </c>
      <c r="J780" s="293">
        <f ca="1">IFERROR(__xludf.DUMMYFUNCTION("IMPORTRANGE(""https://docs.google.com/spreadsheets/d/10OvvATaaLtwErnr3qtWFcTmtbfpFEt5Bsqel9sXx0uE/edit?usp=sharing"",""งานกองทุน!K63"")"),216675.5)</f>
        <v>216675.5</v>
      </c>
      <c r="K780" s="74">
        <f t="shared" ca="1" si="466"/>
        <v>3.8492057296222839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IFERROR(__xludf.DUMMYFUNCTION("IMPORTRANGE(""https://docs.google.com/spreadsheets/d/10OvvATaaLtwErnr3qtWFcTmtbfpFEt5Bsqel9sXx0uE/edit?usp=sharing"",""งานกองทุน!H63"")"),141)</f>
        <v>141</v>
      </c>
      <c r="J781" s="293">
        <f ca="1">IFERROR(__xludf.DUMMYFUNCTION("IMPORTRANGE(""https://docs.google.com/spreadsheets/d/10OvvATaaLtwErnr3qtWFcTmtbfpFEt5Bsqel9sXx0uE/edit?usp=sharing"",""งานกองทุน!J63"")"),71)</f>
        <v>71</v>
      </c>
      <c r="K781" s="74">
        <f t="shared" ca="1" si="466"/>
        <v>50.354609929078016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IFERROR(__xludf.DUMMYFUNCTION("IMPORTRANGE(""https://docs.google.com/spreadsheets/d/10OvvATaaLtwErnr3qtWFcTmtbfpFEt5Bsqel9sXx0uE/edit?usp=sharing"",""งานกองทุน!N63"")"),817573.05)</f>
        <v>817573.05</v>
      </c>
      <c r="J782" s="293">
        <f ca="1">IFERROR(__xludf.DUMMYFUNCTION("IMPORTRANGE(""https://docs.google.com/spreadsheets/d/10OvvATaaLtwErnr3qtWFcTmtbfpFEt5Bsqel9sXx0uE/edit?usp=sharing"",""งานกองทุน!P63"")"),217579.87)</f>
        <v>217579.87</v>
      </c>
      <c r="K782" s="74">
        <f t="shared" ca="1" si="466"/>
        <v>26.612896547898686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IFERROR(__xludf.DUMMYFUNCTION("IMPORTRANGE(""https://docs.google.com/spreadsheets/d/10OvvATaaLtwErnr3qtWFcTmtbfpFEt5Bsqel9sXx0uE/edit?usp=sharing"",""งานกองทุน!M63"")"),463)</f>
        <v>463</v>
      </c>
      <c r="J783" s="293">
        <f ca="1">IFERROR(__xludf.DUMMYFUNCTION("IMPORTRANGE(""https://docs.google.com/spreadsheets/d/10OvvATaaLtwErnr3qtWFcTmtbfpFEt5Bsqel9sXx0uE/edit?usp=sharing"",""งานกองทุน!O63"")"),244)</f>
        <v>244</v>
      </c>
      <c r="K783" s="74">
        <f t="shared" ca="1" si="466"/>
        <v>52.699784017278617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IFERROR(__xludf.DUMMYFUNCTION("IMPORTRANGE(""https://docs.google.com/spreadsheets/d/10OvvATaaLtwErnr3qtWFcTmtbfpFEt5Bsqel9sXx0uE/edit?usp=sharing"",""งานกองทุน!S63"")"),1820000)</f>
        <v>1820000</v>
      </c>
      <c r="J784" s="293">
        <f ca="1">IFERROR(__xludf.DUMMYFUNCTION("IMPORTRANGE(""https://docs.google.com/spreadsheets/d/10OvvATaaLtwErnr3qtWFcTmtbfpFEt5Bsqel9sXx0uE/edit?usp=sharing"",""งานกองทุน!U63"")"),550000)</f>
        <v>550000</v>
      </c>
      <c r="K784" s="74">
        <f t="shared" ca="1" si="466"/>
        <v>30.219780219780219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IFERROR(__xludf.DUMMYFUNCTION("IMPORTRANGE(""https://docs.google.com/spreadsheets/d/10OvvATaaLtwErnr3qtWFcTmtbfpFEt5Bsqel9sXx0uE/edit?usp=sharing"",""งานกองทุน!R63"")"),65)</f>
        <v>65</v>
      </c>
      <c r="J785" s="786">
        <f ca="1">IFERROR(__xludf.DUMMYFUNCTION("IMPORTRANGE(""https://docs.google.com/spreadsheets/d/10OvvATaaLtwErnr3qtWFcTmtbfpFEt5Bsqel9sXx0uE/edit?usp=sharing"",""งานกองทุน!T63"")"),11)</f>
        <v>11</v>
      </c>
      <c r="K785" s="182">
        <f t="shared" ca="1" si="466"/>
        <v>16.923076923076923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06980-808D-4ADA-B83E-EF5DD0C26C74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1" width="15.140625" customWidth="1"/>
    <col min="12" max="13" width="21.28515625" bestFit="1" customWidth="1"/>
    <col min="14" max="14" width="18.7109375" bestFit="1" customWidth="1"/>
    <col min="15" max="15" width="10.8554687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348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4" t="s">
        <v>4</v>
      </c>
      <c r="B6" s="1385"/>
      <c r="C6" s="1385"/>
      <c r="D6" s="1385"/>
      <c r="E6" s="1385"/>
      <c r="F6" s="1385"/>
      <c r="G6" s="1386"/>
      <c r="H6" s="1037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8">
        <f t="shared" ref="L19:N19" ca="1" si="0">L20+L21</f>
        <v>1632645</v>
      </c>
      <c r="M19" s="59">
        <f t="shared" ca="1" si="0"/>
        <v>1788960</v>
      </c>
      <c r="N19" s="59">
        <f t="shared" ca="1" si="0"/>
        <v>928276.65</v>
      </c>
      <c r="O19" s="59">
        <f t="shared" ref="O19:O27" ca="1" si="1">IF(L19&gt;0,N19*100/L19,0)</f>
        <v>56.857225545051129</v>
      </c>
      <c r="P19" s="59">
        <f t="shared" ref="P19:P27" ca="1" si="2">IF(M19&gt;0,N19*100/M19,0)</f>
        <v>51.889178628924064</v>
      </c>
      <c r="Q19" s="59">
        <f t="shared" ref="Q19:S19" ca="1" si="3">Q20+Q21</f>
        <v>1172199.24</v>
      </c>
      <c r="R19" s="59">
        <f t="shared" ca="1" si="3"/>
        <v>1172199</v>
      </c>
      <c r="S19" s="59">
        <f t="shared" ca="1" si="3"/>
        <v>0</v>
      </c>
      <c r="T19" s="59">
        <f t="shared" ref="T19:T27" ca="1" si="4">IF(Q19&gt;0,S19*100/Q19,0)</f>
        <v>0</v>
      </c>
      <c r="U19" s="59">
        <f t="shared" ref="U19:U27" ca="1" si="5">IF(R19&gt;0,S19*100/R19,0)</f>
        <v>0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2">
        <f t="shared" ref="L20:N21" si="6">L23+L26</f>
        <v>0</v>
      </c>
      <c r="M20" s="63">
        <f t="shared" si="6"/>
        <v>0</v>
      </c>
      <c r="N20" s="63">
        <f t="shared" si="6"/>
        <v>0</v>
      </c>
      <c r="O20" s="63">
        <f t="shared" si="1"/>
        <v>0</v>
      </c>
      <c r="P20" s="63">
        <f t="shared" si="2"/>
        <v>0</v>
      </c>
      <c r="Q20" s="63">
        <f t="shared" ref="Q20:S21" si="7">Q23+Q26</f>
        <v>0</v>
      </c>
      <c r="R20" s="63">
        <f t="shared" si="7"/>
        <v>0</v>
      </c>
      <c r="S20" s="63">
        <f t="shared" si="7"/>
        <v>0</v>
      </c>
      <c r="T20" s="63">
        <f t="shared" si="4"/>
        <v>0</v>
      </c>
      <c r="U20" s="6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4">
        <f t="shared" ca="1" si="6"/>
        <v>1632645</v>
      </c>
      <c r="M21" s="65">
        <f t="shared" ca="1" si="6"/>
        <v>1788960</v>
      </c>
      <c r="N21" s="65">
        <f t="shared" ca="1" si="6"/>
        <v>928276.65</v>
      </c>
      <c r="O21" s="65">
        <f t="shared" ca="1" si="1"/>
        <v>56.857225545051129</v>
      </c>
      <c r="P21" s="65">
        <f t="shared" ca="1" si="2"/>
        <v>51.889178628924064</v>
      </c>
      <c r="Q21" s="65">
        <f t="shared" ca="1" si="7"/>
        <v>1172199.24</v>
      </c>
      <c r="R21" s="65">
        <f t="shared" ca="1" si="7"/>
        <v>1172199</v>
      </c>
      <c r="S21" s="65">
        <f t="shared" ca="1" si="7"/>
        <v>0</v>
      </c>
      <c r="T21" s="65">
        <f t="shared" ca="1" si="4"/>
        <v>0</v>
      </c>
      <c r="U21" s="65">
        <f t="shared" ca="1" si="5"/>
        <v>0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3">
        <f t="shared" ref="L22:N22" ca="1" si="8">L23+L24</f>
        <v>1632645</v>
      </c>
      <c r="M22" s="74">
        <f t="shared" ca="1" si="8"/>
        <v>1788960</v>
      </c>
      <c r="N22" s="74">
        <f t="shared" ca="1" si="8"/>
        <v>928276.65</v>
      </c>
      <c r="O22" s="74">
        <f t="shared" ca="1" si="1"/>
        <v>56.857225545051129</v>
      </c>
      <c r="P22" s="74">
        <f t="shared" ca="1" si="2"/>
        <v>51.889178628924064</v>
      </c>
      <c r="Q22" s="74">
        <f t="shared" ref="Q22:S22" ca="1" si="9">Q23+Q24</f>
        <v>1172199.24</v>
      </c>
      <c r="R22" s="74">
        <f t="shared" ca="1" si="9"/>
        <v>1172199</v>
      </c>
      <c r="S22" s="74">
        <f t="shared" ca="1" si="9"/>
        <v>0</v>
      </c>
      <c r="T22" s="74">
        <f t="shared" ca="1" si="4"/>
        <v>0</v>
      </c>
      <c r="U22" s="74">
        <f t="shared" ca="1" si="5"/>
        <v>0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6">
        <f t="shared" ref="L23:N24" si="10">L49+L64+L77+L99+L130+L144+L162+L191+L178+L271+L287+L308+L325+L338+L361+L518</f>
        <v>0</v>
      </c>
      <c r="M23" s="77">
        <f t="shared" si="10"/>
        <v>0</v>
      </c>
      <c r="N23" s="77">
        <f t="shared" si="10"/>
        <v>0</v>
      </c>
      <c r="O23" s="77">
        <f t="shared" si="1"/>
        <v>0</v>
      </c>
      <c r="P23" s="77">
        <f t="shared" si="2"/>
        <v>0</v>
      </c>
      <c r="Q23" s="77">
        <f t="shared" ref="Q23:S24" si="11">Q77+Q99+Q122+Q144+Q162+Q178+Q191+Q271+Q287+Q308+Q338+Q380+Q397+Q418+Q498+Q604+Q621+Q647+Q695+Q719+Q733+Q764</f>
        <v>0</v>
      </c>
      <c r="R23" s="77">
        <f t="shared" si="11"/>
        <v>0</v>
      </c>
      <c r="S23" s="77">
        <f t="shared" si="11"/>
        <v>0</v>
      </c>
      <c r="T23" s="77">
        <f t="shared" si="4"/>
        <v>0</v>
      </c>
      <c r="U23" s="77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3">
        <f t="shared" ca="1" si="10"/>
        <v>1632645</v>
      </c>
      <c r="M24" s="74">
        <f t="shared" ca="1" si="10"/>
        <v>1788960</v>
      </c>
      <c r="N24" s="74">
        <f t="shared" ca="1" si="10"/>
        <v>928276.65</v>
      </c>
      <c r="O24" s="74">
        <f t="shared" ca="1" si="1"/>
        <v>56.857225545051129</v>
      </c>
      <c r="P24" s="74">
        <f t="shared" ca="1" si="2"/>
        <v>51.889178628924064</v>
      </c>
      <c r="Q24" s="74">
        <f t="shared" ca="1" si="11"/>
        <v>1172199.24</v>
      </c>
      <c r="R24" s="74">
        <f t="shared" ca="1" si="11"/>
        <v>1172199</v>
      </c>
      <c r="S24" s="74">
        <f t="shared" ca="1" si="11"/>
        <v>0</v>
      </c>
      <c r="T24" s="74">
        <f t="shared" ca="1" si="4"/>
        <v>0</v>
      </c>
      <c r="U24" s="74">
        <f t="shared" ca="1" si="5"/>
        <v>0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3">
        <f t="shared" ref="L25:N25" ca="1" si="12">L26+L27</f>
        <v>0</v>
      </c>
      <c r="M25" s="74">
        <f t="shared" ca="1" si="12"/>
        <v>0</v>
      </c>
      <c r="N25" s="74">
        <f t="shared" ca="1" si="12"/>
        <v>0</v>
      </c>
      <c r="O25" s="74">
        <f t="shared" ca="1" si="1"/>
        <v>0</v>
      </c>
      <c r="P25" s="74">
        <f t="shared" ca="1" si="2"/>
        <v>0</v>
      </c>
      <c r="Q25" s="74">
        <f t="shared" ref="Q25:S25" si="13">Q26+Q27</f>
        <v>0</v>
      </c>
      <c r="R25" s="74">
        <f t="shared" si="13"/>
        <v>0</v>
      </c>
      <c r="S25" s="74">
        <f t="shared" si="13"/>
        <v>0</v>
      </c>
      <c r="T25" s="74">
        <f t="shared" si="4"/>
        <v>0</v>
      </c>
      <c r="U25" s="74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6">
        <f t="shared" ref="L26:N27" si="14">L52+L67+L80+L102+L133+L147+L165+L194+L181+L274+L290+L311+L328+L341+L364+L521</f>
        <v>0</v>
      </c>
      <c r="M26" s="77">
        <f t="shared" si="14"/>
        <v>0</v>
      </c>
      <c r="N26" s="77">
        <f t="shared" si="14"/>
        <v>0</v>
      </c>
      <c r="O26" s="77">
        <f t="shared" si="1"/>
        <v>0</v>
      </c>
      <c r="P26" s="77">
        <f t="shared" si="2"/>
        <v>0</v>
      </c>
      <c r="Q26" s="77">
        <f t="shared" ref="Q26:S27" si="15">Q80+Q102+Q125+Q147+Q165+Q181+Q194+Q274+Q290+Q311+Q341+Q383+Q400+Q421+Q501+Q607+Q624+Q650+Q698+Q722+Q736+Q767</f>
        <v>0</v>
      </c>
      <c r="R26" s="77">
        <f t="shared" si="15"/>
        <v>0</v>
      </c>
      <c r="S26" s="77">
        <f t="shared" si="15"/>
        <v>0</v>
      </c>
      <c r="T26" s="77">
        <f t="shared" si="4"/>
        <v>0</v>
      </c>
      <c r="U26" s="77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3">
        <f t="shared" ca="1" si="14"/>
        <v>0</v>
      </c>
      <c r="M27" s="74">
        <f t="shared" ca="1" si="14"/>
        <v>0</v>
      </c>
      <c r="N27" s="74">
        <f t="shared" ca="1" si="14"/>
        <v>0</v>
      </c>
      <c r="O27" s="74">
        <f t="shared" ca="1" si="1"/>
        <v>0</v>
      </c>
      <c r="P27" s="74">
        <f t="shared" ca="1" si="2"/>
        <v>0</v>
      </c>
      <c r="Q27" s="77">
        <f t="shared" si="15"/>
        <v>0</v>
      </c>
      <c r="R27" s="77">
        <f t="shared" si="15"/>
        <v>0</v>
      </c>
      <c r="S27" s="77">
        <f t="shared" si="15"/>
        <v>0</v>
      </c>
      <c r="T27" s="74">
        <f t="shared" si="4"/>
        <v>0</v>
      </c>
      <c r="U27" s="74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79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80">
        <f t="shared" ref="L41:N41" ca="1" si="16">L45+L60+L73+L95+L126+L140+L158+L174+L187+L267+L283+L304+L321+L334+L357</f>
        <v>1632645</v>
      </c>
      <c r="M41" s="1279">
        <f t="shared" ca="1" si="16"/>
        <v>1788960</v>
      </c>
      <c r="N41" s="1279">
        <f t="shared" ca="1" si="16"/>
        <v>928276.65</v>
      </c>
      <c r="O41" s="1279">
        <f ca="1">IF(L41&gt;0,N41*100/L41,0)</f>
        <v>56.857225545051129</v>
      </c>
      <c r="P41" s="1279">
        <f ca="1">IF(M41&gt;0,N41*100/M41,0)</f>
        <v>51.889178628924064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6">
        <f t="shared" ref="L45:N45" ca="1" si="17">L46+L47</f>
        <v>211100</v>
      </c>
      <c r="M45" s="1275">
        <f t="shared" ca="1" si="17"/>
        <v>216080</v>
      </c>
      <c r="N45" s="1275">
        <f t="shared" ca="1" si="17"/>
        <v>193359.35</v>
      </c>
      <c r="O45" s="1275">
        <f t="shared" ref="O45:O53" ca="1" si="18">IF(L45&gt;0,N45*100/L45,0)</f>
        <v>91.596091899573665</v>
      </c>
      <c r="P45" s="1275">
        <f t="shared" ref="P45:P53" ca="1" si="19">IF(M45&gt;0,N45*100/M45,0)</f>
        <v>89.485074972232511</v>
      </c>
      <c r="Q45" s="1275">
        <f t="shared" ref="Q45:S45" si="20">Q46+Q47</f>
        <v>0</v>
      </c>
      <c r="R45" s="1275">
        <f t="shared" si="20"/>
        <v>0</v>
      </c>
      <c r="S45" s="1275">
        <f t="shared" si="20"/>
        <v>0</v>
      </c>
      <c r="T45" s="1275">
        <f t="shared" ref="T45:T53" si="21">IF(Q45&gt;0,S45*100/Q45,0)</f>
        <v>0</v>
      </c>
      <c r="U45" s="1275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4">
        <f t="shared" ref="L46:N47" si="23">L49+L52</f>
        <v>0</v>
      </c>
      <c r="M46" s="1273">
        <f t="shared" si="23"/>
        <v>0</v>
      </c>
      <c r="N46" s="1273">
        <f t="shared" si="23"/>
        <v>0</v>
      </c>
      <c r="O46" s="1273">
        <f t="shared" si="18"/>
        <v>0</v>
      </c>
      <c r="P46" s="1273">
        <f t="shared" si="19"/>
        <v>0</v>
      </c>
      <c r="Q46" s="1273">
        <f t="shared" ref="Q46:S47" si="24">Q49+Q52</f>
        <v>0</v>
      </c>
      <c r="R46" s="1273">
        <f t="shared" si="24"/>
        <v>0</v>
      </c>
      <c r="S46" s="1273">
        <f t="shared" si="24"/>
        <v>0</v>
      </c>
      <c r="T46" s="1273">
        <f t="shared" si="21"/>
        <v>0</v>
      </c>
      <c r="U46" s="1273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2">
        <f t="shared" ca="1" si="23"/>
        <v>211100</v>
      </c>
      <c r="M47" s="1271">
        <f t="shared" ca="1" si="23"/>
        <v>216080</v>
      </c>
      <c r="N47" s="1271">
        <f t="shared" ca="1" si="23"/>
        <v>193359.35</v>
      </c>
      <c r="O47" s="1271">
        <f t="shared" ca="1" si="18"/>
        <v>91.596091899573665</v>
      </c>
      <c r="P47" s="1271">
        <f t="shared" ca="1" si="19"/>
        <v>89.485074972232511</v>
      </c>
      <c r="Q47" s="1271">
        <f t="shared" si="24"/>
        <v>0</v>
      </c>
      <c r="R47" s="1271">
        <f t="shared" si="24"/>
        <v>0</v>
      </c>
      <c r="S47" s="1271">
        <f t="shared" si="24"/>
        <v>0</v>
      </c>
      <c r="T47" s="1271">
        <f t="shared" si="21"/>
        <v>0</v>
      </c>
      <c r="U47" s="1271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3">
        <f t="shared" ref="L48:N48" ca="1" si="25">L49+L50</f>
        <v>211100</v>
      </c>
      <c r="M48" s="74">
        <f t="shared" ca="1" si="25"/>
        <v>216080</v>
      </c>
      <c r="N48" s="74">
        <f t="shared" ca="1" si="25"/>
        <v>193359.35</v>
      </c>
      <c r="O48" s="74">
        <f t="shared" ca="1" si="18"/>
        <v>91.596091899573665</v>
      </c>
      <c r="P48" s="74">
        <f t="shared" ca="1" si="19"/>
        <v>89.485074972232511</v>
      </c>
      <c r="Q48" s="74">
        <f t="shared" ref="Q48:S48" si="26">Q49+Q50</f>
        <v>0</v>
      </c>
      <c r="R48" s="74">
        <f t="shared" si="26"/>
        <v>0</v>
      </c>
      <c r="S48" s="74">
        <f t="shared" si="26"/>
        <v>0</v>
      </c>
      <c r="T48" s="74">
        <f t="shared" si="21"/>
        <v>0</v>
      </c>
      <c r="U48" s="74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77">
        <f t="shared" si="18"/>
        <v>0</v>
      </c>
      <c r="P49" s="77">
        <f t="shared" si="19"/>
        <v>0</v>
      </c>
      <c r="Q49" s="77">
        <v>0</v>
      </c>
      <c r="R49" s="77">
        <v>0</v>
      </c>
      <c r="S49" s="77">
        <v>0</v>
      </c>
      <c r="T49" s="77">
        <f t="shared" si="21"/>
        <v>0</v>
      </c>
      <c r="U49" s="77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3">
        <f ca="1">IFERROR(__xludf.DUMMYFUNCTION("IMPORTRANGE(""https://docs.google.com/spreadsheets/d/1-uDff_7J0KD5mKrp0Vvzr7lt3OU09vwQwhkpOPPYv2Y/edit?usp=sharing"",""งบพรบ!P64"")"),211100)</f>
        <v>211100</v>
      </c>
      <c r="M50" s="74">
        <f ca="1">IFERROR(__xludf.DUMMYFUNCTION("IMPORTRANGE(""https://docs.google.com/spreadsheets/d/1-uDff_7J0KD5mKrp0Vvzr7lt3OU09vwQwhkpOPPYv2Y/edit?usp=sharing"",""งบพรบ!V64"")"),216080)</f>
        <v>216080</v>
      </c>
      <c r="N50" s="74">
        <f ca="1">IFERROR(__xludf.DUMMYFUNCTION("IMPORTRANGE(""https://docs.google.com/spreadsheets/d/1-uDff_7J0KD5mKrp0Vvzr7lt3OU09vwQwhkpOPPYv2Y/edit?usp=sharing"",""งบพรบ!Y64"")"),193359.35)</f>
        <v>193359.35</v>
      </c>
      <c r="O50" s="74">
        <f t="shared" ca="1" si="18"/>
        <v>91.596091899573665</v>
      </c>
      <c r="P50" s="74">
        <f t="shared" ca="1" si="19"/>
        <v>89.485074972232511</v>
      </c>
      <c r="Q50" s="74">
        <v>0</v>
      </c>
      <c r="R50" s="74">
        <v>0</v>
      </c>
      <c r="S50" s="74">
        <v>0</v>
      </c>
      <c r="T50" s="74">
        <f t="shared" si="21"/>
        <v>0</v>
      </c>
      <c r="U50" s="74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3">
        <f t="shared" ref="L51:N51" ca="1" si="27">L52+L53</f>
        <v>0</v>
      </c>
      <c r="M51" s="74">
        <f t="shared" ca="1" si="27"/>
        <v>0</v>
      </c>
      <c r="N51" s="74">
        <f t="shared" ca="1" si="27"/>
        <v>0</v>
      </c>
      <c r="O51" s="74">
        <f t="shared" ca="1" si="18"/>
        <v>0</v>
      </c>
      <c r="P51" s="74">
        <f t="shared" ca="1" si="19"/>
        <v>0</v>
      </c>
      <c r="Q51" s="74">
        <f t="shared" ref="Q51:S51" si="28">Q52+Q53</f>
        <v>0</v>
      </c>
      <c r="R51" s="74">
        <f t="shared" si="28"/>
        <v>0</v>
      </c>
      <c r="S51" s="74">
        <f t="shared" si="28"/>
        <v>0</v>
      </c>
      <c r="T51" s="74">
        <f t="shared" si="21"/>
        <v>0</v>
      </c>
      <c r="U51" s="74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77">
        <f t="shared" si="18"/>
        <v>0</v>
      </c>
      <c r="P52" s="77">
        <f t="shared" si="19"/>
        <v>0</v>
      </c>
      <c r="Q52" s="77">
        <v>0</v>
      </c>
      <c r="R52" s="77">
        <v>0</v>
      </c>
      <c r="S52" s="77">
        <v>0</v>
      </c>
      <c r="T52" s="77">
        <f t="shared" si="21"/>
        <v>0</v>
      </c>
      <c r="U52" s="77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3">
        <f ca="1">IFERROR(__xludf.DUMMYFUNCTION("IMPORTRANGE(""https://docs.google.com/spreadsheets/d/1-uDff_7J0KD5mKrp0Vvzr7lt3OU09vwQwhkpOPPYv2Y/edit?usp=sharing"",""งบพรบ!S64"")"),0)</f>
        <v>0</v>
      </c>
      <c r="M53" s="74">
        <f ca="1">IFERROR(__xludf.DUMMYFUNCTION("IMPORTRANGE(""https://docs.google.com/spreadsheets/d/1-uDff_7J0KD5mKrp0Vvzr7lt3OU09vwQwhkpOPPYv2Y/edit?usp=sharing"",""งบพรบ!W64"")"),0)</f>
        <v>0</v>
      </c>
      <c r="N53" s="74">
        <f ca="1">IFERROR(__xludf.DUMMYFUNCTION("IMPORTRANGE(""https://docs.google.com/spreadsheets/d/1-uDff_7J0KD5mKrp0Vvzr7lt3OU09vwQwhkpOPPYv2Y/edit?usp=sharing"",""งบพรบ!Z64"")"),0)</f>
        <v>0</v>
      </c>
      <c r="O53" s="74">
        <f t="shared" ca="1" si="18"/>
        <v>0</v>
      </c>
      <c r="P53" s="74">
        <f t="shared" ca="1" si="19"/>
        <v>0</v>
      </c>
      <c r="Q53" s="74">
        <v>0</v>
      </c>
      <c r="R53" s="74">
        <v>0</v>
      </c>
      <c r="S53" s="74">
        <v>0</v>
      </c>
      <c r="T53" s="74">
        <f t="shared" si="21"/>
        <v>0</v>
      </c>
      <c r="U53" s="74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9">
        <f t="shared" ref="L60:N60" ca="1" si="29">L61+L62</f>
        <v>246200</v>
      </c>
      <c r="M60" s="1268">
        <f t="shared" ca="1" si="29"/>
        <v>246200</v>
      </c>
      <c r="N60" s="1268">
        <f t="shared" ca="1" si="29"/>
        <v>146846.62</v>
      </c>
      <c r="O60" s="1268">
        <f t="shared" ref="O60:O68" ca="1" si="30">IF(L60&gt;0,N60*100/L60,0)</f>
        <v>59.645255889520712</v>
      </c>
      <c r="P60" s="1268">
        <f t="shared" ref="P60:P68" ca="1" si="31">IF(M60&gt;0,N60*100/M60,0)</f>
        <v>59.645255889520712</v>
      </c>
      <c r="Q60" s="1268">
        <f t="shared" ref="Q60:S60" si="32">Q61+Q62</f>
        <v>0</v>
      </c>
      <c r="R60" s="1268">
        <f t="shared" si="32"/>
        <v>0</v>
      </c>
      <c r="S60" s="1268">
        <f t="shared" si="32"/>
        <v>0</v>
      </c>
      <c r="T60" s="1268">
        <f t="shared" ref="T60:T68" si="33">IF(Q60&gt;0,S60*100/Q60,0)</f>
        <v>0</v>
      </c>
      <c r="U60" s="1268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7">
        <f t="shared" ref="L61:N62" si="35">L64+L67</f>
        <v>0</v>
      </c>
      <c r="M61" s="1266">
        <f t="shared" si="35"/>
        <v>0</v>
      </c>
      <c r="N61" s="1266">
        <f t="shared" si="35"/>
        <v>0</v>
      </c>
      <c r="O61" s="1266">
        <f t="shared" si="30"/>
        <v>0</v>
      </c>
      <c r="P61" s="1266">
        <f t="shared" si="31"/>
        <v>0</v>
      </c>
      <c r="Q61" s="1266">
        <f t="shared" ref="Q61:S62" si="36">Q64+Q67</f>
        <v>0</v>
      </c>
      <c r="R61" s="1266">
        <f t="shared" si="36"/>
        <v>0</v>
      </c>
      <c r="S61" s="1266">
        <f t="shared" si="36"/>
        <v>0</v>
      </c>
      <c r="T61" s="1266">
        <f t="shared" si="33"/>
        <v>0</v>
      </c>
      <c r="U61" s="1266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5">
        <f t="shared" ca="1" si="35"/>
        <v>246200</v>
      </c>
      <c r="M62" s="1264">
        <f t="shared" ca="1" si="35"/>
        <v>246200</v>
      </c>
      <c r="N62" s="1264">
        <f t="shared" ca="1" si="35"/>
        <v>146846.62</v>
      </c>
      <c r="O62" s="1264">
        <f t="shared" ca="1" si="30"/>
        <v>59.645255889520712</v>
      </c>
      <c r="P62" s="1264">
        <f t="shared" ca="1" si="31"/>
        <v>59.645255889520712</v>
      </c>
      <c r="Q62" s="1264">
        <f t="shared" si="36"/>
        <v>0</v>
      </c>
      <c r="R62" s="1264">
        <f t="shared" si="36"/>
        <v>0</v>
      </c>
      <c r="S62" s="1264">
        <f t="shared" si="36"/>
        <v>0</v>
      </c>
      <c r="T62" s="1264">
        <f t="shared" si="33"/>
        <v>0</v>
      </c>
      <c r="U62" s="1264">
        <f t="shared" si="34"/>
        <v>0</v>
      </c>
    </row>
    <row r="63" spans="1:21" ht="18.75" x14ac:dyDescent="0.25">
      <c r="A63" s="847"/>
      <c r="B63" s="258"/>
      <c r="C63" s="258"/>
      <c r="D63" s="270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3">
        <f t="shared" ref="L63:N63" ca="1" si="37">L64+L65</f>
        <v>246200</v>
      </c>
      <c r="M63" s="74">
        <f t="shared" ca="1" si="37"/>
        <v>246200</v>
      </c>
      <c r="N63" s="74">
        <f t="shared" ca="1" si="37"/>
        <v>146846.62</v>
      </c>
      <c r="O63" s="74">
        <f t="shared" ca="1" si="30"/>
        <v>59.645255889520712</v>
      </c>
      <c r="P63" s="74">
        <f t="shared" ca="1" si="31"/>
        <v>59.645255889520712</v>
      </c>
      <c r="Q63" s="74">
        <f t="shared" ref="Q63:S63" si="38">Q64+Q65</f>
        <v>0</v>
      </c>
      <c r="R63" s="74">
        <f t="shared" si="38"/>
        <v>0</v>
      </c>
      <c r="S63" s="74">
        <f t="shared" si="38"/>
        <v>0</v>
      </c>
      <c r="T63" s="74">
        <f t="shared" si="33"/>
        <v>0</v>
      </c>
      <c r="U63" s="74">
        <f t="shared" si="34"/>
        <v>0</v>
      </c>
    </row>
    <row r="64" spans="1:21" ht="18.75" hidden="1" x14ac:dyDescent="0.25">
      <c r="A64" s="847"/>
      <c r="B64" s="258"/>
      <c r="C64" s="258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77">
        <f t="shared" si="30"/>
        <v>0</v>
      </c>
      <c r="P64" s="77">
        <f t="shared" si="31"/>
        <v>0</v>
      </c>
      <c r="Q64" s="77">
        <v>0</v>
      </c>
      <c r="R64" s="77">
        <v>0</v>
      </c>
      <c r="S64" s="77">
        <v>0</v>
      </c>
      <c r="T64" s="77">
        <f t="shared" si="33"/>
        <v>0</v>
      </c>
      <c r="U64" s="77">
        <f t="shared" si="34"/>
        <v>0</v>
      </c>
    </row>
    <row r="65" spans="1:21" ht="18.75" hidden="1" x14ac:dyDescent="0.25">
      <c r="A65" s="847"/>
      <c r="B65" s="258"/>
      <c r="C65" s="258"/>
      <c r="D65" s="258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3">
        <f ca="1">IFERROR(__xludf.DUMMYFUNCTION("IMPORTRANGE(""https://docs.google.com/spreadsheets/d/1-uDff_7J0KD5mKrp0Vvzr7lt3OU09vwQwhkpOPPYv2Y/edit?usp=sharing"",""งบพรบ!AC64"")"),246200)</f>
        <v>246200</v>
      </c>
      <c r="M65" s="74">
        <f ca="1">IFERROR(__xludf.DUMMYFUNCTION("IMPORTRANGE(""https://docs.google.com/spreadsheets/d/1-uDff_7J0KD5mKrp0Vvzr7lt3OU09vwQwhkpOPPYv2Y/edit?usp=sharing"",""งบพรบ!AH64"")"),246200)</f>
        <v>246200</v>
      </c>
      <c r="N65" s="74">
        <f ca="1">IFERROR(__xludf.DUMMYFUNCTION("IMPORTRANGE(""https://docs.google.com/spreadsheets/d/1-uDff_7J0KD5mKrp0Vvzr7lt3OU09vwQwhkpOPPYv2Y/edit?usp=sharing"",""งบพรบ!AJ64"")"),146846.62)</f>
        <v>146846.62</v>
      </c>
      <c r="O65" s="74">
        <f t="shared" ca="1" si="30"/>
        <v>59.645255889520712</v>
      </c>
      <c r="P65" s="74">
        <f t="shared" ca="1" si="31"/>
        <v>59.645255889520712</v>
      </c>
      <c r="Q65" s="74">
        <v>0</v>
      </c>
      <c r="R65" s="74">
        <v>0</v>
      </c>
      <c r="S65" s="74">
        <v>0</v>
      </c>
      <c r="T65" s="74">
        <f t="shared" si="33"/>
        <v>0</v>
      </c>
      <c r="U65" s="74">
        <f t="shared" si="34"/>
        <v>0</v>
      </c>
    </row>
    <row r="66" spans="1:21" ht="18.75" x14ac:dyDescent="0.25">
      <c r="A66" s="847"/>
      <c r="B66" s="258"/>
      <c r="C66" s="258"/>
      <c r="D66" s="270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3">
        <f t="shared" ref="L66:N66" ca="1" si="39">L67+L68</f>
        <v>0</v>
      </c>
      <c r="M66" s="74">
        <f t="shared" ca="1" si="39"/>
        <v>0</v>
      </c>
      <c r="N66" s="74">
        <f t="shared" ca="1" si="39"/>
        <v>0</v>
      </c>
      <c r="O66" s="74">
        <f t="shared" ca="1" si="30"/>
        <v>0</v>
      </c>
      <c r="P66" s="74">
        <f t="shared" ca="1" si="31"/>
        <v>0</v>
      </c>
      <c r="Q66" s="74">
        <f t="shared" ref="Q66:S66" si="40">Q67+Q68</f>
        <v>0</v>
      </c>
      <c r="R66" s="74">
        <f t="shared" si="40"/>
        <v>0</v>
      </c>
      <c r="S66" s="74">
        <f t="shared" si="40"/>
        <v>0</v>
      </c>
      <c r="T66" s="74">
        <f t="shared" si="33"/>
        <v>0</v>
      </c>
      <c r="U66" s="74">
        <f t="shared" si="34"/>
        <v>0</v>
      </c>
    </row>
    <row r="67" spans="1:21" ht="18.75" hidden="1" x14ac:dyDescent="0.25">
      <c r="A67" s="847"/>
      <c r="B67" s="258"/>
      <c r="C67" s="258"/>
      <c r="D67" s="258"/>
      <c r="E67" s="265" t="s">
        <v>20</v>
      </c>
      <c r="F67" s="258"/>
      <c r="G67" s="261"/>
      <c r="H67" s="840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77">
        <f t="shared" si="30"/>
        <v>0</v>
      </c>
      <c r="P67" s="77">
        <f t="shared" si="31"/>
        <v>0</v>
      </c>
      <c r="Q67" s="77">
        <v>0</v>
      </c>
      <c r="R67" s="77">
        <v>0</v>
      </c>
      <c r="S67" s="77">
        <v>0</v>
      </c>
      <c r="T67" s="77">
        <f t="shared" si="33"/>
        <v>0</v>
      </c>
      <c r="U67" s="77">
        <f t="shared" si="34"/>
        <v>0</v>
      </c>
    </row>
    <row r="68" spans="1:21" ht="18.75" hidden="1" x14ac:dyDescent="0.25">
      <c r="A68" s="848"/>
      <c r="B68" s="636"/>
      <c r="C68" s="636"/>
      <c r="D68" s="636"/>
      <c r="E68" s="849" t="s">
        <v>21</v>
      </c>
      <c r="F68" s="636"/>
      <c r="G68" s="637"/>
      <c r="H68" s="850" t="s">
        <v>14</v>
      </c>
      <c r="I68" s="631"/>
      <c r="J68" s="631"/>
      <c r="K68" s="98"/>
      <c r="L68" s="181">
        <f ca="1">IFERROR(__xludf.DUMMYFUNCTION("IMPORTRANGE(""https://docs.google.com/spreadsheets/d/1-uDff_7J0KD5mKrp0Vvzr7lt3OU09vwQwhkpOPPYv2Y/edit?usp=sharing"",""งบพรบ!AF64"")"),0)</f>
        <v>0</v>
      </c>
      <c r="M68" s="182">
        <f ca="1">IFERROR(__xludf.DUMMYFUNCTION("IMPORTRANGE(""https://docs.google.com/spreadsheets/d/1-uDff_7J0KD5mKrp0Vvzr7lt3OU09vwQwhkpOPPYv2Y/edit?usp=sharing"",""งบพรบ!AI64"")"),0)</f>
        <v>0</v>
      </c>
      <c r="N68" s="182">
        <f ca="1">IFERROR(__xludf.DUMMYFUNCTION("IMPORTRANGE(""https://docs.google.com/spreadsheets/d/1-uDff_7J0KD5mKrp0Vvzr7lt3OU09vwQwhkpOPPYv2Y/edit?usp=sharing"",""งบพรบ!AK64"")"),0)</f>
        <v>0</v>
      </c>
      <c r="O68" s="182">
        <f t="shared" ca="1" si="30"/>
        <v>0</v>
      </c>
      <c r="P68" s="182">
        <f t="shared" ca="1" si="31"/>
        <v>0</v>
      </c>
      <c r="Q68" s="182">
        <v>0</v>
      </c>
      <c r="R68" s="182">
        <v>0</v>
      </c>
      <c r="S68" s="182">
        <v>0</v>
      </c>
      <c r="T68" s="182">
        <f t="shared" si="33"/>
        <v>0</v>
      </c>
      <c r="U68" s="182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7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x14ac:dyDescent="0.3">
      <c r="A70" s="1099" t="s">
        <v>32</v>
      </c>
      <c r="B70" s="691"/>
      <c r="C70" s="693"/>
      <c r="D70" s="691"/>
      <c r="E70" s="691"/>
      <c r="F70" s="691"/>
      <c r="G70" s="1100"/>
      <c r="H70" s="1100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19.5" x14ac:dyDescent="0.3">
      <c r="A71" s="250"/>
      <c r="B71" s="251" t="s">
        <v>33</v>
      </c>
      <c r="C71" s="252"/>
      <c r="D71" s="253"/>
      <c r="E71" s="252"/>
      <c r="F71" s="252"/>
      <c r="G71" s="254"/>
      <c r="H71" s="1296" t="s">
        <v>34</v>
      </c>
      <c r="I71" s="256">
        <f t="shared" ref="I71:J72" ca="1" si="41">I83</f>
        <v>1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x14ac:dyDescent="0.3">
      <c r="A72" s="250"/>
      <c r="B72" s="252"/>
      <c r="C72" s="252"/>
      <c r="D72" s="253"/>
      <c r="E72" s="252"/>
      <c r="F72" s="252"/>
      <c r="G72" s="254"/>
      <c r="H72" s="1296" t="s">
        <v>35</v>
      </c>
      <c r="I72" s="256">
        <f t="shared" ca="1" si="41"/>
        <v>30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1257">
        <f t="shared" ref="L73:N73" ca="1" si="43">L74+L75</f>
        <v>90000</v>
      </c>
      <c r="M73" s="264">
        <f t="shared" ca="1" si="43"/>
        <v>90000</v>
      </c>
      <c r="N73" s="264">
        <f t="shared" ca="1" si="43"/>
        <v>0</v>
      </c>
      <c r="O73" s="264">
        <f t="shared" ref="O73:O81" ca="1" si="44">IF(L73&gt;0,N73*100/L73,0)</f>
        <v>0</v>
      </c>
      <c r="P73" s="264">
        <f t="shared" ref="P73:P81" ca="1" si="45">IF(M73&gt;0,N73*100/M73,0)</f>
        <v>0</v>
      </c>
      <c r="Q73" s="264">
        <f t="shared" ref="Q73:S73" ca="1" si="46">Q74+Q75</f>
        <v>388700</v>
      </c>
      <c r="R73" s="264">
        <f t="shared" ca="1" si="46"/>
        <v>388700</v>
      </c>
      <c r="S73" s="264">
        <f t="shared" ca="1" si="46"/>
        <v>0</v>
      </c>
      <c r="T73" s="264">
        <f t="shared" ref="T73:T81" ca="1" si="47">IF(Q73&gt;0,S73*100/Q73,0)</f>
        <v>0</v>
      </c>
      <c r="U73" s="264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6">
        <f t="shared" ref="L74:N75" si="49">L77+L80</f>
        <v>0</v>
      </c>
      <c r="M74" s="77">
        <f t="shared" si="49"/>
        <v>0</v>
      </c>
      <c r="N74" s="77">
        <f t="shared" si="49"/>
        <v>0</v>
      </c>
      <c r="O74" s="77">
        <f t="shared" si="44"/>
        <v>0</v>
      </c>
      <c r="P74" s="77">
        <f t="shared" si="45"/>
        <v>0</v>
      </c>
      <c r="Q74" s="77">
        <f t="shared" ref="Q74:S75" si="50">Q77+Q80</f>
        <v>0</v>
      </c>
      <c r="R74" s="77">
        <f t="shared" si="50"/>
        <v>0</v>
      </c>
      <c r="S74" s="77">
        <f t="shared" si="50"/>
        <v>0</v>
      </c>
      <c r="T74" s="77">
        <f t="shared" si="47"/>
        <v>0</v>
      </c>
      <c r="U74" s="77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3">
        <f t="shared" ca="1" si="49"/>
        <v>90000</v>
      </c>
      <c r="M75" s="74">
        <f t="shared" ca="1" si="49"/>
        <v>90000</v>
      </c>
      <c r="N75" s="74">
        <f t="shared" ca="1" si="49"/>
        <v>0</v>
      </c>
      <c r="O75" s="74">
        <f t="shared" ca="1" si="44"/>
        <v>0</v>
      </c>
      <c r="P75" s="74">
        <f t="shared" ca="1" si="45"/>
        <v>0</v>
      </c>
      <c r="Q75" s="74">
        <f t="shared" ca="1" si="50"/>
        <v>388700</v>
      </c>
      <c r="R75" s="74">
        <f t="shared" ca="1" si="50"/>
        <v>388700</v>
      </c>
      <c r="S75" s="74">
        <f t="shared" ca="1" si="50"/>
        <v>0</v>
      </c>
      <c r="T75" s="74">
        <f t="shared" ca="1" si="47"/>
        <v>0</v>
      </c>
      <c r="U75" s="74">
        <f t="shared" ca="1" si="48"/>
        <v>0</v>
      </c>
    </row>
    <row r="76" spans="1:21" ht="18.75" x14ac:dyDescent="0.25">
      <c r="A76" s="257"/>
      <c r="B76" s="258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3">
        <f t="shared" ref="L76:N76" ca="1" si="51">L77+L78</f>
        <v>90000</v>
      </c>
      <c r="M76" s="74">
        <f t="shared" ca="1" si="51"/>
        <v>90000</v>
      </c>
      <c r="N76" s="74">
        <f t="shared" ca="1" si="51"/>
        <v>0</v>
      </c>
      <c r="O76" s="74">
        <f t="shared" ca="1" si="44"/>
        <v>0</v>
      </c>
      <c r="P76" s="74">
        <f t="shared" ca="1" si="45"/>
        <v>0</v>
      </c>
      <c r="Q76" s="74">
        <f t="shared" ref="Q76:S76" ca="1" si="52">Q77+Q78</f>
        <v>388700</v>
      </c>
      <c r="R76" s="74">
        <f t="shared" ca="1" si="52"/>
        <v>388700</v>
      </c>
      <c r="S76" s="74">
        <f t="shared" ca="1" si="52"/>
        <v>0</v>
      </c>
      <c r="T76" s="74">
        <f t="shared" ca="1" si="47"/>
        <v>0</v>
      </c>
      <c r="U76" s="74">
        <f t="shared" ca="1" si="48"/>
        <v>0</v>
      </c>
    </row>
    <row r="77" spans="1:21" ht="18.75" hidden="1" x14ac:dyDescent="0.25">
      <c r="A77" s="257"/>
      <c r="B77" s="258"/>
      <c r="C77" s="258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77">
        <f t="shared" si="44"/>
        <v>0</v>
      </c>
      <c r="P77" s="77">
        <f t="shared" si="45"/>
        <v>0</v>
      </c>
      <c r="Q77" s="77">
        <v>0</v>
      </c>
      <c r="R77" s="77">
        <v>0</v>
      </c>
      <c r="S77" s="77">
        <v>0</v>
      </c>
      <c r="T77" s="77">
        <f t="shared" si="47"/>
        <v>0</v>
      </c>
      <c r="U77" s="77">
        <f t="shared" si="48"/>
        <v>0</v>
      </c>
    </row>
    <row r="78" spans="1:21" ht="18.75" hidden="1" x14ac:dyDescent="0.25">
      <c r="A78" s="257"/>
      <c r="B78" s="258"/>
      <c r="C78" s="258"/>
      <c r="D78" s="258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3">
        <f ca="1">IFERROR(__xludf.DUMMYFUNCTION("IMPORTRANGE(""https://docs.google.com/spreadsheets/d/1-uDff_7J0KD5mKrp0Vvzr7lt3OU09vwQwhkpOPPYv2Y/edit?usp=sharing"",""งบพรบ!AM64"")"),90000)</f>
        <v>90000</v>
      </c>
      <c r="M78" s="74">
        <f ca="1">IFERROR(__xludf.DUMMYFUNCTION("IMPORTRANGE(""https://docs.google.com/spreadsheets/d/1-uDff_7J0KD5mKrp0Vvzr7lt3OU09vwQwhkpOPPYv2Y/edit?usp=sharing"",""งบพรบ!AR64"")"),90000)</f>
        <v>90000</v>
      </c>
      <c r="N78" s="74">
        <f ca="1">IFERROR(__xludf.DUMMYFUNCTION("IMPORTRANGE(""https://docs.google.com/spreadsheets/d/1-uDff_7J0KD5mKrp0Vvzr7lt3OU09vwQwhkpOPPYv2Y/edit?usp=sharing"",""งบพรบ!AT64"")"),0)</f>
        <v>0</v>
      </c>
      <c r="O78" s="74">
        <f t="shared" ca="1" si="44"/>
        <v>0</v>
      </c>
      <c r="P78" s="74">
        <f t="shared" ca="1" si="45"/>
        <v>0</v>
      </c>
      <c r="Q78" s="74">
        <f ca="1">IFERROR(__xludf.DUMMYFUNCTION("IMPORTRANGE(""https://docs.google.com/spreadsheets/d/1ItG2mGa2ceCfYo0BwxsXqNm01IGEUdYcSSLTEv9YCik/edit?usp=sharing"",""เบิกจ่ายกองทุน!AS64"")"),388700)</f>
        <v>388700</v>
      </c>
      <c r="R78" s="74">
        <f ca="1">IFERROR(__xludf.DUMMYFUNCTION("IMPORTRANGE(""https://docs.google.com/spreadsheets/d/1ItG2mGa2ceCfYo0BwxsXqNm01IGEUdYcSSLTEv9YCik/edit?usp=sharing"",""เบิกจ่ายกองทุน!AT64"")"),388700)</f>
        <v>388700</v>
      </c>
      <c r="S78" s="74">
        <f ca="1">IFERROR(__xludf.DUMMYFUNCTION("IMPORTRANGE(""https://docs.google.com/spreadsheets/d/1ItG2mGa2ceCfYo0BwxsXqNm01IGEUdYcSSLTEv9YCik/edit?usp=sharing"",""เบิกจ่ายกองทุน!AU64"")"),0)</f>
        <v>0</v>
      </c>
      <c r="T78" s="74">
        <f t="shared" ca="1" si="47"/>
        <v>0</v>
      </c>
      <c r="U78" s="74">
        <f t="shared" ca="1" si="48"/>
        <v>0</v>
      </c>
    </row>
    <row r="79" spans="1:21" ht="18.75" x14ac:dyDescent="0.25">
      <c r="A79" s="257"/>
      <c r="B79" s="258"/>
      <c r="C79" s="258"/>
      <c r="D79" s="270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3">
        <f t="shared" ref="L79:N79" ca="1" si="53">L80+L81</f>
        <v>0</v>
      </c>
      <c r="M79" s="74">
        <f t="shared" ca="1" si="53"/>
        <v>0</v>
      </c>
      <c r="N79" s="74">
        <f t="shared" ca="1" si="53"/>
        <v>0</v>
      </c>
      <c r="O79" s="74">
        <f t="shared" ca="1" si="44"/>
        <v>0</v>
      </c>
      <c r="P79" s="74">
        <f t="shared" ca="1" si="45"/>
        <v>0</v>
      </c>
      <c r="Q79" s="74">
        <f t="shared" ref="Q79:S79" si="54">Q80+Q81</f>
        <v>0</v>
      </c>
      <c r="R79" s="74">
        <f t="shared" si="54"/>
        <v>0</v>
      </c>
      <c r="S79" s="74">
        <f t="shared" si="54"/>
        <v>0</v>
      </c>
      <c r="T79" s="74">
        <f t="shared" si="47"/>
        <v>0</v>
      </c>
      <c r="U79" s="74">
        <f t="shared" si="48"/>
        <v>0</v>
      </c>
    </row>
    <row r="80" spans="1:21" ht="18.75" hidden="1" x14ac:dyDescent="0.25">
      <c r="A80" s="257"/>
      <c r="B80" s="258"/>
      <c r="C80" s="258"/>
      <c r="D80" s="258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77">
        <f t="shared" si="44"/>
        <v>0</v>
      </c>
      <c r="P80" s="77">
        <f t="shared" si="45"/>
        <v>0</v>
      </c>
      <c r="Q80" s="77">
        <v>0</v>
      </c>
      <c r="R80" s="74">
        <v>0</v>
      </c>
      <c r="S80" s="74">
        <v>0</v>
      </c>
      <c r="T80" s="77">
        <f t="shared" si="47"/>
        <v>0</v>
      </c>
      <c r="U80" s="77">
        <f t="shared" si="48"/>
        <v>0</v>
      </c>
    </row>
    <row r="81" spans="1:21" ht="18.75" hidden="1" x14ac:dyDescent="0.25">
      <c r="A81" s="257"/>
      <c r="B81" s="258"/>
      <c r="C81" s="258"/>
      <c r="D81" s="258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3">
        <f ca="1">IFERROR(__xludf.DUMMYFUNCTION("IMPORTRANGE(""https://docs.google.com/spreadsheets/d/1-uDff_7J0KD5mKrp0Vvzr7lt3OU09vwQwhkpOPPYv2Y/edit?usp=sharing"",""งบพรบ!AP64"")"),0)</f>
        <v>0</v>
      </c>
      <c r="M81" s="74">
        <f ca="1">IFERROR(__xludf.DUMMYFUNCTION("IMPORTRANGE(""https://docs.google.com/spreadsheets/d/1-uDff_7J0KD5mKrp0Vvzr7lt3OU09vwQwhkpOPPYv2Y/edit?usp=sharing"",""งบพรบ!AS64"")"),0)</f>
        <v>0</v>
      </c>
      <c r="N81" s="74">
        <f ca="1">IFERROR(__xludf.DUMMYFUNCTION("IMPORTRANGE(""https://docs.google.com/spreadsheets/d/1-uDff_7J0KD5mKrp0Vvzr7lt3OU09vwQwhkpOPPYv2Y/edit?usp=sharing"",""งบพรบ!AU64"")"),0)</f>
        <v>0</v>
      </c>
      <c r="O81" s="74">
        <f t="shared" ca="1" si="44"/>
        <v>0</v>
      </c>
      <c r="P81" s="74">
        <f t="shared" ca="1" si="45"/>
        <v>0</v>
      </c>
      <c r="Q81" s="74">
        <v>0</v>
      </c>
      <c r="R81" s="74">
        <v>0</v>
      </c>
      <c r="S81" s="74">
        <v>0</v>
      </c>
      <c r="T81" s="74">
        <f t="shared" si="47"/>
        <v>0</v>
      </c>
      <c r="U81" s="74">
        <f t="shared" si="48"/>
        <v>0</v>
      </c>
    </row>
    <row r="82" spans="1:21" ht="19.5" x14ac:dyDescent="0.3">
      <c r="A82" s="276"/>
      <c r="B82" s="277"/>
      <c r="C82" s="259" t="s">
        <v>18</v>
      </c>
      <c r="D82" s="1019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x14ac:dyDescent="0.3">
      <c r="A83" s="276"/>
      <c r="B83" s="277"/>
      <c r="C83" s="277"/>
      <c r="D83" s="767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1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30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IFERROR(__xludf.DUMMYFUNCTION("IMPORTRANGE(""https://docs.google.com/spreadsheets/d/1eHaY18a8A9IcSdp1K8H6x8fbOy06t2VsZHhMHf-1x7Y/edit?usp=sharing"",""แผน!H64"")"),0)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IFERROR(__xludf.DUMMYFUNCTION("IMPORTRANGE(""https://docs.google.com/spreadsheets/d/1eHaY18a8A9IcSdp1K8H6x8fbOy06t2VsZHhMHf-1x7Y/edit?usp=sharing"",""แผน!I64"")"),0)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IFERROR(__xludf.DUMMYFUNCTION("IMPORTRANGE(""https://docs.google.com/spreadsheets/d/1eHaY18a8A9IcSdp1K8H6x8fbOy06t2VsZHhMHf-1x7Y/edit?usp=sharing"",""แผน!F64"")"),1)</f>
        <v>1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IFERROR(__xludf.DUMMYFUNCTION("IMPORTRANGE(""https://docs.google.com/spreadsheets/d/1eHaY18a8A9IcSdp1K8H6x8fbOy06t2VsZHhMHf-1x7Y/edit?usp=sharing"",""แผน!G64"")"),30)</f>
        <v>30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x14ac:dyDescent="0.25">
      <c r="A89" s="276"/>
      <c r="B89" s="277"/>
      <c r="C89" s="277"/>
      <c r="D89" s="277"/>
      <c r="E89" s="295" t="s">
        <v>42</v>
      </c>
      <c r="F89" s="296"/>
      <c r="G89" s="282"/>
      <c r="H89" s="299" t="s">
        <v>34</v>
      </c>
      <c r="I89" s="298">
        <f ca="1">IFERROR(__xludf.DUMMYFUNCTION("IMPORTRANGE(""https://docs.google.com/spreadsheets/d/1eHaY18a8A9IcSdp1K8H6x8fbOy06t2VsZHhMHf-1x7Y/edit?usp=sharing"",""แผน!D64"")"),0)</f>
        <v>0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x14ac:dyDescent="0.25">
      <c r="A90" s="276"/>
      <c r="B90" s="277"/>
      <c r="C90" s="277"/>
      <c r="D90" s="277"/>
      <c r="E90" s="296"/>
      <c r="F90" s="296"/>
      <c r="G90" s="282"/>
      <c r="H90" s="299" t="s">
        <v>35</v>
      </c>
      <c r="I90" s="298">
        <f ca="1">IFERROR(__xludf.DUMMYFUNCTION("IMPORTRANGE(""https://docs.google.com/spreadsheets/d/1eHaY18a8A9IcSdp1K8H6x8fbOy06t2VsZHhMHf-1x7Y/edit?usp=sharing"",""แผน!E64"")"),0)</f>
        <v>0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x14ac:dyDescent="0.25">
      <c r="A91" s="276"/>
      <c r="B91" s="277"/>
      <c r="C91" s="277"/>
      <c r="D91" s="767" t="s">
        <v>43</v>
      </c>
      <c r="E91" s="296"/>
      <c r="F91" s="296"/>
      <c r="G91" s="282"/>
      <c r="H91" s="1165" t="s">
        <v>34</v>
      </c>
      <c r="I91" s="298">
        <f ca="1">IFERROR(__xludf.DUMMYFUNCTION("IMPORTRANGE(""https://docs.google.com/spreadsheets/d/1eHaY18a8A9IcSdp1K8H6x8fbOy06t2VsZHhMHf-1x7Y/edit?usp=sharing"",""แผน!J64"")"),1)</f>
        <v>1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hidden="1" x14ac:dyDescent="0.3">
      <c r="A92" s="1099" t="s">
        <v>44</v>
      </c>
      <c r="B92" s="691"/>
      <c r="C92" s="693"/>
      <c r="D92" s="691"/>
      <c r="E92" s="691"/>
      <c r="F92" s="691"/>
      <c r="G92" s="1100"/>
      <c r="H92" s="1100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hidden="1" x14ac:dyDescent="0.3">
      <c r="A93" s="250"/>
      <c r="B93" s="251" t="s">
        <v>45</v>
      </c>
      <c r="C93" s="252"/>
      <c r="D93" s="253"/>
      <c r="E93" s="252"/>
      <c r="F93" s="252"/>
      <c r="G93" s="254"/>
      <c r="H93" s="1296" t="s">
        <v>46</v>
      </c>
      <c r="I93" s="256">
        <f t="shared" ref="I93:J94" ca="1" si="57">I109</f>
        <v>0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hidden="1" x14ac:dyDescent="0.3">
      <c r="A94" s="250"/>
      <c r="B94" s="252"/>
      <c r="C94" s="252"/>
      <c r="D94" s="253"/>
      <c r="E94" s="252"/>
      <c r="F94" s="252"/>
      <c r="G94" s="254"/>
      <c r="H94" s="1296" t="s">
        <v>35</v>
      </c>
      <c r="I94" s="256">
        <f t="shared" ca="1" si="57"/>
        <v>0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hidden="1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1257">
        <f t="shared" ref="L95:N95" ca="1" si="59">L96+L97</f>
        <v>0</v>
      </c>
      <c r="M95" s="264">
        <f t="shared" ca="1" si="59"/>
        <v>0</v>
      </c>
      <c r="N95" s="264">
        <f t="shared" ca="1" si="59"/>
        <v>0</v>
      </c>
      <c r="O95" s="264">
        <f t="shared" ref="O95:O103" ca="1" si="60">IF(L95&gt;0,N95*100/L95,0)</f>
        <v>0</v>
      </c>
      <c r="P95" s="264">
        <f t="shared" ref="P95:P103" ca="1" si="61">IF(M95&gt;0,N95*100/M95,0)</f>
        <v>0</v>
      </c>
      <c r="Q95" s="264">
        <f t="shared" ref="Q95:S95" ca="1" si="62">Q96+Q97</f>
        <v>0</v>
      </c>
      <c r="R95" s="264">
        <f t="shared" ca="1" si="62"/>
        <v>0</v>
      </c>
      <c r="S95" s="264">
        <f t="shared" ca="1" si="62"/>
        <v>0</v>
      </c>
      <c r="T95" s="264">
        <f t="shared" ref="T95:T103" ca="1" si="63">IF(Q95&gt;0,S95*100/Q95,0)</f>
        <v>0</v>
      </c>
      <c r="U95" s="264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6">
        <f t="shared" ref="L96:N97" si="65">L99+L102</f>
        <v>0</v>
      </c>
      <c r="M96" s="77">
        <f t="shared" si="65"/>
        <v>0</v>
      </c>
      <c r="N96" s="77">
        <f t="shared" si="65"/>
        <v>0</v>
      </c>
      <c r="O96" s="77">
        <f t="shared" si="60"/>
        <v>0</v>
      </c>
      <c r="P96" s="77">
        <f t="shared" si="61"/>
        <v>0</v>
      </c>
      <c r="Q96" s="77">
        <f t="shared" ref="Q96:S97" si="66">Q99+Q102</f>
        <v>0</v>
      </c>
      <c r="R96" s="77">
        <f t="shared" si="66"/>
        <v>0</v>
      </c>
      <c r="S96" s="77">
        <f t="shared" si="66"/>
        <v>0</v>
      </c>
      <c r="T96" s="77">
        <f t="shared" si="63"/>
        <v>0</v>
      </c>
      <c r="U96" s="77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3">
        <f t="shared" ca="1" si="65"/>
        <v>0</v>
      </c>
      <c r="M97" s="74">
        <f t="shared" ca="1" si="65"/>
        <v>0</v>
      </c>
      <c r="N97" s="74">
        <f t="shared" ca="1" si="65"/>
        <v>0</v>
      </c>
      <c r="O97" s="74">
        <f t="shared" ca="1" si="60"/>
        <v>0</v>
      </c>
      <c r="P97" s="74">
        <f t="shared" ca="1" si="61"/>
        <v>0</v>
      </c>
      <c r="Q97" s="74">
        <f t="shared" ca="1" si="66"/>
        <v>0</v>
      </c>
      <c r="R97" s="74">
        <f t="shared" ca="1" si="66"/>
        <v>0</v>
      </c>
      <c r="S97" s="74">
        <f t="shared" ca="1" si="66"/>
        <v>0</v>
      </c>
      <c r="T97" s="74">
        <f t="shared" ca="1" si="63"/>
        <v>0</v>
      </c>
      <c r="U97" s="74">
        <f t="shared" ca="1" si="64"/>
        <v>0</v>
      </c>
    </row>
    <row r="98" spans="1:21" ht="18.75" hidden="1" x14ac:dyDescent="0.25">
      <c r="A98" s="257"/>
      <c r="B98" s="258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3">
        <f t="shared" ref="L98:N98" ca="1" si="67">L99+L100</f>
        <v>0</v>
      </c>
      <c r="M98" s="74">
        <f t="shared" ca="1" si="67"/>
        <v>0</v>
      </c>
      <c r="N98" s="74">
        <f t="shared" ca="1" si="67"/>
        <v>0</v>
      </c>
      <c r="O98" s="74">
        <f t="shared" ca="1" si="60"/>
        <v>0</v>
      </c>
      <c r="P98" s="74">
        <f t="shared" ca="1" si="61"/>
        <v>0</v>
      </c>
      <c r="Q98" s="74">
        <f t="shared" ref="Q98:S98" ca="1" si="68">Q99+Q100</f>
        <v>0</v>
      </c>
      <c r="R98" s="74">
        <f t="shared" ca="1" si="68"/>
        <v>0</v>
      </c>
      <c r="S98" s="74">
        <f t="shared" ca="1" si="68"/>
        <v>0</v>
      </c>
      <c r="T98" s="74">
        <f t="shared" ca="1" si="63"/>
        <v>0</v>
      </c>
      <c r="U98" s="74">
        <f t="shared" ca="1" si="64"/>
        <v>0</v>
      </c>
    </row>
    <row r="99" spans="1:21" ht="18.75" hidden="1" x14ac:dyDescent="0.25">
      <c r="A99" s="257"/>
      <c r="B99" s="258"/>
      <c r="C99" s="258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77">
        <f t="shared" si="60"/>
        <v>0</v>
      </c>
      <c r="P99" s="77">
        <f t="shared" si="61"/>
        <v>0</v>
      </c>
      <c r="Q99" s="77">
        <v>0</v>
      </c>
      <c r="R99" s="77">
        <v>0</v>
      </c>
      <c r="S99" s="77">
        <v>0</v>
      </c>
      <c r="T99" s="77">
        <f t="shared" si="63"/>
        <v>0</v>
      </c>
      <c r="U99" s="77">
        <f t="shared" si="64"/>
        <v>0</v>
      </c>
    </row>
    <row r="100" spans="1:21" ht="18.75" hidden="1" x14ac:dyDescent="0.25">
      <c r="A100" s="257"/>
      <c r="B100" s="258"/>
      <c r="C100" s="258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3">
        <f ca="1">IFERROR(__xludf.DUMMYFUNCTION("IMPORTRANGE(""https://docs.google.com/spreadsheets/d/1-uDff_7J0KD5mKrp0Vvzr7lt3OU09vwQwhkpOPPYv2Y/edit?usp=sharing"",""งบพรบ!AW64"")"),0)</f>
        <v>0</v>
      </c>
      <c r="M100" s="74">
        <f ca="1">IFERROR(__xludf.DUMMYFUNCTION("IMPORTRANGE(""https://docs.google.com/spreadsheets/d/1-uDff_7J0KD5mKrp0Vvzr7lt3OU09vwQwhkpOPPYv2Y/edit?usp=sharing"",""งบพรบ!BB64"")"),0)</f>
        <v>0</v>
      </c>
      <c r="N100" s="74">
        <f ca="1">IFERROR(__xludf.DUMMYFUNCTION("IMPORTRANGE(""https://docs.google.com/spreadsheets/d/1-uDff_7J0KD5mKrp0Vvzr7lt3OU09vwQwhkpOPPYv2Y/edit?usp=sharing"",""งบพรบ!BD64"")"),0)</f>
        <v>0</v>
      </c>
      <c r="O100" s="74">
        <f t="shared" ca="1" si="60"/>
        <v>0</v>
      </c>
      <c r="P100" s="74">
        <f t="shared" ca="1" si="61"/>
        <v>0</v>
      </c>
      <c r="Q100" s="74">
        <f ca="1">IFERROR(__xludf.DUMMYFUNCTION("IMPORTRANGE(""https://docs.google.com/spreadsheets/d/1ItG2mGa2ceCfYo0BwxsXqNm01IGEUdYcSSLTEv9YCik/edit?usp=sharing"",""เบิกจ่ายกองทุน!AD64"")"),0)</f>
        <v>0</v>
      </c>
      <c r="R100" s="74">
        <f ca="1">IFERROR(__xludf.DUMMYFUNCTION("IMPORTRANGE(""https://docs.google.com/spreadsheets/d/1ItG2mGa2ceCfYo0BwxsXqNm01IGEUdYcSSLTEv9YCik/edit?usp=sharing"",""เบิกจ่ายกองทุน!AE64"")"),0)</f>
        <v>0</v>
      </c>
      <c r="S100" s="74">
        <f ca="1">IFERROR(__xludf.DUMMYFUNCTION("IMPORTRANGE(""https://docs.google.com/spreadsheets/d/1ItG2mGa2ceCfYo0BwxsXqNm01IGEUdYcSSLTEv9YCik/edit?usp=sharing"",""เบิกจ่ายกองทุน!AF64"")"),0)</f>
        <v>0</v>
      </c>
      <c r="T100" s="74">
        <f t="shared" ca="1" si="63"/>
        <v>0</v>
      </c>
      <c r="U100" s="74">
        <f t="shared" ca="1" si="64"/>
        <v>0</v>
      </c>
    </row>
    <row r="101" spans="1:21" ht="18.75" hidden="1" x14ac:dyDescent="0.25">
      <c r="A101" s="257"/>
      <c r="B101" s="258"/>
      <c r="C101" s="258"/>
      <c r="D101" s="270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3">
        <f t="shared" ref="L101:N101" ca="1" si="69">L102+L103</f>
        <v>0</v>
      </c>
      <c r="M101" s="74">
        <f t="shared" ca="1" si="69"/>
        <v>0</v>
      </c>
      <c r="N101" s="74">
        <f t="shared" ca="1" si="69"/>
        <v>0</v>
      </c>
      <c r="O101" s="74">
        <f t="shared" ca="1" si="60"/>
        <v>0</v>
      </c>
      <c r="P101" s="74">
        <f t="shared" ca="1" si="61"/>
        <v>0</v>
      </c>
      <c r="Q101" s="74">
        <f t="shared" ref="Q101:S101" si="70">Q102+Q103</f>
        <v>0</v>
      </c>
      <c r="R101" s="74">
        <f t="shared" si="70"/>
        <v>0</v>
      </c>
      <c r="S101" s="74">
        <f t="shared" si="70"/>
        <v>0</v>
      </c>
      <c r="T101" s="74">
        <f t="shared" si="63"/>
        <v>0</v>
      </c>
      <c r="U101" s="74">
        <f t="shared" si="64"/>
        <v>0</v>
      </c>
    </row>
    <row r="102" spans="1:21" ht="18.75" hidden="1" x14ac:dyDescent="0.25">
      <c r="A102" s="257"/>
      <c r="B102" s="258"/>
      <c r="C102" s="258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77">
        <f t="shared" si="60"/>
        <v>0</v>
      </c>
      <c r="P102" s="77">
        <f t="shared" si="61"/>
        <v>0</v>
      </c>
      <c r="Q102" s="77">
        <v>0</v>
      </c>
      <c r="R102" s="77">
        <v>0</v>
      </c>
      <c r="S102" s="77">
        <v>0</v>
      </c>
      <c r="T102" s="77">
        <f t="shared" si="63"/>
        <v>0</v>
      </c>
      <c r="U102" s="77">
        <f t="shared" si="64"/>
        <v>0</v>
      </c>
    </row>
    <row r="103" spans="1:21" ht="18.75" hidden="1" x14ac:dyDescent="0.25">
      <c r="A103" s="257"/>
      <c r="B103" s="258"/>
      <c r="C103" s="258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3">
        <f ca="1">IFERROR(__xludf.DUMMYFUNCTION("IMPORTRANGE(""https://docs.google.com/spreadsheets/d/1-uDff_7J0KD5mKrp0Vvzr7lt3OU09vwQwhkpOPPYv2Y/edit?usp=sharing"",""งบพรบ!AZ64"")"),0)</f>
        <v>0</v>
      </c>
      <c r="M103" s="74">
        <f ca="1">IFERROR(__xludf.DUMMYFUNCTION("IMPORTRANGE(""https://docs.google.com/spreadsheets/d/1-uDff_7J0KD5mKrp0Vvzr7lt3OU09vwQwhkpOPPYv2Y/edit?usp=sharing"",""งบพรบ!BC64"")"),0)</f>
        <v>0</v>
      </c>
      <c r="N103" s="74">
        <f ca="1">IFERROR(__xludf.DUMMYFUNCTION("IMPORTRANGE(""https://docs.google.com/spreadsheets/d/1-uDff_7J0KD5mKrp0Vvzr7lt3OU09vwQwhkpOPPYv2Y/edit?usp=sharing"",""งบพรบ!BE64"")"),0)</f>
        <v>0</v>
      </c>
      <c r="O103" s="74">
        <f t="shared" ca="1" si="60"/>
        <v>0</v>
      </c>
      <c r="P103" s="74">
        <f t="shared" ca="1" si="61"/>
        <v>0</v>
      </c>
      <c r="Q103" s="74">
        <v>0</v>
      </c>
      <c r="R103" s="74">
        <v>0</v>
      </c>
      <c r="S103" s="74">
        <v>0</v>
      </c>
      <c r="T103" s="74">
        <f t="shared" si="63"/>
        <v>0</v>
      </c>
      <c r="U103" s="74">
        <f t="shared" si="64"/>
        <v>0</v>
      </c>
    </row>
    <row r="104" spans="1:21" ht="19.5" hidden="1" x14ac:dyDescent="0.3">
      <c r="A104" s="276"/>
      <c r="B104" s="277"/>
      <c r="C104" s="259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hidden="1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IFERROR(__xludf.DUMMYFUNCTION("IMPORTRANGE(""https://docs.google.com/spreadsheets/d/1eHaY18a8A9IcSdp1K8H6x8fbOy06t2VsZHhMHf-1x7Y/edit?usp=sharing"",""แผน!N64"")"),0)</f>
        <v>0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hidden="1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IFERROR(__xludf.DUMMYFUNCTION("IMPORTRANGE(""https://docs.google.com/spreadsheets/d/1eHaY18a8A9IcSdp1K8H6x8fbOy06t2VsZHhMHf-1x7Y/edit?usp=sharing"",""แผน!O64"")"),0)</f>
        <v>0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5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2.75" hidden="1" x14ac:dyDescent="0.2">
      <c r="A114" s="283"/>
      <c r="B114" s="284"/>
      <c r="C114" s="284"/>
      <c r="D114" s="285"/>
      <c r="E114" s="285"/>
      <c r="F114" s="285"/>
      <c r="G114" s="286"/>
      <c r="H114" s="286"/>
      <c r="I114" s="287">
        <v>0</v>
      </c>
      <c r="J114" s="287">
        <v>0</v>
      </c>
      <c r="K114" s="30"/>
      <c r="L114" s="29"/>
      <c r="M114" s="30"/>
      <c r="N114" s="30"/>
      <c r="O114" s="30"/>
      <c r="P114" s="30"/>
      <c r="Q114" s="30"/>
      <c r="R114" s="30"/>
      <c r="S114" s="30"/>
      <c r="T114" s="30"/>
      <c r="U114" s="30"/>
    </row>
    <row r="115" spans="1:21" ht="18.75" hidden="1" x14ac:dyDescent="0.25">
      <c r="A115" s="276"/>
      <c r="B115" s="277"/>
      <c r="C115" s="277"/>
      <c r="D115" s="295" t="s">
        <v>50</v>
      </c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IFERROR(__xludf.DUMMYFUNCTION("IMPORTRANGE(""https://docs.google.com/spreadsheets/d/1eHaY18a8A9IcSdp1K8H6x8fbOy06t2VsZHhMHf-1x7Y/edit?usp=sharing"",""แผน!R64"")"),0)</f>
        <v>0</v>
      </c>
      <c r="J115" s="294">
        <v>0</v>
      </c>
      <c r="K115" s="74">
        <f ca="1">IF(I115&gt;0,J115*100/I115,0)</f>
        <v>0</v>
      </c>
      <c r="L115" s="86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1099" t="s">
        <v>51</v>
      </c>
      <c r="B116" s="691"/>
      <c r="C116" s="692"/>
      <c r="D116" s="691"/>
      <c r="E116" s="691"/>
      <c r="F116" s="691"/>
      <c r="G116" s="691"/>
      <c r="H116" s="691"/>
      <c r="I116" s="694"/>
      <c r="J116" s="694"/>
      <c r="K116" s="695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50"/>
      <c r="B117" s="251" t="s">
        <v>52</v>
      </c>
      <c r="C117" s="304"/>
      <c r="D117" s="253"/>
      <c r="E117" s="252"/>
      <c r="F117" s="252"/>
      <c r="G117" s="254"/>
      <c r="H117" s="254"/>
      <c r="I117" s="256">
        <f t="shared" ref="I117:J117" ca="1" si="72">I128</f>
        <v>70</v>
      </c>
      <c r="J117" s="256">
        <f t="shared" si="72"/>
        <v>0</v>
      </c>
      <c r="K117" s="59">
        <f ca="1">IF(I117&gt;0,J117*100/I117,0)</f>
        <v>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58"/>
      <c r="C118" s="259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1257">
        <f t="shared" ref="L118:N118" ca="1" si="73">L119+L120</f>
        <v>0</v>
      </c>
      <c r="M118" s="264">
        <f t="shared" ca="1" si="73"/>
        <v>0</v>
      </c>
      <c r="N118" s="264">
        <f t="shared" ca="1" si="73"/>
        <v>0</v>
      </c>
      <c r="O118" s="264">
        <f t="shared" ref="O118:O126" ca="1" si="74">IF(L118&gt;0,N118*100/L118,0)</f>
        <v>0</v>
      </c>
      <c r="P118" s="264">
        <f t="shared" ref="P118:P126" ca="1" si="75">IF(M118&gt;0,N118*100/M118,0)</f>
        <v>0</v>
      </c>
      <c r="Q118" s="264">
        <f t="shared" ref="Q118:S118" ca="1" si="76">Q119+Q120</f>
        <v>346680</v>
      </c>
      <c r="R118" s="264">
        <f t="shared" ca="1" si="76"/>
        <v>346680</v>
      </c>
      <c r="S118" s="264">
        <f t="shared" ca="1" si="76"/>
        <v>0</v>
      </c>
      <c r="T118" s="264">
        <f t="shared" ref="T118:T126" ca="1" si="77">IF(Q118&gt;0,S118*100/Q118,0)</f>
        <v>0</v>
      </c>
      <c r="U118" s="264">
        <f t="shared" ref="U118:U126" ca="1" si="78">IF(R118&gt;0,S118*100/R118,0)</f>
        <v>0</v>
      </c>
    </row>
    <row r="119" spans="1:21" ht="18.75" hidden="1" x14ac:dyDescent="0.25">
      <c r="A119" s="257"/>
      <c r="B119" s="258"/>
      <c r="C119" s="258"/>
      <c r="D119" s="258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6">
        <f t="shared" ref="L119:N120" si="79">L122+L125</f>
        <v>0</v>
      </c>
      <c r="M119" s="77">
        <f t="shared" si="79"/>
        <v>0</v>
      </c>
      <c r="N119" s="77">
        <f t="shared" si="79"/>
        <v>0</v>
      </c>
      <c r="O119" s="77">
        <f t="shared" si="74"/>
        <v>0</v>
      </c>
      <c r="P119" s="77">
        <f t="shared" si="75"/>
        <v>0</v>
      </c>
      <c r="Q119" s="77">
        <f t="shared" ref="Q119:S120" si="80">Q122+Q125</f>
        <v>0</v>
      </c>
      <c r="R119" s="77">
        <f t="shared" si="80"/>
        <v>0</v>
      </c>
      <c r="S119" s="77">
        <f t="shared" si="80"/>
        <v>0</v>
      </c>
      <c r="T119" s="77">
        <f t="shared" si="77"/>
        <v>0</v>
      </c>
      <c r="U119" s="77">
        <f t="shared" si="78"/>
        <v>0</v>
      </c>
    </row>
    <row r="120" spans="1:21" ht="18.75" hidden="1" x14ac:dyDescent="0.25">
      <c r="A120" s="257"/>
      <c r="B120" s="258"/>
      <c r="C120" s="258"/>
      <c r="D120" s="258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3">
        <f t="shared" ca="1" si="79"/>
        <v>0</v>
      </c>
      <c r="M120" s="74">
        <f t="shared" ca="1" si="79"/>
        <v>0</v>
      </c>
      <c r="N120" s="74">
        <f t="shared" ca="1" si="79"/>
        <v>0</v>
      </c>
      <c r="O120" s="74">
        <f t="shared" ca="1" si="74"/>
        <v>0</v>
      </c>
      <c r="P120" s="74">
        <f t="shared" ca="1" si="75"/>
        <v>0</v>
      </c>
      <c r="Q120" s="74">
        <f t="shared" ca="1" si="80"/>
        <v>346680</v>
      </c>
      <c r="R120" s="74">
        <f t="shared" ca="1" si="80"/>
        <v>346680</v>
      </c>
      <c r="S120" s="74">
        <f t="shared" ca="1" si="80"/>
        <v>0</v>
      </c>
      <c r="T120" s="74">
        <f t="shared" ca="1" si="77"/>
        <v>0</v>
      </c>
      <c r="U120" s="74">
        <f t="shared" ca="1" si="78"/>
        <v>0</v>
      </c>
    </row>
    <row r="121" spans="1:21" ht="18.75" x14ac:dyDescent="0.25">
      <c r="A121" s="257"/>
      <c r="B121" s="258"/>
      <c r="C121" s="258"/>
      <c r="D121" s="270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3">
        <f t="shared" ref="L121:N121" ca="1" si="81">L122+L123</f>
        <v>0</v>
      </c>
      <c r="M121" s="74">
        <f t="shared" ca="1" si="81"/>
        <v>0</v>
      </c>
      <c r="N121" s="74">
        <f t="shared" ca="1" si="81"/>
        <v>0</v>
      </c>
      <c r="O121" s="74">
        <f t="shared" ca="1" si="74"/>
        <v>0</v>
      </c>
      <c r="P121" s="74">
        <f t="shared" ca="1" si="75"/>
        <v>0</v>
      </c>
      <c r="Q121" s="74">
        <f t="shared" ref="Q121:S121" ca="1" si="82">Q122+Q123</f>
        <v>346680</v>
      </c>
      <c r="R121" s="74">
        <f t="shared" ca="1" si="82"/>
        <v>346680</v>
      </c>
      <c r="S121" s="74">
        <f t="shared" ca="1" si="82"/>
        <v>0</v>
      </c>
      <c r="T121" s="74">
        <f t="shared" ca="1" si="77"/>
        <v>0</v>
      </c>
      <c r="U121" s="74">
        <f t="shared" ca="1" si="78"/>
        <v>0</v>
      </c>
    </row>
    <row r="122" spans="1:21" ht="18.75" hidden="1" x14ac:dyDescent="0.25">
      <c r="A122" s="257"/>
      <c r="B122" s="258"/>
      <c r="C122" s="258"/>
      <c r="D122" s="258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77">
        <f t="shared" si="74"/>
        <v>0</v>
      </c>
      <c r="P122" s="77">
        <f t="shared" si="75"/>
        <v>0</v>
      </c>
      <c r="Q122" s="77">
        <v>0</v>
      </c>
      <c r="R122" s="77">
        <v>0</v>
      </c>
      <c r="S122" s="77">
        <v>0</v>
      </c>
      <c r="T122" s="77">
        <f t="shared" si="77"/>
        <v>0</v>
      </c>
      <c r="U122" s="77">
        <f t="shared" si="78"/>
        <v>0</v>
      </c>
    </row>
    <row r="123" spans="1:21" ht="18.75" hidden="1" x14ac:dyDescent="0.25">
      <c r="A123" s="257"/>
      <c r="B123" s="258"/>
      <c r="C123" s="258"/>
      <c r="D123" s="258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3">
        <f ca="1">IFERROR(__xludf.DUMMYFUNCTION("IMPORTRANGE(""https://docs.google.com/spreadsheets/d/1-uDff_7J0KD5mKrp0Vvzr7lt3OU09vwQwhkpOPPYv2Y/edit?usp=sharing"",""งบพรบ!BG64"")"),0)</f>
        <v>0</v>
      </c>
      <c r="M123" s="74">
        <f ca="1">IFERROR(__xludf.DUMMYFUNCTION("IMPORTRANGE(""https://docs.google.com/spreadsheets/d/1-uDff_7J0KD5mKrp0Vvzr7lt3OU09vwQwhkpOPPYv2Y/edit?usp=sharing"",""งบพรบ!BL64"")"),0)</f>
        <v>0</v>
      </c>
      <c r="N123" s="74">
        <f ca="1">IFERROR(__xludf.DUMMYFUNCTION("IMPORTRANGE(""https://docs.google.com/spreadsheets/d/1-uDff_7J0KD5mKrp0Vvzr7lt3OU09vwQwhkpOPPYv2Y/edit?usp=sharing"",""งบพรบ!BN64"")"),0)</f>
        <v>0</v>
      </c>
      <c r="O123" s="74">
        <f t="shared" ca="1" si="74"/>
        <v>0</v>
      </c>
      <c r="P123" s="74">
        <f t="shared" ca="1" si="75"/>
        <v>0</v>
      </c>
      <c r="Q123" s="74">
        <f ca="1">IFERROR(__xludf.DUMMYFUNCTION("IMPORTRANGE(""https://docs.google.com/spreadsheets/d/1ItG2mGa2ceCfYo0BwxsXqNm01IGEUdYcSSLTEv9YCik/edit?usp=sharing"",""เบิกจ่ายกองทุน!R64"")"),346680)</f>
        <v>346680</v>
      </c>
      <c r="R123" s="74">
        <f ca="1">IFERROR(__xludf.DUMMYFUNCTION("IMPORTRANGE(""https://docs.google.com/spreadsheets/d/1ItG2mGa2ceCfYo0BwxsXqNm01IGEUdYcSSLTEv9YCik/edit?usp=sharing"",""เบิกจ่ายกองทุน!S64"")"),346680)</f>
        <v>346680</v>
      </c>
      <c r="S123" s="74">
        <f ca="1">IFERROR(__xludf.DUMMYFUNCTION("IMPORTRANGE(""https://docs.google.com/spreadsheets/d/1ItG2mGa2ceCfYo0BwxsXqNm01IGEUdYcSSLTEv9YCik/edit?usp=sharing"",""เบิกจ่ายกองทุน!T64"")"),0)</f>
        <v>0</v>
      </c>
      <c r="T123" s="74">
        <f t="shared" ca="1" si="77"/>
        <v>0</v>
      </c>
      <c r="U123" s="74">
        <f t="shared" ca="1" si="78"/>
        <v>0</v>
      </c>
    </row>
    <row r="124" spans="1:21" ht="18.75" x14ac:dyDescent="0.25">
      <c r="A124" s="257"/>
      <c r="B124" s="258"/>
      <c r="C124" s="258"/>
      <c r="D124" s="270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3">
        <f t="shared" ref="L124:N124" ca="1" si="83">L125+L126</f>
        <v>0</v>
      </c>
      <c r="M124" s="74">
        <f t="shared" ca="1" si="83"/>
        <v>0</v>
      </c>
      <c r="N124" s="74">
        <f t="shared" ca="1" si="83"/>
        <v>0</v>
      </c>
      <c r="O124" s="74">
        <f t="shared" ca="1" si="74"/>
        <v>0</v>
      </c>
      <c r="P124" s="74">
        <f t="shared" ca="1" si="75"/>
        <v>0</v>
      </c>
      <c r="Q124" s="74">
        <f t="shared" ref="Q124:S124" si="84">Q125+Q126</f>
        <v>0</v>
      </c>
      <c r="R124" s="74">
        <f t="shared" si="84"/>
        <v>0</v>
      </c>
      <c r="S124" s="74">
        <f t="shared" si="84"/>
        <v>0</v>
      </c>
      <c r="T124" s="74">
        <f t="shared" si="77"/>
        <v>0</v>
      </c>
      <c r="U124" s="74">
        <f t="shared" si="78"/>
        <v>0</v>
      </c>
    </row>
    <row r="125" spans="1:21" ht="18.75" hidden="1" x14ac:dyDescent="0.25">
      <c r="A125" s="257"/>
      <c r="B125" s="258"/>
      <c r="C125" s="258"/>
      <c r="D125" s="258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77">
        <f t="shared" si="74"/>
        <v>0</v>
      </c>
      <c r="P125" s="77">
        <f t="shared" si="75"/>
        <v>0</v>
      </c>
      <c r="Q125" s="77">
        <v>0</v>
      </c>
      <c r="R125" s="77">
        <v>0</v>
      </c>
      <c r="S125" s="77">
        <v>0</v>
      </c>
      <c r="T125" s="77">
        <f t="shared" si="77"/>
        <v>0</v>
      </c>
      <c r="U125" s="77">
        <f t="shared" si="78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3">
        <f ca="1">IFERROR(__xludf.DUMMYFUNCTION("IMPORTRANGE(""https://docs.google.com/spreadsheets/d/1-uDff_7J0KD5mKrp0Vvzr7lt3OU09vwQwhkpOPPYv2Y/edit?usp=sharing"",""งบพรบ!BJ64"")"),0)</f>
        <v>0</v>
      </c>
      <c r="M126" s="74">
        <f ca="1">IFERROR(__xludf.DUMMYFUNCTION("IMPORTRANGE(""https://docs.google.com/spreadsheets/d/1-uDff_7J0KD5mKrp0Vvzr7lt3OU09vwQwhkpOPPYv2Y/edit?usp=sharing"",""งบพรบ!BM64"")"),0)</f>
        <v>0</v>
      </c>
      <c r="N126" s="74">
        <f ca="1">IFERROR(__xludf.DUMMYFUNCTION("IMPORTRANGE(""https://docs.google.com/spreadsheets/d/1-uDff_7J0KD5mKrp0Vvzr7lt3OU09vwQwhkpOPPYv2Y/edit?usp=sharing"",""งบพรบ!BO64"")"),0)</f>
        <v>0</v>
      </c>
      <c r="O126" s="74">
        <f t="shared" ca="1" si="74"/>
        <v>0</v>
      </c>
      <c r="P126" s="74">
        <f t="shared" ca="1" si="75"/>
        <v>0</v>
      </c>
      <c r="Q126" s="74">
        <v>0</v>
      </c>
      <c r="R126" s="74">
        <v>0</v>
      </c>
      <c r="S126" s="74">
        <v>0</v>
      </c>
      <c r="T126" s="74">
        <f t="shared" si="77"/>
        <v>0</v>
      </c>
      <c r="U126" s="74">
        <f t="shared" si="78"/>
        <v>0</v>
      </c>
    </row>
    <row r="127" spans="1:21" ht="19.5" x14ac:dyDescent="0.3">
      <c r="A127" s="890"/>
      <c r="B127" s="891"/>
      <c r="C127" s="905" t="s">
        <v>18</v>
      </c>
      <c r="D127" s="1108" t="s">
        <v>38</v>
      </c>
      <c r="E127" s="1109"/>
      <c r="F127" s="1109"/>
      <c r="G127" s="1110"/>
      <c r="H127" s="1111"/>
      <c r="I127" s="846"/>
      <c r="J127" s="846"/>
      <c r="K127" s="450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IFERROR(__xludf.DUMMYFUNCTION("IMPORTRANGE(""https://docs.google.com/spreadsheets/d/1eHaY18a8A9IcSdp1K8H6x8fbOy06t2VsZHhMHf-1x7Y/edit?usp=sharing"",""แผน!FF64"")"),70)</f>
        <v>70</v>
      </c>
      <c r="J128" s="294">
        <v>0</v>
      </c>
      <c r="K128" s="74">
        <f t="shared" ref="K128:K131" ca="1" si="85">IF(I128&gt;0,J128*100/I128,0)</f>
        <v>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IFERROR(__xludf.DUMMYFUNCTION("IMPORTRANGE(""https://docs.google.com/spreadsheets/d/1eHaY18a8A9IcSdp1K8H6x8fbOy06t2VsZHhMHf-1x7Y/edit?usp=sharing"",""แผน!FG64"")"),0)</f>
        <v>0</v>
      </c>
      <c r="J129" s="294">
        <v>0</v>
      </c>
      <c r="K129" s="74">
        <f t="shared" ca="1" si="85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29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IFERROR(__xludf.DUMMYFUNCTION("IMPORTRANGE(""https://docs.google.com/spreadsheets/d/1eHaY18a8A9IcSdp1K8H6x8fbOy06t2VsZHhMHf-1x7Y/edit?usp=sharing"",""แผน!FH64"")"),30)</f>
        <v>30</v>
      </c>
      <c r="J130" s="294">
        <v>0</v>
      </c>
      <c r="K130" s="74">
        <f t="shared" ca="1" si="85"/>
        <v>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96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IFERROR(__xludf.DUMMYFUNCTION("IMPORTRANGE(""https://docs.google.com/spreadsheets/d/1eHaY18a8A9IcSdp1K8H6x8fbOy06t2VsZHhMHf-1x7Y/edit?usp=sharing"",""แผน!FI64"")"),0)</f>
        <v>0</v>
      </c>
      <c r="J131" s="294">
        <v>0</v>
      </c>
      <c r="K131" s="74">
        <f t="shared" ca="1" si="85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311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311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hidden="1" x14ac:dyDescent="0.3">
      <c r="A135" s="1099" t="s">
        <v>58</v>
      </c>
      <c r="B135" s="691"/>
      <c r="C135" s="692"/>
      <c r="D135" s="691"/>
      <c r="E135" s="691"/>
      <c r="F135" s="691"/>
      <c r="G135" s="691"/>
      <c r="H135" s="691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hidden="1" x14ac:dyDescent="0.3">
      <c r="A136" s="250"/>
      <c r="B136" s="251" t="s">
        <v>59</v>
      </c>
      <c r="C136" s="304"/>
      <c r="D136" s="253"/>
      <c r="E136" s="252"/>
      <c r="F136" s="252"/>
      <c r="G136" s="252"/>
      <c r="H136" s="252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hidden="1" x14ac:dyDescent="0.3">
      <c r="A137" s="250"/>
      <c r="B137" s="252"/>
      <c r="C137" s="1112" t="s">
        <v>60</v>
      </c>
      <c r="D137" s="253"/>
      <c r="E137" s="252"/>
      <c r="F137" s="252"/>
      <c r="G137" s="254"/>
      <c r="H137" s="1296" t="s">
        <v>61</v>
      </c>
      <c r="I137" s="256">
        <f t="shared" ref="I137:J137" ca="1" si="86">I155</f>
        <v>0</v>
      </c>
      <c r="J137" s="256">
        <f t="shared" si="86"/>
        <v>0</v>
      </c>
      <c r="K137" s="59">
        <f t="shared" ref="K137:K139" ca="1" si="87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hidden="1" x14ac:dyDescent="0.3">
      <c r="A138" s="250"/>
      <c r="B138" s="252"/>
      <c r="C138" s="1112" t="s">
        <v>62</v>
      </c>
      <c r="D138" s="253"/>
      <c r="E138" s="252"/>
      <c r="F138" s="252"/>
      <c r="G138" s="254"/>
      <c r="H138" s="1296" t="s">
        <v>35</v>
      </c>
      <c r="I138" s="256">
        <f t="shared" ref="I138:J139" ca="1" si="88">I153</f>
        <v>0</v>
      </c>
      <c r="J138" s="256">
        <f t="shared" si="88"/>
        <v>0</v>
      </c>
      <c r="K138" s="59">
        <f t="shared" ca="1" si="87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hidden="1" x14ac:dyDescent="0.3">
      <c r="A139" s="250"/>
      <c r="B139" s="252"/>
      <c r="C139" s="304"/>
      <c r="D139" s="253"/>
      <c r="E139" s="252"/>
      <c r="F139" s="252"/>
      <c r="G139" s="254"/>
      <c r="H139" s="1296" t="s">
        <v>54</v>
      </c>
      <c r="I139" s="256">
        <f t="shared" ca="1" si="88"/>
        <v>0</v>
      </c>
      <c r="J139" s="256">
        <f t="shared" si="88"/>
        <v>0</v>
      </c>
      <c r="K139" s="59">
        <f t="shared" ca="1" si="87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hidden="1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1257">
        <f t="shared" ref="L140:N140" ca="1" si="89">L141+L142</f>
        <v>0</v>
      </c>
      <c r="M140" s="264">
        <f t="shared" ca="1" si="89"/>
        <v>0</v>
      </c>
      <c r="N140" s="264">
        <f t="shared" ca="1" si="89"/>
        <v>0</v>
      </c>
      <c r="O140" s="264">
        <f t="shared" ref="O140:O148" ca="1" si="90">IF(L140&gt;0,N140*100/L140,0)</f>
        <v>0</v>
      </c>
      <c r="P140" s="264">
        <f t="shared" ref="P140:P148" ca="1" si="91">IF(M140&gt;0,N140*100/M140,0)</f>
        <v>0</v>
      </c>
      <c r="Q140" s="264">
        <f t="shared" ref="Q140:S140" ca="1" si="92">Q141+Q142</f>
        <v>0</v>
      </c>
      <c r="R140" s="264">
        <f t="shared" ca="1" si="92"/>
        <v>0</v>
      </c>
      <c r="S140" s="264">
        <f t="shared" ca="1" si="92"/>
        <v>0</v>
      </c>
      <c r="T140" s="264">
        <f t="shared" ref="T140:T148" ca="1" si="93">IF(Q140&gt;0,S140*100/Q140,0)</f>
        <v>0</v>
      </c>
      <c r="U140" s="264">
        <f t="shared" ref="U140:U148" ca="1" si="94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6">
        <f t="shared" ref="L141:N142" si="95">L144+L147</f>
        <v>0</v>
      </c>
      <c r="M141" s="77">
        <f t="shared" si="95"/>
        <v>0</v>
      </c>
      <c r="N141" s="77">
        <f t="shared" si="95"/>
        <v>0</v>
      </c>
      <c r="O141" s="77">
        <f t="shared" si="90"/>
        <v>0</v>
      </c>
      <c r="P141" s="77">
        <f t="shared" si="91"/>
        <v>0</v>
      </c>
      <c r="Q141" s="77">
        <f t="shared" ref="Q141:S142" si="96">Q144+Q147</f>
        <v>0</v>
      </c>
      <c r="R141" s="77">
        <f t="shared" si="96"/>
        <v>0</v>
      </c>
      <c r="S141" s="77">
        <f t="shared" si="96"/>
        <v>0</v>
      </c>
      <c r="T141" s="77">
        <f t="shared" si="93"/>
        <v>0</v>
      </c>
      <c r="U141" s="77">
        <f t="shared" si="94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3">
        <f t="shared" ca="1" si="95"/>
        <v>0</v>
      </c>
      <c r="M142" s="74">
        <f t="shared" ca="1" si="95"/>
        <v>0</v>
      </c>
      <c r="N142" s="74">
        <f t="shared" ca="1" si="95"/>
        <v>0</v>
      </c>
      <c r="O142" s="74">
        <f t="shared" ca="1" si="90"/>
        <v>0</v>
      </c>
      <c r="P142" s="74">
        <f t="shared" ca="1" si="91"/>
        <v>0</v>
      </c>
      <c r="Q142" s="74">
        <f t="shared" ca="1" si="96"/>
        <v>0</v>
      </c>
      <c r="R142" s="74">
        <f t="shared" ca="1" si="96"/>
        <v>0</v>
      </c>
      <c r="S142" s="74">
        <f t="shared" ca="1" si="96"/>
        <v>0</v>
      </c>
      <c r="T142" s="74">
        <f t="shared" ca="1" si="93"/>
        <v>0</v>
      </c>
      <c r="U142" s="74">
        <f t="shared" ca="1" si="94"/>
        <v>0</v>
      </c>
    </row>
    <row r="143" spans="1:21" ht="18.75" hidden="1" x14ac:dyDescent="0.25">
      <c r="A143" s="257"/>
      <c r="B143" s="258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3">
        <f t="shared" ref="L143:N143" ca="1" si="97">L144+L145</f>
        <v>0</v>
      </c>
      <c r="M143" s="74">
        <f t="shared" ca="1" si="97"/>
        <v>0</v>
      </c>
      <c r="N143" s="74">
        <f t="shared" ca="1" si="97"/>
        <v>0</v>
      </c>
      <c r="O143" s="74">
        <f t="shared" ca="1" si="90"/>
        <v>0</v>
      </c>
      <c r="P143" s="74">
        <f t="shared" ca="1" si="91"/>
        <v>0</v>
      </c>
      <c r="Q143" s="74">
        <f t="shared" ref="Q143:S143" ca="1" si="98">Q144+Q145</f>
        <v>0</v>
      </c>
      <c r="R143" s="74">
        <f t="shared" ca="1" si="98"/>
        <v>0</v>
      </c>
      <c r="S143" s="74">
        <f t="shared" ca="1" si="98"/>
        <v>0</v>
      </c>
      <c r="T143" s="74">
        <f t="shared" ca="1" si="93"/>
        <v>0</v>
      </c>
      <c r="U143" s="74">
        <f t="shared" ca="1" si="94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77">
        <f t="shared" si="90"/>
        <v>0</v>
      </c>
      <c r="P144" s="77">
        <f t="shared" si="91"/>
        <v>0</v>
      </c>
      <c r="Q144" s="77">
        <v>0</v>
      </c>
      <c r="R144" s="77">
        <v>0</v>
      </c>
      <c r="S144" s="77">
        <v>0</v>
      </c>
      <c r="T144" s="77">
        <f t="shared" si="93"/>
        <v>0</v>
      </c>
      <c r="U144" s="77">
        <f t="shared" si="94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3">
        <f ca="1">IFERROR(__xludf.DUMMYFUNCTION("IMPORTRANGE(""https://docs.google.com/spreadsheets/d/1-uDff_7J0KD5mKrp0Vvzr7lt3OU09vwQwhkpOPPYv2Y/edit?usp=sharing"",""งบพรบ!BQ64"")"),0)</f>
        <v>0</v>
      </c>
      <c r="M145" s="74">
        <f ca="1">IFERROR(__xludf.DUMMYFUNCTION("IMPORTRANGE(""https://docs.google.com/spreadsheets/d/1-uDff_7J0KD5mKrp0Vvzr7lt3OU09vwQwhkpOPPYv2Y/edit?usp=sharing"",""งบพรบ!BV64"")"),0)</f>
        <v>0</v>
      </c>
      <c r="N145" s="74">
        <f ca="1">IFERROR(__xludf.DUMMYFUNCTION("IMPORTRANGE(""https://docs.google.com/spreadsheets/d/1-uDff_7J0KD5mKrp0Vvzr7lt3OU09vwQwhkpOPPYv2Y/edit?usp=sharing"",""งบพรบ!BX64"")"),0)</f>
        <v>0</v>
      </c>
      <c r="O145" s="74">
        <f t="shared" ca="1" si="90"/>
        <v>0</v>
      </c>
      <c r="P145" s="74">
        <f t="shared" ca="1" si="91"/>
        <v>0</v>
      </c>
      <c r="Q145" s="74">
        <f ca="1">IFERROR(__xludf.DUMMYFUNCTION("IMPORTRANGE(""https://docs.google.com/spreadsheets/d/1ItG2mGa2ceCfYo0BwxsXqNm01IGEUdYcSSLTEv9YCik/edit?usp=sharing"",""เบิกจ่ายกองทุน!BB64"")"),0)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IFERROR(__xludf.DUMMYFUNCTION("IMPORTRANGE(""https://docs.google.com/spreadsheets/d/1ItG2mGa2ceCfYo0BwxsXqNm01IGEUdYcSSLTEv9YCik/edit?usp=sharing"",""เบิกจ่ายกองทุน!BC64"")"),0)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IFERROR(__xludf.DUMMYFUNCTION("IMPORTRANGE(""https://docs.google.com/spreadsheets/d/1ItG2mGa2ceCfYo0BwxsXqNm01IGEUdYcSSLTEv9YCik/edit?usp=sharing"",""เบิกจ่ายกองทุน!BD64"")"),0)</f>
        <v>0</v>
      </c>
      <c r="T145" s="74">
        <f t="shared" ca="1" si="93"/>
        <v>0</v>
      </c>
      <c r="U145" s="74">
        <f t="shared" ca="1" si="94"/>
        <v>0</v>
      </c>
    </row>
    <row r="146" spans="1:21" ht="18.75" hidden="1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3">
        <f t="shared" ref="L146:N146" ca="1" si="99">L147+L148</f>
        <v>0</v>
      </c>
      <c r="M146" s="74">
        <f t="shared" ca="1" si="99"/>
        <v>0</v>
      </c>
      <c r="N146" s="74">
        <f t="shared" ca="1" si="99"/>
        <v>0</v>
      </c>
      <c r="O146" s="74">
        <f t="shared" ca="1" si="90"/>
        <v>0</v>
      </c>
      <c r="P146" s="74">
        <f t="shared" ca="1" si="91"/>
        <v>0</v>
      </c>
      <c r="Q146" s="74">
        <f t="shared" ref="Q146:S146" si="100">Q147+Q148</f>
        <v>0</v>
      </c>
      <c r="R146" s="74">
        <f t="shared" si="100"/>
        <v>0</v>
      </c>
      <c r="S146" s="74">
        <f t="shared" si="100"/>
        <v>0</v>
      </c>
      <c r="T146" s="74">
        <f t="shared" si="93"/>
        <v>0</v>
      </c>
      <c r="U146" s="74">
        <f t="shared" si="94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77">
        <f t="shared" si="90"/>
        <v>0</v>
      </c>
      <c r="P147" s="77">
        <f t="shared" si="91"/>
        <v>0</v>
      </c>
      <c r="Q147" s="77">
        <v>0</v>
      </c>
      <c r="R147" s="77">
        <v>0</v>
      </c>
      <c r="S147" s="77">
        <v>0</v>
      </c>
      <c r="T147" s="77">
        <f t="shared" si="93"/>
        <v>0</v>
      </c>
      <c r="U147" s="77">
        <f t="shared" si="94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3">
        <f ca="1">IFERROR(__xludf.DUMMYFUNCTION("IMPORTRANGE(""https://docs.google.com/spreadsheets/d/1-uDff_7J0KD5mKrp0Vvzr7lt3OU09vwQwhkpOPPYv2Y/edit?usp=sharing"",""งบพรบ!BT64"")"),0)</f>
        <v>0</v>
      </c>
      <c r="M148" s="74">
        <f ca="1">IFERROR(__xludf.DUMMYFUNCTION("IMPORTRANGE(""https://docs.google.com/spreadsheets/d/1-uDff_7J0KD5mKrp0Vvzr7lt3OU09vwQwhkpOPPYv2Y/edit?usp=sharing"",""งบพรบ!BW64"")"),0)</f>
        <v>0</v>
      </c>
      <c r="N148" s="74">
        <f ca="1">IFERROR(__xludf.DUMMYFUNCTION("IMPORTRANGE(""https://docs.google.com/spreadsheets/d/1-uDff_7J0KD5mKrp0Vvzr7lt3OU09vwQwhkpOPPYv2Y/edit?usp=sharing"",""งบพรบ!BY64"")"),0)</f>
        <v>0</v>
      </c>
      <c r="O148" s="74">
        <f t="shared" ca="1" si="90"/>
        <v>0</v>
      </c>
      <c r="P148" s="74">
        <f t="shared" ca="1" si="91"/>
        <v>0</v>
      </c>
      <c r="Q148" s="74">
        <v>0</v>
      </c>
      <c r="R148" s="74">
        <v>0</v>
      </c>
      <c r="S148" s="74">
        <v>0</v>
      </c>
      <c r="T148" s="74">
        <f t="shared" si="93"/>
        <v>0</v>
      </c>
      <c r="U148" s="74">
        <f t="shared" si="94"/>
        <v>0</v>
      </c>
    </row>
    <row r="149" spans="1:21" ht="19.5" hidden="1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hidden="1" x14ac:dyDescent="0.25">
      <c r="A150" s="257"/>
      <c r="B150" s="258"/>
      <c r="C150" s="258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hidden="1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IFERROR(__xludf.DUMMYFUNCTION("IMPORTRANGE(""https://docs.google.com/spreadsheets/d/1eHaY18a8A9IcSdp1K8H6x8fbOy06t2VsZHhMHf-1x7Y/edit?usp=sharing"",""แผน!U64"")"),0)</f>
        <v>0</v>
      </c>
      <c r="J151" s="294">
        <v>0</v>
      </c>
      <c r="K151" s="74">
        <f t="shared" ref="K151:K155" ca="1" si="101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hidden="1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IFERROR(__xludf.DUMMYFUNCTION("IMPORTRANGE(""https://docs.google.com/spreadsheets/d/1eHaY18a8A9IcSdp1K8H6x8fbOy06t2VsZHhMHf-1x7Y/edit?usp=sharing"",""แผน!V64"")"),0)</f>
        <v>0</v>
      </c>
      <c r="J152" s="294">
        <v>0</v>
      </c>
      <c r="K152" s="74">
        <f t="shared" ca="1" si="101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hidden="1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IFERROR(__xludf.DUMMYFUNCTION("IMPORTRANGE(""https://docs.google.com/spreadsheets/d/1eHaY18a8A9IcSdp1K8H6x8fbOy06t2VsZHhMHf-1x7Y/edit?usp=sharing"",""แผน!W64"")"),0)</f>
        <v>0</v>
      </c>
      <c r="J153" s="294">
        <v>0</v>
      </c>
      <c r="K153" s="74">
        <f t="shared" ca="1" si="101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hidden="1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IFERROR(__xludf.DUMMYFUNCTION("IMPORTRANGE(""https://docs.google.com/spreadsheets/d/1eHaY18a8A9IcSdp1K8H6x8fbOy06t2VsZHhMHf-1x7Y/edit?usp=sharing"",""แผน!X64"")"),0)</f>
        <v>0</v>
      </c>
      <c r="J154" s="294">
        <v>0</v>
      </c>
      <c r="K154" s="74">
        <f t="shared" ca="1" si="101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hidden="1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IFERROR(__xludf.DUMMYFUNCTION("IMPORTRANGE(""https://docs.google.com/spreadsheets/d/1eHaY18a8A9IcSdp1K8H6x8fbOy06t2VsZHhMHf-1x7Y/edit?usp=sharing"",""แผน!Y64"")"),0)</f>
        <v>0</v>
      </c>
      <c r="J155" s="294">
        <v>0</v>
      </c>
      <c r="K155" s="74">
        <f t="shared" ca="1" si="101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x14ac:dyDescent="0.3">
      <c r="A156" s="1099" t="s">
        <v>67</v>
      </c>
      <c r="B156" s="691"/>
      <c r="C156" s="692"/>
      <c r="D156" s="691"/>
      <c r="E156" s="691"/>
      <c r="F156" s="691"/>
      <c r="G156" s="691"/>
      <c r="H156" s="691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2">I168</f>
        <v>10</v>
      </c>
      <c r="J157" s="256">
        <f t="shared" si="102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1257">
        <f t="shared" ref="L158:N158" ca="1" si="103">L159+L160</f>
        <v>3000</v>
      </c>
      <c r="M158" s="264">
        <f t="shared" ca="1" si="103"/>
        <v>2250</v>
      </c>
      <c r="N158" s="264">
        <f t="shared" ca="1" si="103"/>
        <v>0</v>
      </c>
      <c r="O158" s="264">
        <f t="shared" ref="O158:O166" ca="1" si="104">IF(L158&gt;0,N158*100/L158,0)</f>
        <v>0</v>
      </c>
      <c r="P158" s="264">
        <f t="shared" ref="P158:P166" ca="1" si="105">IF(M158&gt;0,N158*100/M158,0)</f>
        <v>0</v>
      </c>
      <c r="Q158" s="264">
        <f t="shared" ref="Q158:S158" ca="1" si="106">Q159+Q160</f>
        <v>0</v>
      </c>
      <c r="R158" s="264">
        <f t="shared" ca="1" si="106"/>
        <v>0</v>
      </c>
      <c r="S158" s="264">
        <f t="shared" ca="1" si="106"/>
        <v>0</v>
      </c>
      <c r="T158" s="264">
        <f t="shared" ref="T158:T166" ca="1" si="107">IF(Q158&gt;0,S158*100/Q158,0)</f>
        <v>0</v>
      </c>
      <c r="U158" s="264">
        <f t="shared" ref="U158:U166" ca="1" si="108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6">
        <f t="shared" ref="L159:N160" si="109">L162+L165</f>
        <v>0</v>
      </c>
      <c r="M159" s="77">
        <f t="shared" si="109"/>
        <v>0</v>
      </c>
      <c r="N159" s="77">
        <f t="shared" si="109"/>
        <v>0</v>
      </c>
      <c r="O159" s="77">
        <f t="shared" si="104"/>
        <v>0</v>
      </c>
      <c r="P159" s="77">
        <f t="shared" si="105"/>
        <v>0</v>
      </c>
      <c r="Q159" s="77">
        <f t="shared" ref="Q159:S160" si="110">Q162+Q165</f>
        <v>0</v>
      </c>
      <c r="R159" s="77">
        <f t="shared" si="110"/>
        <v>0</v>
      </c>
      <c r="S159" s="77">
        <f t="shared" si="110"/>
        <v>0</v>
      </c>
      <c r="T159" s="77">
        <f t="shared" si="107"/>
        <v>0</v>
      </c>
      <c r="U159" s="77">
        <f t="shared" si="108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3">
        <f t="shared" ca="1" si="109"/>
        <v>3000</v>
      </c>
      <c r="M160" s="74">
        <f t="shared" ca="1" si="109"/>
        <v>2250</v>
      </c>
      <c r="N160" s="74">
        <f t="shared" ca="1" si="109"/>
        <v>0</v>
      </c>
      <c r="O160" s="74">
        <f t="shared" ca="1" si="104"/>
        <v>0</v>
      </c>
      <c r="P160" s="74">
        <f t="shared" ca="1" si="105"/>
        <v>0</v>
      </c>
      <c r="Q160" s="74">
        <f t="shared" ca="1" si="110"/>
        <v>0</v>
      </c>
      <c r="R160" s="74">
        <f t="shared" ca="1" si="110"/>
        <v>0</v>
      </c>
      <c r="S160" s="74">
        <f t="shared" ca="1" si="110"/>
        <v>0</v>
      </c>
      <c r="T160" s="74">
        <f t="shared" ca="1" si="107"/>
        <v>0</v>
      </c>
      <c r="U160" s="74">
        <f t="shared" ca="1" si="108"/>
        <v>0</v>
      </c>
    </row>
    <row r="161" spans="1:21" ht="18.75" x14ac:dyDescent="0.25">
      <c r="A161" s="257"/>
      <c r="B161" s="258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3">
        <f t="shared" ref="L161:N161" ca="1" si="111">L162+L163</f>
        <v>3000</v>
      </c>
      <c r="M161" s="74">
        <f t="shared" ca="1" si="111"/>
        <v>2250</v>
      </c>
      <c r="N161" s="74">
        <f t="shared" ca="1" si="111"/>
        <v>0</v>
      </c>
      <c r="O161" s="74">
        <f t="shared" ca="1" si="104"/>
        <v>0</v>
      </c>
      <c r="P161" s="74">
        <f t="shared" ca="1" si="105"/>
        <v>0</v>
      </c>
      <c r="Q161" s="74">
        <f t="shared" ref="Q161:S161" ca="1" si="112">Q162+Q163</f>
        <v>0</v>
      </c>
      <c r="R161" s="74">
        <f t="shared" ca="1" si="112"/>
        <v>0</v>
      </c>
      <c r="S161" s="74">
        <f t="shared" ca="1" si="112"/>
        <v>0</v>
      </c>
      <c r="T161" s="74">
        <f t="shared" ca="1" si="107"/>
        <v>0</v>
      </c>
      <c r="U161" s="74">
        <f t="shared" ca="1" si="108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77">
        <f t="shared" si="104"/>
        <v>0</v>
      </c>
      <c r="P162" s="77">
        <f t="shared" si="105"/>
        <v>0</v>
      </c>
      <c r="Q162" s="77">
        <v>0</v>
      </c>
      <c r="R162" s="77">
        <v>0</v>
      </c>
      <c r="S162" s="77">
        <v>0</v>
      </c>
      <c r="T162" s="77">
        <f t="shared" si="107"/>
        <v>0</v>
      </c>
      <c r="U162" s="77">
        <f t="shared" si="108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3">
        <f ca="1">IFERROR(__xludf.DUMMYFUNCTION("IMPORTRANGE(""https://docs.google.com/spreadsheets/d/1-uDff_7J0KD5mKrp0Vvzr7lt3OU09vwQwhkpOPPYv2Y/edit?usp=sharing"",""งบพรบ!CA64"")"),3000)</f>
        <v>3000</v>
      </c>
      <c r="M163" s="74">
        <f ca="1">IFERROR(__xludf.DUMMYFUNCTION("IMPORTRANGE(""https://docs.google.com/spreadsheets/d/1-uDff_7J0KD5mKrp0Vvzr7lt3OU09vwQwhkpOPPYv2Y/edit?usp=sharing"",""งบพรบ!CF64"")"),2250)</f>
        <v>2250</v>
      </c>
      <c r="N163" s="74">
        <f ca="1">IFERROR(__xludf.DUMMYFUNCTION("IMPORTRANGE(""https://docs.google.com/spreadsheets/d/1-uDff_7J0KD5mKrp0Vvzr7lt3OU09vwQwhkpOPPYv2Y/edit?usp=sharing"",""งบพรบ!CH64"")"),0)</f>
        <v>0</v>
      </c>
      <c r="O163" s="74">
        <f t="shared" ca="1" si="104"/>
        <v>0</v>
      </c>
      <c r="P163" s="74">
        <f t="shared" ca="1" si="105"/>
        <v>0</v>
      </c>
      <c r="Q163" s="74">
        <f ca="1">IFERROR(__xludf.DUMMYFUNCTION("IMPORTRANGE(""https://docs.google.com/spreadsheets/d/1ItG2mGa2ceCfYo0BwxsXqNm01IGEUdYcSSLTEv9YCik/edit?usp=sharing"",""เบิกจ่ายกองทุน!AG64"")"),0)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IFERROR(__xludf.DUMMYFUNCTION("IMPORTRANGE(""https://docs.google.com/spreadsheets/d/1ItG2mGa2ceCfYo0BwxsXqNm01IGEUdYcSSLTEv9YCik/edit?usp=sharing"",""เบิกจ่ายกองทุน!AH64"")"),0)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IFERROR(__xludf.DUMMYFUNCTION("IMPORTRANGE(""https://docs.google.com/spreadsheets/d/1ItG2mGa2ceCfYo0BwxsXqNm01IGEUdYcSSLTEv9YCik/edit?usp=sharing"",""เบิกจ่ายกองทุน!AI64"")"),0)</f>
        <v>0</v>
      </c>
      <c r="T163" s="74">
        <f t="shared" ca="1" si="107"/>
        <v>0</v>
      </c>
      <c r="U163" s="74">
        <f t="shared" ca="1" si="108"/>
        <v>0</v>
      </c>
    </row>
    <row r="164" spans="1:21" ht="18.75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3">
        <f t="shared" ref="L164:N164" ca="1" si="113">L165+L166</f>
        <v>0</v>
      </c>
      <c r="M164" s="74">
        <f t="shared" ca="1" si="113"/>
        <v>0</v>
      </c>
      <c r="N164" s="74">
        <f t="shared" ca="1" si="113"/>
        <v>0</v>
      </c>
      <c r="O164" s="74">
        <f t="shared" ca="1" si="104"/>
        <v>0</v>
      </c>
      <c r="P164" s="74">
        <f t="shared" ca="1" si="105"/>
        <v>0</v>
      </c>
      <c r="Q164" s="74">
        <f t="shared" ref="Q164:S164" si="114">Q165+Q166</f>
        <v>0</v>
      </c>
      <c r="R164" s="74">
        <f t="shared" si="114"/>
        <v>0</v>
      </c>
      <c r="S164" s="74">
        <f t="shared" si="114"/>
        <v>0</v>
      </c>
      <c r="T164" s="74">
        <f t="shared" si="107"/>
        <v>0</v>
      </c>
      <c r="U164" s="74">
        <f t="shared" si="108"/>
        <v>0</v>
      </c>
    </row>
    <row r="165" spans="1:21" ht="18.75" hidden="1" x14ac:dyDescent="0.25">
      <c r="A165" s="257"/>
      <c r="B165" s="258"/>
      <c r="C165" s="258"/>
      <c r="D165" s="258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77">
        <f t="shared" si="104"/>
        <v>0</v>
      </c>
      <c r="P165" s="77">
        <f t="shared" si="105"/>
        <v>0</v>
      </c>
      <c r="Q165" s="77">
        <v>0</v>
      </c>
      <c r="R165" s="77">
        <v>0</v>
      </c>
      <c r="S165" s="77">
        <v>0</v>
      </c>
      <c r="T165" s="77">
        <f t="shared" si="107"/>
        <v>0</v>
      </c>
      <c r="U165" s="77">
        <f t="shared" si="108"/>
        <v>0</v>
      </c>
    </row>
    <row r="166" spans="1:21" ht="18.75" hidden="1" x14ac:dyDescent="0.25">
      <c r="A166" s="257"/>
      <c r="B166" s="258"/>
      <c r="C166" s="258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3">
        <f ca="1">IFERROR(__xludf.DUMMYFUNCTION("IMPORTRANGE(""https://docs.google.com/spreadsheets/d/1-uDff_7J0KD5mKrp0Vvzr7lt3OU09vwQwhkpOPPYv2Y/edit?usp=sharing"",""งบพรบ!CD64"")"),0)</f>
        <v>0</v>
      </c>
      <c r="M166" s="74">
        <f ca="1">IFERROR(__xludf.DUMMYFUNCTION("IMPORTRANGE(""https://docs.google.com/spreadsheets/d/1-uDff_7J0KD5mKrp0Vvzr7lt3OU09vwQwhkpOPPYv2Y/edit?usp=sharing"",""งบพรบ!CG64"")"),0)</f>
        <v>0</v>
      </c>
      <c r="N166" s="74">
        <f ca="1">IFERROR(__xludf.DUMMYFUNCTION("IMPORTRANGE(""https://docs.google.com/spreadsheets/d/1-uDff_7J0KD5mKrp0Vvzr7lt3OU09vwQwhkpOPPYv2Y/edit?usp=sharing"",""งบพรบ!CI64"")"),0)</f>
        <v>0</v>
      </c>
      <c r="O166" s="74">
        <f t="shared" ca="1" si="104"/>
        <v>0</v>
      </c>
      <c r="P166" s="74">
        <f t="shared" ca="1" si="105"/>
        <v>0</v>
      </c>
      <c r="Q166" s="74">
        <v>0</v>
      </c>
      <c r="R166" s="74">
        <v>0</v>
      </c>
      <c r="S166" s="74">
        <v>0</v>
      </c>
      <c r="T166" s="74">
        <f t="shared" si="107"/>
        <v>0</v>
      </c>
      <c r="U166" s="74">
        <f t="shared" si="108"/>
        <v>0</v>
      </c>
    </row>
    <row r="167" spans="1:21" ht="19.5" x14ac:dyDescent="0.3">
      <c r="A167" s="276"/>
      <c r="B167" s="277"/>
      <c r="C167" s="259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IFERROR(__xludf.DUMMYFUNCTION("IMPORTRANGE(""https://docs.google.com/spreadsheets/d/1eHaY18a8A9IcSdp1K8H6x8fbOy06t2VsZHhMHf-1x7Y/edit?usp=sharing"",""แผน!Z64"")"),10)</f>
        <v>10</v>
      </c>
      <c r="J168" s="294">
        <v>0</v>
      </c>
      <c r="K168" s="74">
        <f t="shared" ref="K168:K170" ca="1" si="115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I168</f>
        <v>10</v>
      </c>
      <c r="J169" s="910">
        <v>0</v>
      </c>
      <c r="K169" s="77">
        <f t="shared" ca="1" si="115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I168</f>
        <v>10</v>
      </c>
      <c r="J170" s="999">
        <v>0</v>
      </c>
      <c r="K170" s="1000">
        <f t="shared" ca="1" si="115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6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302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303" t="s">
        <v>35</v>
      </c>
      <c r="I173" s="1126">
        <f t="shared" ref="I173:J173" ca="1" si="116">I184+I185</f>
        <v>7</v>
      </c>
      <c r="J173" s="1126">
        <f t="shared" si="116"/>
        <v>7</v>
      </c>
      <c r="K173" s="1127">
        <f ca="1">IF(I173&gt;0,J173*100/I173,0)</f>
        <v>100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1257">
        <f t="shared" ref="L174:N174" ca="1" si="117">L175+L176</f>
        <v>19590</v>
      </c>
      <c r="M174" s="264">
        <f t="shared" ca="1" si="117"/>
        <v>29430</v>
      </c>
      <c r="N174" s="264">
        <f t="shared" ca="1" si="117"/>
        <v>15570</v>
      </c>
      <c r="O174" s="264">
        <f t="shared" ref="O174:O182" ca="1" si="118">IF(L174&gt;0,N174*100/L174,0)</f>
        <v>79.479326186830022</v>
      </c>
      <c r="P174" s="264">
        <f t="shared" ref="P174:P182" ca="1" si="119">IF(M174&gt;0,N174*100/M174,0)</f>
        <v>52.905198776758411</v>
      </c>
      <c r="Q174" s="264">
        <f t="shared" ref="Q174:S174" ca="1" si="120">Q175+Q176</f>
        <v>0</v>
      </c>
      <c r="R174" s="264">
        <f t="shared" ca="1" si="120"/>
        <v>0</v>
      </c>
      <c r="S174" s="264">
        <f t="shared" ca="1" si="120"/>
        <v>0</v>
      </c>
      <c r="T174" s="264">
        <f t="shared" ref="T174:T182" ca="1" si="121">IF(Q174&gt;0,S174*100/Q174,0)</f>
        <v>0</v>
      </c>
      <c r="U174" s="264">
        <f t="shared" ref="U174:U182" ca="1" si="122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6">
        <f t="shared" ref="L175:N176" si="123">L178+L181</f>
        <v>0</v>
      </c>
      <c r="M175" s="77">
        <f t="shared" si="123"/>
        <v>0</v>
      </c>
      <c r="N175" s="77">
        <f t="shared" si="123"/>
        <v>0</v>
      </c>
      <c r="O175" s="77">
        <f t="shared" si="118"/>
        <v>0</v>
      </c>
      <c r="P175" s="77">
        <f t="shared" si="119"/>
        <v>0</v>
      </c>
      <c r="Q175" s="77">
        <f t="shared" ref="Q175:S176" si="124">Q178+Q181</f>
        <v>0</v>
      </c>
      <c r="R175" s="77">
        <f t="shared" si="124"/>
        <v>0</v>
      </c>
      <c r="S175" s="77">
        <f t="shared" si="124"/>
        <v>0</v>
      </c>
      <c r="T175" s="77">
        <f t="shared" si="121"/>
        <v>0</v>
      </c>
      <c r="U175" s="77">
        <f t="shared" si="122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3">
        <f t="shared" ca="1" si="123"/>
        <v>19590</v>
      </c>
      <c r="M176" s="74">
        <f t="shared" ca="1" si="123"/>
        <v>29430</v>
      </c>
      <c r="N176" s="74">
        <f t="shared" ca="1" si="123"/>
        <v>15570</v>
      </c>
      <c r="O176" s="74">
        <f t="shared" ca="1" si="118"/>
        <v>79.479326186830022</v>
      </c>
      <c r="P176" s="74">
        <f t="shared" ca="1" si="119"/>
        <v>52.905198776758411</v>
      </c>
      <c r="Q176" s="74">
        <f t="shared" ca="1" si="124"/>
        <v>0</v>
      </c>
      <c r="R176" s="74">
        <f t="shared" ca="1" si="124"/>
        <v>0</v>
      </c>
      <c r="S176" s="74">
        <f t="shared" ca="1" si="124"/>
        <v>0</v>
      </c>
      <c r="T176" s="74">
        <f t="shared" ca="1" si="121"/>
        <v>0</v>
      </c>
      <c r="U176" s="74">
        <f t="shared" ca="1" si="122"/>
        <v>0</v>
      </c>
    </row>
    <row r="177" spans="1:21" ht="18.75" x14ac:dyDescent="0.25">
      <c r="A177" s="257"/>
      <c r="B177" s="258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3">
        <f t="shared" ref="L177:N177" ca="1" si="125">L178+L179</f>
        <v>19590</v>
      </c>
      <c r="M177" s="74">
        <f t="shared" ca="1" si="125"/>
        <v>29430</v>
      </c>
      <c r="N177" s="74">
        <f t="shared" ca="1" si="125"/>
        <v>15570</v>
      </c>
      <c r="O177" s="74">
        <f t="shared" ca="1" si="118"/>
        <v>79.479326186830022</v>
      </c>
      <c r="P177" s="74">
        <f t="shared" ca="1" si="119"/>
        <v>52.905198776758411</v>
      </c>
      <c r="Q177" s="74">
        <f t="shared" ref="Q177:S177" ca="1" si="126">Q178+Q179</f>
        <v>0</v>
      </c>
      <c r="R177" s="74">
        <f t="shared" ca="1" si="126"/>
        <v>0</v>
      </c>
      <c r="S177" s="74">
        <f t="shared" ca="1" si="126"/>
        <v>0</v>
      </c>
      <c r="T177" s="74">
        <f t="shared" ca="1" si="121"/>
        <v>0</v>
      </c>
      <c r="U177" s="74">
        <f t="shared" ca="1" si="122"/>
        <v>0</v>
      </c>
    </row>
    <row r="178" spans="1:21" ht="18.75" hidden="1" x14ac:dyDescent="0.25">
      <c r="A178" s="257"/>
      <c r="B178" s="258"/>
      <c r="C178" s="258"/>
      <c r="D178" s="258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77">
        <f t="shared" si="118"/>
        <v>0</v>
      </c>
      <c r="P178" s="77">
        <f t="shared" si="119"/>
        <v>0</v>
      </c>
      <c r="Q178" s="77">
        <v>0</v>
      </c>
      <c r="R178" s="77">
        <v>0</v>
      </c>
      <c r="S178" s="77">
        <v>0</v>
      </c>
      <c r="T178" s="77">
        <f t="shared" si="121"/>
        <v>0</v>
      </c>
      <c r="U178" s="77">
        <f t="shared" si="122"/>
        <v>0</v>
      </c>
    </row>
    <row r="179" spans="1:21" ht="18.75" hidden="1" x14ac:dyDescent="0.25">
      <c r="A179" s="257"/>
      <c r="B179" s="258"/>
      <c r="C179" s="258"/>
      <c r="D179" s="258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3">
        <f ca="1">IFERROR(__xludf.DUMMYFUNCTION("IMPORTRANGE(""https://docs.google.com/spreadsheets/d/1-uDff_7J0KD5mKrp0Vvzr7lt3OU09vwQwhkpOPPYv2Y/edit?usp=sharing"",""งบพรบ!CK64"")"),19590)</f>
        <v>19590</v>
      </c>
      <c r="M179" s="74">
        <f ca="1">IFERROR(__xludf.DUMMYFUNCTION("IMPORTRANGE(""https://docs.google.com/spreadsheets/d/1-uDff_7J0KD5mKrp0Vvzr7lt3OU09vwQwhkpOPPYv2Y/edit?usp=sharing"",""งบพรบ!CP64"")"),29430)</f>
        <v>29430</v>
      </c>
      <c r="N179" s="74">
        <f ca="1">IFERROR(__xludf.DUMMYFUNCTION("IMPORTRANGE(""https://docs.google.com/spreadsheets/d/1-uDff_7J0KD5mKrp0Vvzr7lt3OU09vwQwhkpOPPYv2Y/edit?usp=sharing"",""งบพรบ!CR64"")"),15570)</f>
        <v>15570</v>
      </c>
      <c r="O179" s="74">
        <f t="shared" ca="1" si="118"/>
        <v>79.479326186830022</v>
      </c>
      <c r="P179" s="74">
        <f t="shared" ca="1" si="119"/>
        <v>52.905198776758411</v>
      </c>
      <c r="Q179" s="74">
        <f ca="1">IFERROR(__xludf.DUMMYFUNCTION("IMPORTRANGE(""https://docs.google.com/spreadsheets/d/1ItG2mGa2ceCfYo0BwxsXqNm01IGEUdYcSSLTEv9YCik/edit?usp=sharing"",""เบิกจ่ายกองทุน!BE64"")"),0)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IFERROR(__xludf.DUMMYFUNCTION("IMPORTRANGE(""https://docs.google.com/spreadsheets/d/1ItG2mGa2ceCfYo0BwxsXqNm01IGEUdYcSSLTEv9YCik/edit?usp=sharing"",""เบิกจ่ายกองทุน!BF64"")"),0)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IFERROR(__xludf.DUMMYFUNCTION("IMPORTRANGE(""https://docs.google.com/spreadsheets/d/1ItG2mGa2ceCfYo0BwxsXqNm01IGEUdYcSSLTEv9YCik/edit?usp=sharing"",""เบิกจ่ายกองทุน!BG64"")"),0)</f>
        <v>0</v>
      </c>
      <c r="T179" s="74">
        <f t="shared" ca="1" si="121"/>
        <v>0</v>
      </c>
      <c r="U179" s="74">
        <f t="shared" ca="1" si="122"/>
        <v>0</v>
      </c>
    </row>
    <row r="180" spans="1:21" ht="18.75" x14ac:dyDescent="0.25">
      <c r="A180" s="257"/>
      <c r="B180" s="258"/>
      <c r="C180" s="258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3">
        <f t="shared" ref="L180:N180" ca="1" si="127">L181+L182</f>
        <v>0</v>
      </c>
      <c r="M180" s="74">
        <f t="shared" ca="1" si="127"/>
        <v>0</v>
      </c>
      <c r="N180" s="74">
        <f t="shared" ca="1" si="127"/>
        <v>0</v>
      </c>
      <c r="O180" s="74">
        <f t="shared" ca="1" si="118"/>
        <v>0</v>
      </c>
      <c r="P180" s="74">
        <f t="shared" ca="1" si="119"/>
        <v>0</v>
      </c>
      <c r="Q180" s="74">
        <f t="shared" ref="Q180:S180" si="128">Q181+Q182</f>
        <v>0</v>
      </c>
      <c r="R180" s="74">
        <f t="shared" si="128"/>
        <v>0</v>
      </c>
      <c r="S180" s="74">
        <f t="shared" si="128"/>
        <v>0</v>
      </c>
      <c r="T180" s="74">
        <f t="shared" si="121"/>
        <v>0</v>
      </c>
      <c r="U180" s="74">
        <f t="shared" si="122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77">
        <f t="shared" si="118"/>
        <v>0</v>
      </c>
      <c r="P181" s="77">
        <f t="shared" si="119"/>
        <v>0</v>
      </c>
      <c r="Q181" s="77">
        <v>0</v>
      </c>
      <c r="R181" s="77">
        <v>0</v>
      </c>
      <c r="S181" s="77">
        <v>0</v>
      </c>
      <c r="T181" s="77">
        <f t="shared" si="121"/>
        <v>0</v>
      </c>
      <c r="U181" s="77">
        <f t="shared" si="122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3">
        <f ca="1">IFERROR(__xludf.DUMMYFUNCTION("IMPORTRANGE(""https://docs.google.com/spreadsheets/d/1-uDff_7J0KD5mKrp0Vvzr7lt3OU09vwQwhkpOPPYv2Y/edit?usp=sharing"",""งบพรบ!CN64"")"),0)</f>
        <v>0</v>
      </c>
      <c r="M182" s="74">
        <f ca="1">IFERROR(__xludf.DUMMYFUNCTION("IMPORTRANGE(""https://docs.google.com/spreadsheets/d/1-uDff_7J0KD5mKrp0Vvzr7lt3OU09vwQwhkpOPPYv2Y/edit?usp=sharing"",""งบพรบ!CQ64"")"),0)</f>
        <v>0</v>
      </c>
      <c r="N182" s="74">
        <f ca="1">IFERROR(__xludf.DUMMYFUNCTION("IMPORTRANGE(""https://docs.google.com/spreadsheets/d/1-uDff_7J0KD5mKrp0Vvzr7lt3OU09vwQwhkpOPPYv2Y/edit?usp=sharing"",""งบพรบ!CS64"")"),0)</f>
        <v>0</v>
      </c>
      <c r="O182" s="74">
        <f t="shared" ca="1" si="118"/>
        <v>0</v>
      </c>
      <c r="P182" s="74">
        <f t="shared" ca="1" si="119"/>
        <v>0</v>
      </c>
      <c r="Q182" s="74">
        <v>0</v>
      </c>
      <c r="R182" s="74">
        <v>0</v>
      </c>
      <c r="S182" s="74">
        <v>0</v>
      </c>
      <c r="T182" s="74">
        <f t="shared" si="121"/>
        <v>0</v>
      </c>
      <c r="U182" s="74">
        <f t="shared" si="122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551" t="s">
        <v>35</v>
      </c>
      <c r="I184" s="293">
        <f ca="1">IFERROR(__xludf.DUMMYFUNCTION("IMPORTRANGE(""https://docs.google.com/spreadsheets/d/1eHaY18a8A9IcSdp1K8H6x8fbOy06t2VsZHhMHf-1x7Y/edit?usp=sharing"",""แผน!AA64"")"),7)</f>
        <v>7</v>
      </c>
      <c r="J184" s="294">
        <v>7</v>
      </c>
      <c r="K184" s="74">
        <f t="shared" ref="K184:K186" ca="1" si="129">IF(I184&gt;0,J184*100/I184,0)</f>
        <v>100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921" t="s">
        <v>35</v>
      </c>
      <c r="I185" s="592">
        <v>0</v>
      </c>
      <c r="J185" s="592">
        <v>0</v>
      </c>
      <c r="K185" s="77">
        <f t="shared" si="129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303" t="s">
        <v>35</v>
      </c>
      <c r="I186" s="1126">
        <f t="shared" ref="I186:J186" ca="1" si="130">I231+I232</f>
        <v>40</v>
      </c>
      <c r="J186" s="1126">
        <f t="shared" si="130"/>
        <v>0</v>
      </c>
      <c r="K186" s="1127">
        <f t="shared" ca="1" si="129"/>
        <v>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1257">
        <f t="shared" ref="L187:N187" ca="1" si="131">L188+L189</f>
        <v>513700</v>
      </c>
      <c r="M187" s="264">
        <f t="shared" ca="1" si="131"/>
        <v>650945</v>
      </c>
      <c r="N187" s="264">
        <f t="shared" ca="1" si="131"/>
        <v>352459.39</v>
      </c>
      <c r="O187" s="264">
        <f t="shared" ref="O187:O195" ca="1" si="132">IF(L187&gt;0,N187*100/L187,0)</f>
        <v>68.611911621569007</v>
      </c>
      <c r="P187" s="264">
        <f t="shared" ref="P187:P195" ca="1" si="133">IF(M187&gt;0,N187*100/M187,0)</f>
        <v>54.145801872662055</v>
      </c>
      <c r="Q187" s="264">
        <f t="shared" ref="Q187:S187" ca="1" si="134">Q188+Q189</f>
        <v>84000</v>
      </c>
      <c r="R187" s="264">
        <f t="shared" ca="1" si="134"/>
        <v>84000</v>
      </c>
      <c r="S187" s="264">
        <f t="shared" ca="1" si="134"/>
        <v>0</v>
      </c>
      <c r="T187" s="264">
        <f t="shared" ref="T187:T195" ca="1" si="135">IF(Q187&gt;0,S187*100/Q187,0)</f>
        <v>0</v>
      </c>
      <c r="U187" s="264">
        <f t="shared" ref="U187:U195" ca="1" si="136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6">
        <f t="shared" ref="L188:N189" si="137">L191+L194</f>
        <v>0</v>
      </c>
      <c r="M188" s="77">
        <f t="shared" si="137"/>
        <v>0</v>
      </c>
      <c r="N188" s="77">
        <f t="shared" si="137"/>
        <v>0</v>
      </c>
      <c r="O188" s="77">
        <f t="shared" si="132"/>
        <v>0</v>
      </c>
      <c r="P188" s="77">
        <f t="shared" si="133"/>
        <v>0</v>
      </c>
      <c r="Q188" s="77">
        <f t="shared" ref="Q188:S189" si="138">Q191+Q194</f>
        <v>0</v>
      </c>
      <c r="R188" s="77">
        <f t="shared" si="138"/>
        <v>0</v>
      </c>
      <c r="S188" s="77">
        <f t="shared" si="138"/>
        <v>0</v>
      </c>
      <c r="T188" s="77">
        <f t="shared" si="135"/>
        <v>0</v>
      </c>
      <c r="U188" s="77">
        <f t="shared" si="136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3">
        <f t="shared" ca="1" si="137"/>
        <v>513700</v>
      </c>
      <c r="M189" s="74">
        <f t="shared" ca="1" si="137"/>
        <v>650945</v>
      </c>
      <c r="N189" s="74">
        <f t="shared" ca="1" si="137"/>
        <v>352459.39</v>
      </c>
      <c r="O189" s="74">
        <f t="shared" ca="1" si="132"/>
        <v>68.611911621569007</v>
      </c>
      <c r="P189" s="74">
        <f t="shared" ca="1" si="133"/>
        <v>54.145801872662055</v>
      </c>
      <c r="Q189" s="74">
        <f t="shared" ca="1" si="138"/>
        <v>84000</v>
      </c>
      <c r="R189" s="74">
        <f t="shared" ca="1" si="138"/>
        <v>84000</v>
      </c>
      <c r="S189" s="74">
        <f t="shared" ca="1" si="138"/>
        <v>0</v>
      </c>
      <c r="T189" s="74">
        <f t="shared" ca="1" si="135"/>
        <v>0</v>
      </c>
      <c r="U189" s="74">
        <f t="shared" ca="1" si="136"/>
        <v>0</v>
      </c>
    </row>
    <row r="190" spans="1:21" ht="18.75" x14ac:dyDescent="0.25">
      <c r="A190" s="257"/>
      <c r="B190" s="258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3">
        <f t="shared" ref="L190:N190" ca="1" si="139">L191+L192</f>
        <v>513700</v>
      </c>
      <c r="M190" s="74">
        <f t="shared" ca="1" si="139"/>
        <v>650945</v>
      </c>
      <c r="N190" s="74">
        <f t="shared" ca="1" si="139"/>
        <v>352459.39</v>
      </c>
      <c r="O190" s="74">
        <f t="shared" ca="1" si="132"/>
        <v>68.611911621569007</v>
      </c>
      <c r="P190" s="74">
        <f t="shared" ca="1" si="133"/>
        <v>54.145801872662055</v>
      </c>
      <c r="Q190" s="74">
        <f t="shared" ref="Q190:S190" ca="1" si="140">Q191+Q192</f>
        <v>84000</v>
      </c>
      <c r="R190" s="74">
        <f t="shared" ca="1" si="140"/>
        <v>84000</v>
      </c>
      <c r="S190" s="74">
        <f t="shared" ca="1" si="140"/>
        <v>0</v>
      </c>
      <c r="T190" s="74">
        <f t="shared" ca="1" si="135"/>
        <v>0</v>
      </c>
      <c r="U190" s="74">
        <f t="shared" ca="1" si="136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77">
        <f t="shared" si="132"/>
        <v>0</v>
      </c>
      <c r="P191" s="77">
        <f t="shared" si="133"/>
        <v>0</v>
      </c>
      <c r="Q191" s="77">
        <v>0</v>
      </c>
      <c r="R191" s="77">
        <v>0</v>
      </c>
      <c r="S191" s="77">
        <v>0</v>
      </c>
      <c r="T191" s="77">
        <f t="shared" si="135"/>
        <v>0</v>
      </c>
      <c r="U191" s="77">
        <f t="shared" si="136"/>
        <v>0</v>
      </c>
    </row>
    <row r="192" spans="1:21" ht="18.75" hidden="1" x14ac:dyDescent="0.25">
      <c r="A192" s="257"/>
      <c r="B192" s="258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3">
        <f ca="1">IFERROR(__xludf.DUMMYFUNCTION("IMPORTRANGE(""https://docs.google.com/spreadsheets/d/1-uDff_7J0KD5mKrp0Vvzr7lt3OU09vwQwhkpOPPYv2Y/edit?usp=sharing"",""งบพรบ!CU64"")"),513700)</f>
        <v>513700</v>
      </c>
      <c r="M192" s="74">
        <f ca="1">IFERROR(__xludf.DUMMYFUNCTION("IMPORTRANGE(""https://docs.google.com/spreadsheets/d/1-uDff_7J0KD5mKrp0Vvzr7lt3OU09vwQwhkpOPPYv2Y/edit?usp=sharing"",""งบพรบ!CZ64"")"),650945)</f>
        <v>650945</v>
      </c>
      <c r="N192" s="74">
        <f ca="1">IFERROR(__xludf.DUMMYFUNCTION("IMPORTRANGE(""https://docs.google.com/spreadsheets/d/1-uDff_7J0KD5mKrp0Vvzr7lt3OU09vwQwhkpOPPYv2Y/edit?usp=sharing"",""งบพรบ!DB64"")"),352459.39)</f>
        <v>352459.39</v>
      </c>
      <c r="O192" s="74">
        <f t="shared" ca="1" si="132"/>
        <v>68.611911621569007</v>
      </c>
      <c r="P192" s="74">
        <f t="shared" ca="1" si="133"/>
        <v>54.145801872662055</v>
      </c>
      <c r="Q192" s="74">
        <f ca="1">IFERROR(__xludf.DUMMYFUNCTION("IMPORTRANGE(""https://docs.google.com/spreadsheets/d/1ItG2mGa2ceCfYo0BwxsXqNm01IGEUdYcSSLTEv9YCik/edit?usp=sharing"",""เบิกจ่ายกองทุน!AV64"")"),84000)</f>
        <v>84000</v>
      </c>
      <c r="R192" s="74">
        <f ca="1">IFERROR(__xludf.DUMMYFUNCTION("IMPORTRANGE(""https://docs.google.com/spreadsheets/d/1ItG2mGa2ceCfYo0BwxsXqNm01IGEUdYcSSLTEv9YCik/edit?usp=sharing"",""เบิกจ่ายกองทุน!AW64"")"),84000)</f>
        <v>84000</v>
      </c>
      <c r="S192" s="74">
        <f ca="1">IFERROR(__xludf.DUMMYFUNCTION("IMPORTRANGE(""https://docs.google.com/spreadsheets/d/1ItG2mGa2ceCfYo0BwxsXqNm01IGEUdYcSSLTEv9YCik/edit?usp=sharing"",""เบิกจ่ายกองทุน!AX64"")"),0)</f>
        <v>0</v>
      </c>
      <c r="T192" s="74">
        <f t="shared" ca="1" si="135"/>
        <v>0</v>
      </c>
      <c r="U192" s="74">
        <f t="shared" ca="1" si="136"/>
        <v>0</v>
      </c>
    </row>
    <row r="193" spans="1:21" ht="18.75" x14ac:dyDescent="0.25">
      <c r="A193" s="257"/>
      <c r="B193" s="258"/>
      <c r="C193" s="258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3">
        <f t="shared" ref="L193:N193" ca="1" si="141">L194+L195</f>
        <v>0</v>
      </c>
      <c r="M193" s="74">
        <f t="shared" ca="1" si="141"/>
        <v>0</v>
      </c>
      <c r="N193" s="74">
        <f t="shared" ca="1" si="141"/>
        <v>0</v>
      </c>
      <c r="O193" s="74">
        <f t="shared" ca="1" si="132"/>
        <v>0</v>
      </c>
      <c r="P193" s="74">
        <f t="shared" ca="1" si="133"/>
        <v>0</v>
      </c>
      <c r="Q193" s="74">
        <f t="shared" ref="Q193:S193" si="142">Q194+Q195</f>
        <v>0</v>
      </c>
      <c r="R193" s="74">
        <f t="shared" si="142"/>
        <v>0</v>
      </c>
      <c r="S193" s="74">
        <f t="shared" si="142"/>
        <v>0</v>
      </c>
      <c r="T193" s="74">
        <f t="shared" si="135"/>
        <v>0</v>
      </c>
      <c r="U193" s="74">
        <f t="shared" si="136"/>
        <v>0</v>
      </c>
    </row>
    <row r="194" spans="1:21" ht="18.75" hidden="1" x14ac:dyDescent="0.25">
      <c r="A194" s="257"/>
      <c r="B194" s="258"/>
      <c r="C194" s="258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77">
        <f t="shared" si="132"/>
        <v>0</v>
      </c>
      <c r="P194" s="77">
        <f t="shared" si="133"/>
        <v>0</v>
      </c>
      <c r="Q194" s="77">
        <v>0</v>
      </c>
      <c r="R194" s="77">
        <v>0</v>
      </c>
      <c r="S194" s="77">
        <v>0</v>
      </c>
      <c r="T194" s="77">
        <f t="shared" si="135"/>
        <v>0</v>
      </c>
      <c r="U194" s="77">
        <f t="shared" si="136"/>
        <v>0</v>
      </c>
    </row>
    <row r="195" spans="1:21" ht="18.75" hidden="1" x14ac:dyDescent="0.25">
      <c r="A195" s="257"/>
      <c r="B195" s="258"/>
      <c r="C195" s="258"/>
      <c r="D195" s="258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3">
        <f ca="1">IFERROR(__xludf.DUMMYFUNCTION("IMPORTRANGE(""https://docs.google.com/spreadsheets/d/1-uDff_7J0KD5mKrp0Vvzr7lt3OU09vwQwhkpOPPYv2Y/edit?usp=sharing"",""งบพรบ!CX64"")"),0)</f>
        <v>0</v>
      </c>
      <c r="M195" s="74">
        <f ca="1">IFERROR(__xludf.DUMMYFUNCTION("IMPORTRANGE(""https://docs.google.com/spreadsheets/d/1-uDff_7J0KD5mKrp0Vvzr7lt3OU09vwQwhkpOPPYv2Y/edit?usp=sharing"",""งบพรบ!DA64"")"),0)</f>
        <v>0</v>
      </c>
      <c r="N195" s="74">
        <f ca="1">IFERROR(__xludf.DUMMYFUNCTION("IMPORTRANGE(""https://docs.google.com/spreadsheets/d/1-uDff_7J0KD5mKrp0Vvzr7lt3OU09vwQwhkpOPPYv2Y/edit?usp=sharing"",""งบพรบ!DC64"")"),0)</f>
        <v>0</v>
      </c>
      <c r="O195" s="74">
        <f t="shared" ca="1" si="132"/>
        <v>0</v>
      </c>
      <c r="P195" s="74">
        <f t="shared" ca="1" si="133"/>
        <v>0</v>
      </c>
      <c r="Q195" s="74">
        <v>0</v>
      </c>
      <c r="R195" s="74">
        <v>0</v>
      </c>
      <c r="S195" s="74">
        <v>0</v>
      </c>
      <c r="T195" s="74">
        <f t="shared" si="135"/>
        <v>0</v>
      </c>
      <c r="U195" s="74">
        <f t="shared" si="136"/>
        <v>0</v>
      </c>
    </row>
    <row r="196" spans="1:21" ht="19.5" x14ac:dyDescent="0.3">
      <c r="A196" s="553"/>
      <c r="B196" s="555"/>
      <c r="C196" s="1130" t="s">
        <v>78</v>
      </c>
      <c r="D196" s="554"/>
      <c r="E196" s="554"/>
      <c r="F196" s="554"/>
      <c r="G196" s="557"/>
      <c r="H196" s="558" t="s">
        <v>79</v>
      </c>
      <c r="I196" s="559">
        <f t="shared" ref="I196:J196" ca="1" si="143">I199</f>
        <v>4</v>
      </c>
      <c r="J196" s="559">
        <f t="shared" si="143"/>
        <v>2</v>
      </c>
      <c r="K196" s="560">
        <f ca="1">IF(I196&gt;0,J196*100/I196,0)</f>
        <v>50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58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1257">
        <f ca="1">IFERROR(__xludf.DUMMYFUNCTION("IMPORTRANGE(""https://docs.google.com/spreadsheets/d/1eHaY18a8A9IcSdp1K8H6x8fbOy06t2VsZHhMHf-1x7Y/edit?usp=sharing"",""แผน!AB64"")"),6000)</f>
        <v>6000</v>
      </c>
      <c r="M197" s="87"/>
      <c r="N197" s="923">
        <v>1360</v>
      </c>
      <c r="O197" s="264">
        <f ca="1">IF(L197&gt;0,N197*100/L197,0)</f>
        <v>22.666666666666668</v>
      </c>
      <c r="P197" s="264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282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99" t="s">
        <v>79</v>
      </c>
      <c r="I199" s="293">
        <f ca="1">IFERROR(__xludf.DUMMYFUNCTION("IMPORTRANGE(""https://docs.google.com/spreadsheets/d/1eHaY18a8A9IcSdp1K8H6x8fbOy06t2VsZHhMHf-1x7Y/edit?usp=sharing"",""แผน!AE64"")"),4)</f>
        <v>4</v>
      </c>
      <c r="J199" s="294">
        <v>2</v>
      </c>
      <c r="K199" s="74">
        <f ca="1">IF(I199&gt;0,J199*100/I199,0)</f>
        <v>50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56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56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4">I210</f>
        <v>2</v>
      </c>
      <c r="J203" s="559">
        <f t="shared" si="144"/>
        <v>0</v>
      </c>
      <c r="K203" s="560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58"/>
      <c r="C204" s="259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1257">
        <f ca="1">L205+L206+L207+L208</f>
        <v>26000</v>
      </c>
      <c r="M204" s="87"/>
      <c r="N204" s="264">
        <f>N205+N206+N207+N208</f>
        <v>0</v>
      </c>
      <c r="O204" s="264">
        <f ca="1">IF(L204&gt;0,N204*100/L204,0)</f>
        <v>0</v>
      </c>
      <c r="P204" s="264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58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73">
        <f ca="1">IFERROR(__xludf.DUMMYFUNCTION("IMPORTRANGE(""https://docs.google.com/spreadsheets/d/1eHaY18a8A9IcSdp1K8H6x8fbOy06t2VsZHhMHf-1x7Y/edit?usp=sharing"",""แผน!AG64"")"),2000)</f>
        <v>2000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58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73">
        <f ca="1">IFERROR(__xludf.DUMMYFUNCTION("IMPORTRANGE(""https://docs.google.com/spreadsheets/d/1eHaY18a8A9IcSdp1K8H6x8fbOy06t2VsZHhMHf-1x7Y/edit?usp=sharing"",""แผน!AH64"")"),0)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58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73">
        <f ca="1">IFERROR(__xludf.DUMMYFUNCTION("IMPORTRANGE(""https://docs.google.com/spreadsheets/d/1eHaY18a8A9IcSdp1K8H6x8fbOy06t2VsZHhMHf-1x7Y/edit?usp=sharing"",""แผน!AI64"")"),16000)</f>
        <v>16000</v>
      </c>
      <c r="M207" s="87"/>
      <c r="N207" s="924">
        <v>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58"/>
      <c r="D208" s="267" t="s">
        <v>89</v>
      </c>
      <c r="E208" s="258"/>
      <c r="F208" s="258"/>
      <c r="G208" s="261"/>
      <c r="H208" s="292" t="s">
        <v>14</v>
      </c>
      <c r="I208" s="263"/>
      <c r="J208" s="263"/>
      <c r="K208" s="87"/>
      <c r="L208" s="73">
        <f ca="1">IFERROR(__xludf.DUMMYFUNCTION("IMPORTRANGE(""https://docs.google.com/spreadsheets/d/1eHaY18a8A9IcSdp1K8H6x8fbOy06t2VsZHhMHf-1x7Y/edit?usp=sharing"",""แผน!AJ64"")"),8000)</f>
        <v>8000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282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3" t="s">
        <v>85</v>
      </c>
      <c r="I210" s="293">
        <f ca="1">IFERROR(__xludf.DUMMYFUNCTION("IMPORTRANGE(""https://docs.google.com/spreadsheets/d/1eHaY18a8A9IcSdp1K8H6x8fbOy06t2VsZHhMHf-1x7Y/edit?usp=sharing"",""แผน!AK64"")"),2)</f>
        <v>2</v>
      </c>
      <c r="J210" s="294">
        <v>0</v>
      </c>
      <c r="K210" s="768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282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3" t="s">
        <v>85</v>
      </c>
      <c r="I212" s="293">
        <f ca="1">IFERROR(__xludf.DUMMYFUNCTION("IMPORTRANGE(""https://docs.google.com/spreadsheets/d/1eHaY18a8A9IcSdp1K8H6x8fbOy06t2VsZHhMHf-1x7Y/edit?usp=sharing"",""แผน!JX64"")"),2)</f>
        <v>2</v>
      </c>
      <c r="J212" s="294">
        <v>0</v>
      </c>
      <c r="K212" s="768">
        <f t="shared" ref="K212:K214" ca="1" si="145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IFERROR(__xludf.DUMMYFUNCTION("IMPORTRANGE(""https://docs.google.com/spreadsheets/d/1eHaY18a8A9IcSdp1K8H6x8fbOy06t2VsZHhMHf-1x7Y/edit?usp=sharing"",""แผน!JY64"")"),0)</f>
        <v>0</v>
      </c>
      <c r="J213" s="294">
        <v>0</v>
      </c>
      <c r="K213" s="768">
        <f t="shared" ca="1" si="145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hidden="1" x14ac:dyDescent="0.3">
      <c r="A214" s="553"/>
      <c r="B214" s="555"/>
      <c r="C214" s="1130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6">I221</f>
        <v>0</v>
      </c>
      <c r="J214" s="559">
        <f t="shared" si="146"/>
        <v>0</v>
      </c>
      <c r="K214" s="560">
        <f t="shared" ca="1" si="145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hidden="1" x14ac:dyDescent="0.3">
      <c r="A215" s="257"/>
      <c r="B215" s="258"/>
      <c r="C215" s="259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1257">
        <f ca="1">L216+L217+L218</f>
        <v>0</v>
      </c>
      <c r="M215" s="87"/>
      <c r="N215" s="264">
        <f>N216+N217+N218</f>
        <v>0</v>
      </c>
      <c r="O215" s="264">
        <f ca="1">IF(L215&gt;0,N215*100/L215,0)</f>
        <v>0</v>
      </c>
      <c r="P215" s="264">
        <f>IF(M215&gt;0,N215*100/M215,0)</f>
        <v>0</v>
      </c>
      <c r="Q215" s="87"/>
      <c r="R215" s="87"/>
      <c r="S215" s="87"/>
      <c r="T215" s="87"/>
      <c r="U215" s="87"/>
    </row>
    <row r="216" spans="1:21" ht="18.75" hidden="1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3">
        <f ca="1">IFERROR(__xludf.DUMMYFUNCTION("IMPORTRANGE(""https://docs.google.com/spreadsheets/d/1eHaY18a8A9IcSdp1K8H6x8fbOy06t2VsZHhMHf-1x7Y/edit?usp=sharing"",""แผน!AM64"")"),0)</f>
        <v>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hidden="1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3">
        <f ca="1">IFERROR(__xludf.DUMMYFUNCTION("IMPORTRANGE(""https://docs.google.com/spreadsheets/d/1eHaY18a8A9IcSdp1K8H6x8fbOy06t2VsZHhMHf-1x7Y/edit?usp=sharing"",""แผน!AN64"")"),0)</f>
        <v>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hidden="1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3">
        <f ca="1">IFERROR(__xludf.DUMMYFUNCTION("IMPORTRANGE(""https://docs.google.com/spreadsheets/d/1eHaY18a8A9IcSdp1K8H6x8fbOy06t2VsZHhMHf-1x7Y/edit?usp=sharing"",""แผน!AO64"")"),0)</f>
        <v>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hidden="1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282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hidden="1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3" t="s">
        <v>85</v>
      </c>
      <c r="I220" s="293">
        <f ca="1">IFERROR(__xludf.DUMMYFUNCTION("IMPORTRANGE(""https://docs.google.com/spreadsheets/d/1eHaY18a8A9IcSdp1K8H6x8fbOy06t2VsZHhMHf-1x7Y/edit?usp=sharing"",""แผน!AP64"")"),0)</f>
        <v>0</v>
      </c>
      <c r="J220" s="294">
        <v>0</v>
      </c>
      <c r="K220" s="74">
        <f t="shared" ref="K220:K222" ca="1" si="147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hidden="1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IFERROR(__xludf.DUMMYFUNCTION("IMPORTRANGE(""https://docs.google.com/spreadsheets/d/1eHaY18a8A9IcSdp1K8H6x8fbOy06t2VsZHhMHf-1x7Y/edit?usp=sharing"",""แผน!AP64"")"),0)</f>
        <v>0</v>
      </c>
      <c r="J221" s="294">
        <v>0</v>
      </c>
      <c r="K221" s="74">
        <f t="shared" ca="1" si="147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30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8">I230</f>
        <v>20000</v>
      </c>
      <c r="J222" s="559">
        <f t="shared" si="148"/>
        <v>0</v>
      </c>
      <c r="K222" s="560">
        <f t="shared" ca="1" si="147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58"/>
      <c r="C223" s="259" t="s">
        <v>18</v>
      </c>
      <c r="D223" s="112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1257">
        <f ca="1">L224+L225+L226</f>
        <v>4500</v>
      </c>
      <c r="M223" s="87"/>
      <c r="N223" s="264">
        <f>N224+N225+N226</f>
        <v>0</v>
      </c>
      <c r="O223" s="264">
        <f ca="1">IF(L223&gt;0,N223*100/L223,0)</f>
        <v>0</v>
      </c>
      <c r="P223" s="264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58"/>
      <c r="D224" s="398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3">
        <f ca="1">IFERROR(__xludf.DUMMYFUNCTION("IMPORTRANGE(""https://docs.google.com/spreadsheets/d/1eHaY18a8A9IcSdp1K8H6x8fbOy06t2VsZHhMHf-1x7Y/edit?usp=sharing"",""แผน!AR64"")"),3000)</f>
        <v>3000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3">
        <f ca="1">IFERROR(__xludf.DUMMYFUNCTION("IMPORTRANGE(""https://docs.google.com/spreadsheets/d/1eHaY18a8A9IcSdp1K8H6x8fbOy06t2VsZHhMHf-1x7Y/edit?usp=sharing"",""แผน!AS64"")"),1500)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3">
        <f ca="1">IFERROR(__xludf.DUMMYFUNCTION("IMPORTRANGE(""https://docs.google.com/spreadsheets/d/1eHaY18a8A9IcSdp1K8H6x8fbOy06t2VsZHhMHf-1x7Y/edit?usp=sharing"",""แผน!AT64"")"),0)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282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282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99" t="s">
        <v>99</v>
      </c>
      <c r="I229" s="293">
        <f ca="1">IFERROR(__xludf.DUMMYFUNCTION("IMPORTRANGE(""https://docs.google.com/spreadsheets/d/1eHaY18a8A9IcSdp1K8H6x8fbOy06t2VsZHhMHf-1x7Y/edit?usp=sharing"",""แผน!AV64"")"),20000)</f>
        <v>20000</v>
      </c>
      <c r="J229" s="294">
        <v>0</v>
      </c>
      <c r="K229" s="768">
        <f t="shared" ref="K229:K232" ca="1" si="149">IF(I229&gt;0,J229*100/I229,0)</f>
        <v>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99" t="s">
        <v>99</v>
      </c>
      <c r="I230" s="293">
        <f ca="1">IFERROR(__xludf.DUMMYFUNCTION("IMPORTRANGE(""https://docs.google.com/spreadsheets/d/1eHaY18a8A9IcSdp1K8H6x8fbOy06t2VsZHhMHf-1x7Y/edit?usp=sharing"",""แผน!AV64"")"),20000)</f>
        <v>20000</v>
      </c>
      <c r="J230" s="294">
        <v>0</v>
      </c>
      <c r="K230" s="768">
        <f t="shared" ca="1" si="149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99" t="s">
        <v>35</v>
      </c>
      <c r="I231" s="293">
        <f ca="1">IFERROR(__xludf.DUMMYFUNCTION("IMPORTRANGE(""https://docs.google.com/spreadsheets/d/1eHaY18a8A9IcSdp1K8H6x8fbOy06t2VsZHhMHf-1x7Y/edit?usp=sharing"",""แผน!AU64"")"),0)</f>
        <v>0</v>
      </c>
      <c r="J231" s="294">
        <v>0</v>
      </c>
      <c r="K231" s="768">
        <f t="shared" ca="1" si="149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925"/>
      <c r="B232" s="926"/>
      <c r="C232" s="927" t="s">
        <v>105</v>
      </c>
      <c r="D232" s="928"/>
      <c r="E232" s="928"/>
      <c r="F232" s="928"/>
      <c r="G232" s="929"/>
      <c r="H232" s="930" t="s">
        <v>35</v>
      </c>
      <c r="I232" s="931">
        <f t="shared" ref="I232:J232" ca="1" si="150">I243+I254</f>
        <v>40</v>
      </c>
      <c r="J232" s="931">
        <f t="shared" si="150"/>
        <v>0</v>
      </c>
      <c r="K232" s="932">
        <f t="shared" ca="1" si="149"/>
        <v>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880"/>
      <c r="B233" s="838"/>
      <c r="C233" s="933" t="s">
        <v>18</v>
      </c>
      <c r="D233" s="934" t="s">
        <v>19</v>
      </c>
      <c r="E233" s="838"/>
      <c r="F233" s="838"/>
      <c r="G233" s="839"/>
      <c r="H233" s="703" t="s">
        <v>14</v>
      </c>
      <c r="I233" s="881"/>
      <c r="J233" s="881"/>
      <c r="K233" s="882"/>
      <c r="L233" s="1281">
        <f t="shared" ref="L233:L237" ca="1" si="151">L244+L255</f>
        <v>213600</v>
      </c>
      <c r="M233" s="87"/>
      <c r="N233" s="1258">
        <f t="shared" ref="N233:N237" si="152">N244+N255</f>
        <v>52910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880"/>
      <c r="B234" s="920"/>
      <c r="C234" s="838"/>
      <c r="D234" s="1134" t="s">
        <v>299</v>
      </c>
      <c r="E234" s="838"/>
      <c r="F234" s="838"/>
      <c r="G234" s="839"/>
      <c r="H234" s="273" t="s">
        <v>14</v>
      </c>
      <c r="I234" s="881"/>
      <c r="J234" s="881"/>
      <c r="K234" s="882"/>
      <c r="L234" s="76">
        <f t="shared" ca="1" si="151"/>
        <v>99000</v>
      </c>
      <c r="M234" s="87"/>
      <c r="N234" s="77">
        <f t="shared" si="152"/>
        <v>51500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919"/>
      <c r="B235" s="920"/>
      <c r="C235" s="920"/>
      <c r="D235" s="749" t="s">
        <v>87</v>
      </c>
      <c r="E235" s="838"/>
      <c r="F235" s="838"/>
      <c r="G235" s="839"/>
      <c r="H235" s="273" t="s">
        <v>14</v>
      </c>
      <c r="I235" s="841"/>
      <c r="J235" s="841"/>
      <c r="K235" s="842"/>
      <c r="L235" s="76">
        <f t="shared" ca="1" si="151"/>
        <v>3000</v>
      </c>
      <c r="M235" s="87"/>
      <c r="N235" s="77">
        <f t="shared" si="152"/>
        <v>1410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919"/>
      <c r="B236" s="920"/>
      <c r="C236" s="920"/>
      <c r="D236" s="749" t="s">
        <v>88</v>
      </c>
      <c r="E236" s="838"/>
      <c r="F236" s="838"/>
      <c r="G236" s="839"/>
      <c r="H236" s="273" t="s">
        <v>14</v>
      </c>
      <c r="I236" s="841"/>
      <c r="J236" s="841"/>
      <c r="K236" s="842"/>
      <c r="L236" s="76">
        <f t="shared" ca="1" si="151"/>
        <v>78600</v>
      </c>
      <c r="M236" s="87"/>
      <c r="N236" s="77">
        <f t="shared" si="152"/>
        <v>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919"/>
      <c r="B237" s="920"/>
      <c r="C237" s="920"/>
      <c r="D237" s="267" t="s">
        <v>89</v>
      </c>
      <c r="E237" s="838"/>
      <c r="F237" s="838"/>
      <c r="G237" s="839"/>
      <c r="H237" s="273" t="s">
        <v>14</v>
      </c>
      <c r="I237" s="841"/>
      <c r="J237" s="841"/>
      <c r="K237" s="842"/>
      <c r="L237" s="76">
        <f t="shared" ca="1" si="151"/>
        <v>33000</v>
      </c>
      <c r="M237" s="87"/>
      <c r="N237" s="77">
        <f t="shared" si="152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937"/>
      <c r="B238" s="938"/>
      <c r="C238" s="939" t="s">
        <v>18</v>
      </c>
      <c r="D238" s="940" t="s">
        <v>38</v>
      </c>
      <c r="E238" s="941"/>
      <c r="F238" s="941"/>
      <c r="G238" s="942"/>
      <c r="H238" s="943"/>
      <c r="I238" s="881"/>
      <c r="J238" s="841"/>
      <c r="K238" s="842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937"/>
      <c r="B239" s="938"/>
      <c r="C239" s="938"/>
      <c r="D239" s="311" t="s">
        <v>108</v>
      </c>
      <c r="E239" s="944"/>
      <c r="F239" s="944"/>
      <c r="G239" s="943"/>
      <c r="H239" s="945" t="s">
        <v>35</v>
      </c>
      <c r="I239" s="592">
        <f t="shared" ref="I239:J239" ca="1" si="153">I250+I261</f>
        <v>40</v>
      </c>
      <c r="J239" s="592">
        <f t="shared" si="153"/>
        <v>0</v>
      </c>
      <c r="K239" s="77">
        <f ca="1">IF(I239&gt;0,J239*100/I239,0)</f>
        <v>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937"/>
      <c r="B240" s="938"/>
      <c r="C240" s="938"/>
      <c r="D240" s="946" t="s">
        <v>43</v>
      </c>
      <c r="E240" s="944"/>
      <c r="F240" s="944"/>
      <c r="G240" s="943"/>
      <c r="H240" s="943"/>
      <c r="I240" s="841"/>
      <c r="J240" s="841"/>
      <c r="K240" s="842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937"/>
      <c r="B241" s="938"/>
      <c r="C241" s="938"/>
      <c r="D241" s="938"/>
      <c r="E241" s="947" t="s">
        <v>109</v>
      </c>
      <c r="F241" s="944"/>
      <c r="G241" s="943"/>
      <c r="H241" s="945" t="s">
        <v>35</v>
      </c>
      <c r="I241" s="592">
        <f t="shared" ref="I241:J242" ca="1" si="154">I252+I263</f>
        <v>40</v>
      </c>
      <c r="J241" s="592">
        <f t="shared" si="154"/>
        <v>0</v>
      </c>
      <c r="K241" s="77">
        <f t="shared" ref="K241:K243" ca="1" si="155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937"/>
      <c r="B242" s="938"/>
      <c r="C242" s="938"/>
      <c r="D242" s="938"/>
      <c r="E242" s="947" t="s">
        <v>110</v>
      </c>
      <c r="F242" s="944"/>
      <c r="G242" s="943"/>
      <c r="H242" s="945" t="s">
        <v>61</v>
      </c>
      <c r="I242" s="592">
        <f t="shared" ca="1" si="154"/>
        <v>1</v>
      </c>
      <c r="J242" s="592">
        <f t="shared" si="154"/>
        <v>0</v>
      </c>
      <c r="K242" s="77">
        <f t="shared" ca="1" si="155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x14ac:dyDescent="0.3">
      <c r="A243" s="382"/>
      <c r="B243" s="383"/>
      <c r="C243" s="384" t="s">
        <v>332</v>
      </c>
      <c r="D243" s="385"/>
      <c r="E243" s="385"/>
      <c r="F243" s="385"/>
      <c r="G243" s="386"/>
      <c r="H243" s="387" t="s">
        <v>35</v>
      </c>
      <c r="I243" s="388">
        <f t="shared" ref="I243:J243" ca="1" si="156">I250</f>
        <v>40</v>
      </c>
      <c r="J243" s="388">
        <f t="shared" si="156"/>
        <v>0</v>
      </c>
      <c r="K243" s="389">
        <f t="shared" ca="1" si="155"/>
        <v>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x14ac:dyDescent="0.3">
      <c r="A244" s="209"/>
      <c r="B244" s="67"/>
      <c r="C244" s="210" t="s">
        <v>18</v>
      </c>
      <c r="D244" s="879" t="s">
        <v>19</v>
      </c>
      <c r="E244" s="67"/>
      <c r="F244" s="67"/>
      <c r="G244" s="69"/>
      <c r="H244" s="394" t="s">
        <v>14</v>
      </c>
      <c r="I244" s="219"/>
      <c r="J244" s="219"/>
      <c r="K244" s="220"/>
      <c r="L244" s="1257">
        <f ca="1">L245+L246+L247+L248</f>
        <v>213600</v>
      </c>
      <c r="M244" s="87"/>
      <c r="N244" s="264">
        <f>N245+N246+N247+N248</f>
        <v>52910</v>
      </c>
      <c r="O244" s="264">
        <f ca="1">IF(L244&gt;0,N244*100/L244,0)</f>
        <v>24.770599250936328</v>
      </c>
      <c r="P244" s="264">
        <f>IF(M244&gt;0,N244*100/M244,0)</f>
        <v>0</v>
      </c>
      <c r="Q244" s="87"/>
      <c r="R244" s="87"/>
      <c r="S244" s="87"/>
      <c r="T244" s="87"/>
      <c r="U244" s="87"/>
    </row>
    <row r="245" spans="1:21" ht="18.75" x14ac:dyDescent="0.25">
      <c r="A245" s="209"/>
      <c r="B245" s="381"/>
      <c r="C245" s="67"/>
      <c r="D245" s="1134" t="s">
        <v>299</v>
      </c>
      <c r="E245" s="67"/>
      <c r="F245" s="67"/>
      <c r="G245" s="69"/>
      <c r="H245" s="218" t="s">
        <v>14</v>
      </c>
      <c r="I245" s="219"/>
      <c r="J245" s="219"/>
      <c r="K245" s="220"/>
      <c r="L245" s="73">
        <f ca="1">IFERROR(__xludf.DUMMYFUNCTION("IMPORTRANGE(""https://docs.google.com/spreadsheets/d/1eHaY18a8A9IcSdp1K8H6x8fbOy06t2VsZHhMHf-1x7Y/edit?usp=sharing"",""แผน!AX64"")"),99000)</f>
        <v>99000</v>
      </c>
      <c r="M245" s="87"/>
      <c r="N245" s="924">
        <v>51500</v>
      </c>
      <c r="O245" s="87"/>
      <c r="P245" s="87"/>
      <c r="Q245" s="87"/>
      <c r="R245" s="87"/>
      <c r="S245" s="87"/>
      <c r="T245" s="87"/>
      <c r="U245" s="87"/>
    </row>
    <row r="246" spans="1:21" ht="18.75" x14ac:dyDescent="0.25">
      <c r="A246" s="377"/>
      <c r="B246" s="381"/>
      <c r="C246" s="381"/>
      <c r="D246" s="749" t="s">
        <v>87</v>
      </c>
      <c r="E246" s="67"/>
      <c r="F246" s="67"/>
      <c r="G246" s="69"/>
      <c r="H246" s="218" t="s">
        <v>14</v>
      </c>
      <c r="I246" s="71"/>
      <c r="J246" s="71"/>
      <c r="K246" s="72"/>
      <c r="L246" s="73">
        <f ca="1">IFERROR(__xludf.DUMMYFUNCTION("IMPORTRANGE(""https://docs.google.com/spreadsheets/d/1eHaY18a8A9IcSdp1K8H6x8fbOy06t2VsZHhMHf-1x7Y/edit?usp=sharing"",""แผน!AY64"")"),3000)</f>
        <v>3000</v>
      </c>
      <c r="M246" s="87"/>
      <c r="N246" s="924">
        <v>1410</v>
      </c>
      <c r="O246" s="87"/>
      <c r="P246" s="87"/>
      <c r="Q246" s="87"/>
      <c r="R246" s="87"/>
      <c r="S246" s="87"/>
      <c r="T246" s="87"/>
      <c r="U246" s="87"/>
    </row>
    <row r="247" spans="1:21" ht="18.75" x14ac:dyDescent="0.25">
      <c r="A247" s="377"/>
      <c r="B247" s="381"/>
      <c r="C247" s="381"/>
      <c r="D247" s="749" t="s">
        <v>88</v>
      </c>
      <c r="E247" s="67"/>
      <c r="F247" s="67"/>
      <c r="G247" s="69"/>
      <c r="H247" s="218" t="s">
        <v>14</v>
      </c>
      <c r="I247" s="71"/>
      <c r="J247" s="71"/>
      <c r="K247" s="72"/>
      <c r="L247" s="73">
        <f ca="1">IFERROR(__xludf.DUMMYFUNCTION("IMPORTRANGE(""https://docs.google.com/spreadsheets/d/1eHaY18a8A9IcSdp1K8H6x8fbOy06t2VsZHhMHf-1x7Y/edit?usp=sharing"",""แผน!AZ64"")"),78600)</f>
        <v>78600</v>
      </c>
      <c r="M247" s="87"/>
      <c r="N247" s="924">
        <v>0</v>
      </c>
      <c r="O247" s="87"/>
      <c r="P247" s="87"/>
      <c r="Q247" s="87"/>
      <c r="R247" s="87"/>
      <c r="S247" s="87"/>
      <c r="T247" s="87"/>
      <c r="U247" s="87"/>
    </row>
    <row r="248" spans="1:21" ht="18.75" x14ac:dyDescent="0.25">
      <c r="A248" s="377"/>
      <c r="B248" s="381"/>
      <c r="C248" s="381"/>
      <c r="D248" s="267" t="s">
        <v>89</v>
      </c>
      <c r="E248" s="67"/>
      <c r="F248" s="67"/>
      <c r="G248" s="69"/>
      <c r="H248" s="218" t="s">
        <v>14</v>
      </c>
      <c r="I248" s="71"/>
      <c r="J248" s="71"/>
      <c r="K248" s="72"/>
      <c r="L248" s="73">
        <f ca="1">IFERROR(__xludf.DUMMYFUNCTION("IMPORTRANGE(""https://docs.google.com/spreadsheets/d/1eHaY18a8A9IcSdp1K8H6x8fbOy06t2VsZHhMHf-1x7Y/edit?usp=sharing"",""แผน!BA64"")"),33000)</f>
        <v>33000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x14ac:dyDescent="0.3">
      <c r="A249" s="222"/>
      <c r="B249" s="223"/>
      <c r="C249" s="402" t="s">
        <v>18</v>
      </c>
      <c r="D249" s="883" t="s">
        <v>38</v>
      </c>
      <c r="E249" s="225"/>
      <c r="F249" s="225"/>
      <c r="G249" s="226"/>
      <c r="H249" s="227"/>
      <c r="I249" s="219"/>
      <c r="J249" s="71"/>
      <c r="K249" s="72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x14ac:dyDescent="0.25">
      <c r="A250" s="222"/>
      <c r="B250" s="223"/>
      <c r="C250" s="223"/>
      <c r="D250" s="395" t="s">
        <v>108</v>
      </c>
      <c r="E250" s="231"/>
      <c r="F250" s="231"/>
      <c r="G250" s="227"/>
      <c r="H250" s="401" t="s">
        <v>35</v>
      </c>
      <c r="I250" s="321">
        <f ca="1">IFERROR(__xludf.DUMMYFUNCTION("IMPORTRANGE(""https://docs.google.com/spreadsheets/d/1eHaY18a8A9IcSdp1K8H6x8fbOy06t2VsZHhMHf-1x7Y/edit?usp=sharing"",""แผน!BG64"")"),40)</f>
        <v>40</v>
      </c>
      <c r="J250" s="884">
        <v>0</v>
      </c>
      <c r="K250" s="399">
        <f ca="1">IF(I250&gt;0,J250*100/I250,0)</f>
        <v>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x14ac:dyDescent="0.25">
      <c r="A251" s="222"/>
      <c r="B251" s="223"/>
      <c r="C251" s="223"/>
      <c r="D251" s="412" t="s">
        <v>43</v>
      </c>
      <c r="E251" s="231"/>
      <c r="F251" s="231"/>
      <c r="G251" s="227"/>
      <c r="H251" s="227"/>
      <c r="I251" s="71"/>
      <c r="J251" s="71"/>
      <c r="K251" s="72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x14ac:dyDescent="0.25">
      <c r="A252" s="222"/>
      <c r="B252" s="223"/>
      <c r="C252" s="223"/>
      <c r="D252" s="223"/>
      <c r="E252" s="1228" t="s">
        <v>333</v>
      </c>
      <c r="F252" s="893"/>
      <c r="G252" s="894"/>
      <c r="H252" s="1229" t="s">
        <v>35</v>
      </c>
      <c r="I252" s="321">
        <f ca="1">IFERROR(__xludf.DUMMYFUNCTION("IMPORTRANGE(""https://docs.google.com/spreadsheets/d/1eHaY18a8A9IcSdp1K8H6x8fbOy06t2VsZHhMHf-1x7Y/edit?usp=sharing"",""แผน!KB64"")"),40)</f>
        <v>40</v>
      </c>
      <c r="J252" s="884">
        <v>0</v>
      </c>
      <c r="K252" s="399">
        <f t="shared" ref="K252:K254" ca="1" si="157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x14ac:dyDescent="0.25">
      <c r="A253" s="222"/>
      <c r="B253" s="223"/>
      <c r="C253" s="223"/>
      <c r="D253" s="223"/>
      <c r="E253" s="767" t="s">
        <v>334</v>
      </c>
      <c r="F253" s="296"/>
      <c r="G253" s="282"/>
      <c r="H253" s="275" t="s">
        <v>35</v>
      </c>
      <c r="I253" s="321">
        <f ca="1">IFERROR(__xludf.DUMMYFUNCTION("IMPORTRANGE(""https://docs.google.com/spreadsheets/d/1eHaY18a8A9IcSdp1K8H6x8fbOy06t2VsZHhMHf-1x7Y/edit?usp=sharing"",""แผน!KC64"")"),1)</f>
        <v>1</v>
      </c>
      <c r="J253" s="884">
        <v>0</v>
      </c>
      <c r="K253" s="399">
        <f t="shared" ca="1" si="157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553"/>
      <c r="B254" s="555"/>
      <c r="C254" s="927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8">I261</f>
        <v>0</v>
      </c>
      <c r="J254" s="931">
        <f t="shared" si="158"/>
        <v>0</v>
      </c>
      <c r="K254" s="932">
        <f t="shared" ca="1" si="157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257"/>
      <c r="B255" s="258"/>
      <c r="C255" s="933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1257">
        <f ca="1">L256+L257+L258+L259</f>
        <v>0</v>
      </c>
      <c r="M255" s="87"/>
      <c r="N255" s="264">
        <f>N256+N257+N258+N259</f>
        <v>0</v>
      </c>
      <c r="O255" s="264">
        <f ca="1">IF(L255&gt;0,N255*100/L255,0)</f>
        <v>0</v>
      </c>
      <c r="P255" s="264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257"/>
      <c r="B256" s="269"/>
      <c r="C256" s="258"/>
      <c r="D256" s="1134" t="s">
        <v>299</v>
      </c>
      <c r="E256" s="258"/>
      <c r="F256" s="258"/>
      <c r="G256" s="261"/>
      <c r="H256" s="273" t="s">
        <v>14</v>
      </c>
      <c r="I256" s="272"/>
      <c r="J256" s="272"/>
      <c r="K256" s="229"/>
      <c r="L256" s="73">
        <f ca="1">IFERROR(__xludf.DUMMYFUNCTION("IMPORTRANGE(""https://docs.google.com/spreadsheets/d/1eHaY18a8A9IcSdp1K8H6x8fbOy06t2VsZHhMHf-1x7Y/edit?usp=sharing"",""แผน!BB64"")"),0)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749" t="s">
        <v>87</v>
      </c>
      <c r="E257" s="258"/>
      <c r="F257" s="258"/>
      <c r="G257" s="261"/>
      <c r="H257" s="273" t="s">
        <v>14</v>
      </c>
      <c r="I257" s="263"/>
      <c r="J257" s="263"/>
      <c r="K257" s="87"/>
      <c r="L257" s="73">
        <f ca="1">IFERROR(__xludf.DUMMYFUNCTION("IMPORTRANGE(""https://docs.google.com/spreadsheets/d/1eHaY18a8A9IcSdp1K8H6x8fbOy06t2VsZHhMHf-1x7Y/edit?usp=sharing"",""แผน!BC64"")"),0)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749" t="s">
        <v>88</v>
      </c>
      <c r="E258" s="258"/>
      <c r="F258" s="258"/>
      <c r="G258" s="261"/>
      <c r="H258" s="273" t="s">
        <v>14</v>
      </c>
      <c r="I258" s="263"/>
      <c r="J258" s="263"/>
      <c r="K258" s="87"/>
      <c r="L258" s="73">
        <f ca="1">IFERROR(__xludf.DUMMYFUNCTION("IMPORTRANGE(""https://docs.google.com/spreadsheets/d/1eHaY18a8A9IcSdp1K8H6x8fbOy06t2VsZHhMHf-1x7Y/edit?usp=sharing"",""แผน!BD64"")"),0)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7" t="s">
        <v>89</v>
      </c>
      <c r="E259" s="258"/>
      <c r="F259" s="258"/>
      <c r="G259" s="261"/>
      <c r="H259" s="273" t="s">
        <v>14</v>
      </c>
      <c r="I259" s="263"/>
      <c r="J259" s="263"/>
      <c r="K259" s="87"/>
      <c r="L259" s="73">
        <f ca="1">IFERROR(__xludf.DUMMYFUNCTION("IMPORTRANGE(""https://docs.google.com/spreadsheets/d/1eHaY18a8A9IcSdp1K8H6x8fbOy06t2VsZHhMHf-1x7Y/edit?usp=sharing"",""แผน!BE64"")"),0)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945" t="s">
        <v>35</v>
      </c>
      <c r="I261" s="592">
        <f ca="1">IFERROR(__xludf.DUMMYFUNCTION("IMPORTRANGE(""https://docs.google.com/spreadsheets/d/1eHaY18a8A9IcSdp1K8H6x8fbOy06t2VsZHhMHf-1x7Y/edit?usp=sharing"",""แผน!BH64"")"),0)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282"/>
      <c r="I262" s="263"/>
      <c r="J262" s="263"/>
      <c r="K262" s="87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945" t="s">
        <v>35</v>
      </c>
      <c r="I263" s="263"/>
      <c r="J263" s="910">
        <v>0</v>
      </c>
      <c r="K263" s="77">
        <f t="shared" ref="K263:K264" si="159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945" t="s">
        <v>61</v>
      </c>
      <c r="I264" s="263"/>
      <c r="J264" s="910">
        <v>0</v>
      </c>
      <c r="K264" s="77">
        <f t="shared" si="159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363"/>
      <c r="I265" s="364"/>
      <c r="J265" s="364"/>
      <c r="K265" s="365"/>
      <c r="L265" s="1230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371" t="s">
        <v>35</v>
      </c>
      <c r="I266" s="1140">
        <f t="shared" ref="I266:J266" ca="1" si="160">I277</f>
        <v>22</v>
      </c>
      <c r="J266" s="1140">
        <f t="shared" si="160"/>
        <v>0</v>
      </c>
      <c r="K266" s="373">
        <f ca="1">IF(I266&gt;0,J266*100/I266,0)</f>
        <v>0</v>
      </c>
      <c r="L266" s="1231"/>
      <c r="M266" s="374"/>
      <c r="N266" s="374"/>
      <c r="O266" s="374"/>
      <c r="P266" s="374"/>
      <c r="Q266" s="374"/>
      <c r="R266" s="374"/>
      <c r="S266" s="374"/>
      <c r="T266" s="374"/>
      <c r="U266" s="374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1262">
        <f t="shared" ref="L267:N267" ca="1" si="161">L268+L269</f>
        <v>0</v>
      </c>
      <c r="M267" s="213">
        <f t="shared" ca="1" si="161"/>
        <v>5000</v>
      </c>
      <c r="N267" s="213">
        <f t="shared" ca="1" si="161"/>
        <v>0</v>
      </c>
      <c r="O267" s="213">
        <f t="shared" ref="O267:O275" ca="1" si="162">IF(L267&gt;0,N267*100/L267,0)</f>
        <v>0</v>
      </c>
      <c r="P267" s="213">
        <f t="shared" ref="P267:P275" ca="1" si="163">IF(M267&gt;0,N267*100/M267,0)</f>
        <v>0</v>
      </c>
      <c r="Q267" s="213">
        <f t="shared" ref="Q267:S267" ca="1" si="164">Q268+Q269</f>
        <v>50660</v>
      </c>
      <c r="R267" s="213">
        <f t="shared" ca="1" si="164"/>
        <v>50660</v>
      </c>
      <c r="S267" s="213">
        <f t="shared" ca="1" si="164"/>
        <v>0</v>
      </c>
      <c r="T267" s="213">
        <f t="shared" ref="T267:T275" ca="1" si="165">IF(Q267&gt;0,S267*100/Q267,0)</f>
        <v>0</v>
      </c>
      <c r="U267" s="213">
        <f t="shared" ref="U267:U275" ca="1" si="166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76">
        <f t="shared" ref="L268:N269" si="167">L271+L274</f>
        <v>0</v>
      </c>
      <c r="M268" s="77">
        <f t="shared" si="167"/>
        <v>0</v>
      </c>
      <c r="N268" s="77">
        <f t="shared" si="167"/>
        <v>0</v>
      </c>
      <c r="O268" s="77">
        <f t="shared" si="162"/>
        <v>0</v>
      </c>
      <c r="P268" s="77">
        <f t="shared" si="163"/>
        <v>0</v>
      </c>
      <c r="Q268" s="77">
        <f t="shared" ref="Q268:S269" si="168">Q271+Q274</f>
        <v>0</v>
      </c>
      <c r="R268" s="77">
        <f t="shared" si="168"/>
        <v>0</v>
      </c>
      <c r="S268" s="77">
        <f t="shared" si="168"/>
        <v>0</v>
      </c>
      <c r="T268" s="77">
        <f t="shared" si="165"/>
        <v>0</v>
      </c>
      <c r="U268" s="77">
        <f t="shared" si="166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261">
        <f t="shared" ca="1" si="167"/>
        <v>0</v>
      </c>
      <c r="M269" s="399">
        <f t="shared" ca="1" si="167"/>
        <v>5000</v>
      </c>
      <c r="N269" s="399">
        <f t="shared" ca="1" si="167"/>
        <v>0</v>
      </c>
      <c r="O269" s="399">
        <f t="shared" ca="1" si="162"/>
        <v>0</v>
      </c>
      <c r="P269" s="399">
        <f t="shared" ca="1" si="163"/>
        <v>0</v>
      </c>
      <c r="Q269" s="399">
        <f t="shared" ca="1" si="168"/>
        <v>50660</v>
      </c>
      <c r="R269" s="399">
        <f t="shared" ca="1" si="168"/>
        <v>50660</v>
      </c>
      <c r="S269" s="399">
        <f t="shared" ca="1" si="168"/>
        <v>0</v>
      </c>
      <c r="T269" s="399">
        <f t="shared" ca="1" si="165"/>
        <v>0</v>
      </c>
      <c r="U269" s="399">
        <f t="shared" ca="1" si="166"/>
        <v>0</v>
      </c>
    </row>
    <row r="270" spans="1:21" ht="18.75" x14ac:dyDescent="0.25">
      <c r="A270" s="209"/>
      <c r="B270" s="67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261">
        <f t="shared" ref="L270:N270" ca="1" si="169">L271+L272</f>
        <v>0</v>
      </c>
      <c r="M270" s="399">
        <f t="shared" ca="1" si="169"/>
        <v>5000</v>
      </c>
      <c r="N270" s="399">
        <f t="shared" ca="1" si="169"/>
        <v>0</v>
      </c>
      <c r="O270" s="399">
        <f t="shared" ca="1" si="162"/>
        <v>0</v>
      </c>
      <c r="P270" s="399">
        <f t="shared" ca="1" si="163"/>
        <v>0</v>
      </c>
      <c r="Q270" s="399">
        <f t="shared" ref="Q270:S270" ca="1" si="170">Q271+Q272</f>
        <v>50660</v>
      </c>
      <c r="R270" s="399">
        <f t="shared" ca="1" si="170"/>
        <v>50660</v>
      </c>
      <c r="S270" s="399">
        <f t="shared" ca="1" si="170"/>
        <v>0</v>
      </c>
      <c r="T270" s="399">
        <f t="shared" ca="1" si="165"/>
        <v>0</v>
      </c>
      <c r="U270" s="399">
        <f t="shared" ca="1" si="166"/>
        <v>0</v>
      </c>
    </row>
    <row r="271" spans="1:21" ht="18.75" hidden="1" x14ac:dyDescent="0.25">
      <c r="A271" s="880"/>
      <c r="B271" s="838"/>
      <c r="C271" s="838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77">
        <f t="shared" si="162"/>
        <v>0</v>
      </c>
      <c r="P271" s="77">
        <f t="shared" si="163"/>
        <v>0</v>
      </c>
      <c r="Q271" s="77">
        <v>0</v>
      </c>
      <c r="R271" s="77">
        <v>0</v>
      </c>
      <c r="S271" s="77">
        <v>0</v>
      </c>
      <c r="T271" s="77">
        <f t="shared" si="165"/>
        <v>0</v>
      </c>
      <c r="U271" s="77">
        <f t="shared" si="166"/>
        <v>0</v>
      </c>
    </row>
    <row r="272" spans="1:21" ht="18.75" hidden="1" x14ac:dyDescent="0.25">
      <c r="A272" s="209"/>
      <c r="B272" s="67"/>
      <c r="C272" s="67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261">
        <f ca="1">IFERROR(__xludf.DUMMYFUNCTION("IMPORTRANGE(""https://docs.google.com/spreadsheets/d/1-uDff_7J0KD5mKrp0Vvzr7lt3OU09vwQwhkpOPPYv2Y/edit?usp=sharing"",""งบพรบ!DE64"")"),0)</f>
        <v>0</v>
      </c>
      <c r="M272" s="399">
        <f ca="1">IFERROR(__xludf.DUMMYFUNCTION("IMPORTRANGE(""https://docs.google.com/spreadsheets/d/1-uDff_7J0KD5mKrp0Vvzr7lt3OU09vwQwhkpOPPYv2Y/edit?usp=sharing"",""งบพรบ!DJ64"")"),5000)</f>
        <v>5000</v>
      </c>
      <c r="N272" s="399">
        <f ca="1">IFERROR(__xludf.DUMMYFUNCTION("IMPORTRANGE(""https://docs.google.com/spreadsheets/d/1-uDff_7J0KD5mKrp0Vvzr7lt3OU09vwQwhkpOPPYv2Y/edit?usp=sharing"",""งบพรบ!DL64"")"),0)</f>
        <v>0</v>
      </c>
      <c r="O272" s="399">
        <f t="shared" ca="1" si="162"/>
        <v>0</v>
      </c>
      <c r="P272" s="399">
        <f t="shared" ca="1" si="163"/>
        <v>0</v>
      </c>
      <c r="Q272" s="399">
        <f ca="1">IFERROR(__xludf.DUMMYFUNCTION("IMPORTRANGE(""https://docs.google.com/spreadsheets/d/1ItG2mGa2ceCfYo0BwxsXqNm01IGEUdYcSSLTEv9YCik/edit?usp=sharing"",""เบิกจ่ายกองทุน!AJ64"")"),50660)</f>
        <v>50660</v>
      </c>
      <c r="R272" s="399">
        <f ca="1">IFERROR(__xludf.DUMMYFUNCTION("IMPORTRANGE(""https://docs.google.com/spreadsheets/d/1ItG2mGa2ceCfYo0BwxsXqNm01IGEUdYcSSLTEv9YCik/edit?usp=sharing"",""เบิกจ่ายกองทุน!AK64"")"),50660)</f>
        <v>50660</v>
      </c>
      <c r="S272" s="399">
        <f ca="1">IFERROR(__xludf.DUMMYFUNCTION("IMPORTRANGE(""https://docs.google.com/spreadsheets/d/1ItG2mGa2ceCfYo0BwxsXqNm01IGEUdYcSSLTEv9YCik/edit?usp=sharing"",""เบิกจ่ายกองทุน!AL64"")"),0)</f>
        <v>0</v>
      </c>
      <c r="T272" s="399">
        <f t="shared" ca="1" si="165"/>
        <v>0</v>
      </c>
      <c r="U272" s="399">
        <f t="shared" ca="1" si="166"/>
        <v>0</v>
      </c>
    </row>
    <row r="273" spans="1:21" ht="18.75" x14ac:dyDescent="0.25">
      <c r="A273" s="209"/>
      <c r="B273" s="67"/>
      <c r="C273" s="67"/>
      <c r="D273" s="836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261">
        <f t="shared" ref="L273:N273" ca="1" si="171">L274+L275</f>
        <v>0</v>
      </c>
      <c r="M273" s="399">
        <f t="shared" ca="1" si="171"/>
        <v>0</v>
      </c>
      <c r="N273" s="399">
        <f t="shared" ca="1" si="171"/>
        <v>0</v>
      </c>
      <c r="O273" s="399">
        <f t="shared" ca="1" si="162"/>
        <v>0</v>
      </c>
      <c r="P273" s="399">
        <f t="shared" ca="1" si="163"/>
        <v>0</v>
      </c>
      <c r="Q273" s="399">
        <f t="shared" ref="Q273:S273" si="172">Q274+Q275</f>
        <v>0</v>
      </c>
      <c r="R273" s="399">
        <f t="shared" si="172"/>
        <v>0</v>
      </c>
      <c r="S273" s="399">
        <f t="shared" si="172"/>
        <v>0</v>
      </c>
      <c r="T273" s="399">
        <f t="shared" si="165"/>
        <v>0</v>
      </c>
      <c r="U273" s="399">
        <f t="shared" si="166"/>
        <v>0</v>
      </c>
    </row>
    <row r="274" spans="1:21" ht="18.75" hidden="1" x14ac:dyDescent="0.25">
      <c r="A274" s="880"/>
      <c r="B274" s="838"/>
      <c r="C274" s="838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77">
        <f t="shared" si="162"/>
        <v>0</v>
      </c>
      <c r="P274" s="77">
        <f t="shared" si="163"/>
        <v>0</v>
      </c>
      <c r="Q274" s="77">
        <v>0</v>
      </c>
      <c r="R274" s="77">
        <v>0</v>
      </c>
      <c r="S274" s="77">
        <v>0</v>
      </c>
      <c r="T274" s="77">
        <f t="shared" si="165"/>
        <v>0</v>
      </c>
      <c r="U274" s="77">
        <f t="shared" si="166"/>
        <v>0</v>
      </c>
    </row>
    <row r="275" spans="1:21" ht="18.75" hidden="1" x14ac:dyDescent="0.25">
      <c r="A275" s="209"/>
      <c r="B275" s="67"/>
      <c r="C275" s="67"/>
      <c r="D275" s="67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261">
        <f ca="1">IFERROR(__xludf.DUMMYFUNCTION("IMPORTRANGE(""https://docs.google.com/spreadsheets/d/1-uDff_7J0KD5mKrp0Vvzr7lt3OU09vwQwhkpOPPYv2Y/edit?usp=sharing"",""งบพรบ!DH64"")"),0)</f>
        <v>0</v>
      </c>
      <c r="M275" s="399">
        <f ca="1">IFERROR(__xludf.DUMMYFUNCTION("IMPORTRANGE(""https://docs.google.com/spreadsheets/d/1-uDff_7J0KD5mKrp0Vvzr7lt3OU09vwQwhkpOPPYv2Y/edit?usp=sharing"",""งบพรบ!DK64"")"),0)</f>
        <v>0</v>
      </c>
      <c r="N275" s="399">
        <f ca="1">IFERROR(__xludf.DUMMYFUNCTION("IMPORTRANGE(""https://docs.google.com/spreadsheets/d/1-uDff_7J0KD5mKrp0Vvzr7lt3OU09vwQwhkpOPPYv2Y/edit?usp=sharing"",""งบพรบ!DM64"")"),0)</f>
        <v>0</v>
      </c>
      <c r="O275" s="399">
        <f t="shared" ca="1" si="162"/>
        <v>0</v>
      </c>
      <c r="P275" s="399">
        <f t="shared" ca="1" si="163"/>
        <v>0</v>
      </c>
      <c r="Q275" s="399">
        <v>0</v>
      </c>
      <c r="R275" s="399">
        <v>0</v>
      </c>
      <c r="S275" s="399">
        <v>0</v>
      </c>
      <c r="T275" s="399">
        <f t="shared" si="165"/>
        <v>0</v>
      </c>
      <c r="U275" s="399">
        <f t="shared" si="166"/>
        <v>0</v>
      </c>
    </row>
    <row r="276" spans="1:21" ht="19.5" x14ac:dyDescent="0.3">
      <c r="A276" s="222"/>
      <c r="B276" s="223"/>
      <c r="C276" s="440" t="s">
        <v>18</v>
      </c>
      <c r="D276" s="883" t="s">
        <v>38</v>
      </c>
      <c r="E276" s="225"/>
      <c r="F276" s="225"/>
      <c r="G276" s="226"/>
      <c r="H276" s="227"/>
      <c r="I276" s="219"/>
      <c r="J276" s="219"/>
      <c r="K276" s="220"/>
      <c r="L276" s="1235"/>
      <c r="M276" s="220"/>
      <c r="N276" s="220"/>
      <c r="O276" s="220"/>
      <c r="P276" s="220"/>
      <c r="Q276" s="220"/>
      <c r="R276" s="220"/>
      <c r="S276" s="220"/>
      <c r="T276" s="220"/>
      <c r="U276" s="220"/>
    </row>
    <row r="277" spans="1:21" ht="18.75" x14ac:dyDescent="0.25">
      <c r="A277" s="949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IFERROR(__xludf.DUMMYFUNCTION("IMPORTRANGE(""https://docs.google.com/spreadsheets/d/1eHaY18a8A9IcSdp1K8H6x8fbOy06t2VsZHhMHf-1x7Y/edit?usp=sharing"",""แผน!EC64"")"),22)</f>
        <v>22</v>
      </c>
      <c r="J277" s="329">
        <v>0</v>
      </c>
      <c r="K277" s="85">
        <f ca="1">IF(I277&gt;0,J277*100/I277,0)</f>
        <v>0</v>
      </c>
      <c r="L277" s="540"/>
      <c r="M277" s="72"/>
      <c r="N277" s="72"/>
      <c r="O277" s="72"/>
      <c r="P277" s="72"/>
      <c r="Q277" s="72"/>
      <c r="R277" s="72"/>
      <c r="S277" s="72"/>
      <c r="T277" s="72"/>
      <c r="U277" s="72"/>
    </row>
    <row r="278" spans="1:21" ht="18.75" x14ac:dyDescent="0.25">
      <c r="A278" s="1219"/>
      <c r="B278" s="668"/>
      <c r="C278" s="668"/>
      <c r="D278" s="1310" t="s">
        <v>116</v>
      </c>
      <c r="E278" s="1220"/>
      <c r="F278" s="1220"/>
      <c r="G278" s="1221"/>
      <c r="H278" s="93" t="s">
        <v>35</v>
      </c>
      <c r="I278" s="670">
        <v>0</v>
      </c>
      <c r="J278" s="670">
        <v>0</v>
      </c>
      <c r="K278" s="1311">
        <v>0</v>
      </c>
      <c r="L278" s="1312"/>
      <c r="M278" s="1313"/>
      <c r="N278" s="1313"/>
      <c r="O278" s="1313"/>
      <c r="P278" s="1313"/>
      <c r="Q278" s="1313"/>
      <c r="R278" s="1313"/>
      <c r="S278" s="1313"/>
      <c r="T278" s="1313"/>
      <c r="U278" s="1313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50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3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306" t="s">
        <v>35</v>
      </c>
      <c r="I281" s="1163">
        <f t="shared" ref="I281:J281" ca="1" si="173">I294</f>
        <v>0</v>
      </c>
      <c r="J281" s="1163">
        <f t="shared" si="173"/>
        <v>0</v>
      </c>
      <c r="K281" s="1164">
        <f t="shared" ref="K281:K282" ca="1" si="174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306" t="s">
        <v>46</v>
      </c>
      <c r="I282" s="1163">
        <f t="shared" ref="I282:J282" ca="1" si="175">I293</f>
        <v>0</v>
      </c>
      <c r="J282" s="1163">
        <f t="shared" si="175"/>
        <v>0</v>
      </c>
      <c r="K282" s="1164">
        <f t="shared" ca="1" si="174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1257">
        <f t="shared" ref="L283:N283" ca="1" si="176">L284+L285</f>
        <v>0</v>
      </c>
      <c r="M283" s="264">
        <f t="shared" ca="1" si="176"/>
        <v>0</v>
      </c>
      <c r="N283" s="264">
        <f t="shared" ca="1" si="176"/>
        <v>0</v>
      </c>
      <c r="O283" s="264">
        <f t="shared" ref="O283:O291" ca="1" si="177">IF(L283&gt;0,N283*100/L283,0)</f>
        <v>0</v>
      </c>
      <c r="P283" s="264">
        <f t="shared" ref="P283:P291" ca="1" si="178">IF(M283&gt;0,N283*100/M283,0)</f>
        <v>0</v>
      </c>
      <c r="Q283" s="264">
        <f t="shared" ref="Q283:S283" si="179">Q284+Q285</f>
        <v>0</v>
      </c>
      <c r="R283" s="264">
        <f t="shared" si="179"/>
        <v>0</v>
      </c>
      <c r="S283" s="264">
        <f t="shared" si="179"/>
        <v>0</v>
      </c>
      <c r="T283" s="264">
        <f t="shared" ref="T283:T291" si="180">IF(Q283&gt;0,S283*100/Q283,0)</f>
        <v>0</v>
      </c>
      <c r="U283" s="264">
        <f t="shared" ref="U283:U291" si="181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6">
        <f t="shared" ref="L284:N285" si="182">L287+L290</f>
        <v>0</v>
      </c>
      <c r="M284" s="77">
        <f t="shared" si="182"/>
        <v>0</v>
      </c>
      <c r="N284" s="77">
        <f t="shared" si="182"/>
        <v>0</v>
      </c>
      <c r="O284" s="77">
        <f t="shared" si="177"/>
        <v>0</v>
      </c>
      <c r="P284" s="77">
        <f t="shared" si="178"/>
        <v>0</v>
      </c>
      <c r="Q284" s="77">
        <f t="shared" ref="Q284:S285" si="183">Q287+Q290</f>
        <v>0</v>
      </c>
      <c r="R284" s="77">
        <f t="shared" si="183"/>
        <v>0</v>
      </c>
      <c r="S284" s="77">
        <f t="shared" si="183"/>
        <v>0</v>
      </c>
      <c r="T284" s="77">
        <f t="shared" si="180"/>
        <v>0</v>
      </c>
      <c r="U284" s="77">
        <f t="shared" si="181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3">
        <f t="shared" ca="1" si="182"/>
        <v>0</v>
      </c>
      <c r="M285" s="74">
        <f t="shared" ca="1" si="182"/>
        <v>0</v>
      </c>
      <c r="N285" s="74">
        <f t="shared" ca="1" si="182"/>
        <v>0</v>
      </c>
      <c r="O285" s="74">
        <f t="shared" ca="1" si="177"/>
        <v>0</v>
      </c>
      <c r="P285" s="74">
        <f t="shared" ca="1" si="178"/>
        <v>0</v>
      </c>
      <c r="Q285" s="74">
        <f t="shared" si="183"/>
        <v>0</v>
      </c>
      <c r="R285" s="74">
        <f t="shared" si="183"/>
        <v>0</v>
      </c>
      <c r="S285" s="74">
        <f t="shared" si="183"/>
        <v>0</v>
      </c>
      <c r="T285" s="74">
        <f t="shared" si="180"/>
        <v>0</v>
      </c>
      <c r="U285" s="74">
        <f t="shared" si="181"/>
        <v>0</v>
      </c>
    </row>
    <row r="286" spans="1:21" ht="18.75" hidden="1" x14ac:dyDescent="0.25">
      <c r="A286" s="257"/>
      <c r="B286" s="258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3">
        <f t="shared" ref="L286:N286" ca="1" si="184">L287+L288</f>
        <v>0</v>
      </c>
      <c r="M286" s="74">
        <f t="shared" ca="1" si="184"/>
        <v>0</v>
      </c>
      <c r="N286" s="74">
        <f t="shared" ca="1" si="184"/>
        <v>0</v>
      </c>
      <c r="O286" s="74">
        <f t="shared" ca="1" si="177"/>
        <v>0</v>
      </c>
      <c r="P286" s="74">
        <f t="shared" ca="1" si="178"/>
        <v>0</v>
      </c>
      <c r="Q286" s="74">
        <f t="shared" ref="Q286:S286" si="185">Q287+Q288</f>
        <v>0</v>
      </c>
      <c r="R286" s="74">
        <f t="shared" si="185"/>
        <v>0</v>
      </c>
      <c r="S286" s="74">
        <f t="shared" si="185"/>
        <v>0</v>
      </c>
      <c r="T286" s="74">
        <f t="shared" si="180"/>
        <v>0</v>
      </c>
      <c r="U286" s="74">
        <f t="shared" si="181"/>
        <v>0</v>
      </c>
    </row>
    <row r="287" spans="1:21" ht="18.75" hidden="1" x14ac:dyDescent="0.25">
      <c r="A287" s="257"/>
      <c r="B287" s="258"/>
      <c r="C287" s="258"/>
      <c r="D287" s="258"/>
      <c r="E287" s="26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77">
        <f t="shared" si="177"/>
        <v>0</v>
      </c>
      <c r="P287" s="77">
        <f t="shared" si="178"/>
        <v>0</v>
      </c>
      <c r="Q287" s="77">
        <v>0</v>
      </c>
      <c r="R287" s="77">
        <v>0</v>
      </c>
      <c r="S287" s="77">
        <v>0</v>
      </c>
      <c r="T287" s="77">
        <f t="shared" si="180"/>
        <v>0</v>
      </c>
      <c r="U287" s="77">
        <f t="shared" si="181"/>
        <v>0</v>
      </c>
    </row>
    <row r="288" spans="1:21" ht="18.75" hidden="1" x14ac:dyDescent="0.25">
      <c r="A288" s="257"/>
      <c r="B288" s="258"/>
      <c r="C288" s="258"/>
      <c r="D288" s="258"/>
      <c r="E288" s="267" t="s">
        <v>37</v>
      </c>
      <c r="F288" s="258"/>
      <c r="G288" s="261"/>
      <c r="H288" s="271" t="s">
        <v>14</v>
      </c>
      <c r="I288" s="272"/>
      <c r="J288" s="272"/>
      <c r="K288" s="229"/>
      <c r="L288" s="73">
        <f ca="1">IFERROR(__xludf.DUMMYFUNCTION("IMPORTRANGE(""https://docs.google.com/spreadsheets/d/1-uDff_7J0KD5mKrp0Vvzr7lt3OU09vwQwhkpOPPYv2Y/edit?usp=sharing"",""งบพรบ!DO64"")"),0)</f>
        <v>0</v>
      </c>
      <c r="M288" s="74">
        <f ca="1">IFERROR(__xludf.DUMMYFUNCTION("IMPORTRANGE(""https://docs.google.com/spreadsheets/d/1-uDff_7J0KD5mKrp0Vvzr7lt3OU09vwQwhkpOPPYv2Y/edit?usp=sharing"",""งบพรบ!DT64"")"),0)</f>
        <v>0</v>
      </c>
      <c r="N288" s="74">
        <f ca="1">IFERROR(__xludf.DUMMYFUNCTION("IMPORTRANGE(""https://docs.google.com/spreadsheets/d/1-uDff_7J0KD5mKrp0Vvzr7lt3OU09vwQwhkpOPPYv2Y/edit?usp=sharing"",""งบพรบ!DV64"")"),0)</f>
        <v>0</v>
      </c>
      <c r="O288" s="74">
        <f t="shared" ca="1" si="177"/>
        <v>0</v>
      </c>
      <c r="P288" s="74">
        <f t="shared" ca="1" si="178"/>
        <v>0</v>
      </c>
      <c r="Q288" s="74">
        <v>0</v>
      </c>
      <c r="R288" s="74">
        <v>0</v>
      </c>
      <c r="S288" s="74">
        <v>0</v>
      </c>
      <c r="T288" s="77">
        <f t="shared" si="180"/>
        <v>0</v>
      </c>
      <c r="U288" s="77">
        <f t="shared" si="181"/>
        <v>0</v>
      </c>
    </row>
    <row r="289" spans="1:21" ht="18.75" hidden="1" x14ac:dyDescent="0.25">
      <c r="A289" s="257"/>
      <c r="B289" s="258"/>
      <c r="C289" s="258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3">
        <f t="shared" ref="L289:N289" ca="1" si="186">L290+L291</f>
        <v>0</v>
      </c>
      <c r="M289" s="74">
        <f t="shared" ca="1" si="186"/>
        <v>0</v>
      </c>
      <c r="N289" s="74">
        <f t="shared" ca="1" si="186"/>
        <v>0</v>
      </c>
      <c r="O289" s="74">
        <f t="shared" ca="1" si="177"/>
        <v>0</v>
      </c>
      <c r="P289" s="74">
        <f t="shared" ca="1" si="178"/>
        <v>0</v>
      </c>
      <c r="Q289" s="74">
        <f t="shared" ref="Q289:S289" si="187">Q290+Q291</f>
        <v>0</v>
      </c>
      <c r="R289" s="74">
        <f t="shared" si="187"/>
        <v>0</v>
      </c>
      <c r="S289" s="74">
        <f t="shared" si="187"/>
        <v>0</v>
      </c>
      <c r="T289" s="74">
        <f t="shared" si="180"/>
        <v>0</v>
      </c>
      <c r="U289" s="74">
        <f t="shared" si="181"/>
        <v>0</v>
      </c>
    </row>
    <row r="290" spans="1:21" ht="18.75" hidden="1" x14ac:dyDescent="0.25">
      <c r="A290" s="257"/>
      <c r="B290" s="258"/>
      <c r="C290" s="258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77">
        <f t="shared" si="177"/>
        <v>0</v>
      </c>
      <c r="P290" s="77">
        <f t="shared" si="178"/>
        <v>0</v>
      </c>
      <c r="Q290" s="77">
        <v>0</v>
      </c>
      <c r="R290" s="77">
        <v>0</v>
      </c>
      <c r="S290" s="77">
        <v>0</v>
      </c>
      <c r="T290" s="77">
        <f t="shared" si="180"/>
        <v>0</v>
      </c>
      <c r="U290" s="77">
        <f t="shared" si="181"/>
        <v>0</v>
      </c>
    </row>
    <row r="291" spans="1:21" ht="18.75" hidden="1" x14ac:dyDescent="0.25">
      <c r="A291" s="257"/>
      <c r="B291" s="258"/>
      <c r="C291" s="258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3">
        <f ca="1">IFERROR(__xludf.DUMMYFUNCTION("IMPORTRANGE(""https://docs.google.com/spreadsheets/d/1-uDff_7J0KD5mKrp0Vvzr7lt3OU09vwQwhkpOPPYv2Y/edit?usp=sharing"",""งบพรบ!DR64"")"),0)</f>
        <v>0</v>
      </c>
      <c r="M291" s="74">
        <f ca="1">IFERROR(__xludf.DUMMYFUNCTION("IMPORTRANGE(""https://docs.google.com/spreadsheets/d/1-uDff_7J0KD5mKrp0Vvzr7lt3OU09vwQwhkpOPPYv2Y/edit?usp=sharing"",""งบพรบ!DU64"")"),0)</f>
        <v>0</v>
      </c>
      <c r="N291" s="74">
        <f ca="1">IFERROR(__xludf.DUMMYFUNCTION("IMPORTRANGE(""https://docs.google.com/spreadsheets/d/1-uDff_7J0KD5mKrp0Vvzr7lt3OU09vwQwhkpOPPYv2Y/edit?usp=sharing"",""งบพรบ!DW64"")"),0)</f>
        <v>0</v>
      </c>
      <c r="O291" s="74">
        <f t="shared" ca="1" si="177"/>
        <v>0</v>
      </c>
      <c r="P291" s="74">
        <f t="shared" ca="1" si="178"/>
        <v>0</v>
      </c>
      <c r="Q291" s="74">
        <v>0</v>
      </c>
      <c r="R291" s="74">
        <v>0</v>
      </c>
      <c r="S291" s="74">
        <v>0</v>
      </c>
      <c r="T291" s="74">
        <f t="shared" si="180"/>
        <v>0</v>
      </c>
      <c r="U291" s="74">
        <f t="shared" si="181"/>
        <v>0</v>
      </c>
    </row>
    <row r="292" spans="1:21" ht="19.5" hidden="1" x14ac:dyDescent="0.3">
      <c r="A292" s="276"/>
      <c r="B292" s="277"/>
      <c r="C292" s="259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IFERROR(__xludf.DUMMYFUNCTION("IMPORTRANGE(""https://docs.google.com/spreadsheets/d/1eHaY18a8A9IcSdp1K8H6x8fbOy06t2VsZHhMHf-1x7Y/edit?usp=sharing"",""แผน!EE64"")"),0)</f>
        <v>0</v>
      </c>
      <c r="J293" s="294">
        <v>0</v>
      </c>
      <c r="K293" s="768">
        <f t="shared" ref="K293:K294" ca="1" si="188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IFERROR(__xludf.DUMMYFUNCTION("IMPORTRANGE(""https://docs.google.com/spreadsheets/d/1eHaY18a8A9IcSdp1K8H6x8fbOy06t2VsZHhMHf-1x7Y/edit?usp=sharing"",""แผน!ED64"")"),0)</f>
        <v>0</v>
      </c>
      <c r="J294" s="622">
        <f>J297</f>
        <v>0</v>
      </c>
      <c r="K294" s="1105">
        <f t="shared" ca="1" si="188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96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IFERROR(__xludf.DUMMYFUNCTION("IMPORTRANGE(""https://docs.google.com/spreadsheets/d/1eHaY18a8A9IcSdp1K8H6x8fbOy06t2VsZHhMHf-1x7Y/edit?usp=sharing"",""แผน!ED64"")"),0)</f>
        <v>0</v>
      </c>
      <c r="J296" s="294">
        <v>0</v>
      </c>
      <c r="K296" s="768">
        <f t="shared" ref="K296:K297" ca="1" si="189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IFERROR(__xludf.DUMMYFUNCTION("IMPORTRANGE(""https://docs.google.com/spreadsheets/d/1eHaY18a8A9IcSdp1K8H6x8fbOy06t2VsZHhMHf-1x7Y/edit?usp=sharing"",""แผน!ED64"")"),0)</f>
        <v>0</v>
      </c>
      <c r="J297" s="294">
        <v>0</v>
      </c>
      <c r="K297" s="768">
        <f t="shared" ca="1" si="189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286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286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041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1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6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x14ac:dyDescent="0.3">
      <c r="A303" s="1179"/>
      <c r="B303" s="1180" t="s">
        <v>127</v>
      </c>
      <c r="C303" s="607"/>
      <c r="D303" s="607"/>
      <c r="E303" s="607"/>
      <c r="F303" s="607"/>
      <c r="G303" s="608"/>
      <c r="H303" s="1307" t="s">
        <v>35</v>
      </c>
      <c r="I303" s="617">
        <f t="shared" ref="I303:J303" ca="1" si="190">I315</f>
        <v>20</v>
      </c>
      <c r="J303" s="617">
        <f t="shared" si="190"/>
        <v>20</v>
      </c>
      <c r="K303" s="611">
        <f ca="1">IF(I303&gt;0,J303*100/I303,0)</f>
        <v>100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1257">
        <f t="shared" ref="L304:N304" ca="1" si="191">L305+L306</f>
        <v>82400</v>
      </c>
      <c r="M304" s="264">
        <f t="shared" ca="1" si="191"/>
        <v>82400</v>
      </c>
      <c r="N304" s="264">
        <f t="shared" ca="1" si="191"/>
        <v>2920</v>
      </c>
      <c r="O304" s="264">
        <f t="shared" ref="O304:O312" ca="1" si="192">IF(L304&gt;0,N304*100/L304,0)</f>
        <v>3.5436893203883497</v>
      </c>
      <c r="P304" s="264">
        <f t="shared" ref="P304:P312" ca="1" si="193">IF(M304&gt;0,N304*100/M304,0)</f>
        <v>3.5436893203883497</v>
      </c>
      <c r="Q304" s="264">
        <f t="shared" ref="Q304:S304" ca="1" si="194">Q305+Q306</f>
        <v>144609.24</v>
      </c>
      <c r="R304" s="264">
        <f t="shared" ca="1" si="194"/>
        <v>144609</v>
      </c>
      <c r="S304" s="264">
        <f t="shared" ca="1" si="194"/>
        <v>0</v>
      </c>
      <c r="T304" s="264">
        <f t="shared" ref="T304:T312" ca="1" si="195">IF(Q304&gt;0,S304*100/Q304,0)</f>
        <v>0</v>
      </c>
      <c r="U304" s="264">
        <f t="shared" ref="U304:U312" ca="1" si="196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6">
        <f t="shared" ref="L305:N306" si="197">L308+L311</f>
        <v>0</v>
      </c>
      <c r="M305" s="77">
        <f t="shared" si="197"/>
        <v>0</v>
      </c>
      <c r="N305" s="77">
        <f t="shared" si="197"/>
        <v>0</v>
      </c>
      <c r="O305" s="77">
        <f t="shared" si="192"/>
        <v>0</v>
      </c>
      <c r="P305" s="77">
        <f t="shared" si="193"/>
        <v>0</v>
      </c>
      <c r="Q305" s="77">
        <f t="shared" ref="Q305:S306" si="198">Q308+Q311</f>
        <v>0</v>
      </c>
      <c r="R305" s="77">
        <f t="shared" si="198"/>
        <v>0</v>
      </c>
      <c r="S305" s="77">
        <f t="shared" si="198"/>
        <v>0</v>
      </c>
      <c r="T305" s="77">
        <f t="shared" si="195"/>
        <v>0</v>
      </c>
      <c r="U305" s="77">
        <f t="shared" si="196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3">
        <f t="shared" ca="1" si="197"/>
        <v>82400</v>
      </c>
      <c r="M306" s="74">
        <f t="shared" ca="1" si="197"/>
        <v>82400</v>
      </c>
      <c r="N306" s="74">
        <f t="shared" ca="1" si="197"/>
        <v>2920</v>
      </c>
      <c r="O306" s="74">
        <f t="shared" ca="1" si="192"/>
        <v>3.5436893203883497</v>
      </c>
      <c r="P306" s="74">
        <f t="shared" ca="1" si="193"/>
        <v>3.5436893203883497</v>
      </c>
      <c r="Q306" s="74">
        <f t="shared" ca="1" si="198"/>
        <v>144609.24</v>
      </c>
      <c r="R306" s="74">
        <f t="shared" ca="1" si="198"/>
        <v>144609</v>
      </c>
      <c r="S306" s="74">
        <f t="shared" ca="1" si="198"/>
        <v>0</v>
      </c>
      <c r="T306" s="74">
        <f t="shared" ca="1" si="195"/>
        <v>0</v>
      </c>
      <c r="U306" s="74">
        <f t="shared" ca="1" si="196"/>
        <v>0</v>
      </c>
    </row>
    <row r="307" spans="1:21" ht="18.75" x14ac:dyDescent="0.25">
      <c r="A307" s="257"/>
      <c r="B307" s="258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3">
        <f t="shared" ref="L307:N307" ca="1" si="199">L308+L309</f>
        <v>82400</v>
      </c>
      <c r="M307" s="74">
        <f t="shared" ca="1" si="199"/>
        <v>82400</v>
      </c>
      <c r="N307" s="74">
        <f t="shared" ca="1" si="199"/>
        <v>2920</v>
      </c>
      <c r="O307" s="74">
        <f t="shared" ca="1" si="192"/>
        <v>3.5436893203883497</v>
      </c>
      <c r="P307" s="74">
        <f t="shared" ca="1" si="193"/>
        <v>3.5436893203883497</v>
      </c>
      <c r="Q307" s="74">
        <f t="shared" ref="Q307:S307" ca="1" si="200">Q308+Q309</f>
        <v>144609.24</v>
      </c>
      <c r="R307" s="74">
        <f t="shared" ca="1" si="200"/>
        <v>144609</v>
      </c>
      <c r="S307" s="74">
        <f t="shared" ca="1" si="200"/>
        <v>0</v>
      </c>
      <c r="T307" s="74">
        <f t="shared" ca="1" si="195"/>
        <v>0</v>
      </c>
      <c r="U307" s="74">
        <f t="shared" ca="1" si="196"/>
        <v>0</v>
      </c>
    </row>
    <row r="308" spans="1:21" ht="18.75" hidden="1" x14ac:dyDescent="0.25">
      <c r="A308" s="257"/>
      <c r="B308" s="258"/>
      <c r="C308" s="258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77">
        <f t="shared" si="192"/>
        <v>0</v>
      </c>
      <c r="P308" s="77">
        <f t="shared" si="193"/>
        <v>0</v>
      </c>
      <c r="Q308" s="77">
        <v>0</v>
      </c>
      <c r="R308" s="77">
        <v>0</v>
      </c>
      <c r="S308" s="77">
        <v>0</v>
      </c>
      <c r="T308" s="77">
        <f t="shared" si="195"/>
        <v>0</v>
      </c>
      <c r="U308" s="77">
        <f t="shared" si="196"/>
        <v>0</v>
      </c>
    </row>
    <row r="309" spans="1:21" ht="18.75" hidden="1" x14ac:dyDescent="0.25">
      <c r="A309" s="257"/>
      <c r="B309" s="258"/>
      <c r="C309" s="258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3">
        <f ca="1">IFERROR(__xludf.DUMMYFUNCTION("IMPORTRANGE(""https://docs.google.com/spreadsheets/d/1-uDff_7J0KD5mKrp0Vvzr7lt3OU09vwQwhkpOPPYv2Y/edit?usp=sharing"",""งบพรบ!DY64"")"),82400)</f>
        <v>82400</v>
      </c>
      <c r="M309" s="74">
        <f ca="1">IFERROR(__xludf.DUMMYFUNCTION("IMPORTRANGE(""https://docs.google.com/spreadsheets/d/1-uDff_7J0KD5mKrp0Vvzr7lt3OU09vwQwhkpOPPYv2Y/edit?usp=sharing"",""งบพรบ!ED64"")"),82400)</f>
        <v>82400</v>
      </c>
      <c r="N309" s="74">
        <f ca="1">IFERROR(__xludf.DUMMYFUNCTION("IMPORTRANGE(""https://docs.google.com/spreadsheets/d/1-uDff_7J0KD5mKrp0Vvzr7lt3OU09vwQwhkpOPPYv2Y/edit?usp=sharing"",""งบพรบ!EF64"")"),2920)</f>
        <v>2920</v>
      </c>
      <c r="O309" s="74">
        <f t="shared" ca="1" si="192"/>
        <v>3.5436893203883497</v>
      </c>
      <c r="P309" s="74">
        <f t="shared" ca="1" si="193"/>
        <v>3.5436893203883497</v>
      </c>
      <c r="Q309" s="74">
        <f ca="1">IFERROR(__xludf.DUMMYFUNCTION("IMPORTRANGE(""https://docs.google.com/spreadsheets/d/1ItG2mGa2ceCfYo0BwxsXqNm01IGEUdYcSSLTEv9YCik/edit?usp=sharing"",""เบิกจ่ายกองทุน!AP64"")"),144609.24)</f>
        <v>144609.24</v>
      </c>
      <c r="R309" s="74">
        <f ca="1">IFERROR(__xludf.DUMMYFUNCTION("IMPORTRANGE(""https://docs.google.com/spreadsheets/d/1ItG2mGa2ceCfYo0BwxsXqNm01IGEUdYcSSLTEv9YCik/edit?usp=sharing"",""เบิกจ่ายกองทุน!AQ64"")"),144609)</f>
        <v>144609</v>
      </c>
      <c r="S309" s="74">
        <f ca="1">IFERROR(__xludf.DUMMYFUNCTION("IMPORTRANGE(""https://docs.google.com/spreadsheets/d/1ItG2mGa2ceCfYo0BwxsXqNm01IGEUdYcSSLTEv9YCik/edit?usp=sharing"",""เบิกจ่ายกองทุน!AR64"")"),0)</f>
        <v>0</v>
      </c>
      <c r="T309" s="74">
        <f t="shared" ca="1" si="195"/>
        <v>0</v>
      </c>
      <c r="U309" s="74">
        <f t="shared" ca="1" si="196"/>
        <v>0</v>
      </c>
    </row>
    <row r="310" spans="1:21" ht="18.75" x14ac:dyDescent="0.25">
      <c r="A310" s="257"/>
      <c r="B310" s="258"/>
      <c r="C310" s="258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3">
        <f t="shared" ref="L310:N310" ca="1" si="201">L311+L312</f>
        <v>0</v>
      </c>
      <c r="M310" s="74">
        <f t="shared" ca="1" si="201"/>
        <v>0</v>
      </c>
      <c r="N310" s="74">
        <f t="shared" ca="1" si="201"/>
        <v>0</v>
      </c>
      <c r="O310" s="74">
        <f t="shared" ca="1" si="192"/>
        <v>0</v>
      </c>
      <c r="P310" s="74">
        <f t="shared" ca="1" si="193"/>
        <v>0</v>
      </c>
      <c r="Q310" s="74">
        <f t="shared" ref="Q310:S310" si="202">Q311+Q312</f>
        <v>0</v>
      </c>
      <c r="R310" s="74">
        <f t="shared" si="202"/>
        <v>0</v>
      </c>
      <c r="S310" s="74">
        <f t="shared" si="202"/>
        <v>0</v>
      </c>
      <c r="T310" s="74">
        <f t="shared" si="195"/>
        <v>0</v>
      </c>
      <c r="U310" s="74">
        <f t="shared" si="196"/>
        <v>0</v>
      </c>
    </row>
    <row r="311" spans="1:21" ht="18.75" hidden="1" x14ac:dyDescent="0.25">
      <c r="A311" s="257"/>
      <c r="B311" s="258"/>
      <c r="C311" s="258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77">
        <f t="shared" si="192"/>
        <v>0</v>
      </c>
      <c r="P311" s="77">
        <f t="shared" si="193"/>
        <v>0</v>
      </c>
      <c r="Q311" s="77">
        <v>0</v>
      </c>
      <c r="R311" s="77">
        <v>0</v>
      </c>
      <c r="S311" s="77">
        <v>0</v>
      </c>
      <c r="T311" s="77">
        <f t="shared" si="195"/>
        <v>0</v>
      </c>
      <c r="U311" s="77">
        <f t="shared" si="196"/>
        <v>0</v>
      </c>
    </row>
    <row r="312" spans="1:21" ht="18.75" hidden="1" x14ac:dyDescent="0.25">
      <c r="A312" s="257"/>
      <c r="B312" s="258"/>
      <c r="C312" s="258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3">
        <f ca="1">IFERROR(__xludf.DUMMYFUNCTION("IMPORTRANGE(""https://docs.google.com/spreadsheets/d/1-uDff_7J0KD5mKrp0Vvzr7lt3OU09vwQwhkpOPPYv2Y/edit?usp=sharing"",""งบพรบ!EB64"")"),0)</f>
        <v>0</v>
      </c>
      <c r="M312" s="74">
        <f ca="1">IFERROR(__xludf.DUMMYFUNCTION("IMPORTRANGE(""https://docs.google.com/spreadsheets/d/1-uDff_7J0KD5mKrp0Vvzr7lt3OU09vwQwhkpOPPYv2Y/edit?usp=sharing"",""งบพรบ!EE64"")"),0)</f>
        <v>0</v>
      </c>
      <c r="N312" s="74">
        <f ca="1">IFERROR(__xludf.DUMMYFUNCTION("IMPORTRANGE(""https://docs.google.com/spreadsheets/d/1-uDff_7J0KD5mKrp0Vvzr7lt3OU09vwQwhkpOPPYv2Y/edit?usp=sharing"",""งบพรบ!EG64"")"),0)</f>
        <v>0</v>
      </c>
      <c r="O312" s="74">
        <f t="shared" ca="1" si="192"/>
        <v>0</v>
      </c>
      <c r="P312" s="74">
        <f t="shared" ca="1" si="193"/>
        <v>0</v>
      </c>
      <c r="Q312" s="74">
        <v>0</v>
      </c>
      <c r="R312" s="74">
        <v>0</v>
      </c>
      <c r="S312" s="74">
        <v>0</v>
      </c>
      <c r="T312" s="74">
        <f t="shared" si="195"/>
        <v>0</v>
      </c>
      <c r="U312" s="74">
        <f t="shared" si="196"/>
        <v>0</v>
      </c>
    </row>
    <row r="313" spans="1:21" ht="19.5" x14ac:dyDescent="0.3">
      <c r="A313" s="276"/>
      <c r="B313" s="277"/>
      <c r="C313" s="259" t="s">
        <v>18</v>
      </c>
      <c r="D313" s="1019" t="s">
        <v>38</v>
      </c>
      <c r="E313" s="280"/>
      <c r="F313" s="280"/>
      <c r="G313" s="2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3"/>
      <c r="E314" s="285"/>
      <c r="F314" s="285"/>
      <c r="G314" s="286"/>
      <c r="H314" s="286"/>
      <c r="I314" s="287"/>
      <c r="J314" s="1252"/>
      <c r="K314" s="30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x14ac:dyDescent="0.25">
      <c r="A315" s="276"/>
      <c r="B315" s="277"/>
      <c r="C315" s="277"/>
      <c r="D315" s="295" t="s">
        <v>121</v>
      </c>
      <c r="E315" s="296"/>
      <c r="F315" s="296"/>
      <c r="G315" s="282"/>
      <c r="H315" s="299" t="s">
        <v>35</v>
      </c>
      <c r="I315" s="293">
        <f ca="1">IFERROR(__xludf.DUMMYFUNCTION("IMPORTRANGE(""https://docs.google.com/spreadsheets/d/1eHaY18a8A9IcSdp1K8H6x8fbOy06t2VsZHhMHf-1x7Y/edit?usp=sharing"",""แผน!EF64"")"),20)</f>
        <v>20</v>
      </c>
      <c r="J315" s="294">
        <v>20</v>
      </c>
      <c r="K315" s="74">
        <f ca="1">IF(I315&gt;0,J315*100/I315,0)</f>
        <v>100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308"/>
      <c r="I316" s="1252"/>
      <c r="J316" s="1252"/>
      <c r="K316" s="1255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308"/>
      <c r="I317" s="1252"/>
      <c r="J317" s="1252"/>
      <c r="K317" s="1255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491"/>
      <c r="B318" s="492"/>
      <c r="C318" s="492"/>
      <c r="D318" s="31"/>
      <c r="E318" s="21"/>
      <c r="F318" s="21"/>
      <c r="G318" s="24"/>
      <c r="H318" s="32"/>
      <c r="I318" s="494"/>
      <c r="J318" s="494"/>
      <c r="K318" s="33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5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1307" t="s">
        <v>133</v>
      </c>
      <c r="I320" s="617">
        <f t="shared" ref="I320:J320" ca="1" si="203">I331</f>
        <v>0</v>
      </c>
      <c r="J320" s="617">
        <f t="shared" si="203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1257">
        <f t="shared" ref="L321:N321" ca="1" si="204">L322+L323</f>
        <v>0</v>
      </c>
      <c r="M321" s="264">
        <f t="shared" ca="1" si="204"/>
        <v>0</v>
      </c>
      <c r="N321" s="264">
        <f t="shared" ca="1" si="204"/>
        <v>0</v>
      </c>
      <c r="O321" s="264">
        <f t="shared" ref="O321:O329" ca="1" si="205">IF(L321&gt;0,N321*100/L321,0)</f>
        <v>0</v>
      </c>
      <c r="P321" s="264">
        <f t="shared" ref="P321:P329" ca="1" si="206">IF(M321&gt;0,N321*100/M321,0)</f>
        <v>0</v>
      </c>
      <c r="Q321" s="264">
        <f t="shared" ref="Q321:S321" si="207">Q322+Q323</f>
        <v>0</v>
      </c>
      <c r="R321" s="264">
        <f t="shared" si="207"/>
        <v>0</v>
      </c>
      <c r="S321" s="264">
        <f t="shared" si="207"/>
        <v>0</v>
      </c>
      <c r="T321" s="264">
        <f t="shared" ref="T321:T329" si="208">IF(Q321&gt;0,S321*100/Q321,0)</f>
        <v>0</v>
      </c>
      <c r="U321" s="264">
        <f t="shared" ref="U321:U329" si="209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6">
        <f t="shared" ref="L322:N323" si="210">L325+L328</f>
        <v>0</v>
      </c>
      <c r="M322" s="77">
        <f t="shared" si="210"/>
        <v>0</v>
      </c>
      <c r="N322" s="77">
        <f t="shared" si="210"/>
        <v>0</v>
      </c>
      <c r="O322" s="77">
        <f t="shared" si="205"/>
        <v>0</v>
      </c>
      <c r="P322" s="77">
        <f t="shared" si="206"/>
        <v>0</v>
      </c>
      <c r="Q322" s="77">
        <f t="shared" ref="Q322:S323" si="211">Q325+Q328</f>
        <v>0</v>
      </c>
      <c r="R322" s="77">
        <f t="shared" si="211"/>
        <v>0</v>
      </c>
      <c r="S322" s="77">
        <f t="shared" si="211"/>
        <v>0</v>
      </c>
      <c r="T322" s="77">
        <f t="shared" si="208"/>
        <v>0</v>
      </c>
      <c r="U322" s="77">
        <f t="shared" si="209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3">
        <f t="shared" ca="1" si="210"/>
        <v>0</v>
      </c>
      <c r="M323" s="74">
        <f t="shared" ca="1" si="210"/>
        <v>0</v>
      </c>
      <c r="N323" s="74">
        <f t="shared" ca="1" si="210"/>
        <v>0</v>
      </c>
      <c r="O323" s="74">
        <f t="shared" ca="1" si="205"/>
        <v>0</v>
      </c>
      <c r="P323" s="74">
        <f t="shared" ca="1" si="206"/>
        <v>0</v>
      </c>
      <c r="Q323" s="74">
        <f t="shared" si="211"/>
        <v>0</v>
      </c>
      <c r="R323" s="74">
        <f t="shared" si="211"/>
        <v>0</v>
      </c>
      <c r="S323" s="74">
        <f t="shared" si="211"/>
        <v>0</v>
      </c>
      <c r="T323" s="74">
        <f t="shared" si="208"/>
        <v>0</v>
      </c>
      <c r="U323" s="74">
        <f t="shared" si="209"/>
        <v>0</v>
      </c>
    </row>
    <row r="324" spans="1:21" ht="18.75" hidden="1" x14ac:dyDescent="0.25">
      <c r="A324" s="257"/>
      <c r="B324" s="258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3">
        <f t="shared" ref="L324:N324" ca="1" si="212">L325+L326</f>
        <v>0</v>
      </c>
      <c r="M324" s="74">
        <f t="shared" ca="1" si="212"/>
        <v>0</v>
      </c>
      <c r="N324" s="74">
        <f t="shared" ca="1" si="212"/>
        <v>0</v>
      </c>
      <c r="O324" s="74">
        <f t="shared" ca="1" si="205"/>
        <v>0</v>
      </c>
      <c r="P324" s="74">
        <f t="shared" ca="1" si="206"/>
        <v>0</v>
      </c>
      <c r="Q324" s="74">
        <f t="shared" ref="Q324:S324" si="213">Q325+Q326</f>
        <v>0</v>
      </c>
      <c r="R324" s="74">
        <f t="shared" si="213"/>
        <v>0</v>
      </c>
      <c r="S324" s="74">
        <f t="shared" si="213"/>
        <v>0</v>
      </c>
      <c r="T324" s="74">
        <f t="shared" si="208"/>
        <v>0</v>
      </c>
      <c r="U324" s="74">
        <f t="shared" si="209"/>
        <v>0</v>
      </c>
    </row>
    <row r="325" spans="1:21" ht="18.75" hidden="1" x14ac:dyDescent="0.25">
      <c r="A325" s="257"/>
      <c r="B325" s="258"/>
      <c r="C325" s="258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77">
        <f t="shared" si="205"/>
        <v>0</v>
      </c>
      <c r="P325" s="77">
        <f t="shared" si="206"/>
        <v>0</v>
      </c>
      <c r="Q325" s="77">
        <v>0</v>
      </c>
      <c r="R325" s="77">
        <v>0</v>
      </c>
      <c r="S325" s="77">
        <v>0</v>
      </c>
      <c r="T325" s="77">
        <f t="shared" si="208"/>
        <v>0</v>
      </c>
      <c r="U325" s="77">
        <f t="shared" si="209"/>
        <v>0</v>
      </c>
    </row>
    <row r="326" spans="1:21" ht="18.75" hidden="1" x14ac:dyDescent="0.25">
      <c r="A326" s="257"/>
      <c r="B326" s="258"/>
      <c r="C326" s="258"/>
      <c r="D326" s="258"/>
      <c r="E326" s="267" t="s">
        <v>37</v>
      </c>
      <c r="F326" s="258"/>
      <c r="G326" s="261"/>
      <c r="H326" s="271" t="s">
        <v>14</v>
      </c>
      <c r="I326" s="272"/>
      <c r="J326" s="272"/>
      <c r="K326" s="229"/>
      <c r="L326" s="73">
        <f ca="1">IFERROR(__xludf.DUMMYFUNCTION("IMPORTRANGE(""https://docs.google.com/spreadsheets/d/1-uDff_7J0KD5mKrp0Vvzr7lt3OU09vwQwhkpOPPYv2Y/edit?usp=sharing"",""งบพรบ!EI64"")"),0)</f>
        <v>0</v>
      </c>
      <c r="M326" s="74">
        <f ca="1">IFERROR(__xludf.DUMMYFUNCTION("IMPORTRANGE(""https://docs.google.com/spreadsheets/d/1-uDff_7J0KD5mKrp0Vvzr7lt3OU09vwQwhkpOPPYv2Y/edit?usp=sharing"",""งบพรบ!EN64"")"),0)</f>
        <v>0</v>
      </c>
      <c r="N326" s="74">
        <f ca="1">IFERROR(__xludf.DUMMYFUNCTION("IMPORTRANGE(""https://docs.google.com/spreadsheets/d/1-uDff_7J0KD5mKrp0Vvzr7lt3OU09vwQwhkpOPPYv2Y/edit?usp=sharing"",""งบพรบ!EP64"")"),0)</f>
        <v>0</v>
      </c>
      <c r="O326" s="74">
        <f t="shared" ca="1" si="205"/>
        <v>0</v>
      </c>
      <c r="P326" s="74">
        <f t="shared" ca="1" si="206"/>
        <v>0</v>
      </c>
      <c r="Q326" s="74">
        <v>0</v>
      </c>
      <c r="R326" s="74">
        <v>0</v>
      </c>
      <c r="S326" s="74">
        <v>0</v>
      </c>
      <c r="T326" s="74">
        <f t="shared" si="208"/>
        <v>0</v>
      </c>
      <c r="U326" s="74">
        <f t="shared" si="209"/>
        <v>0</v>
      </c>
    </row>
    <row r="327" spans="1:21" ht="18.75" hidden="1" x14ac:dyDescent="0.25">
      <c r="A327" s="257"/>
      <c r="B327" s="258"/>
      <c r="C327" s="258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3">
        <f t="shared" ref="L327:N327" ca="1" si="214">L328+L329</f>
        <v>0</v>
      </c>
      <c r="M327" s="74">
        <f t="shared" ca="1" si="214"/>
        <v>0</v>
      </c>
      <c r="N327" s="74">
        <f t="shared" ca="1" si="214"/>
        <v>0</v>
      </c>
      <c r="O327" s="74">
        <f t="shared" ca="1" si="205"/>
        <v>0</v>
      </c>
      <c r="P327" s="74">
        <f t="shared" ca="1" si="206"/>
        <v>0</v>
      </c>
      <c r="Q327" s="74">
        <f t="shared" ref="Q327:S327" si="215">Q328+Q329</f>
        <v>0</v>
      </c>
      <c r="R327" s="74">
        <f t="shared" si="215"/>
        <v>0</v>
      </c>
      <c r="S327" s="74">
        <f t="shared" si="215"/>
        <v>0</v>
      </c>
      <c r="T327" s="74">
        <f t="shared" si="208"/>
        <v>0</v>
      </c>
      <c r="U327" s="74">
        <f t="shared" si="209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77">
        <f t="shared" si="205"/>
        <v>0</v>
      </c>
      <c r="P328" s="77">
        <f t="shared" si="206"/>
        <v>0</v>
      </c>
      <c r="Q328" s="77">
        <v>0</v>
      </c>
      <c r="R328" s="77">
        <v>0</v>
      </c>
      <c r="S328" s="77">
        <v>0</v>
      </c>
      <c r="T328" s="77">
        <f t="shared" si="208"/>
        <v>0</v>
      </c>
      <c r="U328" s="77">
        <f t="shared" si="209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3">
        <f ca="1">IFERROR(__xludf.DUMMYFUNCTION("IMPORTRANGE(""https://docs.google.com/spreadsheets/d/1-uDff_7J0KD5mKrp0Vvzr7lt3OU09vwQwhkpOPPYv2Y/edit?usp=sharing"",""งบพรบ!EL64"")"),0)</f>
        <v>0</v>
      </c>
      <c r="M329" s="74">
        <f ca="1">IFERROR(__xludf.DUMMYFUNCTION("IMPORTRANGE(""https://docs.google.com/spreadsheets/d/1-uDff_7J0KD5mKrp0Vvzr7lt3OU09vwQwhkpOPPYv2Y/edit?usp=sharing"",""งบพรบ!EO64"")"),0)</f>
        <v>0</v>
      </c>
      <c r="N329" s="74">
        <f ca="1">IFERROR(__xludf.DUMMYFUNCTION("IMPORTRANGE(""https://docs.google.com/spreadsheets/d/1-uDff_7J0KD5mKrp0Vvzr7lt3OU09vwQwhkpOPPYv2Y/edit?usp=sharing"",""งบพรบ!EQ64"")"),0)</f>
        <v>0</v>
      </c>
      <c r="O329" s="74">
        <f t="shared" ca="1" si="205"/>
        <v>0</v>
      </c>
      <c r="P329" s="74">
        <f t="shared" ca="1" si="206"/>
        <v>0</v>
      </c>
      <c r="Q329" s="74">
        <v>0</v>
      </c>
      <c r="R329" s="74">
        <v>0</v>
      </c>
      <c r="S329" s="74">
        <v>0</v>
      </c>
      <c r="T329" s="74">
        <f t="shared" si="208"/>
        <v>0</v>
      </c>
      <c r="U329" s="74">
        <f t="shared" si="209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282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92" t="s">
        <v>133</v>
      </c>
      <c r="I331" s="293">
        <f ca="1">IFERROR(__xludf.DUMMYFUNCTION("IMPORTRANGE(""https://docs.google.com/spreadsheets/d/1eHaY18a8A9IcSdp1K8H6x8fbOy06t2VsZHhMHf-1x7Y/edit?usp=sharing"",""แผน!EJ64"")"),0)</f>
        <v>0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5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1307" t="s">
        <v>35</v>
      </c>
      <c r="I333" s="534">
        <f ca="1">I345</f>
        <v>540</v>
      </c>
      <c r="J333" s="535">
        <f ca="1">J345+J348+J349+J350+J354</f>
        <v>1018</v>
      </c>
      <c r="K333" s="536">
        <f ca="1">IF(I333&gt;0,J333*100/I333,0)</f>
        <v>188.5185185185185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1257">
        <f t="shared" ref="L334:N334" ca="1" si="216">L335+L336</f>
        <v>351600</v>
      </c>
      <c r="M334" s="264">
        <f t="shared" ca="1" si="216"/>
        <v>351600</v>
      </c>
      <c r="N334" s="264">
        <f t="shared" ca="1" si="216"/>
        <v>165960</v>
      </c>
      <c r="O334" s="264">
        <f t="shared" ref="O334:O342" ca="1" si="217">IF(L334&gt;0,N334*100/L334,0)</f>
        <v>47.201365187713307</v>
      </c>
      <c r="P334" s="264">
        <f t="shared" ref="P334:P342" ca="1" si="218">IF(M334&gt;0,N334*100/M334,0)</f>
        <v>47.201365187713307</v>
      </c>
      <c r="Q334" s="264">
        <f t="shared" ref="Q334:S334" si="219">Q335+Q336</f>
        <v>0</v>
      </c>
      <c r="R334" s="264">
        <f t="shared" si="219"/>
        <v>0</v>
      </c>
      <c r="S334" s="264">
        <f t="shared" si="219"/>
        <v>0</v>
      </c>
      <c r="T334" s="264">
        <f t="shared" ref="T334:T342" si="220">IF(Q334&gt;0,S334*100/Q334,0)</f>
        <v>0</v>
      </c>
      <c r="U334" s="264">
        <f t="shared" ref="U334:U342" si="221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6">
        <f t="shared" ref="L335:N336" si="222">L338+L341</f>
        <v>0</v>
      </c>
      <c r="M335" s="77">
        <f t="shared" si="222"/>
        <v>0</v>
      </c>
      <c r="N335" s="77">
        <f t="shared" si="222"/>
        <v>0</v>
      </c>
      <c r="O335" s="77">
        <f t="shared" si="217"/>
        <v>0</v>
      </c>
      <c r="P335" s="77">
        <f t="shared" si="218"/>
        <v>0</v>
      </c>
      <c r="Q335" s="77">
        <f t="shared" ref="Q335:S336" si="223">Q338+Q341</f>
        <v>0</v>
      </c>
      <c r="R335" s="77">
        <f t="shared" si="223"/>
        <v>0</v>
      </c>
      <c r="S335" s="77">
        <f t="shared" si="223"/>
        <v>0</v>
      </c>
      <c r="T335" s="77">
        <f t="shared" si="220"/>
        <v>0</v>
      </c>
      <c r="U335" s="77">
        <f t="shared" si="221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3">
        <f t="shared" ca="1" si="222"/>
        <v>351600</v>
      </c>
      <c r="M336" s="74">
        <f t="shared" ca="1" si="222"/>
        <v>351600</v>
      </c>
      <c r="N336" s="74">
        <f t="shared" ca="1" si="222"/>
        <v>165960</v>
      </c>
      <c r="O336" s="74">
        <f t="shared" ca="1" si="217"/>
        <v>47.201365187713307</v>
      </c>
      <c r="P336" s="74">
        <f t="shared" ca="1" si="218"/>
        <v>47.201365187713307</v>
      </c>
      <c r="Q336" s="74">
        <f t="shared" si="223"/>
        <v>0</v>
      </c>
      <c r="R336" s="74">
        <f t="shared" si="223"/>
        <v>0</v>
      </c>
      <c r="S336" s="74">
        <f t="shared" si="223"/>
        <v>0</v>
      </c>
      <c r="T336" s="74">
        <f t="shared" si="220"/>
        <v>0</v>
      </c>
      <c r="U336" s="74">
        <f t="shared" si="221"/>
        <v>0</v>
      </c>
    </row>
    <row r="337" spans="1:21" ht="18.75" x14ac:dyDescent="0.25">
      <c r="A337" s="257"/>
      <c r="B337" s="258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3">
        <f t="shared" ref="L337:N337" ca="1" si="224">L338+L339</f>
        <v>351600</v>
      </c>
      <c r="M337" s="74">
        <f t="shared" ca="1" si="224"/>
        <v>351600</v>
      </c>
      <c r="N337" s="74">
        <f t="shared" ca="1" si="224"/>
        <v>165960</v>
      </c>
      <c r="O337" s="74">
        <f t="shared" ca="1" si="217"/>
        <v>47.201365187713307</v>
      </c>
      <c r="P337" s="74">
        <f t="shared" ca="1" si="218"/>
        <v>47.201365187713307</v>
      </c>
      <c r="Q337" s="74">
        <f t="shared" ref="Q337:S337" si="225">Q338+Q339</f>
        <v>0</v>
      </c>
      <c r="R337" s="74">
        <f t="shared" si="225"/>
        <v>0</v>
      </c>
      <c r="S337" s="74">
        <f t="shared" si="225"/>
        <v>0</v>
      </c>
      <c r="T337" s="74">
        <f t="shared" si="220"/>
        <v>0</v>
      </c>
      <c r="U337" s="74">
        <f t="shared" si="221"/>
        <v>0</v>
      </c>
    </row>
    <row r="338" spans="1:21" ht="18.75" hidden="1" x14ac:dyDescent="0.25">
      <c r="A338" s="257"/>
      <c r="B338" s="258"/>
      <c r="C338" s="258"/>
      <c r="D338" s="258"/>
      <c r="E338" s="26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77">
        <f t="shared" si="217"/>
        <v>0</v>
      </c>
      <c r="P338" s="77">
        <f t="shared" si="218"/>
        <v>0</v>
      </c>
      <c r="Q338" s="77">
        <v>0</v>
      </c>
      <c r="R338" s="77">
        <v>0</v>
      </c>
      <c r="S338" s="77">
        <v>0</v>
      </c>
      <c r="T338" s="77">
        <f t="shared" si="220"/>
        <v>0</v>
      </c>
      <c r="U338" s="77">
        <f t="shared" si="221"/>
        <v>0</v>
      </c>
    </row>
    <row r="339" spans="1:21" ht="18.75" hidden="1" x14ac:dyDescent="0.25">
      <c r="A339" s="257"/>
      <c r="B339" s="258"/>
      <c r="C339" s="258"/>
      <c r="D339" s="258"/>
      <c r="E339" s="267" t="s">
        <v>37</v>
      </c>
      <c r="F339" s="258"/>
      <c r="G339" s="261"/>
      <c r="H339" s="271" t="s">
        <v>14</v>
      </c>
      <c r="I339" s="272"/>
      <c r="J339" s="272"/>
      <c r="K339" s="229"/>
      <c r="L339" s="73">
        <f ca="1">IFERROR(__xludf.DUMMYFUNCTION("IMPORTRANGE(""https://docs.google.com/spreadsheets/d/1-uDff_7J0KD5mKrp0Vvzr7lt3OU09vwQwhkpOPPYv2Y/edit?usp=sharing"",""งบพรบ!ES64"")"),351600)</f>
        <v>351600</v>
      </c>
      <c r="M339" s="74">
        <f ca="1">IFERROR(__xludf.DUMMYFUNCTION("IMPORTRANGE(""https://docs.google.com/spreadsheets/d/1-uDff_7J0KD5mKrp0Vvzr7lt3OU09vwQwhkpOPPYv2Y/edit?usp=sharing"",""งบพรบ!EX64"")"),351600)</f>
        <v>351600</v>
      </c>
      <c r="N339" s="74">
        <f ca="1">IFERROR(__xludf.DUMMYFUNCTION("IMPORTRANGE(""https://docs.google.com/spreadsheets/d/1-uDff_7J0KD5mKrp0Vvzr7lt3OU09vwQwhkpOPPYv2Y/edit?usp=sharing"",""งบพรบ!EZ64"")"),165960)</f>
        <v>165960</v>
      </c>
      <c r="O339" s="74">
        <f t="shared" ca="1" si="217"/>
        <v>47.201365187713307</v>
      </c>
      <c r="P339" s="74">
        <f t="shared" ca="1" si="218"/>
        <v>47.201365187713307</v>
      </c>
      <c r="Q339" s="74">
        <v>0</v>
      </c>
      <c r="R339" s="74">
        <v>0</v>
      </c>
      <c r="S339" s="74">
        <v>0</v>
      </c>
      <c r="T339" s="74">
        <f t="shared" si="220"/>
        <v>0</v>
      </c>
      <c r="U339" s="74">
        <f t="shared" si="221"/>
        <v>0</v>
      </c>
    </row>
    <row r="340" spans="1:21" ht="18.75" x14ac:dyDescent="0.25">
      <c r="A340" s="257"/>
      <c r="B340" s="258"/>
      <c r="C340" s="258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3">
        <f t="shared" ref="L340:N340" ca="1" si="226">L341+L342</f>
        <v>0</v>
      </c>
      <c r="M340" s="74">
        <f t="shared" ca="1" si="226"/>
        <v>0</v>
      </c>
      <c r="N340" s="74">
        <f t="shared" ca="1" si="226"/>
        <v>0</v>
      </c>
      <c r="O340" s="74">
        <f t="shared" ca="1" si="217"/>
        <v>0</v>
      </c>
      <c r="P340" s="74">
        <f t="shared" ca="1" si="218"/>
        <v>0</v>
      </c>
      <c r="Q340" s="74">
        <f t="shared" ref="Q340:S340" si="227">Q341+Q342</f>
        <v>0</v>
      </c>
      <c r="R340" s="74">
        <f t="shared" si="227"/>
        <v>0</v>
      </c>
      <c r="S340" s="74">
        <f t="shared" si="227"/>
        <v>0</v>
      </c>
      <c r="T340" s="74">
        <f t="shared" si="220"/>
        <v>0</v>
      </c>
      <c r="U340" s="74">
        <f t="shared" si="221"/>
        <v>0</v>
      </c>
    </row>
    <row r="341" spans="1:21" ht="18.75" hidden="1" x14ac:dyDescent="0.25">
      <c r="A341" s="257"/>
      <c r="B341" s="258"/>
      <c r="C341" s="258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77">
        <f t="shared" si="217"/>
        <v>0</v>
      </c>
      <c r="P341" s="77">
        <f t="shared" si="218"/>
        <v>0</v>
      </c>
      <c r="Q341" s="77">
        <v>0</v>
      </c>
      <c r="R341" s="77">
        <v>0</v>
      </c>
      <c r="S341" s="77">
        <v>0</v>
      </c>
      <c r="T341" s="77">
        <f t="shared" si="220"/>
        <v>0</v>
      </c>
      <c r="U341" s="77">
        <f t="shared" si="221"/>
        <v>0</v>
      </c>
    </row>
    <row r="342" spans="1:21" ht="18.75" hidden="1" x14ac:dyDescent="0.25">
      <c r="A342" s="257"/>
      <c r="B342" s="258"/>
      <c r="C342" s="258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3">
        <f ca="1">IFERROR(__xludf.DUMMYFUNCTION("IMPORTRANGE(""https://docs.google.com/spreadsheets/d/1-uDff_7J0KD5mKrp0Vvzr7lt3OU09vwQwhkpOPPYv2Y/edit?usp=sharing"",""งบพรบ!EV64"")"),0)</f>
        <v>0</v>
      </c>
      <c r="M342" s="74">
        <f ca="1">IFERROR(__xludf.DUMMYFUNCTION("IMPORTRANGE(""https://docs.google.com/spreadsheets/d/1-uDff_7J0KD5mKrp0Vvzr7lt3OU09vwQwhkpOPPYv2Y/edit?usp=sharing"",""งบพรบ!EY64"")"),0)</f>
        <v>0</v>
      </c>
      <c r="N342" s="74">
        <f ca="1">IFERROR(__xludf.DUMMYFUNCTION("IMPORTRANGE(""https://docs.google.com/spreadsheets/d/1-uDff_7J0KD5mKrp0Vvzr7lt3OU09vwQwhkpOPPYv2Y/edit?usp=sharing"",""งบพรบ!FA64"")"),0)</f>
        <v>0</v>
      </c>
      <c r="O342" s="74">
        <f t="shared" ca="1" si="217"/>
        <v>0</v>
      </c>
      <c r="P342" s="74">
        <f t="shared" ca="1" si="218"/>
        <v>0</v>
      </c>
      <c r="Q342" s="74">
        <v>0</v>
      </c>
      <c r="R342" s="74">
        <v>0</v>
      </c>
      <c r="S342" s="74">
        <v>0</v>
      </c>
      <c r="T342" s="74">
        <f t="shared" si="220"/>
        <v>0</v>
      </c>
      <c r="U342" s="74">
        <f t="shared" si="221"/>
        <v>0</v>
      </c>
    </row>
    <row r="343" spans="1:21" ht="19.5" x14ac:dyDescent="0.3">
      <c r="A343" s="276"/>
      <c r="B343" s="277"/>
      <c r="C343" s="259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1018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551" t="s">
        <v>35</v>
      </c>
      <c r="I345" s="293">
        <f ca="1">IFERROR(__xludf.DUMMYFUNCTION("IMPORTRANGE(""https://docs.google.com/spreadsheets/d/1eHaY18a8A9IcSdp1K8H6x8fbOy06t2VsZHhMHf-1x7Y/edit?usp=sharing"",""แผน!EK64"")"),540)</f>
        <v>540</v>
      </c>
      <c r="J345" s="293">
        <f ca="1">IFERROR(__xludf.DUMMYFUNCTION("IMPORTRANGE(""https://docs.google.com/spreadsheets/d/1awYsYK3VOup2i3Pq_Yjnu8DRu_mYwSBnCR2QPthd0rU/edit?usp=sharing"",""ศูนย์ยกเว้นโฉนด!D64"")"),755)</f>
        <v>755</v>
      </c>
      <c r="K345" s="74">
        <f ca="1">IF(I345&gt;0,J345*100/I345,0)</f>
        <v>139.81481481481481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IFERROR(__xludf.DUMMYFUNCTION("IMPORTRANGE(""https://docs.google.com/spreadsheets/d/1eHaY18a8A9IcSdp1K8H6x8fbOy06t2VsZHhMHf-1x7Y/edit?usp=sharing"",""แผน!EL64"")"),2)</f>
        <v>2</v>
      </c>
      <c r="J347" s="293">
        <f ca="1">IFERROR(__xludf.DUMMYFUNCTION("IMPORTRANGE(""https://docs.google.com/spreadsheets/d/1awYsYK3VOup2i3Pq_Yjnu8DRu_mYwSBnCR2QPthd0rU/edit?usp=sharing"",""ศูนย์รวม!E64"")"),4)</f>
        <v>4</v>
      </c>
      <c r="K347" s="74">
        <f ca="1">IF(I347&gt;0,J347*100/I347,0)</f>
        <v>200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IFERROR(__xludf.DUMMYFUNCTION("IMPORTRANGE(""https://docs.google.com/spreadsheets/d/1awYsYK3VOup2i3Pq_Yjnu8DRu_mYwSBnCR2QPthd0rU/edit?usp=sharing"",""ศูนย์ยกเว้นโฉนด!F64"")"),251)</f>
        <v>251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IFERROR(__xludf.DUMMYFUNCTION("IMPORTRANGE(""https://docs.google.com/spreadsheets/d/1awYsYK3VOup2i3Pq_Yjnu8DRu_mYwSBnCR2QPthd0rU/edit?usp=sharing"",""ศูนย์ยกเว้นโฉนด!G64"")"),12)</f>
        <v>12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IFERROR(__xludf.DUMMYFUNCTION("IMPORTRANGE(""https://docs.google.com/spreadsheets/d/1awYsYK3VOup2i3Pq_Yjnu8DRu_mYwSBnCR2QPthd0rU/edit?usp=sharing"",""ศูนย์ยกเว้นโฉนด!H64"")"),0)</f>
        <v>0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558" t="s">
        <v>35</v>
      </c>
      <c r="I352" s="559">
        <v>0</v>
      </c>
      <c r="J352" s="559">
        <f ca="1">J353+J354</f>
        <v>0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IFERROR(__xludf.DUMMYFUNCTION("IMPORTRANGE(""https://docs.google.com/spreadsheets/d/1awYsYK3VOup2i3Pq_Yjnu8DRu_mYwSBnCR2QPthd0rU/edit?usp=sharing"",""โฉนดM3!G64"")"),0)</f>
        <v>0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IFERROR(__xludf.DUMMYFUNCTION("IMPORTRANGE(""https://docs.google.com/spreadsheets/d/1awYsYK3VOup2i3Pq_Yjnu8DRu_mYwSBnCR2QPthd0rU/edit?usp=sharing"",""โฉนดM3!H64"")"),0)</f>
        <v>0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08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1257">
        <f t="shared" ref="L357:N357" ca="1" si="228">L358+L359</f>
        <v>115055</v>
      </c>
      <c r="M357" s="264">
        <f t="shared" ca="1" si="228"/>
        <v>115055</v>
      </c>
      <c r="N357" s="264">
        <f t="shared" ca="1" si="228"/>
        <v>51161.29</v>
      </c>
      <c r="O357" s="264">
        <f t="shared" ref="O357:O365" ca="1" si="229">IF(L357&gt;0,N357*100/L357,0)</f>
        <v>44.466811524922861</v>
      </c>
      <c r="P357" s="264">
        <f t="shared" ref="P357:P365" ca="1" si="230">IF(M357&gt;0,N357*100/M357,0)</f>
        <v>44.466811524922861</v>
      </c>
      <c r="Q357" s="264">
        <f t="shared" ref="Q357:S357" si="231">Q358+Q359</f>
        <v>0</v>
      </c>
      <c r="R357" s="264">
        <f t="shared" si="231"/>
        <v>0</v>
      </c>
      <c r="S357" s="264">
        <f t="shared" si="231"/>
        <v>0</v>
      </c>
      <c r="T357" s="264">
        <f t="shared" ref="T357:T365" si="232">IF(Q357&gt;0,S357*100/Q357,0)</f>
        <v>0</v>
      </c>
      <c r="U357" s="264">
        <f t="shared" ref="U357:U365" si="233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6">
        <f t="shared" ref="L358:N359" si="234">L361+L364</f>
        <v>0</v>
      </c>
      <c r="M358" s="77">
        <f t="shared" si="234"/>
        <v>0</v>
      </c>
      <c r="N358" s="77">
        <f t="shared" si="234"/>
        <v>0</v>
      </c>
      <c r="O358" s="77">
        <f t="shared" si="229"/>
        <v>0</v>
      </c>
      <c r="P358" s="77">
        <f t="shared" si="230"/>
        <v>0</v>
      </c>
      <c r="Q358" s="77">
        <f t="shared" ref="Q358:S359" si="235">Q361+Q364</f>
        <v>0</v>
      </c>
      <c r="R358" s="77">
        <f t="shared" si="235"/>
        <v>0</v>
      </c>
      <c r="S358" s="77">
        <f t="shared" si="235"/>
        <v>0</v>
      </c>
      <c r="T358" s="77">
        <f t="shared" si="232"/>
        <v>0</v>
      </c>
      <c r="U358" s="77">
        <f t="shared" si="233"/>
        <v>0</v>
      </c>
    </row>
    <row r="359" spans="1:21" ht="18.75" hidden="1" x14ac:dyDescent="0.25">
      <c r="A359" s="257"/>
      <c r="B359" s="258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3">
        <f t="shared" ca="1" si="234"/>
        <v>115055</v>
      </c>
      <c r="M359" s="74">
        <f t="shared" ca="1" si="234"/>
        <v>115055</v>
      </c>
      <c r="N359" s="74">
        <f t="shared" ca="1" si="234"/>
        <v>51161.29</v>
      </c>
      <c r="O359" s="74">
        <f t="shared" ca="1" si="229"/>
        <v>44.466811524922861</v>
      </c>
      <c r="P359" s="74">
        <f t="shared" ca="1" si="230"/>
        <v>44.466811524922861</v>
      </c>
      <c r="Q359" s="74">
        <f t="shared" si="235"/>
        <v>0</v>
      </c>
      <c r="R359" s="74">
        <f t="shared" si="235"/>
        <v>0</v>
      </c>
      <c r="S359" s="74">
        <f t="shared" si="235"/>
        <v>0</v>
      </c>
      <c r="T359" s="74">
        <f t="shared" si="232"/>
        <v>0</v>
      </c>
      <c r="U359" s="74">
        <f t="shared" si="233"/>
        <v>0</v>
      </c>
    </row>
    <row r="360" spans="1:21" ht="18.75" x14ac:dyDescent="0.25">
      <c r="A360" s="257"/>
      <c r="B360" s="258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3">
        <f t="shared" ref="L360:N360" ca="1" si="236">L361+L362</f>
        <v>115055</v>
      </c>
      <c r="M360" s="74">
        <f t="shared" ca="1" si="236"/>
        <v>115055</v>
      </c>
      <c r="N360" s="74">
        <f t="shared" ca="1" si="236"/>
        <v>51161.29</v>
      </c>
      <c r="O360" s="74">
        <f t="shared" ca="1" si="229"/>
        <v>44.466811524922861</v>
      </c>
      <c r="P360" s="74">
        <f t="shared" ca="1" si="230"/>
        <v>44.466811524922861</v>
      </c>
      <c r="Q360" s="74">
        <f t="shared" ref="Q360:S360" si="237">Q361+Q362</f>
        <v>0</v>
      </c>
      <c r="R360" s="74">
        <f t="shared" si="237"/>
        <v>0</v>
      </c>
      <c r="S360" s="74">
        <f t="shared" si="237"/>
        <v>0</v>
      </c>
      <c r="T360" s="74">
        <f t="shared" si="232"/>
        <v>0</v>
      </c>
      <c r="U360" s="74">
        <f t="shared" si="233"/>
        <v>0</v>
      </c>
    </row>
    <row r="361" spans="1:21" ht="18.75" hidden="1" x14ac:dyDescent="0.25">
      <c r="A361" s="257"/>
      <c r="B361" s="258"/>
      <c r="C361" s="258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77">
        <f t="shared" si="229"/>
        <v>0</v>
      </c>
      <c r="P361" s="77">
        <f t="shared" si="230"/>
        <v>0</v>
      </c>
      <c r="Q361" s="77">
        <v>0</v>
      </c>
      <c r="R361" s="77">
        <v>0</v>
      </c>
      <c r="S361" s="77">
        <v>0</v>
      </c>
      <c r="T361" s="77">
        <f t="shared" si="232"/>
        <v>0</v>
      </c>
      <c r="U361" s="77">
        <f t="shared" si="233"/>
        <v>0</v>
      </c>
    </row>
    <row r="362" spans="1:21" ht="18.75" hidden="1" x14ac:dyDescent="0.25">
      <c r="A362" s="257"/>
      <c r="B362" s="258"/>
      <c r="C362" s="258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3">
        <f ca="1">IFERROR(__xludf.DUMMYFUNCTION("IMPORTRANGE(""https://docs.google.com/spreadsheets/d/1-uDff_7J0KD5mKrp0Vvzr7lt3OU09vwQwhkpOPPYv2Y/edit?usp=sharing"",""งบพรบ!FC64"")"),115055)</f>
        <v>115055</v>
      </c>
      <c r="M362" s="74">
        <f ca="1">IFERROR(__xludf.DUMMYFUNCTION("IMPORTRANGE(""https://docs.google.com/spreadsheets/d/1-uDff_7J0KD5mKrp0Vvzr7lt3OU09vwQwhkpOPPYv2Y/edit?usp=sharing"",""งบพรบ!FH64"")"),115055)</f>
        <v>115055</v>
      </c>
      <c r="N362" s="74">
        <f ca="1">IFERROR(__xludf.DUMMYFUNCTION("IMPORTRANGE(""https://docs.google.com/spreadsheets/d/1-uDff_7J0KD5mKrp0Vvzr7lt3OU09vwQwhkpOPPYv2Y/edit?usp=sharing"",""งบพรบ!FJ64"")"),51161.29)</f>
        <v>51161.29</v>
      </c>
      <c r="O362" s="74">
        <f t="shared" ca="1" si="229"/>
        <v>44.466811524922861</v>
      </c>
      <c r="P362" s="74">
        <f t="shared" ca="1" si="230"/>
        <v>44.466811524922861</v>
      </c>
      <c r="Q362" s="74">
        <v>0</v>
      </c>
      <c r="R362" s="74">
        <v>0</v>
      </c>
      <c r="S362" s="74">
        <v>0</v>
      </c>
      <c r="T362" s="74">
        <f t="shared" si="232"/>
        <v>0</v>
      </c>
      <c r="U362" s="74">
        <f t="shared" si="233"/>
        <v>0</v>
      </c>
    </row>
    <row r="363" spans="1:21" ht="18.75" x14ac:dyDescent="0.25">
      <c r="A363" s="257"/>
      <c r="B363" s="258"/>
      <c r="C363" s="258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3">
        <f t="shared" ref="L363:N363" ca="1" si="238">L364+L365</f>
        <v>0</v>
      </c>
      <c r="M363" s="74">
        <f t="shared" ca="1" si="238"/>
        <v>0</v>
      </c>
      <c r="N363" s="74">
        <f t="shared" ca="1" si="238"/>
        <v>0</v>
      </c>
      <c r="O363" s="74">
        <f t="shared" ca="1" si="229"/>
        <v>0</v>
      </c>
      <c r="P363" s="74">
        <f t="shared" ca="1" si="230"/>
        <v>0</v>
      </c>
      <c r="Q363" s="74">
        <f t="shared" ref="Q363:S363" si="239">Q364+Q365</f>
        <v>0</v>
      </c>
      <c r="R363" s="74">
        <f t="shared" si="239"/>
        <v>0</v>
      </c>
      <c r="S363" s="74">
        <f t="shared" si="239"/>
        <v>0</v>
      </c>
      <c r="T363" s="74">
        <f t="shared" si="232"/>
        <v>0</v>
      </c>
      <c r="U363" s="74">
        <f t="shared" si="233"/>
        <v>0</v>
      </c>
    </row>
    <row r="364" spans="1:21" ht="18.75" hidden="1" x14ac:dyDescent="0.25">
      <c r="A364" s="257"/>
      <c r="B364" s="258"/>
      <c r="C364" s="258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77">
        <f t="shared" si="229"/>
        <v>0</v>
      </c>
      <c r="P364" s="77">
        <f t="shared" si="230"/>
        <v>0</v>
      </c>
      <c r="Q364" s="77">
        <v>0</v>
      </c>
      <c r="R364" s="77">
        <v>0</v>
      </c>
      <c r="S364" s="77">
        <v>0</v>
      </c>
      <c r="T364" s="77">
        <f t="shared" si="232"/>
        <v>0</v>
      </c>
      <c r="U364" s="77">
        <f t="shared" si="233"/>
        <v>0</v>
      </c>
    </row>
    <row r="365" spans="1:21" ht="18.75" hidden="1" x14ac:dyDescent="0.25">
      <c r="A365" s="257"/>
      <c r="B365" s="258"/>
      <c r="C365" s="258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3">
        <f ca="1">IFERROR(__xludf.DUMMYFUNCTION("IMPORTRANGE(""https://docs.google.com/spreadsheets/d/1-uDff_7J0KD5mKrp0Vvzr7lt3OU09vwQwhkpOPPYv2Y/edit?usp=sharing"",""งบพรบ!FF64"")"),0)</f>
        <v>0</v>
      </c>
      <c r="M365" s="74">
        <f ca="1">IFERROR(__xludf.DUMMYFUNCTION("IMPORTRANGE(""https://docs.google.com/spreadsheets/d/1-uDff_7J0KD5mKrp0Vvzr7lt3OU09vwQwhkpOPPYv2Y/edit?usp=sharing"",""งบพรบ!FI64"")"),0)</f>
        <v>0</v>
      </c>
      <c r="N365" s="74">
        <f ca="1">IFERROR(__xludf.DUMMYFUNCTION("IMPORTRANGE(""https://docs.google.com/spreadsheets/d/1-uDff_7J0KD5mKrp0Vvzr7lt3OU09vwQwhkpOPPYv2Y/edit?usp=sharing"",""งบพรบ!FK64"")"),0)</f>
        <v>0</v>
      </c>
      <c r="O365" s="74">
        <f t="shared" ca="1" si="229"/>
        <v>0</v>
      </c>
      <c r="P365" s="74">
        <f t="shared" ca="1" si="230"/>
        <v>0</v>
      </c>
      <c r="Q365" s="74">
        <v>0</v>
      </c>
      <c r="R365" s="74">
        <v>0</v>
      </c>
      <c r="S365" s="74">
        <v>0</v>
      </c>
      <c r="T365" s="74">
        <f t="shared" si="232"/>
        <v>0</v>
      </c>
      <c r="U365" s="74">
        <f t="shared" si="233"/>
        <v>0</v>
      </c>
    </row>
    <row r="366" spans="1:21" ht="19.5" x14ac:dyDescent="0.3">
      <c r="A366" s="553"/>
      <c r="B366" s="555"/>
      <c r="C366" s="554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0">I372</f>
        <v>0</v>
      </c>
      <c r="J366" s="559">
        <f t="shared" ca="1" si="240"/>
        <v>0</v>
      </c>
      <c r="K366" s="560">
        <f ca="1">IF(I366&gt;0,J366*100/I366,0)</f>
        <v>0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259" t="s">
        <v>18</v>
      </c>
      <c r="D367" s="1019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96"/>
      <c r="C368" s="277"/>
      <c r="D368" s="296"/>
      <c r="E368" s="767" t="s">
        <v>150</v>
      </c>
      <c r="F368" s="296"/>
      <c r="G368" s="282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IFERROR(__xludf.DUMMYFUNCTION("IMPORTRANGE(""https://docs.google.com/spreadsheets/d/1tdoBKaGub7dwA3U6UFTqxio9LNnvDCQjHKmttSEBsFQ/edit?usp=sharing"",""จัดที่ดิน!AB64"")"),0)</f>
        <v>0</v>
      </c>
      <c r="K368" s="74">
        <f t="shared" ref="K368:K373" si="241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IFERROR(__xludf.DUMMYFUNCTION("IMPORTRANGE(""https://docs.google.com/spreadsheets/d/1eHaY18a8A9IcSdp1K8H6x8fbOy06t2VsZHhMHf-1x7Y/edit?usp=sharing"",""แผน!EW64"")"),0)</f>
        <v>0</v>
      </c>
      <c r="J369" s="1190">
        <f ca="1">IFERROR(__xludf.DUMMYFUNCTION("IMPORTRANGE(""https://docs.google.com/spreadsheets/d/1tdoBKaGub7dwA3U6UFTqxio9LNnvDCQjHKmttSEBsFQ/edit?usp=sharing"",""จัดที่ดิน!AC64"")"),0)</f>
        <v>0</v>
      </c>
      <c r="K369" s="74">
        <f t="shared" ca="1" si="241"/>
        <v>0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99" t="s">
        <v>35</v>
      </c>
      <c r="I370" s="293">
        <f ca="1">IFERROR(__xludf.DUMMYFUNCTION("IMPORTRANGE(""https://docs.google.com/spreadsheets/d/1eHaY18a8A9IcSdp1K8H6x8fbOy06t2VsZHhMHf-1x7Y/edit?usp=sharing"",""แผน!EX64"")"),0)</f>
        <v>0</v>
      </c>
      <c r="J370" s="293">
        <f ca="1">IFERROR(__xludf.DUMMYFUNCTION("IMPORTRANGE(""https://docs.google.com/spreadsheets/d/1tdoBKaGub7dwA3U6UFTqxio9LNnvDCQjHKmttSEBsFQ/edit?usp=sharing"",""จัดที่ดิน!AD64"")"),0)</f>
        <v>0</v>
      </c>
      <c r="K370" s="74">
        <f t="shared" ca="1" si="241"/>
        <v>0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99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IFERROR(__xludf.DUMMYFUNCTION("IMPORTRANGE(""https://docs.google.com/spreadsheets/d/1tdoBKaGub7dwA3U6UFTqxio9LNnvDCQjHKmttSEBsFQ/edit?usp=sharing"",""จัดที่ดิน!AE64"")"),0)</f>
        <v>0</v>
      </c>
      <c r="K371" s="74">
        <f t="shared" si="241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99" t="s">
        <v>35</v>
      </c>
      <c r="I372" s="293">
        <f ca="1">IFERROR(__xludf.DUMMYFUNCTION("IMPORTRANGE(""https://docs.google.com/spreadsheets/d/1eHaY18a8A9IcSdp1K8H6x8fbOy06t2VsZHhMHf-1x7Y/edit?usp=sharing"",""แผน!EY64"")"),0)</f>
        <v>0</v>
      </c>
      <c r="J372" s="293">
        <f ca="1">IFERROR(__xludf.DUMMYFUNCTION("IMPORTRANGE(""https://docs.google.com/spreadsheets/d/1tdoBKaGub7dwA3U6UFTqxio9LNnvDCQjHKmttSEBsFQ/edit?usp=sharing"",""จัดที่ดิน!AF64"")"),0)</f>
        <v>0</v>
      </c>
      <c r="K372" s="74">
        <f t="shared" ca="1" si="241"/>
        <v>0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99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IFERROR(__xludf.DUMMYFUNCTION("IMPORTRANGE(""https://docs.google.com/spreadsheets/d/1tdoBKaGub7dwA3U6UFTqxio9LNnvDCQjHKmttSEBsFQ/edit?usp=sharing"",""จัดที่ดิน!AG64"")"),0)</f>
        <v>0</v>
      </c>
      <c r="K373" s="74">
        <f t="shared" si="241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37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hidden="1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2">I386</f>
        <v>0</v>
      </c>
      <c r="J375" s="585">
        <f t="shared" si="242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hidden="1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1257">
        <f t="shared" ref="L376:N376" si="243">L377+L378</f>
        <v>0</v>
      </c>
      <c r="M376" s="264">
        <f t="shared" si="243"/>
        <v>0</v>
      </c>
      <c r="N376" s="264">
        <f t="shared" si="243"/>
        <v>0</v>
      </c>
      <c r="O376" s="264">
        <f t="shared" ref="O376:O384" si="244">IF(L376&gt;0,N376*100/L376,0)</f>
        <v>0</v>
      </c>
      <c r="P376" s="264">
        <f t="shared" ref="P376:P384" si="245">IF(M376&gt;0,N376*100/M376,0)</f>
        <v>0</v>
      </c>
      <c r="Q376" s="264">
        <f t="shared" ref="Q376:S376" ca="1" si="246">Q377+Q378</f>
        <v>0</v>
      </c>
      <c r="R376" s="264">
        <f t="shared" ca="1" si="246"/>
        <v>0</v>
      </c>
      <c r="S376" s="264">
        <f t="shared" ca="1" si="246"/>
        <v>0</v>
      </c>
      <c r="T376" s="264">
        <f t="shared" ref="T376:T384" ca="1" si="247">IF(Q376&gt;0,S376*100/Q376,0)</f>
        <v>0</v>
      </c>
      <c r="U376" s="264">
        <f t="shared" ref="U376:U384" ca="1" si="248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6">
        <f t="shared" ref="L377:N378" si="249">L380+L383</f>
        <v>0</v>
      </c>
      <c r="M377" s="77">
        <f t="shared" si="249"/>
        <v>0</v>
      </c>
      <c r="N377" s="77">
        <f t="shared" si="249"/>
        <v>0</v>
      </c>
      <c r="O377" s="77">
        <f t="shared" si="244"/>
        <v>0</v>
      </c>
      <c r="P377" s="77">
        <f t="shared" si="245"/>
        <v>0</v>
      </c>
      <c r="Q377" s="77">
        <f t="shared" ref="Q377:S378" si="250">Q380+Q383</f>
        <v>0</v>
      </c>
      <c r="R377" s="77">
        <f t="shared" si="250"/>
        <v>0</v>
      </c>
      <c r="S377" s="77">
        <f t="shared" si="250"/>
        <v>0</v>
      </c>
      <c r="T377" s="77">
        <f t="shared" si="247"/>
        <v>0</v>
      </c>
      <c r="U377" s="77">
        <f t="shared" si="248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3">
        <f t="shared" si="249"/>
        <v>0</v>
      </c>
      <c r="M378" s="74">
        <f t="shared" si="249"/>
        <v>0</v>
      </c>
      <c r="N378" s="74">
        <f t="shared" si="249"/>
        <v>0</v>
      </c>
      <c r="O378" s="74">
        <f t="shared" si="244"/>
        <v>0</v>
      </c>
      <c r="P378" s="74">
        <f t="shared" si="245"/>
        <v>0</v>
      </c>
      <c r="Q378" s="74">
        <f t="shared" ca="1" si="250"/>
        <v>0</v>
      </c>
      <c r="R378" s="74">
        <f t="shared" ca="1" si="250"/>
        <v>0</v>
      </c>
      <c r="S378" s="74">
        <f t="shared" ca="1" si="250"/>
        <v>0</v>
      </c>
      <c r="T378" s="74">
        <f t="shared" ca="1" si="247"/>
        <v>0</v>
      </c>
      <c r="U378" s="74">
        <f t="shared" ca="1" si="248"/>
        <v>0</v>
      </c>
    </row>
    <row r="379" spans="1:21" ht="18.75" hidden="1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3">
        <f t="shared" ref="L379:N379" si="251">L380+L381</f>
        <v>0</v>
      </c>
      <c r="M379" s="74">
        <f t="shared" si="251"/>
        <v>0</v>
      </c>
      <c r="N379" s="74">
        <f t="shared" si="251"/>
        <v>0</v>
      </c>
      <c r="O379" s="74">
        <f t="shared" si="244"/>
        <v>0</v>
      </c>
      <c r="P379" s="74">
        <f t="shared" si="245"/>
        <v>0</v>
      </c>
      <c r="Q379" s="74">
        <f t="shared" ref="Q379:S379" ca="1" si="252">Q380+Q381</f>
        <v>0</v>
      </c>
      <c r="R379" s="74">
        <f t="shared" ca="1" si="252"/>
        <v>0</v>
      </c>
      <c r="S379" s="74">
        <f t="shared" ca="1" si="252"/>
        <v>0</v>
      </c>
      <c r="T379" s="74">
        <f t="shared" ca="1" si="247"/>
        <v>0</v>
      </c>
      <c r="U379" s="74">
        <f t="shared" ca="1" si="248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77">
        <f t="shared" si="244"/>
        <v>0</v>
      </c>
      <c r="P380" s="77">
        <f t="shared" si="245"/>
        <v>0</v>
      </c>
      <c r="Q380" s="77">
        <v>0</v>
      </c>
      <c r="R380" s="77">
        <v>0</v>
      </c>
      <c r="S380" s="77">
        <v>0</v>
      </c>
      <c r="T380" s="77">
        <f t="shared" si="247"/>
        <v>0</v>
      </c>
      <c r="U380" s="77">
        <f t="shared" si="248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74">
        <f t="shared" si="244"/>
        <v>0</v>
      </c>
      <c r="P381" s="74">
        <f t="shared" si="245"/>
        <v>0</v>
      </c>
      <c r="Q381" s="74">
        <f ca="1">IFERROR(__xludf.DUMMYFUNCTION("IMPORTRANGE(""https://docs.google.com/spreadsheets/d/1ItG2mGa2ceCfYo0BwxsXqNm01IGEUdYcSSLTEv9YCik/edit?usp=sharing"",""เบิกจ่ายกองทุน!AY64"")"),0)</f>
        <v>0</v>
      </c>
      <c r="R381" s="74">
        <f ca="1">IFERROR(__xludf.DUMMYFUNCTION("IMPORTRANGE(""https://docs.google.com/spreadsheets/d/1ItG2mGa2ceCfYo0BwxsXqNm01IGEUdYcSSLTEv9YCik/edit?usp=sharing"",""เบิกจ่ายกองทุน!AZ64"")"),0)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IFERROR(__xludf.DUMMYFUNCTION("IMPORTRANGE(""https://docs.google.com/spreadsheets/d/1ItG2mGa2ceCfYo0BwxsXqNm01IGEUdYcSSLTEv9YCik/edit?usp=sharing"",""เบิกจ่ายกองทุน!BA64"")"),0)</f>
        <v>0</v>
      </c>
      <c r="T381" s="74">
        <f t="shared" ca="1" si="247"/>
        <v>0</v>
      </c>
      <c r="U381" s="74">
        <f t="shared" ca="1" si="248"/>
        <v>0</v>
      </c>
    </row>
    <row r="382" spans="1:21" ht="18.75" hidden="1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3">
        <f t="shared" ref="L382:N382" si="253">L383+L384</f>
        <v>0</v>
      </c>
      <c r="M382" s="74">
        <f t="shared" si="253"/>
        <v>0</v>
      </c>
      <c r="N382" s="74">
        <f t="shared" si="253"/>
        <v>0</v>
      </c>
      <c r="O382" s="74">
        <f t="shared" si="244"/>
        <v>0</v>
      </c>
      <c r="P382" s="74">
        <f t="shared" si="245"/>
        <v>0</v>
      </c>
      <c r="Q382" s="74">
        <f t="shared" ref="Q382:S382" si="254">Q383+Q384</f>
        <v>0</v>
      </c>
      <c r="R382" s="74">
        <f t="shared" si="254"/>
        <v>0</v>
      </c>
      <c r="S382" s="74">
        <f t="shared" si="254"/>
        <v>0</v>
      </c>
      <c r="T382" s="74">
        <f t="shared" si="247"/>
        <v>0</v>
      </c>
      <c r="U382" s="74">
        <f t="shared" si="248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77">
        <f t="shared" si="244"/>
        <v>0</v>
      </c>
      <c r="P383" s="77">
        <f t="shared" si="245"/>
        <v>0</v>
      </c>
      <c r="Q383" s="77">
        <v>0</v>
      </c>
      <c r="R383" s="77">
        <v>0</v>
      </c>
      <c r="S383" s="77">
        <v>0</v>
      </c>
      <c r="T383" s="77">
        <f t="shared" si="247"/>
        <v>0</v>
      </c>
      <c r="U383" s="77">
        <f t="shared" si="248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74">
        <f t="shared" si="244"/>
        <v>0</v>
      </c>
      <c r="P384" s="74">
        <f t="shared" si="245"/>
        <v>0</v>
      </c>
      <c r="Q384" s="74">
        <v>0</v>
      </c>
      <c r="R384" s="74">
        <v>0</v>
      </c>
      <c r="S384" s="74">
        <v>0</v>
      </c>
      <c r="T384" s="74">
        <f t="shared" si="247"/>
        <v>0</v>
      </c>
      <c r="U384" s="74">
        <f t="shared" si="248"/>
        <v>0</v>
      </c>
    </row>
    <row r="385" spans="1:21" ht="19.5" hidden="1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hidden="1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f ca="1">IFERROR(__xludf.DUMMYFUNCTION("IMPORTRANGE(""https://docs.google.com/spreadsheets/d/1eHaY18a8A9IcSdp1K8H6x8fbOy06t2VsZHhMHf-1x7Y/edit?usp=sharing"",""แผน!JQ64"")"),0)</f>
        <v>0</v>
      </c>
      <c r="J386" s="293">
        <v>0</v>
      </c>
      <c r="K386" s="74">
        <f t="shared" ref="K386:K389" ca="1" si="255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hidden="1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IFERROR(__xludf.DUMMYFUNCTION("IMPORTRANGE(""https://docs.google.com/spreadsheets/d/1eHaY18a8A9IcSdp1K8H6x8fbOy06t2VsZHhMHf-1x7Y/edit?usp=sharing"",""แผน!JQ64"")"),0)</f>
        <v>0</v>
      </c>
      <c r="J387" s="293">
        <v>0</v>
      </c>
      <c r="K387" s="74">
        <f t="shared" ca="1" si="255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hidden="1" x14ac:dyDescent="0.25">
      <c r="A388" s="269"/>
      <c r="B388" s="269"/>
      <c r="C388" s="269"/>
      <c r="D388" s="269"/>
      <c r="E388" s="775" t="s">
        <v>155</v>
      </c>
      <c r="F388" s="269"/>
      <c r="G388" s="312"/>
      <c r="H388" s="266" t="s">
        <v>34</v>
      </c>
      <c r="I388" s="592">
        <v>0</v>
      </c>
      <c r="J388" s="592">
        <v>0</v>
      </c>
      <c r="K388" s="77">
        <f t="shared" si="255"/>
        <v>0</v>
      </c>
      <c r="L388" s="86"/>
      <c r="M388" s="87"/>
      <c r="N388" s="87"/>
      <c r="O388" s="87"/>
      <c r="P388" s="87"/>
      <c r="Q388" s="87"/>
      <c r="R388" s="87"/>
      <c r="S388" s="87"/>
      <c r="T388" s="87"/>
      <c r="U388" s="87"/>
    </row>
    <row r="389" spans="1:21" ht="18.75" hidden="1" x14ac:dyDescent="0.25">
      <c r="A389" s="269"/>
      <c r="B389" s="269"/>
      <c r="C389" s="269"/>
      <c r="D389" s="269"/>
      <c r="E389" s="269"/>
      <c r="F389" s="269"/>
      <c r="G389" s="312"/>
      <c r="H389" s="266" t="s">
        <v>46</v>
      </c>
      <c r="I389" s="592">
        <v>0</v>
      </c>
      <c r="J389" s="592">
        <v>0</v>
      </c>
      <c r="K389" s="77">
        <f t="shared" si="255"/>
        <v>0</v>
      </c>
      <c r="L389" s="86"/>
      <c r="M389" s="87"/>
      <c r="N389" s="87"/>
      <c r="O389" s="87"/>
      <c r="P389" s="87"/>
      <c r="Q389" s="87"/>
      <c r="R389" s="87"/>
      <c r="S389" s="87"/>
      <c r="T389" s="87"/>
      <c r="U389" s="87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6">I403</f>
        <v>0</v>
      </c>
      <c r="J392" s="1189">
        <f t="shared" si="256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1257">
        <f t="shared" ref="L393:N393" si="257">L394+L395</f>
        <v>0</v>
      </c>
      <c r="M393" s="264">
        <f t="shared" si="257"/>
        <v>0</v>
      </c>
      <c r="N393" s="264">
        <f t="shared" si="257"/>
        <v>0</v>
      </c>
      <c r="O393" s="264">
        <f t="shared" ref="O393:O401" si="258">IF(L393&gt;0,N393*100/L393,0)</f>
        <v>0</v>
      </c>
      <c r="P393" s="264">
        <f t="shared" ref="P393:P401" si="259">IF(M393&gt;0,N393*100/M393,0)</f>
        <v>0</v>
      </c>
      <c r="Q393" s="264">
        <f t="shared" ref="Q393:S393" si="260">Q394+Q395</f>
        <v>0</v>
      </c>
      <c r="R393" s="264">
        <f t="shared" si="260"/>
        <v>0</v>
      </c>
      <c r="S393" s="264">
        <f t="shared" si="260"/>
        <v>0</v>
      </c>
      <c r="T393" s="264">
        <f t="shared" ref="T393:T401" si="261">IF(Q393&gt;0,S393*100/Q393,0)</f>
        <v>0</v>
      </c>
      <c r="U393" s="264">
        <f t="shared" ref="U393:U401" si="262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6">
        <f t="shared" ref="L394:N395" si="263">L397+L400</f>
        <v>0</v>
      </c>
      <c r="M394" s="77">
        <f t="shared" si="263"/>
        <v>0</v>
      </c>
      <c r="N394" s="77">
        <f t="shared" si="263"/>
        <v>0</v>
      </c>
      <c r="O394" s="77">
        <f t="shared" si="258"/>
        <v>0</v>
      </c>
      <c r="P394" s="77">
        <f t="shared" si="259"/>
        <v>0</v>
      </c>
      <c r="Q394" s="77">
        <f t="shared" ref="Q394:S395" si="264">Q397+Q400</f>
        <v>0</v>
      </c>
      <c r="R394" s="77">
        <f t="shared" si="264"/>
        <v>0</v>
      </c>
      <c r="S394" s="77">
        <f t="shared" si="264"/>
        <v>0</v>
      </c>
      <c r="T394" s="77">
        <f t="shared" si="261"/>
        <v>0</v>
      </c>
      <c r="U394" s="77">
        <f t="shared" si="262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3">
        <f t="shared" si="263"/>
        <v>0</v>
      </c>
      <c r="M395" s="74">
        <f t="shared" si="263"/>
        <v>0</v>
      </c>
      <c r="N395" s="74">
        <f t="shared" si="263"/>
        <v>0</v>
      </c>
      <c r="O395" s="74">
        <f t="shared" si="258"/>
        <v>0</v>
      </c>
      <c r="P395" s="74">
        <f t="shared" si="259"/>
        <v>0</v>
      </c>
      <c r="Q395" s="74">
        <f t="shared" si="264"/>
        <v>0</v>
      </c>
      <c r="R395" s="74">
        <f t="shared" si="264"/>
        <v>0</v>
      </c>
      <c r="S395" s="74">
        <f t="shared" si="264"/>
        <v>0</v>
      </c>
      <c r="T395" s="74">
        <f t="shared" si="261"/>
        <v>0</v>
      </c>
      <c r="U395" s="74">
        <f t="shared" si="262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3">
        <f t="shared" ref="L396:N396" si="265">L397+L398</f>
        <v>0</v>
      </c>
      <c r="M396" s="74">
        <f t="shared" si="265"/>
        <v>0</v>
      </c>
      <c r="N396" s="74">
        <f t="shared" si="265"/>
        <v>0</v>
      </c>
      <c r="O396" s="74">
        <f t="shared" si="258"/>
        <v>0</v>
      </c>
      <c r="P396" s="74">
        <f t="shared" si="259"/>
        <v>0</v>
      </c>
      <c r="Q396" s="74">
        <f t="shared" ref="Q396:S396" si="266">Q397+Q398</f>
        <v>0</v>
      </c>
      <c r="R396" s="74">
        <f t="shared" si="266"/>
        <v>0</v>
      </c>
      <c r="S396" s="74">
        <f t="shared" si="266"/>
        <v>0</v>
      </c>
      <c r="T396" s="74">
        <f t="shared" si="261"/>
        <v>0</v>
      </c>
      <c r="U396" s="74">
        <f t="shared" si="262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77">
        <f t="shared" si="258"/>
        <v>0</v>
      </c>
      <c r="P397" s="77">
        <f t="shared" si="259"/>
        <v>0</v>
      </c>
      <c r="Q397" s="77">
        <v>0</v>
      </c>
      <c r="R397" s="77">
        <v>0</v>
      </c>
      <c r="S397" s="77">
        <v>0</v>
      </c>
      <c r="T397" s="77">
        <f t="shared" si="261"/>
        <v>0</v>
      </c>
      <c r="U397" s="77">
        <f t="shared" si="262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74">
        <f t="shared" si="258"/>
        <v>0</v>
      </c>
      <c r="P398" s="74">
        <f t="shared" si="259"/>
        <v>0</v>
      </c>
      <c r="Q398" s="74">
        <v>0</v>
      </c>
      <c r="R398" s="74">
        <v>0</v>
      </c>
      <c r="S398" s="74">
        <v>0</v>
      </c>
      <c r="T398" s="74">
        <f t="shared" si="261"/>
        <v>0</v>
      </c>
      <c r="U398" s="74">
        <f t="shared" si="262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3">
        <f t="shared" ref="L399:N399" si="267">L400+L401</f>
        <v>0</v>
      </c>
      <c r="M399" s="74">
        <f t="shared" si="267"/>
        <v>0</v>
      </c>
      <c r="N399" s="74">
        <f t="shared" si="267"/>
        <v>0</v>
      </c>
      <c r="O399" s="74">
        <f t="shared" si="258"/>
        <v>0</v>
      </c>
      <c r="P399" s="74">
        <f t="shared" si="259"/>
        <v>0</v>
      </c>
      <c r="Q399" s="74">
        <f t="shared" ref="Q399:S399" si="268">Q400+Q401</f>
        <v>0</v>
      </c>
      <c r="R399" s="74">
        <f t="shared" si="268"/>
        <v>0</v>
      </c>
      <c r="S399" s="74">
        <f t="shared" si="268"/>
        <v>0</v>
      </c>
      <c r="T399" s="74">
        <f t="shared" si="261"/>
        <v>0</v>
      </c>
      <c r="U399" s="74">
        <f t="shared" si="262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77">
        <f t="shared" si="258"/>
        <v>0</v>
      </c>
      <c r="P400" s="77">
        <f t="shared" si="259"/>
        <v>0</v>
      </c>
      <c r="Q400" s="77">
        <v>0</v>
      </c>
      <c r="R400" s="77">
        <v>0</v>
      </c>
      <c r="S400" s="77">
        <v>0</v>
      </c>
      <c r="T400" s="77">
        <f t="shared" si="261"/>
        <v>0</v>
      </c>
      <c r="U400" s="77">
        <f t="shared" si="262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74">
        <f t="shared" si="258"/>
        <v>0</v>
      </c>
      <c r="P401" s="74">
        <f t="shared" si="259"/>
        <v>0</v>
      </c>
      <c r="Q401" s="74">
        <v>0</v>
      </c>
      <c r="R401" s="74">
        <v>0</v>
      </c>
      <c r="S401" s="74">
        <v>0</v>
      </c>
      <c r="T401" s="74">
        <f t="shared" si="261"/>
        <v>0</v>
      </c>
      <c r="U401" s="74">
        <f t="shared" si="262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69">I424</f>
        <v>0</v>
      </c>
      <c r="J413" s="617">
        <f t="shared" si="269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1257">
        <f t="shared" ref="L414:N414" si="270">L415+L416</f>
        <v>0</v>
      </c>
      <c r="M414" s="264">
        <f t="shared" si="270"/>
        <v>0</v>
      </c>
      <c r="N414" s="264">
        <f t="shared" si="270"/>
        <v>0</v>
      </c>
      <c r="O414" s="264">
        <f t="shared" ref="O414:O422" si="271">IF(L414&gt;0,N414*100/L414,0)</f>
        <v>0</v>
      </c>
      <c r="P414" s="264">
        <f t="shared" ref="P414:P422" si="272">IF(M414&gt;0,N414*100/M414,0)</f>
        <v>0</v>
      </c>
      <c r="Q414" s="264">
        <f t="shared" ref="Q414:S414" ca="1" si="273">Q415+Q416</f>
        <v>0</v>
      </c>
      <c r="R414" s="264">
        <f t="shared" ca="1" si="273"/>
        <v>0</v>
      </c>
      <c r="S414" s="264">
        <f t="shared" ca="1" si="273"/>
        <v>0</v>
      </c>
      <c r="T414" s="264">
        <f t="shared" ref="T414:T422" ca="1" si="274">IF(Q414&gt;0,S414*100/Q414,0)</f>
        <v>0</v>
      </c>
      <c r="U414" s="264">
        <f t="shared" ref="U414:U422" ca="1" si="275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6">
        <f t="shared" ref="L415:N416" si="276">L418+L421</f>
        <v>0</v>
      </c>
      <c r="M415" s="77">
        <f t="shared" si="276"/>
        <v>0</v>
      </c>
      <c r="N415" s="77">
        <f t="shared" si="276"/>
        <v>0</v>
      </c>
      <c r="O415" s="77">
        <f t="shared" si="271"/>
        <v>0</v>
      </c>
      <c r="P415" s="77">
        <f t="shared" si="272"/>
        <v>0</v>
      </c>
      <c r="Q415" s="77">
        <f t="shared" ref="Q415:S416" si="277">Q418+Q421</f>
        <v>0</v>
      </c>
      <c r="R415" s="77">
        <f t="shared" si="277"/>
        <v>0</v>
      </c>
      <c r="S415" s="77">
        <f t="shared" si="277"/>
        <v>0</v>
      </c>
      <c r="T415" s="77">
        <f t="shared" si="274"/>
        <v>0</v>
      </c>
      <c r="U415" s="77">
        <f t="shared" si="275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3">
        <f t="shared" si="276"/>
        <v>0</v>
      </c>
      <c r="M416" s="74">
        <f t="shared" si="276"/>
        <v>0</v>
      </c>
      <c r="N416" s="74">
        <f t="shared" si="276"/>
        <v>0</v>
      </c>
      <c r="O416" s="74">
        <f t="shared" si="271"/>
        <v>0</v>
      </c>
      <c r="P416" s="74">
        <f t="shared" si="272"/>
        <v>0</v>
      </c>
      <c r="Q416" s="74">
        <f t="shared" ca="1" si="277"/>
        <v>0</v>
      </c>
      <c r="R416" s="74">
        <f t="shared" ca="1" si="277"/>
        <v>0</v>
      </c>
      <c r="S416" s="74">
        <f t="shared" ca="1" si="277"/>
        <v>0</v>
      </c>
      <c r="T416" s="74">
        <f t="shared" ca="1" si="274"/>
        <v>0</v>
      </c>
      <c r="U416" s="74">
        <f t="shared" ca="1" si="275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3">
        <f t="shared" ref="L417:N417" si="278">L418+L419</f>
        <v>0</v>
      </c>
      <c r="M417" s="74">
        <f t="shared" si="278"/>
        <v>0</v>
      </c>
      <c r="N417" s="74">
        <f t="shared" si="278"/>
        <v>0</v>
      </c>
      <c r="O417" s="74">
        <f t="shared" si="271"/>
        <v>0</v>
      </c>
      <c r="P417" s="74">
        <f t="shared" si="272"/>
        <v>0</v>
      </c>
      <c r="Q417" s="74">
        <f t="shared" ref="Q417:S417" ca="1" si="279">Q418+Q419</f>
        <v>0</v>
      </c>
      <c r="R417" s="74">
        <f t="shared" ca="1" si="279"/>
        <v>0</v>
      </c>
      <c r="S417" s="74">
        <f t="shared" ca="1" si="279"/>
        <v>0</v>
      </c>
      <c r="T417" s="74">
        <f t="shared" ca="1" si="274"/>
        <v>0</v>
      </c>
      <c r="U417" s="74">
        <f t="shared" ca="1" si="275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77">
        <f t="shared" si="271"/>
        <v>0</v>
      </c>
      <c r="P418" s="77">
        <f t="shared" si="272"/>
        <v>0</v>
      </c>
      <c r="Q418" s="77">
        <v>0</v>
      </c>
      <c r="R418" s="77">
        <v>0</v>
      </c>
      <c r="S418" s="77">
        <v>0</v>
      </c>
      <c r="T418" s="77">
        <f t="shared" si="274"/>
        <v>0</v>
      </c>
      <c r="U418" s="77">
        <f t="shared" si="275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74">
        <f t="shared" si="271"/>
        <v>0</v>
      </c>
      <c r="P419" s="74">
        <f t="shared" si="272"/>
        <v>0</v>
      </c>
      <c r="Q419" s="74">
        <f ca="1">IFERROR(__xludf.DUMMYFUNCTION("IMPORTRANGE(""https://docs.google.com/spreadsheets/d/1ItG2mGa2ceCfYo0BwxsXqNm01IGEUdYcSSLTEv9YCik/edit?usp=sharing"",""เบิกจ่ายกองทุน!BH64"")"),0)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IFERROR(__xludf.DUMMYFUNCTION("IMPORTRANGE(""https://docs.google.com/spreadsheets/d/1ItG2mGa2ceCfYo0BwxsXqNm01IGEUdYcSSLTEv9YCik/edit?usp=sharing"",""เบิกจ่ายกองทุน!BI64"")"),0)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IFERROR(__xludf.DUMMYFUNCTION("IMPORTRANGE(""https://docs.google.com/spreadsheets/d/1ItG2mGa2ceCfYo0BwxsXqNm01IGEUdYcSSLTEv9YCik/edit?usp=sharing"",""เบิกจ่ายกองทุน!BJ64"")"),0)</f>
        <v>0</v>
      </c>
      <c r="T419" s="74">
        <f t="shared" ca="1" si="274"/>
        <v>0</v>
      </c>
      <c r="U419" s="74">
        <f t="shared" ca="1" si="275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3">
        <f t="shared" ref="L420:N420" si="280">L421+L422</f>
        <v>0</v>
      </c>
      <c r="M420" s="74">
        <f t="shared" si="280"/>
        <v>0</v>
      </c>
      <c r="N420" s="74">
        <f t="shared" si="280"/>
        <v>0</v>
      </c>
      <c r="O420" s="74">
        <f t="shared" si="271"/>
        <v>0</v>
      </c>
      <c r="P420" s="74">
        <f t="shared" si="272"/>
        <v>0</v>
      </c>
      <c r="Q420" s="74">
        <f t="shared" ref="Q420:S420" si="281">Q421+Q422</f>
        <v>0</v>
      </c>
      <c r="R420" s="74">
        <f t="shared" si="281"/>
        <v>0</v>
      </c>
      <c r="S420" s="74">
        <f t="shared" si="281"/>
        <v>0</v>
      </c>
      <c r="T420" s="74">
        <f t="shared" si="274"/>
        <v>0</v>
      </c>
      <c r="U420" s="74">
        <f t="shared" si="275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77">
        <f t="shared" si="271"/>
        <v>0</v>
      </c>
      <c r="P421" s="77">
        <f t="shared" si="272"/>
        <v>0</v>
      </c>
      <c r="Q421" s="77">
        <v>0</v>
      </c>
      <c r="R421" s="77">
        <v>0</v>
      </c>
      <c r="S421" s="77">
        <v>0</v>
      </c>
      <c r="T421" s="77">
        <f t="shared" si="274"/>
        <v>0</v>
      </c>
      <c r="U421" s="77">
        <f t="shared" si="275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74">
        <f t="shared" si="271"/>
        <v>0</v>
      </c>
      <c r="P422" s="74">
        <f t="shared" si="272"/>
        <v>0</v>
      </c>
      <c r="Q422" s="74">
        <v>0</v>
      </c>
      <c r="R422" s="74">
        <v>0</v>
      </c>
      <c r="S422" s="74">
        <v>0</v>
      </c>
      <c r="T422" s="74">
        <f t="shared" si="274"/>
        <v>0</v>
      </c>
      <c r="U422" s="74">
        <f t="shared" si="275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2">I441</f>
        <v>0</v>
      </c>
      <c r="J424" s="622">
        <f t="shared" si="282"/>
        <v>0</v>
      </c>
      <c r="K424" s="264">
        <f t="shared" ref="K424:K426" ca="1" si="283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IFERROR(__xludf.DUMMYFUNCTION("IMPORTRANGE(""https://docs.google.com/spreadsheets/d/1eHaY18a8A9IcSdp1K8H6x8fbOy06t2VsZHhMHf-1x7Y/edit?usp=sharing"",""แผน!HJ64"")"),0)</f>
        <v>0</v>
      </c>
      <c r="J425" s="622">
        <f t="shared" ref="J425:J426" si="284">J427+J429+J431</f>
        <v>0</v>
      </c>
      <c r="K425" s="264">
        <f t="shared" ca="1" si="283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IFERROR(__xludf.DUMMYFUNCTION("IMPORTRANGE(""https://docs.google.com/spreadsheets/d/1eHaY18a8A9IcSdp1K8H6x8fbOy06t2VsZHhMHf-1x7Y/edit?usp=sharing"",""แผน!HK64"")"),0)</f>
        <v>0</v>
      </c>
      <c r="J426" s="622">
        <f t="shared" si="284"/>
        <v>0</v>
      </c>
      <c r="K426" s="264">
        <f t="shared" ca="1" si="283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IFERROR(__xludf.DUMMYFUNCTION("IMPORTRANGE(""https://docs.google.com/spreadsheets/d/1eHaY18a8A9IcSdp1K8H6x8fbOy06t2VsZHhMHf-1x7Y/edit?usp=sharing"",""แผน!HJ64"")"),0)</f>
        <v>0</v>
      </c>
      <c r="J433" s="622">
        <f t="shared" ref="J433:J434" si="285">J435+J437+J439</f>
        <v>0</v>
      </c>
      <c r="K433" s="264">
        <f t="shared" ref="K433:K434" ca="1" si="286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IFERROR(__xludf.DUMMYFUNCTION("IMPORTRANGE(""https://docs.google.com/spreadsheets/d/1eHaY18a8A9IcSdp1K8H6x8fbOy06t2VsZHhMHf-1x7Y/edit?usp=sharing"",""แผน!HK64"")"),0)</f>
        <v>0</v>
      </c>
      <c r="J434" s="622">
        <f t="shared" si="285"/>
        <v>0</v>
      </c>
      <c r="K434" s="264">
        <f t="shared" ca="1" si="286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IFERROR(__xludf.DUMMYFUNCTION("IMPORTRANGE(""https://docs.google.com/spreadsheets/d/1eHaY18a8A9IcSdp1K8H6x8fbOy06t2VsZHhMHf-1x7Y/edit?usp=sharing"",""แผน!HJ64"")"),0)</f>
        <v>0</v>
      </c>
      <c r="J441" s="622">
        <f t="shared" ref="J441:J442" si="287">J443+J445+J447+J453+J455</f>
        <v>0</v>
      </c>
      <c r="K441" s="264">
        <f t="shared" ref="K441:K442" ca="1" si="288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IFERROR(__xludf.DUMMYFUNCTION("IMPORTRANGE(""https://docs.google.com/spreadsheets/d/1eHaY18a8A9IcSdp1K8H6x8fbOy06t2VsZHhMHf-1x7Y/edit?usp=sharing"",""แผน!HK64"")"),0)</f>
        <v>0</v>
      </c>
      <c r="J442" s="622">
        <f t="shared" si="287"/>
        <v>0</v>
      </c>
      <c r="K442" s="264">
        <f t="shared" ca="1" si="288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89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89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0">I458</f>
        <v>0</v>
      </c>
      <c r="J457" s="622">
        <f t="shared" si="290"/>
        <v>0</v>
      </c>
      <c r="K457" s="264">
        <f t="shared" ref="K457:K459" ca="1" si="291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IFERROR(__xludf.DUMMYFUNCTION("IMPORTRANGE(""https://docs.google.com/spreadsheets/d/1eHaY18a8A9IcSdp1K8H6x8fbOy06t2VsZHhMHf-1x7Y/edit?usp=sharing"",""แผน!HL64"")"),0)</f>
        <v>0</v>
      </c>
      <c r="J458" s="622">
        <f t="shared" ref="J458:J459" si="292">J460+J468+J474</f>
        <v>0</v>
      </c>
      <c r="K458" s="264">
        <f t="shared" ca="1" si="291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IFERROR(__xludf.DUMMYFUNCTION("IMPORTRANGE(""https://docs.google.com/spreadsheets/d/1eHaY18a8A9IcSdp1K8H6x8fbOy06t2VsZHhMHf-1x7Y/edit?usp=sharing"",""แผน!HM64"")"),0)</f>
        <v>0</v>
      </c>
      <c r="J459" s="622">
        <f t="shared" si="292"/>
        <v>0</v>
      </c>
      <c r="K459" s="264">
        <f t="shared" ca="1" si="291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3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3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4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4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5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6">J479+J481</f>
        <v>0</v>
      </c>
      <c r="K477" s="264">
        <f t="shared" si="295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6"/>
        <v>0</v>
      </c>
      <c r="K478" s="264">
        <f t="shared" si="295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IFERROR(__xludf.DUMMYFUNCTION("IMPORTRANGE(""https://docs.google.com/spreadsheets/d/1eHaY18a8A9IcSdp1K8H6x8fbOy06t2VsZHhMHf-1x7Y/edit?usp=sharing"",""แผน!HN64"")"),0)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IFERROR(__xludf.DUMMYFUNCTION("IMPORTRANGE(""https://docs.google.com/spreadsheets/d/1eHaY18a8A9IcSdp1K8H6x8fbOy06t2VsZHhMHf-1x7Y/edit?usp=sharing"",""แผน!HO64"")"),0)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7">J481</f>
        <v>0</v>
      </c>
      <c r="J485" s="622">
        <f t="shared" ref="J485:J486" si="298">J487+J489+J491</f>
        <v>0</v>
      </c>
      <c r="K485" s="264">
        <f t="shared" ref="K485:K486" si="299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7"/>
        <v>0</v>
      </c>
      <c r="J486" s="622">
        <f t="shared" si="298"/>
        <v>0</v>
      </c>
      <c r="K486" s="264">
        <f t="shared" si="299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hidden="1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0">I504</f>
        <v>0</v>
      </c>
      <c r="J493" s="617">
        <f t="shared" ca="1" si="300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1257">
        <f t="shared" ref="L494:N494" si="301">L495+L496</f>
        <v>0</v>
      </c>
      <c r="M494" s="264">
        <f t="shared" si="301"/>
        <v>0</v>
      </c>
      <c r="N494" s="264">
        <f t="shared" si="301"/>
        <v>0</v>
      </c>
      <c r="O494" s="264">
        <f t="shared" ref="O494:O502" si="302">IF(L494&gt;0,N494*100/L494,0)</f>
        <v>0</v>
      </c>
      <c r="P494" s="264">
        <f t="shared" ref="P494:P502" si="303">IF(M494&gt;0,N494*100/M494,0)</f>
        <v>0</v>
      </c>
      <c r="Q494" s="264">
        <f t="shared" ref="Q494:S494" ca="1" si="304">Q495+Q496</f>
        <v>0</v>
      </c>
      <c r="R494" s="264">
        <f t="shared" ca="1" si="304"/>
        <v>0</v>
      </c>
      <c r="S494" s="264">
        <f t="shared" ca="1" si="304"/>
        <v>0</v>
      </c>
      <c r="T494" s="264">
        <f t="shared" ref="T494:T502" ca="1" si="305">IF(Q494&gt;0,S494*100/Q494,0)</f>
        <v>0</v>
      </c>
      <c r="U494" s="264">
        <f t="shared" ref="U494:U502" ca="1" si="306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6">
        <f t="shared" ref="L495:N496" si="307">L498+L501</f>
        <v>0</v>
      </c>
      <c r="M495" s="77">
        <f t="shared" si="307"/>
        <v>0</v>
      </c>
      <c r="N495" s="77">
        <f t="shared" si="307"/>
        <v>0</v>
      </c>
      <c r="O495" s="77">
        <f t="shared" si="302"/>
        <v>0</v>
      </c>
      <c r="P495" s="77">
        <f t="shared" si="303"/>
        <v>0</v>
      </c>
      <c r="Q495" s="77">
        <f t="shared" ref="Q495:S496" si="308">Q498+Q501</f>
        <v>0</v>
      </c>
      <c r="R495" s="77">
        <f t="shared" si="308"/>
        <v>0</v>
      </c>
      <c r="S495" s="77">
        <f t="shared" si="308"/>
        <v>0</v>
      </c>
      <c r="T495" s="77">
        <f t="shared" si="305"/>
        <v>0</v>
      </c>
      <c r="U495" s="77">
        <f t="shared" si="306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3">
        <f t="shared" si="307"/>
        <v>0</v>
      </c>
      <c r="M496" s="74">
        <f t="shared" si="307"/>
        <v>0</v>
      </c>
      <c r="N496" s="74">
        <f t="shared" si="307"/>
        <v>0</v>
      </c>
      <c r="O496" s="74">
        <f t="shared" si="302"/>
        <v>0</v>
      </c>
      <c r="P496" s="74">
        <f t="shared" si="303"/>
        <v>0</v>
      </c>
      <c r="Q496" s="74">
        <f t="shared" ca="1" si="308"/>
        <v>0</v>
      </c>
      <c r="R496" s="74">
        <f t="shared" ca="1" si="308"/>
        <v>0</v>
      </c>
      <c r="S496" s="74">
        <f t="shared" ca="1" si="308"/>
        <v>0</v>
      </c>
      <c r="T496" s="74">
        <f t="shared" ca="1" si="305"/>
        <v>0</v>
      </c>
      <c r="U496" s="74">
        <f t="shared" ca="1" si="306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3">
        <f t="shared" ref="L497:N497" si="309">L498+L499</f>
        <v>0</v>
      </c>
      <c r="M497" s="74">
        <f t="shared" si="309"/>
        <v>0</v>
      </c>
      <c r="N497" s="74">
        <f t="shared" si="309"/>
        <v>0</v>
      </c>
      <c r="O497" s="74">
        <f t="shared" si="302"/>
        <v>0</v>
      </c>
      <c r="P497" s="74">
        <f t="shared" si="303"/>
        <v>0</v>
      </c>
      <c r="Q497" s="74">
        <f t="shared" ref="Q497:S497" ca="1" si="310">Q498+Q499</f>
        <v>0</v>
      </c>
      <c r="R497" s="74">
        <f t="shared" ca="1" si="310"/>
        <v>0</v>
      </c>
      <c r="S497" s="74">
        <f t="shared" ca="1" si="310"/>
        <v>0</v>
      </c>
      <c r="T497" s="74">
        <f t="shared" ca="1" si="305"/>
        <v>0</v>
      </c>
      <c r="U497" s="74">
        <f t="shared" ca="1" si="306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77">
        <f t="shared" si="302"/>
        <v>0</v>
      </c>
      <c r="P498" s="77">
        <f t="shared" si="303"/>
        <v>0</v>
      </c>
      <c r="Q498" s="77">
        <v>0</v>
      </c>
      <c r="R498" s="77">
        <v>0</v>
      </c>
      <c r="S498" s="77">
        <v>0</v>
      </c>
      <c r="T498" s="77">
        <f t="shared" si="305"/>
        <v>0</v>
      </c>
      <c r="U498" s="77">
        <f t="shared" si="306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74">
        <f t="shared" si="302"/>
        <v>0</v>
      </c>
      <c r="P499" s="74">
        <f t="shared" si="303"/>
        <v>0</v>
      </c>
      <c r="Q499" s="74">
        <f ca="1">IFERROR(__xludf.DUMMYFUNCTION("IMPORTRANGE(""https://docs.google.com/spreadsheets/d/1ItG2mGa2ceCfYo0BwxsXqNm01IGEUdYcSSLTEv9YCik/edit?usp=sharing"",""เบิกจ่ายกองทุน!X64"")"),0)</f>
        <v>0</v>
      </c>
      <c r="R499" s="74">
        <f ca="1">IFERROR(__xludf.DUMMYFUNCTION("IMPORTRANGE(""https://docs.google.com/spreadsheets/d/1ItG2mGa2ceCfYo0BwxsXqNm01IGEUdYcSSLTEv9YCik/edit?usp=sharing"",""เบิกจ่ายกองทุน!Y64"")"),0)</f>
        <v>0</v>
      </c>
      <c r="S499" s="74">
        <f ca="1">IFERROR(__xludf.DUMMYFUNCTION("IMPORTRANGE(""https://docs.google.com/spreadsheets/d/1ItG2mGa2ceCfYo0BwxsXqNm01IGEUdYcSSLTEv9YCik/edit?usp=sharing"",""เบิกจ่ายกองทุน!Z64"")"),0)</f>
        <v>0</v>
      </c>
      <c r="T499" s="74">
        <f t="shared" ca="1" si="305"/>
        <v>0</v>
      </c>
      <c r="U499" s="74">
        <f t="shared" ca="1" si="306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3">
        <f t="shared" ref="L500:N500" si="311">L501+L502</f>
        <v>0</v>
      </c>
      <c r="M500" s="74">
        <f t="shared" si="311"/>
        <v>0</v>
      </c>
      <c r="N500" s="74">
        <f t="shared" si="311"/>
        <v>0</v>
      </c>
      <c r="O500" s="74">
        <f t="shared" si="302"/>
        <v>0</v>
      </c>
      <c r="P500" s="74">
        <f t="shared" si="303"/>
        <v>0</v>
      </c>
      <c r="Q500" s="74">
        <f t="shared" ref="Q500:S500" si="312">Q501+Q502</f>
        <v>0</v>
      </c>
      <c r="R500" s="74">
        <f t="shared" si="312"/>
        <v>0</v>
      </c>
      <c r="S500" s="74">
        <f t="shared" si="312"/>
        <v>0</v>
      </c>
      <c r="T500" s="74">
        <f t="shared" si="305"/>
        <v>0</v>
      </c>
      <c r="U500" s="74">
        <f t="shared" si="306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77">
        <f t="shared" si="302"/>
        <v>0</v>
      </c>
      <c r="P501" s="77">
        <f t="shared" si="303"/>
        <v>0</v>
      </c>
      <c r="Q501" s="77">
        <v>0</v>
      </c>
      <c r="R501" s="77">
        <v>0</v>
      </c>
      <c r="S501" s="77">
        <v>0</v>
      </c>
      <c r="T501" s="77">
        <f t="shared" si="305"/>
        <v>0</v>
      </c>
      <c r="U501" s="77">
        <f t="shared" si="306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74">
        <f t="shared" si="302"/>
        <v>0</v>
      </c>
      <c r="P502" s="74">
        <f t="shared" si="303"/>
        <v>0</v>
      </c>
      <c r="Q502" s="74">
        <v>0</v>
      </c>
      <c r="R502" s="74">
        <v>0</v>
      </c>
      <c r="S502" s="74">
        <v>0</v>
      </c>
      <c r="T502" s="74">
        <f t="shared" si="305"/>
        <v>0</v>
      </c>
      <c r="U502" s="74">
        <f t="shared" si="306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IFERROR(__xludf.DUMMYFUNCTION("IMPORTRANGE(""https://docs.google.com/spreadsheets/d/1eHaY18a8A9IcSdp1K8H6x8fbOy06t2VsZHhMHf-1x7Y/edit?usp=sharing"",""แผน!GX64"")"),0)</f>
        <v>0</v>
      </c>
      <c r="J504" s="622">
        <f ca="1">IF(AND(J505=I505,J506=I506,J507=I507,J508=I508),I504,0)</f>
        <v>0</v>
      </c>
      <c r="K504" s="264">
        <f t="shared" ref="K504:K510" ca="1" si="313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IFERROR(__xludf.DUMMYFUNCTION("IMPORTRANGE(""https://docs.google.com/spreadsheets/d/1eHaY18a8A9IcSdp1K8H6x8fbOy06t2VsZHhMHf-1x7Y/edit?usp=sharing"",""แผน!GY64"")"),0)</f>
        <v>0</v>
      </c>
      <c r="J505" s="294">
        <v>0</v>
      </c>
      <c r="K505" s="74">
        <f t="shared" ca="1" si="313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IFERROR(__xludf.DUMMYFUNCTION("IMPORTRANGE(""https://docs.google.com/spreadsheets/d/1eHaY18a8A9IcSdp1K8H6x8fbOy06t2VsZHhMHf-1x7Y/edit?usp=sharing"",""แผน!GZ64"")"),0)</f>
        <v>0</v>
      </c>
      <c r="J506" s="294">
        <v>0</v>
      </c>
      <c r="K506" s="74">
        <f t="shared" ca="1" si="313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IFERROR(__xludf.DUMMYFUNCTION("IMPORTRANGE(""https://docs.google.com/spreadsheets/d/1eHaY18a8A9IcSdp1K8H6x8fbOy06t2VsZHhMHf-1x7Y/edit?usp=sharing"",""แผน!HA64"")"),0)</f>
        <v>0</v>
      </c>
      <c r="J507" s="294">
        <v>0</v>
      </c>
      <c r="K507" s="74">
        <f t="shared" ca="1" si="313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IFERROR(__xludf.DUMMYFUNCTION("IMPORTRANGE(""https://docs.google.com/spreadsheets/d/1eHaY18a8A9IcSdp1K8H6x8fbOy06t2VsZHhMHf-1x7Y/edit?usp=sharing"",""แผน!HB64"")"),0)</f>
        <v>0</v>
      </c>
      <c r="J508" s="294">
        <v>0</v>
      </c>
      <c r="K508" s="74">
        <f t="shared" ca="1" si="313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3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IFERROR(__xludf.DUMMYFUNCTION("IMPORTRANGE(""https://docs.google.com/spreadsheets/d/1eHaY18a8A9IcSdp1K8H6x8fbOy06t2VsZHhMHf-1x7Y/edit?usp=sharing"",""แผน!HC64"")"),0)</f>
        <v>0</v>
      </c>
      <c r="J510" s="761">
        <v>0</v>
      </c>
      <c r="K510" s="182">
        <f t="shared" ca="1" si="313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9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309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987" t="s">
        <v>61</v>
      </c>
      <c r="I513" s="988">
        <f t="shared" ref="I513:J513" si="314">I525</f>
        <v>0</v>
      </c>
      <c r="J513" s="988">
        <f t="shared" si="314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7">
        <f t="shared" ref="L514:N514" ca="1" si="315">L515+L516</f>
        <v>0</v>
      </c>
      <c r="M514" s="264">
        <f t="shared" ca="1" si="315"/>
        <v>0</v>
      </c>
      <c r="N514" s="264">
        <f t="shared" ca="1" si="315"/>
        <v>0</v>
      </c>
      <c r="O514" s="264">
        <f t="shared" ref="O514:O522" ca="1" si="316">IF(L514&gt;0,N514*100/L514,0)</f>
        <v>0</v>
      </c>
      <c r="P514" s="264">
        <f t="shared" ref="P514:P522" ca="1" si="317">IF(M514&gt;0,N514*100/M514,0)</f>
        <v>0</v>
      </c>
      <c r="Q514" s="264">
        <f t="shared" ref="Q514:S514" si="318">Q515+Q516</f>
        <v>0</v>
      </c>
      <c r="R514" s="264">
        <f t="shared" si="318"/>
        <v>0</v>
      </c>
      <c r="S514" s="264">
        <f t="shared" si="318"/>
        <v>0</v>
      </c>
      <c r="T514" s="264">
        <f t="shared" ref="T514:T522" si="319">IF(Q514&gt;0,S514*100/Q514,0)</f>
        <v>0</v>
      </c>
      <c r="U514" s="264">
        <f t="shared" ref="U514:U522" si="320">IF(R514&gt;0,S514*100/R514,0)</f>
        <v>0</v>
      </c>
    </row>
    <row r="515" spans="1:21" ht="18.75" hidden="1" x14ac:dyDescent="0.25">
      <c r="A515" s="257"/>
      <c r="B515" s="258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6">
        <f t="shared" ref="L515:N516" si="321">L518+L521</f>
        <v>0</v>
      </c>
      <c r="M515" s="77">
        <f t="shared" si="321"/>
        <v>0</v>
      </c>
      <c r="N515" s="77">
        <f t="shared" si="321"/>
        <v>0</v>
      </c>
      <c r="O515" s="77">
        <f t="shared" si="316"/>
        <v>0</v>
      </c>
      <c r="P515" s="77">
        <f t="shared" si="317"/>
        <v>0</v>
      </c>
      <c r="Q515" s="77">
        <f t="shared" ref="Q515:S516" si="322">Q518+Q521</f>
        <v>0</v>
      </c>
      <c r="R515" s="77">
        <f t="shared" si="322"/>
        <v>0</v>
      </c>
      <c r="S515" s="77">
        <f t="shared" si="322"/>
        <v>0</v>
      </c>
      <c r="T515" s="77">
        <f t="shared" si="319"/>
        <v>0</v>
      </c>
      <c r="U515" s="77">
        <f t="shared" si="320"/>
        <v>0</v>
      </c>
    </row>
    <row r="516" spans="1:21" ht="18.75" hidden="1" x14ac:dyDescent="0.25">
      <c r="A516" s="257"/>
      <c r="B516" s="258"/>
      <c r="C516" s="258"/>
      <c r="D516" s="258"/>
      <c r="E516" s="265" t="s">
        <v>21</v>
      </c>
      <c r="F516" s="258"/>
      <c r="G516" s="261"/>
      <c r="H516" s="266" t="s">
        <v>14</v>
      </c>
      <c r="I516" s="263"/>
      <c r="J516" s="263"/>
      <c r="K516" s="87"/>
      <c r="L516" s="73">
        <f t="shared" ca="1" si="321"/>
        <v>0</v>
      </c>
      <c r="M516" s="74">
        <f t="shared" ca="1" si="321"/>
        <v>0</v>
      </c>
      <c r="N516" s="74">
        <f t="shared" ca="1" si="321"/>
        <v>0</v>
      </c>
      <c r="O516" s="74">
        <f t="shared" ca="1" si="316"/>
        <v>0</v>
      </c>
      <c r="P516" s="74">
        <f t="shared" ca="1" si="317"/>
        <v>0</v>
      </c>
      <c r="Q516" s="74">
        <f t="shared" si="322"/>
        <v>0</v>
      </c>
      <c r="R516" s="74">
        <f t="shared" si="322"/>
        <v>0</v>
      </c>
      <c r="S516" s="74">
        <f t="shared" si="322"/>
        <v>0</v>
      </c>
      <c r="T516" s="74">
        <f t="shared" si="319"/>
        <v>0</v>
      </c>
      <c r="U516" s="74">
        <f t="shared" si="320"/>
        <v>0</v>
      </c>
    </row>
    <row r="517" spans="1:21" ht="18.75" hidden="1" x14ac:dyDescent="0.25">
      <c r="A517" s="257"/>
      <c r="B517" s="258"/>
      <c r="C517" s="258"/>
      <c r="D517" s="991" t="s">
        <v>22</v>
      </c>
      <c r="E517" s="258"/>
      <c r="F517" s="258"/>
      <c r="G517" s="261"/>
      <c r="H517" s="273" t="s">
        <v>14</v>
      </c>
      <c r="I517" s="272"/>
      <c r="J517" s="272"/>
      <c r="K517" s="229"/>
      <c r="L517" s="73">
        <f t="shared" ref="L517:N517" ca="1" si="323">L518+L519</f>
        <v>0</v>
      </c>
      <c r="M517" s="74">
        <f t="shared" ca="1" si="323"/>
        <v>0</v>
      </c>
      <c r="N517" s="74">
        <f t="shared" ca="1" si="323"/>
        <v>0</v>
      </c>
      <c r="O517" s="74">
        <f t="shared" ca="1" si="316"/>
        <v>0</v>
      </c>
      <c r="P517" s="74">
        <f t="shared" ca="1" si="317"/>
        <v>0</v>
      </c>
      <c r="Q517" s="74">
        <f t="shared" ref="Q517:S517" si="324">Q518+Q519</f>
        <v>0</v>
      </c>
      <c r="R517" s="74">
        <f t="shared" si="324"/>
        <v>0</v>
      </c>
      <c r="S517" s="74">
        <f t="shared" si="324"/>
        <v>0</v>
      </c>
      <c r="T517" s="74">
        <f t="shared" si="319"/>
        <v>0</v>
      </c>
      <c r="U517" s="74">
        <f t="shared" si="320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77">
        <f t="shared" si="316"/>
        <v>0</v>
      </c>
      <c r="P518" s="77">
        <f t="shared" si="317"/>
        <v>0</v>
      </c>
      <c r="Q518" s="77">
        <v>0</v>
      </c>
      <c r="R518" s="77">
        <v>0</v>
      </c>
      <c r="S518" s="77">
        <v>0</v>
      </c>
      <c r="T518" s="77">
        <f t="shared" si="319"/>
        <v>0</v>
      </c>
      <c r="U518" s="77">
        <f t="shared" si="320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3">
        <f ca="1">IFERROR(__xludf.DUMMYFUNCTION("IMPORTRANGE(""https://docs.google.com/spreadsheets/d/1-uDff_7J0KD5mKrp0Vvzr7lt3OU09vwQwhkpOPPYv2Y/edit?usp=sharing"",""งบพรบ!FM64"")"),0)</f>
        <v>0</v>
      </c>
      <c r="M519" s="74">
        <f ca="1">IFERROR(__xludf.DUMMYFUNCTION("IMPORTRANGE(""https://docs.google.com/spreadsheets/d/1-uDff_7J0KD5mKrp0Vvzr7lt3OU09vwQwhkpOPPYv2Y/edit?usp=sharing"",""งบพรบ!FR64"")"),0)</f>
        <v>0</v>
      </c>
      <c r="N519" s="74">
        <f ca="1">IFERROR(__xludf.DUMMYFUNCTION("IMPORTRANGE(""https://docs.google.com/spreadsheets/d/1-uDff_7J0KD5mKrp0Vvzr7lt3OU09vwQwhkpOPPYv2Y/edit?usp=sharing"",""งบพรบ!FT64"")"),0)</f>
        <v>0</v>
      </c>
      <c r="O519" s="74">
        <f t="shared" ca="1" si="316"/>
        <v>0</v>
      </c>
      <c r="P519" s="74">
        <f t="shared" ca="1" si="317"/>
        <v>0</v>
      </c>
      <c r="Q519" s="74">
        <v>0</v>
      </c>
      <c r="R519" s="74">
        <v>0</v>
      </c>
      <c r="S519" s="74">
        <v>0</v>
      </c>
      <c r="T519" s="74">
        <f t="shared" si="319"/>
        <v>0</v>
      </c>
      <c r="U519" s="74">
        <f t="shared" si="320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3">
        <f t="shared" ref="L520:N520" ca="1" si="325">L521+L522</f>
        <v>0</v>
      </c>
      <c r="M520" s="74">
        <f t="shared" ca="1" si="325"/>
        <v>0</v>
      </c>
      <c r="N520" s="74">
        <f t="shared" ca="1" si="325"/>
        <v>0</v>
      </c>
      <c r="O520" s="74">
        <f t="shared" ca="1" si="316"/>
        <v>0</v>
      </c>
      <c r="P520" s="74">
        <f t="shared" ca="1" si="317"/>
        <v>0</v>
      </c>
      <c r="Q520" s="74">
        <f t="shared" ref="Q520:S520" si="326">Q521+Q522</f>
        <v>0</v>
      </c>
      <c r="R520" s="74">
        <f t="shared" si="326"/>
        <v>0</v>
      </c>
      <c r="S520" s="74">
        <f t="shared" si="326"/>
        <v>0</v>
      </c>
      <c r="T520" s="74">
        <f t="shared" si="319"/>
        <v>0</v>
      </c>
      <c r="U520" s="74">
        <f t="shared" si="320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77">
        <f t="shared" si="316"/>
        <v>0</v>
      </c>
      <c r="P521" s="77">
        <f t="shared" si="317"/>
        <v>0</v>
      </c>
      <c r="Q521" s="77">
        <v>0</v>
      </c>
      <c r="R521" s="77">
        <v>0</v>
      </c>
      <c r="S521" s="77">
        <v>0</v>
      </c>
      <c r="T521" s="77">
        <f t="shared" si="319"/>
        <v>0</v>
      </c>
      <c r="U521" s="77">
        <f t="shared" si="320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3">
        <f ca="1">IFERROR(__xludf.DUMMYFUNCTION("IMPORTRANGE(""https://docs.google.com/spreadsheets/d/1-uDff_7J0KD5mKrp0Vvzr7lt3OU09vwQwhkpOPPYv2Y/edit?usp=sharing"",""งบพรบ!FP64"")"),0)</f>
        <v>0</v>
      </c>
      <c r="M522" s="74">
        <f ca="1">IFERROR(__xludf.DUMMYFUNCTION("IMPORTRANGE(""https://docs.google.com/spreadsheets/d/1-uDff_7J0KD5mKrp0Vvzr7lt3OU09vwQwhkpOPPYv2Y/edit?usp=sharing"",""งบพรบ!FS64"")"),0)</f>
        <v>0</v>
      </c>
      <c r="N522" s="74">
        <f ca="1">IFERROR(__xludf.DUMMYFUNCTION("IMPORTRANGE(""https://docs.google.com/spreadsheets/d/1-uDff_7J0KD5mKrp0Vvzr7lt3OU09vwQwhkpOPPYv2Y/edit?usp=sharing"",""งบพรบ!FU64"")"),0)</f>
        <v>0</v>
      </c>
      <c r="O522" s="74">
        <f t="shared" ca="1" si="316"/>
        <v>0</v>
      </c>
      <c r="P522" s="74">
        <f t="shared" ca="1" si="317"/>
        <v>0</v>
      </c>
      <c r="Q522" s="74">
        <v>0</v>
      </c>
      <c r="R522" s="74">
        <v>0</v>
      </c>
      <c r="S522" s="74">
        <v>0</v>
      </c>
      <c r="T522" s="74">
        <f t="shared" si="319"/>
        <v>0</v>
      </c>
      <c r="U522" s="74">
        <f t="shared" si="320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7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7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8">I546</f>
        <v>0</v>
      </c>
      <c r="J534" s="1002">
        <f t="shared" si="328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1257">
        <f t="shared" ref="L535:N535" si="329">L536+L537</f>
        <v>0</v>
      </c>
      <c r="M535" s="264">
        <f t="shared" si="329"/>
        <v>0</v>
      </c>
      <c r="N535" s="264">
        <f t="shared" si="329"/>
        <v>0</v>
      </c>
      <c r="O535" s="264">
        <f t="shared" ref="O535:O543" si="330">IF(L535&gt;0,N535*100/L535,0)</f>
        <v>0</v>
      </c>
      <c r="P535" s="264">
        <f t="shared" ref="P535:P543" si="331">IF(M535&gt;0,N535*100/M535,0)</f>
        <v>0</v>
      </c>
      <c r="Q535" s="264">
        <f t="shared" ref="Q535:S535" si="332">Q536+Q537</f>
        <v>0</v>
      </c>
      <c r="R535" s="264">
        <f t="shared" si="332"/>
        <v>0</v>
      </c>
      <c r="S535" s="264">
        <f t="shared" si="332"/>
        <v>0</v>
      </c>
      <c r="T535" s="264">
        <f t="shared" ref="T535:T543" si="333">IF(Q535&gt;0,S535*100/Q535,0)</f>
        <v>0</v>
      </c>
      <c r="U535" s="264">
        <f t="shared" ref="U535:U543" si="334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6">
        <f t="shared" ref="L536:N537" si="335">L539+L542</f>
        <v>0</v>
      </c>
      <c r="M536" s="77">
        <f t="shared" si="335"/>
        <v>0</v>
      </c>
      <c r="N536" s="77">
        <f t="shared" si="335"/>
        <v>0</v>
      </c>
      <c r="O536" s="77">
        <f t="shared" si="330"/>
        <v>0</v>
      </c>
      <c r="P536" s="77">
        <f t="shared" si="331"/>
        <v>0</v>
      </c>
      <c r="Q536" s="77">
        <f t="shared" ref="Q536:S537" si="336">Q539+Q542</f>
        <v>0</v>
      </c>
      <c r="R536" s="77">
        <f t="shared" si="336"/>
        <v>0</v>
      </c>
      <c r="S536" s="77">
        <f t="shared" si="336"/>
        <v>0</v>
      </c>
      <c r="T536" s="77">
        <f t="shared" si="333"/>
        <v>0</v>
      </c>
      <c r="U536" s="77">
        <f t="shared" si="334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3">
        <f t="shared" si="335"/>
        <v>0</v>
      </c>
      <c r="M537" s="74">
        <f t="shared" si="335"/>
        <v>0</v>
      </c>
      <c r="N537" s="74">
        <f t="shared" si="335"/>
        <v>0</v>
      </c>
      <c r="O537" s="74">
        <f t="shared" si="330"/>
        <v>0</v>
      </c>
      <c r="P537" s="74">
        <f t="shared" si="331"/>
        <v>0</v>
      </c>
      <c r="Q537" s="74">
        <f t="shared" si="336"/>
        <v>0</v>
      </c>
      <c r="R537" s="74">
        <f t="shared" si="336"/>
        <v>0</v>
      </c>
      <c r="S537" s="74">
        <f t="shared" si="336"/>
        <v>0</v>
      </c>
      <c r="T537" s="74">
        <f t="shared" si="333"/>
        <v>0</v>
      </c>
      <c r="U537" s="74">
        <f t="shared" si="334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3">
        <f t="shared" ref="L538:N538" si="337">L539+L540</f>
        <v>0</v>
      </c>
      <c r="M538" s="74">
        <f t="shared" si="337"/>
        <v>0</v>
      </c>
      <c r="N538" s="74">
        <f t="shared" si="337"/>
        <v>0</v>
      </c>
      <c r="O538" s="74">
        <f t="shared" si="330"/>
        <v>0</v>
      </c>
      <c r="P538" s="74">
        <f t="shared" si="331"/>
        <v>0</v>
      </c>
      <c r="Q538" s="74">
        <f t="shared" ref="Q538:S538" si="338">Q539+Q540</f>
        <v>0</v>
      </c>
      <c r="R538" s="74">
        <f t="shared" si="338"/>
        <v>0</v>
      </c>
      <c r="S538" s="74">
        <f t="shared" si="338"/>
        <v>0</v>
      </c>
      <c r="T538" s="74">
        <f t="shared" si="333"/>
        <v>0</v>
      </c>
      <c r="U538" s="74">
        <f t="shared" si="334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77">
        <f t="shared" si="330"/>
        <v>0</v>
      </c>
      <c r="P539" s="77">
        <f t="shared" si="331"/>
        <v>0</v>
      </c>
      <c r="Q539" s="77">
        <v>0</v>
      </c>
      <c r="R539" s="77">
        <v>0</v>
      </c>
      <c r="S539" s="77">
        <v>0</v>
      </c>
      <c r="T539" s="77">
        <f t="shared" si="333"/>
        <v>0</v>
      </c>
      <c r="U539" s="77">
        <f t="shared" si="334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74">
        <f t="shared" si="330"/>
        <v>0</v>
      </c>
      <c r="P540" s="74">
        <f t="shared" si="331"/>
        <v>0</v>
      </c>
      <c r="Q540" s="74">
        <v>0</v>
      </c>
      <c r="R540" s="74">
        <v>0</v>
      </c>
      <c r="S540" s="74">
        <v>0</v>
      </c>
      <c r="T540" s="74">
        <f t="shared" si="333"/>
        <v>0</v>
      </c>
      <c r="U540" s="74">
        <f t="shared" si="334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3">
        <f t="shared" ref="L541:N541" si="339">L542+L543</f>
        <v>0</v>
      </c>
      <c r="M541" s="74">
        <f t="shared" si="339"/>
        <v>0</v>
      </c>
      <c r="N541" s="74">
        <f t="shared" si="339"/>
        <v>0</v>
      </c>
      <c r="O541" s="74">
        <f t="shared" si="330"/>
        <v>0</v>
      </c>
      <c r="P541" s="74">
        <f t="shared" si="331"/>
        <v>0</v>
      </c>
      <c r="Q541" s="74">
        <f t="shared" ref="Q541:S541" si="340">Q542+Q543</f>
        <v>0</v>
      </c>
      <c r="R541" s="74">
        <f t="shared" si="340"/>
        <v>0</v>
      </c>
      <c r="S541" s="74">
        <f t="shared" si="340"/>
        <v>0</v>
      </c>
      <c r="T541" s="74">
        <f t="shared" si="333"/>
        <v>0</v>
      </c>
      <c r="U541" s="74">
        <f t="shared" si="334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77">
        <f t="shared" si="330"/>
        <v>0</v>
      </c>
      <c r="P542" s="77">
        <f t="shared" si="331"/>
        <v>0</v>
      </c>
      <c r="Q542" s="77">
        <v>0</v>
      </c>
      <c r="R542" s="77">
        <v>0</v>
      </c>
      <c r="S542" s="77">
        <v>0</v>
      </c>
      <c r="T542" s="77">
        <f t="shared" si="333"/>
        <v>0</v>
      </c>
      <c r="U542" s="77">
        <f t="shared" si="334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74">
        <f t="shared" si="330"/>
        <v>0</v>
      </c>
      <c r="P543" s="74">
        <f t="shared" si="331"/>
        <v>0</v>
      </c>
      <c r="Q543" s="74">
        <v>0</v>
      </c>
      <c r="R543" s="74">
        <v>0</v>
      </c>
      <c r="S543" s="74">
        <v>0</v>
      </c>
      <c r="T543" s="74">
        <f t="shared" si="333"/>
        <v>0</v>
      </c>
      <c r="U543" s="74">
        <f t="shared" si="334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1">I567</f>
        <v>0</v>
      </c>
      <c r="J555" s="1002">
        <f t="shared" si="341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1257">
        <f t="shared" ref="L556:N556" si="342">L557+L558</f>
        <v>0</v>
      </c>
      <c r="M556" s="264">
        <f t="shared" si="342"/>
        <v>0</v>
      </c>
      <c r="N556" s="264">
        <f t="shared" si="342"/>
        <v>0</v>
      </c>
      <c r="O556" s="264">
        <f t="shared" ref="O556:O564" si="343">IF(L556&gt;0,N556*100/L556,0)</f>
        <v>0</v>
      </c>
      <c r="P556" s="264">
        <f t="shared" ref="P556:P564" si="344">IF(M556&gt;0,N556*100/M556,0)</f>
        <v>0</v>
      </c>
      <c r="Q556" s="264">
        <f t="shared" ref="Q556:S556" si="345">Q557+Q558</f>
        <v>0</v>
      </c>
      <c r="R556" s="264">
        <f t="shared" si="345"/>
        <v>0</v>
      </c>
      <c r="S556" s="264">
        <f t="shared" si="345"/>
        <v>0</v>
      </c>
      <c r="T556" s="264">
        <f t="shared" ref="T556:T564" si="346">IF(Q556&gt;0,S556*100/Q556,0)</f>
        <v>0</v>
      </c>
      <c r="U556" s="264">
        <f t="shared" ref="U556:U564" si="347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6">
        <f t="shared" ref="L557:N558" si="348">L560+L563</f>
        <v>0</v>
      </c>
      <c r="M557" s="77">
        <f t="shared" si="348"/>
        <v>0</v>
      </c>
      <c r="N557" s="77">
        <f t="shared" si="348"/>
        <v>0</v>
      </c>
      <c r="O557" s="77">
        <f t="shared" si="343"/>
        <v>0</v>
      </c>
      <c r="P557" s="77">
        <f t="shared" si="344"/>
        <v>0</v>
      </c>
      <c r="Q557" s="77">
        <f t="shared" ref="Q557:S558" si="349">Q560+Q563</f>
        <v>0</v>
      </c>
      <c r="R557" s="77">
        <f t="shared" si="349"/>
        <v>0</v>
      </c>
      <c r="S557" s="77">
        <f t="shared" si="349"/>
        <v>0</v>
      </c>
      <c r="T557" s="77">
        <f t="shared" si="346"/>
        <v>0</v>
      </c>
      <c r="U557" s="77">
        <f t="shared" si="347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3">
        <f t="shared" si="348"/>
        <v>0</v>
      </c>
      <c r="M558" s="74">
        <f t="shared" si="348"/>
        <v>0</v>
      </c>
      <c r="N558" s="74">
        <f t="shared" si="348"/>
        <v>0</v>
      </c>
      <c r="O558" s="74">
        <f t="shared" si="343"/>
        <v>0</v>
      </c>
      <c r="P558" s="74">
        <f t="shared" si="344"/>
        <v>0</v>
      </c>
      <c r="Q558" s="74">
        <f t="shared" si="349"/>
        <v>0</v>
      </c>
      <c r="R558" s="74">
        <f t="shared" si="349"/>
        <v>0</v>
      </c>
      <c r="S558" s="74">
        <f t="shared" si="349"/>
        <v>0</v>
      </c>
      <c r="T558" s="74">
        <f t="shared" si="346"/>
        <v>0</v>
      </c>
      <c r="U558" s="74">
        <f t="shared" si="347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3">
        <f t="shared" ref="L559:N559" si="350">L560+L561</f>
        <v>0</v>
      </c>
      <c r="M559" s="74">
        <f t="shared" si="350"/>
        <v>0</v>
      </c>
      <c r="N559" s="74">
        <f t="shared" si="350"/>
        <v>0</v>
      </c>
      <c r="O559" s="74">
        <f t="shared" si="343"/>
        <v>0</v>
      </c>
      <c r="P559" s="74">
        <f t="shared" si="344"/>
        <v>0</v>
      </c>
      <c r="Q559" s="74">
        <f t="shared" ref="Q559:S559" si="351">Q560+Q561</f>
        <v>0</v>
      </c>
      <c r="R559" s="74">
        <f t="shared" si="351"/>
        <v>0</v>
      </c>
      <c r="S559" s="74">
        <f t="shared" si="351"/>
        <v>0</v>
      </c>
      <c r="T559" s="74">
        <f t="shared" si="346"/>
        <v>0</v>
      </c>
      <c r="U559" s="74">
        <f t="shared" si="347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77">
        <f t="shared" si="343"/>
        <v>0</v>
      </c>
      <c r="P560" s="77">
        <f t="shared" si="344"/>
        <v>0</v>
      </c>
      <c r="Q560" s="77">
        <v>0</v>
      </c>
      <c r="R560" s="77">
        <v>0</v>
      </c>
      <c r="S560" s="77">
        <v>0</v>
      </c>
      <c r="T560" s="77">
        <f t="shared" si="346"/>
        <v>0</v>
      </c>
      <c r="U560" s="77">
        <f t="shared" si="347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74">
        <f t="shared" si="343"/>
        <v>0</v>
      </c>
      <c r="P561" s="74">
        <f t="shared" si="344"/>
        <v>0</v>
      </c>
      <c r="Q561" s="74">
        <v>0</v>
      </c>
      <c r="R561" s="74">
        <v>0</v>
      </c>
      <c r="S561" s="74">
        <v>0</v>
      </c>
      <c r="T561" s="74">
        <f t="shared" si="346"/>
        <v>0</v>
      </c>
      <c r="U561" s="74">
        <f t="shared" si="347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3">
        <f t="shared" ref="L562:N562" si="352">L563+L564</f>
        <v>0</v>
      </c>
      <c r="M562" s="74">
        <f t="shared" si="352"/>
        <v>0</v>
      </c>
      <c r="N562" s="74">
        <f t="shared" si="352"/>
        <v>0</v>
      </c>
      <c r="O562" s="74">
        <f t="shared" si="343"/>
        <v>0</v>
      </c>
      <c r="P562" s="74">
        <f t="shared" si="344"/>
        <v>0</v>
      </c>
      <c r="Q562" s="74">
        <f t="shared" ref="Q562:S562" si="353">Q563+Q564</f>
        <v>0</v>
      </c>
      <c r="R562" s="74">
        <f t="shared" si="353"/>
        <v>0</v>
      </c>
      <c r="S562" s="74">
        <f t="shared" si="353"/>
        <v>0</v>
      </c>
      <c r="T562" s="74">
        <f t="shared" si="346"/>
        <v>0</v>
      </c>
      <c r="U562" s="74">
        <f t="shared" si="347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77">
        <f t="shared" si="343"/>
        <v>0</v>
      </c>
      <c r="P563" s="77">
        <f t="shared" si="344"/>
        <v>0</v>
      </c>
      <c r="Q563" s="77">
        <v>0</v>
      </c>
      <c r="R563" s="77">
        <v>0</v>
      </c>
      <c r="S563" s="77">
        <v>0</v>
      </c>
      <c r="T563" s="77">
        <f t="shared" si="346"/>
        <v>0</v>
      </c>
      <c r="U563" s="77">
        <f t="shared" si="347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74">
        <f t="shared" si="343"/>
        <v>0</v>
      </c>
      <c r="P564" s="74">
        <f t="shared" si="344"/>
        <v>0</v>
      </c>
      <c r="Q564" s="74">
        <v>0</v>
      </c>
      <c r="R564" s="74">
        <v>0</v>
      </c>
      <c r="S564" s="74">
        <v>0</v>
      </c>
      <c r="T564" s="74">
        <f t="shared" si="346"/>
        <v>0</v>
      </c>
      <c r="U564" s="74">
        <f t="shared" si="347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4">I588</f>
        <v>0</v>
      </c>
      <c r="J576" s="1002">
        <f t="shared" si="354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1257">
        <f t="shared" ref="L577:N577" si="355">L578+L579</f>
        <v>0</v>
      </c>
      <c r="M577" s="264">
        <f t="shared" si="355"/>
        <v>0</v>
      </c>
      <c r="N577" s="264">
        <f t="shared" si="355"/>
        <v>0</v>
      </c>
      <c r="O577" s="264">
        <f t="shared" ref="O577:O585" si="356">IF(L577&gt;0,N577*100/L577,0)</f>
        <v>0</v>
      </c>
      <c r="P577" s="264">
        <f t="shared" ref="P577:P585" si="357">IF(M577&gt;0,N577*100/M577,0)</f>
        <v>0</v>
      </c>
      <c r="Q577" s="264">
        <f t="shared" ref="Q577:S577" si="358">Q578+Q579</f>
        <v>0</v>
      </c>
      <c r="R577" s="264">
        <f t="shared" si="358"/>
        <v>0</v>
      </c>
      <c r="S577" s="264">
        <f t="shared" si="358"/>
        <v>0</v>
      </c>
      <c r="T577" s="264">
        <f t="shared" ref="T577:T585" si="359">IF(Q577&gt;0,S577*100/Q577,0)</f>
        <v>0</v>
      </c>
      <c r="U577" s="264">
        <f t="shared" ref="U577:U585" si="360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6">
        <f t="shared" ref="L578:N579" si="361">L581+L584</f>
        <v>0</v>
      </c>
      <c r="M578" s="77">
        <f t="shared" si="361"/>
        <v>0</v>
      </c>
      <c r="N578" s="77">
        <f t="shared" si="361"/>
        <v>0</v>
      </c>
      <c r="O578" s="77">
        <f t="shared" si="356"/>
        <v>0</v>
      </c>
      <c r="P578" s="77">
        <f t="shared" si="357"/>
        <v>0</v>
      </c>
      <c r="Q578" s="77">
        <f t="shared" ref="Q578:S579" si="362">Q581+Q584</f>
        <v>0</v>
      </c>
      <c r="R578" s="77">
        <f t="shared" si="362"/>
        <v>0</v>
      </c>
      <c r="S578" s="77">
        <f t="shared" si="362"/>
        <v>0</v>
      </c>
      <c r="T578" s="77">
        <f t="shared" si="359"/>
        <v>0</v>
      </c>
      <c r="U578" s="77">
        <f t="shared" si="360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3">
        <f t="shared" si="361"/>
        <v>0</v>
      </c>
      <c r="M579" s="74">
        <f t="shared" si="361"/>
        <v>0</v>
      </c>
      <c r="N579" s="74">
        <f t="shared" si="361"/>
        <v>0</v>
      </c>
      <c r="O579" s="74">
        <f t="shared" si="356"/>
        <v>0</v>
      </c>
      <c r="P579" s="74">
        <f t="shared" si="357"/>
        <v>0</v>
      </c>
      <c r="Q579" s="74">
        <f t="shared" si="362"/>
        <v>0</v>
      </c>
      <c r="R579" s="74">
        <f t="shared" si="362"/>
        <v>0</v>
      </c>
      <c r="S579" s="74">
        <f t="shared" si="362"/>
        <v>0</v>
      </c>
      <c r="T579" s="74">
        <f t="shared" si="359"/>
        <v>0</v>
      </c>
      <c r="U579" s="74">
        <f t="shared" si="360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3">
        <f t="shared" ref="L580:N580" si="363">L581+L582</f>
        <v>0</v>
      </c>
      <c r="M580" s="74">
        <f t="shared" si="363"/>
        <v>0</v>
      </c>
      <c r="N580" s="74">
        <f t="shared" si="363"/>
        <v>0</v>
      </c>
      <c r="O580" s="74">
        <f t="shared" si="356"/>
        <v>0</v>
      </c>
      <c r="P580" s="74">
        <f t="shared" si="357"/>
        <v>0</v>
      </c>
      <c r="Q580" s="74">
        <f t="shared" ref="Q580:S580" si="364">Q581+Q582</f>
        <v>0</v>
      </c>
      <c r="R580" s="74">
        <f t="shared" si="364"/>
        <v>0</v>
      </c>
      <c r="S580" s="74">
        <f t="shared" si="364"/>
        <v>0</v>
      </c>
      <c r="T580" s="74">
        <f t="shared" si="359"/>
        <v>0</v>
      </c>
      <c r="U580" s="74">
        <f t="shared" si="360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77">
        <f t="shared" si="356"/>
        <v>0</v>
      </c>
      <c r="P581" s="77">
        <f t="shared" si="357"/>
        <v>0</v>
      </c>
      <c r="Q581" s="77">
        <v>0</v>
      </c>
      <c r="R581" s="77">
        <v>0</v>
      </c>
      <c r="S581" s="77">
        <v>0</v>
      </c>
      <c r="T581" s="77">
        <f t="shared" si="359"/>
        <v>0</v>
      </c>
      <c r="U581" s="77">
        <f t="shared" si="360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74">
        <f t="shared" si="356"/>
        <v>0</v>
      </c>
      <c r="P582" s="74">
        <f t="shared" si="357"/>
        <v>0</v>
      </c>
      <c r="Q582" s="74">
        <v>0</v>
      </c>
      <c r="R582" s="74">
        <v>0</v>
      </c>
      <c r="S582" s="74">
        <v>0</v>
      </c>
      <c r="T582" s="74">
        <f t="shared" si="359"/>
        <v>0</v>
      </c>
      <c r="U582" s="74">
        <f t="shared" si="360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3">
        <f t="shared" ref="L583:N583" si="365">L584+L585</f>
        <v>0</v>
      </c>
      <c r="M583" s="74">
        <f t="shared" si="365"/>
        <v>0</v>
      </c>
      <c r="N583" s="74">
        <f t="shared" si="365"/>
        <v>0</v>
      </c>
      <c r="O583" s="74">
        <f t="shared" si="356"/>
        <v>0</v>
      </c>
      <c r="P583" s="74">
        <f t="shared" si="357"/>
        <v>0</v>
      </c>
      <c r="Q583" s="74">
        <f t="shared" ref="Q583:S583" si="366">Q584+Q585</f>
        <v>0</v>
      </c>
      <c r="R583" s="74">
        <f t="shared" si="366"/>
        <v>0</v>
      </c>
      <c r="S583" s="74">
        <f t="shared" si="366"/>
        <v>0</v>
      </c>
      <c r="T583" s="74">
        <f t="shared" si="359"/>
        <v>0</v>
      </c>
      <c r="U583" s="74">
        <f t="shared" si="360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77">
        <f t="shared" si="356"/>
        <v>0</v>
      </c>
      <c r="P584" s="77">
        <f t="shared" si="357"/>
        <v>0</v>
      </c>
      <c r="Q584" s="77">
        <v>0</v>
      </c>
      <c r="R584" s="77">
        <v>0</v>
      </c>
      <c r="S584" s="77">
        <v>0</v>
      </c>
      <c r="T584" s="77">
        <f t="shared" si="359"/>
        <v>0</v>
      </c>
      <c r="U584" s="77">
        <f t="shared" si="360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74">
        <f t="shared" si="356"/>
        <v>0</v>
      </c>
      <c r="P585" s="74">
        <f t="shared" si="357"/>
        <v>0</v>
      </c>
      <c r="Q585" s="74">
        <v>0</v>
      </c>
      <c r="R585" s="74">
        <v>0</v>
      </c>
      <c r="S585" s="74">
        <v>0</v>
      </c>
      <c r="T585" s="74">
        <f t="shared" si="359"/>
        <v>0</v>
      </c>
      <c r="U585" s="74">
        <f t="shared" si="360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1257">
        <f t="shared" ref="L600:N600" si="367">L601+L602</f>
        <v>0</v>
      </c>
      <c r="M600" s="264">
        <f t="shared" si="367"/>
        <v>0</v>
      </c>
      <c r="N600" s="264">
        <f t="shared" si="367"/>
        <v>0</v>
      </c>
      <c r="O600" s="264">
        <f t="shared" ref="O600:O608" si="368">IF(L600&gt;0,N600*100/L600,0)</f>
        <v>0</v>
      </c>
      <c r="P600" s="264">
        <f t="shared" ref="P600:P608" si="369">IF(M600&gt;0,N600*100/M600,0)</f>
        <v>0</v>
      </c>
      <c r="Q600" s="264">
        <f t="shared" ref="Q600:S600" si="370">Q601+Q602</f>
        <v>0</v>
      </c>
      <c r="R600" s="264">
        <f t="shared" si="370"/>
        <v>0</v>
      </c>
      <c r="S600" s="264">
        <f t="shared" si="370"/>
        <v>0</v>
      </c>
      <c r="T600" s="264">
        <f t="shared" ref="T600:T608" si="371">IF(Q600&gt;0,S600*100/Q600,0)</f>
        <v>0</v>
      </c>
      <c r="U600" s="264">
        <f t="shared" ref="U600:U608" si="372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6">
        <f t="shared" ref="L601:N602" si="373">L604+L607</f>
        <v>0</v>
      </c>
      <c r="M601" s="77">
        <f t="shared" si="373"/>
        <v>0</v>
      </c>
      <c r="N601" s="77">
        <f t="shared" si="373"/>
        <v>0</v>
      </c>
      <c r="O601" s="77">
        <f t="shared" si="368"/>
        <v>0</v>
      </c>
      <c r="P601" s="77">
        <f t="shared" si="369"/>
        <v>0</v>
      </c>
      <c r="Q601" s="77">
        <f t="shared" ref="Q601:S602" si="374">Q604+Q607</f>
        <v>0</v>
      </c>
      <c r="R601" s="77">
        <f t="shared" si="374"/>
        <v>0</v>
      </c>
      <c r="S601" s="77">
        <f t="shared" si="374"/>
        <v>0</v>
      </c>
      <c r="T601" s="77">
        <f t="shared" si="371"/>
        <v>0</v>
      </c>
      <c r="U601" s="77">
        <f t="shared" si="372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3">
        <f t="shared" si="373"/>
        <v>0</v>
      </c>
      <c r="M602" s="74">
        <f t="shared" si="373"/>
        <v>0</v>
      </c>
      <c r="N602" s="74">
        <f t="shared" si="373"/>
        <v>0</v>
      </c>
      <c r="O602" s="74">
        <f t="shared" si="368"/>
        <v>0</v>
      </c>
      <c r="P602" s="74">
        <f t="shared" si="369"/>
        <v>0</v>
      </c>
      <c r="Q602" s="74">
        <f t="shared" si="374"/>
        <v>0</v>
      </c>
      <c r="R602" s="74">
        <f t="shared" si="374"/>
        <v>0</v>
      </c>
      <c r="S602" s="74">
        <f t="shared" si="374"/>
        <v>0</v>
      </c>
      <c r="T602" s="74">
        <f t="shared" si="371"/>
        <v>0</v>
      </c>
      <c r="U602" s="74">
        <f t="shared" si="372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3">
        <f t="shared" ref="L603:N603" si="375">L604+L605</f>
        <v>0</v>
      </c>
      <c r="M603" s="74">
        <f t="shared" si="375"/>
        <v>0</v>
      </c>
      <c r="N603" s="74">
        <f t="shared" si="375"/>
        <v>0</v>
      </c>
      <c r="O603" s="74">
        <f t="shared" si="368"/>
        <v>0</v>
      </c>
      <c r="P603" s="74">
        <f t="shared" si="369"/>
        <v>0</v>
      </c>
      <c r="Q603" s="74">
        <f t="shared" ref="Q603:S603" si="376">Q604+Q605</f>
        <v>0</v>
      </c>
      <c r="R603" s="74">
        <f t="shared" si="376"/>
        <v>0</v>
      </c>
      <c r="S603" s="74">
        <f t="shared" si="376"/>
        <v>0</v>
      </c>
      <c r="T603" s="74">
        <f t="shared" si="371"/>
        <v>0</v>
      </c>
      <c r="U603" s="74">
        <f t="shared" si="372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77">
        <f t="shared" si="368"/>
        <v>0</v>
      </c>
      <c r="P604" s="77">
        <f t="shared" si="369"/>
        <v>0</v>
      </c>
      <c r="Q604" s="77">
        <v>0</v>
      </c>
      <c r="R604" s="77">
        <v>0</v>
      </c>
      <c r="S604" s="77">
        <v>0</v>
      </c>
      <c r="T604" s="77">
        <f t="shared" si="371"/>
        <v>0</v>
      </c>
      <c r="U604" s="77">
        <f t="shared" si="372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74">
        <f t="shared" si="368"/>
        <v>0</v>
      </c>
      <c r="P605" s="74">
        <f t="shared" si="369"/>
        <v>0</v>
      </c>
      <c r="Q605" s="74">
        <v>0</v>
      </c>
      <c r="R605" s="74">
        <v>0</v>
      </c>
      <c r="S605" s="74">
        <v>0</v>
      </c>
      <c r="T605" s="74">
        <f t="shared" si="371"/>
        <v>0</v>
      </c>
      <c r="U605" s="74">
        <f t="shared" si="372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3">
        <f t="shared" ref="L606:N606" si="377">L607+L608</f>
        <v>0</v>
      </c>
      <c r="M606" s="74">
        <f t="shared" si="377"/>
        <v>0</v>
      </c>
      <c r="N606" s="74">
        <f t="shared" si="377"/>
        <v>0</v>
      </c>
      <c r="O606" s="74">
        <f t="shared" si="368"/>
        <v>0</v>
      </c>
      <c r="P606" s="74">
        <f t="shared" si="369"/>
        <v>0</v>
      </c>
      <c r="Q606" s="74">
        <f t="shared" ref="Q606:S606" si="378">Q607+Q608</f>
        <v>0</v>
      </c>
      <c r="R606" s="74">
        <f t="shared" si="378"/>
        <v>0</v>
      </c>
      <c r="S606" s="74">
        <f t="shared" si="378"/>
        <v>0</v>
      </c>
      <c r="T606" s="74">
        <f t="shared" si="371"/>
        <v>0</v>
      </c>
      <c r="U606" s="74">
        <f t="shared" si="372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77">
        <f t="shared" si="368"/>
        <v>0</v>
      </c>
      <c r="P607" s="77">
        <f t="shared" si="369"/>
        <v>0</v>
      </c>
      <c r="Q607" s="77">
        <v>0</v>
      </c>
      <c r="R607" s="77">
        <v>0</v>
      </c>
      <c r="S607" s="77">
        <v>0</v>
      </c>
      <c r="T607" s="77">
        <f t="shared" si="371"/>
        <v>0</v>
      </c>
      <c r="U607" s="77">
        <f t="shared" si="372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74">
        <f t="shared" si="368"/>
        <v>0</v>
      </c>
      <c r="P608" s="74">
        <f t="shared" si="369"/>
        <v>0</v>
      </c>
      <c r="Q608" s="74">
        <v>0</v>
      </c>
      <c r="R608" s="74">
        <v>0</v>
      </c>
      <c r="S608" s="74">
        <v>0</v>
      </c>
      <c r="T608" s="74">
        <f t="shared" si="371"/>
        <v>0</v>
      </c>
      <c r="U608" s="74">
        <f t="shared" si="372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740">
        <f t="shared" ref="I616:J616" ca="1" si="379">I627</f>
        <v>200</v>
      </c>
      <c r="J616" s="740">
        <f t="shared" si="379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1257">
        <f t="shared" ref="L617:N617" si="380">L618+L619</f>
        <v>0</v>
      </c>
      <c r="M617" s="264">
        <f t="shared" si="380"/>
        <v>0</v>
      </c>
      <c r="N617" s="264">
        <f t="shared" si="380"/>
        <v>0</v>
      </c>
      <c r="O617" s="264">
        <f t="shared" ref="O617:O625" si="381">IF(L617&gt;0,N617*100/L617,0)</f>
        <v>0</v>
      </c>
      <c r="P617" s="264">
        <f t="shared" ref="P617:P625" si="382">IF(M617&gt;0,N617*100/M617,0)</f>
        <v>0</v>
      </c>
      <c r="Q617" s="264">
        <f t="shared" ref="Q617:S617" ca="1" si="383">Q618+Q619</f>
        <v>21900</v>
      </c>
      <c r="R617" s="264">
        <f t="shared" ca="1" si="383"/>
        <v>21900</v>
      </c>
      <c r="S617" s="264">
        <f t="shared" ca="1" si="383"/>
        <v>0</v>
      </c>
      <c r="T617" s="264">
        <f t="shared" ref="T617:T625" ca="1" si="384">IF(Q617&gt;0,S617*100/Q617,0)</f>
        <v>0</v>
      </c>
      <c r="U617" s="264">
        <f t="shared" ref="U617:U625" ca="1" si="385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6">
        <f t="shared" ref="L618:N619" si="386">L621+L624</f>
        <v>0</v>
      </c>
      <c r="M618" s="77">
        <f t="shared" si="386"/>
        <v>0</v>
      </c>
      <c r="N618" s="77">
        <f t="shared" si="386"/>
        <v>0</v>
      </c>
      <c r="O618" s="77">
        <f t="shared" si="381"/>
        <v>0</v>
      </c>
      <c r="P618" s="77">
        <f t="shared" si="382"/>
        <v>0</v>
      </c>
      <c r="Q618" s="77">
        <f t="shared" ref="Q618:S619" si="387">Q621+Q624</f>
        <v>0</v>
      </c>
      <c r="R618" s="77">
        <f t="shared" si="387"/>
        <v>0</v>
      </c>
      <c r="S618" s="77">
        <f t="shared" si="387"/>
        <v>0</v>
      </c>
      <c r="T618" s="77">
        <f t="shared" si="384"/>
        <v>0</v>
      </c>
      <c r="U618" s="77">
        <f t="shared" si="385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3">
        <f t="shared" si="386"/>
        <v>0</v>
      </c>
      <c r="M619" s="74">
        <f t="shared" si="386"/>
        <v>0</v>
      </c>
      <c r="N619" s="74">
        <f t="shared" si="386"/>
        <v>0</v>
      </c>
      <c r="O619" s="74">
        <f t="shared" si="381"/>
        <v>0</v>
      </c>
      <c r="P619" s="74">
        <f t="shared" si="382"/>
        <v>0</v>
      </c>
      <c r="Q619" s="74">
        <f t="shared" ca="1" si="387"/>
        <v>21900</v>
      </c>
      <c r="R619" s="74">
        <f t="shared" ca="1" si="387"/>
        <v>21900</v>
      </c>
      <c r="S619" s="74">
        <f t="shared" ca="1" si="387"/>
        <v>0</v>
      </c>
      <c r="T619" s="74">
        <f t="shared" ca="1" si="384"/>
        <v>0</v>
      </c>
      <c r="U619" s="74">
        <f t="shared" ca="1" si="385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3">
        <f t="shared" ref="L620:N620" si="388">L621+L622</f>
        <v>0</v>
      </c>
      <c r="M620" s="74">
        <f t="shared" si="388"/>
        <v>0</v>
      </c>
      <c r="N620" s="74">
        <f t="shared" si="388"/>
        <v>0</v>
      </c>
      <c r="O620" s="74">
        <f t="shared" si="381"/>
        <v>0</v>
      </c>
      <c r="P620" s="74">
        <f t="shared" si="382"/>
        <v>0</v>
      </c>
      <c r="Q620" s="74">
        <f t="shared" ref="Q620:S620" ca="1" si="389">Q621+Q622</f>
        <v>21900</v>
      </c>
      <c r="R620" s="74">
        <f t="shared" ca="1" si="389"/>
        <v>21900</v>
      </c>
      <c r="S620" s="74">
        <f t="shared" ca="1" si="389"/>
        <v>0</v>
      </c>
      <c r="T620" s="74">
        <f t="shared" ca="1" si="384"/>
        <v>0</v>
      </c>
      <c r="U620" s="74">
        <f t="shared" ca="1" si="385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77">
        <f t="shared" si="381"/>
        <v>0</v>
      </c>
      <c r="P621" s="77">
        <f t="shared" si="382"/>
        <v>0</v>
      </c>
      <c r="Q621" s="77">
        <v>0</v>
      </c>
      <c r="R621" s="77">
        <v>0</v>
      </c>
      <c r="S621" s="77">
        <v>0</v>
      </c>
      <c r="T621" s="77">
        <f t="shared" si="384"/>
        <v>0</v>
      </c>
      <c r="U621" s="77">
        <f t="shared" si="385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74">
        <f t="shared" si="381"/>
        <v>0</v>
      </c>
      <c r="P622" s="74">
        <f t="shared" si="382"/>
        <v>0</v>
      </c>
      <c r="Q622" s="74">
        <f ca="1">IFERROR(__xludf.DUMMYFUNCTION("IMPORTRANGE(""https://docs.google.com/spreadsheets/d/1ItG2mGa2ceCfYo0BwxsXqNm01IGEUdYcSSLTEv9YCik/edit?usp=sharing"",""เบิกจ่ายกองทุน!F64"")"),21900)</f>
        <v>21900</v>
      </c>
      <c r="R622" s="74">
        <f ca="1">IFERROR(__xludf.DUMMYFUNCTION("IMPORTRANGE(""https://docs.google.com/spreadsheets/d/1ItG2mGa2ceCfYo0BwxsXqNm01IGEUdYcSSLTEv9YCik/edit?usp=sharing"",""เบิกจ่ายกองทุน!G64"")"),21900)</f>
        <v>21900</v>
      </c>
      <c r="S622" s="74">
        <f ca="1">IFERROR(__xludf.DUMMYFUNCTION("IMPORTRANGE(""https://docs.google.com/spreadsheets/d/1ItG2mGa2ceCfYo0BwxsXqNm01IGEUdYcSSLTEv9YCik/edit?usp=sharing"",""เบิกจ่ายกองทุน!H64"")"),0)</f>
        <v>0</v>
      </c>
      <c r="T622" s="74">
        <f t="shared" ca="1" si="384"/>
        <v>0</v>
      </c>
      <c r="U622" s="74">
        <f t="shared" ca="1" si="385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3">
        <f t="shared" ref="L623:N623" si="390">L624+L625</f>
        <v>0</v>
      </c>
      <c r="M623" s="74">
        <f t="shared" si="390"/>
        <v>0</v>
      </c>
      <c r="N623" s="74">
        <f t="shared" si="390"/>
        <v>0</v>
      </c>
      <c r="O623" s="74">
        <f t="shared" si="381"/>
        <v>0</v>
      </c>
      <c r="P623" s="74">
        <f t="shared" si="382"/>
        <v>0</v>
      </c>
      <c r="Q623" s="74">
        <f t="shared" ref="Q623:S623" si="391">Q624+Q625</f>
        <v>0</v>
      </c>
      <c r="R623" s="74">
        <f t="shared" si="391"/>
        <v>0</v>
      </c>
      <c r="S623" s="74">
        <f t="shared" si="391"/>
        <v>0</v>
      </c>
      <c r="T623" s="74">
        <f t="shared" si="384"/>
        <v>0</v>
      </c>
      <c r="U623" s="74">
        <f t="shared" si="385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77">
        <f t="shared" si="381"/>
        <v>0</v>
      </c>
      <c r="P624" s="77">
        <f t="shared" si="382"/>
        <v>0</v>
      </c>
      <c r="Q624" s="77">
        <v>0</v>
      </c>
      <c r="R624" s="77">
        <v>0</v>
      </c>
      <c r="S624" s="77">
        <v>0</v>
      </c>
      <c r="T624" s="77">
        <f t="shared" si="384"/>
        <v>0</v>
      </c>
      <c r="U624" s="77">
        <f t="shared" si="385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74">
        <f t="shared" si="381"/>
        <v>0</v>
      </c>
      <c r="P625" s="74">
        <f t="shared" si="382"/>
        <v>0</v>
      </c>
      <c r="Q625" s="74">
        <v>0</v>
      </c>
      <c r="R625" s="74">
        <v>0</v>
      </c>
      <c r="S625" s="74">
        <v>0</v>
      </c>
      <c r="T625" s="74">
        <f t="shared" si="384"/>
        <v>0</v>
      </c>
      <c r="U625" s="74">
        <f t="shared" si="385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IFERROR(__xludf.DUMMYFUNCTION("IMPORTRANGE(""https://docs.google.com/spreadsheets/d/1eHaY18a8A9IcSdp1K8H6x8fbOy06t2VsZHhMHf-1x7Y/edit?usp=sharing"",""แผน!ID64"")"),200)</f>
        <v>200</v>
      </c>
      <c r="J627" s="622">
        <f>J633</f>
        <v>0</v>
      </c>
      <c r="K627" s="26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IFERROR(__xludf.DUMMYFUNCTION("IMPORTRANGE(""https://docs.google.com/spreadsheets/d/1eHaY18a8A9IcSdp1K8H6x8fbOy06t2VsZHhMHf-1x7Y/edit?usp=sharing"",""แผน!IC64"")"),0)</f>
        <v>0</v>
      </c>
      <c r="J628" s="294">
        <v>0</v>
      </c>
      <c r="K628" s="74">
        <f t="shared" ref="K628:K629" ca="1" si="392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IFERROR(__xludf.DUMMYFUNCTION("IMPORTRANGE(""https://docs.google.com/spreadsheets/d/1eHaY18a8A9IcSdp1K8H6x8fbOy06t2VsZHhMHf-1x7Y/edit?usp=sharing"",""แผน!IC64"")"),0)</f>
        <v>0</v>
      </c>
      <c r="J629" s="294">
        <v>0</v>
      </c>
      <c r="K629" s="74">
        <f t="shared" ca="1" si="392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0</v>
      </c>
      <c r="K630" s="74">
        <f t="shared" ref="K630:K632" ca="1" si="393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t="shared" ca="1" si="393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t="shared" ca="1" si="393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IFERROR(__xludf.DUMMYFUNCTION("IMPORTRANGE(""https://docs.google.com/spreadsheets/d/1eHaY18a8A9IcSdp1K8H6x8fbOy06t2VsZHhMHf-1x7Y/edit?usp=sharing"",""แผน!IE64"")"),0)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1257">
        <f t="shared" ref="L643:N643" si="394">L644+L645</f>
        <v>0</v>
      </c>
      <c r="M643" s="264">
        <f t="shared" si="394"/>
        <v>0</v>
      </c>
      <c r="N643" s="264">
        <f t="shared" si="394"/>
        <v>0</v>
      </c>
      <c r="O643" s="264">
        <f t="shared" ref="O643:O651" si="395">IF(L643&gt;0,N643*100/L643,0)</f>
        <v>0</v>
      </c>
      <c r="P643" s="264">
        <f t="shared" ref="P643:P651" si="396">IF(M643&gt;0,N643*100/M643,0)</f>
        <v>0</v>
      </c>
      <c r="Q643" s="264">
        <f t="shared" ref="Q643:S643" ca="1" si="397">Q644+Q645</f>
        <v>76220</v>
      </c>
      <c r="R643" s="264">
        <f t="shared" ca="1" si="397"/>
        <v>76220</v>
      </c>
      <c r="S643" s="264">
        <f t="shared" ca="1" si="397"/>
        <v>0</v>
      </c>
      <c r="T643" s="264">
        <f t="shared" ref="T643:T651" ca="1" si="398">IF(Q643&gt;0,S643*100/Q643,0)</f>
        <v>0</v>
      </c>
      <c r="U643" s="264">
        <f t="shared" ref="U643:U651" ca="1" si="399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6">
        <f t="shared" ref="L644:N645" si="400">L647+L650</f>
        <v>0</v>
      </c>
      <c r="M644" s="77">
        <f t="shared" si="400"/>
        <v>0</v>
      </c>
      <c r="N644" s="77">
        <f t="shared" si="400"/>
        <v>0</v>
      </c>
      <c r="O644" s="77">
        <f t="shared" si="395"/>
        <v>0</v>
      </c>
      <c r="P644" s="77">
        <f t="shared" si="396"/>
        <v>0</v>
      </c>
      <c r="Q644" s="77">
        <f t="shared" ref="Q644:S645" si="401">Q647+Q650</f>
        <v>0</v>
      </c>
      <c r="R644" s="77">
        <f t="shared" si="401"/>
        <v>0</v>
      </c>
      <c r="S644" s="77">
        <f t="shared" si="401"/>
        <v>0</v>
      </c>
      <c r="T644" s="77">
        <f t="shared" si="398"/>
        <v>0</v>
      </c>
      <c r="U644" s="77">
        <f t="shared" si="399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3">
        <f t="shared" si="400"/>
        <v>0</v>
      </c>
      <c r="M645" s="74">
        <f t="shared" si="400"/>
        <v>0</v>
      </c>
      <c r="N645" s="74">
        <f t="shared" si="400"/>
        <v>0</v>
      </c>
      <c r="O645" s="74">
        <f t="shared" si="395"/>
        <v>0</v>
      </c>
      <c r="P645" s="74">
        <f t="shared" si="396"/>
        <v>0</v>
      </c>
      <c r="Q645" s="74">
        <f t="shared" ca="1" si="401"/>
        <v>76220</v>
      </c>
      <c r="R645" s="74">
        <f t="shared" ca="1" si="401"/>
        <v>76220</v>
      </c>
      <c r="S645" s="74">
        <f t="shared" ca="1" si="401"/>
        <v>0</v>
      </c>
      <c r="T645" s="74">
        <f t="shared" ca="1" si="398"/>
        <v>0</v>
      </c>
      <c r="U645" s="74">
        <f t="shared" ca="1" si="399"/>
        <v>0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3">
        <f t="shared" ref="L646:N646" si="402">L647+L648</f>
        <v>0</v>
      </c>
      <c r="M646" s="74">
        <f t="shared" si="402"/>
        <v>0</v>
      </c>
      <c r="N646" s="74">
        <f t="shared" si="402"/>
        <v>0</v>
      </c>
      <c r="O646" s="74">
        <f t="shared" si="395"/>
        <v>0</v>
      </c>
      <c r="P646" s="74">
        <f t="shared" si="396"/>
        <v>0</v>
      </c>
      <c r="Q646" s="74">
        <f t="shared" ref="Q646:S646" ca="1" si="403">Q647+Q648</f>
        <v>76220</v>
      </c>
      <c r="R646" s="74">
        <f t="shared" ca="1" si="403"/>
        <v>76220</v>
      </c>
      <c r="S646" s="74">
        <f t="shared" ca="1" si="403"/>
        <v>0</v>
      </c>
      <c r="T646" s="74">
        <f t="shared" ca="1" si="398"/>
        <v>0</v>
      </c>
      <c r="U646" s="74">
        <f t="shared" ca="1" si="399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77">
        <f t="shared" si="395"/>
        <v>0</v>
      </c>
      <c r="P647" s="77">
        <f t="shared" si="396"/>
        <v>0</v>
      </c>
      <c r="Q647" s="77">
        <v>0</v>
      </c>
      <c r="R647" s="77">
        <v>0</v>
      </c>
      <c r="S647" s="77">
        <v>0</v>
      </c>
      <c r="T647" s="77">
        <f t="shared" si="398"/>
        <v>0</v>
      </c>
      <c r="U647" s="77">
        <f t="shared" si="399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74">
        <f t="shared" si="395"/>
        <v>0</v>
      </c>
      <c r="P648" s="74">
        <f t="shared" si="396"/>
        <v>0</v>
      </c>
      <c r="Q648" s="74">
        <f ca="1">IFERROR(__xludf.DUMMYFUNCTION("IMPORTRANGE(""https://docs.google.com/spreadsheets/d/1ItG2mGa2ceCfYo0BwxsXqNm01IGEUdYcSSLTEv9YCik/edit?usp=sharing"",""เบิกจ่ายกองทุน!I64"")"),76220)</f>
        <v>76220</v>
      </c>
      <c r="R648" s="74">
        <f ca="1">IFERROR(__xludf.DUMMYFUNCTION("IMPORTRANGE(""https://docs.google.com/spreadsheets/d/1ItG2mGa2ceCfYo0BwxsXqNm01IGEUdYcSSLTEv9YCik/edit?usp=sharing"",""เบิกจ่ายกองทุน!J64"")"),76220)</f>
        <v>76220</v>
      </c>
      <c r="S648" s="74">
        <f ca="1">IFERROR(__xludf.DUMMYFUNCTION("IMPORTRANGE(""https://docs.google.com/spreadsheets/d/1ItG2mGa2ceCfYo0BwxsXqNm01IGEUdYcSSLTEv9YCik/edit?usp=sharing"",""เบิกจ่ายกองทุน!K64"")"),0)</f>
        <v>0</v>
      </c>
      <c r="T648" s="74">
        <f t="shared" ca="1" si="398"/>
        <v>0</v>
      </c>
      <c r="U648" s="74">
        <f t="shared" ca="1" si="399"/>
        <v>0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3">
        <f t="shared" ref="L649:N649" si="404">L650+L651</f>
        <v>0</v>
      </c>
      <c r="M649" s="74">
        <f t="shared" si="404"/>
        <v>0</v>
      </c>
      <c r="N649" s="74">
        <f t="shared" si="404"/>
        <v>0</v>
      </c>
      <c r="O649" s="74">
        <f t="shared" si="395"/>
        <v>0</v>
      </c>
      <c r="P649" s="74">
        <f t="shared" si="396"/>
        <v>0</v>
      </c>
      <c r="Q649" s="74">
        <f t="shared" ref="Q649:S649" si="405">Q650+Q651</f>
        <v>0</v>
      </c>
      <c r="R649" s="74">
        <f t="shared" si="405"/>
        <v>0</v>
      </c>
      <c r="S649" s="74">
        <f t="shared" si="405"/>
        <v>0</v>
      </c>
      <c r="T649" s="74">
        <f t="shared" si="398"/>
        <v>0</v>
      </c>
      <c r="U649" s="74">
        <f t="shared" si="399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77">
        <f t="shared" si="395"/>
        <v>0</v>
      </c>
      <c r="P650" s="77">
        <f t="shared" si="396"/>
        <v>0</v>
      </c>
      <c r="Q650" s="77">
        <v>0</v>
      </c>
      <c r="R650" s="77">
        <v>0</v>
      </c>
      <c r="S650" s="77">
        <v>0</v>
      </c>
      <c r="T650" s="77">
        <f t="shared" si="398"/>
        <v>0</v>
      </c>
      <c r="U650" s="77">
        <f t="shared" si="399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74">
        <f t="shared" si="395"/>
        <v>0</v>
      </c>
      <c r="P651" s="74">
        <f t="shared" si="396"/>
        <v>0</v>
      </c>
      <c r="Q651" s="74">
        <v>0</v>
      </c>
      <c r="R651" s="74">
        <v>0</v>
      </c>
      <c r="S651" s="74">
        <v>0</v>
      </c>
      <c r="T651" s="74">
        <f t="shared" si="398"/>
        <v>0</v>
      </c>
      <c r="U651" s="74">
        <f t="shared" si="399"/>
        <v>0</v>
      </c>
    </row>
    <row r="652" spans="1:21" ht="19.5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IFERROR(__xludf.DUMMYFUNCTION("IMPORTRANGE(""https://docs.google.com/spreadsheets/d/1eHaY18a8A9IcSdp1K8H6x8fbOy06t2VsZHhMHf-1x7Y/edit?usp=sharing"",""แผน!IF64"")"),0)</f>
        <v>0</v>
      </c>
      <c r="J653" s="293">
        <f ca="1">IFERROR(__xludf.DUMMYFUNCTION("IMPORTRANGE(""https://docs.google.com/spreadsheets/d/1tdoBKaGub7dwA3U6UFTqxio9LNnvDCQjHKmttSEBsFQ/edit?usp=sharing"",""จัดที่ดิน!AU64"")"),0)</f>
        <v>0</v>
      </c>
      <c r="K653" s="74">
        <f t="shared" ref="K653:K655" ca="1" si="406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IFERROR(__xludf.DUMMYFUNCTION("IMPORTRANGE(""https://docs.google.com/spreadsheets/d/1eHaY18a8A9IcSdp1K8H6x8fbOy06t2VsZHhMHf-1x7Y/edit?usp=sharing"",""แผน!IG64"")"),63)</f>
        <v>63</v>
      </c>
      <c r="J654" s="293">
        <f ca="1">IFERROR(__xludf.DUMMYFUNCTION("IMPORTRANGE(""https://docs.google.com/spreadsheets/d/1tdoBKaGub7dwA3U6UFTqxio9LNnvDCQjHKmttSEBsFQ/edit?usp=sharing"",""จัดที่ดิน!AW64"")"),0)</f>
        <v>0</v>
      </c>
      <c r="K654" s="74">
        <f t="shared" ca="1" si="406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hidden="1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IFERROR(__xludf.DUMMYFUNCTION("IMPORTRANGE(""https://docs.google.com/spreadsheets/d/1eHaY18a8A9IcSdp1K8H6x8fbOy06t2VsZHhMHf-1x7Y/edit?usp=sharing"",""แผน!IH64"")"),0)</f>
        <v>0</v>
      </c>
      <c r="J655" s="622">
        <f>J658+J661</f>
        <v>0</v>
      </c>
      <c r="K655" s="264">
        <f t="shared" ca="1" si="406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hidden="1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hidden="1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hidden="1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IFERROR(__xludf.DUMMYFUNCTION("IMPORTRANGE(""https://docs.google.com/spreadsheets/d/1eHaY18a8A9IcSdp1K8H6x8fbOy06t2VsZHhMHf-1x7Y/edit?usp=sharing"",""แผน!II64"")"),0)</f>
        <v>0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hidden="1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hidden="1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hidden="1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IFERROR(__xludf.DUMMYFUNCTION("IMPORTRANGE(""https://docs.google.com/spreadsheets/d/1eHaY18a8A9IcSdp1K8H6x8fbOy06t2VsZHhMHf-1x7Y/edit?usp=sharing"",""แผน!IJ64"")"),0)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IFERROR(__xludf.DUMMYFUNCTION("IMPORTRANGE(""https://docs.google.com/spreadsheets/d/1eHaY18a8A9IcSdp1K8H6x8fbOy06t2VsZHhMHf-1x7Y/edit?usp=sharing"",""แผน!IK64"")"),20)</f>
        <v>20</v>
      </c>
      <c r="J662" s="622">
        <f>J668+J671</f>
        <v>0</v>
      </c>
      <c r="K662" s="264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IFERROR(__xludf.DUMMYFUNCTION("IMPORTRANGE(""https://docs.google.com/spreadsheets/d/1tdoBKaGub7dwA3U6UFTqxio9LNnvDCQjHKmttSEBsFQ/edit?usp=sharing"",""จัดที่ดิน!AY64"")"),31)</f>
        <v>31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IFERROR(__xludf.DUMMYFUNCTION("IMPORTRANGE(""https://docs.google.com/spreadsheets/d/1tdoBKaGub7dwA3U6UFTqxio9LNnvDCQjHKmttSEBsFQ/edit?usp=sharing"",""จัดที่ดิน!AZ64"")"),34)</f>
        <v>34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IFERROR(__xludf.DUMMYFUNCTION("IMPORTRANGE(""https://docs.google.com/spreadsheets/d/1eHaY18a8A9IcSdp1K8H6x8fbOy06t2VsZHhMHf-1x7Y/edit?usp=sharing"",""แผน!IL64"")"),450)</f>
        <v>450</v>
      </c>
      <c r="J674" s="293">
        <f ca="1">IFERROR(__xludf.DUMMYFUNCTION("IMPORTRANGE(""https://docs.google.com/spreadsheets/d/1tdoBKaGub7dwA3U6UFTqxio9LNnvDCQjHKmttSEBsFQ/edit?usp=sharing"",""จัดที่ดิน!BA64"")"),229.9)</f>
        <v>229.9</v>
      </c>
      <c r="K674" s="74">
        <f t="shared" ref="K674:K677" ca="1" si="407">IF(I674&gt;0,J674*100/I674,0)</f>
        <v>51.088888888888889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IFERROR(__xludf.DUMMYFUNCTION("IMPORTRANGE(""https://docs.google.com/spreadsheets/d/1eHaY18a8A9IcSdp1K8H6x8fbOy06t2VsZHhMHf-1x7Y/edit?usp=sharing"",""แผน!IM64"")"),43)</f>
        <v>43</v>
      </c>
      <c r="J675" s="622">
        <f ca="1">J677+J680</f>
        <v>1</v>
      </c>
      <c r="K675" s="264">
        <f t="shared" ca="1" si="407"/>
        <v>2.3255813953488373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IFERROR(__xludf.DUMMYFUNCTION("IMPORTRANGE(""https://docs.google.com/spreadsheets/d/1eHaY18a8A9IcSdp1K8H6x8fbOy06t2VsZHhMHf-1x7Y/edit?usp=sharing"",""แผน!IN64"")"),330)</f>
        <v>330</v>
      </c>
      <c r="J676" s="622">
        <f ca="1">J679+J682</f>
        <v>11.89</v>
      </c>
      <c r="K676" s="264">
        <f t="shared" ca="1" si="407"/>
        <v>3.603030303030303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IFERROR(__xludf.DUMMYFUNCTION("IMPORTRANGE(""https://docs.google.com/spreadsheets/d/1eHaY18a8A9IcSdp1K8H6x8fbOy06t2VsZHhMHf-1x7Y/edit?usp=sharing"",""แผน!IO64"")"),40)</f>
        <v>40</v>
      </c>
      <c r="J677" s="293">
        <f ca="1">IFERROR(__xludf.DUMMYFUNCTION("IMPORTRANGE(""https://docs.google.com/spreadsheets/d/1tdoBKaGub7dwA3U6UFTqxio9LNnvDCQjHKmttSEBsFQ/edit?usp=sharing"",""จัดที่ดิน!BF64"")"),1)</f>
        <v>1</v>
      </c>
      <c r="K677" s="74">
        <f t="shared" ca="1" si="407"/>
        <v>2.5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IFERROR(__xludf.DUMMYFUNCTION("IMPORTRANGE(""https://docs.google.com/spreadsheets/d/1tdoBKaGub7dwA3U6UFTqxio9LNnvDCQjHKmttSEBsFQ/edit?usp=sharing"",""จัดที่ดิน!BG64"")"),1)</f>
        <v>1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IFERROR(__xludf.DUMMYFUNCTION("IMPORTRANGE(""https://docs.google.com/spreadsheets/d/1eHaY18a8A9IcSdp1K8H6x8fbOy06t2VsZHhMHf-1x7Y/edit?usp=sharing"",""แผน!IP64"")"),300)</f>
        <v>300</v>
      </c>
      <c r="J679" s="293">
        <f ca="1">IFERROR(__xludf.DUMMYFUNCTION("IMPORTRANGE(""https://docs.google.com/spreadsheets/d/1tdoBKaGub7dwA3U6UFTqxio9LNnvDCQjHKmttSEBsFQ/edit?usp=sharing"",""จัดที่ดิน!BH64"")"),11.89)</f>
        <v>11.89</v>
      </c>
      <c r="K679" s="74">
        <f t="shared" ref="K679:K680" ca="1" si="408">IF(I679&gt;0,J679*100/I679,0)</f>
        <v>3.9633333333333334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IFERROR(__xludf.DUMMYFUNCTION("IMPORTRANGE(""https://docs.google.com/spreadsheets/d/1eHaY18a8A9IcSdp1K8H6x8fbOy06t2VsZHhMHf-1x7Y/edit?usp=sharing"",""แผน!IQ64"")"),3)</f>
        <v>3</v>
      </c>
      <c r="J680" s="293">
        <f ca="1">IFERROR(__xludf.DUMMYFUNCTION("IMPORTRANGE(""https://docs.google.com/spreadsheets/d/1tdoBKaGub7dwA3U6UFTqxio9LNnvDCQjHKmttSEBsFQ/edit?usp=sharing"",""จัดที่ดิน!BK64"")"),0)</f>
        <v>0</v>
      </c>
      <c r="K680" s="74">
        <f t="shared" ca="1" si="408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IFERROR(__xludf.DUMMYFUNCTION("IMPORTRANGE(""https://docs.google.com/spreadsheets/d/1tdoBKaGub7dwA3U6UFTqxio9LNnvDCQjHKmttSEBsFQ/edit?usp=sharing"",""จัดที่ดิน!BL64"")"),0)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IFERROR(__xludf.DUMMYFUNCTION("IMPORTRANGE(""https://docs.google.com/spreadsheets/d/1eHaY18a8A9IcSdp1K8H6x8fbOy06t2VsZHhMHf-1x7Y/edit?usp=sharing"",""แผน!IR64"")"),30)</f>
        <v>30</v>
      </c>
      <c r="J682" s="293">
        <f ca="1">IFERROR(__xludf.DUMMYFUNCTION("IMPORTRANGE(""https://docs.google.com/spreadsheets/d/1tdoBKaGub7dwA3U6UFTqxio9LNnvDCQjHKmttSEBsFQ/edit?usp=sharing"",""จัดที่ดิน!BM64"")"),0)</f>
        <v>0</v>
      </c>
      <c r="K682" s="74">
        <f t="shared" ref="K682:K683" ca="1" si="409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IFERROR(__xludf.DUMMYFUNCTION("IMPORTRANGE(""https://docs.google.com/spreadsheets/d/1eHaY18a8A9IcSdp1K8H6x8fbOy06t2VsZHhMHf-1x7Y/edit?usp=sharing"",""แผน!IS64"")"),317)</f>
        <v>317</v>
      </c>
      <c r="J683" s="622">
        <f>J686+J689</f>
        <v>0</v>
      </c>
      <c r="K683" s="264">
        <f t="shared" ca="1" si="409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64" t="s">
        <v>35</v>
      </c>
      <c r="I690" s="765">
        <f t="shared" ref="I690:J690" ca="1" si="410">I708</f>
        <v>0</v>
      </c>
      <c r="J690" s="765">
        <f t="shared" ca="1" si="410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1257">
        <f t="shared" ref="L691:N691" si="411">L692+L693</f>
        <v>0</v>
      </c>
      <c r="M691" s="264">
        <f t="shared" si="411"/>
        <v>0</v>
      </c>
      <c r="N691" s="264">
        <f t="shared" si="411"/>
        <v>0</v>
      </c>
      <c r="O691" s="264">
        <f t="shared" ref="O691:O699" si="412">IF(L691&gt;0,N691*100/L691,0)</f>
        <v>0</v>
      </c>
      <c r="P691" s="264">
        <f t="shared" ref="P691:P699" si="413">IF(M691&gt;0,N691*100/M691,0)</f>
        <v>0</v>
      </c>
      <c r="Q691" s="264">
        <f t="shared" ref="Q691:S691" ca="1" si="414">Q692+Q693</f>
        <v>59430</v>
      </c>
      <c r="R691" s="264">
        <f t="shared" ca="1" si="414"/>
        <v>59430</v>
      </c>
      <c r="S691" s="264">
        <f t="shared" ca="1" si="414"/>
        <v>0</v>
      </c>
      <c r="T691" s="264">
        <f t="shared" ref="T691:T699" ca="1" si="415">IF(Q691&gt;0,S691*100/Q691,0)</f>
        <v>0</v>
      </c>
      <c r="U691" s="264">
        <f t="shared" ref="U691:U699" ca="1" si="416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6">
        <f t="shared" ref="L692:N693" si="417">L695+L698</f>
        <v>0</v>
      </c>
      <c r="M692" s="77">
        <f t="shared" si="417"/>
        <v>0</v>
      </c>
      <c r="N692" s="77">
        <f t="shared" si="417"/>
        <v>0</v>
      </c>
      <c r="O692" s="77">
        <f t="shared" si="412"/>
        <v>0</v>
      </c>
      <c r="P692" s="77">
        <f t="shared" si="413"/>
        <v>0</v>
      </c>
      <c r="Q692" s="77">
        <f t="shared" ref="Q692:S693" si="418">Q695+Q698</f>
        <v>0</v>
      </c>
      <c r="R692" s="77">
        <f t="shared" si="418"/>
        <v>0</v>
      </c>
      <c r="S692" s="77">
        <f t="shared" si="418"/>
        <v>0</v>
      </c>
      <c r="T692" s="77">
        <f t="shared" si="415"/>
        <v>0</v>
      </c>
      <c r="U692" s="77">
        <f t="shared" si="416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3">
        <f t="shared" si="417"/>
        <v>0</v>
      </c>
      <c r="M693" s="74">
        <f t="shared" si="417"/>
        <v>0</v>
      </c>
      <c r="N693" s="74">
        <f t="shared" si="417"/>
        <v>0</v>
      </c>
      <c r="O693" s="74">
        <f t="shared" si="412"/>
        <v>0</v>
      </c>
      <c r="P693" s="74">
        <f t="shared" si="413"/>
        <v>0</v>
      </c>
      <c r="Q693" s="74">
        <f t="shared" ca="1" si="418"/>
        <v>59430</v>
      </c>
      <c r="R693" s="74">
        <f t="shared" ca="1" si="418"/>
        <v>59430</v>
      </c>
      <c r="S693" s="74">
        <f t="shared" ca="1" si="418"/>
        <v>0</v>
      </c>
      <c r="T693" s="74">
        <f t="shared" ca="1" si="415"/>
        <v>0</v>
      </c>
      <c r="U693" s="74">
        <f t="shared" ca="1" si="416"/>
        <v>0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3">
        <f t="shared" ref="L694:N694" si="419">L695+L696</f>
        <v>0</v>
      </c>
      <c r="M694" s="74">
        <f t="shared" si="419"/>
        <v>0</v>
      </c>
      <c r="N694" s="74">
        <f t="shared" si="419"/>
        <v>0</v>
      </c>
      <c r="O694" s="74">
        <f t="shared" si="412"/>
        <v>0</v>
      </c>
      <c r="P694" s="74">
        <f t="shared" si="413"/>
        <v>0</v>
      </c>
      <c r="Q694" s="74">
        <f t="shared" ref="Q694:S694" ca="1" si="420">Q695+Q696</f>
        <v>59430</v>
      </c>
      <c r="R694" s="74">
        <f t="shared" ca="1" si="420"/>
        <v>59430</v>
      </c>
      <c r="S694" s="74">
        <f t="shared" ca="1" si="420"/>
        <v>0</v>
      </c>
      <c r="T694" s="74">
        <f t="shared" ca="1" si="415"/>
        <v>0</v>
      </c>
      <c r="U694" s="74">
        <f t="shared" ca="1" si="416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77">
        <f t="shared" si="412"/>
        <v>0</v>
      </c>
      <c r="P695" s="77">
        <f t="shared" si="413"/>
        <v>0</v>
      </c>
      <c r="Q695" s="77">
        <v>0</v>
      </c>
      <c r="R695" s="77">
        <v>0</v>
      </c>
      <c r="S695" s="77">
        <v>0</v>
      </c>
      <c r="T695" s="77">
        <f t="shared" si="415"/>
        <v>0</v>
      </c>
      <c r="U695" s="77">
        <f t="shared" si="416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74">
        <f t="shared" si="412"/>
        <v>0</v>
      </c>
      <c r="P696" s="74">
        <f t="shared" si="413"/>
        <v>0</v>
      </c>
      <c r="Q696" s="74">
        <f ca="1">IFERROR(__xludf.DUMMYFUNCTION("IMPORTRANGE(""https://docs.google.com/spreadsheets/d/1ItG2mGa2ceCfYo0BwxsXqNm01IGEUdYcSSLTEv9YCik/edit?usp=sharing"",""เบิกจ่ายกองทุน!L64"")"),59430)</f>
        <v>59430</v>
      </c>
      <c r="R696" s="74">
        <f ca="1">IFERROR(__xludf.DUMMYFUNCTION("IMPORTRANGE(""https://docs.google.com/spreadsheets/d/1ItG2mGa2ceCfYo0BwxsXqNm01IGEUdYcSSLTEv9YCik/edit?usp=sharing"",""เบิกจ่ายกองทุน!M64"")"),59430)</f>
        <v>59430</v>
      </c>
      <c r="S696" s="74">
        <f ca="1">IFERROR(__xludf.DUMMYFUNCTION("IMPORTRANGE(""https://docs.google.com/spreadsheets/d/1ItG2mGa2ceCfYo0BwxsXqNm01IGEUdYcSSLTEv9YCik/edit?usp=sharing"",""เบิกจ่ายกองทุน!N64"")"),0)</f>
        <v>0</v>
      </c>
      <c r="T696" s="74">
        <f t="shared" ca="1" si="415"/>
        <v>0</v>
      </c>
      <c r="U696" s="74">
        <f t="shared" ca="1" si="416"/>
        <v>0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3">
        <f t="shared" ref="L697:N697" si="421">L698+L699</f>
        <v>0</v>
      </c>
      <c r="M697" s="74">
        <f t="shared" si="421"/>
        <v>0</v>
      </c>
      <c r="N697" s="74">
        <f t="shared" si="421"/>
        <v>0</v>
      </c>
      <c r="O697" s="74">
        <f t="shared" si="412"/>
        <v>0</v>
      </c>
      <c r="P697" s="74">
        <f t="shared" si="413"/>
        <v>0</v>
      </c>
      <c r="Q697" s="74">
        <f t="shared" ref="Q697:S697" si="422">Q698+Q699</f>
        <v>0</v>
      </c>
      <c r="R697" s="74">
        <f t="shared" si="422"/>
        <v>0</v>
      </c>
      <c r="S697" s="74">
        <f t="shared" si="422"/>
        <v>0</v>
      </c>
      <c r="T697" s="74">
        <f t="shared" si="415"/>
        <v>0</v>
      </c>
      <c r="U697" s="74">
        <f t="shared" si="416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77">
        <f t="shared" si="412"/>
        <v>0</v>
      </c>
      <c r="P698" s="77">
        <f t="shared" si="413"/>
        <v>0</v>
      </c>
      <c r="Q698" s="77">
        <v>0</v>
      </c>
      <c r="R698" s="77">
        <v>0</v>
      </c>
      <c r="S698" s="77">
        <v>0</v>
      </c>
      <c r="T698" s="77">
        <f t="shared" si="415"/>
        <v>0</v>
      </c>
      <c r="U698" s="77">
        <f t="shared" si="416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74">
        <f t="shared" si="412"/>
        <v>0</v>
      </c>
      <c r="P699" s="74">
        <f t="shared" si="413"/>
        <v>0</v>
      </c>
      <c r="Q699" s="74">
        <v>0</v>
      </c>
      <c r="R699" s="74">
        <v>0</v>
      </c>
      <c r="S699" s="74">
        <v>0</v>
      </c>
      <c r="T699" s="74">
        <f t="shared" si="415"/>
        <v>0</v>
      </c>
      <c r="U699" s="74">
        <f t="shared" si="416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IFERROR(__xludf.DUMMYFUNCTION("IMPORTRANGE(""https://docs.google.com/spreadsheets/d/1eHaY18a8A9IcSdp1K8H6x8fbOy06t2VsZHhMHf-1x7Y/edit?usp=sharing"",""แผน!LC64"")"),0)</f>
        <v>0</v>
      </c>
      <c r="J701" s="294">
        <v>0</v>
      </c>
      <c r="K701" s="768">
        <f t="shared" ref="K701:K711" ca="1" si="423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t="shared" ref="I702:J702" ca="1" si="424">I704+I706</f>
        <v>4</v>
      </c>
      <c r="J702" s="622">
        <f t="shared" ca="1" si="424"/>
        <v>0</v>
      </c>
      <c r="K702" s="264">
        <f t="shared" ca="1" si="423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0</v>
      </c>
      <c r="K703" s="264">
        <f t="shared" si="423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IFERROR(__xludf.DUMMYFUNCTION("IMPORTRANGE(""https://docs.google.com/spreadsheets/d/1eHaY18a8A9IcSdp1K8H6x8fbOy06t2VsZHhMHf-1x7Y/edit?usp=sharing"",""แผน!LJ64"")"),0)</f>
        <v>0</v>
      </c>
      <c r="J704" s="293">
        <f ca="1">IFERROR(__xludf.DUMMYFUNCTION("IMPORTRANGE(""https://docs.google.com/spreadsheets/d/1tdoBKaGub7dwA3U6UFTqxio9LNnvDCQjHKmttSEBsFQ/edit?usp=sharing"",""จัดที่ดิน!AP64"")"),0)</f>
        <v>0</v>
      </c>
      <c r="K704" s="74">
        <f t="shared" ca="1" si="423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IFERROR(__xludf.DUMMYFUNCTION("IMPORTRANGE(""https://docs.google.com/spreadsheets/d/1tdoBKaGub7dwA3U6UFTqxio9LNnvDCQjHKmttSEBsFQ/edit?usp=sharing"",""จัดที่ดิน!AQ64"")"),0)</f>
        <v>0</v>
      </c>
      <c r="K705" s="74">
        <f t="shared" si="423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IFERROR(__xludf.DUMMYFUNCTION("IMPORTRANGE(""https://docs.google.com/spreadsheets/d/1eHaY18a8A9IcSdp1K8H6x8fbOy06t2VsZHhMHf-1x7Y/edit?usp=sharing"",""แผน!LK64"")"),4)</f>
        <v>4</v>
      </c>
      <c r="J706" s="293">
        <f ca="1">IFERROR(__xludf.DUMMYFUNCTION("IMPORTRANGE(""https://docs.google.com/spreadsheets/d/1tdoBKaGub7dwA3U6UFTqxio9LNnvDCQjHKmttSEBsFQ/edit?usp=sharing"",""จัดที่ดิน!AR64"")"),0)</f>
        <v>0</v>
      </c>
      <c r="K706" s="768">
        <f t="shared" ca="1" si="423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IFERROR(__xludf.DUMMYFUNCTION("IMPORTRANGE(""https://docs.google.com/spreadsheets/d/1tdoBKaGub7dwA3U6UFTqxio9LNnvDCQjHKmttSEBsFQ/edit?usp=sharing"",""จัดที่ดิน!AS64"")"),0)</f>
        <v>0</v>
      </c>
      <c r="K707" s="74">
        <f t="shared" si="423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IFERROR(__xludf.DUMMYFUNCTION("IMPORTRANGE(""https://docs.google.com/spreadsheets/d/1eHaY18a8A9IcSdp1K8H6x8fbOy06t2VsZHhMHf-1x7Y/edit?usp=sharing"",""แผน!LJ64"")"),0)</f>
        <v>0</v>
      </c>
      <c r="J708" s="293">
        <f ca="1">IFERROR(__xludf.DUMMYFUNCTION("IMPORTRANGE(""https://docs.google.com/spreadsheets/d/1tdoBKaGub7dwA3U6UFTqxio9LNnvDCQjHKmttSEBsFQ/edit?usp=sharing"",""จัดที่ดิน!BN64"")"),0)</f>
        <v>0</v>
      </c>
      <c r="K708" s="74">
        <f t="shared" ca="1" si="423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IFERROR(__xludf.DUMMYFUNCTION("IMPORTRANGE(""https://docs.google.com/spreadsheets/d/1tdoBKaGub7dwA3U6UFTqxio9LNnvDCQjHKmttSEBsFQ/edit?usp=sharing"",""จัดที่ดิน!BO64"")"),0)</f>
        <v>0</v>
      </c>
      <c r="K709" s="74">
        <f t="shared" si="423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IFERROR(__xludf.DUMMYFUNCTION("IMPORTRANGE(""https://docs.google.com/spreadsheets/d/1eHaY18a8A9IcSdp1K8H6x8fbOy06t2VsZHhMHf-1x7Y/edit?usp=sharing"",""แผน!LK64"")"),4)</f>
        <v>4</v>
      </c>
      <c r="J710" s="293">
        <f ca="1">IFERROR(__xludf.DUMMYFUNCTION("IMPORTRANGE(""https://docs.google.com/spreadsheets/d/1tdoBKaGub7dwA3U6UFTqxio9LNnvDCQjHKmttSEBsFQ/edit?usp=sharing"",""จัดที่ดิน!BP64"")"),0)</f>
        <v>0</v>
      </c>
      <c r="K710" s="74">
        <f t="shared" ca="1" si="423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IFERROR(__xludf.DUMMYFUNCTION("IMPORTRANGE(""https://docs.google.com/spreadsheets/d/1tdoBKaGub7dwA3U6UFTqxio9LNnvDCQjHKmttSEBsFQ/edit?usp=sharing"",""จัดที่ดิน!BQ64"")"),0)</f>
        <v>0</v>
      </c>
      <c r="K711" s="74">
        <f t="shared" si="423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1257">
        <f t="shared" ref="L715:N715" si="425">L716+L717</f>
        <v>0</v>
      </c>
      <c r="M715" s="264">
        <f t="shared" si="425"/>
        <v>0</v>
      </c>
      <c r="N715" s="264">
        <f t="shared" si="425"/>
        <v>0</v>
      </c>
      <c r="O715" s="264">
        <f t="shared" ref="O715:O723" si="426">IF(L715&gt;0,N715*100/L715,0)</f>
        <v>0</v>
      </c>
      <c r="P715" s="264">
        <f t="shared" ref="P715:P723" si="427">IF(M715&gt;0,N715*100/M715,0)</f>
        <v>0</v>
      </c>
      <c r="Q715" s="264">
        <f t="shared" ref="Q715:S715" si="428">Q716+Q717</f>
        <v>0</v>
      </c>
      <c r="R715" s="264">
        <f t="shared" si="428"/>
        <v>0</v>
      </c>
      <c r="S715" s="264">
        <f t="shared" si="428"/>
        <v>0</v>
      </c>
      <c r="T715" s="264">
        <f t="shared" ref="T715:T723" si="429">IF(Q715&gt;0,S715*100/Q715,0)</f>
        <v>0</v>
      </c>
      <c r="U715" s="264">
        <f t="shared" ref="U715:U723" si="430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6">
        <f t="shared" ref="L716:N717" si="431">L719+L722</f>
        <v>0</v>
      </c>
      <c r="M716" s="77">
        <f t="shared" si="431"/>
        <v>0</v>
      </c>
      <c r="N716" s="77">
        <f t="shared" si="431"/>
        <v>0</v>
      </c>
      <c r="O716" s="77">
        <f t="shared" si="426"/>
        <v>0</v>
      </c>
      <c r="P716" s="77">
        <f t="shared" si="427"/>
        <v>0</v>
      </c>
      <c r="Q716" s="77">
        <f t="shared" ref="Q716:S717" si="432">Q719+Q722</f>
        <v>0</v>
      </c>
      <c r="R716" s="77">
        <f t="shared" si="432"/>
        <v>0</v>
      </c>
      <c r="S716" s="77">
        <f t="shared" si="432"/>
        <v>0</v>
      </c>
      <c r="T716" s="77">
        <f t="shared" si="429"/>
        <v>0</v>
      </c>
      <c r="U716" s="77">
        <f t="shared" si="430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3">
        <f t="shared" si="431"/>
        <v>0</v>
      </c>
      <c r="M717" s="74">
        <f t="shared" si="431"/>
        <v>0</v>
      </c>
      <c r="N717" s="74">
        <f t="shared" si="431"/>
        <v>0</v>
      </c>
      <c r="O717" s="74">
        <f t="shared" si="426"/>
        <v>0</v>
      </c>
      <c r="P717" s="74">
        <f t="shared" si="427"/>
        <v>0</v>
      </c>
      <c r="Q717" s="74">
        <f t="shared" si="432"/>
        <v>0</v>
      </c>
      <c r="R717" s="74">
        <f t="shared" si="432"/>
        <v>0</v>
      </c>
      <c r="S717" s="74">
        <f t="shared" si="432"/>
        <v>0</v>
      </c>
      <c r="T717" s="74">
        <f t="shared" si="429"/>
        <v>0</v>
      </c>
      <c r="U717" s="74">
        <f t="shared" si="430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3">
        <f t="shared" ref="L718:N718" si="433">L719+L720</f>
        <v>0</v>
      </c>
      <c r="M718" s="74">
        <f t="shared" si="433"/>
        <v>0</v>
      </c>
      <c r="N718" s="74">
        <f t="shared" si="433"/>
        <v>0</v>
      </c>
      <c r="O718" s="74">
        <f t="shared" si="426"/>
        <v>0</v>
      </c>
      <c r="P718" s="74">
        <f t="shared" si="427"/>
        <v>0</v>
      </c>
      <c r="Q718" s="74">
        <f t="shared" ref="Q718:S718" si="434">Q719+Q720</f>
        <v>0</v>
      </c>
      <c r="R718" s="74">
        <f t="shared" si="434"/>
        <v>0</v>
      </c>
      <c r="S718" s="74">
        <f t="shared" si="434"/>
        <v>0</v>
      </c>
      <c r="T718" s="74">
        <f t="shared" si="429"/>
        <v>0</v>
      </c>
      <c r="U718" s="74">
        <f t="shared" si="430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77">
        <f t="shared" si="426"/>
        <v>0</v>
      </c>
      <c r="P719" s="77">
        <f t="shared" si="427"/>
        <v>0</v>
      </c>
      <c r="Q719" s="77">
        <v>0</v>
      </c>
      <c r="R719" s="77">
        <v>0</v>
      </c>
      <c r="S719" s="77">
        <v>0</v>
      </c>
      <c r="T719" s="77">
        <f t="shared" si="429"/>
        <v>0</v>
      </c>
      <c r="U719" s="77">
        <f t="shared" si="430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74">
        <f t="shared" si="426"/>
        <v>0</v>
      </c>
      <c r="P720" s="74">
        <f t="shared" si="427"/>
        <v>0</v>
      </c>
      <c r="Q720" s="74">
        <v>0</v>
      </c>
      <c r="R720" s="74">
        <v>0</v>
      </c>
      <c r="S720" s="74">
        <v>0</v>
      </c>
      <c r="T720" s="74">
        <f t="shared" si="429"/>
        <v>0</v>
      </c>
      <c r="U720" s="74">
        <f t="shared" si="430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3">
        <f t="shared" ref="L721:N721" si="435">L722+L723</f>
        <v>0</v>
      </c>
      <c r="M721" s="74">
        <f t="shared" si="435"/>
        <v>0</v>
      </c>
      <c r="N721" s="74">
        <f t="shared" si="435"/>
        <v>0</v>
      </c>
      <c r="O721" s="74">
        <f t="shared" si="426"/>
        <v>0</v>
      </c>
      <c r="P721" s="74">
        <f t="shared" si="427"/>
        <v>0</v>
      </c>
      <c r="Q721" s="74">
        <f t="shared" ref="Q721:S721" si="436">Q722+Q723</f>
        <v>0</v>
      </c>
      <c r="R721" s="74">
        <f t="shared" si="436"/>
        <v>0</v>
      </c>
      <c r="S721" s="74">
        <f t="shared" si="436"/>
        <v>0</v>
      </c>
      <c r="T721" s="74">
        <f t="shared" si="429"/>
        <v>0</v>
      </c>
      <c r="U721" s="74">
        <f t="shared" si="430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77">
        <f t="shared" si="426"/>
        <v>0</v>
      </c>
      <c r="P722" s="77">
        <f t="shared" si="427"/>
        <v>0</v>
      </c>
      <c r="Q722" s="77">
        <v>0</v>
      </c>
      <c r="R722" s="77">
        <v>0</v>
      </c>
      <c r="S722" s="77">
        <v>0</v>
      </c>
      <c r="T722" s="77">
        <f t="shared" si="429"/>
        <v>0</v>
      </c>
      <c r="U722" s="77">
        <f t="shared" si="430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74">
        <f t="shared" si="426"/>
        <v>0</v>
      </c>
      <c r="P723" s="74">
        <f t="shared" si="427"/>
        <v>0</v>
      </c>
      <c r="Q723" s="74">
        <v>0</v>
      </c>
      <c r="R723" s="74">
        <v>0</v>
      </c>
      <c r="S723" s="74">
        <v>0</v>
      </c>
      <c r="T723" s="74">
        <f t="shared" si="429"/>
        <v>0</v>
      </c>
      <c r="U723" s="74">
        <f t="shared" si="430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hidden="1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IFERROR(__xludf.DUMMYFUNCTION("IMPORTRANGE(""https://docs.google.com/spreadsheets/d/1eHaY18a8A9IcSdp1K8H6x8fbOy06t2VsZHhMHf-1x7Y/edit?usp=sharing"",""แผน!FZ64"")"),0)</f>
        <v>0</v>
      </c>
      <c r="J727" s="781">
        <f>J743+J747+J750</f>
        <v>0</v>
      </c>
      <c r="K727" s="766">
        <f t="shared" ref="K727:K728" ca="1" si="437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hidden="1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IFERROR(__xludf.DUMMYFUNCTION("IMPORTRANGE(""https://docs.google.com/spreadsheets/d/1eHaY18a8A9IcSdp1K8H6x8fbOy06t2VsZHhMHf-1x7Y/edit?usp=sharing"",""แผน!GA64"")"),0)</f>
        <v>0</v>
      </c>
      <c r="J728" s="781">
        <f>J753+J756</f>
        <v>0</v>
      </c>
      <c r="K728" s="766">
        <f t="shared" ca="1" si="437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hidden="1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1257">
        <f t="shared" ref="L729:N729" si="438">L730+L731</f>
        <v>0</v>
      </c>
      <c r="M729" s="264">
        <f t="shared" si="438"/>
        <v>0</v>
      </c>
      <c r="N729" s="264">
        <f t="shared" si="438"/>
        <v>0</v>
      </c>
      <c r="O729" s="264">
        <f t="shared" ref="O729:O737" si="439">IF(L729&gt;0,N729*100/L729,0)</f>
        <v>0</v>
      </c>
      <c r="P729" s="264">
        <f t="shared" ref="P729:P737" si="440">IF(M729&gt;0,N729*100/M729,0)</f>
        <v>0</v>
      </c>
      <c r="Q729" s="264">
        <f t="shared" ref="Q729:S729" ca="1" si="441">Q730+Q731</f>
        <v>0</v>
      </c>
      <c r="R729" s="264">
        <f t="shared" ca="1" si="441"/>
        <v>0</v>
      </c>
      <c r="S729" s="264">
        <f t="shared" ca="1" si="441"/>
        <v>0</v>
      </c>
      <c r="T729" s="264">
        <f t="shared" ref="T729:T737" ca="1" si="442">IF(Q729&gt;0,S729*100/Q729,0)</f>
        <v>0</v>
      </c>
      <c r="U729" s="264">
        <f t="shared" ref="U729:U737" ca="1" si="443">IF(R729&gt;0,S729*100/R729,0)</f>
        <v>0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6">
        <f t="shared" ref="L730:N731" si="444">L733+L736</f>
        <v>0</v>
      </c>
      <c r="M730" s="77">
        <f t="shared" si="444"/>
        <v>0</v>
      </c>
      <c r="N730" s="77">
        <f t="shared" si="444"/>
        <v>0</v>
      </c>
      <c r="O730" s="77">
        <f t="shared" si="439"/>
        <v>0</v>
      </c>
      <c r="P730" s="77">
        <f t="shared" si="440"/>
        <v>0</v>
      </c>
      <c r="Q730" s="77">
        <f t="shared" ref="Q730:S731" si="445">Q733+Q736</f>
        <v>0</v>
      </c>
      <c r="R730" s="77">
        <f t="shared" si="445"/>
        <v>0</v>
      </c>
      <c r="S730" s="77">
        <f t="shared" si="445"/>
        <v>0</v>
      </c>
      <c r="T730" s="77">
        <f t="shared" si="442"/>
        <v>0</v>
      </c>
      <c r="U730" s="77">
        <f t="shared" si="443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3">
        <f t="shared" si="444"/>
        <v>0</v>
      </c>
      <c r="M731" s="74">
        <f t="shared" si="444"/>
        <v>0</v>
      </c>
      <c r="N731" s="74">
        <f t="shared" si="444"/>
        <v>0</v>
      </c>
      <c r="O731" s="74">
        <f t="shared" si="439"/>
        <v>0</v>
      </c>
      <c r="P731" s="74">
        <f t="shared" si="440"/>
        <v>0</v>
      </c>
      <c r="Q731" s="74">
        <f t="shared" ca="1" si="445"/>
        <v>0</v>
      </c>
      <c r="R731" s="74">
        <f t="shared" ca="1" si="445"/>
        <v>0</v>
      </c>
      <c r="S731" s="74">
        <f t="shared" ca="1" si="445"/>
        <v>0</v>
      </c>
      <c r="T731" s="74">
        <f t="shared" ca="1" si="442"/>
        <v>0</v>
      </c>
      <c r="U731" s="74">
        <f t="shared" ca="1" si="443"/>
        <v>0</v>
      </c>
    </row>
    <row r="732" spans="1:21" ht="18.75" hidden="1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3">
        <f t="shared" ref="L732:N732" si="446">L733+L734</f>
        <v>0</v>
      </c>
      <c r="M732" s="74">
        <f t="shared" si="446"/>
        <v>0</v>
      </c>
      <c r="N732" s="74">
        <f t="shared" si="446"/>
        <v>0</v>
      </c>
      <c r="O732" s="74">
        <f t="shared" si="439"/>
        <v>0</v>
      </c>
      <c r="P732" s="74">
        <f t="shared" si="440"/>
        <v>0</v>
      </c>
      <c r="Q732" s="74">
        <f t="shared" ref="Q732:S732" ca="1" si="447">Q733+Q734</f>
        <v>0</v>
      </c>
      <c r="R732" s="74">
        <f t="shared" ca="1" si="447"/>
        <v>0</v>
      </c>
      <c r="S732" s="74">
        <f t="shared" ca="1" si="447"/>
        <v>0</v>
      </c>
      <c r="T732" s="74">
        <f t="shared" ca="1" si="442"/>
        <v>0</v>
      </c>
      <c r="U732" s="74">
        <f t="shared" ca="1" si="443"/>
        <v>0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77">
        <f t="shared" si="439"/>
        <v>0</v>
      </c>
      <c r="P733" s="77">
        <f t="shared" si="440"/>
        <v>0</v>
      </c>
      <c r="Q733" s="77">
        <v>0</v>
      </c>
      <c r="R733" s="77">
        <v>0</v>
      </c>
      <c r="S733" s="77">
        <v>0</v>
      </c>
      <c r="T733" s="77">
        <f t="shared" si="442"/>
        <v>0</v>
      </c>
      <c r="U733" s="77">
        <f t="shared" si="443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74">
        <f t="shared" si="439"/>
        <v>0</v>
      </c>
      <c r="P734" s="74">
        <f t="shared" si="440"/>
        <v>0</v>
      </c>
      <c r="Q734" s="74">
        <f ca="1">IFERROR(__xludf.DUMMYFUNCTION("IMPORTRANGE(""https://docs.google.com/spreadsheets/d/1ItG2mGa2ceCfYo0BwxsXqNm01IGEUdYcSSLTEv9YCik/edit?usp=sharing"",""เบิกจ่ายกองทุน!O64"")"),0)</f>
        <v>0</v>
      </c>
      <c r="R734" s="74">
        <f ca="1">IFERROR(__xludf.DUMMYFUNCTION("IMPORTRANGE(""https://docs.google.com/spreadsheets/d/1ItG2mGa2ceCfYo0BwxsXqNm01IGEUdYcSSLTEv9YCik/edit?usp=sharing"",""เบิกจ่ายกองทุน!P64"")"),0)</f>
        <v>0</v>
      </c>
      <c r="S734" s="74">
        <f ca="1">IFERROR(__xludf.DUMMYFUNCTION("IMPORTRANGE(""https://docs.google.com/spreadsheets/d/1ItG2mGa2ceCfYo0BwxsXqNm01IGEUdYcSSLTEv9YCik/edit?usp=sharing"",""เบิกจ่ายกองทุน!Q64"")"),0)</f>
        <v>0</v>
      </c>
      <c r="T734" s="74">
        <f t="shared" ca="1" si="442"/>
        <v>0</v>
      </c>
      <c r="U734" s="74">
        <f t="shared" ca="1" si="443"/>
        <v>0</v>
      </c>
    </row>
    <row r="735" spans="1:21" ht="18.75" hidden="1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3">
        <f t="shared" ref="L735:N735" si="448">L736+L737</f>
        <v>0</v>
      </c>
      <c r="M735" s="74">
        <f t="shared" si="448"/>
        <v>0</v>
      </c>
      <c r="N735" s="74">
        <f t="shared" si="448"/>
        <v>0</v>
      </c>
      <c r="O735" s="74">
        <f t="shared" si="439"/>
        <v>0</v>
      </c>
      <c r="P735" s="74">
        <f t="shared" si="440"/>
        <v>0</v>
      </c>
      <c r="Q735" s="74">
        <f t="shared" ref="Q735:S735" si="449">Q736+Q737</f>
        <v>0</v>
      </c>
      <c r="R735" s="74">
        <f t="shared" si="449"/>
        <v>0</v>
      </c>
      <c r="S735" s="74">
        <f t="shared" si="449"/>
        <v>0</v>
      </c>
      <c r="T735" s="74">
        <f t="shared" si="442"/>
        <v>0</v>
      </c>
      <c r="U735" s="74">
        <f t="shared" si="443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77">
        <f t="shared" si="439"/>
        <v>0</v>
      </c>
      <c r="P736" s="77">
        <f t="shared" si="440"/>
        <v>0</v>
      </c>
      <c r="Q736" s="77">
        <v>0</v>
      </c>
      <c r="R736" s="77">
        <v>0</v>
      </c>
      <c r="S736" s="77">
        <v>0</v>
      </c>
      <c r="T736" s="77">
        <f t="shared" si="442"/>
        <v>0</v>
      </c>
      <c r="U736" s="77">
        <f t="shared" si="443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74">
        <f t="shared" si="439"/>
        <v>0</v>
      </c>
      <c r="P737" s="74">
        <f t="shared" si="440"/>
        <v>0</v>
      </c>
      <c r="Q737" s="74">
        <v>0</v>
      </c>
      <c r="R737" s="74">
        <v>0</v>
      </c>
      <c r="S737" s="74">
        <v>0</v>
      </c>
      <c r="T737" s="74">
        <f t="shared" si="442"/>
        <v>0</v>
      </c>
      <c r="U737" s="74">
        <f t="shared" si="443"/>
        <v>0</v>
      </c>
    </row>
    <row r="738" spans="1:21" ht="19.5" hidden="1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hidden="1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hidden="1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hidden="1" x14ac:dyDescent="0.25">
      <c r="A741" s="276"/>
      <c r="B741" s="277"/>
      <c r="C741" s="277"/>
      <c r="D741" s="277"/>
      <c r="E741" s="277"/>
      <c r="F741" s="745" t="s">
        <v>271</v>
      </c>
      <c r="G741" s="282"/>
      <c r="H741" s="268" t="s">
        <v>46</v>
      </c>
      <c r="I741" s="293">
        <f ca="1">IFERROR(__xludf.DUMMYFUNCTION("IMPORTRANGE(""https://docs.google.com/spreadsheets/d/1eHaY18a8A9IcSdp1K8H6x8fbOy06t2VsZHhMHf-1x7Y/edit?usp=sharing"",""แผน!GB64"")"),0)</f>
        <v>0</v>
      </c>
      <c r="J741" s="294">
        <v>0</v>
      </c>
      <c r="K741" s="74">
        <f ca="1">IF(I741&gt;0,J741*100/I741,0)</f>
        <v>0</v>
      </c>
      <c r="L741" s="86"/>
      <c r="M741" s="87"/>
      <c r="N741" s="87"/>
      <c r="O741" s="87"/>
      <c r="P741" s="87"/>
      <c r="Q741" s="87"/>
      <c r="R741" s="87"/>
      <c r="S741" s="87"/>
      <c r="T741" s="87"/>
      <c r="U741" s="87"/>
    </row>
    <row r="742" spans="1:21" ht="18.75" hidden="1" x14ac:dyDescent="0.25">
      <c r="A742" s="276"/>
      <c r="B742" s="277"/>
      <c r="C742" s="277"/>
      <c r="D742" s="277"/>
      <c r="E742" s="277"/>
      <c r="F742" s="745" t="s">
        <v>272</v>
      </c>
      <c r="G742" s="282"/>
      <c r="H742" s="268" t="s">
        <v>35</v>
      </c>
      <c r="I742" s="263"/>
      <c r="J742" s="294">
        <v>0</v>
      </c>
      <c r="K742" s="87"/>
      <c r="L742" s="86"/>
      <c r="M742" s="87"/>
      <c r="N742" s="87"/>
      <c r="O742" s="87"/>
      <c r="P742" s="87"/>
      <c r="Q742" s="87"/>
      <c r="R742" s="87"/>
      <c r="S742" s="87"/>
      <c r="T742" s="87"/>
      <c r="U742" s="87"/>
    </row>
    <row r="743" spans="1:21" ht="18.75" hidden="1" x14ac:dyDescent="0.25">
      <c r="A743" s="276"/>
      <c r="B743" s="277"/>
      <c r="C743" s="277"/>
      <c r="D743" s="277"/>
      <c r="E743" s="277"/>
      <c r="F743" s="745" t="s">
        <v>273</v>
      </c>
      <c r="G743" s="282"/>
      <c r="H743" s="268" t="s">
        <v>35</v>
      </c>
      <c r="I743" s="293">
        <f ca="1">IFERROR(__xludf.DUMMYFUNCTION("IMPORTRANGE(""https://docs.google.com/spreadsheets/d/1eHaY18a8A9IcSdp1K8H6x8fbOy06t2VsZHhMHf-1x7Y/edit?usp=sharing"",""แผน!GC64"")"),0)</f>
        <v>0</v>
      </c>
      <c r="J743" s="294">
        <v>0</v>
      </c>
      <c r="K743" s="74">
        <f ca="1">IF(I743&gt;0,J743*100/I743,0)</f>
        <v>0</v>
      </c>
      <c r="L743" s="86"/>
      <c r="M743" s="87"/>
      <c r="N743" s="87"/>
      <c r="O743" s="87"/>
      <c r="P743" s="87"/>
      <c r="Q743" s="87"/>
      <c r="R743" s="87"/>
      <c r="S743" s="87"/>
      <c r="T743" s="87"/>
      <c r="U743" s="87"/>
    </row>
    <row r="744" spans="1:21" ht="18.75" hidden="1" x14ac:dyDescent="0.25">
      <c r="A744" s="276"/>
      <c r="B744" s="277"/>
      <c r="C744" s="277"/>
      <c r="D744" s="277"/>
      <c r="E744" s="745" t="s">
        <v>274</v>
      </c>
      <c r="F744" s="277"/>
      <c r="G744" s="282"/>
      <c r="H744" s="312"/>
      <c r="I744" s="263"/>
      <c r="J744" s="263"/>
      <c r="K744" s="87"/>
      <c r="L744" s="86"/>
      <c r="M744" s="87"/>
      <c r="N744" s="87"/>
      <c r="O744" s="87"/>
      <c r="P744" s="87"/>
      <c r="Q744" s="87"/>
      <c r="R744" s="87"/>
      <c r="S744" s="87"/>
      <c r="T744" s="87"/>
      <c r="U744" s="87"/>
    </row>
    <row r="745" spans="1:21" ht="18.75" hidden="1" x14ac:dyDescent="0.25">
      <c r="A745" s="276"/>
      <c r="B745" s="277"/>
      <c r="C745" s="277"/>
      <c r="D745" s="277"/>
      <c r="E745" s="277"/>
      <c r="F745" s="745" t="s">
        <v>271</v>
      </c>
      <c r="G745" s="282"/>
      <c r="H745" s="268" t="s">
        <v>46</v>
      </c>
      <c r="I745" s="293">
        <f ca="1">IFERROR(__xludf.DUMMYFUNCTION("IMPORTRANGE(""https://docs.google.com/spreadsheets/d/1eHaY18a8A9IcSdp1K8H6x8fbOy06t2VsZHhMHf-1x7Y/edit?usp=sharing"",""แผน!GD64"")"),0)</f>
        <v>0</v>
      </c>
      <c r="J745" s="294">
        <v>0</v>
      </c>
      <c r="K745" s="74">
        <f ca="1">IF(I745&gt;0,J745*100/I745,0)</f>
        <v>0</v>
      </c>
      <c r="L745" s="86"/>
      <c r="M745" s="87"/>
      <c r="N745" s="87"/>
      <c r="O745" s="87"/>
      <c r="P745" s="87"/>
      <c r="Q745" s="87"/>
      <c r="R745" s="87"/>
      <c r="S745" s="87"/>
      <c r="T745" s="87"/>
      <c r="U745" s="87"/>
    </row>
    <row r="746" spans="1:21" ht="18.75" hidden="1" x14ac:dyDescent="0.25">
      <c r="A746" s="276"/>
      <c r="B746" s="277"/>
      <c r="C746" s="277"/>
      <c r="D746" s="277"/>
      <c r="E746" s="277"/>
      <c r="F746" s="745" t="s">
        <v>275</v>
      </c>
      <c r="G746" s="282"/>
      <c r="H746" s="268" t="s">
        <v>35</v>
      </c>
      <c r="I746" s="263"/>
      <c r="J746" s="294">
        <v>0</v>
      </c>
      <c r="K746" s="87"/>
      <c r="L746" s="86"/>
      <c r="M746" s="87"/>
      <c r="N746" s="87"/>
      <c r="O746" s="87"/>
      <c r="P746" s="87"/>
      <c r="Q746" s="87"/>
      <c r="R746" s="87"/>
      <c r="S746" s="87"/>
      <c r="T746" s="87"/>
      <c r="U746" s="87"/>
    </row>
    <row r="747" spans="1:21" ht="18.75" hidden="1" x14ac:dyDescent="0.25">
      <c r="A747" s="276"/>
      <c r="B747" s="277"/>
      <c r="C747" s="277"/>
      <c r="D747" s="277"/>
      <c r="E747" s="277"/>
      <c r="F747" s="745" t="s">
        <v>276</v>
      </c>
      <c r="G747" s="282"/>
      <c r="H747" s="268" t="s">
        <v>35</v>
      </c>
      <c r="I747" s="293">
        <f ca="1">IFERROR(__xludf.DUMMYFUNCTION("IMPORTRANGE(""https://docs.google.com/spreadsheets/d/1eHaY18a8A9IcSdp1K8H6x8fbOy06t2VsZHhMHf-1x7Y/edit?usp=sharing"",""แผน!GE64"")"),0)</f>
        <v>0</v>
      </c>
      <c r="J747" s="294">
        <v>0</v>
      </c>
      <c r="K747" s="74">
        <f ca="1">IF(I747&gt;0,J747*100/I747,0)</f>
        <v>0</v>
      </c>
      <c r="L747" s="86"/>
      <c r="M747" s="87"/>
      <c r="N747" s="87"/>
      <c r="O747" s="87"/>
      <c r="P747" s="87"/>
      <c r="Q747" s="87"/>
      <c r="R747" s="87"/>
      <c r="S747" s="87"/>
      <c r="T747" s="87"/>
      <c r="U747" s="87"/>
    </row>
    <row r="748" spans="1:21" ht="18.75" hidden="1" x14ac:dyDescent="0.25">
      <c r="A748" s="276"/>
      <c r="B748" s="277"/>
      <c r="C748" s="277"/>
      <c r="D748" s="277"/>
      <c r="E748" s="745" t="s">
        <v>277</v>
      </c>
      <c r="F748" s="296"/>
      <c r="G748" s="282"/>
      <c r="H748" s="312"/>
      <c r="I748" s="263"/>
      <c r="J748" s="263"/>
      <c r="K748" s="87"/>
      <c r="L748" s="86"/>
      <c r="M748" s="87"/>
      <c r="N748" s="87"/>
      <c r="O748" s="87"/>
      <c r="P748" s="87"/>
      <c r="Q748" s="87"/>
      <c r="R748" s="87"/>
      <c r="S748" s="87"/>
      <c r="T748" s="87"/>
      <c r="U748" s="87"/>
    </row>
    <row r="749" spans="1:21" ht="18.75" hidden="1" x14ac:dyDescent="0.25">
      <c r="A749" s="276"/>
      <c r="B749" s="277"/>
      <c r="C749" s="277"/>
      <c r="D749" s="277"/>
      <c r="E749" s="277"/>
      <c r="F749" s="745" t="s">
        <v>278</v>
      </c>
      <c r="G749" s="282"/>
      <c r="H749" s="268" t="s">
        <v>35</v>
      </c>
      <c r="I749" s="263"/>
      <c r="J749" s="294">
        <v>0</v>
      </c>
      <c r="K749" s="87"/>
      <c r="L749" s="86"/>
      <c r="M749" s="87"/>
      <c r="N749" s="87"/>
      <c r="O749" s="87"/>
      <c r="P749" s="87"/>
      <c r="Q749" s="87"/>
      <c r="R749" s="87"/>
      <c r="S749" s="87"/>
      <c r="T749" s="87"/>
      <c r="U749" s="87"/>
    </row>
    <row r="750" spans="1:21" ht="18.75" hidden="1" x14ac:dyDescent="0.25">
      <c r="A750" s="276"/>
      <c r="B750" s="277"/>
      <c r="C750" s="277"/>
      <c r="D750" s="277"/>
      <c r="E750" s="277"/>
      <c r="F750" s="745" t="s">
        <v>279</v>
      </c>
      <c r="G750" s="282"/>
      <c r="H750" s="268" t="s">
        <v>35</v>
      </c>
      <c r="I750" s="293">
        <f ca="1">IFERROR(__xludf.DUMMYFUNCTION("IMPORTRANGE(""https://docs.google.com/spreadsheets/d/1eHaY18a8A9IcSdp1K8H6x8fbOy06t2VsZHhMHf-1x7Y/edit?usp=sharing"",""แผน!GF64"")"),0)</f>
        <v>0</v>
      </c>
      <c r="J750" s="294">
        <v>0</v>
      </c>
      <c r="K750" s="74">
        <f ca="1">IF(I750&gt;0,J750*100/I750,0)</f>
        <v>0</v>
      </c>
      <c r="L750" s="86"/>
      <c r="M750" s="87"/>
      <c r="N750" s="87"/>
      <c r="O750" s="87"/>
      <c r="P750" s="87"/>
      <c r="Q750" s="87"/>
      <c r="R750" s="87"/>
      <c r="S750" s="87"/>
      <c r="T750" s="87"/>
      <c r="U750" s="87"/>
    </row>
    <row r="751" spans="1:21" ht="19.5" hidden="1" x14ac:dyDescent="0.3">
      <c r="A751" s="276"/>
      <c r="B751" s="277"/>
      <c r="C751" s="277"/>
      <c r="D751" s="784" t="s">
        <v>50</v>
      </c>
      <c r="E751" s="277"/>
      <c r="F751" s="296"/>
      <c r="G751" s="282"/>
      <c r="H751" s="312"/>
      <c r="I751" s="263"/>
      <c r="J751" s="263"/>
      <c r="K751" s="87"/>
      <c r="L751" s="86"/>
      <c r="M751" s="87"/>
      <c r="N751" s="87"/>
      <c r="O751" s="87"/>
      <c r="P751" s="87"/>
      <c r="Q751" s="87"/>
      <c r="R751" s="87"/>
      <c r="S751" s="87"/>
      <c r="T751" s="87"/>
      <c r="U751" s="87"/>
    </row>
    <row r="752" spans="1:21" ht="18.75" hidden="1" x14ac:dyDescent="0.25">
      <c r="A752" s="276"/>
      <c r="B752" s="277"/>
      <c r="C752" s="277"/>
      <c r="D752" s="277"/>
      <c r="E752" s="745" t="s">
        <v>270</v>
      </c>
      <c r="F752" s="296"/>
      <c r="G752" s="282"/>
      <c r="H752" s="312"/>
      <c r="I752" s="263"/>
      <c r="J752" s="263"/>
      <c r="K752" s="87"/>
      <c r="L752" s="86"/>
      <c r="M752" s="87"/>
      <c r="N752" s="87"/>
      <c r="O752" s="87"/>
      <c r="P752" s="87"/>
      <c r="Q752" s="87"/>
      <c r="R752" s="87"/>
      <c r="S752" s="87"/>
      <c r="T752" s="87"/>
      <c r="U752" s="87"/>
    </row>
    <row r="753" spans="1:21" ht="18.75" hidden="1" x14ac:dyDescent="0.25">
      <c r="A753" s="276"/>
      <c r="B753" s="277"/>
      <c r="C753" s="277"/>
      <c r="D753" s="277"/>
      <c r="E753" s="277"/>
      <c r="F753" s="295" t="s">
        <v>280</v>
      </c>
      <c r="G753" s="282"/>
      <c r="H753" s="268" t="s">
        <v>46</v>
      </c>
      <c r="I753" s="293">
        <f ca="1">IFERROR(__xludf.DUMMYFUNCTION("IMPORTRANGE(""https://docs.google.com/spreadsheets/d/1eHaY18a8A9IcSdp1K8H6x8fbOy06t2VsZHhMHf-1x7Y/edit?usp=sharing"",""แผน!GC64"")"),0)</f>
        <v>0</v>
      </c>
      <c r="J753" s="294">
        <v>0</v>
      </c>
      <c r="K753" s="74">
        <f ca="1">IF(I753&gt;0,J753*100/I753,0)</f>
        <v>0</v>
      </c>
      <c r="L753" s="86"/>
      <c r="M753" s="87"/>
      <c r="N753" s="87"/>
      <c r="O753" s="87"/>
      <c r="P753" s="87"/>
      <c r="Q753" s="87"/>
      <c r="R753" s="87"/>
      <c r="S753" s="87"/>
      <c r="T753" s="87"/>
      <c r="U753" s="87"/>
    </row>
    <row r="754" spans="1:21" ht="18.75" hidden="1" x14ac:dyDescent="0.25">
      <c r="A754" s="276"/>
      <c r="B754" s="277"/>
      <c r="C754" s="277"/>
      <c r="D754" s="277"/>
      <c r="E754" s="277"/>
      <c r="F754" s="295" t="s">
        <v>281</v>
      </c>
      <c r="G754" s="282"/>
      <c r="H754" s="268" t="s">
        <v>46</v>
      </c>
      <c r="I754" s="263"/>
      <c r="J754" s="294">
        <v>0</v>
      </c>
      <c r="K754" s="87"/>
      <c r="L754" s="86"/>
      <c r="M754" s="87"/>
      <c r="N754" s="87"/>
      <c r="O754" s="87"/>
      <c r="P754" s="87"/>
      <c r="Q754" s="87"/>
      <c r="R754" s="87"/>
      <c r="S754" s="87"/>
      <c r="T754" s="87"/>
      <c r="U754" s="87"/>
    </row>
    <row r="755" spans="1:21" ht="18.75" hidden="1" x14ac:dyDescent="0.25">
      <c r="A755" s="276"/>
      <c r="B755" s="277"/>
      <c r="C755" s="277"/>
      <c r="D755" s="277"/>
      <c r="E755" s="745" t="s">
        <v>274</v>
      </c>
      <c r="F755" s="296"/>
      <c r="G755" s="282"/>
      <c r="H755" s="312"/>
      <c r="I755" s="263"/>
      <c r="J755" s="263"/>
      <c r="K755" s="87"/>
      <c r="L755" s="86"/>
      <c r="M755" s="87"/>
      <c r="N755" s="87"/>
      <c r="O755" s="87"/>
      <c r="P755" s="87"/>
      <c r="Q755" s="87"/>
      <c r="R755" s="87"/>
      <c r="S755" s="87"/>
      <c r="T755" s="87"/>
      <c r="U755" s="87"/>
    </row>
    <row r="756" spans="1:21" ht="18.75" hidden="1" x14ac:dyDescent="0.25">
      <c r="A756" s="276"/>
      <c r="B756" s="277"/>
      <c r="C756" s="277"/>
      <c r="D756" s="277"/>
      <c r="E756" s="296"/>
      <c r="F756" s="295" t="s">
        <v>282</v>
      </c>
      <c r="G756" s="282"/>
      <c r="H756" s="268" t="s">
        <v>46</v>
      </c>
      <c r="I756" s="293">
        <f ca="1">IFERROR(__xludf.DUMMYFUNCTION("IMPORTRANGE(""https://docs.google.com/spreadsheets/d/1eHaY18a8A9IcSdp1K8H6x8fbOy06t2VsZHhMHf-1x7Y/edit?usp=sharing"",""แผน!GE64"")"),0)</f>
        <v>0</v>
      </c>
      <c r="J756" s="294">
        <v>0</v>
      </c>
      <c r="K756" s="74">
        <f ca="1">IF(I756&gt;0,J756*100/I756,0)</f>
        <v>0</v>
      </c>
      <c r="L756" s="86"/>
      <c r="M756" s="87"/>
      <c r="N756" s="87"/>
      <c r="O756" s="87"/>
      <c r="P756" s="87"/>
      <c r="Q756" s="87"/>
      <c r="R756" s="87"/>
      <c r="S756" s="87"/>
      <c r="T756" s="87"/>
      <c r="U756" s="87"/>
    </row>
    <row r="757" spans="1:21" ht="18.75" hidden="1" x14ac:dyDescent="0.25">
      <c r="A757" s="276"/>
      <c r="B757" s="277"/>
      <c r="C757" s="277"/>
      <c r="D757" s="277"/>
      <c r="E757" s="296"/>
      <c r="F757" s="295" t="s">
        <v>283</v>
      </c>
      <c r="G757" s="282"/>
      <c r="H757" s="268" t="s">
        <v>46</v>
      </c>
      <c r="I757" s="263"/>
      <c r="J757" s="294">
        <v>0</v>
      </c>
      <c r="K757" s="87"/>
      <c r="L757" s="86"/>
      <c r="M757" s="87"/>
      <c r="N757" s="87"/>
      <c r="O757" s="87"/>
      <c r="P757" s="87"/>
      <c r="Q757" s="87"/>
      <c r="R757" s="87"/>
      <c r="S757" s="87"/>
      <c r="T757" s="87"/>
      <c r="U757" s="87"/>
    </row>
    <row r="758" spans="1:21" ht="19.5" hidden="1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0">I772</f>
        <v>0</v>
      </c>
      <c r="J758" s="781">
        <f t="shared" si="450"/>
        <v>0</v>
      </c>
      <c r="K758" s="766">
        <f t="shared" ref="K758:K759" ca="1" si="451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hidden="1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2">I774</f>
        <v>0</v>
      </c>
      <c r="J759" s="781">
        <f t="shared" si="452"/>
        <v>0</v>
      </c>
      <c r="K759" s="766">
        <f t="shared" ca="1" si="451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hidden="1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1257">
        <f t="shared" ref="L760:N760" si="453">L761+L762</f>
        <v>0</v>
      </c>
      <c r="M760" s="264">
        <f t="shared" si="453"/>
        <v>0</v>
      </c>
      <c r="N760" s="264">
        <f t="shared" si="453"/>
        <v>0</v>
      </c>
      <c r="O760" s="264">
        <f t="shared" ref="O760:O768" si="454">IF(L760&gt;0,N760*100/L760,0)</f>
        <v>0</v>
      </c>
      <c r="P760" s="264">
        <f t="shared" ref="P760:P768" si="455">IF(M760&gt;0,N760*100/M760,0)</f>
        <v>0</v>
      </c>
      <c r="Q760" s="264">
        <f t="shared" ref="Q760:S760" ca="1" si="456">Q761+Q762</f>
        <v>0</v>
      </c>
      <c r="R760" s="264">
        <f t="shared" ca="1" si="456"/>
        <v>0</v>
      </c>
      <c r="S760" s="264">
        <f t="shared" ca="1" si="456"/>
        <v>0</v>
      </c>
      <c r="T760" s="264">
        <f t="shared" ref="T760:T768" ca="1" si="457">IF(Q760&gt;0,S760*100/Q760,0)</f>
        <v>0</v>
      </c>
      <c r="U760" s="264">
        <f t="shared" ref="U760:U768" ca="1" si="458">IF(R760&gt;0,S760*100/R760,0)</f>
        <v>0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6">
        <f t="shared" ref="L761:N762" si="459">L764+L767</f>
        <v>0</v>
      </c>
      <c r="M761" s="77">
        <f t="shared" si="459"/>
        <v>0</v>
      </c>
      <c r="N761" s="77">
        <f t="shared" si="459"/>
        <v>0</v>
      </c>
      <c r="O761" s="77">
        <f t="shared" si="454"/>
        <v>0</v>
      </c>
      <c r="P761" s="77">
        <f t="shared" si="455"/>
        <v>0</v>
      </c>
      <c r="Q761" s="77">
        <f t="shared" ref="Q761:S762" si="460">Q764+Q767</f>
        <v>0</v>
      </c>
      <c r="R761" s="77">
        <f t="shared" si="460"/>
        <v>0</v>
      </c>
      <c r="S761" s="77">
        <f t="shared" si="460"/>
        <v>0</v>
      </c>
      <c r="T761" s="77">
        <f t="shared" si="457"/>
        <v>0</v>
      </c>
      <c r="U761" s="77">
        <f t="shared" si="458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3">
        <f t="shared" si="459"/>
        <v>0</v>
      </c>
      <c r="M762" s="74">
        <f t="shared" si="459"/>
        <v>0</v>
      </c>
      <c r="N762" s="74">
        <f t="shared" si="459"/>
        <v>0</v>
      </c>
      <c r="O762" s="74">
        <f t="shared" si="454"/>
        <v>0</v>
      </c>
      <c r="P762" s="74">
        <f t="shared" si="455"/>
        <v>0</v>
      </c>
      <c r="Q762" s="74">
        <f t="shared" ca="1" si="460"/>
        <v>0</v>
      </c>
      <c r="R762" s="74">
        <f t="shared" ca="1" si="460"/>
        <v>0</v>
      </c>
      <c r="S762" s="74">
        <f t="shared" ca="1" si="460"/>
        <v>0</v>
      </c>
      <c r="T762" s="74">
        <f t="shared" ca="1" si="457"/>
        <v>0</v>
      </c>
      <c r="U762" s="74">
        <f t="shared" ca="1" si="458"/>
        <v>0</v>
      </c>
    </row>
    <row r="763" spans="1:21" ht="18.75" hidden="1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3">
        <f t="shared" ref="L763:N763" si="461">L764+L765</f>
        <v>0</v>
      </c>
      <c r="M763" s="74">
        <f t="shared" si="461"/>
        <v>0</v>
      </c>
      <c r="N763" s="74">
        <f t="shared" si="461"/>
        <v>0</v>
      </c>
      <c r="O763" s="74">
        <f t="shared" si="454"/>
        <v>0</v>
      </c>
      <c r="P763" s="74">
        <f t="shared" si="455"/>
        <v>0</v>
      </c>
      <c r="Q763" s="74">
        <f t="shared" ref="Q763:S763" ca="1" si="462">Q764+Q765</f>
        <v>0</v>
      </c>
      <c r="R763" s="74">
        <f t="shared" ca="1" si="462"/>
        <v>0</v>
      </c>
      <c r="S763" s="74">
        <f t="shared" ca="1" si="462"/>
        <v>0</v>
      </c>
      <c r="T763" s="74">
        <f t="shared" ca="1" si="457"/>
        <v>0</v>
      </c>
      <c r="U763" s="74">
        <f t="shared" ca="1" si="458"/>
        <v>0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77">
        <f t="shared" si="454"/>
        <v>0</v>
      </c>
      <c r="P764" s="77">
        <f t="shared" si="455"/>
        <v>0</v>
      </c>
      <c r="Q764" s="77">
        <v>0</v>
      </c>
      <c r="R764" s="77">
        <v>0</v>
      </c>
      <c r="S764" s="77">
        <v>0</v>
      </c>
      <c r="T764" s="77">
        <f t="shared" si="457"/>
        <v>0</v>
      </c>
      <c r="U764" s="77">
        <f t="shared" si="458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74">
        <f t="shared" si="454"/>
        <v>0</v>
      </c>
      <c r="P765" s="74">
        <f t="shared" si="455"/>
        <v>0</v>
      </c>
      <c r="Q765" s="74">
        <f ca="1">IFERROR(__xludf.DUMMYFUNCTION("IMPORTRANGE(""https://docs.google.com/spreadsheets/d/1ItG2mGa2ceCfYo0BwxsXqNm01IGEUdYcSSLTEv9YCik/edit?usp=sharing"",""เบิกจ่ายกองทุน!U64"")"),0)</f>
        <v>0</v>
      </c>
      <c r="R765" s="74">
        <f ca="1">IFERROR(__xludf.DUMMYFUNCTION("IMPORTRANGE(""https://docs.google.com/spreadsheets/d/1ItG2mGa2ceCfYo0BwxsXqNm01IGEUdYcSSLTEv9YCik/edit?usp=sharing"",""เบิกจ่ายกองทุน!V64"")"),0)</f>
        <v>0</v>
      </c>
      <c r="S765" s="74">
        <f ca="1">IFERROR(__xludf.DUMMYFUNCTION("IMPORTRANGE(""https://docs.google.com/spreadsheets/d/1ItG2mGa2ceCfYo0BwxsXqNm01IGEUdYcSSLTEv9YCik/edit?usp=sharing"",""เบิกจ่ายกองทุน!W64"")"),0)</f>
        <v>0</v>
      </c>
      <c r="T765" s="74">
        <f t="shared" ca="1" si="457"/>
        <v>0</v>
      </c>
      <c r="U765" s="74">
        <f t="shared" ca="1" si="458"/>
        <v>0</v>
      </c>
    </row>
    <row r="766" spans="1:21" ht="18.75" hidden="1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3">
        <f t="shared" ref="L766:N766" si="463">L767+L768</f>
        <v>0</v>
      </c>
      <c r="M766" s="74">
        <f t="shared" si="463"/>
        <v>0</v>
      </c>
      <c r="N766" s="74">
        <f t="shared" si="463"/>
        <v>0</v>
      </c>
      <c r="O766" s="74">
        <f t="shared" si="454"/>
        <v>0</v>
      </c>
      <c r="P766" s="74">
        <f t="shared" si="455"/>
        <v>0</v>
      </c>
      <c r="Q766" s="74">
        <f t="shared" ref="Q766:S766" si="464">Q767+Q768</f>
        <v>0</v>
      </c>
      <c r="R766" s="74">
        <f t="shared" si="464"/>
        <v>0</v>
      </c>
      <c r="S766" s="74">
        <f t="shared" si="464"/>
        <v>0</v>
      </c>
      <c r="T766" s="74">
        <f t="shared" si="457"/>
        <v>0</v>
      </c>
      <c r="U766" s="74">
        <f t="shared" si="458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77">
        <f t="shared" si="454"/>
        <v>0</v>
      </c>
      <c r="P767" s="77">
        <f t="shared" si="455"/>
        <v>0</v>
      </c>
      <c r="Q767" s="77">
        <v>0</v>
      </c>
      <c r="R767" s="77">
        <v>0</v>
      </c>
      <c r="S767" s="77">
        <v>0</v>
      </c>
      <c r="T767" s="77">
        <f t="shared" si="457"/>
        <v>0</v>
      </c>
      <c r="U767" s="77">
        <f t="shared" si="458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74">
        <f t="shared" si="454"/>
        <v>0</v>
      </c>
      <c r="P768" s="74">
        <f t="shared" si="455"/>
        <v>0</v>
      </c>
      <c r="Q768" s="74">
        <v>0</v>
      </c>
      <c r="R768" s="74">
        <v>0</v>
      </c>
      <c r="S768" s="74">
        <v>0</v>
      </c>
      <c r="T768" s="74">
        <f t="shared" si="457"/>
        <v>0</v>
      </c>
      <c r="U768" s="74">
        <f t="shared" si="458"/>
        <v>0</v>
      </c>
    </row>
    <row r="769" spans="1:21" ht="19.5" hidden="1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IFERROR(__xludf.DUMMYFUNCTION("IMPORTRANGE(""https://docs.google.com/spreadsheets/d/1eHaY18a8A9IcSdp1K8H6x8fbOy06t2VsZHhMHf-1x7Y/edit?usp=sharing"",""แผน!FI64"")"),0)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hidden="1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IFERROR(__xludf.DUMMYFUNCTION("IMPORTRANGE(""https://docs.google.com/spreadsheets/d/1eHaY18a8A9IcSdp1K8H6x8fbOy06t2VsZHhMHf-1x7Y/edit?usp=sharing"",""แผน!FQ64"")"),0)</f>
        <v>0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hidden="1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hidden="1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IFERROR(__xludf.DUMMYFUNCTION("IMPORTRANGE(""https://docs.google.com/spreadsheets/d/1eHaY18a8A9IcSdp1K8H6x8fbOy06t2VsZHhMHf-1x7Y/edit?usp=sharing"",""แผน!FR64"")"),0)</f>
        <v>0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hidden="1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IFERROR(__xludf.DUMMYFUNCTION("IMPORTRANGE(""https://docs.google.com/spreadsheets/d/1eHaY18a8A9IcSdp1K8H6x8fbOy06t2VsZHhMHf-1x7Y/edit?usp=sharing"",""แผน!FS64"")"),0)</f>
        <v>0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hidden="1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IFERROR(__xludf.DUMMYFUNCTION("IMPORTRANGE(""https://docs.google.com/spreadsheets/d/1eHaY18a8A9IcSdp1K8H6x8fbOy06t2VsZHhMHf-1x7Y/edit?usp=sharing"",""แผน!FT64"")"),0)</f>
        <v>0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IFERROR(__xludf.DUMMYFUNCTION("IMPORTRANGE(""https://docs.google.com/spreadsheets/d/10OvvATaaLtwErnr3qtWFcTmtbfpFEt5Bsqel9sXx0uE/edit?usp=sharing"",""งานกองทุน!D64"")"),3253616.26)</f>
        <v>3253616.26</v>
      </c>
      <c r="J778" s="293">
        <f ca="1">IFERROR(__xludf.DUMMYFUNCTION("IMPORTRANGE(""https://docs.google.com/spreadsheets/d/10OvvATaaLtwErnr3qtWFcTmtbfpFEt5Bsqel9sXx0uE/edit?usp=sharing"",""งานกองทุน!F64"")"),206273.97)</f>
        <v>206273.97</v>
      </c>
      <c r="K778" s="74">
        <f t="shared" ref="K778:K785" ca="1" si="465">IF(I778&gt;0,J778*100/I778,0)</f>
        <v>6.3398370771604151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IFERROR(__xludf.DUMMYFUNCTION("IMPORTRANGE(""https://docs.google.com/spreadsheets/d/10OvvATaaLtwErnr3qtWFcTmtbfpFEt5Bsqel9sXx0uE/edit?usp=sharing"",""งานกองทุน!C64"")"),208)</f>
        <v>208</v>
      </c>
      <c r="J779" s="293">
        <f ca="1">IFERROR(__xludf.DUMMYFUNCTION("IMPORTRANGE(""https://docs.google.com/spreadsheets/d/10OvvATaaLtwErnr3qtWFcTmtbfpFEt5Bsqel9sXx0uE/edit?usp=sharing"",""งานกองทุน!E64"")"),8)</f>
        <v>8</v>
      </c>
      <c r="K779" s="74">
        <f t="shared" ca="1" si="465"/>
        <v>3.8461538461538463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IFERROR(__xludf.DUMMYFUNCTION("IMPORTRANGE(""https://docs.google.com/spreadsheets/d/10OvvATaaLtwErnr3qtWFcTmtbfpFEt5Bsqel9sXx0uE/edit?usp=sharing"",""งานกองทุน!I64"")"),3808405.89)</f>
        <v>3808405.89</v>
      </c>
      <c r="J780" s="293">
        <f ca="1">IFERROR(__xludf.DUMMYFUNCTION("IMPORTRANGE(""https://docs.google.com/spreadsheets/d/10OvvATaaLtwErnr3qtWFcTmtbfpFEt5Bsqel9sXx0uE/edit?usp=sharing"",""งานกองทุน!K64"")"),281268.51)</f>
        <v>281268.51</v>
      </c>
      <c r="K780" s="74">
        <f t="shared" ca="1" si="465"/>
        <v>7.385465681022775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IFERROR(__xludf.DUMMYFUNCTION("IMPORTRANGE(""https://docs.google.com/spreadsheets/d/10OvvATaaLtwErnr3qtWFcTmtbfpFEt5Bsqel9sXx0uE/edit?usp=sharing"",""งานกองทุน!H64"")"),119)</f>
        <v>119</v>
      </c>
      <c r="J781" s="293">
        <f ca="1">IFERROR(__xludf.DUMMYFUNCTION("IMPORTRANGE(""https://docs.google.com/spreadsheets/d/10OvvATaaLtwErnr3qtWFcTmtbfpFEt5Bsqel9sXx0uE/edit?usp=sharing"",""งานกองทุน!J64"")"),17)</f>
        <v>17</v>
      </c>
      <c r="K781" s="74">
        <f t="shared" ca="1" si="465"/>
        <v>14.285714285714286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IFERROR(__xludf.DUMMYFUNCTION("IMPORTRANGE(""https://docs.google.com/spreadsheets/d/10OvvATaaLtwErnr3qtWFcTmtbfpFEt5Bsqel9sXx0uE/edit?usp=sharing"",""งานกองทุน!N64"")"),1210051.25)</f>
        <v>1210051.25</v>
      </c>
      <c r="J782" s="293">
        <f ca="1">IFERROR(__xludf.DUMMYFUNCTION("IMPORTRANGE(""https://docs.google.com/spreadsheets/d/10OvvATaaLtwErnr3qtWFcTmtbfpFEt5Bsqel9sXx0uE/edit?usp=sharing"",""งานกองทุน!P64"")"),128162.01)</f>
        <v>128162.01</v>
      </c>
      <c r="K782" s="74">
        <f t="shared" ca="1" si="465"/>
        <v>10.591453047959746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IFERROR(__xludf.DUMMYFUNCTION("IMPORTRANGE(""https://docs.google.com/spreadsheets/d/10OvvATaaLtwErnr3qtWFcTmtbfpFEt5Bsqel9sXx0uE/edit?usp=sharing"",""งานกองทุน!M64"")"),1421)</f>
        <v>1421</v>
      </c>
      <c r="J783" s="293">
        <f ca="1">IFERROR(__xludf.DUMMYFUNCTION("IMPORTRANGE(""https://docs.google.com/spreadsheets/d/10OvvATaaLtwErnr3qtWFcTmtbfpFEt5Bsqel9sXx0uE/edit?usp=sharing"",""งานกองทุน!O64"")"),239)</f>
        <v>239</v>
      </c>
      <c r="K783" s="74">
        <f t="shared" ca="1" si="465"/>
        <v>16.819141449683322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IFERROR(__xludf.DUMMYFUNCTION("IMPORTRANGE(""https://docs.google.com/spreadsheets/d/10OvvATaaLtwErnr3qtWFcTmtbfpFEt5Bsqel9sXx0uE/edit?usp=sharing"",""งานกองทุน!S64"")"),1092000)</f>
        <v>1092000</v>
      </c>
      <c r="J784" s="293">
        <f ca="1">IFERROR(__xludf.DUMMYFUNCTION("IMPORTRANGE(""https://docs.google.com/spreadsheets/d/10OvvATaaLtwErnr3qtWFcTmtbfpFEt5Bsqel9sXx0uE/edit?usp=sharing"",""งานกองทุน!U64"")"),260000)</f>
        <v>260000</v>
      </c>
      <c r="K784" s="74">
        <f t="shared" ca="1" si="465"/>
        <v>23.80952380952381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IFERROR(__xludf.DUMMYFUNCTION("IMPORTRANGE(""https://docs.google.com/spreadsheets/d/10OvvATaaLtwErnr3qtWFcTmtbfpFEt5Bsqel9sXx0uE/edit?usp=sharing"",""งานกองทุน!R64"")"),39)</f>
        <v>39</v>
      </c>
      <c r="J785" s="786">
        <f ca="1">IFERROR(__xludf.DUMMYFUNCTION("IMPORTRANGE(""https://docs.google.com/spreadsheets/d/10OvvATaaLtwErnr3qtWFcTmtbfpFEt5Bsqel9sXx0uE/edit?usp=sharing"",""งานกองทุน!T64"")"),6)</f>
        <v>6</v>
      </c>
      <c r="K785" s="182">
        <f t="shared" ca="1" si="465"/>
        <v>15.384615384615385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02F6E-BC21-4E30-8DFB-F5CFCDAB5AF5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5.140625" customWidth="1"/>
    <col min="12" max="13" width="21.28515625" bestFit="1" customWidth="1"/>
    <col min="14" max="14" width="18.7109375" bestFit="1" customWidth="1"/>
    <col min="15" max="15" width="10.85546875" bestFit="1" customWidth="1"/>
    <col min="16" max="16" width="12" bestFit="1" customWidth="1"/>
    <col min="17" max="18" width="18.710937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349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4" t="s">
        <v>4</v>
      </c>
      <c r="B6" s="1385"/>
      <c r="C6" s="1385"/>
      <c r="D6" s="1385"/>
      <c r="E6" s="1385"/>
      <c r="F6" s="1385"/>
      <c r="G6" s="1386"/>
      <c r="H6" s="1037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8">
        <f t="shared" ref="L19:N19" ca="1" si="0">L20+L21</f>
        <v>1329380</v>
      </c>
      <c r="M19" s="59">
        <f t="shared" ca="1" si="0"/>
        <v>1333323.18</v>
      </c>
      <c r="N19" s="59">
        <f t="shared" ca="1" si="0"/>
        <v>680512.22</v>
      </c>
      <c r="O19" s="59">
        <f t="shared" ref="O19:O27" ca="1" si="1">IF(L19&gt;0,N19*100/L19,0)</f>
        <v>51.190195429448316</v>
      </c>
      <c r="P19" s="59">
        <f t="shared" ref="P19:P27" ca="1" si="2">IF(M19&gt;0,N19*100/M19,0)</f>
        <v>51.038805160501298</v>
      </c>
      <c r="Q19" s="59">
        <f t="shared" ref="Q19:S19" ca="1" si="3">Q20+Q21</f>
        <v>596912</v>
      </c>
      <c r="R19" s="59">
        <f t="shared" ca="1" si="3"/>
        <v>596912</v>
      </c>
      <c r="S19" s="59">
        <f t="shared" ca="1" si="3"/>
        <v>0</v>
      </c>
      <c r="T19" s="59">
        <f t="shared" ref="T19:T27" ca="1" si="4">IF(Q19&gt;0,S19*100/Q19,0)</f>
        <v>0</v>
      </c>
      <c r="U19" s="59">
        <f t="shared" ref="U19:U27" ca="1" si="5">IF(R19&gt;0,S19*100/R19,0)</f>
        <v>0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2">
        <f t="shared" ref="L20:N21" si="6">L23+L26</f>
        <v>0</v>
      </c>
      <c r="M20" s="63">
        <f t="shared" si="6"/>
        <v>0</v>
      </c>
      <c r="N20" s="63">
        <f t="shared" si="6"/>
        <v>0</v>
      </c>
      <c r="O20" s="63">
        <f t="shared" si="1"/>
        <v>0</v>
      </c>
      <c r="P20" s="63">
        <f t="shared" si="2"/>
        <v>0</v>
      </c>
      <c r="Q20" s="63">
        <f t="shared" ref="Q20:S21" si="7">Q23+Q26</f>
        <v>0</v>
      </c>
      <c r="R20" s="63">
        <f t="shared" si="7"/>
        <v>0</v>
      </c>
      <c r="S20" s="63">
        <f t="shared" si="7"/>
        <v>0</v>
      </c>
      <c r="T20" s="63">
        <f t="shared" si="4"/>
        <v>0</v>
      </c>
      <c r="U20" s="6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4">
        <f t="shared" ca="1" si="6"/>
        <v>1329380</v>
      </c>
      <c r="M21" s="65">
        <f t="shared" ca="1" si="6"/>
        <v>1333323.18</v>
      </c>
      <c r="N21" s="65">
        <f t="shared" ca="1" si="6"/>
        <v>680512.22</v>
      </c>
      <c r="O21" s="65">
        <f t="shared" ca="1" si="1"/>
        <v>51.190195429448316</v>
      </c>
      <c r="P21" s="65">
        <f t="shared" ca="1" si="2"/>
        <v>51.038805160501298</v>
      </c>
      <c r="Q21" s="65">
        <f t="shared" ca="1" si="7"/>
        <v>596912</v>
      </c>
      <c r="R21" s="65">
        <f t="shared" ca="1" si="7"/>
        <v>596912</v>
      </c>
      <c r="S21" s="65">
        <f t="shared" ca="1" si="7"/>
        <v>0</v>
      </c>
      <c r="T21" s="65">
        <f t="shared" ca="1" si="4"/>
        <v>0</v>
      </c>
      <c r="U21" s="65">
        <f t="shared" ca="1" si="5"/>
        <v>0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3">
        <f t="shared" ref="L22:N22" ca="1" si="8">L23+L24</f>
        <v>1329380</v>
      </c>
      <c r="M22" s="74">
        <f t="shared" ca="1" si="8"/>
        <v>1333323.18</v>
      </c>
      <c r="N22" s="74">
        <f t="shared" ca="1" si="8"/>
        <v>680512.22</v>
      </c>
      <c r="O22" s="74">
        <f t="shared" ca="1" si="1"/>
        <v>51.190195429448316</v>
      </c>
      <c r="P22" s="74">
        <f t="shared" ca="1" si="2"/>
        <v>51.038805160501298</v>
      </c>
      <c r="Q22" s="74">
        <f t="shared" ref="Q22:S22" ca="1" si="9">Q23+Q24</f>
        <v>596912</v>
      </c>
      <c r="R22" s="74">
        <f t="shared" ca="1" si="9"/>
        <v>596912</v>
      </c>
      <c r="S22" s="74">
        <f t="shared" ca="1" si="9"/>
        <v>0</v>
      </c>
      <c r="T22" s="74">
        <f t="shared" ca="1" si="4"/>
        <v>0</v>
      </c>
      <c r="U22" s="74">
        <f t="shared" ca="1" si="5"/>
        <v>0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6">
        <f t="shared" ref="L23:N24" si="10">L49+L64+L77+L99+L130+L144+L162+L191+L178+L271+L287+L308+L325+L338+L361+L518</f>
        <v>0</v>
      </c>
      <c r="M23" s="77">
        <f t="shared" si="10"/>
        <v>0</v>
      </c>
      <c r="N23" s="77">
        <f t="shared" si="10"/>
        <v>0</v>
      </c>
      <c r="O23" s="77">
        <f t="shared" si="1"/>
        <v>0</v>
      </c>
      <c r="P23" s="77">
        <f t="shared" si="2"/>
        <v>0</v>
      </c>
      <c r="Q23" s="77">
        <f t="shared" ref="Q23:S24" si="11">Q77+Q99+Q122+Q144+Q162+Q178+Q191+Q271+Q287+Q308+Q338+Q380+Q397+Q418+Q498+Q604+Q621+Q647+Q695+Q719+Q733+Q764</f>
        <v>0</v>
      </c>
      <c r="R23" s="77">
        <f t="shared" si="11"/>
        <v>0</v>
      </c>
      <c r="S23" s="77">
        <f t="shared" si="11"/>
        <v>0</v>
      </c>
      <c r="T23" s="77">
        <f t="shared" si="4"/>
        <v>0</v>
      </c>
      <c r="U23" s="77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3">
        <f t="shared" ca="1" si="10"/>
        <v>1329380</v>
      </c>
      <c r="M24" s="74">
        <f t="shared" ca="1" si="10"/>
        <v>1333323.18</v>
      </c>
      <c r="N24" s="74">
        <f t="shared" ca="1" si="10"/>
        <v>680512.22</v>
      </c>
      <c r="O24" s="74">
        <f t="shared" ca="1" si="1"/>
        <v>51.190195429448316</v>
      </c>
      <c r="P24" s="74">
        <f t="shared" ca="1" si="2"/>
        <v>51.038805160501298</v>
      </c>
      <c r="Q24" s="74">
        <f t="shared" ca="1" si="11"/>
        <v>596912</v>
      </c>
      <c r="R24" s="74">
        <f t="shared" ca="1" si="11"/>
        <v>596912</v>
      </c>
      <c r="S24" s="74">
        <f t="shared" ca="1" si="11"/>
        <v>0</v>
      </c>
      <c r="T24" s="74">
        <f t="shared" ca="1" si="4"/>
        <v>0</v>
      </c>
      <c r="U24" s="74">
        <f t="shared" ca="1" si="5"/>
        <v>0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3">
        <f t="shared" ref="L25:N25" ca="1" si="12">L26+L27</f>
        <v>0</v>
      </c>
      <c r="M25" s="74">
        <f t="shared" ca="1" si="12"/>
        <v>0</v>
      </c>
      <c r="N25" s="74">
        <f t="shared" ca="1" si="12"/>
        <v>0</v>
      </c>
      <c r="O25" s="74">
        <f t="shared" ca="1" si="1"/>
        <v>0</v>
      </c>
      <c r="P25" s="74">
        <f t="shared" ca="1" si="2"/>
        <v>0</v>
      </c>
      <c r="Q25" s="74">
        <f t="shared" ref="Q25:S25" si="13">Q26+Q27</f>
        <v>0</v>
      </c>
      <c r="R25" s="74">
        <f t="shared" si="13"/>
        <v>0</v>
      </c>
      <c r="S25" s="74">
        <f t="shared" si="13"/>
        <v>0</v>
      </c>
      <c r="T25" s="74">
        <f t="shared" si="4"/>
        <v>0</v>
      </c>
      <c r="U25" s="74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6">
        <f t="shared" ref="L26:N27" si="14">L52+L67+L80+L102+L133+L147+L165+L194+L181+L274+L290+L311+L328+L341+L364+L521</f>
        <v>0</v>
      </c>
      <c r="M26" s="77">
        <f t="shared" si="14"/>
        <v>0</v>
      </c>
      <c r="N26" s="77">
        <f t="shared" si="14"/>
        <v>0</v>
      </c>
      <c r="O26" s="77">
        <f t="shared" si="1"/>
        <v>0</v>
      </c>
      <c r="P26" s="77">
        <f t="shared" si="2"/>
        <v>0</v>
      </c>
      <c r="Q26" s="77">
        <f t="shared" ref="Q26:S27" si="15">Q80+Q102+Q125+Q147+Q165+Q181+Q194+Q274+Q290+Q311+Q341+Q383+Q400+Q421+Q501+Q607+Q624+Q650+Q698+Q722+Q736+Q767</f>
        <v>0</v>
      </c>
      <c r="R26" s="77">
        <f t="shared" si="15"/>
        <v>0</v>
      </c>
      <c r="S26" s="77">
        <f t="shared" si="15"/>
        <v>0</v>
      </c>
      <c r="T26" s="77">
        <f t="shared" si="4"/>
        <v>0</v>
      </c>
      <c r="U26" s="77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3">
        <f t="shared" ca="1" si="14"/>
        <v>0</v>
      </c>
      <c r="M27" s="74">
        <f t="shared" ca="1" si="14"/>
        <v>0</v>
      </c>
      <c r="N27" s="74">
        <f t="shared" ca="1" si="14"/>
        <v>0</v>
      </c>
      <c r="O27" s="74">
        <f t="shared" ca="1" si="1"/>
        <v>0</v>
      </c>
      <c r="P27" s="74">
        <f t="shared" ca="1" si="2"/>
        <v>0</v>
      </c>
      <c r="Q27" s="77">
        <f t="shared" si="15"/>
        <v>0</v>
      </c>
      <c r="R27" s="77">
        <f t="shared" si="15"/>
        <v>0</v>
      </c>
      <c r="S27" s="77">
        <f t="shared" si="15"/>
        <v>0</v>
      </c>
      <c r="T27" s="74">
        <f t="shared" si="4"/>
        <v>0</v>
      </c>
      <c r="U27" s="74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79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80">
        <f t="shared" ref="L41:N41" ca="1" si="16">L45+L60+L73+L95+L126+L140+L158+L174+L187+L267+L283+L304+L321+L334+L357</f>
        <v>1329380</v>
      </c>
      <c r="M41" s="1279">
        <f t="shared" ca="1" si="16"/>
        <v>1333323.18</v>
      </c>
      <c r="N41" s="1279">
        <f t="shared" ca="1" si="16"/>
        <v>680512.22</v>
      </c>
      <c r="O41" s="1279">
        <f ca="1">IF(L41&gt;0,N41*100/L41,0)</f>
        <v>51.190195429448316</v>
      </c>
      <c r="P41" s="1279">
        <f ca="1">IF(M41&gt;0,N41*100/M41,0)</f>
        <v>51.038805160501298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6">
        <f t="shared" ref="L45:N45" ca="1" si="17">L46+L47</f>
        <v>239400</v>
      </c>
      <c r="M45" s="1275">
        <f t="shared" ca="1" si="17"/>
        <v>244953.18</v>
      </c>
      <c r="N45" s="1275">
        <f t="shared" ca="1" si="17"/>
        <v>106760</v>
      </c>
      <c r="O45" s="1275">
        <f t="shared" ref="O45:O53" ca="1" si="18">IF(L45&gt;0,N45*100/L45,0)</f>
        <v>44.594820384294067</v>
      </c>
      <c r="P45" s="1275">
        <f t="shared" ref="P45:P53" ca="1" si="19">IF(M45&gt;0,N45*100/M45,0)</f>
        <v>43.58383916469262</v>
      </c>
      <c r="Q45" s="1275">
        <f t="shared" ref="Q45:S45" si="20">Q46+Q47</f>
        <v>0</v>
      </c>
      <c r="R45" s="1275">
        <f t="shared" si="20"/>
        <v>0</v>
      </c>
      <c r="S45" s="1275">
        <f t="shared" si="20"/>
        <v>0</v>
      </c>
      <c r="T45" s="1275">
        <f t="shared" ref="T45:T53" si="21">IF(Q45&gt;0,S45*100/Q45,0)</f>
        <v>0</v>
      </c>
      <c r="U45" s="1275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4">
        <f t="shared" ref="L46:N47" si="23">L49+L52</f>
        <v>0</v>
      </c>
      <c r="M46" s="1273">
        <f t="shared" si="23"/>
        <v>0</v>
      </c>
      <c r="N46" s="1273">
        <f t="shared" si="23"/>
        <v>0</v>
      </c>
      <c r="O46" s="1273">
        <f t="shared" si="18"/>
        <v>0</v>
      </c>
      <c r="P46" s="1273">
        <f t="shared" si="19"/>
        <v>0</v>
      </c>
      <c r="Q46" s="1273">
        <f t="shared" ref="Q46:S47" si="24">Q49+Q52</f>
        <v>0</v>
      </c>
      <c r="R46" s="1273">
        <f t="shared" si="24"/>
        <v>0</v>
      </c>
      <c r="S46" s="1273">
        <f t="shared" si="24"/>
        <v>0</v>
      </c>
      <c r="T46" s="1273">
        <f t="shared" si="21"/>
        <v>0</v>
      </c>
      <c r="U46" s="1273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2">
        <f t="shared" ca="1" si="23"/>
        <v>239400</v>
      </c>
      <c r="M47" s="1271">
        <f t="shared" ca="1" si="23"/>
        <v>244953.18</v>
      </c>
      <c r="N47" s="1271">
        <f t="shared" ca="1" si="23"/>
        <v>106760</v>
      </c>
      <c r="O47" s="1271">
        <f t="shared" ca="1" si="18"/>
        <v>44.594820384294067</v>
      </c>
      <c r="P47" s="1271">
        <f t="shared" ca="1" si="19"/>
        <v>43.58383916469262</v>
      </c>
      <c r="Q47" s="1271">
        <f t="shared" si="24"/>
        <v>0</v>
      </c>
      <c r="R47" s="1271">
        <f t="shared" si="24"/>
        <v>0</v>
      </c>
      <c r="S47" s="1271">
        <f t="shared" si="24"/>
        <v>0</v>
      </c>
      <c r="T47" s="1271">
        <f t="shared" si="21"/>
        <v>0</v>
      </c>
      <c r="U47" s="1271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3">
        <f t="shared" ref="L48:N48" ca="1" si="25">L49+L50</f>
        <v>239400</v>
      </c>
      <c r="M48" s="74">
        <f t="shared" ca="1" si="25"/>
        <v>244953.18</v>
      </c>
      <c r="N48" s="74">
        <f t="shared" ca="1" si="25"/>
        <v>106760</v>
      </c>
      <c r="O48" s="74">
        <f t="shared" ca="1" si="18"/>
        <v>44.594820384294067</v>
      </c>
      <c r="P48" s="74">
        <f t="shared" ca="1" si="19"/>
        <v>43.58383916469262</v>
      </c>
      <c r="Q48" s="74">
        <f t="shared" ref="Q48:S48" si="26">Q49+Q50</f>
        <v>0</v>
      </c>
      <c r="R48" s="74">
        <f t="shared" si="26"/>
        <v>0</v>
      </c>
      <c r="S48" s="74">
        <f t="shared" si="26"/>
        <v>0</v>
      </c>
      <c r="T48" s="74">
        <f t="shared" si="21"/>
        <v>0</v>
      </c>
      <c r="U48" s="74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77">
        <f t="shared" si="18"/>
        <v>0</v>
      </c>
      <c r="P49" s="77">
        <f t="shared" si="19"/>
        <v>0</v>
      </c>
      <c r="Q49" s="77">
        <v>0</v>
      </c>
      <c r="R49" s="77">
        <v>0</v>
      </c>
      <c r="S49" s="77">
        <v>0</v>
      </c>
      <c r="T49" s="77">
        <f t="shared" si="21"/>
        <v>0</v>
      </c>
      <c r="U49" s="77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3">
        <f ca="1">IFERROR(__xludf.DUMMYFUNCTION("IMPORTRANGE(""https://docs.google.com/spreadsheets/d/1-uDff_7J0KD5mKrp0Vvzr7lt3OU09vwQwhkpOPPYv2Y/edit?usp=sharing"",""งบพรบ!P65"")"),239400)</f>
        <v>239400</v>
      </c>
      <c r="M50" s="74">
        <f ca="1">IFERROR(__xludf.DUMMYFUNCTION("IMPORTRANGE(""https://docs.google.com/spreadsheets/d/1-uDff_7J0KD5mKrp0Vvzr7lt3OU09vwQwhkpOPPYv2Y/edit?usp=sharing"",""งบพรบ!V65"")"),244953.18)</f>
        <v>244953.18</v>
      </c>
      <c r="N50" s="74">
        <f ca="1">IFERROR(__xludf.DUMMYFUNCTION("IMPORTRANGE(""https://docs.google.com/spreadsheets/d/1-uDff_7J0KD5mKrp0Vvzr7lt3OU09vwQwhkpOPPYv2Y/edit?usp=sharing"",""งบพรบ!Y65"")"),106760)</f>
        <v>106760</v>
      </c>
      <c r="O50" s="74">
        <f t="shared" ca="1" si="18"/>
        <v>44.594820384294067</v>
      </c>
      <c r="P50" s="74">
        <f t="shared" ca="1" si="19"/>
        <v>43.58383916469262</v>
      </c>
      <c r="Q50" s="74">
        <v>0</v>
      </c>
      <c r="R50" s="74">
        <v>0</v>
      </c>
      <c r="S50" s="74">
        <v>0</v>
      </c>
      <c r="T50" s="74">
        <f t="shared" si="21"/>
        <v>0</v>
      </c>
      <c r="U50" s="74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3">
        <f t="shared" ref="L51:N51" ca="1" si="27">L52+L53</f>
        <v>0</v>
      </c>
      <c r="M51" s="74">
        <f t="shared" ca="1" si="27"/>
        <v>0</v>
      </c>
      <c r="N51" s="74">
        <f t="shared" ca="1" si="27"/>
        <v>0</v>
      </c>
      <c r="O51" s="74">
        <f t="shared" ca="1" si="18"/>
        <v>0</v>
      </c>
      <c r="P51" s="74">
        <f t="shared" ca="1" si="19"/>
        <v>0</v>
      </c>
      <c r="Q51" s="74">
        <f t="shared" ref="Q51:S51" si="28">Q52+Q53</f>
        <v>0</v>
      </c>
      <c r="R51" s="74">
        <f t="shared" si="28"/>
        <v>0</v>
      </c>
      <c r="S51" s="74">
        <f t="shared" si="28"/>
        <v>0</v>
      </c>
      <c r="T51" s="74">
        <f t="shared" si="21"/>
        <v>0</v>
      </c>
      <c r="U51" s="74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77">
        <f t="shared" si="18"/>
        <v>0</v>
      </c>
      <c r="P52" s="77">
        <f t="shared" si="19"/>
        <v>0</v>
      </c>
      <c r="Q52" s="77">
        <v>0</v>
      </c>
      <c r="R52" s="77">
        <v>0</v>
      </c>
      <c r="S52" s="77">
        <v>0</v>
      </c>
      <c r="T52" s="77">
        <f t="shared" si="21"/>
        <v>0</v>
      </c>
      <c r="U52" s="77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3">
        <f ca="1">IFERROR(__xludf.DUMMYFUNCTION("IMPORTRANGE(""https://docs.google.com/spreadsheets/d/1-uDff_7J0KD5mKrp0Vvzr7lt3OU09vwQwhkpOPPYv2Y/edit?usp=sharing"",""งบพรบ!S65"")"),0)</f>
        <v>0</v>
      </c>
      <c r="M53" s="74">
        <f ca="1">IFERROR(__xludf.DUMMYFUNCTION("IMPORTRANGE(""https://docs.google.com/spreadsheets/d/1-uDff_7J0KD5mKrp0Vvzr7lt3OU09vwQwhkpOPPYv2Y/edit?usp=sharing"",""งบพรบ!W65"")"),0)</f>
        <v>0</v>
      </c>
      <c r="N53" s="74">
        <f ca="1">IFERROR(__xludf.DUMMYFUNCTION("IMPORTRANGE(""https://docs.google.com/spreadsheets/d/1-uDff_7J0KD5mKrp0Vvzr7lt3OU09vwQwhkpOPPYv2Y/edit?usp=sharing"",""งบพรบ!Z65"")"),0)</f>
        <v>0</v>
      </c>
      <c r="O53" s="74">
        <f t="shared" ca="1" si="18"/>
        <v>0</v>
      </c>
      <c r="P53" s="74">
        <f t="shared" ca="1" si="19"/>
        <v>0</v>
      </c>
      <c r="Q53" s="74">
        <v>0</v>
      </c>
      <c r="R53" s="74">
        <v>0</v>
      </c>
      <c r="S53" s="74">
        <v>0</v>
      </c>
      <c r="T53" s="74">
        <f t="shared" si="21"/>
        <v>0</v>
      </c>
      <c r="U53" s="74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9">
        <f t="shared" ref="L60:N60" ca="1" si="29">L61+L62</f>
        <v>465300</v>
      </c>
      <c r="M60" s="1268">
        <f t="shared" ca="1" si="29"/>
        <v>465300</v>
      </c>
      <c r="N60" s="1268">
        <f t="shared" ca="1" si="29"/>
        <v>301164.21999999997</v>
      </c>
      <c r="O60" s="1268">
        <f t="shared" ref="O60:O68" ca="1" si="30">IF(L60&gt;0,N60*100/L60,0)</f>
        <v>64.724741027294215</v>
      </c>
      <c r="P60" s="1268">
        <f t="shared" ref="P60:P68" ca="1" si="31">IF(M60&gt;0,N60*100/M60,0)</f>
        <v>64.724741027294215</v>
      </c>
      <c r="Q60" s="1268">
        <f t="shared" ref="Q60:S60" si="32">Q61+Q62</f>
        <v>0</v>
      </c>
      <c r="R60" s="1268">
        <f t="shared" si="32"/>
        <v>0</v>
      </c>
      <c r="S60" s="1268">
        <f t="shared" si="32"/>
        <v>0</v>
      </c>
      <c r="T60" s="1268">
        <f t="shared" ref="T60:T68" si="33">IF(Q60&gt;0,S60*100/Q60,0)</f>
        <v>0</v>
      </c>
      <c r="U60" s="1268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7">
        <f t="shared" ref="L61:N62" si="35">L64+L67</f>
        <v>0</v>
      </c>
      <c r="M61" s="1266">
        <f t="shared" si="35"/>
        <v>0</v>
      </c>
      <c r="N61" s="1266">
        <f t="shared" si="35"/>
        <v>0</v>
      </c>
      <c r="O61" s="1266">
        <f t="shared" si="30"/>
        <v>0</v>
      </c>
      <c r="P61" s="1266">
        <f t="shared" si="31"/>
        <v>0</v>
      </c>
      <c r="Q61" s="1266">
        <f t="shared" ref="Q61:S62" si="36">Q64+Q67</f>
        <v>0</v>
      </c>
      <c r="R61" s="1266">
        <f t="shared" si="36"/>
        <v>0</v>
      </c>
      <c r="S61" s="1266">
        <f t="shared" si="36"/>
        <v>0</v>
      </c>
      <c r="T61" s="1266">
        <f t="shared" si="33"/>
        <v>0</v>
      </c>
      <c r="U61" s="1266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5">
        <f t="shared" ca="1" si="35"/>
        <v>465300</v>
      </c>
      <c r="M62" s="1264">
        <f t="shared" ca="1" si="35"/>
        <v>465300</v>
      </c>
      <c r="N62" s="1264">
        <f t="shared" ca="1" si="35"/>
        <v>301164.21999999997</v>
      </c>
      <c r="O62" s="1264">
        <f t="shared" ca="1" si="30"/>
        <v>64.724741027294215</v>
      </c>
      <c r="P62" s="1264">
        <f t="shared" ca="1" si="31"/>
        <v>64.724741027294215</v>
      </c>
      <c r="Q62" s="1264">
        <f t="shared" si="36"/>
        <v>0</v>
      </c>
      <c r="R62" s="1264">
        <f t="shared" si="36"/>
        <v>0</v>
      </c>
      <c r="S62" s="1264">
        <f t="shared" si="36"/>
        <v>0</v>
      </c>
      <c r="T62" s="1264">
        <f t="shared" si="33"/>
        <v>0</v>
      </c>
      <c r="U62" s="1264">
        <f t="shared" si="34"/>
        <v>0</v>
      </c>
    </row>
    <row r="63" spans="1:21" ht="18.75" x14ac:dyDescent="0.25">
      <c r="A63" s="847"/>
      <c r="B63" s="258"/>
      <c r="C63" s="258"/>
      <c r="D63" s="270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3">
        <f t="shared" ref="L63:N63" ca="1" si="37">L64+L65</f>
        <v>465300</v>
      </c>
      <c r="M63" s="74">
        <f t="shared" ca="1" si="37"/>
        <v>465300</v>
      </c>
      <c r="N63" s="74">
        <f t="shared" ca="1" si="37"/>
        <v>301164.21999999997</v>
      </c>
      <c r="O63" s="74">
        <f t="shared" ca="1" si="30"/>
        <v>64.724741027294215</v>
      </c>
      <c r="P63" s="74">
        <f t="shared" ca="1" si="31"/>
        <v>64.724741027294215</v>
      </c>
      <c r="Q63" s="74">
        <f t="shared" ref="Q63:S63" si="38">Q64+Q65</f>
        <v>0</v>
      </c>
      <c r="R63" s="74">
        <f t="shared" si="38"/>
        <v>0</v>
      </c>
      <c r="S63" s="74">
        <f t="shared" si="38"/>
        <v>0</v>
      </c>
      <c r="T63" s="74">
        <f t="shared" si="33"/>
        <v>0</v>
      </c>
      <c r="U63" s="74">
        <f t="shared" si="34"/>
        <v>0</v>
      </c>
    </row>
    <row r="64" spans="1:21" ht="18.75" hidden="1" x14ac:dyDescent="0.25">
      <c r="A64" s="847"/>
      <c r="B64" s="258"/>
      <c r="C64" s="258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77">
        <f t="shared" si="30"/>
        <v>0</v>
      </c>
      <c r="P64" s="77">
        <f t="shared" si="31"/>
        <v>0</v>
      </c>
      <c r="Q64" s="77">
        <v>0</v>
      </c>
      <c r="R64" s="77">
        <v>0</v>
      </c>
      <c r="S64" s="77">
        <v>0</v>
      </c>
      <c r="T64" s="77">
        <f t="shared" si="33"/>
        <v>0</v>
      </c>
      <c r="U64" s="77">
        <f t="shared" si="34"/>
        <v>0</v>
      </c>
    </row>
    <row r="65" spans="1:21" ht="18.75" hidden="1" x14ac:dyDescent="0.25">
      <c r="A65" s="847"/>
      <c r="B65" s="258"/>
      <c r="C65" s="258"/>
      <c r="D65" s="258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3">
        <f ca="1">IFERROR(__xludf.DUMMYFUNCTION("IMPORTRANGE(""https://docs.google.com/spreadsheets/d/1-uDff_7J0KD5mKrp0Vvzr7lt3OU09vwQwhkpOPPYv2Y/edit?usp=sharing"",""งบพรบ!AC65"")"),465300)</f>
        <v>465300</v>
      </c>
      <c r="M65" s="74">
        <f ca="1">IFERROR(__xludf.DUMMYFUNCTION("IMPORTRANGE(""https://docs.google.com/spreadsheets/d/1-uDff_7J0KD5mKrp0Vvzr7lt3OU09vwQwhkpOPPYv2Y/edit?usp=sharing"",""งบพรบ!AH65"")"),465300)</f>
        <v>465300</v>
      </c>
      <c r="N65" s="74">
        <f ca="1">IFERROR(__xludf.DUMMYFUNCTION("IMPORTRANGE(""https://docs.google.com/spreadsheets/d/1-uDff_7J0KD5mKrp0Vvzr7lt3OU09vwQwhkpOPPYv2Y/edit?usp=sharing"",""งบพรบ!AJ65"")"),301164.22)</f>
        <v>301164.21999999997</v>
      </c>
      <c r="O65" s="74">
        <f t="shared" ca="1" si="30"/>
        <v>64.724741027294215</v>
      </c>
      <c r="P65" s="74">
        <f t="shared" ca="1" si="31"/>
        <v>64.724741027294215</v>
      </c>
      <c r="Q65" s="74">
        <v>0</v>
      </c>
      <c r="R65" s="74">
        <v>0</v>
      </c>
      <c r="S65" s="74">
        <v>0</v>
      </c>
      <c r="T65" s="74">
        <f t="shared" si="33"/>
        <v>0</v>
      </c>
      <c r="U65" s="74">
        <f t="shared" si="34"/>
        <v>0</v>
      </c>
    </row>
    <row r="66" spans="1:21" ht="18.75" x14ac:dyDescent="0.25">
      <c r="A66" s="847"/>
      <c r="B66" s="258"/>
      <c r="C66" s="258"/>
      <c r="D66" s="270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3">
        <f t="shared" ref="L66:N66" ca="1" si="39">L67+L68</f>
        <v>0</v>
      </c>
      <c r="M66" s="74">
        <f t="shared" ca="1" si="39"/>
        <v>0</v>
      </c>
      <c r="N66" s="74">
        <f t="shared" ca="1" si="39"/>
        <v>0</v>
      </c>
      <c r="O66" s="74">
        <f t="shared" ca="1" si="30"/>
        <v>0</v>
      </c>
      <c r="P66" s="74">
        <f t="shared" ca="1" si="31"/>
        <v>0</v>
      </c>
      <c r="Q66" s="74">
        <f t="shared" ref="Q66:S66" si="40">Q67+Q68</f>
        <v>0</v>
      </c>
      <c r="R66" s="74">
        <f t="shared" si="40"/>
        <v>0</v>
      </c>
      <c r="S66" s="74">
        <f t="shared" si="40"/>
        <v>0</v>
      </c>
      <c r="T66" s="74">
        <f t="shared" si="33"/>
        <v>0</v>
      </c>
      <c r="U66" s="74">
        <f t="shared" si="34"/>
        <v>0</v>
      </c>
    </row>
    <row r="67" spans="1:21" ht="18.75" hidden="1" x14ac:dyDescent="0.25">
      <c r="A67" s="847"/>
      <c r="B67" s="258"/>
      <c r="C67" s="258"/>
      <c r="D67" s="258"/>
      <c r="E67" s="265" t="s">
        <v>20</v>
      </c>
      <c r="F67" s="258"/>
      <c r="G67" s="261"/>
      <c r="H67" s="840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77">
        <f t="shared" si="30"/>
        <v>0</v>
      </c>
      <c r="P67" s="77">
        <f t="shared" si="31"/>
        <v>0</v>
      </c>
      <c r="Q67" s="77">
        <v>0</v>
      </c>
      <c r="R67" s="77">
        <v>0</v>
      </c>
      <c r="S67" s="77">
        <v>0</v>
      </c>
      <c r="T67" s="77">
        <f t="shared" si="33"/>
        <v>0</v>
      </c>
      <c r="U67" s="77">
        <f t="shared" si="34"/>
        <v>0</v>
      </c>
    </row>
    <row r="68" spans="1:21" ht="18.75" hidden="1" x14ac:dyDescent="0.25">
      <c r="A68" s="848"/>
      <c r="B68" s="636"/>
      <c r="C68" s="636"/>
      <c r="D68" s="636"/>
      <c r="E68" s="849" t="s">
        <v>21</v>
      </c>
      <c r="F68" s="636"/>
      <c r="G68" s="637"/>
      <c r="H68" s="850" t="s">
        <v>14</v>
      </c>
      <c r="I68" s="631"/>
      <c r="J68" s="631"/>
      <c r="K68" s="98"/>
      <c r="L68" s="181">
        <f ca="1">IFERROR(__xludf.DUMMYFUNCTION("IMPORTRANGE(""https://docs.google.com/spreadsheets/d/1-uDff_7J0KD5mKrp0Vvzr7lt3OU09vwQwhkpOPPYv2Y/edit?usp=sharing"",""งบพรบ!AF65"")"),0)</f>
        <v>0</v>
      </c>
      <c r="M68" s="182">
        <f ca="1">IFERROR(__xludf.DUMMYFUNCTION("IMPORTRANGE(""https://docs.google.com/spreadsheets/d/1-uDff_7J0KD5mKrp0Vvzr7lt3OU09vwQwhkpOPPYv2Y/edit?usp=sharing"",""งบพรบ!AI65"")"),0)</f>
        <v>0</v>
      </c>
      <c r="N68" s="182">
        <f ca="1">IFERROR(__xludf.DUMMYFUNCTION("IMPORTRANGE(""https://docs.google.com/spreadsheets/d/1-uDff_7J0KD5mKrp0Vvzr7lt3OU09vwQwhkpOPPYv2Y/edit?usp=sharing"",""งบพรบ!AK65"")"),0)</f>
        <v>0</v>
      </c>
      <c r="O68" s="182">
        <f t="shared" ca="1" si="30"/>
        <v>0</v>
      </c>
      <c r="P68" s="182">
        <f t="shared" ca="1" si="31"/>
        <v>0</v>
      </c>
      <c r="Q68" s="182">
        <v>0</v>
      </c>
      <c r="R68" s="182">
        <v>0</v>
      </c>
      <c r="S68" s="182">
        <v>0</v>
      </c>
      <c r="T68" s="182">
        <f t="shared" si="33"/>
        <v>0</v>
      </c>
      <c r="U68" s="182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7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hidden="1" x14ac:dyDescent="0.3">
      <c r="A70" s="1099" t="s">
        <v>32</v>
      </c>
      <c r="B70" s="691"/>
      <c r="C70" s="693"/>
      <c r="D70" s="691"/>
      <c r="E70" s="691"/>
      <c r="F70" s="691"/>
      <c r="G70" s="1100"/>
      <c r="H70" s="1100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19.5" hidden="1" x14ac:dyDescent="0.3">
      <c r="A71" s="250"/>
      <c r="B71" s="251" t="s">
        <v>33</v>
      </c>
      <c r="C71" s="252"/>
      <c r="D71" s="253"/>
      <c r="E71" s="252"/>
      <c r="F71" s="252"/>
      <c r="G71" s="254"/>
      <c r="H71" s="1296" t="s">
        <v>34</v>
      </c>
      <c r="I71" s="256">
        <f t="shared" ref="I71:J72" ca="1" si="41">I83</f>
        <v>0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hidden="1" x14ac:dyDescent="0.3">
      <c r="A72" s="250"/>
      <c r="B72" s="252"/>
      <c r="C72" s="252"/>
      <c r="D72" s="253"/>
      <c r="E72" s="252"/>
      <c r="F72" s="252"/>
      <c r="G72" s="254"/>
      <c r="H72" s="1296" t="s">
        <v>35</v>
      </c>
      <c r="I72" s="256">
        <f t="shared" ca="1" si="41"/>
        <v>0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hidden="1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1257">
        <f t="shared" ref="L73:N73" ca="1" si="43">L74+L75</f>
        <v>0</v>
      </c>
      <c r="M73" s="264">
        <f t="shared" ca="1" si="43"/>
        <v>0</v>
      </c>
      <c r="N73" s="264">
        <f t="shared" ca="1" si="43"/>
        <v>0</v>
      </c>
      <c r="O73" s="264">
        <f t="shared" ref="O73:O81" ca="1" si="44">IF(L73&gt;0,N73*100/L73,0)</f>
        <v>0</v>
      </c>
      <c r="P73" s="264">
        <f t="shared" ref="P73:P81" ca="1" si="45">IF(M73&gt;0,N73*100/M73,0)</f>
        <v>0</v>
      </c>
      <c r="Q73" s="264">
        <f t="shared" ref="Q73:S73" ca="1" si="46">Q74+Q75</f>
        <v>0</v>
      </c>
      <c r="R73" s="264">
        <f t="shared" ca="1" si="46"/>
        <v>0</v>
      </c>
      <c r="S73" s="264">
        <f t="shared" ca="1" si="46"/>
        <v>0</v>
      </c>
      <c r="T73" s="264">
        <f t="shared" ref="T73:T81" ca="1" si="47">IF(Q73&gt;0,S73*100/Q73,0)</f>
        <v>0</v>
      </c>
      <c r="U73" s="264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6">
        <f t="shared" ref="L74:N75" si="49">L77+L80</f>
        <v>0</v>
      </c>
      <c r="M74" s="77">
        <f t="shared" si="49"/>
        <v>0</v>
      </c>
      <c r="N74" s="77">
        <f t="shared" si="49"/>
        <v>0</v>
      </c>
      <c r="O74" s="77">
        <f t="shared" si="44"/>
        <v>0</v>
      </c>
      <c r="P74" s="77">
        <f t="shared" si="45"/>
        <v>0</v>
      </c>
      <c r="Q74" s="77">
        <f t="shared" ref="Q74:S75" si="50">Q77+Q80</f>
        <v>0</v>
      </c>
      <c r="R74" s="77">
        <f t="shared" si="50"/>
        <v>0</v>
      </c>
      <c r="S74" s="77">
        <f t="shared" si="50"/>
        <v>0</v>
      </c>
      <c r="T74" s="77">
        <f t="shared" si="47"/>
        <v>0</v>
      </c>
      <c r="U74" s="77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3">
        <f t="shared" ca="1" si="49"/>
        <v>0</v>
      </c>
      <c r="M75" s="74">
        <f t="shared" ca="1" si="49"/>
        <v>0</v>
      </c>
      <c r="N75" s="74">
        <f t="shared" ca="1" si="49"/>
        <v>0</v>
      </c>
      <c r="O75" s="74">
        <f t="shared" ca="1" si="44"/>
        <v>0</v>
      </c>
      <c r="P75" s="74">
        <f t="shared" ca="1" si="45"/>
        <v>0</v>
      </c>
      <c r="Q75" s="74">
        <f t="shared" ca="1" si="50"/>
        <v>0</v>
      </c>
      <c r="R75" s="74">
        <f t="shared" ca="1" si="50"/>
        <v>0</v>
      </c>
      <c r="S75" s="74">
        <f t="shared" ca="1" si="50"/>
        <v>0</v>
      </c>
      <c r="T75" s="74">
        <f t="shared" ca="1" si="47"/>
        <v>0</v>
      </c>
      <c r="U75" s="74">
        <f t="shared" ca="1" si="48"/>
        <v>0</v>
      </c>
    </row>
    <row r="76" spans="1:21" ht="18.75" hidden="1" x14ac:dyDescent="0.25">
      <c r="A76" s="257"/>
      <c r="B76" s="258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3">
        <f t="shared" ref="L76:N76" ca="1" si="51">L77+L78</f>
        <v>0</v>
      </c>
      <c r="M76" s="74">
        <f t="shared" ca="1" si="51"/>
        <v>0</v>
      </c>
      <c r="N76" s="74">
        <f t="shared" ca="1" si="51"/>
        <v>0</v>
      </c>
      <c r="O76" s="74">
        <f t="shared" ca="1" si="44"/>
        <v>0</v>
      </c>
      <c r="P76" s="74">
        <f t="shared" ca="1" si="45"/>
        <v>0</v>
      </c>
      <c r="Q76" s="74">
        <f t="shared" ref="Q76:S76" ca="1" si="52">Q77+Q78</f>
        <v>0</v>
      </c>
      <c r="R76" s="74">
        <f t="shared" ca="1" si="52"/>
        <v>0</v>
      </c>
      <c r="S76" s="74">
        <f t="shared" ca="1" si="52"/>
        <v>0</v>
      </c>
      <c r="T76" s="74">
        <f t="shared" ca="1" si="47"/>
        <v>0</v>
      </c>
      <c r="U76" s="74">
        <f t="shared" ca="1" si="48"/>
        <v>0</v>
      </c>
    </row>
    <row r="77" spans="1:21" ht="18.75" hidden="1" x14ac:dyDescent="0.25">
      <c r="A77" s="257"/>
      <c r="B77" s="258"/>
      <c r="C77" s="258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77">
        <f t="shared" si="44"/>
        <v>0</v>
      </c>
      <c r="P77" s="77">
        <f t="shared" si="45"/>
        <v>0</v>
      </c>
      <c r="Q77" s="77">
        <v>0</v>
      </c>
      <c r="R77" s="77">
        <v>0</v>
      </c>
      <c r="S77" s="77">
        <v>0</v>
      </c>
      <c r="T77" s="77">
        <f t="shared" si="47"/>
        <v>0</v>
      </c>
      <c r="U77" s="77">
        <f t="shared" si="48"/>
        <v>0</v>
      </c>
    </row>
    <row r="78" spans="1:21" ht="18.75" hidden="1" x14ac:dyDescent="0.25">
      <c r="A78" s="257"/>
      <c r="B78" s="258"/>
      <c r="C78" s="258"/>
      <c r="D78" s="258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3">
        <f ca="1">IFERROR(__xludf.DUMMYFUNCTION("IMPORTRANGE(""https://docs.google.com/spreadsheets/d/1-uDff_7J0KD5mKrp0Vvzr7lt3OU09vwQwhkpOPPYv2Y/edit?usp=sharing"",""งบพรบ!AM65"")"),0)</f>
        <v>0</v>
      </c>
      <c r="M78" s="74">
        <f ca="1">IFERROR(__xludf.DUMMYFUNCTION("IMPORTRANGE(""https://docs.google.com/spreadsheets/d/1-uDff_7J0KD5mKrp0Vvzr7lt3OU09vwQwhkpOPPYv2Y/edit?usp=sharing"",""งบพรบ!AR65"")"),0)</f>
        <v>0</v>
      </c>
      <c r="N78" s="74">
        <f ca="1">IFERROR(__xludf.DUMMYFUNCTION("IMPORTRANGE(""https://docs.google.com/spreadsheets/d/1-uDff_7J0KD5mKrp0Vvzr7lt3OU09vwQwhkpOPPYv2Y/edit?usp=sharing"",""งบพรบ!AT65"")"),0)</f>
        <v>0</v>
      </c>
      <c r="O78" s="74">
        <f t="shared" ca="1" si="44"/>
        <v>0</v>
      </c>
      <c r="P78" s="74">
        <f t="shared" ca="1" si="45"/>
        <v>0</v>
      </c>
      <c r="Q78" s="74">
        <f ca="1">IFERROR(__xludf.DUMMYFUNCTION("IMPORTRANGE(""https://docs.google.com/spreadsheets/d/1ItG2mGa2ceCfYo0BwxsXqNm01IGEUdYcSSLTEv9YCik/edit?usp=sharing"",""เบิกจ่ายกองทุน!AS65"")"),0)</f>
        <v>0</v>
      </c>
      <c r="R78" s="74">
        <f ca="1">IFERROR(__xludf.DUMMYFUNCTION("IMPORTRANGE(""https://docs.google.com/spreadsheets/d/1ItG2mGa2ceCfYo0BwxsXqNm01IGEUdYcSSLTEv9YCik/edit?usp=sharing"",""เบิกจ่ายกองทุน!AT65"")"),0)</f>
        <v>0</v>
      </c>
      <c r="S78" s="74">
        <f ca="1">IFERROR(__xludf.DUMMYFUNCTION("IMPORTRANGE(""https://docs.google.com/spreadsheets/d/1ItG2mGa2ceCfYo0BwxsXqNm01IGEUdYcSSLTEv9YCik/edit?usp=sharing"",""เบิกจ่ายกองทุน!AU65"")"),0)</f>
        <v>0</v>
      </c>
      <c r="T78" s="74">
        <f t="shared" ca="1" si="47"/>
        <v>0</v>
      </c>
      <c r="U78" s="74">
        <f t="shared" ca="1" si="48"/>
        <v>0</v>
      </c>
    </row>
    <row r="79" spans="1:21" ht="18.75" hidden="1" x14ac:dyDescent="0.25">
      <c r="A79" s="257"/>
      <c r="B79" s="258"/>
      <c r="C79" s="258"/>
      <c r="D79" s="270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3">
        <f t="shared" ref="L79:N79" ca="1" si="53">L80+L81</f>
        <v>0</v>
      </c>
      <c r="M79" s="74">
        <f t="shared" ca="1" si="53"/>
        <v>0</v>
      </c>
      <c r="N79" s="74">
        <f t="shared" ca="1" si="53"/>
        <v>0</v>
      </c>
      <c r="O79" s="74">
        <f t="shared" ca="1" si="44"/>
        <v>0</v>
      </c>
      <c r="P79" s="74">
        <f t="shared" ca="1" si="45"/>
        <v>0</v>
      </c>
      <c r="Q79" s="74">
        <f t="shared" ref="Q79:S79" si="54">Q80+Q81</f>
        <v>0</v>
      </c>
      <c r="R79" s="74">
        <f t="shared" si="54"/>
        <v>0</v>
      </c>
      <c r="S79" s="74">
        <f t="shared" si="54"/>
        <v>0</v>
      </c>
      <c r="T79" s="74">
        <f t="shared" si="47"/>
        <v>0</v>
      </c>
      <c r="U79" s="74">
        <f t="shared" si="48"/>
        <v>0</v>
      </c>
    </row>
    <row r="80" spans="1:21" ht="18.75" hidden="1" x14ac:dyDescent="0.25">
      <c r="A80" s="257"/>
      <c r="B80" s="258"/>
      <c r="C80" s="258"/>
      <c r="D80" s="258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77">
        <f t="shared" si="44"/>
        <v>0</v>
      </c>
      <c r="P80" s="77">
        <f t="shared" si="45"/>
        <v>0</v>
      </c>
      <c r="Q80" s="77">
        <v>0</v>
      </c>
      <c r="R80" s="74">
        <v>0</v>
      </c>
      <c r="S80" s="74">
        <v>0</v>
      </c>
      <c r="T80" s="77">
        <f t="shared" si="47"/>
        <v>0</v>
      </c>
      <c r="U80" s="77">
        <f t="shared" si="48"/>
        <v>0</v>
      </c>
    </row>
    <row r="81" spans="1:21" ht="18.75" hidden="1" x14ac:dyDescent="0.25">
      <c r="A81" s="257"/>
      <c r="B81" s="258"/>
      <c r="C81" s="258"/>
      <c r="D81" s="258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3">
        <f ca="1">IFERROR(__xludf.DUMMYFUNCTION("IMPORTRANGE(""https://docs.google.com/spreadsheets/d/1-uDff_7J0KD5mKrp0Vvzr7lt3OU09vwQwhkpOPPYv2Y/edit?usp=sharing"",""งบพรบ!AP65"")"),0)</f>
        <v>0</v>
      </c>
      <c r="M81" s="74">
        <f ca="1">IFERROR(__xludf.DUMMYFUNCTION("IMPORTRANGE(""https://docs.google.com/spreadsheets/d/1-uDff_7J0KD5mKrp0Vvzr7lt3OU09vwQwhkpOPPYv2Y/edit?usp=sharing"",""งบพรบ!AS65"")"),0)</f>
        <v>0</v>
      </c>
      <c r="N81" s="74">
        <f ca="1">IFERROR(__xludf.DUMMYFUNCTION("IMPORTRANGE(""https://docs.google.com/spreadsheets/d/1-uDff_7J0KD5mKrp0Vvzr7lt3OU09vwQwhkpOPPYv2Y/edit?usp=sharing"",""งบพรบ!AU65"")"),0)</f>
        <v>0</v>
      </c>
      <c r="O81" s="74">
        <f t="shared" ca="1" si="44"/>
        <v>0</v>
      </c>
      <c r="P81" s="74">
        <f t="shared" ca="1" si="45"/>
        <v>0</v>
      </c>
      <c r="Q81" s="74">
        <v>0</v>
      </c>
      <c r="R81" s="74">
        <v>0</v>
      </c>
      <c r="S81" s="74">
        <v>0</v>
      </c>
      <c r="T81" s="74">
        <f t="shared" si="47"/>
        <v>0</v>
      </c>
      <c r="U81" s="74">
        <f t="shared" si="48"/>
        <v>0</v>
      </c>
    </row>
    <row r="82" spans="1:21" ht="19.5" hidden="1" x14ac:dyDescent="0.3">
      <c r="A82" s="276"/>
      <c r="B82" s="277"/>
      <c r="C82" s="259" t="s">
        <v>18</v>
      </c>
      <c r="D82" s="1019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hidden="1" x14ac:dyDescent="0.3">
      <c r="A83" s="276"/>
      <c r="B83" s="277"/>
      <c r="C83" s="277"/>
      <c r="D83" s="767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0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hidden="1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0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hidden="1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IFERROR(__xludf.DUMMYFUNCTION("IMPORTRANGE(""https://docs.google.com/spreadsheets/d/1eHaY18a8A9IcSdp1K8H6x8fbOy06t2VsZHhMHf-1x7Y/edit?usp=sharing"",""แผน!H65"")"),0)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hidden="1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IFERROR(__xludf.DUMMYFUNCTION("IMPORTRANGE(""https://docs.google.com/spreadsheets/d/1eHaY18a8A9IcSdp1K8H6x8fbOy06t2VsZHhMHf-1x7Y/edit?usp=sharing"",""แผน!I65"")"),0)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hidden="1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IFERROR(__xludf.DUMMYFUNCTION("IMPORTRANGE(""https://docs.google.com/spreadsheets/d/1eHaY18a8A9IcSdp1K8H6x8fbOy06t2VsZHhMHf-1x7Y/edit?usp=sharing"",""แผน!F65"")"),0)</f>
        <v>0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hidden="1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IFERROR(__xludf.DUMMYFUNCTION("IMPORTRANGE(""https://docs.google.com/spreadsheets/d/1eHaY18a8A9IcSdp1K8H6x8fbOy06t2VsZHhMHf-1x7Y/edit?usp=sharing"",""แผน!G65"")"),0)</f>
        <v>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hidden="1" x14ac:dyDescent="0.25">
      <c r="A89" s="276"/>
      <c r="B89" s="277"/>
      <c r="C89" s="277"/>
      <c r="D89" s="277"/>
      <c r="E89" s="295" t="s">
        <v>42</v>
      </c>
      <c r="F89" s="296"/>
      <c r="G89" s="282"/>
      <c r="H89" s="299" t="s">
        <v>34</v>
      </c>
      <c r="I89" s="298">
        <f ca="1">IFERROR(__xludf.DUMMYFUNCTION("IMPORTRANGE(""https://docs.google.com/spreadsheets/d/1eHaY18a8A9IcSdp1K8H6x8fbOy06t2VsZHhMHf-1x7Y/edit?usp=sharing"",""แผน!D65"")"),0)</f>
        <v>0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hidden="1" x14ac:dyDescent="0.25">
      <c r="A90" s="276"/>
      <c r="B90" s="277"/>
      <c r="C90" s="277"/>
      <c r="D90" s="277"/>
      <c r="E90" s="296"/>
      <c r="F90" s="296"/>
      <c r="G90" s="282"/>
      <c r="H90" s="299" t="s">
        <v>35</v>
      </c>
      <c r="I90" s="298">
        <f ca="1">IFERROR(__xludf.DUMMYFUNCTION("IMPORTRANGE(""https://docs.google.com/spreadsheets/d/1eHaY18a8A9IcSdp1K8H6x8fbOy06t2VsZHhMHf-1x7Y/edit?usp=sharing"",""แผน!E65"")"),0)</f>
        <v>0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hidden="1" x14ac:dyDescent="0.25">
      <c r="A91" s="276"/>
      <c r="B91" s="277"/>
      <c r="C91" s="277"/>
      <c r="D91" s="767" t="s">
        <v>43</v>
      </c>
      <c r="E91" s="296"/>
      <c r="F91" s="296"/>
      <c r="G91" s="282"/>
      <c r="H91" s="1165" t="s">
        <v>34</v>
      </c>
      <c r="I91" s="298">
        <f ca="1">IFERROR(__xludf.DUMMYFUNCTION("IMPORTRANGE(""https://docs.google.com/spreadsheets/d/1eHaY18a8A9IcSdp1K8H6x8fbOy06t2VsZHhMHf-1x7Y/edit?usp=sharing"",""แผน!J65"")"),0)</f>
        <v>0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x14ac:dyDescent="0.3">
      <c r="A92" s="1099" t="s">
        <v>44</v>
      </c>
      <c r="B92" s="691"/>
      <c r="C92" s="693"/>
      <c r="D92" s="691"/>
      <c r="E92" s="691"/>
      <c r="F92" s="691"/>
      <c r="G92" s="1100"/>
      <c r="H92" s="1100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x14ac:dyDescent="0.3">
      <c r="A93" s="250"/>
      <c r="B93" s="251" t="s">
        <v>45</v>
      </c>
      <c r="C93" s="252"/>
      <c r="D93" s="253"/>
      <c r="E93" s="252"/>
      <c r="F93" s="252"/>
      <c r="G93" s="254"/>
      <c r="H93" s="1296" t="s">
        <v>46</v>
      </c>
      <c r="I93" s="256">
        <f t="shared" ref="I93:J94" ca="1" si="57">I109</f>
        <v>30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x14ac:dyDescent="0.3">
      <c r="A94" s="250"/>
      <c r="B94" s="252"/>
      <c r="C94" s="252"/>
      <c r="D94" s="253"/>
      <c r="E94" s="252"/>
      <c r="F94" s="252"/>
      <c r="G94" s="254"/>
      <c r="H94" s="1296" t="s">
        <v>35</v>
      </c>
      <c r="I94" s="256">
        <f t="shared" ca="1" si="57"/>
        <v>10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1257">
        <f t="shared" ref="L95:N95" ca="1" si="59">L96+L97</f>
        <v>0</v>
      </c>
      <c r="M95" s="264">
        <f t="shared" ca="1" si="59"/>
        <v>0</v>
      </c>
      <c r="N95" s="264">
        <f t="shared" ca="1" si="59"/>
        <v>0</v>
      </c>
      <c r="O95" s="264">
        <f t="shared" ref="O95:O103" ca="1" si="60">IF(L95&gt;0,N95*100/L95,0)</f>
        <v>0</v>
      </c>
      <c r="P95" s="264">
        <f t="shared" ref="P95:P103" ca="1" si="61">IF(M95&gt;0,N95*100/M95,0)</f>
        <v>0</v>
      </c>
      <c r="Q95" s="264">
        <f t="shared" ref="Q95:S95" ca="1" si="62">Q96+Q97</f>
        <v>84420</v>
      </c>
      <c r="R95" s="264">
        <f t="shared" ca="1" si="62"/>
        <v>84420</v>
      </c>
      <c r="S95" s="264">
        <f t="shared" ca="1" si="62"/>
        <v>0</v>
      </c>
      <c r="T95" s="264">
        <f t="shared" ref="T95:T103" ca="1" si="63">IF(Q95&gt;0,S95*100/Q95,0)</f>
        <v>0</v>
      </c>
      <c r="U95" s="264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6">
        <f t="shared" ref="L96:N97" si="65">L99+L102</f>
        <v>0</v>
      </c>
      <c r="M96" s="77">
        <f t="shared" si="65"/>
        <v>0</v>
      </c>
      <c r="N96" s="77">
        <f t="shared" si="65"/>
        <v>0</v>
      </c>
      <c r="O96" s="77">
        <f t="shared" si="60"/>
        <v>0</v>
      </c>
      <c r="P96" s="77">
        <f t="shared" si="61"/>
        <v>0</v>
      </c>
      <c r="Q96" s="77">
        <f t="shared" ref="Q96:S97" si="66">Q99+Q102</f>
        <v>0</v>
      </c>
      <c r="R96" s="77">
        <f t="shared" si="66"/>
        <v>0</v>
      </c>
      <c r="S96" s="77">
        <f t="shared" si="66"/>
        <v>0</v>
      </c>
      <c r="T96" s="77">
        <f t="shared" si="63"/>
        <v>0</v>
      </c>
      <c r="U96" s="77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3">
        <f t="shared" ca="1" si="65"/>
        <v>0</v>
      </c>
      <c r="M97" s="74">
        <f t="shared" ca="1" si="65"/>
        <v>0</v>
      </c>
      <c r="N97" s="74">
        <f t="shared" ca="1" si="65"/>
        <v>0</v>
      </c>
      <c r="O97" s="74">
        <f t="shared" ca="1" si="60"/>
        <v>0</v>
      </c>
      <c r="P97" s="74">
        <f t="shared" ca="1" si="61"/>
        <v>0</v>
      </c>
      <c r="Q97" s="74">
        <f t="shared" ca="1" si="66"/>
        <v>84420</v>
      </c>
      <c r="R97" s="74">
        <f t="shared" ca="1" si="66"/>
        <v>84420</v>
      </c>
      <c r="S97" s="74">
        <f t="shared" ca="1" si="66"/>
        <v>0</v>
      </c>
      <c r="T97" s="74">
        <f t="shared" ca="1" si="63"/>
        <v>0</v>
      </c>
      <c r="U97" s="74">
        <f t="shared" ca="1" si="64"/>
        <v>0</v>
      </c>
    </row>
    <row r="98" spans="1:21" ht="18.75" x14ac:dyDescent="0.25">
      <c r="A98" s="257"/>
      <c r="B98" s="258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3">
        <f t="shared" ref="L98:N98" ca="1" si="67">L99+L100</f>
        <v>0</v>
      </c>
      <c r="M98" s="74">
        <f t="shared" ca="1" si="67"/>
        <v>0</v>
      </c>
      <c r="N98" s="74">
        <f t="shared" ca="1" si="67"/>
        <v>0</v>
      </c>
      <c r="O98" s="74">
        <f t="shared" ca="1" si="60"/>
        <v>0</v>
      </c>
      <c r="P98" s="74">
        <f t="shared" ca="1" si="61"/>
        <v>0</v>
      </c>
      <c r="Q98" s="74">
        <f t="shared" ref="Q98:S98" ca="1" si="68">Q99+Q100</f>
        <v>84420</v>
      </c>
      <c r="R98" s="74">
        <f t="shared" ca="1" si="68"/>
        <v>84420</v>
      </c>
      <c r="S98" s="74">
        <f t="shared" ca="1" si="68"/>
        <v>0</v>
      </c>
      <c r="T98" s="74">
        <f t="shared" ca="1" si="63"/>
        <v>0</v>
      </c>
      <c r="U98" s="74">
        <f t="shared" ca="1" si="64"/>
        <v>0</v>
      </c>
    </row>
    <row r="99" spans="1:21" ht="18.75" hidden="1" x14ac:dyDescent="0.25">
      <c r="A99" s="257"/>
      <c r="B99" s="258"/>
      <c r="C99" s="258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77">
        <f t="shared" si="60"/>
        <v>0</v>
      </c>
      <c r="P99" s="77">
        <f t="shared" si="61"/>
        <v>0</v>
      </c>
      <c r="Q99" s="77">
        <v>0</v>
      </c>
      <c r="R99" s="77">
        <v>0</v>
      </c>
      <c r="S99" s="77">
        <v>0</v>
      </c>
      <c r="T99" s="77">
        <f t="shared" si="63"/>
        <v>0</v>
      </c>
      <c r="U99" s="77">
        <f t="shared" si="64"/>
        <v>0</v>
      </c>
    </row>
    <row r="100" spans="1:21" ht="18.75" hidden="1" x14ac:dyDescent="0.25">
      <c r="A100" s="257"/>
      <c r="B100" s="258"/>
      <c r="C100" s="258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3">
        <f ca="1">IFERROR(__xludf.DUMMYFUNCTION("IMPORTRANGE(""https://docs.google.com/spreadsheets/d/1-uDff_7J0KD5mKrp0Vvzr7lt3OU09vwQwhkpOPPYv2Y/edit?usp=sharing"",""งบพรบ!AW65"")"),0)</f>
        <v>0</v>
      </c>
      <c r="M100" s="74">
        <f ca="1">IFERROR(__xludf.DUMMYFUNCTION("IMPORTRANGE(""https://docs.google.com/spreadsheets/d/1-uDff_7J0KD5mKrp0Vvzr7lt3OU09vwQwhkpOPPYv2Y/edit?usp=sharing"",""งบพรบ!BB65"")"),0)</f>
        <v>0</v>
      </c>
      <c r="N100" s="74">
        <f ca="1">IFERROR(__xludf.DUMMYFUNCTION("IMPORTRANGE(""https://docs.google.com/spreadsheets/d/1-uDff_7J0KD5mKrp0Vvzr7lt3OU09vwQwhkpOPPYv2Y/edit?usp=sharing"",""งบพรบ!BD65"")"),0)</f>
        <v>0</v>
      </c>
      <c r="O100" s="74">
        <f t="shared" ca="1" si="60"/>
        <v>0</v>
      </c>
      <c r="P100" s="74">
        <f t="shared" ca="1" si="61"/>
        <v>0</v>
      </c>
      <c r="Q100" s="74">
        <f ca="1">IFERROR(__xludf.DUMMYFUNCTION("IMPORTRANGE(""https://docs.google.com/spreadsheets/d/1ItG2mGa2ceCfYo0BwxsXqNm01IGEUdYcSSLTEv9YCik/edit?usp=sharing"",""เบิกจ่ายกองทุน!AD65"")"),84420)</f>
        <v>84420</v>
      </c>
      <c r="R100" s="74">
        <f ca="1">IFERROR(__xludf.DUMMYFUNCTION("IMPORTRANGE(""https://docs.google.com/spreadsheets/d/1ItG2mGa2ceCfYo0BwxsXqNm01IGEUdYcSSLTEv9YCik/edit?usp=sharing"",""เบิกจ่ายกองทุน!AE65"")"),84420)</f>
        <v>84420</v>
      </c>
      <c r="S100" s="74">
        <f ca="1">IFERROR(__xludf.DUMMYFUNCTION("IMPORTRANGE(""https://docs.google.com/spreadsheets/d/1ItG2mGa2ceCfYo0BwxsXqNm01IGEUdYcSSLTEv9YCik/edit?usp=sharing"",""เบิกจ่ายกองทุน!AF65"")"),0)</f>
        <v>0</v>
      </c>
      <c r="T100" s="74">
        <f t="shared" ca="1" si="63"/>
        <v>0</v>
      </c>
      <c r="U100" s="74">
        <f t="shared" ca="1" si="64"/>
        <v>0</v>
      </c>
    </row>
    <row r="101" spans="1:21" ht="18.75" x14ac:dyDescent="0.25">
      <c r="A101" s="257"/>
      <c r="B101" s="258"/>
      <c r="C101" s="258"/>
      <c r="D101" s="270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3">
        <f t="shared" ref="L101:N101" ca="1" si="69">L102+L103</f>
        <v>0</v>
      </c>
      <c r="M101" s="74">
        <f t="shared" ca="1" si="69"/>
        <v>0</v>
      </c>
      <c r="N101" s="74">
        <f t="shared" ca="1" si="69"/>
        <v>0</v>
      </c>
      <c r="O101" s="74">
        <f t="shared" ca="1" si="60"/>
        <v>0</v>
      </c>
      <c r="P101" s="74">
        <f t="shared" ca="1" si="61"/>
        <v>0</v>
      </c>
      <c r="Q101" s="74">
        <f t="shared" ref="Q101:S101" si="70">Q102+Q103</f>
        <v>0</v>
      </c>
      <c r="R101" s="74">
        <f t="shared" si="70"/>
        <v>0</v>
      </c>
      <c r="S101" s="74">
        <f t="shared" si="70"/>
        <v>0</v>
      </c>
      <c r="T101" s="74">
        <f t="shared" si="63"/>
        <v>0</v>
      </c>
      <c r="U101" s="74">
        <f t="shared" si="64"/>
        <v>0</v>
      </c>
    </row>
    <row r="102" spans="1:21" ht="18.75" hidden="1" x14ac:dyDescent="0.25">
      <c r="A102" s="257"/>
      <c r="B102" s="258"/>
      <c r="C102" s="258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77">
        <f t="shared" si="60"/>
        <v>0</v>
      </c>
      <c r="P102" s="77">
        <f t="shared" si="61"/>
        <v>0</v>
      </c>
      <c r="Q102" s="77">
        <v>0</v>
      </c>
      <c r="R102" s="77">
        <v>0</v>
      </c>
      <c r="S102" s="77">
        <v>0</v>
      </c>
      <c r="T102" s="77">
        <f t="shared" si="63"/>
        <v>0</v>
      </c>
      <c r="U102" s="77">
        <f t="shared" si="64"/>
        <v>0</v>
      </c>
    </row>
    <row r="103" spans="1:21" ht="18.75" hidden="1" x14ac:dyDescent="0.25">
      <c r="A103" s="257"/>
      <c r="B103" s="258"/>
      <c r="C103" s="258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3">
        <f ca="1">IFERROR(__xludf.DUMMYFUNCTION("IMPORTRANGE(""https://docs.google.com/spreadsheets/d/1-uDff_7J0KD5mKrp0Vvzr7lt3OU09vwQwhkpOPPYv2Y/edit?usp=sharing"",""งบพรบ!AZ65"")"),0)</f>
        <v>0</v>
      </c>
      <c r="M103" s="74">
        <f ca="1">IFERROR(__xludf.DUMMYFUNCTION("IMPORTRANGE(""https://docs.google.com/spreadsheets/d/1-uDff_7J0KD5mKrp0Vvzr7lt3OU09vwQwhkpOPPYv2Y/edit?usp=sharing"",""งบพรบ!BC65"")"),0)</f>
        <v>0</v>
      </c>
      <c r="N103" s="74">
        <f ca="1">IFERROR(__xludf.DUMMYFUNCTION("IMPORTRANGE(""https://docs.google.com/spreadsheets/d/1-uDff_7J0KD5mKrp0Vvzr7lt3OU09vwQwhkpOPPYv2Y/edit?usp=sharing"",""งบพรบ!BE65"")"),0)</f>
        <v>0</v>
      </c>
      <c r="O103" s="74">
        <f t="shared" ca="1" si="60"/>
        <v>0</v>
      </c>
      <c r="P103" s="74">
        <f t="shared" ca="1" si="61"/>
        <v>0</v>
      </c>
      <c r="Q103" s="74">
        <v>0</v>
      </c>
      <c r="R103" s="74">
        <v>0</v>
      </c>
      <c r="S103" s="74">
        <v>0</v>
      </c>
      <c r="T103" s="74">
        <f t="shared" si="63"/>
        <v>0</v>
      </c>
      <c r="U103" s="74">
        <f t="shared" si="64"/>
        <v>0</v>
      </c>
    </row>
    <row r="104" spans="1:21" ht="19.5" x14ac:dyDescent="0.3">
      <c r="A104" s="276"/>
      <c r="B104" s="277"/>
      <c r="C104" s="259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IFERROR(__xludf.DUMMYFUNCTION("IMPORTRANGE(""https://docs.google.com/spreadsheets/d/1eHaY18a8A9IcSdp1K8H6x8fbOy06t2VsZHhMHf-1x7Y/edit?usp=sharing"",""แผน!N65"")"),30)</f>
        <v>30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IFERROR(__xludf.DUMMYFUNCTION("IMPORTRANGE(""https://docs.google.com/spreadsheets/d/1eHaY18a8A9IcSdp1K8H6x8fbOy06t2VsZHhMHf-1x7Y/edit?usp=sharing"",""แผน!O65"")"),10)</f>
        <v>10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5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8.75" x14ac:dyDescent="0.25">
      <c r="A114" s="890"/>
      <c r="B114" s="891"/>
      <c r="C114" s="891"/>
      <c r="D114" s="892" t="s">
        <v>50</v>
      </c>
      <c r="E114" s="893"/>
      <c r="F114" s="893"/>
      <c r="G114" s="894"/>
      <c r="H114" s="895" t="s">
        <v>46</v>
      </c>
      <c r="I114" s="896">
        <f ca="1">IFERROR(__xludf.DUMMYFUNCTION("IMPORTRANGE(""https://docs.google.com/spreadsheets/d/1eHaY18a8A9IcSdp1K8H6x8fbOy06t2VsZHhMHf-1x7Y/edit?usp=sharing"",""แผน!S65"")"),0)</f>
        <v>0</v>
      </c>
      <c r="J114" s="897">
        <v>0</v>
      </c>
      <c r="K114" s="898">
        <f t="shared" ref="K114:K115" ca="1" si="72">IF(I114&gt;0,J114*100/I114,0)</f>
        <v>0</v>
      </c>
      <c r="L114" s="450"/>
      <c r="M114" s="450"/>
      <c r="N114" s="450"/>
      <c r="O114" s="899"/>
      <c r="P114" s="899"/>
      <c r="Q114" s="450"/>
      <c r="R114" s="450"/>
      <c r="S114" s="450"/>
      <c r="T114" s="899"/>
      <c r="U114" s="899"/>
    </row>
    <row r="115" spans="1:21" ht="18.75" x14ac:dyDescent="0.25">
      <c r="A115" s="276"/>
      <c r="B115" s="277"/>
      <c r="C115" s="277"/>
      <c r="D115" s="296"/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IFERROR(__xludf.DUMMYFUNCTION("IMPORTRANGE(""https://docs.google.com/spreadsheets/d/1eHaY18a8A9IcSdp1K8H6x8fbOy06t2VsZHhMHf-1x7Y/edit?usp=sharing"",""แผน!R65"")"),10)</f>
        <v>10</v>
      </c>
      <c r="J115" s="294">
        <v>0</v>
      </c>
      <c r="K115" s="74">
        <f t="shared" ca="1" si="72"/>
        <v>0</v>
      </c>
      <c r="L115" s="87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243" t="s">
        <v>51</v>
      </c>
      <c r="B116" s="245"/>
      <c r="C116" s="300"/>
      <c r="D116" s="244"/>
      <c r="E116" s="244"/>
      <c r="F116" s="244"/>
      <c r="G116" s="244"/>
      <c r="H116" s="245"/>
      <c r="I116" s="301"/>
      <c r="J116" s="301"/>
      <c r="K116" s="302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50"/>
      <c r="B117" s="303" t="s">
        <v>52</v>
      </c>
      <c r="C117" s="304"/>
      <c r="D117" s="253"/>
      <c r="E117" s="252"/>
      <c r="F117" s="252"/>
      <c r="G117" s="254"/>
      <c r="H117" s="305" t="s">
        <v>35</v>
      </c>
      <c r="I117" s="256">
        <f t="shared" ref="I117:J117" ca="1" si="73">I128</f>
        <v>30</v>
      </c>
      <c r="J117" s="256">
        <f t="shared" si="73"/>
        <v>0</v>
      </c>
      <c r="K117" s="59">
        <f ca="1">IF(I117&gt;0,J117*100/I117,0)</f>
        <v>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69"/>
      <c r="C118" s="621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1257">
        <f t="shared" ref="L118:N118" ca="1" si="74">L119+L120</f>
        <v>0</v>
      </c>
      <c r="M118" s="264">
        <f t="shared" ca="1" si="74"/>
        <v>0</v>
      </c>
      <c r="N118" s="264">
        <f t="shared" ca="1" si="74"/>
        <v>0</v>
      </c>
      <c r="O118" s="264">
        <f t="shared" ref="O118:O126" ca="1" si="75">IF(L118&gt;0,N118*100/L118,0)</f>
        <v>0</v>
      </c>
      <c r="P118" s="264">
        <f t="shared" ref="P118:P126" ca="1" si="76">IF(M118&gt;0,N118*100/M118,0)</f>
        <v>0</v>
      </c>
      <c r="Q118" s="264">
        <f t="shared" ref="Q118:S118" ca="1" si="77">Q119+Q120</f>
        <v>249180</v>
      </c>
      <c r="R118" s="264">
        <f t="shared" ca="1" si="77"/>
        <v>249180</v>
      </c>
      <c r="S118" s="264">
        <f t="shared" ca="1" si="77"/>
        <v>0</v>
      </c>
      <c r="T118" s="264">
        <f t="shared" ref="T118:T126" ca="1" si="78">IF(Q118&gt;0,S118*100/Q118,0)</f>
        <v>0</v>
      </c>
      <c r="U118" s="264">
        <f t="shared" ref="U118:U126" ca="1" si="79">IF(R118&gt;0,S118*100/R118,0)</f>
        <v>0</v>
      </c>
    </row>
    <row r="119" spans="1:21" ht="18.75" hidden="1" x14ac:dyDescent="0.25">
      <c r="A119" s="257"/>
      <c r="B119" s="269"/>
      <c r="C119" s="269"/>
      <c r="D119" s="269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6">
        <f t="shared" ref="L119:N120" si="80">L122+L125</f>
        <v>0</v>
      </c>
      <c r="M119" s="77">
        <f t="shared" si="80"/>
        <v>0</v>
      </c>
      <c r="N119" s="77">
        <f t="shared" si="80"/>
        <v>0</v>
      </c>
      <c r="O119" s="77">
        <f t="shared" si="75"/>
        <v>0</v>
      </c>
      <c r="P119" s="77">
        <f t="shared" si="76"/>
        <v>0</v>
      </c>
      <c r="Q119" s="77">
        <f t="shared" ref="Q119:S120" si="81">Q122+Q125</f>
        <v>0</v>
      </c>
      <c r="R119" s="77">
        <f t="shared" si="81"/>
        <v>0</v>
      </c>
      <c r="S119" s="77">
        <f t="shared" si="81"/>
        <v>0</v>
      </c>
      <c r="T119" s="77">
        <f t="shared" si="78"/>
        <v>0</v>
      </c>
      <c r="U119" s="77">
        <f t="shared" si="79"/>
        <v>0</v>
      </c>
    </row>
    <row r="120" spans="1:21" ht="18.75" hidden="1" x14ac:dyDescent="0.25">
      <c r="A120" s="257"/>
      <c r="B120" s="269"/>
      <c r="C120" s="269"/>
      <c r="D120" s="269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3">
        <f t="shared" ca="1" si="80"/>
        <v>0</v>
      </c>
      <c r="M120" s="74">
        <f t="shared" ca="1" si="80"/>
        <v>0</v>
      </c>
      <c r="N120" s="74">
        <f t="shared" ca="1" si="80"/>
        <v>0</v>
      </c>
      <c r="O120" s="74">
        <f t="shared" ca="1" si="75"/>
        <v>0</v>
      </c>
      <c r="P120" s="74">
        <f t="shared" ca="1" si="76"/>
        <v>0</v>
      </c>
      <c r="Q120" s="74">
        <f t="shared" ca="1" si="81"/>
        <v>249180</v>
      </c>
      <c r="R120" s="74">
        <f t="shared" ca="1" si="81"/>
        <v>249180</v>
      </c>
      <c r="S120" s="74">
        <f t="shared" ca="1" si="81"/>
        <v>0</v>
      </c>
      <c r="T120" s="74">
        <f t="shared" ca="1" si="78"/>
        <v>0</v>
      </c>
      <c r="U120" s="74">
        <f t="shared" ca="1" si="79"/>
        <v>0</v>
      </c>
    </row>
    <row r="121" spans="1:21" ht="18.75" x14ac:dyDescent="0.25">
      <c r="A121" s="257"/>
      <c r="B121" s="269"/>
      <c r="C121" s="306"/>
      <c r="D121" s="967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3">
        <f t="shared" ref="L121:N121" ca="1" si="82">L122+L123</f>
        <v>0</v>
      </c>
      <c r="M121" s="74">
        <f t="shared" ca="1" si="82"/>
        <v>0</v>
      </c>
      <c r="N121" s="74">
        <f t="shared" ca="1" si="82"/>
        <v>0</v>
      </c>
      <c r="O121" s="74">
        <f t="shared" ca="1" si="75"/>
        <v>0</v>
      </c>
      <c r="P121" s="74">
        <f t="shared" ca="1" si="76"/>
        <v>0</v>
      </c>
      <c r="Q121" s="74">
        <f t="shared" ref="Q121:S121" ca="1" si="83">Q122+Q123</f>
        <v>249180</v>
      </c>
      <c r="R121" s="74">
        <f t="shared" ca="1" si="83"/>
        <v>249180</v>
      </c>
      <c r="S121" s="74">
        <f t="shared" ca="1" si="83"/>
        <v>0</v>
      </c>
      <c r="T121" s="74">
        <f t="shared" ca="1" si="78"/>
        <v>0</v>
      </c>
      <c r="U121" s="74">
        <f t="shared" ca="1" si="79"/>
        <v>0</v>
      </c>
    </row>
    <row r="122" spans="1:21" ht="18.75" hidden="1" x14ac:dyDescent="0.25">
      <c r="A122" s="257"/>
      <c r="B122" s="269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77">
        <f t="shared" si="75"/>
        <v>0</v>
      </c>
      <c r="P122" s="77">
        <f t="shared" si="76"/>
        <v>0</v>
      </c>
      <c r="Q122" s="77">
        <v>0</v>
      </c>
      <c r="R122" s="77">
        <v>0</v>
      </c>
      <c r="S122" s="77">
        <v>0</v>
      </c>
      <c r="T122" s="77">
        <f t="shared" si="78"/>
        <v>0</v>
      </c>
      <c r="U122" s="77">
        <f t="shared" si="79"/>
        <v>0</v>
      </c>
    </row>
    <row r="123" spans="1:21" ht="18.75" hidden="1" x14ac:dyDescent="0.25">
      <c r="A123" s="257"/>
      <c r="B123" s="269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3">
        <f ca="1">IFERROR(__xludf.DUMMYFUNCTION("IMPORTRANGE(""https://docs.google.com/spreadsheets/d/1-uDff_7J0KD5mKrp0Vvzr7lt3OU09vwQwhkpOPPYv2Y/edit?usp=sharing"",""งบพรบ!BG65"")"),0)</f>
        <v>0</v>
      </c>
      <c r="M123" s="74">
        <f ca="1">IFERROR(__xludf.DUMMYFUNCTION("IMPORTRANGE(""https://docs.google.com/spreadsheets/d/1-uDff_7J0KD5mKrp0Vvzr7lt3OU09vwQwhkpOPPYv2Y/edit?usp=sharing"",""งบพรบ!BL65"")"),0)</f>
        <v>0</v>
      </c>
      <c r="N123" s="74">
        <f ca="1">IFERROR(__xludf.DUMMYFUNCTION("IMPORTRANGE(""https://docs.google.com/spreadsheets/d/1-uDff_7J0KD5mKrp0Vvzr7lt3OU09vwQwhkpOPPYv2Y/edit?usp=sharing"",""งบพรบ!BN65"")"),0)</f>
        <v>0</v>
      </c>
      <c r="O123" s="74">
        <f t="shared" ca="1" si="75"/>
        <v>0</v>
      </c>
      <c r="P123" s="74">
        <f t="shared" ca="1" si="76"/>
        <v>0</v>
      </c>
      <c r="Q123" s="74">
        <f ca="1">IFERROR(__xludf.DUMMYFUNCTION("IMPORTRANGE(""https://docs.google.com/spreadsheets/d/1ItG2mGa2ceCfYo0BwxsXqNm01IGEUdYcSSLTEv9YCik/edit?usp=sharing"",""เบิกจ่ายกองทุน!R65"")"),249180)</f>
        <v>249180</v>
      </c>
      <c r="R123" s="74">
        <f ca="1">IFERROR(__xludf.DUMMYFUNCTION("IMPORTRANGE(""https://docs.google.com/spreadsheets/d/1ItG2mGa2ceCfYo0BwxsXqNm01IGEUdYcSSLTEv9YCik/edit?usp=sharing"",""เบิกจ่ายกองทุน!S65"")"),249180)</f>
        <v>249180</v>
      </c>
      <c r="S123" s="74">
        <f ca="1">IFERROR(__xludf.DUMMYFUNCTION("IMPORTRANGE(""https://docs.google.com/spreadsheets/d/1ItG2mGa2ceCfYo0BwxsXqNm01IGEUdYcSSLTEv9YCik/edit?usp=sharing"",""เบิกจ่ายกองทุน!T65"")"),0)</f>
        <v>0</v>
      </c>
      <c r="T123" s="74">
        <f t="shared" ca="1" si="78"/>
        <v>0</v>
      </c>
      <c r="U123" s="74">
        <f t="shared" ca="1" si="79"/>
        <v>0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3">
        <f t="shared" ref="L124:N124" ca="1" si="84">L125+L126</f>
        <v>0</v>
      </c>
      <c r="M124" s="74">
        <f t="shared" ca="1" si="84"/>
        <v>0</v>
      </c>
      <c r="N124" s="74">
        <f t="shared" ca="1" si="84"/>
        <v>0</v>
      </c>
      <c r="O124" s="74">
        <f t="shared" ca="1" si="75"/>
        <v>0</v>
      </c>
      <c r="P124" s="74">
        <f t="shared" ca="1" si="76"/>
        <v>0</v>
      </c>
      <c r="Q124" s="74">
        <f t="shared" ref="Q124:S124" si="85">Q125+Q126</f>
        <v>0</v>
      </c>
      <c r="R124" s="74">
        <f t="shared" si="85"/>
        <v>0</v>
      </c>
      <c r="S124" s="74">
        <f t="shared" si="85"/>
        <v>0</v>
      </c>
      <c r="T124" s="74">
        <f t="shared" si="78"/>
        <v>0</v>
      </c>
      <c r="U124" s="74">
        <f t="shared" si="79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77">
        <f t="shared" si="75"/>
        <v>0</v>
      </c>
      <c r="P125" s="77">
        <f t="shared" si="76"/>
        <v>0</v>
      </c>
      <c r="Q125" s="77">
        <v>0</v>
      </c>
      <c r="R125" s="77">
        <v>0</v>
      </c>
      <c r="S125" s="77">
        <v>0</v>
      </c>
      <c r="T125" s="77">
        <f t="shared" si="78"/>
        <v>0</v>
      </c>
      <c r="U125" s="77">
        <f t="shared" si="79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3">
        <f ca="1">IFERROR(__xludf.DUMMYFUNCTION("IMPORTRANGE(""https://docs.google.com/spreadsheets/d/1-uDff_7J0KD5mKrp0Vvzr7lt3OU09vwQwhkpOPPYv2Y/edit?usp=sharing"",""งบพรบ!BJ65"")"),0)</f>
        <v>0</v>
      </c>
      <c r="M126" s="74">
        <f ca="1">IFERROR(__xludf.DUMMYFUNCTION("IMPORTRANGE(""https://docs.google.com/spreadsheets/d/1-uDff_7J0KD5mKrp0Vvzr7lt3OU09vwQwhkpOPPYv2Y/edit?usp=sharing"",""งบพรบ!BM65"")"),0)</f>
        <v>0</v>
      </c>
      <c r="N126" s="74">
        <f ca="1">IFERROR(__xludf.DUMMYFUNCTION("IMPORTRANGE(""https://docs.google.com/spreadsheets/d/1-uDff_7J0KD5mKrp0Vvzr7lt3OU09vwQwhkpOPPYv2Y/edit?usp=sharing"",""งบพรบ!BO65"")"),0)</f>
        <v>0</v>
      </c>
      <c r="O126" s="74">
        <f t="shared" ca="1" si="75"/>
        <v>0</v>
      </c>
      <c r="P126" s="74">
        <f t="shared" ca="1" si="76"/>
        <v>0</v>
      </c>
      <c r="Q126" s="74">
        <v>0</v>
      </c>
      <c r="R126" s="74">
        <v>0</v>
      </c>
      <c r="S126" s="74">
        <v>0</v>
      </c>
      <c r="T126" s="74">
        <f t="shared" si="78"/>
        <v>0</v>
      </c>
      <c r="U126" s="74">
        <f t="shared" si="79"/>
        <v>0</v>
      </c>
    </row>
    <row r="127" spans="1:21" ht="19.5" x14ac:dyDescent="0.3">
      <c r="A127" s="276"/>
      <c r="B127" s="277"/>
      <c r="C127" s="309" t="s">
        <v>18</v>
      </c>
      <c r="D127" s="1019" t="s">
        <v>38</v>
      </c>
      <c r="E127" s="280"/>
      <c r="F127" s="280"/>
      <c r="G127" s="281"/>
      <c r="H127" s="310"/>
      <c r="I127" s="263"/>
      <c r="J127" s="263"/>
      <c r="K127" s="87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IFERROR(__xludf.DUMMYFUNCTION("IMPORTRANGE(""https://docs.google.com/spreadsheets/d/1eHaY18a8A9IcSdp1K8H6x8fbOy06t2VsZHhMHf-1x7Y/edit?usp=sharing"",""แผน!FF65"")"),30)</f>
        <v>30</v>
      </c>
      <c r="J128" s="294">
        <v>0</v>
      </c>
      <c r="K128" s="74">
        <f t="shared" ref="K128:K131" ca="1" si="86">IF(I128&gt;0,J128*100/I128,0)</f>
        <v>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IFERROR(__xludf.DUMMYFUNCTION("IMPORTRANGE(""https://docs.google.com/spreadsheets/d/1eHaY18a8A9IcSdp1K8H6x8fbOy06t2VsZHhMHf-1x7Y/edit?usp=sharing"",""แผน!FG65"")"),0)</f>
        <v>0</v>
      </c>
      <c r="J129" s="294">
        <v>0</v>
      </c>
      <c r="K129" s="74">
        <f t="shared" ca="1" si="86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29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IFERROR(__xludf.DUMMYFUNCTION("IMPORTRANGE(""https://docs.google.com/spreadsheets/d/1eHaY18a8A9IcSdp1K8H6x8fbOy06t2VsZHhMHf-1x7Y/edit?usp=sharing"",""แผน!FH65"")"),30)</f>
        <v>30</v>
      </c>
      <c r="J130" s="294">
        <v>0</v>
      </c>
      <c r="K130" s="74">
        <f t="shared" ca="1" si="86"/>
        <v>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96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IFERROR(__xludf.DUMMYFUNCTION("IMPORTRANGE(""https://docs.google.com/spreadsheets/d/1eHaY18a8A9IcSdp1K8H6x8fbOy06t2VsZHhMHf-1x7Y/edit?usp=sharing"",""แผน!FI65"")"),0)</f>
        <v>0</v>
      </c>
      <c r="J131" s="294">
        <v>0</v>
      </c>
      <c r="K131" s="74">
        <f t="shared" ca="1" si="86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311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311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x14ac:dyDescent="0.3">
      <c r="A135" s="1099" t="s">
        <v>58</v>
      </c>
      <c r="B135" s="691"/>
      <c r="C135" s="692"/>
      <c r="D135" s="691"/>
      <c r="E135" s="691"/>
      <c r="F135" s="691"/>
      <c r="G135" s="691"/>
      <c r="H135" s="691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x14ac:dyDescent="0.3">
      <c r="A136" s="250"/>
      <c r="B136" s="251" t="s">
        <v>59</v>
      </c>
      <c r="C136" s="304"/>
      <c r="D136" s="253"/>
      <c r="E136" s="252"/>
      <c r="F136" s="252"/>
      <c r="G136" s="252"/>
      <c r="H136" s="252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x14ac:dyDescent="0.3">
      <c r="A137" s="250"/>
      <c r="B137" s="252"/>
      <c r="C137" s="1112" t="s">
        <v>60</v>
      </c>
      <c r="D137" s="253"/>
      <c r="E137" s="252"/>
      <c r="F137" s="252"/>
      <c r="G137" s="254"/>
      <c r="H137" s="1296" t="s">
        <v>61</v>
      </c>
      <c r="I137" s="256">
        <f t="shared" ref="I137:J137" ca="1" si="87">I155</f>
        <v>1</v>
      </c>
      <c r="J137" s="256">
        <f t="shared" si="87"/>
        <v>0</v>
      </c>
      <c r="K137" s="59">
        <f t="shared" ref="K137:K139" ca="1" si="88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x14ac:dyDescent="0.3">
      <c r="A138" s="250"/>
      <c r="B138" s="252"/>
      <c r="C138" s="1112" t="s">
        <v>62</v>
      </c>
      <c r="D138" s="253"/>
      <c r="E138" s="252"/>
      <c r="F138" s="252"/>
      <c r="G138" s="254"/>
      <c r="H138" s="1296" t="s">
        <v>35</v>
      </c>
      <c r="I138" s="256">
        <f t="shared" ref="I138:J139" ca="1" si="89">I153</f>
        <v>10</v>
      </c>
      <c r="J138" s="256">
        <f t="shared" si="89"/>
        <v>0</v>
      </c>
      <c r="K138" s="59">
        <f t="shared" ca="1" si="88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x14ac:dyDescent="0.3">
      <c r="A139" s="250"/>
      <c r="B139" s="252"/>
      <c r="C139" s="304"/>
      <c r="D139" s="253"/>
      <c r="E139" s="252"/>
      <c r="F139" s="252"/>
      <c r="G139" s="254"/>
      <c r="H139" s="1296" t="s">
        <v>54</v>
      </c>
      <c r="I139" s="256">
        <f t="shared" ca="1" si="89"/>
        <v>1</v>
      </c>
      <c r="J139" s="256">
        <f t="shared" si="89"/>
        <v>0</v>
      </c>
      <c r="K139" s="59">
        <f t="shared" ca="1" si="88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1257">
        <f t="shared" ref="L140:N140" ca="1" si="90">L141+L142</f>
        <v>115300</v>
      </c>
      <c r="M140" s="264">
        <f t="shared" ca="1" si="90"/>
        <v>110300</v>
      </c>
      <c r="N140" s="264">
        <f t="shared" ca="1" si="90"/>
        <v>12200</v>
      </c>
      <c r="O140" s="264">
        <f t="shared" ref="O140:O148" ca="1" si="91">IF(L140&gt;0,N140*100/L140,0)</f>
        <v>10.581092801387685</v>
      </c>
      <c r="P140" s="264">
        <f t="shared" ref="P140:P148" ca="1" si="92">IF(M140&gt;0,N140*100/M140,0)</f>
        <v>11.060743427017226</v>
      </c>
      <c r="Q140" s="264">
        <f t="shared" ref="Q140:S140" ca="1" si="93">Q141+Q142</f>
        <v>0</v>
      </c>
      <c r="R140" s="264">
        <f t="shared" ca="1" si="93"/>
        <v>0</v>
      </c>
      <c r="S140" s="264">
        <f t="shared" ca="1" si="93"/>
        <v>0</v>
      </c>
      <c r="T140" s="264">
        <f t="shared" ref="T140:T148" ca="1" si="94">IF(Q140&gt;0,S140*100/Q140,0)</f>
        <v>0</v>
      </c>
      <c r="U140" s="264">
        <f t="shared" ref="U140:U148" ca="1" si="95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6">
        <f t="shared" ref="L141:N142" si="96">L144+L147</f>
        <v>0</v>
      </c>
      <c r="M141" s="77">
        <f t="shared" si="96"/>
        <v>0</v>
      </c>
      <c r="N141" s="77">
        <f t="shared" si="96"/>
        <v>0</v>
      </c>
      <c r="O141" s="77">
        <f t="shared" si="91"/>
        <v>0</v>
      </c>
      <c r="P141" s="77">
        <f t="shared" si="92"/>
        <v>0</v>
      </c>
      <c r="Q141" s="77">
        <f t="shared" ref="Q141:S142" si="97">Q144+Q147</f>
        <v>0</v>
      </c>
      <c r="R141" s="77">
        <f t="shared" si="97"/>
        <v>0</v>
      </c>
      <c r="S141" s="77">
        <f t="shared" si="97"/>
        <v>0</v>
      </c>
      <c r="T141" s="77">
        <f t="shared" si="94"/>
        <v>0</v>
      </c>
      <c r="U141" s="77">
        <f t="shared" si="95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3">
        <f t="shared" ca="1" si="96"/>
        <v>115300</v>
      </c>
      <c r="M142" s="74">
        <f t="shared" ca="1" si="96"/>
        <v>110300</v>
      </c>
      <c r="N142" s="74">
        <f t="shared" ca="1" si="96"/>
        <v>12200</v>
      </c>
      <c r="O142" s="74">
        <f t="shared" ca="1" si="91"/>
        <v>10.581092801387685</v>
      </c>
      <c r="P142" s="74">
        <f t="shared" ca="1" si="92"/>
        <v>11.060743427017226</v>
      </c>
      <c r="Q142" s="74">
        <f t="shared" ca="1" si="97"/>
        <v>0</v>
      </c>
      <c r="R142" s="74">
        <f t="shared" ca="1" si="97"/>
        <v>0</v>
      </c>
      <c r="S142" s="74">
        <f t="shared" ca="1" si="97"/>
        <v>0</v>
      </c>
      <c r="T142" s="74">
        <f t="shared" ca="1" si="94"/>
        <v>0</v>
      </c>
      <c r="U142" s="74">
        <f t="shared" ca="1" si="95"/>
        <v>0</v>
      </c>
    </row>
    <row r="143" spans="1:21" ht="18.75" x14ac:dyDescent="0.25">
      <c r="A143" s="257"/>
      <c r="B143" s="258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3">
        <f t="shared" ref="L143:N143" ca="1" si="98">L144+L145</f>
        <v>115300</v>
      </c>
      <c r="M143" s="74">
        <f t="shared" ca="1" si="98"/>
        <v>110300</v>
      </c>
      <c r="N143" s="74">
        <f t="shared" ca="1" si="98"/>
        <v>12200</v>
      </c>
      <c r="O143" s="74">
        <f t="shared" ca="1" si="91"/>
        <v>10.581092801387685</v>
      </c>
      <c r="P143" s="74">
        <f t="shared" ca="1" si="92"/>
        <v>11.060743427017226</v>
      </c>
      <c r="Q143" s="74">
        <f t="shared" ref="Q143:S143" ca="1" si="99">Q144+Q145</f>
        <v>0</v>
      </c>
      <c r="R143" s="74">
        <f t="shared" ca="1" si="99"/>
        <v>0</v>
      </c>
      <c r="S143" s="74">
        <f t="shared" ca="1" si="99"/>
        <v>0</v>
      </c>
      <c r="T143" s="74">
        <f t="shared" ca="1" si="94"/>
        <v>0</v>
      </c>
      <c r="U143" s="74">
        <f t="shared" ca="1" si="95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77">
        <f t="shared" si="91"/>
        <v>0</v>
      </c>
      <c r="P144" s="77">
        <f t="shared" si="92"/>
        <v>0</v>
      </c>
      <c r="Q144" s="77">
        <v>0</v>
      </c>
      <c r="R144" s="77">
        <v>0</v>
      </c>
      <c r="S144" s="77">
        <v>0</v>
      </c>
      <c r="T144" s="77">
        <f t="shared" si="94"/>
        <v>0</v>
      </c>
      <c r="U144" s="77">
        <f t="shared" si="95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3">
        <f ca="1">IFERROR(__xludf.DUMMYFUNCTION("IMPORTRANGE(""https://docs.google.com/spreadsheets/d/1-uDff_7J0KD5mKrp0Vvzr7lt3OU09vwQwhkpOPPYv2Y/edit?usp=sharing"",""งบพรบ!BQ65"")"),115300)</f>
        <v>115300</v>
      </c>
      <c r="M145" s="74">
        <f ca="1">IFERROR(__xludf.DUMMYFUNCTION("IMPORTRANGE(""https://docs.google.com/spreadsheets/d/1-uDff_7J0KD5mKrp0Vvzr7lt3OU09vwQwhkpOPPYv2Y/edit?usp=sharing"",""งบพรบ!BV65"")"),110300)</f>
        <v>110300</v>
      </c>
      <c r="N145" s="74">
        <f ca="1">IFERROR(__xludf.DUMMYFUNCTION("IMPORTRANGE(""https://docs.google.com/spreadsheets/d/1-uDff_7J0KD5mKrp0Vvzr7lt3OU09vwQwhkpOPPYv2Y/edit?usp=sharing"",""งบพรบ!BX65"")"),12200)</f>
        <v>12200</v>
      </c>
      <c r="O145" s="74">
        <f t="shared" ca="1" si="91"/>
        <v>10.581092801387685</v>
      </c>
      <c r="P145" s="74">
        <f t="shared" ca="1" si="92"/>
        <v>11.060743427017226</v>
      </c>
      <c r="Q145" s="74">
        <f ca="1">IFERROR(__xludf.DUMMYFUNCTION("IMPORTRANGE(""https://docs.google.com/spreadsheets/d/1ItG2mGa2ceCfYo0BwxsXqNm01IGEUdYcSSLTEv9YCik/edit?usp=sharing"",""เบิกจ่ายกองทุน!BB65"")"),0)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IFERROR(__xludf.DUMMYFUNCTION("IMPORTRANGE(""https://docs.google.com/spreadsheets/d/1ItG2mGa2ceCfYo0BwxsXqNm01IGEUdYcSSLTEv9YCik/edit?usp=sharing"",""เบิกจ่ายกองทุน!BC65"")"),0)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IFERROR(__xludf.DUMMYFUNCTION("IMPORTRANGE(""https://docs.google.com/spreadsheets/d/1ItG2mGa2ceCfYo0BwxsXqNm01IGEUdYcSSLTEv9YCik/edit?usp=sharing"",""เบิกจ่ายกองทุน!BD65"")"),0)</f>
        <v>0</v>
      </c>
      <c r="T145" s="74">
        <f t="shared" ca="1" si="94"/>
        <v>0</v>
      </c>
      <c r="U145" s="74">
        <f t="shared" ca="1" si="95"/>
        <v>0</v>
      </c>
    </row>
    <row r="146" spans="1:21" ht="18.75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3">
        <f t="shared" ref="L146:N146" ca="1" si="100">L147+L148</f>
        <v>0</v>
      </c>
      <c r="M146" s="74">
        <f t="shared" ca="1" si="100"/>
        <v>0</v>
      </c>
      <c r="N146" s="74">
        <f t="shared" ca="1" si="100"/>
        <v>0</v>
      </c>
      <c r="O146" s="74">
        <f t="shared" ca="1" si="91"/>
        <v>0</v>
      </c>
      <c r="P146" s="74">
        <f t="shared" ca="1" si="92"/>
        <v>0</v>
      </c>
      <c r="Q146" s="74">
        <f t="shared" ref="Q146:S146" si="101">Q147+Q148</f>
        <v>0</v>
      </c>
      <c r="R146" s="74">
        <f t="shared" si="101"/>
        <v>0</v>
      </c>
      <c r="S146" s="74">
        <f t="shared" si="101"/>
        <v>0</v>
      </c>
      <c r="T146" s="74">
        <f t="shared" si="94"/>
        <v>0</v>
      </c>
      <c r="U146" s="74">
        <f t="shared" si="95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77">
        <f t="shared" si="91"/>
        <v>0</v>
      </c>
      <c r="P147" s="77">
        <f t="shared" si="92"/>
        <v>0</v>
      </c>
      <c r="Q147" s="77">
        <v>0</v>
      </c>
      <c r="R147" s="77">
        <v>0</v>
      </c>
      <c r="S147" s="77">
        <v>0</v>
      </c>
      <c r="T147" s="77">
        <f t="shared" si="94"/>
        <v>0</v>
      </c>
      <c r="U147" s="77">
        <f t="shared" si="95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3">
        <f ca="1">IFERROR(__xludf.DUMMYFUNCTION("IMPORTRANGE(""https://docs.google.com/spreadsheets/d/1-uDff_7J0KD5mKrp0Vvzr7lt3OU09vwQwhkpOPPYv2Y/edit?usp=sharing"",""งบพรบ!BT65"")"),0)</f>
        <v>0</v>
      </c>
      <c r="M148" s="74">
        <f ca="1">IFERROR(__xludf.DUMMYFUNCTION("IMPORTRANGE(""https://docs.google.com/spreadsheets/d/1-uDff_7J0KD5mKrp0Vvzr7lt3OU09vwQwhkpOPPYv2Y/edit?usp=sharing"",""งบพรบ!BW65"")"),0)</f>
        <v>0</v>
      </c>
      <c r="N148" s="74">
        <f ca="1">IFERROR(__xludf.DUMMYFUNCTION("IMPORTRANGE(""https://docs.google.com/spreadsheets/d/1-uDff_7J0KD5mKrp0Vvzr7lt3OU09vwQwhkpOPPYv2Y/edit?usp=sharing"",""งบพรบ!BY65"")"),0)</f>
        <v>0</v>
      </c>
      <c r="O148" s="74">
        <f t="shared" ca="1" si="91"/>
        <v>0</v>
      </c>
      <c r="P148" s="74">
        <f t="shared" ca="1" si="92"/>
        <v>0</v>
      </c>
      <c r="Q148" s="74">
        <v>0</v>
      </c>
      <c r="R148" s="74">
        <v>0</v>
      </c>
      <c r="S148" s="74">
        <v>0</v>
      </c>
      <c r="T148" s="74">
        <f t="shared" si="94"/>
        <v>0</v>
      </c>
      <c r="U148" s="74">
        <f t="shared" si="95"/>
        <v>0</v>
      </c>
    </row>
    <row r="149" spans="1:21" ht="19.5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x14ac:dyDescent="0.25">
      <c r="A150" s="257"/>
      <c r="B150" s="258"/>
      <c r="C150" s="258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IFERROR(__xludf.DUMMYFUNCTION("IMPORTRANGE(""https://docs.google.com/spreadsheets/d/1eHaY18a8A9IcSdp1K8H6x8fbOy06t2VsZHhMHf-1x7Y/edit?usp=sharing"",""แผน!U65"")"),10)</f>
        <v>10</v>
      </c>
      <c r="J151" s="294">
        <v>0</v>
      </c>
      <c r="K151" s="74">
        <f t="shared" ref="K151:K155" ca="1" si="102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IFERROR(__xludf.DUMMYFUNCTION("IMPORTRANGE(""https://docs.google.com/spreadsheets/d/1eHaY18a8A9IcSdp1K8H6x8fbOy06t2VsZHhMHf-1x7Y/edit?usp=sharing"",""แผน!V65"")"),1)</f>
        <v>1</v>
      </c>
      <c r="J152" s="294">
        <v>0</v>
      </c>
      <c r="K152" s="74">
        <f t="shared" ca="1" si="102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IFERROR(__xludf.DUMMYFUNCTION("IMPORTRANGE(""https://docs.google.com/spreadsheets/d/1eHaY18a8A9IcSdp1K8H6x8fbOy06t2VsZHhMHf-1x7Y/edit?usp=sharing"",""แผน!W65"")"),10)</f>
        <v>10</v>
      </c>
      <c r="J153" s="294">
        <v>0</v>
      </c>
      <c r="K153" s="74">
        <f t="shared" ca="1" si="102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IFERROR(__xludf.DUMMYFUNCTION("IMPORTRANGE(""https://docs.google.com/spreadsheets/d/1eHaY18a8A9IcSdp1K8H6x8fbOy06t2VsZHhMHf-1x7Y/edit?usp=sharing"",""แผน!X65"")"),1)</f>
        <v>1</v>
      </c>
      <c r="J154" s="294">
        <v>0</v>
      </c>
      <c r="K154" s="74">
        <f t="shared" ca="1" si="102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IFERROR(__xludf.DUMMYFUNCTION("IMPORTRANGE(""https://docs.google.com/spreadsheets/d/1eHaY18a8A9IcSdp1K8H6x8fbOy06t2VsZHhMHf-1x7Y/edit?usp=sharing"",""แผน!Y65"")"),1)</f>
        <v>1</v>
      </c>
      <c r="J155" s="294">
        <v>0</v>
      </c>
      <c r="K155" s="74">
        <f t="shared" ca="1" si="102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x14ac:dyDescent="0.3">
      <c r="A156" s="1099" t="s">
        <v>67</v>
      </c>
      <c r="B156" s="691"/>
      <c r="C156" s="692"/>
      <c r="D156" s="691"/>
      <c r="E156" s="691"/>
      <c r="F156" s="691"/>
      <c r="G156" s="691"/>
      <c r="H156" s="691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3">I168</f>
        <v>10</v>
      </c>
      <c r="J157" s="256">
        <f t="shared" si="103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1257">
        <f t="shared" ref="L158:N158" ca="1" si="104">L159+L160</f>
        <v>3000</v>
      </c>
      <c r="M158" s="264">
        <f t="shared" ca="1" si="104"/>
        <v>2250</v>
      </c>
      <c r="N158" s="264">
        <f t="shared" ca="1" si="104"/>
        <v>0</v>
      </c>
      <c r="O158" s="264">
        <f t="shared" ref="O158:O166" ca="1" si="105">IF(L158&gt;0,N158*100/L158,0)</f>
        <v>0</v>
      </c>
      <c r="P158" s="264">
        <f t="shared" ref="P158:P166" ca="1" si="106">IF(M158&gt;0,N158*100/M158,0)</f>
        <v>0</v>
      </c>
      <c r="Q158" s="264">
        <f t="shared" ref="Q158:S158" ca="1" si="107">Q159+Q160</f>
        <v>0</v>
      </c>
      <c r="R158" s="264">
        <f t="shared" ca="1" si="107"/>
        <v>0</v>
      </c>
      <c r="S158" s="264">
        <f t="shared" ca="1" si="107"/>
        <v>0</v>
      </c>
      <c r="T158" s="264">
        <f t="shared" ref="T158:T166" ca="1" si="108">IF(Q158&gt;0,S158*100/Q158,0)</f>
        <v>0</v>
      </c>
      <c r="U158" s="264">
        <f t="shared" ref="U158:U166" ca="1" si="109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6">
        <f t="shared" ref="L159:N160" si="110">L162+L165</f>
        <v>0</v>
      </c>
      <c r="M159" s="77">
        <f t="shared" si="110"/>
        <v>0</v>
      </c>
      <c r="N159" s="77">
        <f t="shared" si="110"/>
        <v>0</v>
      </c>
      <c r="O159" s="77">
        <f t="shared" si="105"/>
        <v>0</v>
      </c>
      <c r="P159" s="77">
        <f t="shared" si="106"/>
        <v>0</v>
      </c>
      <c r="Q159" s="77">
        <f t="shared" ref="Q159:S160" si="111">Q162+Q165</f>
        <v>0</v>
      </c>
      <c r="R159" s="77">
        <f t="shared" si="111"/>
        <v>0</v>
      </c>
      <c r="S159" s="77">
        <f t="shared" si="111"/>
        <v>0</v>
      </c>
      <c r="T159" s="77">
        <f t="shared" si="108"/>
        <v>0</v>
      </c>
      <c r="U159" s="77">
        <f t="shared" si="109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3">
        <f t="shared" ca="1" si="110"/>
        <v>3000</v>
      </c>
      <c r="M160" s="74">
        <f t="shared" ca="1" si="110"/>
        <v>2250</v>
      </c>
      <c r="N160" s="74">
        <f t="shared" ca="1" si="110"/>
        <v>0</v>
      </c>
      <c r="O160" s="74">
        <f t="shared" ca="1" si="105"/>
        <v>0</v>
      </c>
      <c r="P160" s="74">
        <f t="shared" ca="1" si="106"/>
        <v>0</v>
      </c>
      <c r="Q160" s="74">
        <f t="shared" ca="1" si="111"/>
        <v>0</v>
      </c>
      <c r="R160" s="74">
        <f t="shared" ca="1" si="111"/>
        <v>0</v>
      </c>
      <c r="S160" s="74">
        <f t="shared" ca="1" si="111"/>
        <v>0</v>
      </c>
      <c r="T160" s="74">
        <f t="shared" ca="1" si="108"/>
        <v>0</v>
      </c>
      <c r="U160" s="74">
        <f t="shared" ca="1" si="109"/>
        <v>0</v>
      </c>
    </row>
    <row r="161" spans="1:21" ht="18.75" x14ac:dyDescent="0.25">
      <c r="A161" s="257"/>
      <c r="B161" s="258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3">
        <f t="shared" ref="L161:N161" ca="1" si="112">L162+L163</f>
        <v>3000</v>
      </c>
      <c r="M161" s="74">
        <f t="shared" ca="1" si="112"/>
        <v>2250</v>
      </c>
      <c r="N161" s="74">
        <f t="shared" ca="1" si="112"/>
        <v>0</v>
      </c>
      <c r="O161" s="74">
        <f t="shared" ca="1" si="105"/>
        <v>0</v>
      </c>
      <c r="P161" s="74">
        <f t="shared" ca="1" si="106"/>
        <v>0</v>
      </c>
      <c r="Q161" s="74">
        <f t="shared" ref="Q161:S161" ca="1" si="113">Q162+Q163</f>
        <v>0</v>
      </c>
      <c r="R161" s="74">
        <f t="shared" ca="1" si="113"/>
        <v>0</v>
      </c>
      <c r="S161" s="74">
        <f t="shared" ca="1" si="113"/>
        <v>0</v>
      </c>
      <c r="T161" s="74">
        <f t="shared" ca="1" si="108"/>
        <v>0</v>
      </c>
      <c r="U161" s="74">
        <f t="shared" ca="1" si="109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77">
        <f t="shared" si="105"/>
        <v>0</v>
      </c>
      <c r="P162" s="77">
        <f t="shared" si="106"/>
        <v>0</v>
      </c>
      <c r="Q162" s="77">
        <v>0</v>
      </c>
      <c r="R162" s="77">
        <v>0</v>
      </c>
      <c r="S162" s="77">
        <v>0</v>
      </c>
      <c r="T162" s="77">
        <f t="shared" si="108"/>
        <v>0</v>
      </c>
      <c r="U162" s="77">
        <f t="shared" si="109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3">
        <f ca="1">IFERROR(__xludf.DUMMYFUNCTION("IMPORTRANGE(""https://docs.google.com/spreadsheets/d/1-uDff_7J0KD5mKrp0Vvzr7lt3OU09vwQwhkpOPPYv2Y/edit?usp=sharing"",""งบพรบ!CA65"")"),3000)</f>
        <v>3000</v>
      </c>
      <c r="M163" s="74">
        <f ca="1">IFERROR(__xludf.DUMMYFUNCTION("IMPORTRANGE(""https://docs.google.com/spreadsheets/d/1-uDff_7J0KD5mKrp0Vvzr7lt3OU09vwQwhkpOPPYv2Y/edit?usp=sharing"",""งบพรบ!CF65"")"),2250)</f>
        <v>2250</v>
      </c>
      <c r="N163" s="74">
        <f ca="1">IFERROR(__xludf.DUMMYFUNCTION("IMPORTRANGE(""https://docs.google.com/spreadsheets/d/1-uDff_7J0KD5mKrp0Vvzr7lt3OU09vwQwhkpOPPYv2Y/edit?usp=sharing"",""งบพรบ!CH65"")"),0)</f>
        <v>0</v>
      </c>
      <c r="O163" s="74">
        <f t="shared" ca="1" si="105"/>
        <v>0</v>
      </c>
      <c r="P163" s="74">
        <f t="shared" ca="1" si="106"/>
        <v>0</v>
      </c>
      <c r="Q163" s="74">
        <f ca="1">IFERROR(__xludf.DUMMYFUNCTION("IMPORTRANGE(""https://docs.google.com/spreadsheets/d/1ItG2mGa2ceCfYo0BwxsXqNm01IGEUdYcSSLTEv9YCik/edit?usp=sharing"",""เบิกจ่ายกองทุน!AG65"")"),0)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IFERROR(__xludf.DUMMYFUNCTION("IMPORTRANGE(""https://docs.google.com/spreadsheets/d/1ItG2mGa2ceCfYo0BwxsXqNm01IGEUdYcSSLTEv9YCik/edit?usp=sharing"",""เบิกจ่ายกองทุน!AH65"")"),0)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IFERROR(__xludf.DUMMYFUNCTION("IMPORTRANGE(""https://docs.google.com/spreadsheets/d/1ItG2mGa2ceCfYo0BwxsXqNm01IGEUdYcSSLTEv9YCik/edit?usp=sharing"",""เบิกจ่ายกองทุน!AI65"")"),0)</f>
        <v>0</v>
      </c>
      <c r="T163" s="74">
        <f t="shared" ca="1" si="108"/>
        <v>0</v>
      </c>
      <c r="U163" s="74">
        <f t="shared" ca="1" si="109"/>
        <v>0</v>
      </c>
    </row>
    <row r="164" spans="1:21" ht="18.75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3">
        <f t="shared" ref="L164:N164" ca="1" si="114">L165+L166</f>
        <v>0</v>
      </c>
      <c r="M164" s="74">
        <f t="shared" ca="1" si="114"/>
        <v>0</v>
      </c>
      <c r="N164" s="74">
        <f t="shared" ca="1" si="114"/>
        <v>0</v>
      </c>
      <c r="O164" s="74">
        <f t="shared" ca="1" si="105"/>
        <v>0</v>
      </c>
      <c r="P164" s="74">
        <f t="shared" ca="1" si="106"/>
        <v>0</v>
      </c>
      <c r="Q164" s="74">
        <f t="shared" ref="Q164:S164" si="115">Q165+Q166</f>
        <v>0</v>
      </c>
      <c r="R164" s="74">
        <f t="shared" si="115"/>
        <v>0</v>
      </c>
      <c r="S164" s="74">
        <f t="shared" si="115"/>
        <v>0</v>
      </c>
      <c r="T164" s="74">
        <f t="shared" si="108"/>
        <v>0</v>
      </c>
      <c r="U164" s="74">
        <f t="shared" si="109"/>
        <v>0</v>
      </c>
    </row>
    <row r="165" spans="1:21" ht="18.75" hidden="1" x14ac:dyDescent="0.25">
      <c r="A165" s="257"/>
      <c r="B165" s="258"/>
      <c r="C165" s="258"/>
      <c r="D165" s="258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77">
        <f t="shared" si="105"/>
        <v>0</v>
      </c>
      <c r="P165" s="77">
        <f t="shared" si="106"/>
        <v>0</v>
      </c>
      <c r="Q165" s="77">
        <v>0</v>
      </c>
      <c r="R165" s="77">
        <v>0</v>
      </c>
      <c r="S165" s="77">
        <v>0</v>
      </c>
      <c r="T165" s="77">
        <f t="shared" si="108"/>
        <v>0</v>
      </c>
      <c r="U165" s="77">
        <f t="shared" si="109"/>
        <v>0</v>
      </c>
    </row>
    <row r="166" spans="1:21" ht="18.75" hidden="1" x14ac:dyDescent="0.25">
      <c r="A166" s="257"/>
      <c r="B166" s="258"/>
      <c r="C166" s="258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3">
        <f ca="1">IFERROR(__xludf.DUMMYFUNCTION("IMPORTRANGE(""https://docs.google.com/spreadsheets/d/1-uDff_7J0KD5mKrp0Vvzr7lt3OU09vwQwhkpOPPYv2Y/edit?usp=sharing"",""งบพรบ!CD65"")"),0)</f>
        <v>0</v>
      </c>
      <c r="M166" s="74">
        <f ca="1">IFERROR(__xludf.DUMMYFUNCTION("IMPORTRANGE(""https://docs.google.com/spreadsheets/d/1-uDff_7J0KD5mKrp0Vvzr7lt3OU09vwQwhkpOPPYv2Y/edit?usp=sharing"",""งบพรบ!CG65"")"),0)</f>
        <v>0</v>
      </c>
      <c r="N166" s="74">
        <f ca="1">IFERROR(__xludf.DUMMYFUNCTION("IMPORTRANGE(""https://docs.google.com/spreadsheets/d/1-uDff_7J0KD5mKrp0Vvzr7lt3OU09vwQwhkpOPPYv2Y/edit?usp=sharing"",""งบพรบ!CI65"")"),0)</f>
        <v>0</v>
      </c>
      <c r="O166" s="74">
        <f t="shared" ca="1" si="105"/>
        <v>0</v>
      </c>
      <c r="P166" s="74">
        <f t="shared" ca="1" si="106"/>
        <v>0</v>
      </c>
      <c r="Q166" s="74">
        <v>0</v>
      </c>
      <c r="R166" s="74">
        <v>0</v>
      </c>
      <c r="S166" s="74">
        <v>0</v>
      </c>
      <c r="T166" s="74">
        <f t="shared" si="108"/>
        <v>0</v>
      </c>
      <c r="U166" s="74">
        <f t="shared" si="109"/>
        <v>0</v>
      </c>
    </row>
    <row r="167" spans="1:21" ht="19.5" x14ac:dyDescent="0.3">
      <c r="A167" s="276"/>
      <c r="B167" s="277"/>
      <c r="C167" s="259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IFERROR(__xludf.DUMMYFUNCTION("IMPORTRANGE(""https://docs.google.com/spreadsheets/d/1eHaY18a8A9IcSdp1K8H6x8fbOy06t2VsZHhMHf-1x7Y/edit?usp=sharing"",""แผน!Z65"")"),10)</f>
        <v>10</v>
      </c>
      <c r="J168" s="294">
        <v>0</v>
      </c>
      <c r="K168" s="74">
        <f t="shared" ref="K168:K170" ca="1" si="116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I168</f>
        <v>10</v>
      </c>
      <c r="J169" s="910">
        <v>0</v>
      </c>
      <c r="K169" s="77">
        <f t="shared" ca="1" si="116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I168</f>
        <v>10</v>
      </c>
      <c r="J170" s="999">
        <v>0</v>
      </c>
      <c r="K170" s="1000">
        <f t="shared" ca="1" si="116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6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302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303" t="s">
        <v>35</v>
      </c>
      <c r="I173" s="1126">
        <f t="shared" ref="I173:J173" ca="1" si="117">I184+I185</f>
        <v>7</v>
      </c>
      <c r="J173" s="1126">
        <f t="shared" si="117"/>
        <v>7</v>
      </c>
      <c r="K173" s="1127">
        <f ca="1">IF(I173&gt;0,J173*100/I173,0)</f>
        <v>100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1257">
        <f t="shared" ref="L174:N174" ca="1" si="118">L175+L176</f>
        <v>19590</v>
      </c>
      <c r="M174" s="264">
        <f t="shared" ca="1" si="118"/>
        <v>29730</v>
      </c>
      <c r="N174" s="264">
        <f t="shared" ca="1" si="118"/>
        <v>16968</v>
      </c>
      <c r="O174" s="264">
        <f t="shared" ref="O174:O182" ca="1" si="119">IF(L174&gt;0,N174*100/L174,0)</f>
        <v>86.615620214395094</v>
      </c>
      <c r="P174" s="264">
        <f t="shared" ref="P174:P182" ca="1" si="120">IF(M174&gt;0,N174*100/M174,0)</f>
        <v>57.073662966700304</v>
      </c>
      <c r="Q174" s="264">
        <f t="shared" ref="Q174:S174" ca="1" si="121">Q175+Q176</f>
        <v>0</v>
      </c>
      <c r="R174" s="264">
        <f t="shared" ca="1" si="121"/>
        <v>0</v>
      </c>
      <c r="S174" s="264">
        <f t="shared" ca="1" si="121"/>
        <v>0</v>
      </c>
      <c r="T174" s="264">
        <f t="shared" ref="T174:T182" ca="1" si="122">IF(Q174&gt;0,S174*100/Q174,0)</f>
        <v>0</v>
      </c>
      <c r="U174" s="264">
        <f t="shared" ref="U174:U182" ca="1" si="123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6">
        <f t="shared" ref="L175:N176" si="124">L178+L181</f>
        <v>0</v>
      </c>
      <c r="M175" s="77">
        <f t="shared" si="124"/>
        <v>0</v>
      </c>
      <c r="N175" s="77">
        <f t="shared" si="124"/>
        <v>0</v>
      </c>
      <c r="O175" s="77">
        <f t="shared" si="119"/>
        <v>0</v>
      </c>
      <c r="P175" s="77">
        <f t="shared" si="120"/>
        <v>0</v>
      </c>
      <c r="Q175" s="77">
        <f t="shared" ref="Q175:S176" si="125">Q178+Q181</f>
        <v>0</v>
      </c>
      <c r="R175" s="77">
        <f t="shared" si="125"/>
        <v>0</v>
      </c>
      <c r="S175" s="77">
        <f t="shared" si="125"/>
        <v>0</v>
      </c>
      <c r="T175" s="77">
        <f t="shared" si="122"/>
        <v>0</v>
      </c>
      <c r="U175" s="77">
        <f t="shared" si="123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3">
        <f t="shared" ca="1" si="124"/>
        <v>19590</v>
      </c>
      <c r="M176" s="74">
        <f t="shared" ca="1" si="124"/>
        <v>29730</v>
      </c>
      <c r="N176" s="74">
        <f t="shared" ca="1" si="124"/>
        <v>16968</v>
      </c>
      <c r="O176" s="74">
        <f t="shared" ca="1" si="119"/>
        <v>86.615620214395094</v>
      </c>
      <c r="P176" s="74">
        <f t="shared" ca="1" si="120"/>
        <v>57.073662966700304</v>
      </c>
      <c r="Q176" s="74">
        <f t="shared" ca="1" si="125"/>
        <v>0</v>
      </c>
      <c r="R176" s="74">
        <f t="shared" ca="1" si="125"/>
        <v>0</v>
      </c>
      <c r="S176" s="74">
        <f t="shared" ca="1" si="125"/>
        <v>0</v>
      </c>
      <c r="T176" s="74">
        <f t="shared" ca="1" si="122"/>
        <v>0</v>
      </c>
      <c r="U176" s="74">
        <f t="shared" ca="1" si="123"/>
        <v>0</v>
      </c>
    </row>
    <row r="177" spans="1:21" ht="18.75" x14ac:dyDescent="0.25">
      <c r="A177" s="257"/>
      <c r="B177" s="258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3">
        <f t="shared" ref="L177:N177" ca="1" si="126">L178+L179</f>
        <v>19590</v>
      </c>
      <c r="M177" s="74">
        <f t="shared" ca="1" si="126"/>
        <v>29730</v>
      </c>
      <c r="N177" s="74">
        <f t="shared" ca="1" si="126"/>
        <v>16968</v>
      </c>
      <c r="O177" s="74">
        <f t="shared" ca="1" si="119"/>
        <v>86.615620214395094</v>
      </c>
      <c r="P177" s="74">
        <f t="shared" ca="1" si="120"/>
        <v>57.073662966700304</v>
      </c>
      <c r="Q177" s="74">
        <f t="shared" ref="Q177:S177" ca="1" si="127">Q178+Q179</f>
        <v>0</v>
      </c>
      <c r="R177" s="74">
        <f t="shared" ca="1" si="127"/>
        <v>0</v>
      </c>
      <c r="S177" s="74">
        <f t="shared" ca="1" si="127"/>
        <v>0</v>
      </c>
      <c r="T177" s="74">
        <f t="shared" ca="1" si="122"/>
        <v>0</v>
      </c>
      <c r="U177" s="74">
        <f t="shared" ca="1" si="123"/>
        <v>0</v>
      </c>
    </row>
    <row r="178" spans="1:21" ht="18.75" hidden="1" x14ac:dyDescent="0.25">
      <c r="A178" s="257"/>
      <c r="B178" s="258"/>
      <c r="C178" s="258"/>
      <c r="D178" s="258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77">
        <f t="shared" si="119"/>
        <v>0</v>
      </c>
      <c r="P178" s="77">
        <f t="shared" si="120"/>
        <v>0</v>
      </c>
      <c r="Q178" s="77">
        <v>0</v>
      </c>
      <c r="R178" s="77">
        <v>0</v>
      </c>
      <c r="S178" s="77">
        <v>0</v>
      </c>
      <c r="T178" s="77">
        <f t="shared" si="122"/>
        <v>0</v>
      </c>
      <c r="U178" s="77">
        <f t="shared" si="123"/>
        <v>0</v>
      </c>
    </row>
    <row r="179" spans="1:21" ht="18.75" hidden="1" x14ac:dyDescent="0.25">
      <c r="A179" s="257"/>
      <c r="B179" s="258"/>
      <c r="C179" s="258"/>
      <c r="D179" s="258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3">
        <f ca="1">IFERROR(__xludf.DUMMYFUNCTION("IMPORTRANGE(""https://docs.google.com/spreadsheets/d/1-uDff_7J0KD5mKrp0Vvzr7lt3OU09vwQwhkpOPPYv2Y/edit?usp=sharing"",""งบพรบ!CK65"")"),19590)</f>
        <v>19590</v>
      </c>
      <c r="M179" s="74">
        <f ca="1">IFERROR(__xludf.DUMMYFUNCTION("IMPORTRANGE(""https://docs.google.com/spreadsheets/d/1-uDff_7J0KD5mKrp0Vvzr7lt3OU09vwQwhkpOPPYv2Y/edit?usp=sharing"",""งบพรบ!CP65"")"),29730)</f>
        <v>29730</v>
      </c>
      <c r="N179" s="74">
        <f ca="1">IFERROR(__xludf.DUMMYFUNCTION("IMPORTRANGE(""https://docs.google.com/spreadsheets/d/1-uDff_7J0KD5mKrp0Vvzr7lt3OU09vwQwhkpOPPYv2Y/edit?usp=sharing"",""งบพรบ!CR65"")"),16968)</f>
        <v>16968</v>
      </c>
      <c r="O179" s="74">
        <f t="shared" ca="1" si="119"/>
        <v>86.615620214395094</v>
      </c>
      <c r="P179" s="74">
        <f t="shared" ca="1" si="120"/>
        <v>57.073662966700304</v>
      </c>
      <c r="Q179" s="74">
        <f ca="1">IFERROR(__xludf.DUMMYFUNCTION("IMPORTRANGE(""https://docs.google.com/spreadsheets/d/1ItG2mGa2ceCfYo0BwxsXqNm01IGEUdYcSSLTEv9YCik/edit?usp=sharing"",""เบิกจ่ายกองทุน!BE65"")"),0)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IFERROR(__xludf.DUMMYFUNCTION("IMPORTRANGE(""https://docs.google.com/spreadsheets/d/1ItG2mGa2ceCfYo0BwxsXqNm01IGEUdYcSSLTEv9YCik/edit?usp=sharing"",""เบิกจ่ายกองทุน!BF65"")"),0)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IFERROR(__xludf.DUMMYFUNCTION("IMPORTRANGE(""https://docs.google.com/spreadsheets/d/1ItG2mGa2ceCfYo0BwxsXqNm01IGEUdYcSSLTEv9YCik/edit?usp=sharing"",""เบิกจ่ายกองทุน!BG65"")"),0)</f>
        <v>0</v>
      </c>
      <c r="T179" s="74">
        <f t="shared" ca="1" si="122"/>
        <v>0</v>
      </c>
      <c r="U179" s="74">
        <f t="shared" ca="1" si="123"/>
        <v>0</v>
      </c>
    </row>
    <row r="180" spans="1:21" ht="18.75" x14ac:dyDescent="0.25">
      <c r="A180" s="257"/>
      <c r="B180" s="258"/>
      <c r="C180" s="258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3">
        <f t="shared" ref="L180:N180" ca="1" si="128">L181+L182</f>
        <v>0</v>
      </c>
      <c r="M180" s="74">
        <f t="shared" ca="1" si="128"/>
        <v>0</v>
      </c>
      <c r="N180" s="74">
        <f t="shared" ca="1" si="128"/>
        <v>0</v>
      </c>
      <c r="O180" s="74">
        <f t="shared" ca="1" si="119"/>
        <v>0</v>
      </c>
      <c r="P180" s="74">
        <f t="shared" ca="1" si="120"/>
        <v>0</v>
      </c>
      <c r="Q180" s="74">
        <f t="shared" ref="Q180:S180" si="129">Q181+Q182</f>
        <v>0</v>
      </c>
      <c r="R180" s="74">
        <f t="shared" si="129"/>
        <v>0</v>
      </c>
      <c r="S180" s="74">
        <f t="shared" si="129"/>
        <v>0</v>
      </c>
      <c r="T180" s="74">
        <f t="shared" si="122"/>
        <v>0</v>
      </c>
      <c r="U180" s="74">
        <f t="shared" si="123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77">
        <f t="shared" si="119"/>
        <v>0</v>
      </c>
      <c r="P181" s="77">
        <f t="shared" si="120"/>
        <v>0</v>
      </c>
      <c r="Q181" s="77">
        <v>0</v>
      </c>
      <c r="R181" s="77">
        <v>0</v>
      </c>
      <c r="S181" s="77">
        <v>0</v>
      </c>
      <c r="T181" s="77">
        <f t="shared" si="122"/>
        <v>0</v>
      </c>
      <c r="U181" s="77">
        <f t="shared" si="123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3">
        <f ca="1">IFERROR(__xludf.DUMMYFUNCTION("IMPORTRANGE(""https://docs.google.com/spreadsheets/d/1-uDff_7J0KD5mKrp0Vvzr7lt3OU09vwQwhkpOPPYv2Y/edit?usp=sharing"",""งบพรบ!CN65"")"),0)</f>
        <v>0</v>
      </c>
      <c r="M182" s="74">
        <f ca="1">IFERROR(__xludf.DUMMYFUNCTION("IMPORTRANGE(""https://docs.google.com/spreadsheets/d/1-uDff_7J0KD5mKrp0Vvzr7lt3OU09vwQwhkpOPPYv2Y/edit?usp=sharing"",""งบพรบ!CQ65"")"),0)</f>
        <v>0</v>
      </c>
      <c r="N182" s="74">
        <f ca="1">IFERROR(__xludf.DUMMYFUNCTION("IMPORTRANGE(""https://docs.google.com/spreadsheets/d/1-uDff_7J0KD5mKrp0Vvzr7lt3OU09vwQwhkpOPPYv2Y/edit?usp=sharing"",""งบพรบ!CS65"")"),0)</f>
        <v>0</v>
      </c>
      <c r="O182" s="74">
        <f t="shared" ca="1" si="119"/>
        <v>0</v>
      </c>
      <c r="P182" s="74">
        <f t="shared" ca="1" si="120"/>
        <v>0</v>
      </c>
      <c r="Q182" s="74">
        <v>0</v>
      </c>
      <c r="R182" s="74">
        <v>0</v>
      </c>
      <c r="S182" s="74">
        <v>0</v>
      </c>
      <c r="T182" s="74">
        <f t="shared" si="122"/>
        <v>0</v>
      </c>
      <c r="U182" s="74">
        <f t="shared" si="123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551" t="s">
        <v>35</v>
      </c>
      <c r="I184" s="293">
        <f ca="1">IFERROR(__xludf.DUMMYFUNCTION("IMPORTRANGE(""https://docs.google.com/spreadsheets/d/1eHaY18a8A9IcSdp1K8H6x8fbOy06t2VsZHhMHf-1x7Y/edit?usp=sharing"",""แผน!AA65"")"),7)</f>
        <v>7</v>
      </c>
      <c r="J184" s="294">
        <v>7</v>
      </c>
      <c r="K184" s="74">
        <f t="shared" ref="K184:K186" ca="1" si="130">IF(I184&gt;0,J184*100/I184,0)</f>
        <v>100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921" t="s">
        <v>35</v>
      </c>
      <c r="I185" s="592">
        <v>0</v>
      </c>
      <c r="J185" s="592">
        <v>0</v>
      </c>
      <c r="K185" s="77">
        <f t="shared" si="130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303" t="s">
        <v>35</v>
      </c>
      <c r="I186" s="1126">
        <f t="shared" ref="I186:J186" ca="1" si="131">I231+I232</f>
        <v>0</v>
      </c>
      <c r="J186" s="1126">
        <f t="shared" si="131"/>
        <v>0</v>
      </c>
      <c r="K186" s="1127">
        <f t="shared" ca="1" si="130"/>
        <v>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1257">
        <f t="shared" ref="L187:N187" ca="1" si="132">L188+L189</f>
        <v>38500</v>
      </c>
      <c r="M187" s="264">
        <f t="shared" ca="1" si="132"/>
        <v>22500</v>
      </c>
      <c r="N187" s="264">
        <f t="shared" ca="1" si="132"/>
        <v>0</v>
      </c>
      <c r="O187" s="264">
        <f t="shared" ref="O187:O195" ca="1" si="133">IF(L187&gt;0,N187*100/L187,0)</f>
        <v>0</v>
      </c>
      <c r="P187" s="264">
        <f t="shared" ref="P187:P195" ca="1" si="134">IF(M187&gt;0,N187*100/M187,0)</f>
        <v>0</v>
      </c>
      <c r="Q187" s="264">
        <f t="shared" ref="Q187:S187" ca="1" si="135">Q188+Q189</f>
        <v>28000</v>
      </c>
      <c r="R187" s="264">
        <f t="shared" ca="1" si="135"/>
        <v>28000</v>
      </c>
      <c r="S187" s="264">
        <f t="shared" ca="1" si="135"/>
        <v>0</v>
      </c>
      <c r="T187" s="264">
        <f t="shared" ref="T187:T195" ca="1" si="136">IF(Q187&gt;0,S187*100/Q187,0)</f>
        <v>0</v>
      </c>
      <c r="U187" s="264">
        <f t="shared" ref="U187:U195" ca="1" si="137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6">
        <f t="shared" ref="L188:N189" si="138">L191+L194</f>
        <v>0</v>
      </c>
      <c r="M188" s="77">
        <f t="shared" si="138"/>
        <v>0</v>
      </c>
      <c r="N188" s="77">
        <f t="shared" si="138"/>
        <v>0</v>
      </c>
      <c r="O188" s="77">
        <f t="shared" si="133"/>
        <v>0</v>
      </c>
      <c r="P188" s="77">
        <f t="shared" si="134"/>
        <v>0</v>
      </c>
      <c r="Q188" s="77">
        <f t="shared" ref="Q188:S189" si="139">Q191+Q194</f>
        <v>0</v>
      </c>
      <c r="R188" s="77">
        <f t="shared" si="139"/>
        <v>0</v>
      </c>
      <c r="S188" s="77">
        <f t="shared" si="139"/>
        <v>0</v>
      </c>
      <c r="T188" s="77">
        <f t="shared" si="136"/>
        <v>0</v>
      </c>
      <c r="U188" s="77">
        <f t="shared" si="137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3">
        <f t="shared" ca="1" si="138"/>
        <v>38500</v>
      </c>
      <c r="M189" s="74">
        <f t="shared" ca="1" si="138"/>
        <v>22500</v>
      </c>
      <c r="N189" s="74">
        <f t="shared" ca="1" si="138"/>
        <v>0</v>
      </c>
      <c r="O189" s="74">
        <f t="shared" ca="1" si="133"/>
        <v>0</v>
      </c>
      <c r="P189" s="74">
        <f t="shared" ca="1" si="134"/>
        <v>0</v>
      </c>
      <c r="Q189" s="74">
        <f t="shared" ca="1" si="139"/>
        <v>28000</v>
      </c>
      <c r="R189" s="74">
        <f t="shared" ca="1" si="139"/>
        <v>28000</v>
      </c>
      <c r="S189" s="74">
        <f t="shared" ca="1" si="139"/>
        <v>0</v>
      </c>
      <c r="T189" s="74">
        <f t="shared" ca="1" si="136"/>
        <v>0</v>
      </c>
      <c r="U189" s="74">
        <f t="shared" ca="1" si="137"/>
        <v>0</v>
      </c>
    </row>
    <row r="190" spans="1:21" ht="18.75" x14ac:dyDescent="0.25">
      <c r="A190" s="257"/>
      <c r="B190" s="258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3">
        <f t="shared" ref="L190:N190" ca="1" si="140">L191+L192</f>
        <v>38500</v>
      </c>
      <c r="M190" s="74">
        <f t="shared" ca="1" si="140"/>
        <v>22500</v>
      </c>
      <c r="N190" s="74">
        <f t="shared" ca="1" si="140"/>
        <v>0</v>
      </c>
      <c r="O190" s="74">
        <f t="shared" ca="1" si="133"/>
        <v>0</v>
      </c>
      <c r="P190" s="74">
        <f t="shared" ca="1" si="134"/>
        <v>0</v>
      </c>
      <c r="Q190" s="74">
        <f t="shared" ref="Q190:S190" ca="1" si="141">Q191+Q192</f>
        <v>28000</v>
      </c>
      <c r="R190" s="74">
        <f t="shared" ca="1" si="141"/>
        <v>28000</v>
      </c>
      <c r="S190" s="74">
        <f t="shared" ca="1" si="141"/>
        <v>0</v>
      </c>
      <c r="T190" s="74">
        <f t="shared" ca="1" si="136"/>
        <v>0</v>
      </c>
      <c r="U190" s="74">
        <f t="shared" ca="1" si="137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77">
        <f t="shared" si="133"/>
        <v>0</v>
      </c>
      <c r="P191" s="77">
        <f t="shared" si="134"/>
        <v>0</v>
      </c>
      <c r="Q191" s="77">
        <v>0</v>
      </c>
      <c r="R191" s="77">
        <v>0</v>
      </c>
      <c r="S191" s="77">
        <v>0</v>
      </c>
      <c r="T191" s="77">
        <f t="shared" si="136"/>
        <v>0</v>
      </c>
      <c r="U191" s="77">
        <f t="shared" si="137"/>
        <v>0</v>
      </c>
    </row>
    <row r="192" spans="1:21" ht="18.75" hidden="1" x14ac:dyDescent="0.25">
      <c r="A192" s="257"/>
      <c r="B192" s="258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3">
        <f ca="1">IFERROR(__xludf.DUMMYFUNCTION("IMPORTRANGE(""https://docs.google.com/spreadsheets/d/1-uDff_7J0KD5mKrp0Vvzr7lt3OU09vwQwhkpOPPYv2Y/edit?usp=sharing"",""งบพรบ!CU65"")"),38500)</f>
        <v>38500</v>
      </c>
      <c r="M192" s="74">
        <f ca="1">IFERROR(__xludf.DUMMYFUNCTION("IMPORTRANGE(""https://docs.google.com/spreadsheets/d/1-uDff_7J0KD5mKrp0Vvzr7lt3OU09vwQwhkpOPPYv2Y/edit?usp=sharing"",""งบพรบ!CZ65"")"),22500)</f>
        <v>22500</v>
      </c>
      <c r="N192" s="74">
        <f ca="1">IFERROR(__xludf.DUMMYFUNCTION("IMPORTRANGE(""https://docs.google.com/spreadsheets/d/1-uDff_7J0KD5mKrp0Vvzr7lt3OU09vwQwhkpOPPYv2Y/edit?usp=sharing"",""งบพรบ!DB65"")"),0)</f>
        <v>0</v>
      </c>
      <c r="O192" s="74">
        <f t="shared" ca="1" si="133"/>
        <v>0</v>
      </c>
      <c r="P192" s="74">
        <f t="shared" ca="1" si="134"/>
        <v>0</v>
      </c>
      <c r="Q192" s="74">
        <f ca="1">IFERROR(__xludf.DUMMYFUNCTION("IMPORTRANGE(""https://docs.google.com/spreadsheets/d/1ItG2mGa2ceCfYo0BwxsXqNm01IGEUdYcSSLTEv9YCik/edit?usp=sharing"",""เบิกจ่ายกองทุน!AV65"")"),28000)</f>
        <v>28000</v>
      </c>
      <c r="R192" s="74">
        <f ca="1">IFERROR(__xludf.DUMMYFUNCTION("IMPORTRANGE(""https://docs.google.com/spreadsheets/d/1ItG2mGa2ceCfYo0BwxsXqNm01IGEUdYcSSLTEv9YCik/edit?usp=sharing"",""เบิกจ่ายกองทุน!AW65"")"),28000)</f>
        <v>28000</v>
      </c>
      <c r="S192" s="74">
        <f ca="1">IFERROR(__xludf.DUMMYFUNCTION("IMPORTRANGE(""https://docs.google.com/spreadsheets/d/1ItG2mGa2ceCfYo0BwxsXqNm01IGEUdYcSSLTEv9YCik/edit?usp=sharing"",""เบิกจ่ายกองทุน!AX65"")"),0)</f>
        <v>0</v>
      </c>
      <c r="T192" s="74">
        <f t="shared" ca="1" si="136"/>
        <v>0</v>
      </c>
      <c r="U192" s="74">
        <f t="shared" ca="1" si="137"/>
        <v>0</v>
      </c>
    </row>
    <row r="193" spans="1:21" ht="18.75" x14ac:dyDescent="0.25">
      <c r="A193" s="257"/>
      <c r="B193" s="258"/>
      <c r="C193" s="258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3">
        <f t="shared" ref="L193:N193" ca="1" si="142">L194+L195</f>
        <v>0</v>
      </c>
      <c r="M193" s="74">
        <f t="shared" ca="1" si="142"/>
        <v>0</v>
      </c>
      <c r="N193" s="74">
        <f t="shared" ca="1" si="142"/>
        <v>0</v>
      </c>
      <c r="O193" s="74">
        <f t="shared" ca="1" si="133"/>
        <v>0</v>
      </c>
      <c r="P193" s="74">
        <f t="shared" ca="1" si="134"/>
        <v>0</v>
      </c>
      <c r="Q193" s="74">
        <f t="shared" ref="Q193:S193" si="143">Q194+Q195</f>
        <v>0</v>
      </c>
      <c r="R193" s="74">
        <f t="shared" si="143"/>
        <v>0</v>
      </c>
      <c r="S193" s="74">
        <f t="shared" si="143"/>
        <v>0</v>
      </c>
      <c r="T193" s="74">
        <f t="shared" si="136"/>
        <v>0</v>
      </c>
      <c r="U193" s="74">
        <f t="shared" si="137"/>
        <v>0</v>
      </c>
    </row>
    <row r="194" spans="1:21" ht="18.75" hidden="1" x14ac:dyDescent="0.25">
      <c r="A194" s="257"/>
      <c r="B194" s="258"/>
      <c r="C194" s="258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77">
        <f t="shared" si="133"/>
        <v>0</v>
      </c>
      <c r="P194" s="77">
        <f t="shared" si="134"/>
        <v>0</v>
      </c>
      <c r="Q194" s="77">
        <v>0</v>
      </c>
      <c r="R194" s="77">
        <v>0</v>
      </c>
      <c r="S194" s="77">
        <v>0</v>
      </c>
      <c r="T194" s="77">
        <f t="shared" si="136"/>
        <v>0</v>
      </c>
      <c r="U194" s="77">
        <f t="shared" si="137"/>
        <v>0</v>
      </c>
    </row>
    <row r="195" spans="1:21" ht="18.75" hidden="1" x14ac:dyDescent="0.25">
      <c r="A195" s="257"/>
      <c r="B195" s="258"/>
      <c r="C195" s="258"/>
      <c r="D195" s="258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3">
        <f ca="1">IFERROR(__xludf.DUMMYFUNCTION("IMPORTRANGE(""https://docs.google.com/spreadsheets/d/1-uDff_7J0KD5mKrp0Vvzr7lt3OU09vwQwhkpOPPYv2Y/edit?usp=sharing"",""งบพรบ!CX65"")"),0)</f>
        <v>0</v>
      </c>
      <c r="M195" s="74">
        <f ca="1">IFERROR(__xludf.DUMMYFUNCTION("IMPORTRANGE(""https://docs.google.com/spreadsheets/d/1-uDff_7J0KD5mKrp0Vvzr7lt3OU09vwQwhkpOPPYv2Y/edit?usp=sharing"",""งบพรบ!DA65"")"),0)</f>
        <v>0</v>
      </c>
      <c r="N195" s="74">
        <f ca="1">IFERROR(__xludf.DUMMYFUNCTION("IMPORTRANGE(""https://docs.google.com/spreadsheets/d/1-uDff_7J0KD5mKrp0Vvzr7lt3OU09vwQwhkpOPPYv2Y/edit?usp=sharing"",""งบพรบ!DC65"")"),0)</f>
        <v>0</v>
      </c>
      <c r="O195" s="74">
        <f t="shared" ca="1" si="133"/>
        <v>0</v>
      </c>
      <c r="P195" s="74">
        <f t="shared" ca="1" si="134"/>
        <v>0</v>
      </c>
      <c r="Q195" s="74">
        <v>0</v>
      </c>
      <c r="R195" s="74">
        <v>0</v>
      </c>
      <c r="S195" s="74">
        <v>0</v>
      </c>
      <c r="T195" s="74">
        <f t="shared" si="136"/>
        <v>0</v>
      </c>
      <c r="U195" s="74">
        <f t="shared" si="137"/>
        <v>0</v>
      </c>
    </row>
    <row r="196" spans="1:21" ht="19.5" x14ac:dyDescent="0.3">
      <c r="A196" s="553"/>
      <c r="B196" s="555"/>
      <c r="C196" s="1130" t="s">
        <v>78</v>
      </c>
      <c r="D196" s="554"/>
      <c r="E196" s="554"/>
      <c r="F196" s="554"/>
      <c r="G196" s="557"/>
      <c r="H196" s="558" t="s">
        <v>79</v>
      </c>
      <c r="I196" s="559">
        <f t="shared" ref="I196:J196" ca="1" si="144">I199</f>
        <v>4</v>
      </c>
      <c r="J196" s="559">
        <f t="shared" si="144"/>
        <v>1</v>
      </c>
      <c r="K196" s="560">
        <f ca="1">IF(I196&gt;0,J196*100/I196,0)</f>
        <v>25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58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1257">
        <f ca="1">IFERROR(__xludf.DUMMYFUNCTION("IMPORTRANGE(""https://docs.google.com/spreadsheets/d/1eHaY18a8A9IcSdp1K8H6x8fbOy06t2VsZHhMHf-1x7Y/edit?usp=sharing"",""แผน!AB65"")"),6000)</f>
        <v>6000</v>
      </c>
      <c r="M197" s="87"/>
      <c r="N197" s="923">
        <v>0</v>
      </c>
      <c r="O197" s="264">
        <f ca="1">IF(L197&gt;0,N197*100/L197,0)</f>
        <v>0</v>
      </c>
      <c r="P197" s="264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282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99" t="s">
        <v>79</v>
      </c>
      <c r="I199" s="293">
        <f ca="1">IFERROR(__xludf.DUMMYFUNCTION("IMPORTRANGE(""https://docs.google.com/spreadsheets/d/1eHaY18a8A9IcSdp1K8H6x8fbOy06t2VsZHhMHf-1x7Y/edit?usp=sharing"",""แผน!AE65"")"),4)</f>
        <v>4</v>
      </c>
      <c r="J199" s="294">
        <v>1</v>
      </c>
      <c r="K199" s="74">
        <f ca="1">IF(I199&gt;0,J199*100/I199,0)</f>
        <v>25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37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37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5">I210</f>
        <v>2</v>
      </c>
      <c r="J203" s="559">
        <f t="shared" si="145"/>
        <v>0</v>
      </c>
      <c r="K203" s="560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58"/>
      <c r="C204" s="259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1257">
        <f ca="1">L205+L206+L207+L208</f>
        <v>26000</v>
      </c>
      <c r="M204" s="87"/>
      <c r="N204" s="264">
        <f>N205+N206+N207+N208</f>
        <v>0</v>
      </c>
      <c r="O204" s="264">
        <f ca="1">IF(L204&gt;0,N204*100/L204,0)</f>
        <v>0</v>
      </c>
      <c r="P204" s="264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58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73">
        <f ca="1">IFERROR(__xludf.DUMMYFUNCTION("IMPORTRANGE(""https://docs.google.com/spreadsheets/d/1eHaY18a8A9IcSdp1K8H6x8fbOy06t2VsZHhMHf-1x7Y/edit?usp=sharing"",""แผน!AG65"")"),2000)</f>
        <v>2000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58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73">
        <f ca="1">IFERROR(__xludf.DUMMYFUNCTION("IMPORTRANGE(""https://docs.google.com/spreadsheets/d/1eHaY18a8A9IcSdp1K8H6x8fbOy06t2VsZHhMHf-1x7Y/edit?usp=sharing"",""แผน!AH65"")"),0)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58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73">
        <f ca="1">IFERROR(__xludf.DUMMYFUNCTION("IMPORTRANGE(""https://docs.google.com/spreadsheets/d/1eHaY18a8A9IcSdp1K8H6x8fbOy06t2VsZHhMHf-1x7Y/edit?usp=sharing"",""แผน!AI65"")"),16000)</f>
        <v>16000</v>
      </c>
      <c r="M207" s="87"/>
      <c r="N207" s="924">
        <v>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58"/>
      <c r="D208" s="267" t="s">
        <v>89</v>
      </c>
      <c r="E208" s="258"/>
      <c r="F208" s="258"/>
      <c r="G208" s="261"/>
      <c r="H208" s="292" t="s">
        <v>14</v>
      </c>
      <c r="I208" s="263"/>
      <c r="J208" s="263"/>
      <c r="K208" s="87"/>
      <c r="L208" s="73">
        <f ca="1">IFERROR(__xludf.DUMMYFUNCTION("IMPORTRANGE(""https://docs.google.com/spreadsheets/d/1eHaY18a8A9IcSdp1K8H6x8fbOy06t2VsZHhMHf-1x7Y/edit?usp=sharing"",""แผน!AJ65"")"),8000)</f>
        <v>8000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282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3" t="s">
        <v>85</v>
      </c>
      <c r="I210" s="293">
        <f ca="1">IFERROR(__xludf.DUMMYFUNCTION("IMPORTRANGE(""https://docs.google.com/spreadsheets/d/1eHaY18a8A9IcSdp1K8H6x8fbOy06t2VsZHhMHf-1x7Y/edit?usp=sharing"",""แผน!AK65"")"),2)</f>
        <v>2</v>
      </c>
      <c r="J210" s="294">
        <v>0</v>
      </c>
      <c r="K210" s="768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282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3" t="s">
        <v>85</v>
      </c>
      <c r="I212" s="293">
        <f ca="1">IFERROR(__xludf.DUMMYFUNCTION("IMPORTRANGE(""https://docs.google.com/spreadsheets/d/1eHaY18a8A9IcSdp1K8H6x8fbOy06t2VsZHhMHf-1x7Y/edit?usp=sharing"",""แผน!JX65"")"),2)</f>
        <v>2</v>
      </c>
      <c r="J212" s="294">
        <v>0</v>
      </c>
      <c r="K212" s="768">
        <f t="shared" ref="K212:K214" ca="1" si="146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IFERROR(__xludf.DUMMYFUNCTION("IMPORTRANGE(""https://docs.google.com/spreadsheets/d/1eHaY18a8A9IcSdp1K8H6x8fbOy06t2VsZHhMHf-1x7Y/edit?usp=sharing"",""แผน!JY65"")"),0)</f>
        <v>0</v>
      </c>
      <c r="J213" s="294">
        <v>0</v>
      </c>
      <c r="K213" s="768">
        <f t="shared" ca="1" si="146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x14ac:dyDescent="0.3">
      <c r="A214" s="553"/>
      <c r="B214" s="555"/>
      <c r="C214" s="1130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7">I221</f>
        <v>0</v>
      </c>
      <c r="J214" s="559">
        <f t="shared" si="147"/>
        <v>0</v>
      </c>
      <c r="K214" s="560">
        <f t="shared" ca="1" si="146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x14ac:dyDescent="0.3">
      <c r="A215" s="257"/>
      <c r="B215" s="258"/>
      <c r="C215" s="259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1257">
        <f ca="1">L216+L217+L218</f>
        <v>0</v>
      </c>
      <c r="M215" s="87"/>
      <c r="N215" s="264">
        <f>N216+N217+N218</f>
        <v>0</v>
      </c>
      <c r="O215" s="264">
        <f ca="1">IF(L215&gt;0,N215*100/L215,0)</f>
        <v>0</v>
      </c>
      <c r="P215" s="264">
        <f>IF(M215&gt;0,N215*100/M215,0)</f>
        <v>0</v>
      </c>
      <c r="Q215" s="87"/>
      <c r="R215" s="87"/>
      <c r="S215" s="87"/>
      <c r="T215" s="87"/>
      <c r="U215" s="87"/>
    </row>
    <row r="216" spans="1:21" ht="18.75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3">
        <f ca="1">IFERROR(__xludf.DUMMYFUNCTION("IMPORTRANGE(""https://docs.google.com/spreadsheets/d/1eHaY18a8A9IcSdp1K8H6x8fbOy06t2VsZHhMHf-1x7Y/edit?usp=sharing"",""แผน!AM65"")"),0)</f>
        <v>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3">
        <f ca="1">IFERROR(__xludf.DUMMYFUNCTION("IMPORTRANGE(""https://docs.google.com/spreadsheets/d/1eHaY18a8A9IcSdp1K8H6x8fbOy06t2VsZHhMHf-1x7Y/edit?usp=sharing"",""แผน!AN65"")"),0)</f>
        <v>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3">
        <f ca="1">IFERROR(__xludf.DUMMYFUNCTION("IMPORTRANGE(""https://docs.google.com/spreadsheets/d/1eHaY18a8A9IcSdp1K8H6x8fbOy06t2VsZHhMHf-1x7Y/edit?usp=sharing"",""แผน!AO65"")"),0)</f>
        <v>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282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3" t="s">
        <v>85</v>
      </c>
      <c r="I220" s="293">
        <f ca="1">IFERROR(__xludf.DUMMYFUNCTION("IMPORTRANGE(""https://docs.google.com/spreadsheets/d/1eHaY18a8A9IcSdp1K8H6x8fbOy06t2VsZHhMHf-1x7Y/edit?usp=sharing"",""แผน!AP65"")"),0)</f>
        <v>0</v>
      </c>
      <c r="J220" s="294">
        <v>0</v>
      </c>
      <c r="K220" s="74">
        <f t="shared" ref="K220:K222" ca="1" si="148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IFERROR(__xludf.DUMMYFUNCTION("IMPORTRANGE(""https://docs.google.com/spreadsheets/d/1eHaY18a8A9IcSdp1K8H6x8fbOy06t2VsZHhMHf-1x7Y/edit?usp=sharing"",""แผน!AP65"")"),0)</f>
        <v>0</v>
      </c>
      <c r="J221" s="294">
        <v>0</v>
      </c>
      <c r="K221" s="74">
        <f t="shared" ca="1" si="148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30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9">I230</f>
        <v>30000</v>
      </c>
      <c r="J222" s="559">
        <f t="shared" si="149"/>
        <v>0</v>
      </c>
      <c r="K222" s="560">
        <f t="shared" ca="1" si="148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58"/>
      <c r="C223" s="259" t="s">
        <v>18</v>
      </c>
      <c r="D223" s="112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1257">
        <f ca="1">L224+L225+L226</f>
        <v>6500</v>
      </c>
      <c r="M223" s="87"/>
      <c r="N223" s="264">
        <f>N224+N225+N226</f>
        <v>0</v>
      </c>
      <c r="O223" s="264">
        <f ca="1">IF(L223&gt;0,N223*100/L223,0)</f>
        <v>0</v>
      </c>
      <c r="P223" s="264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58"/>
      <c r="D224" s="398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3">
        <f ca="1">IFERROR(__xludf.DUMMYFUNCTION("IMPORTRANGE(""https://docs.google.com/spreadsheets/d/1eHaY18a8A9IcSdp1K8H6x8fbOy06t2VsZHhMHf-1x7Y/edit?usp=sharing"",""แผน!AR65"")"),5000)</f>
        <v>5000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3">
        <f ca="1">IFERROR(__xludf.DUMMYFUNCTION("IMPORTRANGE(""https://docs.google.com/spreadsheets/d/1eHaY18a8A9IcSdp1K8H6x8fbOy06t2VsZHhMHf-1x7Y/edit?usp=sharing"",""แผน!AS65"")"),1500)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3">
        <f ca="1">IFERROR(__xludf.DUMMYFUNCTION("IMPORTRANGE(""https://docs.google.com/spreadsheets/d/1eHaY18a8A9IcSdp1K8H6x8fbOy06t2VsZHhMHf-1x7Y/edit?usp=sharing"",""แผน!AT65"")"),0)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282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282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99" t="s">
        <v>99</v>
      </c>
      <c r="I229" s="293">
        <f ca="1">IFERROR(__xludf.DUMMYFUNCTION("IMPORTRANGE(""https://docs.google.com/spreadsheets/d/1eHaY18a8A9IcSdp1K8H6x8fbOy06t2VsZHhMHf-1x7Y/edit?usp=sharing"",""แผน!AV65"")"),30000)</f>
        <v>30000</v>
      </c>
      <c r="J229" s="294">
        <v>0</v>
      </c>
      <c r="K229" s="768">
        <f t="shared" ref="K229:K232" ca="1" si="150">IF(I229&gt;0,J229*100/I229,0)</f>
        <v>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99" t="s">
        <v>99</v>
      </c>
      <c r="I230" s="293">
        <f ca="1">IFERROR(__xludf.DUMMYFUNCTION("IMPORTRANGE(""https://docs.google.com/spreadsheets/d/1eHaY18a8A9IcSdp1K8H6x8fbOy06t2VsZHhMHf-1x7Y/edit?usp=sharing"",""แผน!AV65"")"),30000)</f>
        <v>30000</v>
      </c>
      <c r="J230" s="294">
        <v>0</v>
      </c>
      <c r="K230" s="768">
        <f t="shared" ca="1" si="150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99" t="s">
        <v>35</v>
      </c>
      <c r="I231" s="293">
        <f ca="1">IFERROR(__xludf.DUMMYFUNCTION("IMPORTRANGE(""https://docs.google.com/spreadsheets/d/1eHaY18a8A9IcSdp1K8H6x8fbOy06t2VsZHhMHf-1x7Y/edit?usp=sharing"",""แผน!AU65"")"),0)</f>
        <v>0</v>
      </c>
      <c r="J231" s="294">
        <v>0</v>
      </c>
      <c r="K231" s="768">
        <f t="shared" ca="1" si="150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553"/>
      <c r="B232" s="555"/>
      <c r="C232" s="1130" t="s">
        <v>105</v>
      </c>
      <c r="D232" s="554"/>
      <c r="E232" s="554"/>
      <c r="F232" s="554"/>
      <c r="G232" s="557"/>
      <c r="H232" s="558" t="s">
        <v>35</v>
      </c>
      <c r="I232" s="559">
        <f t="shared" ref="I232:J232" ca="1" si="151">I243+I254</f>
        <v>0</v>
      </c>
      <c r="J232" s="559">
        <f t="shared" si="151"/>
        <v>0</v>
      </c>
      <c r="K232" s="560">
        <f t="shared" ca="1" si="150"/>
        <v>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257"/>
      <c r="B233" s="258"/>
      <c r="C233" s="259" t="s">
        <v>18</v>
      </c>
      <c r="D233" s="260" t="s">
        <v>19</v>
      </c>
      <c r="E233" s="258"/>
      <c r="F233" s="258"/>
      <c r="G233" s="261"/>
      <c r="H233" s="633" t="s">
        <v>14</v>
      </c>
      <c r="I233" s="272"/>
      <c r="J233" s="272"/>
      <c r="K233" s="229"/>
      <c r="L233" s="1281">
        <f t="shared" ref="L233:L237" ca="1" si="152">L244+L255</f>
        <v>0</v>
      </c>
      <c r="M233" s="87"/>
      <c r="N233" s="1258">
        <f t="shared" ref="N233:N237" si="153">N244+N255</f>
        <v>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257"/>
      <c r="B234" s="269"/>
      <c r="C234" s="258"/>
      <c r="D234" s="267" t="s">
        <v>86</v>
      </c>
      <c r="E234" s="258"/>
      <c r="F234" s="258"/>
      <c r="G234" s="261"/>
      <c r="H234" s="271" t="s">
        <v>14</v>
      </c>
      <c r="I234" s="272"/>
      <c r="J234" s="272"/>
      <c r="K234" s="229"/>
      <c r="L234" s="76">
        <f t="shared" ca="1" si="152"/>
        <v>0</v>
      </c>
      <c r="M234" s="87"/>
      <c r="N234" s="77">
        <f t="shared" si="153"/>
        <v>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550"/>
      <c r="B235" s="269"/>
      <c r="C235" s="269"/>
      <c r="D235" s="267" t="s">
        <v>88</v>
      </c>
      <c r="E235" s="258"/>
      <c r="F235" s="258"/>
      <c r="G235" s="261"/>
      <c r="H235" s="271" t="s">
        <v>14</v>
      </c>
      <c r="I235" s="263"/>
      <c r="J235" s="263"/>
      <c r="K235" s="87"/>
      <c r="L235" s="76">
        <f t="shared" ca="1" si="152"/>
        <v>0</v>
      </c>
      <c r="M235" s="87"/>
      <c r="N235" s="77">
        <f t="shared" si="153"/>
        <v>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550"/>
      <c r="B236" s="269"/>
      <c r="C236" s="269"/>
      <c r="D236" s="267" t="s">
        <v>106</v>
      </c>
      <c r="E236" s="258"/>
      <c r="F236" s="258"/>
      <c r="G236" s="261"/>
      <c r="H236" s="271" t="s">
        <v>14</v>
      </c>
      <c r="I236" s="263"/>
      <c r="J236" s="263"/>
      <c r="K236" s="87"/>
      <c r="L236" s="76">
        <f t="shared" ca="1" si="152"/>
        <v>0</v>
      </c>
      <c r="M236" s="87"/>
      <c r="N236" s="77">
        <f t="shared" si="153"/>
        <v>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550"/>
      <c r="B237" s="269"/>
      <c r="C237" s="269"/>
      <c r="D237" s="267" t="s">
        <v>107</v>
      </c>
      <c r="E237" s="258"/>
      <c r="F237" s="258"/>
      <c r="G237" s="261"/>
      <c r="H237" s="271" t="s">
        <v>14</v>
      </c>
      <c r="I237" s="263"/>
      <c r="J237" s="263"/>
      <c r="K237" s="87"/>
      <c r="L237" s="76">
        <f t="shared" ca="1" si="152"/>
        <v>0</v>
      </c>
      <c r="M237" s="87"/>
      <c r="N237" s="77">
        <f t="shared" si="153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276"/>
      <c r="B238" s="277"/>
      <c r="C238" s="621" t="s">
        <v>18</v>
      </c>
      <c r="D238" s="1019" t="s">
        <v>38</v>
      </c>
      <c r="E238" s="280"/>
      <c r="F238" s="280"/>
      <c r="G238" s="281"/>
      <c r="H238" s="282"/>
      <c r="I238" s="272"/>
      <c r="J238" s="263"/>
      <c r="K238" s="87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276"/>
      <c r="B239" s="277"/>
      <c r="C239" s="277"/>
      <c r="D239" s="295" t="s">
        <v>108</v>
      </c>
      <c r="E239" s="296"/>
      <c r="F239" s="296"/>
      <c r="G239" s="282"/>
      <c r="H239" s="299" t="s">
        <v>35</v>
      </c>
      <c r="I239" s="293">
        <f t="shared" ref="I239:J239" ca="1" si="154">I250+I261</f>
        <v>0</v>
      </c>
      <c r="J239" s="293">
        <f t="shared" si="154"/>
        <v>0</v>
      </c>
      <c r="K239" s="74">
        <f ca="1">IF(I239&gt;0,J239*100/I239,0)</f>
        <v>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276"/>
      <c r="B240" s="277"/>
      <c r="C240" s="277"/>
      <c r="D240" s="1103" t="s">
        <v>43</v>
      </c>
      <c r="E240" s="296"/>
      <c r="F240" s="296"/>
      <c r="G240" s="282"/>
      <c r="H240" s="282"/>
      <c r="I240" s="263"/>
      <c r="J240" s="263"/>
      <c r="K240" s="87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276"/>
      <c r="B241" s="277"/>
      <c r="C241" s="277"/>
      <c r="D241" s="277"/>
      <c r="E241" s="767" t="s">
        <v>109</v>
      </c>
      <c r="F241" s="296"/>
      <c r="G241" s="282"/>
      <c r="H241" s="299" t="s">
        <v>35</v>
      </c>
      <c r="I241" s="293">
        <f t="shared" ref="I241:J242" si="155">I252+I263</f>
        <v>0</v>
      </c>
      <c r="J241" s="293">
        <f t="shared" si="155"/>
        <v>0</v>
      </c>
      <c r="K241" s="74">
        <f t="shared" ref="K241:K243" si="156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276"/>
      <c r="B242" s="277"/>
      <c r="C242" s="277"/>
      <c r="D242" s="277"/>
      <c r="E242" s="767" t="s">
        <v>110</v>
      </c>
      <c r="F242" s="296"/>
      <c r="G242" s="282"/>
      <c r="H242" s="299" t="s">
        <v>61</v>
      </c>
      <c r="I242" s="293">
        <f t="shared" si="155"/>
        <v>0</v>
      </c>
      <c r="J242" s="293">
        <f t="shared" si="155"/>
        <v>0</v>
      </c>
      <c r="K242" s="74">
        <f t="shared" si="156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hidden="1" x14ac:dyDescent="0.3">
      <c r="A243" s="553"/>
      <c r="B243" s="555"/>
      <c r="C243" s="927" t="s">
        <v>111</v>
      </c>
      <c r="D243" s="554"/>
      <c r="E243" s="554"/>
      <c r="F243" s="554"/>
      <c r="G243" s="557"/>
      <c r="H243" s="930" t="s">
        <v>35</v>
      </c>
      <c r="I243" s="931">
        <f t="shared" ref="I243:J243" ca="1" si="157">I250</f>
        <v>0</v>
      </c>
      <c r="J243" s="931">
        <f t="shared" si="157"/>
        <v>0</v>
      </c>
      <c r="K243" s="932">
        <f t="shared" ca="1" si="156"/>
        <v>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hidden="1" x14ac:dyDescent="0.3">
      <c r="A244" s="257"/>
      <c r="B244" s="258"/>
      <c r="C244" s="933" t="s">
        <v>18</v>
      </c>
      <c r="D244" s="934" t="s">
        <v>19</v>
      </c>
      <c r="E244" s="258"/>
      <c r="F244" s="258"/>
      <c r="G244" s="261"/>
      <c r="H244" s="703" t="s">
        <v>14</v>
      </c>
      <c r="I244" s="272"/>
      <c r="J244" s="272"/>
      <c r="K244" s="229"/>
      <c r="L244" s="1257">
        <f ca="1">L245+L246+L247+L248</f>
        <v>0</v>
      </c>
      <c r="M244" s="87"/>
      <c r="N244" s="264">
        <f>N245+N246+N247+N248</f>
        <v>0</v>
      </c>
      <c r="O244" s="264">
        <f ca="1">IF(L244&gt;0,N244*100/L244,0)</f>
        <v>0</v>
      </c>
      <c r="P244" s="264">
        <f>IF(M244&gt;0,N244*100/M244,0)</f>
        <v>0</v>
      </c>
      <c r="Q244" s="87"/>
      <c r="R244" s="87"/>
      <c r="S244" s="87"/>
      <c r="T244" s="87"/>
      <c r="U244" s="87"/>
    </row>
    <row r="245" spans="1:21" ht="18.75" hidden="1" x14ac:dyDescent="0.25">
      <c r="A245" s="257"/>
      <c r="B245" s="269"/>
      <c r="C245" s="258"/>
      <c r="D245" s="265" t="s">
        <v>86</v>
      </c>
      <c r="E245" s="258"/>
      <c r="F245" s="258"/>
      <c r="G245" s="261"/>
      <c r="H245" s="273" t="s">
        <v>14</v>
      </c>
      <c r="I245" s="272"/>
      <c r="J245" s="272"/>
      <c r="K245" s="229"/>
      <c r="L245" s="73">
        <f ca="1">IFERROR(__xludf.DUMMYFUNCTION("IMPORTRANGE(""https://docs.google.com/spreadsheets/d/1eHaY18a8A9IcSdp1K8H6x8fbOy06t2VsZHhMHf-1x7Y/edit?usp=sharing"",""แผน!AX65"")"),0)</f>
        <v>0</v>
      </c>
      <c r="M245" s="87"/>
      <c r="N245" s="924">
        <v>0</v>
      </c>
      <c r="O245" s="87"/>
      <c r="P245" s="87"/>
      <c r="Q245" s="87"/>
      <c r="R245" s="87"/>
      <c r="S245" s="87"/>
      <c r="T245" s="87"/>
      <c r="U245" s="87"/>
    </row>
    <row r="246" spans="1:21" ht="18.75" hidden="1" x14ac:dyDescent="0.25">
      <c r="A246" s="550"/>
      <c r="B246" s="269"/>
      <c r="C246" s="269"/>
      <c r="D246" s="265" t="s">
        <v>88</v>
      </c>
      <c r="E246" s="258"/>
      <c r="F246" s="258"/>
      <c r="G246" s="261"/>
      <c r="H246" s="273" t="s">
        <v>14</v>
      </c>
      <c r="I246" s="263"/>
      <c r="J246" s="263"/>
      <c r="K246" s="87"/>
      <c r="L246" s="73">
        <f ca="1">IFERROR(__xludf.DUMMYFUNCTION("IMPORTRANGE(""https://docs.google.com/spreadsheets/d/1eHaY18a8A9IcSdp1K8H6x8fbOy06t2VsZHhMHf-1x7Y/edit?usp=sharing"",""แผน!AY65"")"),0)</f>
        <v>0</v>
      </c>
      <c r="M246" s="87"/>
      <c r="N246" s="924">
        <v>0</v>
      </c>
      <c r="O246" s="87"/>
      <c r="P246" s="87"/>
      <c r="Q246" s="87"/>
      <c r="R246" s="87"/>
      <c r="S246" s="87"/>
      <c r="T246" s="87"/>
      <c r="U246" s="87"/>
    </row>
    <row r="247" spans="1:21" ht="18.75" hidden="1" x14ac:dyDescent="0.25">
      <c r="A247" s="550"/>
      <c r="B247" s="269"/>
      <c r="C247" s="269"/>
      <c r="D247" s="265" t="s">
        <v>106</v>
      </c>
      <c r="E247" s="258"/>
      <c r="F247" s="258"/>
      <c r="G247" s="261"/>
      <c r="H247" s="273" t="s">
        <v>14</v>
      </c>
      <c r="I247" s="263"/>
      <c r="J247" s="263"/>
      <c r="K247" s="87"/>
      <c r="L247" s="73">
        <f ca="1">IFERROR(__xludf.DUMMYFUNCTION("IMPORTRANGE(""https://docs.google.com/spreadsheets/d/1eHaY18a8A9IcSdp1K8H6x8fbOy06t2VsZHhMHf-1x7Y/edit?usp=sharing"",""แผน!AZ65"")"),0)</f>
        <v>0</v>
      </c>
      <c r="M247" s="87"/>
      <c r="N247" s="924">
        <v>0</v>
      </c>
      <c r="O247" s="87"/>
      <c r="P247" s="87"/>
      <c r="Q247" s="87"/>
      <c r="R247" s="87"/>
      <c r="S247" s="87"/>
      <c r="T247" s="87"/>
      <c r="U247" s="87"/>
    </row>
    <row r="248" spans="1:21" ht="18.75" hidden="1" x14ac:dyDescent="0.25">
      <c r="A248" s="550"/>
      <c r="B248" s="269"/>
      <c r="C248" s="269"/>
      <c r="D248" s="265" t="s">
        <v>107</v>
      </c>
      <c r="E248" s="258"/>
      <c r="F248" s="258"/>
      <c r="G248" s="261"/>
      <c r="H248" s="273" t="s">
        <v>14</v>
      </c>
      <c r="I248" s="263"/>
      <c r="J248" s="263"/>
      <c r="K248" s="87"/>
      <c r="L248" s="73">
        <f ca="1">IFERROR(__xludf.DUMMYFUNCTION("IMPORTRANGE(""https://docs.google.com/spreadsheets/d/1eHaY18a8A9IcSdp1K8H6x8fbOy06t2VsZHhMHf-1x7Y/edit?usp=sharing"",""แผน!BA65"")"),0)</f>
        <v>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hidden="1" x14ac:dyDescent="0.3">
      <c r="A249" s="276"/>
      <c r="B249" s="277"/>
      <c r="C249" s="939" t="s">
        <v>18</v>
      </c>
      <c r="D249" s="940" t="s">
        <v>38</v>
      </c>
      <c r="E249" s="280"/>
      <c r="F249" s="280"/>
      <c r="G249" s="281"/>
      <c r="H249" s="282"/>
      <c r="I249" s="272"/>
      <c r="J249" s="263"/>
      <c r="K249" s="87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hidden="1" x14ac:dyDescent="0.25">
      <c r="A250" s="276"/>
      <c r="B250" s="277"/>
      <c r="C250" s="277"/>
      <c r="D250" s="311" t="s">
        <v>108</v>
      </c>
      <c r="E250" s="296"/>
      <c r="F250" s="296"/>
      <c r="G250" s="282"/>
      <c r="H250" s="945" t="s">
        <v>35</v>
      </c>
      <c r="I250" s="592">
        <f ca="1">IFERROR(__xludf.DUMMYFUNCTION("IMPORTRANGE(""https://docs.google.com/spreadsheets/d/1eHaY18a8A9IcSdp1K8H6x8fbOy06t2VsZHhMHf-1x7Y/edit?usp=sharing"",""แผน!BG65"")"),0)</f>
        <v>0</v>
      </c>
      <c r="J250" s="910">
        <v>0</v>
      </c>
      <c r="K250" s="77">
        <f ca="1">IF(I250&gt;0,J250*100/I250,0)</f>
        <v>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hidden="1" x14ac:dyDescent="0.25">
      <c r="A251" s="276"/>
      <c r="B251" s="277"/>
      <c r="C251" s="277"/>
      <c r="D251" s="946" t="s">
        <v>43</v>
      </c>
      <c r="E251" s="296"/>
      <c r="F251" s="296"/>
      <c r="G251" s="282"/>
      <c r="H251" s="282"/>
      <c r="I251" s="263"/>
      <c r="J251" s="263"/>
      <c r="K251" s="87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hidden="1" x14ac:dyDescent="0.25">
      <c r="A252" s="276"/>
      <c r="B252" s="277"/>
      <c r="C252" s="277"/>
      <c r="D252" s="277"/>
      <c r="E252" s="947" t="s">
        <v>109</v>
      </c>
      <c r="F252" s="296"/>
      <c r="G252" s="282"/>
      <c r="H252" s="945" t="s">
        <v>35</v>
      </c>
      <c r="I252" s="592">
        <v>0</v>
      </c>
      <c r="J252" s="910">
        <v>0</v>
      </c>
      <c r="K252" s="77">
        <f t="shared" ref="K252:K254" si="158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hidden="1" x14ac:dyDescent="0.25">
      <c r="A253" s="276"/>
      <c r="B253" s="277"/>
      <c r="C253" s="277"/>
      <c r="D253" s="277"/>
      <c r="E253" s="947" t="s">
        <v>110</v>
      </c>
      <c r="F253" s="296"/>
      <c r="G253" s="282"/>
      <c r="H253" s="945" t="s">
        <v>61</v>
      </c>
      <c r="I253" s="592">
        <v>0</v>
      </c>
      <c r="J253" s="910">
        <v>0</v>
      </c>
      <c r="K253" s="77">
        <f t="shared" si="158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553"/>
      <c r="B254" s="555"/>
      <c r="C254" s="927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9">I261</f>
        <v>0</v>
      </c>
      <c r="J254" s="931">
        <f t="shared" si="159"/>
        <v>0</v>
      </c>
      <c r="K254" s="932">
        <f t="shared" ca="1" si="158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257"/>
      <c r="B255" s="258"/>
      <c r="C255" s="933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1257">
        <f ca="1">L256+L257+L258+L259</f>
        <v>0</v>
      </c>
      <c r="M255" s="87"/>
      <c r="N255" s="264">
        <f>N256+N257+N258+N259</f>
        <v>0</v>
      </c>
      <c r="O255" s="264">
        <f ca="1">IF(L255&gt;0,N255*100/L255,0)</f>
        <v>0</v>
      </c>
      <c r="P255" s="264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257"/>
      <c r="B256" s="269"/>
      <c r="C256" s="258"/>
      <c r="D256" s="265" t="s">
        <v>86</v>
      </c>
      <c r="E256" s="258"/>
      <c r="F256" s="258"/>
      <c r="G256" s="261"/>
      <c r="H256" s="273" t="s">
        <v>14</v>
      </c>
      <c r="I256" s="272"/>
      <c r="J256" s="272"/>
      <c r="K256" s="229"/>
      <c r="L256" s="73">
        <f ca="1">IFERROR(__xludf.DUMMYFUNCTION("IMPORTRANGE(""https://docs.google.com/spreadsheets/d/1eHaY18a8A9IcSdp1K8H6x8fbOy06t2VsZHhMHf-1x7Y/edit?usp=sharing"",""แผน!BB65"")"),0)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265" t="s">
        <v>88</v>
      </c>
      <c r="E257" s="258"/>
      <c r="F257" s="258"/>
      <c r="G257" s="261"/>
      <c r="H257" s="273" t="s">
        <v>14</v>
      </c>
      <c r="I257" s="263"/>
      <c r="J257" s="263"/>
      <c r="K257" s="87"/>
      <c r="L257" s="73">
        <f ca="1">IFERROR(__xludf.DUMMYFUNCTION("IMPORTRANGE(""https://docs.google.com/spreadsheets/d/1eHaY18a8A9IcSdp1K8H6x8fbOy06t2VsZHhMHf-1x7Y/edit?usp=sharing"",""แผน!BC65"")"),0)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265" t="s">
        <v>106</v>
      </c>
      <c r="E258" s="258"/>
      <c r="F258" s="258"/>
      <c r="G258" s="261"/>
      <c r="H258" s="273" t="s">
        <v>14</v>
      </c>
      <c r="I258" s="263"/>
      <c r="J258" s="263"/>
      <c r="K258" s="87"/>
      <c r="L258" s="73">
        <f ca="1">IFERROR(__xludf.DUMMYFUNCTION("IMPORTRANGE(""https://docs.google.com/spreadsheets/d/1eHaY18a8A9IcSdp1K8H6x8fbOy06t2VsZHhMHf-1x7Y/edit?usp=sharing"",""แผน!BD65"")"),0)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5" t="s">
        <v>107</v>
      </c>
      <c r="E259" s="258"/>
      <c r="F259" s="258"/>
      <c r="G259" s="261"/>
      <c r="H259" s="273" t="s">
        <v>14</v>
      </c>
      <c r="I259" s="263"/>
      <c r="J259" s="263"/>
      <c r="K259" s="87"/>
      <c r="L259" s="73">
        <f ca="1">IFERROR(__xludf.DUMMYFUNCTION("IMPORTRANGE(""https://docs.google.com/spreadsheets/d/1eHaY18a8A9IcSdp1K8H6x8fbOy06t2VsZHhMHf-1x7Y/edit?usp=sharing"",""แผน!BE65"")"),0)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945" t="s">
        <v>35</v>
      </c>
      <c r="I261" s="592">
        <f ca="1">IFERROR(__xludf.DUMMYFUNCTION("IMPORTRANGE(""https://docs.google.com/spreadsheets/d/1eHaY18a8A9IcSdp1K8H6x8fbOy06t2VsZHhMHf-1x7Y/edit?usp=sharing"",""แผน!BH65"")"),0)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282"/>
      <c r="I262" s="263"/>
      <c r="J262" s="263"/>
      <c r="K262" s="87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945" t="s">
        <v>35</v>
      </c>
      <c r="I263" s="263"/>
      <c r="J263" s="910">
        <v>0</v>
      </c>
      <c r="K263" s="77">
        <f t="shared" ref="K263:K264" si="160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945" t="s">
        <v>61</v>
      </c>
      <c r="I264" s="263"/>
      <c r="J264" s="910">
        <v>0</v>
      </c>
      <c r="K264" s="77">
        <f t="shared" si="160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363"/>
      <c r="I265" s="364"/>
      <c r="J265" s="364"/>
      <c r="K265" s="365"/>
      <c r="L265" s="1230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371" t="s">
        <v>35</v>
      </c>
      <c r="I266" s="1140">
        <f t="shared" ref="I266:J266" ca="1" si="161">I277</f>
        <v>22</v>
      </c>
      <c r="J266" s="1140">
        <f t="shared" si="161"/>
        <v>0</v>
      </c>
      <c r="K266" s="373">
        <f ca="1">IF(I266&gt;0,J266*100/I266,0)</f>
        <v>0</v>
      </c>
      <c r="L266" s="1231"/>
      <c r="M266" s="374"/>
      <c r="N266" s="374"/>
      <c r="O266" s="374"/>
      <c r="P266" s="374"/>
      <c r="Q266" s="374"/>
      <c r="R266" s="374"/>
      <c r="S266" s="374"/>
      <c r="T266" s="374"/>
      <c r="U266" s="374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1262">
        <f t="shared" ref="L267:N267" ca="1" si="162">L268+L269</f>
        <v>0</v>
      </c>
      <c r="M267" s="213">
        <f t="shared" ca="1" si="162"/>
        <v>5000</v>
      </c>
      <c r="N267" s="213">
        <f t="shared" ca="1" si="162"/>
        <v>0</v>
      </c>
      <c r="O267" s="213">
        <f t="shared" ref="O267:O275" ca="1" si="163">IF(L267&gt;0,N267*100/L267,0)</f>
        <v>0</v>
      </c>
      <c r="P267" s="213">
        <f t="shared" ref="P267:P275" ca="1" si="164">IF(M267&gt;0,N267*100/M267,0)</f>
        <v>0</v>
      </c>
      <c r="Q267" s="213">
        <f t="shared" ref="Q267:S267" ca="1" si="165">Q268+Q269</f>
        <v>50660</v>
      </c>
      <c r="R267" s="213">
        <f t="shared" ca="1" si="165"/>
        <v>50660</v>
      </c>
      <c r="S267" s="213">
        <f t="shared" ca="1" si="165"/>
        <v>0</v>
      </c>
      <c r="T267" s="213">
        <f t="shared" ref="T267:T275" ca="1" si="166">IF(Q267&gt;0,S267*100/Q267,0)</f>
        <v>0</v>
      </c>
      <c r="U267" s="213">
        <f t="shared" ref="U267:U275" ca="1" si="167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76">
        <f t="shared" ref="L268:N269" si="168">L271+L274</f>
        <v>0</v>
      </c>
      <c r="M268" s="77">
        <f t="shared" si="168"/>
        <v>0</v>
      </c>
      <c r="N268" s="77">
        <f t="shared" si="168"/>
        <v>0</v>
      </c>
      <c r="O268" s="77">
        <f t="shared" si="163"/>
        <v>0</v>
      </c>
      <c r="P268" s="77">
        <f t="shared" si="164"/>
        <v>0</v>
      </c>
      <c r="Q268" s="77">
        <f t="shared" ref="Q268:S269" si="169">Q271+Q274</f>
        <v>0</v>
      </c>
      <c r="R268" s="77">
        <f t="shared" si="169"/>
        <v>0</v>
      </c>
      <c r="S268" s="77">
        <f t="shared" si="169"/>
        <v>0</v>
      </c>
      <c r="T268" s="77">
        <f t="shared" si="166"/>
        <v>0</v>
      </c>
      <c r="U268" s="77">
        <f t="shared" si="167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261">
        <f t="shared" ca="1" si="168"/>
        <v>0</v>
      </c>
      <c r="M269" s="399">
        <f t="shared" ca="1" si="168"/>
        <v>5000</v>
      </c>
      <c r="N269" s="399">
        <f t="shared" ca="1" si="168"/>
        <v>0</v>
      </c>
      <c r="O269" s="399">
        <f t="shared" ca="1" si="163"/>
        <v>0</v>
      </c>
      <c r="P269" s="399">
        <f t="shared" ca="1" si="164"/>
        <v>0</v>
      </c>
      <c r="Q269" s="399">
        <f t="shared" ca="1" si="169"/>
        <v>50660</v>
      </c>
      <c r="R269" s="399">
        <f t="shared" ca="1" si="169"/>
        <v>50660</v>
      </c>
      <c r="S269" s="399">
        <f t="shared" ca="1" si="169"/>
        <v>0</v>
      </c>
      <c r="T269" s="399">
        <f t="shared" ca="1" si="166"/>
        <v>0</v>
      </c>
      <c r="U269" s="399">
        <f t="shared" ca="1" si="167"/>
        <v>0</v>
      </c>
    </row>
    <row r="270" spans="1:21" ht="18.75" x14ac:dyDescent="0.25">
      <c r="A270" s="209"/>
      <c r="B270" s="67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261">
        <f t="shared" ref="L270:N270" ca="1" si="170">L271+L272</f>
        <v>0</v>
      </c>
      <c r="M270" s="399">
        <f t="shared" ca="1" si="170"/>
        <v>5000</v>
      </c>
      <c r="N270" s="399">
        <f t="shared" ca="1" si="170"/>
        <v>0</v>
      </c>
      <c r="O270" s="399">
        <f t="shared" ca="1" si="163"/>
        <v>0</v>
      </c>
      <c r="P270" s="399">
        <f t="shared" ca="1" si="164"/>
        <v>0</v>
      </c>
      <c r="Q270" s="399">
        <f t="shared" ref="Q270:S270" ca="1" si="171">Q271+Q272</f>
        <v>50660</v>
      </c>
      <c r="R270" s="399">
        <f t="shared" ca="1" si="171"/>
        <v>50660</v>
      </c>
      <c r="S270" s="399">
        <f t="shared" ca="1" si="171"/>
        <v>0</v>
      </c>
      <c r="T270" s="399">
        <f t="shared" ca="1" si="166"/>
        <v>0</v>
      </c>
      <c r="U270" s="399">
        <f t="shared" ca="1" si="167"/>
        <v>0</v>
      </c>
    </row>
    <row r="271" spans="1:21" ht="18.75" hidden="1" x14ac:dyDescent="0.25">
      <c r="A271" s="880"/>
      <c r="B271" s="838"/>
      <c r="C271" s="838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77">
        <f t="shared" si="163"/>
        <v>0</v>
      </c>
      <c r="P271" s="77">
        <f t="shared" si="164"/>
        <v>0</v>
      </c>
      <c r="Q271" s="77">
        <v>0</v>
      </c>
      <c r="R271" s="77">
        <v>0</v>
      </c>
      <c r="S271" s="77">
        <v>0</v>
      </c>
      <c r="T271" s="77">
        <f t="shared" si="166"/>
        <v>0</v>
      </c>
      <c r="U271" s="77">
        <f t="shared" si="167"/>
        <v>0</v>
      </c>
    </row>
    <row r="272" spans="1:21" ht="18.75" hidden="1" x14ac:dyDescent="0.25">
      <c r="A272" s="209"/>
      <c r="B272" s="67"/>
      <c r="C272" s="67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261">
        <f ca="1">IFERROR(__xludf.DUMMYFUNCTION("IMPORTRANGE(""https://docs.google.com/spreadsheets/d/1-uDff_7J0KD5mKrp0Vvzr7lt3OU09vwQwhkpOPPYv2Y/edit?usp=sharing"",""งบพรบ!DE65"")"),0)</f>
        <v>0</v>
      </c>
      <c r="M272" s="399">
        <f ca="1">IFERROR(__xludf.DUMMYFUNCTION("IMPORTRANGE(""https://docs.google.com/spreadsheets/d/1-uDff_7J0KD5mKrp0Vvzr7lt3OU09vwQwhkpOPPYv2Y/edit?usp=sharing"",""งบพรบ!DJ65"")"),5000)</f>
        <v>5000</v>
      </c>
      <c r="N272" s="399">
        <f ca="1">IFERROR(__xludf.DUMMYFUNCTION("IMPORTRANGE(""https://docs.google.com/spreadsheets/d/1-uDff_7J0KD5mKrp0Vvzr7lt3OU09vwQwhkpOPPYv2Y/edit?usp=sharing"",""งบพรบ!DL65"")"),0)</f>
        <v>0</v>
      </c>
      <c r="O272" s="399">
        <f t="shared" ca="1" si="163"/>
        <v>0</v>
      </c>
      <c r="P272" s="399">
        <f t="shared" ca="1" si="164"/>
        <v>0</v>
      </c>
      <c r="Q272" s="399">
        <f ca="1">IFERROR(__xludf.DUMMYFUNCTION("IMPORTRANGE(""https://docs.google.com/spreadsheets/d/1ItG2mGa2ceCfYo0BwxsXqNm01IGEUdYcSSLTEv9YCik/edit?usp=sharing"",""เบิกจ่ายกองทุน!AJ65"")"),50660)</f>
        <v>50660</v>
      </c>
      <c r="R272" s="399">
        <f ca="1">IFERROR(__xludf.DUMMYFUNCTION("IMPORTRANGE(""https://docs.google.com/spreadsheets/d/1ItG2mGa2ceCfYo0BwxsXqNm01IGEUdYcSSLTEv9YCik/edit?usp=sharing"",""เบิกจ่ายกองทุน!AK65"")"),50660)</f>
        <v>50660</v>
      </c>
      <c r="S272" s="399">
        <f ca="1">IFERROR(__xludf.DUMMYFUNCTION("IMPORTRANGE(""https://docs.google.com/spreadsheets/d/1ItG2mGa2ceCfYo0BwxsXqNm01IGEUdYcSSLTEv9YCik/edit?usp=sharing"",""เบิกจ่ายกองทุน!AL65"")"),0)</f>
        <v>0</v>
      </c>
      <c r="T272" s="399">
        <f t="shared" ca="1" si="166"/>
        <v>0</v>
      </c>
      <c r="U272" s="399">
        <f t="shared" ca="1" si="167"/>
        <v>0</v>
      </c>
    </row>
    <row r="273" spans="1:21" ht="18.75" x14ac:dyDescent="0.25">
      <c r="A273" s="209"/>
      <c r="B273" s="67"/>
      <c r="C273" s="67"/>
      <c r="D273" s="836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261">
        <f t="shared" ref="L273:N273" ca="1" si="172">L274+L275</f>
        <v>0</v>
      </c>
      <c r="M273" s="399">
        <f t="shared" ca="1" si="172"/>
        <v>0</v>
      </c>
      <c r="N273" s="399">
        <f t="shared" ca="1" si="172"/>
        <v>0</v>
      </c>
      <c r="O273" s="399">
        <f t="shared" ca="1" si="163"/>
        <v>0</v>
      </c>
      <c r="P273" s="399">
        <f t="shared" ca="1" si="164"/>
        <v>0</v>
      </c>
      <c r="Q273" s="399">
        <f t="shared" ref="Q273:S273" si="173">Q274+Q275</f>
        <v>0</v>
      </c>
      <c r="R273" s="399">
        <f t="shared" si="173"/>
        <v>0</v>
      </c>
      <c r="S273" s="399">
        <f t="shared" si="173"/>
        <v>0</v>
      </c>
      <c r="T273" s="399">
        <f t="shared" si="166"/>
        <v>0</v>
      </c>
      <c r="U273" s="399">
        <f t="shared" si="167"/>
        <v>0</v>
      </c>
    </row>
    <row r="274" spans="1:21" ht="18.75" hidden="1" x14ac:dyDescent="0.25">
      <c r="A274" s="880"/>
      <c r="B274" s="838"/>
      <c r="C274" s="838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77">
        <f t="shared" si="163"/>
        <v>0</v>
      </c>
      <c r="P274" s="77">
        <f t="shared" si="164"/>
        <v>0</v>
      </c>
      <c r="Q274" s="77">
        <v>0</v>
      </c>
      <c r="R274" s="77">
        <v>0</v>
      </c>
      <c r="S274" s="77">
        <v>0</v>
      </c>
      <c r="T274" s="77">
        <f t="shared" si="166"/>
        <v>0</v>
      </c>
      <c r="U274" s="77">
        <f t="shared" si="167"/>
        <v>0</v>
      </c>
    </row>
    <row r="275" spans="1:21" ht="18.75" hidden="1" x14ac:dyDescent="0.25">
      <c r="A275" s="209"/>
      <c r="B275" s="67"/>
      <c r="C275" s="67"/>
      <c r="D275" s="67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261">
        <f ca="1">IFERROR(__xludf.DUMMYFUNCTION("IMPORTRANGE(""https://docs.google.com/spreadsheets/d/1-uDff_7J0KD5mKrp0Vvzr7lt3OU09vwQwhkpOPPYv2Y/edit?usp=sharing"",""งบพรบ!DH65"")"),0)</f>
        <v>0</v>
      </c>
      <c r="M275" s="399">
        <f ca="1">IFERROR(__xludf.DUMMYFUNCTION("IMPORTRANGE(""https://docs.google.com/spreadsheets/d/1-uDff_7J0KD5mKrp0Vvzr7lt3OU09vwQwhkpOPPYv2Y/edit?usp=sharing"",""งบพรบ!DK65"")"),0)</f>
        <v>0</v>
      </c>
      <c r="N275" s="399">
        <f ca="1">IFERROR(__xludf.DUMMYFUNCTION("IMPORTRANGE(""https://docs.google.com/spreadsheets/d/1-uDff_7J0KD5mKrp0Vvzr7lt3OU09vwQwhkpOPPYv2Y/edit?usp=sharing"",""งบพรบ!DM65"")"),0)</f>
        <v>0</v>
      </c>
      <c r="O275" s="399">
        <f t="shared" ca="1" si="163"/>
        <v>0</v>
      </c>
      <c r="P275" s="399">
        <f t="shared" ca="1" si="164"/>
        <v>0</v>
      </c>
      <c r="Q275" s="399">
        <v>0</v>
      </c>
      <c r="R275" s="399">
        <v>0</v>
      </c>
      <c r="S275" s="399">
        <v>0</v>
      </c>
      <c r="T275" s="399">
        <f t="shared" si="166"/>
        <v>0</v>
      </c>
      <c r="U275" s="399">
        <f t="shared" si="167"/>
        <v>0</v>
      </c>
    </row>
    <row r="276" spans="1:21" ht="19.5" x14ac:dyDescent="0.3">
      <c r="A276" s="222"/>
      <c r="B276" s="223"/>
      <c r="C276" s="440" t="s">
        <v>18</v>
      </c>
      <c r="D276" s="883" t="s">
        <v>38</v>
      </c>
      <c r="E276" s="225"/>
      <c r="F276" s="225"/>
      <c r="G276" s="226"/>
      <c r="H276" s="227"/>
      <c r="I276" s="219"/>
      <c r="J276" s="219"/>
      <c r="K276" s="220"/>
      <c r="L276" s="1235"/>
      <c r="M276" s="220"/>
      <c r="N276" s="220"/>
      <c r="O276" s="220"/>
      <c r="P276" s="220"/>
      <c r="Q276" s="220"/>
      <c r="R276" s="220"/>
      <c r="S276" s="220"/>
      <c r="T276" s="220"/>
      <c r="U276" s="220"/>
    </row>
    <row r="277" spans="1:21" ht="18.75" x14ac:dyDescent="0.25">
      <c r="A277" s="904"/>
      <c r="B277" s="442"/>
      <c r="C277" s="442"/>
      <c r="D277" s="443" t="s">
        <v>115</v>
      </c>
      <c r="E277" s="444"/>
      <c r="F277" s="444"/>
      <c r="G277" s="445"/>
      <c r="H277" s="446" t="s">
        <v>35</v>
      </c>
      <c r="I277" s="448">
        <f ca="1">IFERROR(__xludf.DUMMYFUNCTION("IMPORTRANGE(""https://docs.google.com/spreadsheets/d/1eHaY18a8A9IcSdp1K8H6x8fbOy06t2VsZHhMHf-1x7Y/edit?usp=sharing"",""แผน!EC65"")"),22)</f>
        <v>22</v>
      </c>
      <c r="J277" s="897">
        <v>0</v>
      </c>
      <c r="K277" s="898">
        <f ca="1">IF(I277&gt;0,J277*100/I277,0)</f>
        <v>0</v>
      </c>
      <c r="L277" s="86"/>
      <c r="M277" s="87"/>
      <c r="N277" s="87"/>
      <c r="O277" s="87"/>
      <c r="P277" s="87"/>
      <c r="Q277" s="87"/>
      <c r="R277" s="87"/>
      <c r="S277" s="87"/>
      <c r="T277" s="87"/>
      <c r="U277" s="87"/>
    </row>
    <row r="278" spans="1:21" ht="18.75" hidden="1" x14ac:dyDescent="0.25">
      <c r="A278" s="755"/>
      <c r="B278" s="757"/>
      <c r="C278" s="757"/>
      <c r="D278" s="1145" t="s">
        <v>116</v>
      </c>
      <c r="E278" s="758"/>
      <c r="F278" s="758"/>
      <c r="G278" s="759"/>
      <c r="H278" s="1305" t="s">
        <v>35</v>
      </c>
      <c r="I278" s="779">
        <v>0</v>
      </c>
      <c r="J278" s="779">
        <v>0</v>
      </c>
      <c r="K278" s="1147">
        <v>0</v>
      </c>
      <c r="L278" s="459"/>
      <c r="M278" s="460"/>
      <c r="N278" s="460"/>
      <c r="O278" s="460"/>
      <c r="P278" s="460"/>
      <c r="Q278" s="460"/>
      <c r="R278" s="460"/>
      <c r="S278" s="460"/>
      <c r="T278" s="460"/>
      <c r="U278" s="46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50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3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306" t="s">
        <v>35</v>
      </c>
      <c r="I281" s="1163">
        <f t="shared" ref="I281:J281" ca="1" si="174">I294</f>
        <v>0</v>
      </c>
      <c r="J281" s="1163">
        <f t="shared" si="174"/>
        <v>0</v>
      </c>
      <c r="K281" s="1164">
        <f t="shared" ref="K281:K282" ca="1" si="175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306" t="s">
        <v>46</v>
      </c>
      <c r="I282" s="1163">
        <f t="shared" ref="I282:J282" ca="1" si="176">I293</f>
        <v>0</v>
      </c>
      <c r="J282" s="1163">
        <f t="shared" si="176"/>
        <v>0</v>
      </c>
      <c r="K282" s="1164">
        <f t="shared" ca="1" si="175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1257">
        <f t="shared" ref="L283:N283" ca="1" si="177">L284+L285</f>
        <v>0</v>
      </c>
      <c r="M283" s="264">
        <f t="shared" ca="1" si="177"/>
        <v>0</v>
      </c>
      <c r="N283" s="264">
        <f t="shared" ca="1" si="177"/>
        <v>0</v>
      </c>
      <c r="O283" s="264">
        <f t="shared" ref="O283:O291" ca="1" si="178">IF(L283&gt;0,N283*100/L283,0)</f>
        <v>0</v>
      </c>
      <c r="P283" s="264">
        <f t="shared" ref="P283:P291" ca="1" si="179">IF(M283&gt;0,N283*100/M283,0)</f>
        <v>0</v>
      </c>
      <c r="Q283" s="264">
        <f t="shared" ref="Q283:S283" si="180">Q284+Q285</f>
        <v>0</v>
      </c>
      <c r="R283" s="264">
        <f t="shared" si="180"/>
        <v>0</v>
      </c>
      <c r="S283" s="264">
        <f t="shared" si="180"/>
        <v>0</v>
      </c>
      <c r="T283" s="264">
        <f t="shared" ref="T283:T291" si="181">IF(Q283&gt;0,S283*100/Q283,0)</f>
        <v>0</v>
      </c>
      <c r="U283" s="264">
        <f t="shared" ref="U283:U291" si="182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6">
        <f t="shared" ref="L284:N285" si="183">L287+L290</f>
        <v>0</v>
      </c>
      <c r="M284" s="77">
        <f t="shared" si="183"/>
        <v>0</v>
      </c>
      <c r="N284" s="77">
        <f t="shared" si="183"/>
        <v>0</v>
      </c>
      <c r="O284" s="77">
        <f t="shared" si="178"/>
        <v>0</v>
      </c>
      <c r="P284" s="77">
        <f t="shared" si="179"/>
        <v>0</v>
      </c>
      <c r="Q284" s="77">
        <f t="shared" ref="Q284:S285" si="184">Q287+Q290</f>
        <v>0</v>
      </c>
      <c r="R284" s="77">
        <f t="shared" si="184"/>
        <v>0</v>
      </c>
      <c r="S284" s="77">
        <f t="shared" si="184"/>
        <v>0</v>
      </c>
      <c r="T284" s="77">
        <f t="shared" si="181"/>
        <v>0</v>
      </c>
      <c r="U284" s="77">
        <f t="shared" si="182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3">
        <f t="shared" ca="1" si="183"/>
        <v>0</v>
      </c>
      <c r="M285" s="74">
        <f t="shared" ca="1" si="183"/>
        <v>0</v>
      </c>
      <c r="N285" s="74">
        <f t="shared" ca="1" si="183"/>
        <v>0</v>
      </c>
      <c r="O285" s="74">
        <f t="shared" ca="1" si="178"/>
        <v>0</v>
      </c>
      <c r="P285" s="74">
        <f t="shared" ca="1" si="179"/>
        <v>0</v>
      </c>
      <c r="Q285" s="74">
        <f t="shared" si="184"/>
        <v>0</v>
      </c>
      <c r="R285" s="74">
        <f t="shared" si="184"/>
        <v>0</v>
      </c>
      <c r="S285" s="74">
        <f t="shared" si="184"/>
        <v>0</v>
      </c>
      <c r="T285" s="74">
        <f t="shared" si="181"/>
        <v>0</v>
      </c>
      <c r="U285" s="74">
        <f t="shared" si="182"/>
        <v>0</v>
      </c>
    </row>
    <row r="286" spans="1:21" ht="18.75" hidden="1" x14ac:dyDescent="0.25">
      <c r="A286" s="257"/>
      <c r="B286" s="258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3">
        <f t="shared" ref="L286:N286" ca="1" si="185">L287+L288</f>
        <v>0</v>
      </c>
      <c r="M286" s="74">
        <f t="shared" ca="1" si="185"/>
        <v>0</v>
      </c>
      <c r="N286" s="74">
        <f t="shared" ca="1" si="185"/>
        <v>0</v>
      </c>
      <c r="O286" s="74">
        <f t="shared" ca="1" si="178"/>
        <v>0</v>
      </c>
      <c r="P286" s="74">
        <f t="shared" ca="1" si="179"/>
        <v>0</v>
      </c>
      <c r="Q286" s="74">
        <f t="shared" ref="Q286:S286" si="186">Q287+Q288</f>
        <v>0</v>
      </c>
      <c r="R286" s="74">
        <f t="shared" si="186"/>
        <v>0</v>
      </c>
      <c r="S286" s="74">
        <f t="shared" si="186"/>
        <v>0</v>
      </c>
      <c r="T286" s="74">
        <f t="shared" si="181"/>
        <v>0</v>
      </c>
      <c r="U286" s="74">
        <f t="shared" si="182"/>
        <v>0</v>
      </c>
    </row>
    <row r="287" spans="1:21" ht="18.75" hidden="1" x14ac:dyDescent="0.25">
      <c r="A287" s="257"/>
      <c r="B287" s="258"/>
      <c r="C287" s="258"/>
      <c r="D287" s="258"/>
      <c r="E287" s="26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77">
        <f t="shared" si="178"/>
        <v>0</v>
      </c>
      <c r="P287" s="77">
        <f t="shared" si="179"/>
        <v>0</v>
      </c>
      <c r="Q287" s="77">
        <v>0</v>
      </c>
      <c r="R287" s="77">
        <v>0</v>
      </c>
      <c r="S287" s="77">
        <v>0</v>
      </c>
      <c r="T287" s="77">
        <f t="shared" si="181"/>
        <v>0</v>
      </c>
      <c r="U287" s="77">
        <f t="shared" si="182"/>
        <v>0</v>
      </c>
    </row>
    <row r="288" spans="1:21" ht="18.75" hidden="1" x14ac:dyDescent="0.25">
      <c r="A288" s="257"/>
      <c r="B288" s="258"/>
      <c r="C288" s="258"/>
      <c r="D288" s="258"/>
      <c r="E288" s="267" t="s">
        <v>37</v>
      </c>
      <c r="F288" s="258"/>
      <c r="G288" s="261"/>
      <c r="H288" s="271" t="s">
        <v>14</v>
      </c>
      <c r="I288" s="272"/>
      <c r="J288" s="272"/>
      <c r="K288" s="229"/>
      <c r="L288" s="73">
        <f ca="1">IFERROR(__xludf.DUMMYFUNCTION("IMPORTRANGE(""https://docs.google.com/spreadsheets/d/1-uDff_7J0KD5mKrp0Vvzr7lt3OU09vwQwhkpOPPYv2Y/edit?usp=sharing"",""งบพรบ!DO65"")"),0)</f>
        <v>0</v>
      </c>
      <c r="M288" s="74">
        <f ca="1">IFERROR(__xludf.DUMMYFUNCTION("IMPORTRANGE(""https://docs.google.com/spreadsheets/d/1-uDff_7J0KD5mKrp0Vvzr7lt3OU09vwQwhkpOPPYv2Y/edit?usp=sharing"",""งบพรบ!DT65"")"),0)</f>
        <v>0</v>
      </c>
      <c r="N288" s="74">
        <f ca="1">IFERROR(__xludf.DUMMYFUNCTION("IMPORTRANGE(""https://docs.google.com/spreadsheets/d/1-uDff_7J0KD5mKrp0Vvzr7lt3OU09vwQwhkpOPPYv2Y/edit?usp=sharing"",""งบพรบ!DV65"")"),0)</f>
        <v>0</v>
      </c>
      <c r="O288" s="74">
        <f t="shared" ca="1" si="178"/>
        <v>0</v>
      </c>
      <c r="P288" s="74">
        <f t="shared" ca="1" si="179"/>
        <v>0</v>
      </c>
      <c r="Q288" s="74">
        <v>0</v>
      </c>
      <c r="R288" s="74">
        <v>0</v>
      </c>
      <c r="S288" s="74">
        <v>0</v>
      </c>
      <c r="T288" s="77">
        <f t="shared" si="181"/>
        <v>0</v>
      </c>
      <c r="U288" s="77">
        <f t="shared" si="182"/>
        <v>0</v>
      </c>
    </row>
    <row r="289" spans="1:21" ht="18.75" hidden="1" x14ac:dyDescent="0.25">
      <c r="A289" s="257"/>
      <c r="B289" s="258"/>
      <c r="C289" s="258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3">
        <f t="shared" ref="L289:N289" ca="1" si="187">L290+L291</f>
        <v>0</v>
      </c>
      <c r="M289" s="74">
        <f t="shared" ca="1" si="187"/>
        <v>0</v>
      </c>
      <c r="N289" s="74">
        <f t="shared" ca="1" si="187"/>
        <v>0</v>
      </c>
      <c r="O289" s="74">
        <f t="shared" ca="1" si="178"/>
        <v>0</v>
      </c>
      <c r="P289" s="74">
        <f t="shared" ca="1" si="179"/>
        <v>0</v>
      </c>
      <c r="Q289" s="74">
        <f t="shared" ref="Q289:S289" si="188">Q290+Q291</f>
        <v>0</v>
      </c>
      <c r="R289" s="74">
        <f t="shared" si="188"/>
        <v>0</v>
      </c>
      <c r="S289" s="74">
        <f t="shared" si="188"/>
        <v>0</v>
      </c>
      <c r="T289" s="74">
        <f t="shared" si="181"/>
        <v>0</v>
      </c>
      <c r="U289" s="74">
        <f t="shared" si="182"/>
        <v>0</v>
      </c>
    </row>
    <row r="290" spans="1:21" ht="18.75" hidden="1" x14ac:dyDescent="0.25">
      <c r="A290" s="257"/>
      <c r="B290" s="258"/>
      <c r="C290" s="258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77">
        <f t="shared" si="178"/>
        <v>0</v>
      </c>
      <c r="P290" s="77">
        <f t="shared" si="179"/>
        <v>0</v>
      </c>
      <c r="Q290" s="77">
        <v>0</v>
      </c>
      <c r="R290" s="77">
        <v>0</v>
      </c>
      <c r="S290" s="77">
        <v>0</v>
      </c>
      <c r="T290" s="77">
        <f t="shared" si="181"/>
        <v>0</v>
      </c>
      <c r="U290" s="77">
        <f t="shared" si="182"/>
        <v>0</v>
      </c>
    </row>
    <row r="291" spans="1:21" ht="18.75" hidden="1" x14ac:dyDescent="0.25">
      <c r="A291" s="257"/>
      <c r="B291" s="258"/>
      <c r="C291" s="258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3">
        <f ca="1">IFERROR(__xludf.DUMMYFUNCTION("IMPORTRANGE(""https://docs.google.com/spreadsheets/d/1-uDff_7J0KD5mKrp0Vvzr7lt3OU09vwQwhkpOPPYv2Y/edit?usp=sharing"",""งบพรบ!DR65"")"),0)</f>
        <v>0</v>
      </c>
      <c r="M291" s="74">
        <f ca="1">IFERROR(__xludf.DUMMYFUNCTION("IMPORTRANGE(""https://docs.google.com/spreadsheets/d/1-uDff_7J0KD5mKrp0Vvzr7lt3OU09vwQwhkpOPPYv2Y/edit?usp=sharing"",""งบพรบ!DU65"")"),0)</f>
        <v>0</v>
      </c>
      <c r="N291" s="74">
        <f ca="1">IFERROR(__xludf.DUMMYFUNCTION("IMPORTRANGE(""https://docs.google.com/spreadsheets/d/1-uDff_7J0KD5mKrp0Vvzr7lt3OU09vwQwhkpOPPYv2Y/edit?usp=sharing"",""งบพรบ!DW65"")"),0)</f>
        <v>0</v>
      </c>
      <c r="O291" s="74">
        <f t="shared" ca="1" si="178"/>
        <v>0</v>
      </c>
      <c r="P291" s="74">
        <f t="shared" ca="1" si="179"/>
        <v>0</v>
      </c>
      <c r="Q291" s="74">
        <v>0</v>
      </c>
      <c r="R291" s="74">
        <v>0</v>
      </c>
      <c r="S291" s="74">
        <v>0</v>
      </c>
      <c r="T291" s="74">
        <f t="shared" si="181"/>
        <v>0</v>
      </c>
      <c r="U291" s="74">
        <f t="shared" si="182"/>
        <v>0</v>
      </c>
    </row>
    <row r="292" spans="1:21" ht="19.5" hidden="1" x14ac:dyDescent="0.3">
      <c r="A292" s="276"/>
      <c r="B292" s="277"/>
      <c r="C292" s="259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IFERROR(__xludf.DUMMYFUNCTION("IMPORTRANGE(""https://docs.google.com/spreadsheets/d/1eHaY18a8A9IcSdp1K8H6x8fbOy06t2VsZHhMHf-1x7Y/edit?usp=sharing"",""แผน!EE65"")"),0)</f>
        <v>0</v>
      </c>
      <c r="J293" s="294">
        <v>0</v>
      </c>
      <c r="K293" s="768">
        <f t="shared" ref="K293:K294" ca="1" si="189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IFERROR(__xludf.DUMMYFUNCTION("IMPORTRANGE(""https://docs.google.com/spreadsheets/d/1eHaY18a8A9IcSdp1K8H6x8fbOy06t2VsZHhMHf-1x7Y/edit?usp=sharing"",""แผน!ED65"")"),0)</f>
        <v>0</v>
      </c>
      <c r="J294" s="622">
        <f>J297</f>
        <v>0</v>
      </c>
      <c r="K294" s="1105">
        <f t="shared" ca="1" si="189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96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IFERROR(__xludf.DUMMYFUNCTION("IMPORTRANGE(""https://docs.google.com/spreadsheets/d/1eHaY18a8A9IcSdp1K8H6x8fbOy06t2VsZHhMHf-1x7Y/edit?usp=sharing"",""แผน!ED65"")"),0)</f>
        <v>0</v>
      </c>
      <c r="J296" s="294">
        <v>0</v>
      </c>
      <c r="K296" s="768">
        <f t="shared" ref="K296:K297" ca="1" si="190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IFERROR(__xludf.DUMMYFUNCTION("IMPORTRANGE(""https://docs.google.com/spreadsheets/d/1eHaY18a8A9IcSdp1K8H6x8fbOy06t2VsZHhMHf-1x7Y/edit?usp=sharing"",""แผน!ED65"")"),0)</f>
        <v>0</v>
      </c>
      <c r="J297" s="294">
        <v>0</v>
      </c>
      <c r="K297" s="768">
        <f t="shared" ca="1" si="190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286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286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041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1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hidden="1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6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hidden="1" x14ac:dyDescent="0.3">
      <c r="A303" s="1179"/>
      <c r="B303" s="1180" t="s">
        <v>127</v>
      </c>
      <c r="C303" s="607"/>
      <c r="D303" s="607"/>
      <c r="E303" s="607"/>
      <c r="F303" s="607"/>
      <c r="G303" s="608"/>
      <c r="H303" s="1307" t="s">
        <v>35</v>
      </c>
      <c r="I303" s="617">
        <f t="shared" ref="I303:J303" ca="1" si="191">I315</f>
        <v>0</v>
      </c>
      <c r="J303" s="617">
        <f t="shared" si="191"/>
        <v>0</v>
      </c>
      <c r="K303" s="611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hidden="1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1257">
        <f t="shared" ref="L304:N304" ca="1" si="192">L305+L306</f>
        <v>0</v>
      </c>
      <c r="M304" s="264">
        <f t="shared" ca="1" si="192"/>
        <v>0</v>
      </c>
      <c r="N304" s="264">
        <f t="shared" ca="1" si="192"/>
        <v>0</v>
      </c>
      <c r="O304" s="264">
        <f t="shared" ref="O304:O312" ca="1" si="193">IF(L304&gt;0,N304*100/L304,0)</f>
        <v>0</v>
      </c>
      <c r="P304" s="264">
        <f t="shared" ref="P304:P312" ca="1" si="194">IF(M304&gt;0,N304*100/M304,0)</f>
        <v>0</v>
      </c>
      <c r="Q304" s="264">
        <f t="shared" ref="Q304:S304" ca="1" si="195">Q305+Q306</f>
        <v>0</v>
      </c>
      <c r="R304" s="264">
        <f t="shared" ca="1" si="195"/>
        <v>0</v>
      </c>
      <c r="S304" s="264">
        <f t="shared" ca="1" si="195"/>
        <v>0</v>
      </c>
      <c r="T304" s="264">
        <f t="shared" ref="T304:T312" ca="1" si="196">IF(Q304&gt;0,S304*100/Q304,0)</f>
        <v>0</v>
      </c>
      <c r="U304" s="264">
        <f t="shared" ref="U304:U312" ca="1" si="197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6">
        <f t="shared" ref="L305:N306" si="198">L308+L311</f>
        <v>0</v>
      </c>
      <c r="M305" s="77">
        <f t="shared" si="198"/>
        <v>0</v>
      </c>
      <c r="N305" s="77">
        <f t="shared" si="198"/>
        <v>0</v>
      </c>
      <c r="O305" s="77">
        <f t="shared" si="193"/>
        <v>0</v>
      </c>
      <c r="P305" s="77">
        <f t="shared" si="194"/>
        <v>0</v>
      </c>
      <c r="Q305" s="77">
        <f t="shared" ref="Q305:S306" si="199">Q308+Q311</f>
        <v>0</v>
      </c>
      <c r="R305" s="77">
        <f t="shared" si="199"/>
        <v>0</v>
      </c>
      <c r="S305" s="77">
        <f t="shared" si="199"/>
        <v>0</v>
      </c>
      <c r="T305" s="77">
        <f t="shared" si="196"/>
        <v>0</v>
      </c>
      <c r="U305" s="77">
        <f t="shared" si="197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3">
        <f t="shared" ca="1" si="198"/>
        <v>0</v>
      </c>
      <c r="M306" s="74">
        <f t="shared" ca="1" si="198"/>
        <v>0</v>
      </c>
      <c r="N306" s="74">
        <f t="shared" ca="1" si="198"/>
        <v>0</v>
      </c>
      <c r="O306" s="74">
        <f t="shared" ca="1" si="193"/>
        <v>0</v>
      </c>
      <c r="P306" s="74">
        <f t="shared" ca="1" si="194"/>
        <v>0</v>
      </c>
      <c r="Q306" s="74">
        <f t="shared" ca="1" si="199"/>
        <v>0</v>
      </c>
      <c r="R306" s="74">
        <f t="shared" ca="1" si="199"/>
        <v>0</v>
      </c>
      <c r="S306" s="74">
        <f t="shared" ca="1" si="199"/>
        <v>0</v>
      </c>
      <c r="T306" s="74">
        <f t="shared" ca="1" si="196"/>
        <v>0</v>
      </c>
      <c r="U306" s="74">
        <f t="shared" ca="1" si="197"/>
        <v>0</v>
      </c>
    </row>
    <row r="307" spans="1:21" ht="18.75" hidden="1" x14ac:dyDescent="0.25">
      <c r="A307" s="257"/>
      <c r="B307" s="258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3">
        <f t="shared" ref="L307:N307" ca="1" si="200">L308+L309</f>
        <v>0</v>
      </c>
      <c r="M307" s="74">
        <f t="shared" ca="1" si="200"/>
        <v>0</v>
      </c>
      <c r="N307" s="74">
        <f t="shared" ca="1" si="200"/>
        <v>0</v>
      </c>
      <c r="O307" s="74">
        <f t="shared" ca="1" si="193"/>
        <v>0</v>
      </c>
      <c r="P307" s="74">
        <f t="shared" ca="1" si="194"/>
        <v>0</v>
      </c>
      <c r="Q307" s="74">
        <f t="shared" ref="Q307:S307" ca="1" si="201">Q308+Q309</f>
        <v>0</v>
      </c>
      <c r="R307" s="74">
        <f t="shared" ca="1" si="201"/>
        <v>0</v>
      </c>
      <c r="S307" s="74">
        <f t="shared" ca="1" si="201"/>
        <v>0</v>
      </c>
      <c r="T307" s="74">
        <f t="shared" ca="1" si="196"/>
        <v>0</v>
      </c>
      <c r="U307" s="74">
        <f t="shared" ca="1" si="197"/>
        <v>0</v>
      </c>
    </row>
    <row r="308" spans="1:21" ht="18.75" hidden="1" x14ac:dyDescent="0.25">
      <c r="A308" s="257"/>
      <c r="B308" s="258"/>
      <c r="C308" s="258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77">
        <f t="shared" si="193"/>
        <v>0</v>
      </c>
      <c r="P308" s="77">
        <f t="shared" si="194"/>
        <v>0</v>
      </c>
      <c r="Q308" s="77">
        <v>0</v>
      </c>
      <c r="R308" s="77">
        <v>0</v>
      </c>
      <c r="S308" s="77">
        <v>0</v>
      </c>
      <c r="T308" s="77">
        <f t="shared" si="196"/>
        <v>0</v>
      </c>
      <c r="U308" s="77">
        <f t="shared" si="197"/>
        <v>0</v>
      </c>
    </row>
    <row r="309" spans="1:21" ht="18.75" hidden="1" x14ac:dyDescent="0.25">
      <c r="A309" s="257"/>
      <c r="B309" s="258"/>
      <c r="C309" s="258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3">
        <f ca="1">IFERROR(__xludf.DUMMYFUNCTION("IMPORTRANGE(""https://docs.google.com/spreadsheets/d/1-uDff_7J0KD5mKrp0Vvzr7lt3OU09vwQwhkpOPPYv2Y/edit?usp=sharing"",""งบพรบ!DY65"")"),0)</f>
        <v>0</v>
      </c>
      <c r="M309" s="74">
        <f ca="1">IFERROR(__xludf.DUMMYFUNCTION("IMPORTRANGE(""https://docs.google.com/spreadsheets/d/1-uDff_7J0KD5mKrp0Vvzr7lt3OU09vwQwhkpOPPYv2Y/edit?usp=sharing"",""งบพรบ!ED65"")"),0)</f>
        <v>0</v>
      </c>
      <c r="N309" s="74">
        <f ca="1">IFERROR(__xludf.DUMMYFUNCTION("IMPORTRANGE(""https://docs.google.com/spreadsheets/d/1-uDff_7J0KD5mKrp0Vvzr7lt3OU09vwQwhkpOPPYv2Y/edit?usp=sharing"",""งบพรบ!EF65"")"),0)</f>
        <v>0</v>
      </c>
      <c r="O309" s="74">
        <f t="shared" ca="1" si="193"/>
        <v>0</v>
      </c>
      <c r="P309" s="74">
        <f t="shared" ca="1" si="194"/>
        <v>0</v>
      </c>
      <c r="Q309" s="74">
        <f ca="1">IFERROR(__xludf.DUMMYFUNCTION("IMPORTRANGE(""https://docs.google.com/spreadsheets/d/1ItG2mGa2ceCfYo0BwxsXqNm01IGEUdYcSSLTEv9YCik/edit?usp=sharing"",""เบิกจ่ายกองทุน!AP65"")"),0)</f>
        <v>0</v>
      </c>
      <c r="R309" s="74">
        <f ca="1">IFERROR(__xludf.DUMMYFUNCTION("IMPORTRANGE(""https://docs.google.com/spreadsheets/d/1ItG2mGa2ceCfYo0BwxsXqNm01IGEUdYcSSLTEv9YCik/edit?usp=sharing"",""เบิกจ่ายกองทุน!AQ65"")"),0)</f>
        <v>0</v>
      </c>
      <c r="S309" s="74">
        <f ca="1">IFERROR(__xludf.DUMMYFUNCTION("IMPORTRANGE(""https://docs.google.com/spreadsheets/d/1ItG2mGa2ceCfYo0BwxsXqNm01IGEUdYcSSLTEv9YCik/edit?usp=sharing"",""เบิกจ่ายกองทุน!AR65"")"),0)</f>
        <v>0</v>
      </c>
      <c r="T309" s="74">
        <f t="shared" ca="1" si="196"/>
        <v>0</v>
      </c>
      <c r="U309" s="74">
        <f t="shared" ca="1" si="197"/>
        <v>0</v>
      </c>
    </row>
    <row r="310" spans="1:21" ht="18.75" hidden="1" x14ac:dyDescent="0.25">
      <c r="A310" s="257"/>
      <c r="B310" s="258"/>
      <c r="C310" s="258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3">
        <f t="shared" ref="L310:N310" ca="1" si="202">L311+L312</f>
        <v>0</v>
      </c>
      <c r="M310" s="74">
        <f t="shared" ca="1" si="202"/>
        <v>0</v>
      </c>
      <c r="N310" s="74">
        <f t="shared" ca="1" si="202"/>
        <v>0</v>
      </c>
      <c r="O310" s="74">
        <f t="shared" ca="1" si="193"/>
        <v>0</v>
      </c>
      <c r="P310" s="74">
        <f t="shared" ca="1" si="194"/>
        <v>0</v>
      </c>
      <c r="Q310" s="74">
        <f t="shared" ref="Q310:S310" si="203">Q311+Q312</f>
        <v>0</v>
      </c>
      <c r="R310" s="74">
        <f t="shared" si="203"/>
        <v>0</v>
      </c>
      <c r="S310" s="74">
        <f t="shared" si="203"/>
        <v>0</v>
      </c>
      <c r="T310" s="74">
        <f t="shared" si="196"/>
        <v>0</v>
      </c>
      <c r="U310" s="74">
        <f t="shared" si="197"/>
        <v>0</v>
      </c>
    </row>
    <row r="311" spans="1:21" ht="18.75" hidden="1" x14ac:dyDescent="0.25">
      <c r="A311" s="257"/>
      <c r="B311" s="258"/>
      <c r="C311" s="258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77">
        <f t="shared" si="193"/>
        <v>0</v>
      </c>
      <c r="P311" s="77">
        <f t="shared" si="194"/>
        <v>0</v>
      </c>
      <c r="Q311" s="77">
        <v>0</v>
      </c>
      <c r="R311" s="77">
        <v>0</v>
      </c>
      <c r="S311" s="77">
        <v>0</v>
      </c>
      <c r="T311" s="77">
        <f t="shared" si="196"/>
        <v>0</v>
      </c>
      <c r="U311" s="77">
        <f t="shared" si="197"/>
        <v>0</v>
      </c>
    </row>
    <row r="312" spans="1:21" ht="18.75" hidden="1" x14ac:dyDescent="0.25">
      <c r="A312" s="257"/>
      <c r="B312" s="258"/>
      <c r="C312" s="258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3">
        <f ca="1">IFERROR(__xludf.DUMMYFUNCTION("IMPORTRANGE(""https://docs.google.com/spreadsheets/d/1-uDff_7J0KD5mKrp0Vvzr7lt3OU09vwQwhkpOPPYv2Y/edit?usp=sharing"",""งบพรบ!EB65"")"),0)</f>
        <v>0</v>
      </c>
      <c r="M312" s="74">
        <f ca="1">IFERROR(__xludf.DUMMYFUNCTION("IMPORTRANGE(""https://docs.google.com/spreadsheets/d/1-uDff_7J0KD5mKrp0Vvzr7lt3OU09vwQwhkpOPPYv2Y/edit?usp=sharing"",""งบพรบ!EE65"")"),0)</f>
        <v>0</v>
      </c>
      <c r="N312" s="74">
        <f ca="1">IFERROR(__xludf.DUMMYFUNCTION("IMPORTRANGE(""https://docs.google.com/spreadsheets/d/1-uDff_7J0KD5mKrp0Vvzr7lt3OU09vwQwhkpOPPYv2Y/edit?usp=sharing"",""งบพรบ!EG65"")"),0)</f>
        <v>0</v>
      </c>
      <c r="O312" s="74">
        <f t="shared" ca="1" si="193"/>
        <v>0</v>
      </c>
      <c r="P312" s="74">
        <f t="shared" ca="1" si="194"/>
        <v>0</v>
      </c>
      <c r="Q312" s="74">
        <v>0</v>
      </c>
      <c r="R312" s="74">
        <v>0</v>
      </c>
      <c r="S312" s="74">
        <v>0</v>
      </c>
      <c r="T312" s="74">
        <f t="shared" si="196"/>
        <v>0</v>
      </c>
      <c r="U312" s="74">
        <f t="shared" si="197"/>
        <v>0</v>
      </c>
    </row>
    <row r="313" spans="1:21" ht="19.5" hidden="1" x14ac:dyDescent="0.3">
      <c r="A313" s="276"/>
      <c r="B313" s="277"/>
      <c r="C313" s="259" t="s">
        <v>18</v>
      </c>
      <c r="D313" s="1019" t="s">
        <v>38</v>
      </c>
      <c r="E313" s="280"/>
      <c r="F313" s="280"/>
      <c r="G313" s="2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3"/>
      <c r="E314" s="285"/>
      <c r="F314" s="285"/>
      <c r="G314" s="286"/>
      <c r="H314" s="286"/>
      <c r="I314" s="287"/>
      <c r="J314" s="1252"/>
      <c r="K314" s="30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hidden="1" x14ac:dyDescent="0.25">
      <c r="A315" s="276"/>
      <c r="B315" s="277"/>
      <c r="C315" s="277"/>
      <c r="D315" s="295" t="s">
        <v>121</v>
      </c>
      <c r="E315" s="296"/>
      <c r="F315" s="296"/>
      <c r="G315" s="282"/>
      <c r="H315" s="299" t="s">
        <v>35</v>
      </c>
      <c r="I315" s="293">
        <f ca="1">IFERROR(__xludf.DUMMYFUNCTION("IMPORTRANGE(""https://docs.google.com/spreadsheets/d/1eHaY18a8A9IcSdp1K8H6x8fbOy06t2VsZHhMHf-1x7Y/edit?usp=sharing"",""แผน!EF65"")"),0)</f>
        <v>0</v>
      </c>
      <c r="J315" s="294">
        <v>0</v>
      </c>
      <c r="K315" s="74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308"/>
      <c r="I316" s="1252"/>
      <c r="J316" s="1252"/>
      <c r="K316" s="1255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308"/>
      <c r="I317" s="1252"/>
      <c r="J317" s="1252"/>
      <c r="K317" s="1255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283"/>
      <c r="B318" s="284"/>
      <c r="C318" s="284"/>
      <c r="D318" s="812"/>
      <c r="E318" s="285"/>
      <c r="F318" s="285"/>
      <c r="G318" s="286"/>
      <c r="H318" s="813"/>
      <c r="I318" s="887"/>
      <c r="J318" s="887"/>
      <c r="K318" s="888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5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1307" t="s">
        <v>133</v>
      </c>
      <c r="I320" s="617">
        <f t="shared" ref="I320:J320" ca="1" si="204">I331</f>
        <v>0</v>
      </c>
      <c r="J320" s="617">
        <f t="shared" si="204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1257">
        <f t="shared" ref="L321:N321" ca="1" si="205">L322+L323</f>
        <v>0</v>
      </c>
      <c r="M321" s="264">
        <f t="shared" ca="1" si="205"/>
        <v>0</v>
      </c>
      <c r="N321" s="264">
        <f t="shared" ca="1" si="205"/>
        <v>0</v>
      </c>
      <c r="O321" s="264">
        <f t="shared" ref="O321:O329" ca="1" si="206">IF(L321&gt;0,N321*100/L321,0)</f>
        <v>0</v>
      </c>
      <c r="P321" s="264">
        <f t="shared" ref="P321:P329" ca="1" si="207">IF(M321&gt;0,N321*100/M321,0)</f>
        <v>0</v>
      </c>
      <c r="Q321" s="264">
        <f t="shared" ref="Q321:S321" si="208">Q322+Q323</f>
        <v>0</v>
      </c>
      <c r="R321" s="264">
        <f t="shared" si="208"/>
        <v>0</v>
      </c>
      <c r="S321" s="264">
        <f t="shared" si="208"/>
        <v>0</v>
      </c>
      <c r="T321" s="264">
        <f t="shared" ref="T321:T329" si="209">IF(Q321&gt;0,S321*100/Q321,0)</f>
        <v>0</v>
      </c>
      <c r="U321" s="264">
        <f t="shared" ref="U321:U329" si="210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6">
        <f t="shared" ref="L322:N323" si="211">L325+L328</f>
        <v>0</v>
      </c>
      <c r="M322" s="77">
        <f t="shared" si="211"/>
        <v>0</v>
      </c>
      <c r="N322" s="77">
        <f t="shared" si="211"/>
        <v>0</v>
      </c>
      <c r="O322" s="77">
        <f t="shared" si="206"/>
        <v>0</v>
      </c>
      <c r="P322" s="77">
        <f t="shared" si="207"/>
        <v>0</v>
      </c>
      <c r="Q322" s="77">
        <f t="shared" ref="Q322:S323" si="212">Q325+Q328</f>
        <v>0</v>
      </c>
      <c r="R322" s="77">
        <f t="shared" si="212"/>
        <v>0</v>
      </c>
      <c r="S322" s="77">
        <f t="shared" si="212"/>
        <v>0</v>
      </c>
      <c r="T322" s="77">
        <f t="shared" si="209"/>
        <v>0</v>
      </c>
      <c r="U322" s="77">
        <f t="shared" si="210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3">
        <f t="shared" ca="1" si="211"/>
        <v>0</v>
      </c>
      <c r="M323" s="74">
        <f t="shared" ca="1" si="211"/>
        <v>0</v>
      </c>
      <c r="N323" s="74">
        <f t="shared" ca="1" si="211"/>
        <v>0</v>
      </c>
      <c r="O323" s="74">
        <f t="shared" ca="1" si="206"/>
        <v>0</v>
      </c>
      <c r="P323" s="74">
        <f t="shared" ca="1" si="207"/>
        <v>0</v>
      </c>
      <c r="Q323" s="74">
        <f t="shared" si="212"/>
        <v>0</v>
      </c>
      <c r="R323" s="74">
        <f t="shared" si="212"/>
        <v>0</v>
      </c>
      <c r="S323" s="74">
        <f t="shared" si="212"/>
        <v>0</v>
      </c>
      <c r="T323" s="74">
        <f t="shared" si="209"/>
        <v>0</v>
      </c>
      <c r="U323" s="74">
        <f t="shared" si="210"/>
        <v>0</v>
      </c>
    </row>
    <row r="324" spans="1:21" ht="18.75" hidden="1" x14ac:dyDescent="0.25">
      <c r="A324" s="257"/>
      <c r="B324" s="258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3">
        <f t="shared" ref="L324:N324" ca="1" si="213">L325+L326</f>
        <v>0</v>
      </c>
      <c r="M324" s="74">
        <f t="shared" ca="1" si="213"/>
        <v>0</v>
      </c>
      <c r="N324" s="74">
        <f t="shared" ca="1" si="213"/>
        <v>0</v>
      </c>
      <c r="O324" s="74">
        <f t="shared" ca="1" si="206"/>
        <v>0</v>
      </c>
      <c r="P324" s="74">
        <f t="shared" ca="1" si="207"/>
        <v>0</v>
      </c>
      <c r="Q324" s="74">
        <f t="shared" ref="Q324:S324" si="214">Q325+Q326</f>
        <v>0</v>
      </c>
      <c r="R324" s="74">
        <f t="shared" si="214"/>
        <v>0</v>
      </c>
      <c r="S324" s="74">
        <f t="shared" si="214"/>
        <v>0</v>
      </c>
      <c r="T324" s="74">
        <f t="shared" si="209"/>
        <v>0</v>
      </c>
      <c r="U324" s="74">
        <f t="shared" si="210"/>
        <v>0</v>
      </c>
    </row>
    <row r="325" spans="1:21" ht="18.75" hidden="1" x14ac:dyDescent="0.25">
      <c r="A325" s="257"/>
      <c r="B325" s="258"/>
      <c r="C325" s="258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77">
        <f t="shared" si="206"/>
        <v>0</v>
      </c>
      <c r="P325" s="77">
        <f t="shared" si="207"/>
        <v>0</v>
      </c>
      <c r="Q325" s="77">
        <v>0</v>
      </c>
      <c r="R325" s="77">
        <v>0</v>
      </c>
      <c r="S325" s="77">
        <v>0</v>
      </c>
      <c r="T325" s="77">
        <f t="shared" si="209"/>
        <v>0</v>
      </c>
      <c r="U325" s="77">
        <f t="shared" si="210"/>
        <v>0</v>
      </c>
    </row>
    <row r="326" spans="1:21" ht="18.75" hidden="1" x14ac:dyDescent="0.25">
      <c r="A326" s="257"/>
      <c r="B326" s="258"/>
      <c r="C326" s="258"/>
      <c r="D326" s="258"/>
      <c r="E326" s="267" t="s">
        <v>37</v>
      </c>
      <c r="F326" s="258"/>
      <c r="G326" s="261"/>
      <c r="H326" s="271" t="s">
        <v>14</v>
      </c>
      <c r="I326" s="272"/>
      <c r="J326" s="272"/>
      <c r="K326" s="229"/>
      <c r="L326" s="73">
        <f ca="1">IFERROR(__xludf.DUMMYFUNCTION("IMPORTRANGE(""https://docs.google.com/spreadsheets/d/1-uDff_7J0KD5mKrp0Vvzr7lt3OU09vwQwhkpOPPYv2Y/edit?usp=sharing"",""งบพรบ!EI65"")"),0)</f>
        <v>0</v>
      </c>
      <c r="M326" s="74">
        <f ca="1">IFERROR(__xludf.DUMMYFUNCTION("IMPORTRANGE(""https://docs.google.com/spreadsheets/d/1-uDff_7J0KD5mKrp0Vvzr7lt3OU09vwQwhkpOPPYv2Y/edit?usp=sharing"",""งบพรบ!EN65"")"),0)</f>
        <v>0</v>
      </c>
      <c r="N326" s="74">
        <f ca="1">IFERROR(__xludf.DUMMYFUNCTION("IMPORTRANGE(""https://docs.google.com/spreadsheets/d/1-uDff_7J0KD5mKrp0Vvzr7lt3OU09vwQwhkpOPPYv2Y/edit?usp=sharing"",""งบพรบ!EP65"")"),0)</f>
        <v>0</v>
      </c>
      <c r="O326" s="74">
        <f t="shared" ca="1" si="206"/>
        <v>0</v>
      </c>
      <c r="P326" s="74">
        <f t="shared" ca="1" si="207"/>
        <v>0</v>
      </c>
      <c r="Q326" s="74">
        <v>0</v>
      </c>
      <c r="R326" s="74">
        <v>0</v>
      </c>
      <c r="S326" s="74">
        <v>0</v>
      </c>
      <c r="T326" s="74">
        <f t="shared" si="209"/>
        <v>0</v>
      </c>
      <c r="U326" s="74">
        <f t="shared" si="210"/>
        <v>0</v>
      </c>
    </row>
    <row r="327" spans="1:21" ht="18.75" hidden="1" x14ac:dyDescent="0.25">
      <c r="A327" s="257"/>
      <c r="B327" s="258"/>
      <c r="C327" s="258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3">
        <f t="shared" ref="L327:N327" ca="1" si="215">L328+L329</f>
        <v>0</v>
      </c>
      <c r="M327" s="74">
        <f t="shared" ca="1" si="215"/>
        <v>0</v>
      </c>
      <c r="N327" s="74">
        <f t="shared" ca="1" si="215"/>
        <v>0</v>
      </c>
      <c r="O327" s="74">
        <f t="shared" ca="1" si="206"/>
        <v>0</v>
      </c>
      <c r="P327" s="74">
        <f t="shared" ca="1" si="207"/>
        <v>0</v>
      </c>
      <c r="Q327" s="74">
        <f t="shared" ref="Q327:S327" si="216">Q328+Q329</f>
        <v>0</v>
      </c>
      <c r="R327" s="74">
        <f t="shared" si="216"/>
        <v>0</v>
      </c>
      <c r="S327" s="74">
        <f t="shared" si="216"/>
        <v>0</v>
      </c>
      <c r="T327" s="74">
        <f t="shared" si="209"/>
        <v>0</v>
      </c>
      <c r="U327" s="74">
        <f t="shared" si="210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77">
        <f t="shared" si="206"/>
        <v>0</v>
      </c>
      <c r="P328" s="77">
        <f t="shared" si="207"/>
        <v>0</v>
      </c>
      <c r="Q328" s="77">
        <v>0</v>
      </c>
      <c r="R328" s="77">
        <v>0</v>
      </c>
      <c r="S328" s="77">
        <v>0</v>
      </c>
      <c r="T328" s="77">
        <f t="shared" si="209"/>
        <v>0</v>
      </c>
      <c r="U328" s="77">
        <f t="shared" si="210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3">
        <f ca="1">IFERROR(__xludf.DUMMYFUNCTION("IMPORTRANGE(""https://docs.google.com/spreadsheets/d/1-uDff_7J0KD5mKrp0Vvzr7lt3OU09vwQwhkpOPPYv2Y/edit?usp=sharing"",""งบพรบ!EL65"")"),0)</f>
        <v>0</v>
      </c>
      <c r="M329" s="74">
        <f ca="1">IFERROR(__xludf.DUMMYFUNCTION("IMPORTRANGE(""https://docs.google.com/spreadsheets/d/1-uDff_7J0KD5mKrp0Vvzr7lt3OU09vwQwhkpOPPYv2Y/edit?usp=sharing"",""งบพรบ!EO65"")"),0)</f>
        <v>0</v>
      </c>
      <c r="N329" s="74">
        <f ca="1">IFERROR(__xludf.DUMMYFUNCTION("IMPORTRANGE(""https://docs.google.com/spreadsheets/d/1-uDff_7J0KD5mKrp0Vvzr7lt3OU09vwQwhkpOPPYv2Y/edit?usp=sharing"",""งบพรบ!EQ65"")"),0)</f>
        <v>0</v>
      </c>
      <c r="O329" s="74">
        <f t="shared" ca="1" si="206"/>
        <v>0</v>
      </c>
      <c r="P329" s="74">
        <f t="shared" ca="1" si="207"/>
        <v>0</v>
      </c>
      <c r="Q329" s="74">
        <v>0</v>
      </c>
      <c r="R329" s="74">
        <v>0</v>
      </c>
      <c r="S329" s="74">
        <v>0</v>
      </c>
      <c r="T329" s="74">
        <f t="shared" si="209"/>
        <v>0</v>
      </c>
      <c r="U329" s="74">
        <f t="shared" si="210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282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92" t="s">
        <v>133</v>
      </c>
      <c r="I331" s="293">
        <f ca="1">IFERROR(__xludf.DUMMYFUNCTION("IMPORTRANGE(""https://docs.google.com/spreadsheets/d/1eHaY18a8A9IcSdp1K8H6x8fbOy06t2VsZHhMHf-1x7Y/edit?usp=sharing"",""แผน!EJ65"")"),0)</f>
        <v>0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5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1307" t="s">
        <v>35</v>
      </c>
      <c r="I333" s="534">
        <f ca="1">I345</f>
        <v>460</v>
      </c>
      <c r="J333" s="535">
        <f ca="1">J345+J348+J349+J350+J354</f>
        <v>1113</v>
      </c>
      <c r="K333" s="536">
        <f ca="1">IF(I333&gt;0,J333*100/I333,0)</f>
        <v>241.95652173913044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1257">
        <f t="shared" ref="L334:N334" ca="1" si="217">L335+L336</f>
        <v>220600</v>
      </c>
      <c r="M334" s="264">
        <f t="shared" ca="1" si="217"/>
        <v>225600</v>
      </c>
      <c r="N334" s="264">
        <f t="shared" ca="1" si="217"/>
        <v>136940</v>
      </c>
      <c r="O334" s="264">
        <f t="shared" ref="O334:O342" ca="1" si="218">IF(L334&gt;0,N334*100/L334,0)</f>
        <v>62.076155938349956</v>
      </c>
      <c r="P334" s="264">
        <f t="shared" ref="P334:P342" ca="1" si="219">IF(M334&gt;0,N334*100/M334,0)</f>
        <v>60.700354609929079</v>
      </c>
      <c r="Q334" s="264">
        <f t="shared" ref="Q334:S334" si="220">Q335+Q336</f>
        <v>0</v>
      </c>
      <c r="R334" s="264">
        <f t="shared" si="220"/>
        <v>0</v>
      </c>
      <c r="S334" s="264">
        <f t="shared" si="220"/>
        <v>0</v>
      </c>
      <c r="T334" s="264">
        <f t="shared" ref="T334:T342" si="221">IF(Q334&gt;0,S334*100/Q334,0)</f>
        <v>0</v>
      </c>
      <c r="U334" s="264">
        <f t="shared" ref="U334:U342" si="222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6">
        <f t="shared" ref="L335:N336" si="223">L338+L341</f>
        <v>0</v>
      </c>
      <c r="M335" s="77">
        <f t="shared" si="223"/>
        <v>0</v>
      </c>
      <c r="N335" s="77">
        <f t="shared" si="223"/>
        <v>0</v>
      </c>
      <c r="O335" s="77">
        <f t="shared" si="218"/>
        <v>0</v>
      </c>
      <c r="P335" s="77">
        <f t="shared" si="219"/>
        <v>0</v>
      </c>
      <c r="Q335" s="77">
        <f t="shared" ref="Q335:S336" si="224">Q338+Q341</f>
        <v>0</v>
      </c>
      <c r="R335" s="77">
        <f t="shared" si="224"/>
        <v>0</v>
      </c>
      <c r="S335" s="77">
        <f t="shared" si="224"/>
        <v>0</v>
      </c>
      <c r="T335" s="77">
        <f t="shared" si="221"/>
        <v>0</v>
      </c>
      <c r="U335" s="77">
        <f t="shared" si="222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3">
        <f t="shared" ca="1" si="223"/>
        <v>220600</v>
      </c>
      <c r="M336" s="74">
        <f t="shared" ca="1" si="223"/>
        <v>225600</v>
      </c>
      <c r="N336" s="74">
        <f t="shared" ca="1" si="223"/>
        <v>136940</v>
      </c>
      <c r="O336" s="74">
        <f t="shared" ca="1" si="218"/>
        <v>62.076155938349956</v>
      </c>
      <c r="P336" s="74">
        <f t="shared" ca="1" si="219"/>
        <v>60.700354609929079</v>
      </c>
      <c r="Q336" s="74">
        <f t="shared" si="224"/>
        <v>0</v>
      </c>
      <c r="R336" s="74">
        <f t="shared" si="224"/>
        <v>0</v>
      </c>
      <c r="S336" s="74">
        <f t="shared" si="224"/>
        <v>0</v>
      </c>
      <c r="T336" s="74">
        <f t="shared" si="221"/>
        <v>0</v>
      </c>
      <c r="U336" s="74">
        <f t="shared" si="222"/>
        <v>0</v>
      </c>
    </row>
    <row r="337" spans="1:21" ht="18.75" x14ac:dyDescent="0.25">
      <c r="A337" s="257"/>
      <c r="B337" s="258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3">
        <f t="shared" ref="L337:N337" ca="1" si="225">L338+L339</f>
        <v>220600</v>
      </c>
      <c r="M337" s="74">
        <f t="shared" ca="1" si="225"/>
        <v>225600</v>
      </c>
      <c r="N337" s="74">
        <f t="shared" ca="1" si="225"/>
        <v>136940</v>
      </c>
      <c r="O337" s="74">
        <f t="shared" ca="1" si="218"/>
        <v>62.076155938349956</v>
      </c>
      <c r="P337" s="74">
        <f t="shared" ca="1" si="219"/>
        <v>60.700354609929079</v>
      </c>
      <c r="Q337" s="74">
        <f t="shared" ref="Q337:S337" si="226">Q338+Q339</f>
        <v>0</v>
      </c>
      <c r="R337" s="74">
        <f t="shared" si="226"/>
        <v>0</v>
      </c>
      <c r="S337" s="74">
        <f t="shared" si="226"/>
        <v>0</v>
      </c>
      <c r="T337" s="74">
        <f t="shared" si="221"/>
        <v>0</v>
      </c>
      <c r="U337" s="74">
        <f t="shared" si="222"/>
        <v>0</v>
      </c>
    </row>
    <row r="338" spans="1:21" ht="18.75" hidden="1" x14ac:dyDescent="0.25">
      <c r="A338" s="257"/>
      <c r="B338" s="258"/>
      <c r="C338" s="258"/>
      <c r="D338" s="258"/>
      <c r="E338" s="26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77">
        <f t="shared" si="218"/>
        <v>0</v>
      </c>
      <c r="P338" s="77">
        <f t="shared" si="219"/>
        <v>0</v>
      </c>
      <c r="Q338" s="77">
        <v>0</v>
      </c>
      <c r="R338" s="77">
        <v>0</v>
      </c>
      <c r="S338" s="77">
        <v>0</v>
      </c>
      <c r="T338" s="77">
        <f t="shared" si="221"/>
        <v>0</v>
      </c>
      <c r="U338" s="77">
        <f t="shared" si="222"/>
        <v>0</v>
      </c>
    </row>
    <row r="339" spans="1:21" ht="18.75" hidden="1" x14ac:dyDescent="0.25">
      <c r="A339" s="257"/>
      <c r="B339" s="258"/>
      <c r="C339" s="258"/>
      <c r="D339" s="258"/>
      <c r="E339" s="267" t="s">
        <v>37</v>
      </c>
      <c r="F339" s="258"/>
      <c r="G339" s="261"/>
      <c r="H339" s="271" t="s">
        <v>14</v>
      </c>
      <c r="I339" s="272"/>
      <c r="J339" s="272"/>
      <c r="K339" s="229"/>
      <c r="L339" s="73">
        <f ca="1">IFERROR(__xludf.DUMMYFUNCTION("IMPORTRANGE(""https://docs.google.com/spreadsheets/d/1-uDff_7J0KD5mKrp0Vvzr7lt3OU09vwQwhkpOPPYv2Y/edit?usp=sharing"",""งบพรบ!ES65"")"),220600)</f>
        <v>220600</v>
      </c>
      <c r="M339" s="74">
        <f ca="1">IFERROR(__xludf.DUMMYFUNCTION("IMPORTRANGE(""https://docs.google.com/spreadsheets/d/1-uDff_7J0KD5mKrp0Vvzr7lt3OU09vwQwhkpOPPYv2Y/edit?usp=sharing"",""งบพรบ!EX65"")"),225600)</f>
        <v>225600</v>
      </c>
      <c r="N339" s="74">
        <f ca="1">IFERROR(__xludf.DUMMYFUNCTION("IMPORTRANGE(""https://docs.google.com/spreadsheets/d/1-uDff_7J0KD5mKrp0Vvzr7lt3OU09vwQwhkpOPPYv2Y/edit?usp=sharing"",""งบพรบ!EZ65"")"),136940)</f>
        <v>136940</v>
      </c>
      <c r="O339" s="74">
        <f t="shared" ca="1" si="218"/>
        <v>62.076155938349956</v>
      </c>
      <c r="P339" s="74">
        <f t="shared" ca="1" si="219"/>
        <v>60.700354609929079</v>
      </c>
      <c r="Q339" s="74">
        <v>0</v>
      </c>
      <c r="R339" s="74">
        <v>0</v>
      </c>
      <c r="S339" s="74">
        <v>0</v>
      </c>
      <c r="T339" s="74">
        <f t="shared" si="221"/>
        <v>0</v>
      </c>
      <c r="U339" s="74">
        <f t="shared" si="222"/>
        <v>0</v>
      </c>
    </row>
    <row r="340" spans="1:21" ht="18.75" x14ac:dyDescent="0.25">
      <c r="A340" s="257"/>
      <c r="B340" s="258"/>
      <c r="C340" s="258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3">
        <f t="shared" ref="L340:N340" ca="1" si="227">L341+L342</f>
        <v>0</v>
      </c>
      <c r="M340" s="74">
        <f t="shared" ca="1" si="227"/>
        <v>0</v>
      </c>
      <c r="N340" s="74">
        <f t="shared" ca="1" si="227"/>
        <v>0</v>
      </c>
      <c r="O340" s="74">
        <f t="shared" ca="1" si="218"/>
        <v>0</v>
      </c>
      <c r="P340" s="74">
        <f t="shared" ca="1" si="219"/>
        <v>0</v>
      </c>
      <c r="Q340" s="74">
        <f t="shared" ref="Q340:S340" si="228">Q341+Q342</f>
        <v>0</v>
      </c>
      <c r="R340" s="74">
        <f t="shared" si="228"/>
        <v>0</v>
      </c>
      <c r="S340" s="74">
        <f t="shared" si="228"/>
        <v>0</v>
      </c>
      <c r="T340" s="74">
        <f t="shared" si="221"/>
        <v>0</v>
      </c>
      <c r="U340" s="74">
        <f t="shared" si="222"/>
        <v>0</v>
      </c>
    </row>
    <row r="341" spans="1:21" ht="18.75" hidden="1" x14ac:dyDescent="0.25">
      <c r="A341" s="257"/>
      <c r="B341" s="258"/>
      <c r="C341" s="258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77">
        <f t="shared" si="218"/>
        <v>0</v>
      </c>
      <c r="P341" s="77">
        <f t="shared" si="219"/>
        <v>0</v>
      </c>
      <c r="Q341" s="77">
        <v>0</v>
      </c>
      <c r="R341" s="77">
        <v>0</v>
      </c>
      <c r="S341" s="77">
        <v>0</v>
      </c>
      <c r="T341" s="77">
        <f t="shared" si="221"/>
        <v>0</v>
      </c>
      <c r="U341" s="77">
        <f t="shared" si="222"/>
        <v>0</v>
      </c>
    </row>
    <row r="342" spans="1:21" ht="18.75" hidden="1" x14ac:dyDescent="0.25">
      <c r="A342" s="257"/>
      <c r="B342" s="258"/>
      <c r="C342" s="258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3">
        <f ca="1">IFERROR(__xludf.DUMMYFUNCTION("IMPORTRANGE(""https://docs.google.com/spreadsheets/d/1-uDff_7J0KD5mKrp0Vvzr7lt3OU09vwQwhkpOPPYv2Y/edit?usp=sharing"",""งบพรบ!EV65"")"),0)</f>
        <v>0</v>
      </c>
      <c r="M342" s="74">
        <f ca="1">IFERROR(__xludf.DUMMYFUNCTION("IMPORTRANGE(""https://docs.google.com/spreadsheets/d/1-uDff_7J0KD5mKrp0Vvzr7lt3OU09vwQwhkpOPPYv2Y/edit?usp=sharing"",""งบพรบ!EY65"")"),0)</f>
        <v>0</v>
      </c>
      <c r="N342" s="74">
        <f ca="1">IFERROR(__xludf.DUMMYFUNCTION("IMPORTRANGE(""https://docs.google.com/spreadsheets/d/1-uDff_7J0KD5mKrp0Vvzr7lt3OU09vwQwhkpOPPYv2Y/edit?usp=sharing"",""งบพรบ!FA65"")"),0)</f>
        <v>0</v>
      </c>
      <c r="O342" s="74">
        <f t="shared" ca="1" si="218"/>
        <v>0</v>
      </c>
      <c r="P342" s="74">
        <f t="shared" ca="1" si="219"/>
        <v>0</v>
      </c>
      <c r="Q342" s="74">
        <v>0</v>
      </c>
      <c r="R342" s="74">
        <v>0</v>
      </c>
      <c r="S342" s="74">
        <v>0</v>
      </c>
      <c r="T342" s="74">
        <f t="shared" si="221"/>
        <v>0</v>
      </c>
      <c r="U342" s="74">
        <f t="shared" si="222"/>
        <v>0</v>
      </c>
    </row>
    <row r="343" spans="1:21" ht="19.5" x14ac:dyDescent="0.3">
      <c r="A343" s="276"/>
      <c r="B343" s="277"/>
      <c r="C343" s="259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177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551" t="s">
        <v>35</v>
      </c>
      <c r="I345" s="293">
        <f ca="1">IFERROR(__xludf.DUMMYFUNCTION("IMPORTRANGE(""https://docs.google.com/spreadsheets/d/1eHaY18a8A9IcSdp1K8H6x8fbOy06t2VsZHhMHf-1x7Y/edit?usp=sharing"",""แผน!EK65"")"),460)</f>
        <v>460</v>
      </c>
      <c r="J345" s="293">
        <f ca="1">IFERROR(__xludf.DUMMYFUNCTION("IMPORTRANGE(""https://docs.google.com/spreadsheets/d/1awYsYK3VOup2i3Pq_Yjnu8DRu_mYwSBnCR2QPthd0rU/edit?usp=sharing"",""ศูนย์ยกเว้นโฉนด!D65"")"),133)</f>
        <v>133</v>
      </c>
      <c r="K345" s="74">
        <f ca="1">IF(I345&gt;0,J345*100/I345,0)</f>
        <v>28.913043478260871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IFERROR(__xludf.DUMMYFUNCTION("IMPORTRANGE(""https://docs.google.com/spreadsheets/d/1eHaY18a8A9IcSdp1K8H6x8fbOy06t2VsZHhMHf-1x7Y/edit?usp=sharing"",""แผน!EL65"")"),3)</f>
        <v>3</v>
      </c>
      <c r="J347" s="293">
        <f ca="1">IFERROR(__xludf.DUMMYFUNCTION("IMPORTRANGE(""https://docs.google.com/spreadsheets/d/1awYsYK3VOup2i3Pq_Yjnu8DRu_mYwSBnCR2QPthd0rU/edit?usp=sharing"",""ศูนย์รวม!E65"")"),2)</f>
        <v>2</v>
      </c>
      <c r="K347" s="74">
        <f ca="1">IF(I347&gt;0,J347*100/I347,0)</f>
        <v>66.666666666666671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IFERROR(__xludf.DUMMYFUNCTION("IMPORTRANGE(""https://docs.google.com/spreadsheets/d/1awYsYK3VOup2i3Pq_Yjnu8DRu_mYwSBnCR2QPthd0rU/edit?usp=sharing"",""ศูนย์ยกเว้นโฉนด!F65"")"),29)</f>
        <v>29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IFERROR(__xludf.DUMMYFUNCTION("IMPORTRANGE(""https://docs.google.com/spreadsheets/d/1awYsYK3VOup2i3Pq_Yjnu8DRu_mYwSBnCR2QPthd0rU/edit?usp=sharing"",""ศูนย์ยกเว้นโฉนด!G65"")"),15)</f>
        <v>15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IFERROR(__xludf.DUMMYFUNCTION("IMPORTRANGE(""https://docs.google.com/spreadsheets/d/1awYsYK3VOup2i3Pq_Yjnu8DRu_mYwSBnCR2QPthd0rU/edit?usp=sharing"",""ศูนย์ยกเว้นโฉนด!H65"")"),0)</f>
        <v>0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558" t="s">
        <v>35</v>
      </c>
      <c r="I352" s="559">
        <v>0</v>
      </c>
      <c r="J352" s="559">
        <f ca="1">J353+J354</f>
        <v>944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IFERROR(__xludf.DUMMYFUNCTION("IMPORTRANGE(""https://docs.google.com/spreadsheets/d/1awYsYK3VOup2i3Pq_Yjnu8DRu_mYwSBnCR2QPthd0rU/edit?usp=sharing"",""โฉนดM3!G65"")"),8)</f>
        <v>8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IFERROR(__xludf.DUMMYFUNCTION("IMPORTRANGE(""https://docs.google.com/spreadsheets/d/1awYsYK3VOup2i3Pq_Yjnu8DRu_mYwSBnCR2QPthd0rU/edit?usp=sharing"",""โฉนดM3!H65"")"),936)</f>
        <v>936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08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1257">
        <f t="shared" ref="L357:N357" ca="1" si="229">L358+L359</f>
        <v>227690</v>
      </c>
      <c r="M357" s="264">
        <f t="shared" ca="1" si="229"/>
        <v>227690</v>
      </c>
      <c r="N357" s="264">
        <f t="shared" ca="1" si="229"/>
        <v>106480</v>
      </c>
      <c r="O357" s="264">
        <f t="shared" ref="O357:O365" ca="1" si="230">IF(L357&gt;0,N357*100/L357,0)</f>
        <v>46.76533883789363</v>
      </c>
      <c r="P357" s="264">
        <f t="shared" ref="P357:P365" ca="1" si="231">IF(M357&gt;0,N357*100/M357,0)</f>
        <v>46.76533883789363</v>
      </c>
      <c r="Q357" s="264">
        <f t="shared" ref="Q357:S357" si="232">Q358+Q359</f>
        <v>0</v>
      </c>
      <c r="R357" s="264">
        <f t="shared" si="232"/>
        <v>0</v>
      </c>
      <c r="S357" s="264">
        <f t="shared" si="232"/>
        <v>0</v>
      </c>
      <c r="T357" s="264">
        <f t="shared" ref="T357:T365" si="233">IF(Q357&gt;0,S357*100/Q357,0)</f>
        <v>0</v>
      </c>
      <c r="U357" s="264">
        <f t="shared" ref="U357:U365" si="234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6">
        <f t="shared" ref="L358:N359" si="235">L361+L364</f>
        <v>0</v>
      </c>
      <c r="M358" s="77">
        <f t="shared" si="235"/>
        <v>0</v>
      </c>
      <c r="N358" s="77">
        <f t="shared" si="235"/>
        <v>0</v>
      </c>
      <c r="O358" s="77">
        <f t="shared" si="230"/>
        <v>0</v>
      </c>
      <c r="P358" s="77">
        <f t="shared" si="231"/>
        <v>0</v>
      </c>
      <c r="Q358" s="77">
        <f t="shared" ref="Q358:S359" si="236">Q361+Q364</f>
        <v>0</v>
      </c>
      <c r="R358" s="77">
        <f t="shared" si="236"/>
        <v>0</v>
      </c>
      <c r="S358" s="77">
        <f t="shared" si="236"/>
        <v>0</v>
      </c>
      <c r="T358" s="77">
        <f t="shared" si="233"/>
        <v>0</v>
      </c>
      <c r="U358" s="77">
        <f t="shared" si="234"/>
        <v>0</v>
      </c>
    </row>
    <row r="359" spans="1:21" ht="18.75" hidden="1" x14ac:dyDescent="0.25">
      <c r="A359" s="257"/>
      <c r="B359" s="258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3">
        <f t="shared" ca="1" si="235"/>
        <v>227690</v>
      </c>
      <c r="M359" s="74">
        <f t="shared" ca="1" si="235"/>
        <v>227690</v>
      </c>
      <c r="N359" s="74">
        <f t="shared" ca="1" si="235"/>
        <v>106480</v>
      </c>
      <c r="O359" s="74">
        <f t="shared" ca="1" si="230"/>
        <v>46.76533883789363</v>
      </c>
      <c r="P359" s="74">
        <f t="shared" ca="1" si="231"/>
        <v>46.76533883789363</v>
      </c>
      <c r="Q359" s="74">
        <f t="shared" si="236"/>
        <v>0</v>
      </c>
      <c r="R359" s="74">
        <f t="shared" si="236"/>
        <v>0</v>
      </c>
      <c r="S359" s="74">
        <f t="shared" si="236"/>
        <v>0</v>
      </c>
      <c r="T359" s="74">
        <f t="shared" si="233"/>
        <v>0</v>
      </c>
      <c r="U359" s="74">
        <f t="shared" si="234"/>
        <v>0</v>
      </c>
    </row>
    <row r="360" spans="1:21" ht="18.75" x14ac:dyDescent="0.25">
      <c r="A360" s="257"/>
      <c r="B360" s="258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3">
        <f t="shared" ref="L360:N360" ca="1" si="237">L361+L362</f>
        <v>227690</v>
      </c>
      <c r="M360" s="74">
        <f t="shared" ca="1" si="237"/>
        <v>227690</v>
      </c>
      <c r="N360" s="74">
        <f t="shared" ca="1" si="237"/>
        <v>106480</v>
      </c>
      <c r="O360" s="74">
        <f t="shared" ca="1" si="230"/>
        <v>46.76533883789363</v>
      </c>
      <c r="P360" s="74">
        <f t="shared" ca="1" si="231"/>
        <v>46.76533883789363</v>
      </c>
      <c r="Q360" s="74">
        <f t="shared" ref="Q360:S360" si="238">Q361+Q362</f>
        <v>0</v>
      </c>
      <c r="R360" s="74">
        <f t="shared" si="238"/>
        <v>0</v>
      </c>
      <c r="S360" s="74">
        <f t="shared" si="238"/>
        <v>0</v>
      </c>
      <c r="T360" s="74">
        <f t="shared" si="233"/>
        <v>0</v>
      </c>
      <c r="U360" s="74">
        <f t="shared" si="234"/>
        <v>0</v>
      </c>
    </row>
    <row r="361" spans="1:21" ht="18.75" hidden="1" x14ac:dyDescent="0.25">
      <c r="A361" s="257"/>
      <c r="B361" s="258"/>
      <c r="C361" s="258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77">
        <f t="shared" si="230"/>
        <v>0</v>
      </c>
      <c r="P361" s="77">
        <f t="shared" si="231"/>
        <v>0</v>
      </c>
      <c r="Q361" s="77">
        <v>0</v>
      </c>
      <c r="R361" s="77">
        <v>0</v>
      </c>
      <c r="S361" s="77">
        <v>0</v>
      </c>
      <c r="T361" s="77">
        <f t="shared" si="233"/>
        <v>0</v>
      </c>
      <c r="U361" s="77">
        <f t="shared" si="234"/>
        <v>0</v>
      </c>
    </row>
    <row r="362" spans="1:21" ht="18.75" hidden="1" x14ac:dyDescent="0.25">
      <c r="A362" s="257"/>
      <c r="B362" s="258"/>
      <c r="C362" s="258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3">
        <f ca="1">IFERROR(__xludf.DUMMYFUNCTION("IMPORTRANGE(""https://docs.google.com/spreadsheets/d/1-uDff_7J0KD5mKrp0Vvzr7lt3OU09vwQwhkpOPPYv2Y/edit?usp=sharing"",""งบพรบ!FC65"")"),227690)</f>
        <v>227690</v>
      </c>
      <c r="M362" s="74">
        <f ca="1">IFERROR(__xludf.DUMMYFUNCTION("IMPORTRANGE(""https://docs.google.com/spreadsheets/d/1-uDff_7J0KD5mKrp0Vvzr7lt3OU09vwQwhkpOPPYv2Y/edit?usp=sharing"",""งบพรบ!FH65"")"),227690)</f>
        <v>227690</v>
      </c>
      <c r="N362" s="74">
        <f ca="1">IFERROR(__xludf.DUMMYFUNCTION("IMPORTRANGE(""https://docs.google.com/spreadsheets/d/1-uDff_7J0KD5mKrp0Vvzr7lt3OU09vwQwhkpOPPYv2Y/edit?usp=sharing"",""งบพรบ!FJ65"")"),106480)</f>
        <v>106480</v>
      </c>
      <c r="O362" s="74">
        <f t="shared" ca="1" si="230"/>
        <v>46.76533883789363</v>
      </c>
      <c r="P362" s="74">
        <f t="shared" ca="1" si="231"/>
        <v>46.76533883789363</v>
      </c>
      <c r="Q362" s="74">
        <v>0</v>
      </c>
      <c r="R362" s="74">
        <v>0</v>
      </c>
      <c r="S362" s="74">
        <v>0</v>
      </c>
      <c r="T362" s="74">
        <f t="shared" si="233"/>
        <v>0</v>
      </c>
      <c r="U362" s="74">
        <f t="shared" si="234"/>
        <v>0</v>
      </c>
    </row>
    <row r="363" spans="1:21" ht="18.75" x14ac:dyDescent="0.25">
      <c r="A363" s="257"/>
      <c r="B363" s="258"/>
      <c r="C363" s="258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3">
        <f t="shared" ref="L363:N363" ca="1" si="239">L364+L365</f>
        <v>0</v>
      </c>
      <c r="M363" s="74">
        <f t="shared" ca="1" si="239"/>
        <v>0</v>
      </c>
      <c r="N363" s="74">
        <f t="shared" ca="1" si="239"/>
        <v>0</v>
      </c>
      <c r="O363" s="74">
        <f t="shared" ca="1" si="230"/>
        <v>0</v>
      </c>
      <c r="P363" s="74">
        <f t="shared" ca="1" si="231"/>
        <v>0</v>
      </c>
      <c r="Q363" s="74">
        <f t="shared" ref="Q363:S363" si="240">Q364+Q365</f>
        <v>0</v>
      </c>
      <c r="R363" s="74">
        <f t="shared" si="240"/>
        <v>0</v>
      </c>
      <c r="S363" s="74">
        <f t="shared" si="240"/>
        <v>0</v>
      </c>
      <c r="T363" s="74">
        <f t="shared" si="233"/>
        <v>0</v>
      </c>
      <c r="U363" s="74">
        <f t="shared" si="234"/>
        <v>0</v>
      </c>
    </row>
    <row r="364" spans="1:21" ht="18.75" hidden="1" x14ac:dyDescent="0.25">
      <c r="A364" s="257"/>
      <c r="B364" s="258"/>
      <c r="C364" s="258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77">
        <f t="shared" si="230"/>
        <v>0</v>
      </c>
      <c r="P364" s="77">
        <f t="shared" si="231"/>
        <v>0</v>
      </c>
      <c r="Q364" s="77">
        <v>0</v>
      </c>
      <c r="R364" s="77">
        <v>0</v>
      </c>
      <c r="S364" s="77">
        <v>0</v>
      </c>
      <c r="T364" s="77">
        <f t="shared" si="233"/>
        <v>0</v>
      </c>
      <c r="U364" s="77">
        <f t="shared" si="234"/>
        <v>0</v>
      </c>
    </row>
    <row r="365" spans="1:21" ht="18.75" hidden="1" x14ac:dyDescent="0.25">
      <c r="A365" s="257"/>
      <c r="B365" s="258"/>
      <c r="C365" s="258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3">
        <f ca="1">IFERROR(__xludf.DUMMYFUNCTION("IMPORTRANGE(""https://docs.google.com/spreadsheets/d/1-uDff_7J0KD5mKrp0Vvzr7lt3OU09vwQwhkpOPPYv2Y/edit?usp=sharing"",""งบพรบ!FF65"")"),0)</f>
        <v>0</v>
      </c>
      <c r="M365" s="74">
        <f ca="1">IFERROR(__xludf.DUMMYFUNCTION("IMPORTRANGE(""https://docs.google.com/spreadsheets/d/1-uDff_7J0KD5mKrp0Vvzr7lt3OU09vwQwhkpOPPYv2Y/edit?usp=sharing"",""งบพรบ!FI65"")"),0)</f>
        <v>0</v>
      </c>
      <c r="N365" s="74">
        <f ca="1">IFERROR(__xludf.DUMMYFUNCTION("IMPORTRANGE(""https://docs.google.com/spreadsheets/d/1-uDff_7J0KD5mKrp0Vvzr7lt3OU09vwQwhkpOPPYv2Y/edit?usp=sharing"",""งบพรบ!FK65"")"),0)</f>
        <v>0</v>
      </c>
      <c r="O365" s="74">
        <f t="shared" ca="1" si="230"/>
        <v>0</v>
      </c>
      <c r="P365" s="74">
        <f t="shared" ca="1" si="231"/>
        <v>0</v>
      </c>
      <c r="Q365" s="74">
        <v>0</v>
      </c>
      <c r="R365" s="74">
        <v>0</v>
      </c>
      <c r="S365" s="74">
        <v>0</v>
      </c>
      <c r="T365" s="74">
        <f t="shared" si="233"/>
        <v>0</v>
      </c>
      <c r="U365" s="74">
        <f t="shared" si="234"/>
        <v>0</v>
      </c>
    </row>
    <row r="366" spans="1:21" ht="19.5" x14ac:dyDescent="0.3">
      <c r="A366" s="553"/>
      <c r="B366" s="555"/>
      <c r="C366" s="554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1">I372</f>
        <v>29</v>
      </c>
      <c r="J366" s="559">
        <f t="shared" ca="1" si="241"/>
        <v>8</v>
      </c>
      <c r="K366" s="560">
        <f ca="1">IF(I366&gt;0,J366*100/I366,0)</f>
        <v>27.586206896551722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259" t="s">
        <v>18</v>
      </c>
      <c r="D367" s="1019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96"/>
      <c r="C368" s="277"/>
      <c r="D368" s="296"/>
      <c r="E368" s="767" t="s">
        <v>150</v>
      </c>
      <c r="F368" s="296"/>
      <c r="G368" s="282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IFERROR(__xludf.DUMMYFUNCTION("IMPORTRANGE(""https://docs.google.com/spreadsheets/d/1tdoBKaGub7dwA3U6UFTqxio9LNnvDCQjHKmttSEBsFQ/edit?usp=sharing"",""จัดที่ดิน!AB65"")"),3)</f>
        <v>3</v>
      </c>
      <c r="K368" s="74">
        <f t="shared" ref="K368:K373" si="242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IFERROR(__xludf.DUMMYFUNCTION("IMPORTRANGE(""https://docs.google.com/spreadsheets/d/1eHaY18a8A9IcSdp1K8H6x8fbOy06t2VsZHhMHf-1x7Y/edit?usp=sharing"",""แผน!EW65"")"),205)</f>
        <v>205</v>
      </c>
      <c r="J369" s="1190">
        <f ca="1">IFERROR(__xludf.DUMMYFUNCTION("IMPORTRANGE(""https://docs.google.com/spreadsheets/d/1tdoBKaGub7dwA3U6UFTqxio9LNnvDCQjHKmttSEBsFQ/edit?usp=sharing"",""จัดที่ดิน!AC65"")"),35.02)</f>
        <v>35.020000000000003</v>
      </c>
      <c r="K369" s="74">
        <f t="shared" ca="1" si="242"/>
        <v>17.082926829268295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99" t="s">
        <v>35</v>
      </c>
      <c r="I370" s="293">
        <f ca="1">IFERROR(__xludf.DUMMYFUNCTION("IMPORTRANGE(""https://docs.google.com/spreadsheets/d/1eHaY18a8A9IcSdp1K8H6x8fbOy06t2VsZHhMHf-1x7Y/edit?usp=sharing"",""แผน!EX65"")"),35)</f>
        <v>35</v>
      </c>
      <c r="J370" s="293">
        <f ca="1">IFERROR(__xludf.DUMMYFUNCTION("IMPORTRANGE(""https://docs.google.com/spreadsheets/d/1tdoBKaGub7dwA3U6UFTqxio9LNnvDCQjHKmttSEBsFQ/edit?usp=sharing"",""จัดที่ดิน!AD65"")"),13)</f>
        <v>13</v>
      </c>
      <c r="K370" s="74">
        <f t="shared" ca="1" si="242"/>
        <v>37.142857142857146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99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IFERROR(__xludf.DUMMYFUNCTION("IMPORTRANGE(""https://docs.google.com/spreadsheets/d/1tdoBKaGub7dwA3U6UFTqxio9LNnvDCQjHKmttSEBsFQ/edit?usp=sharing"",""จัดที่ดิน!AE65"")"),195.37)</f>
        <v>195.37</v>
      </c>
      <c r="K371" s="74">
        <f t="shared" si="242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99" t="s">
        <v>35</v>
      </c>
      <c r="I372" s="293">
        <f ca="1">IFERROR(__xludf.DUMMYFUNCTION("IMPORTRANGE(""https://docs.google.com/spreadsheets/d/1eHaY18a8A9IcSdp1K8H6x8fbOy06t2VsZHhMHf-1x7Y/edit?usp=sharing"",""แผน!EY65"")"),29)</f>
        <v>29</v>
      </c>
      <c r="J372" s="293">
        <f ca="1">IFERROR(__xludf.DUMMYFUNCTION("IMPORTRANGE(""https://docs.google.com/spreadsheets/d/1tdoBKaGub7dwA3U6UFTqxio9LNnvDCQjHKmttSEBsFQ/edit?usp=sharing"",""จัดที่ดิน!AF65"")"),8)</f>
        <v>8</v>
      </c>
      <c r="K372" s="74">
        <f t="shared" ca="1" si="242"/>
        <v>27.586206896551722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99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IFERROR(__xludf.DUMMYFUNCTION("IMPORTRANGE(""https://docs.google.com/spreadsheets/d/1tdoBKaGub7dwA3U6UFTqxio9LNnvDCQjHKmttSEBsFQ/edit?usp=sharing"",""จัดที่ดิน!AG65"")"),103.5)</f>
        <v>103.5</v>
      </c>
      <c r="K373" s="74">
        <f t="shared" si="242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37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hidden="1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3">I386</f>
        <v>0</v>
      </c>
      <c r="J375" s="585">
        <f t="shared" si="243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hidden="1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1257">
        <f t="shared" ref="L376:N376" si="244">L377+L378</f>
        <v>0</v>
      </c>
      <c r="M376" s="264">
        <f t="shared" si="244"/>
        <v>0</v>
      </c>
      <c r="N376" s="264">
        <f t="shared" si="244"/>
        <v>0</v>
      </c>
      <c r="O376" s="264">
        <f t="shared" ref="O376:O384" si="245">IF(L376&gt;0,N376*100/L376,0)</f>
        <v>0</v>
      </c>
      <c r="P376" s="264">
        <f t="shared" ref="P376:P384" si="246">IF(M376&gt;0,N376*100/M376,0)</f>
        <v>0</v>
      </c>
      <c r="Q376" s="264">
        <f t="shared" ref="Q376:S376" ca="1" si="247">Q377+Q378</f>
        <v>0</v>
      </c>
      <c r="R376" s="264">
        <f t="shared" ca="1" si="247"/>
        <v>0</v>
      </c>
      <c r="S376" s="264">
        <f t="shared" ca="1" si="247"/>
        <v>0</v>
      </c>
      <c r="T376" s="264">
        <f t="shared" ref="T376:T384" ca="1" si="248">IF(Q376&gt;0,S376*100/Q376,0)</f>
        <v>0</v>
      </c>
      <c r="U376" s="264">
        <f t="shared" ref="U376:U384" ca="1" si="249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6">
        <f t="shared" ref="L377:N378" si="250">L380+L383</f>
        <v>0</v>
      </c>
      <c r="M377" s="77">
        <f t="shared" si="250"/>
        <v>0</v>
      </c>
      <c r="N377" s="77">
        <f t="shared" si="250"/>
        <v>0</v>
      </c>
      <c r="O377" s="77">
        <f t="shared" si="245"/>
        <v>0</v>
      </c>
      <c r="P377" s="77">
        <f t="shared" si="246"/>
        <v>0</v>
      </c>
      <c r="Q377" s="77">
        <f t="shared" ref="Q377:S378" si="251">Q380+Q383</f>
        <v>0</v>
      </c>
      <c r="R377" s="77">
        <f t="shared" si="251"/>
        <v>0</v>
      </c>
      <c r="S377" s="77">
        <f t="shared" si="251"/>
        <v>0</v>
      </c>
      <c r="T377" s="77">
        <f t="shared" si="248"/>
        <v>0</v>
      </c>
      <c r="U377" s="77">
        <f t="shared" si="249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3">
        <f t="shared" si="250"/>
        <v>0</v>
      </c>
      <c r="M378" s="74">
        <f t="shared" si="250"/>
        <v>0</v>
      </c>
      <c r="N378" s="74">
        <f t="shared" si="250"/>
        <v>0</v>
      </c>
      <c r="O378" s="74">
        <f t="shared" si="245"/>
        <v>0</v>
      </c>
      <c r="P378" s="74">
        <f t="shared" si="246"/>
        <v>0</v>
      </c>
      <c r="Q378" s="74">
        <f t="shared" ca="1" si="251"/>
        <v>0</v>
      </c>
      <c r="R378" s="74">
        <f t="shared" ca="1" si="251"/>
        <v>0</v>
      </c>
      <c r="S378" s="74">
        <f t="shared" ca="1" si="251"/>
        <v>0</v>
      </c>
      <c r="T378" s="74">
        <f t="shared" ca="1" si="248"/>
        <v>0</v>
      </c>
      <c r="U378" s="74">
        <f t="shared" ca="1" si="249"/>
        <v>0</v>
      </c>
    </row>
    <row r="379" spans="1:21" ht="18.75" hidden="1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3">
        <f t="shared" ref="L379:N379" si="252">L380+L381</f>
        <v>0</v>
      </c>
      <c r="M379" s="74">
        <f t="shared" si="252"/>
        <v>0</v>
      </c>
      <c r="N379" s="74">
        <f t="shared" si="252"/>
        <v>0</v>
      </c>
      <c r="O379" s="74">
        <f t="shared" si="245"/>
        <v>0</v>
      </c>
      <c r="P379" s="74">
        <f t="shared" si="246"/>
        <v>0</v>
      </c>
      <c r="Q379" s="74">
        <f t="shared" ref="Q379:S379" ca="1" si="253">Q380+Q381</f>
        <v>0</v>
      </c>
      <c r="R379" s="74">
        <f t="shared" ca="1" si="253"/>
        <v>0</v>
      </c>
      <c r="S379" s="74">
        <f t="shared" ca="1" si="253"/>
        <v>0</v>
      </c>
      <c r="T379" s="74">
        <f t="shared" ca="1" si="248"/>
        <v>0</v>
      </c>
      <c r="U379" s="74">
        <f t="shared" ca="1" si="249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77">
        <f t="shared" si="245"/>
        <v>0</v>
      </c>
      <c r="P380" s="77">
        <f t="shared" si="246"/>
        <v>0</v>
      </c>
      <c r="Q380" s="77">
        <v>0</v>
      </c>
      <c r="R380" s="77">
        <v>0</v>
      </c>
      <c r="S380" s="77">
        <v>0</v>
      </c>
      <c r="T380" s="77">
        <f t="shared" si="248"/>
        <v>0</v>
      </c>
      <c r="U380" s="77">
        <f t="shared" si="249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74">
        <f t="shared" si="245"/>
        <v>0</v>
      </c>
      <c r="P381" s="74">
        <f t="shared" si="246"/>
        <v>0</v>
      </c>
      <c r="Q381" s="74">
        <f ca="1">IFERROR(__xludf.DUMMYFUNCTION("IMPORTRANGE(""https://docs.google.com/spreadsheets/d/1ItG2mGa2ceCfYo0BwxsXqNm01IGEUdYcSSLTEv9YCik/edit?usp=sharing"",""เบิกจ่ายกองทุน!AY65"")"),0)</f>
        <v>0</v>
      </c>
      <c r="R381" s="74">
        <f ca="1">IFERROR(__xludf.DUMMYFUNCTION("IMPORTRANGE(""https://docs.google.com/spreadsheets/d/1ItG2mGa2ceCfYo0BwxsXqNm01IGEUdYcSSLTEv9YCik/edit?usp=sharing"",""เบิกจ่ายกองทุน!AZ65"")"),0)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IFERROR(__xludf.DUMMYFUNCTION("IMPORTRANGE(""https://docs.google.com/spreadsheets/d/1ItG2mGa2ceCfYo0BwxsXqNm01IGEUdYcSSLTEv9YCik/edit?usp=sharing"",""เบิกจ่ายกองทุน!BA65"")"),0)</f>
        <v>0</v>
      </c>
      <c r="T381" s="74">
        <f t="shared" ca="1" si="248"/>
        <v>0</v>
      </c>
      <c r="U381" s="74">
        <f t="shared" ca="1" si="249"/>
        <v>0</v>
      </c>
    </row>
    <row r="382" spans="1:21" ht="18.75" hidden="1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3">
        <f t="shared" ref="L382:N382" si="254">L383+L384</f>
        <v>0</v>
      </c>
      <c r="M382" s="74">
        <f t="shared" si="254"/>
        <v>0</v>
      </c>
      <c r="N382" s="74">
        <f t="shared" si="254"/>
        <v>0</v>
      </c>
      <c r="O382" s="74">
        <f t="shared" si="245"/>
        <v>0</v>
      </c>
      <c r="P382" s="74">
        <f t="shared" si="246"/>
        <v>0</v>
      </c>
      <c r="Q382" s="74">
        <f t="shared" ref="Q382:S382" si="255">Q383+Q384</f>
        <v>0</v>
      </c>
      <c r="R382" s="74">
        <f t="shared" si="255"/>
        <v>0</v>
      </c>
      <c r="S382" s="74">
        <f t="shared" si="255"/>
        <v>0</v>
      </c>
      <c r="T382" s="74">
        <f t="shared" si="248"/>
        <v>0</v>
      </c>
      <c r="U382" s="74">
        <f t="shared" si="249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77">
        <f t="shared" si="245"/>
        <v>0</v>
      </c>
      <c r="P383" s="77">
        <f t="shared" si="246"/>
        <v>0</v>
      </c>
      <c r="Q383" s="77">
        <v>0</v>
      </c>
      <c r="R383" s="77">
        <v>0</v>
      </c>
      <c r="S383" s="77">
        <v>0</v>
      </c>
      <c r="T383" s="77">
        <f t="shared" si="248"/>
        <v>0</v>
      </c>
      <c r="U383" s="77">
        <f t="shared" si="249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74">
        <f t="shared" si="245"/>
        <v>0</v>
      </c>
      <c r="P384" s="74">
        <f t="shared" si="246"/>
        <v>0</v>
      </c>
      <c r="Q384" s="74">
        <v>0</v>
      </c>
      <c r="R384" s="74">
        <v>0</v>
      </c>
      <c r="S384" s="74">
        <v>0</v>
      </c>
      <c r="T384" s="74">
        <f t="shared" si="248"/>
        <v>0</v>
      </c>
      <c r="U384" s="74">
        <f t="shared" si="249"/>
        <v>0</v>
      </c>
    </row>
    <row r="385" spans="1:21" ht="19.5" hidden="1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hidden="1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f ca="1">IFERROR(__xludf.DUMMYFUNCTION("IMPORTRANGE(""https://docs.google.com/spreadsheets/d/1eHaY18a8A9IcSdp1K8H6x8fbOy06t2VsZHhMHf-1x7Y/edit?usp=sharing"",""แผน!JQ65"")"),0)</f>
        <v>0</v>
      </c>
      <c r="J386" s="293">
        <v>0</v>
      </c>
      <c r="K386" s="74">
        <f t="shared" ref="K386:K389" ca="1" si="256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hidden="1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IFERROR(__xludf.DUMMYFUNCTION("IMPORTRANGE(""https://docs.google.com/spreadsheets/d/1eHaY18a8A9IcSdp1K8H6x8fbOy06t2VsZHhMHf-1x7Y/edit?usp=sharing"",""แผน!JQ65"")"),0)</f>
        <v>0</v>
      </c>
      <c r="J387" s="293">
        <v>0</v>
      </c>
      <c r="K387" s="74">
        <f t="shared" ca="1" si="256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hidden="1" x14ac:dyDescent="0.25">
      <c r="A388" s="269"/>
      <c r="B388" s="269"/>
      <c r="C388" s="269"/>
      <c r="D388" s="269"/>
      <c r="E388" s="775" t="s">
        <v>155</v>
      </c>
      <c r="F388" s="269"/>
      <c r="G388" s="312"/>
      <c r="H388" s="266" t="s">
        <v>34</v>
      </c>
      <c r="I388" s="592">
        <v>0</v>
      </c>
      <c r="J388" s="592">
        <v>0</v>
      </c>
      <c r="K388" s="77">
        <f t="shared" si="256"/>
        <v>0</v>
      </c>
      <c r="L388" s="86"/>
      <c r="M388" s="87"/>
      <c r="N388" s="87"/>
      <c r="O388" s="87"/>
      <c r="P388" s="87"/>
      <c r="Q388" s="87"/>
      <c r="R388" s="87"/>
      <c r="S388" s="87"/>
      <c r="T388" s="87"/>
      <c r="U388" s="87"/>
    </row>
    <row r="389" spans="1:21" ht="18.75" hidden="1" x14ac:dyDescent="0.25">
      <c r="A389" s="269"/>
      <c r="B389" s="269"/>
      <c r="C389" s="269"/>
      <c r="D389" s="269"/>
      <c r="E389" s="269"/>
      <c r="F389" s="269"/>
      <c r="G389" s="312"/>
      <c r="H389" s="266" t="s">
        <v>46</v>
      </c>
      <c r="I389" s="592">
        <v>0</v>
      </c>
      <c r="J389" s="592">
        <v>0</v>
      </c>
      <c r="K389" s="77">
        <f t="shared" si="256"/>
        <v>0</v>
      </c>
      <c r="L389" s="86"/>
      <c r="M389" s="87"/>
      <c r="N389" s="87"/>
      <c r="O389" s="87"/>
      <c r="P389" s="87"/>
      <c r="Q389" s="87"/>
      <c r="R389" s="87"/>
      <c r="S389" s="87"/>
      <c r="T389" s="87"/>
      <c r="U389" s="87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7">I403</f>
        <v>0</v>
      </c>
      <c r="J392" s="1189">
        <f t="shared" si="257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1257">
        <f t="shared" ref="L393:N393" si="258">L394+L395</f>
        <v>0</v>
      </c>
      <c r="M393" s="264">
        <f t="shared" si="258"/>
        <v>0</v>
      </c>
      <c r="N393" s="264">
        <f t="shared" si="258"/>
        <v>0</v>
      </c>
      <c r="O393" s="264">
        <f t="shared" ref="O393:O401" si="259">IF(L393&gt;0,N393*100/L393,0)</f>
        <v>0</v>
      </c>
      <c r="P393" s="264">
        <f t="shared" ref="P393:P401" si="260">IF(M393&gt;0,N393*100/M393,0)</f>
        <v>0</v>
      </c>
      <c r="Q393" s="264">
        <f t="shared" ref="Q393:S393" si="261">Q394+Q395</f>
        <v>0</v>
      </c>
      <c r="R393" s="264">
        <f t="shared" si="261"/>
        <v>0</v>
      </c>
      <c r="S393" s="264">
        <f t="shared" si="261"/>
        <v>0</v>
      </c>
      <c r="T393" s="264">
        <f t="shared" ref="T393:T401" si="262">IF(Q393&gt;0,S393*100/Q393,0)</f>
        <v>0</v>
      </c>
      <c r="U393" s="264">
        <f t="shared" ref="U393:U401" si="263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6">
        <f t="shared" ref="L394:N395" si="264">L397+L400</f>
        <v>0</v>
      </c>
      <c r="M394" s="77">
        <f t="shared" si="264"/>
        <v>0</v>
      </c>
      <c r="N394" s="77">
        <f t="shared" si="264"/>
        <v>0</v>
      </c>
      <c r="O394" s="77">
        <f t="shared" si="259"/>
        <v>0</v>
      </c>
      <c r="P394" s="77">
        <f t="shared" si="260"/>
        <v>0</v>
      </c>
      <c r="Q394" s="77">
        <f t="shared" ref="Q394:S395" si="265">Q397+Q400</f>
        <v>0</v>
      </c>
      <c r="R394" s="77">
        <f t="shared" si="265"/>
        <v>0</v>
      </c>
      <c r="S394" s="77">
        <f t="shared" si="265"/>
        <v>0</v>
      </c>
      <c r="T394" s="77">
        <f t="shared" si="262"/>
        <v>0</v>
      </c>
      <c r="U394" s="77">
        <f t="shared" si="263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3">
        <f t="shared" si="264"/>
        <v>0</v>
      </c>
      <c r="M395" s="74">
        <f t="shared" si="264"/>
        <v>0</v>
      </c>
      <c r="N395" s="74">
        <f t="shared" si="264"/>
        <v>0</v>
      </c>
      <c r="O395" s="74">
        <f t="shared" si="259"/>
        <v>0</v>
      </c>
      <c r="P395" s="74">
        <f t="shared" si="260"/>
        <v>0</v>
      </c>
      <c r="Q395" s="74">
        <f t="shared" si="265"/>
        <v>0</v>
      </c>
      <c r="R395" s="74">
        <f t="shared" si="265"/>
        <v>0</v>
      </c>
      <c r="S395" s="74">
        <f t="shared" si="265"/>
        <v>0</v>
      </c>
      <c r="T395" s="74">
        <f t="shared" si="262"/>
        <v>0</v>
      </c>
      <c r="U395" s="74">
        <f t="shared" si="263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3">
        <f t="shared" ref="L396:N396" si="266">L397+L398</f>
        <v>0</v>
      </c>
      <c r="M396" s="74">
        <f t="shared" si="266"/>
        <v>0</v>
      </c>
      <c r="N396" s="74">
        <f t="shared" si="266"/>
        <v>0</v>
      </c>
      <c r="O396" s="74">
        <f t="shared" si="259"/>
        <v>0</v>
      </c>
      <c r="P396" s="74">
        <f t="shared" si="260"/>
        <v>0</v>
      </c>
      <c r="Q396" s="74">
        <f t="shared" ref="Q396:S396" si="267">Q397+Q398</f>
        <v>0</v>
      </c>
      <c r="R396" s="74">
        <f t="shared" si="267"/>
        <v>0</v>
      </c>
      <c r="S396" s="74">
        <f t="shared" si="267"/>
        <v>0</v>
      </c>
      <c r="T396" s="74">
        <f t="shared" si="262"/>
        <v>0</v>
      </c>
      <c r="U396" s="74">
        <f t="shared" si="263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77">
        <f t="shared" si="259"/>
        <v>0</v>
      </c>
      <c r="P397" s="77">
        <f t="shared" si="260"/>
        <v>0</v>
      </c>
      <c r="Q397" s="77">
        <v>0</v>
      </c>
      <c r="R397" s="77">
        <v>0</v>
      </c>
      <c r="S397" s="77">
        <v>0</v>
      </c>
      <c r="T397" s="77">
        <f t="shared" si="262"/>
        <v>0</v>
      </c>
      <c r="U397" s="77">
        <f t="shared" si="263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74">
        <f t="shared" si="259"/>
        <v>0</v>
      </c>
      <c r="P398" s="74">
        <f t="shared" si="260"/>
        <v>0</v>
      </c>
      <c r="Q398" s="74">
        <v>0</v>
      </c>
      <c r="R398" s="74">
        <v>0</v>
      </c>
      <c r="S398" s="74">
        <v>0</v>
      </c>
      <c r="T398" s="74">
        <f t="shared" si="262"/>
        <v>0</v>
      </c>
      <c r="U398" s="74">
        <f t="shared" si="263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3">
        <f t="shared" ref="L399:N399" si="268">L400+L401</f>
        <v>0</v>
      </c>
      <c r="M399" s="74">
        <f t="shared" si="268"/>
        <v>0</v>
      </c>
      <c r="N399" s="74">
        <f t="shared" si="268"/>
        <v>0</v>
      </c>
      <c r="O399" s="74">
        <f t="shared" si="259"/>
        <v>0</v>
      </c>
      <c r="P399" s="74">
        <f t="shared" si="260"/>
        <v>0</v>
      </c>
      <c r="Q399" s="74">
        <f t="shared" ref="Q399:S399" si="269">Q400+Q401</f>
        <v>0</v>
      </c>
      <c r="R399" s="74">
        <f t="shared" si="269"/>
        <v>0</v>
      </c>
      <c r="S399" s="74">
        <f t="shared" si="269"/>
        <v>0</v>
      </c>
      <c r="T399" s="74">
        <f t="shared" si="262"/>
        <v>0</v>
      </c>
      <c r="U399" s="74">
        <f t="shared" si="263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77">
        <f t="shared" si="259"/>
        <v>0</v>
      </c>
      <c r="P400" s="77">
        <f t="shared" si="260"/>
        <v>0</v>
      </c>
      <c r="Q400" s="77">
        <v>0</v>
      </c>
      <c r="R400" s="77">
        <v>0</v>
      </c>
      <c r="S400" s="77">
        <v>0</v>
      </c>
      <c r="T400" s="77">
        <f t="shared" si="262"/>
        <v>0</v>
      </c>
      <c r="U400" s="77">
        <f t="shared" si="263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74">
        <f t="shared" si="259"/>
        <v>0</v>
      </c>
      <c r="P401" s="74">
        <f t="shared" si="260"/>
        <v>0</v>
      </c>
      <c r="Q401" s="74">
        <v>0</v>
      </c>
      <c r="R401" s="74">
        <v>0</v>
      </c>
      <c r="S401" s="74">
        <v>0</v>
      </c>
      <c r="T401" s="74">
        <f t="shared" si="262"/>
        <v>0</v>
      </c>
      <c r="U401" s="74">
        <f t="shared" si="263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70">I424</f>
        <v>0</v>
      </c>
      <c r="J413" s="617">
        <f t="shared" si="270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1257">
        <f t="shared" ref="L414:N414" si="271">L415+L416</f>
        <v>0</v>
      </c>
      <c r="M414" s="264">
        <f t="shared" si="271"/>
        <v>0</v>
      </c>
      <c r="N414" s="264">
        <f t="shared" si="271"/>
        <v>0</v>
      </c>
      <c r="O414" s="264">
        <f t="shared" ref="O414:O422" si="272">IF(L414&gt;0,N414*100/L414,0)</f>
        <v>0</v>
      </c>
      <c r="P414" s="264">
        <f t="shared" ref="P414:P422" si="273">IF(M414&gt;0,N414*100/M414,0)</f>
        <v>0</v>
      </c>
      <c r="Q414" s="264">
        <f t="shared" ref="Q414:S414" ca="1" si="274">Q415+Q416</f>
        <v>0</v>
      </c>
      <c r="R414" s="264">
        <f t="shared" ca="1" si="274"/>
        <v>0</v>
      </c>
      <c r="S414" s="264">
        <f t="shared" ca="1" si="274"/>
        <v>0</v>
      </c>
      <c r="T414" s="264">
        <f t="shared" ref="T414:T422" ca="1" si="275">IF(Q414&gt;0,S414*100/Q414,0)</f>
        <v>0</v>
      </c>
      <c r="U414" s="264">
        <f t="shared" ref="U414:U422" ca="1" si="276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6">
        <f t="shared" ref="L415:N416" si="277">L418+L421</f>
        <v>0</v>
      </c>
      <c r="M415" s="77">
        <f t="shared" si="277"/>
        <v>0</v>
      </c>
      <c r="N415" s="77">
        <f t="shared" si="277"/>
        <v>0</v>
      </c>
      <c r="O415" s="77">
        <f t="shared" si="272"/>
        <v>0</v>
      </c>
      <c r="P415" s="77">
        <f t="shared" si="273"/>
        <v>0</v>
      </c>
      <c r="Q415" s="77">
        <f t="shared" ref="Q415:S416" si="278">Q418+Q421</f>
        <v>0</v>
      </c>
      <c r="R415" s="77">
        <f t="shared" si="278"/>
        <v>0</v>
      </c>
      <c r="S415" s="77">
        <f t="shared" si="278"/>
        <v>0</v>
      </c>
      <c r="T415" s="77">
        <f t="shared" si="275"/>
        <v>0</v>
      </c>
      <c r="U415" s="77">
        <f t="shared" si="276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3">
        <f t="shared" si="277"/>
        <v>0</v>
      </c>
      <c r="M416" s="74">
        <f t="shared" si="277"/>
        <v>0</v>
      </c>
      <c r="N416" s="74">
        <f t="shared" si="277"/>
        <v>0</v>
      </c>
      <c r="O416" s="74">
        <f t="shared" si="272"/>
        <v>0</v>
      </c>
      <c r="P416" s="74">
        <f t="shared" si="273"/>
        <v>0</v>
      </c>
      <c r="Q416" s="74">
        <f t="shared" ca="1" si="278"/>
        <v>0</v>
      </c>
      <c r="R416" s="74">
        <f t="shared" ca="1" si="278"/>
        <v>0</v>
      </c>
      <c r="S416" s="74">
        <f t="shared" ca="1" si="278"/>
        <v>0</v>
      </c>
      <c r="T416" s="74">
        <f t="shared" ca="1" si="275"/>
        <v>0</v>
      </c>
      <c r="U416" s="74">
        <f t="shared" ca="1" si="276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3">
        <f t="shared" ref="L417:N417" si="279">L418+L419</f>
        <v>0</v>
      </c>
      <c r="M417" s="74">
        <f t="shared" si="279"/>
        <v>0</v>
      </c>
      <c r="N417" s="74">
        <f t="shared" si="279"/>
        <v>0</v>
      </c>
      <c r="O417" s="74">
        <f t="shared" si="272"/>
        <v>0</v>
      </c>
      <c r="P417" s="74">
        <f t="shared" si="273"/>
        <v>0</v>
      </c>
      <c r="Q417" s="74">
        <f t="shared" ref="Q417:S417" ca="1" si="280">Q418+Q419</f>
        <v>0</v>
      </c>
      <c r="R417" s="74">
        <f t="shared" ca="1" si="280"/>
        <v>0</v>
      </c>
      <c r="S417" s="74">
        <f t="shared" ca="1" si="280"/>
        <v>0</v>
      </c>
      <c r="T417" s="74">
        <f t="shared" ca="1" si="275"/>
        <v>0</v>
      </c>
      <c r="U417" s="74">
        <f t="shared" ca="1" si="276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77">
        <f t="shared" si="272"/>
        <v>0</v>
      </c>
      <c r="P418" s="77">
        <f t="shared" si="273"/>
        <v>0</v>
      </c>
      <c r="Q418" s="77">
        <v>0</v>
      </c>
      <c r="R418" s="77">
        <v>0</v>
      </c>
      <c r="S418" s="77">
        <v>0</v>
      </c>
      <c r="T418" s="77">
        <f t="shared" si="275"/>
        <v>0</v>
      </c>
      <c r="U418" s="77">
        <f t="shared" si="276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74">
        <f t="shared" si="272"/>
        <v>0</v>
      </c>
      <c r="P419" s="74">
        <f t="shared" si="273"/>
        <v>0</v>
      </c>
      <c r="Q419" s="74">
        <f ca="1">IFERROR(__xludf.DUMMYFUNCTION("IMPORTRANGE(""https://docs.google.com/spreadsheets/d/1ItG2mGa2ceCfYo0BwxsXqNm01IGEUdYcSSLTEv9YCik/edit?usp=sharing"",""เบิกจ่ายกองทุน!BH65"")"),0)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IFERROR(__xludf.DUMMYFUNCTION("IMPORTRANGE(""https://docs.google.com/spreadsheets/d/1ItG2mGa2ceCfYo0BwxsXqNm01IGEUdYcSSLTEv9YCik/edit?usp=sharing"",""เบิกจ่ายกองทุน!BI65"")"),0)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IFERROR(__xludf.DUMMYFUNCTION("IMPORTRANGE(""https://docs.google.com/spreadsheets/d/1ItG2mGa2ceCfYo0BwxsXqNm01IGEUdYcSSLTEv9YCik/edit?usp=sharing"",""เบิกจ่ายกองทุน!BJ65"")"),0)</f>
        <v>0</v>
      </c>
      <c r="T419" s="74">
        <f t="shared" ca="1" si="275"/>
        <v>0</v>
      </c>
      <c r="U419" s="74">
        <f t="shared" ca="1" si="276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3">
        <f t="shared" ref="L420:N420" si="281">L421+L422</f>
        <v>0</v>
      </c>
      <c r="M420" s="74">
        <f t="shared" si="281"/>
        <v>0</v>
      </c>
      <c r="N420" s="74">
        <f t="shared" si="281"/>
        <v>0</v>
      </c>
      <c r="O420" s="74">
        <f t="shared" si="272"/>
        <v>0</v>
      </c>
      <c r="P420" s="74">
        <f t="shared" si="273"/>
        <v>0</v>
      </c>
      <c r="Q420" s="74">
        <f t="shared" ref="Q420:S420" si="282">Q421+Q422</f>
        <v>0</v>
      </c>
      <c r="R420" s="74">
        <f t="shared" si="282"/>
        <v>0</v>
      </c>
      <c r="S420" s="74">
        <f t="shared" si="282"/>
        <v>0</v>
      </c>
      <c r="T420" s="74">
        <f t="shared" si="275"/>
        <v>0</v>
      </c>
      <c r="U420" s="74">
        <f t="shared" si="276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77">
        <f t="shared" si="272"/>
        <v>0</v>
      </c>
      <c r="P421" s="77">
        <f t="shared" si="273"/>
        <v>0</v>
      </c>
      <c r="Q421" s="77">
        <v>0</v>
      </c>
      <c r="R421" s="77">
        <v>0</v>
      </c>
      <c r="S421" s="77">
        <v>0</v>
      </c>
      <c r="T421" s="77">
        <f t="shared" si="275"/>
        <v>0</v>
      </c>
      <c r="U421" s="77">
        <f t="shared" si="276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74">
        <f t="shared" si="272"/>
        <v>0</v>
      </c>
      <c r="P422" s="74">
        <f t="shared" si="273"/>
        <v>0</v>
      </c>
      <c r="Q422" s="74">
        <v>0</v>
      </c>
      <c r="R422" s="74">
        <v>0</v>
      </c>
      <c r="S422" s="74">
        <v>0</v>
      </c>
      <c r="T422" s="74">
        <f t="shared" si="275"/>
        <v>0</v>
      </c>
      <c r="U422" s="74">
        <f t="shared" si="276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3">I441</f>
        <v>0</v>
      </c>
      <c r="J424" s="622">
        <f t="shared" si="283"/>
        <v>0</v>
      </c>
      <c r="K424" s="264">
        <f t="shared" ref="K424:K426" ca="1" si="284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IFERROR(__xludf.DUMMYFUNCTION("IMPORTRANGE(""https://docs.google.com/spreadsheets/d/1eHaY18a8A9IcSdp1K8H6x8fbOy06t2VsZHhMHf-1x7Y/edit?usp=sharing"",""แผน!HJ65"")"),0)</f>
        <v>0</v>
      </c>
      <c r="J425" s="622">
        <f t="shared" ref="J425:J426" si="285">J427+J429+J431</f>
        <v>0</v>
      </c>
      <c r="K425" s="264">
        <f t="shared" ca="1" si="284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IFERROR(__xludf.DUMMYFUNCTION("IMPORTRANGE(""https://docs.google.com/spreadsheets/d/1eHaY18a8A9IcSdp1K8H6x8fbOy06t2VsZHhMHf-1x7Y/edit?usp=sharing"",""แผน!HK65"")"),0)</f>
        <v>0</v>
      </c>
      <c r="J426" s="622">
        <f t="shared" si="285"/>
        <v>0</v>
      </c>
      <c r="K426" s="264">
        <f t="shared" ca="1" si="284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IFERROR(__xludf.DUMMYFUNCTION("IMPORTRANGE(""https://docs.google.com/spreadsheets/d/1eHaY18a8A9IcSdp1K8H6x8fbOy06t2VsZHhMHf-1x7Y/edit?usp=sharing"",""แผน!HJ65"")"),0)</f>
        <v>0</v>
      </c>
      <c r="J433" s="622">
        <f t="shared" ref="J433:J434" si="286">J435+J437+J439</f>
        <v>0</v>
      </c>
      <c r="K433" s="264">
        <f t="shared" ref="K433:K434" ca="1" si="287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IFERROR(__xludf.DUMMYFUNCTION("IMPORTRANGE(""https://docs.google.com/spreadsheets/d/1eHaY18a8A9IcSdp1K8H6x8fbOy06t2VsZHhMHf-1x7Y/edit?usp=sharing"",""แผน!HK65"")"),0)</f>
        <v>0</v>
      </c>
      <c r="J434" s="622">
        <f t="shared" si="286"/>
        <v>0</v>
      </c>
      <c r="K434" s="264">
        <f t="shared" ca="1" si="287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IFERROR(__xludf.DUMMYFUNCTION("IMPORTRANGE(""https://docs.google.com/spreadsheets/d/1eHaY18a8A9IcSdp1K8H6x8fbOy06t2VsZHhMHf-1x7Y/edit?usp=sharing"",""แผน!HJ65"")"),0)</f>
        <v>0</v>
      </c>
      <c r="J441" s="622">
        <f t="shared" ref="J441:J442" si="288">J443+J445+J447+J453+J455</f>
        <v>0</v>
      </c>
      <c r="K441" s="264">
        <f t="shared" ref="K441:K442" ca="1" si="289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IFERROR(__xludf.DUMMYFUNCTION("IMPORTRANGE(""https://docs.google.com/spreadsheets/d/1eHaY18a8A9IcSdp1K8H6x8fbOy06t2VsZHhMHf-1x7Y/edit?usp=sharing"",""แผน!HK65"")"),0)</f>
        <v>0</v>
      </c>
      <c r="J442" s="622">
        <f t="shared" si="288"/>
        <v>0</v>
      </c>
      <c r="K442" s="264">
        <f t="shared" ca="1" si="289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90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90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1">I458</f>
        <v>0</v>
      </c>
      <c r="J457" s="622">
        <f t="shared" si="291"/>
        <v>0</v>
      </c>
      <c r="K457" s="264">
        <f t="shared" ref="K457:K459" ca="1" si="292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IFERROR(__xludf.DUMMYFUNCTION("IMPORTRANGE(""https://docs.google.com/spreadsheets/d/1eHaY18a8A9IcSdp1K8H6x8fbOy06t2VsZHhMHf-1x7Y/edit?usp=sharing"",""แผน!HL65"")"),0)</f>
        <v>0</v>
      </c>
      <c r="J458" s="622">
        <f t="shared" ref="J458:J459" si="293">J460+J468+J474</f>
        <v>0</v>
      </c>
      <c r="K458" s="264">
        <f t="shared" ca="1" si="292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IFERROR(__xludf.DUMMYFUNCTION("IMPORTRANGE(""https://docs.google.com/spreadsheets/d/1eHaY18a8A9IcSdp1K8H6x8fbOy06t2VsZHhMHf-1x7Y/edit?usp=sharing"",""แผน!HM65"")"),0)</f>
        <v>0</v>
      </c>
      <c r="J459" s="622">
        <f t="shared" si="293"/>
        <v>0</v>
      </c>
      <c r="K459" s="264">
        <f t="shared" ca="1" si="292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4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4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5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5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6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7">J479+J481</f>
        <v>0</v>
      </c>
      <c r="K477" s="264">
        <f t="shared" si="296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7"/>
        <v>0</v>
      </c>
      <c r="K478" s="264">
        <f t="shared" si="296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IFERROR(__xludf.DUMMYFUNCTION("IMPORTRANGE(""https://docs.google.com/spreadsheets/d/1eHaY18a8A9IcSdp1K8H6x8fbOy06t2VsZHhMHf-1x7Y/edit?usp=sharing"",""แผน!HN65"")"),0)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IFERROR(__xludf.DUMMYFUNCTION("IMPORTRANGE(""https://docs.google.com/spreadsheets/d/1eHaY18a8A9IcSdp1K8H6x8fbOy06t2VsZHhMHf-1x7Y/edit?usp=sharing"",""แผน!HO65"")"),0)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8">J481</f>
        <v>0</v>
      </c>
      <c r="J485" s="622">
        <f t="shared" ref="J485:J486" si="299">J487+J489+J491</f>
        <v>0</v>
      </c>
      <c r="K485" s="264">
        <f t="shared" ref="K485:K486" si="300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8"/>
        <v>0</v>
      </c>
      <c r="J486" s="622">
        <f t="shared" si="299"/>
        <v>0</v>
      </c>
      <c r="K486" s="264">
        <f t="shared" si="300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hidden="1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1">I504</f>
        <v>0</v>
      </c>
      <c r="J493" s="617">
        <f t="shared" ca="1" si="301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1257">
        <f t="shared" ref="L494:N494" si="302">L495+L496</f>
        <v>0</v>
      </c>
      <c r="M494" s="264">
        <f t="shared" si="302"/>
        <v>0</v>
      </c>
      <c r="N494" s="264">
        <f t="shared" si="302"/>
        <v>0</v>
      </c>
      <c r="O494" s="264">
        <f t="shared" ref="O494:O502" si="303">IF(L494&gt;0,N494*100/L494,0)</f>
        <v>0</v>
      </c>
      <c r="P494" s="264">
        <f t="shared" ref="P494:P502" si="304">IF(M494&gt;0,N494*100/M494,0)</f>
        <v>0</v>
      </c>
      <c r="Q494" s="264">
        <f t="shared" ref="Q494:S494" ca="1" si="305">Q495+Q496</f>
        <v>0</v>
      </c>
      <c r="R494" s="264">
        <f t="shared" ca="1" si="305"/>
        <v>0</v>
      </c>
      <c r="S494" s="264">
        <f t="shared" ca="1" si="305"/>
        <v>0</v>
      </c>
      <c r="T494" s="264">
        <f t="shared" ref="T494:T502" ca="1" si="306">IF(Q494&gt;0,S494*100/Q494,0)</f>
        <v>0</v>
      </c>
      <c r="U494" s="264">
        <f t="shared" ref="U494:U502" ca="1" si="307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6">
        <f t="shared" ref="L495:N496" si="308">L498+L501</f>
        <v>0</v>
      </c>
      <c r="M495" s="77">
        <f t="shared" si="308"/>
        <v>0</v>
      </c>
      <c r="N495" s="77">
        <f t="shared" si="308"/>
        <v>0</v>
      </c>
      <c r="O495" s="77">
        <f t="shared" si="303"/>
        <v>0</v>
      </c>
      <c r="P495" s="77">
        <f t="shared" si="304"/>
        <v>0</v>
      </c>
      <c r="Q495" s="77">
        <f t="shared" ref="Q495:S496" si="309">Q498+Q501</f>
        <v>0</v>
      </c>
      <c r="R495" s="77">
        <f t="shared" si="309"/>
        <v>0</v>
      </c>
      <c r="S495" s="77">
        <f t="shared" si="309"/>
        <v>0</v>
      </c>
      <c r="T495" s="77">
        <f t="shared" si="306"/>
        <v>0</v>
      </c>
      <c r="U495" s="77">
        <f t="shared" si="307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3">
        <f t="shared" si="308"/>
        <v>0</v>
      </c>
      <c r="M496" s="74">
        <f t="shared" si="308"/>
        <v>0</v>
      </c>
      <c r="N496" s="74">
        <f t="shared" si="308"/>
        <v>0</v>
      </c>
      <c r="O496" s="74">
        <f t="shared" si="303"/>
        <v>0</v>
      </c>
      <c r="P496" s="74">
        <f t="shared" si="304"/>
        <v>0</v>
      </c>
      <c r="Q496" s="74">
        <f t="shared" ca="1" si="309"/>
        <v>0</v>
      </c>
      <c r="R496" s="74">
        <f t="shared" ca="1" si="309"/>
        <v>0</v>
      </c>
      <c r="S496" s="74">
        <f t="shared" ca="1" si="309"/>
        <v>0</v>
      </c>
      <c r="T496" s="74">
        <f t="shared" ca="1" si="306"/>
        <v>0</v>
      </c>
      <c r="U496" s="74">
        <f t="shared" ca="1" si="307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3">
        <f t="shared" ref="L497:N497" si="310">L498+L499</f>
        <v>0</v>
      </c>
      <c r="M497" s="74">
        <f t="shared" si="310"/>
        <v>0</v>
      </c>
      <c r="N497" s="74">
        <f t="shared" si="310"/>
        <v>0</v>
      </c>
      <c r="O497" s="74">
        <f t="shared" si="303"/>
        <v>0</v>
      </c>
      <c r="P497" s="74">
        <f t="shared" si="304"/>
        <v>0</v>
      </c>
      <c r="Q497" s="74">
        <f t="shared" ref="Q497:S497" ca="1" si="311">Q498+Q499</f>
        <v>0</v>
      </c>
      <c r="R497" s="74">
        <f t="shared" ca="1" si="311"/>
        <v>0</v>
      </c>
      <c r="S497" s="74">
        <f t="shared" ca="1" si="311"/>
        <v>0</v>
      </c>
      <c r="T497" s="74">
        <f t="shared" ca="1" si="306"/>
        <v>0</v>
      </c>
      <c r="U497" s="74">
        <f t="shared" ca="1" si="307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77">
        <f t="shared" si="303"/>
        <v>0</v>
      </c>
      <c r="P498" s="77">
        <f t="shared" si="304"/>
        <v>0</v>
      </c>
      <c r="Q498" s="77">
        <v>0</v>
      </c>
      <c r="R498" s="77">
        <v>0</v>
      </c>
      <c r="S498" s="77">
        <v>0</v>
      </c>
      <c r="T498" s="77">
        <f t="shared" si="306"/>
        <v>0</v>
      </c>
      <c r="U498" s="77">
        <f t="shared" si="307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74">
        <f t="shared" si="303"/>
        <v>0</v>
      </c>
      <c r="P499" s="74">
        <f t="shared" si="304"/>
        <v>0</v>
      </c>
      <c r="Q499" s="74">
        <f ca="1">IFERROR(__xludf.DUMMYFUNCTION("IMPORTRANGE(""https://docs.google.com/spreadsheets/d/1ItG2mGa2ceCfYo0BwxsXqNm01IGEUdYcSSLTEv9YCik/edit?usp=sharing"",""เบิกจ่ายกองทุน!X65"")"),0)</f>
        <v>0</v>
      </c>
      <c r="R499" s="74">
        <f ca="1">IFERROR(__xludf.DUMMYFUNCTION("IMPORTRANGE(""https://docs.google.com/spreadsheets/d/1ItG2mGa2ceCfYo0BwxsXqNm01IGEUdYcSSLTEv9YCik/edit?usp=sharing"",""เบิกจ่ายกองทุน!Y65"")"),0)</f>
        <v>0</v>
      </c>
      <c r="S499" s="74">
        <f ca="1">IFERROR(__xludf.DUMMYFUNCTION("IMPORTRANGE(""https://docs.google.com/spreadsheets/d/1ItG2mGa2ceCfYo0BwxsXqNm01IGEUdYcSSLTEv9YCik/edit?usp=sharing"",""เบิกจ่ายกองทุน!Z65"")"),0)</f>
        <v>0</v>
      </c>
      <c r="T499" s="74">
        <f t="shared" ca="1" si="306"/>
        <v>0</v>
      </c>
      <c r="U499" s="74">
        <f t="shared" ca="1" si="307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3">
        <f t="shared" ref="L500:N500" si="312">L501+L502</f>
        <v>0</v>
      </c>
      <c r="M500" s="74">
        <f t="shared" si="312"/>
        <v>0</v>
      </c>
      <c r="N500" s="74">
        <f t="shared" si="312"/>
        <v>0</v>
      </c>
      <c r="O500" s="74">
        <f t="shared" si="303"/>
        <v>0</v>
      </c>
      <c r="P500" s="74">
        <f t="shared" si="304"/>
        <v>0</v>
      </c>
      <c r="Q500" s="74">
        <f t="shared" ref="Q500:S500" si="313">Q501+Q502</f>
        <v>0</v>
      </c>
      <c r="R500" s="74">
        <f t="shared" si="313"/>
        <v>0</v>
      </c>
      <c r="S500" s="74">
        <f t="shared" si="313"/>
        <v>0</v>
      </c>
      <c r="T500" s="74">
        <f t="shared" si="306"/>
        <v>0</v>
      </c>
      <c r="U500" s="74">
        <f t="shared" si="307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77">
        <f t="shared" si="303"/>
        <v>0</v>
      </c>
      <c r="P501" s="77">
        <f t="shared" si="304"/>
        <v>0</v>
      </c>
      <c r="Q501" s="77">
        <v>0</v>
      </c>
      <c r="R501" s="77">
        <v>0</v>
      </c>
      <c r="S501" s="77">
        <v>0</v>
      </c>
      <c r="T501" s="77">
        <f t="shared" si="306"/>
        <v>0</v>
      </c>
      <c r="U501" s="77">
        <f t="shared" si="307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74">
        <f t="shared" si="303"/>
        <v>0</v>
      </c>
      <c r="P502" s="74">
        <f t="shared" si="304"/>
        <v>0</v>
      </c>
      <c r="Q502" s="74">
        <v>0</v>
      </c>
      <c r="R502" s="74">
        <v>0</v>
      </c>
      <c r="S502" s="74">
        <v>0</v>
      </c>
      <c r="T502" s="74">
        <f t="shared" si="306"/>
        <v>0</v>
      </c>
      <c r="U502" s="74">
        <f t="shared" si="307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IFERROR(__xludf.DUMMYFUNCTION("IMPORTRANGE(""https://docs.google.com/spreadsheets/d/1eHaY18a8A9IcSdp1K8H6x8fbOy06t2VsZHhMHf-1x7Y/edit?usp=sharing"",""แผน!GX65"")"),0)</f>
        <v>0</v>
      </c>
      <c r="J504" s="622">
        <f ca="1">IF(AND(J505=I505,J506=I506,J507=I507,J508=I508),I504,0)</f>
        <v>0</v>
      </c>
      <c r="K504" s="264">
        <f t="shared" ref="K504:K510" ca="1" si="314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IFERROR(__xludf.DUMMYFUNCTION("IMPORTRANGE(""https://docs.google.com/spreadsheets/d/1eHaY18a8A9IcSdp1K8H6x8fbOy06t2VsZHhMHf-1x7Y/edit?usp=sharing"",""แผน!GY65"")"),0)</f>
        <v>0</v>
      </c>
      <c r="J505" s="294">
        <v>0</v>
      </c>
      <c r="K505" s="74">
        <f t="shared" ca="1" si="314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IFERROR(__xludf.DUMMYFUNCTION("IMPORTRANGE(""https://docs.google.com/spreadsheets/d/1eHaY18a8A9IcSdp1K8H6x8fbOy06t2VsZHhMHf-1x7Y/edit?usp=sharing"",""แผน!GZ65"")"),0)</f>
        <v>0</v>
      </c>
      <c r="J506" s="294">
        <v>0</v>
      </c>
      <c r="K506" s="74">
        <f t="shared" ca="1" si="314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IFERROR(__xludf.DUMMYFUNCTION("IMPORTRANGE(""https://docs.google.com/spreadsheets/d/1eHaY18a8A9IcSdp1K8H6x8fbOy06t2VsZHhMHf-1x7Y/edit?usp=sharing"",""แผน!HA65"")"),0)</f>
        <v>0</v>
      </c>
      <c r="J507" s="294">
        <v>0</v>
      </c>
      <c r="K507" s="74">
        <f t="shared" ca="1" si="314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IFERROR(__xludf.DUMMYFUNCTION("IMPORTRANGE(""https://docs.google.com/spreadsheets/d/1eHaY18a8A9IcSdp1K8H6x8fbOy06t2VsZHhMHf-1x7Y/edit?usp=sharing"",""แผน!HB65"")"),0)</f>
        <v>0</v>
      </c>
      <c r="J508" s="294">
        <v>0</v>
      </c>
      <c r="K508" s="74">
        <f t="shared" ca="1" si="314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4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IFERROR(__xludf.DUMMYFUNCTION("IMPORTRANGE(""https://docs.google.com/spreadsheets/d/1eHaY18a8A9IcSdp1K8H6x8fbOy06t2VsZHhMHf-1x7Y/edit?usp=sharing"",""แผน!HC65"")"),0)</f>
        <v>0</v>
      </c>
      <c r="J510" s="761">
        <v>0</v>
      </c>
      <c r="K510" s="182">
        <f t="shared" ca="1" si="314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9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309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987" t="s">
        <v>61</v>
      </c>
      <c r="I513" s="988">
        <f t="shared" ref="I513:J513" si="315">I525</f>
        <v>0</v>
      </c>
      <c r="J513" s="988">
        <f t="shared" si="315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7">
        <f t="shared" ref="L514:N514" ca="1" si="316">L515+L516</f>
        <v>0</v>
      </c>
      <c r="M514" s="264">
        <f t="shared" ca="1" si="316"/>
        <v>0</v>
      </c>
      <c r="N514" s="264">
        <f t="shared" ca="1" si="316"/>
        <v>0</v>
      </c>
      <c r="O514" s="264">
        <f t="shared" ref="O514:O522" ca="1" si="317">IF(L514&gt;0,N514*100/L514,0)</f>
        <v>0</v>
      </c>
      <c r="P514" s="264">
        <f t="shared" ref="P514:P522" ca="1" si="318">IF(M514&gt;0,N514*100/M514,0)</f>
        <v>0</v>
      </c>
      <c r="Q514" s="264">
        <f t="shared" ref="Q514:S514" si="319">Q515+Q516</f>
        <v>0</v>
      </c>
      <c r="R514" s="264">
        <f t="shared" si="319"/>
        <v>0</v>
      </c>
      <c r="S514" s="264">
        <f t="shared" si="319"/>
        <v>0</v>
      </c>
      <c r="T514" s="264">
        <f t="shared" ref="T514:T522" si="320">IF(Q514&gt;0,S514*100/Q514,0)</f>
        <v>0</v>
      </c>
      <c r="U514" s="264">
        <f t="shared" ref="U514:U522" si="321">IF(R514&gt;0,S514*100/R514,0)</f>
        <v>0</v>
      </c>
    </row>
    <row r="515" spans="1:21" ht="18.75" hidden="1" x14ac:dyDescent="0.25">
      <c r="A515" s="257"/>
      <c r="B515" s="258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6">
        <f t="shared" ref="L515:N516" si="322">L518+L521</f>
        <v>0</v>
      </c>
      <c r="M515" s="77">
        <f t="shared" si="322"/>
        <v>0</v>
      </c>
      <c r="N515" s="77">
        <f t="shared" si="322"/>
        <v>0</v>
      </c>
      <c r="O515" s="77">
        <f t="shared" si="317"/>
        <v>0</v>
      </c>
      <c r="P515" s="77">
        <f t="shared" si="318"/>
        <v>0</v>
      </c>
      <c r="Q515" s="77">
        <f t="shared" ref="Q515:S516" si="323">Q518+Q521</f>
        <v>0</v>
      </c>
      <c r="R515" s="77">
        <f t="shared" si="323"/>
        <v>0</v>
      </c>
      <c r="S515" s="77">
        <f t="shared" si="323"/>
        <v>0</v>
      </c>
      <c r="T515" s="77">
        <f t="shared" si="320"/>
        <v>0</v>
      </c>
      <c r="U515" s="77">
        <f t="shared" si="321"/>
        <v>0</v>
      </c>
    </row>
    <row r="516" spans="1:21" ht="18.75" hidden="1" x14ac:dyDescent="0.25">
      <c r="A516" s="257"/>
      <c r="B516" s="258"/>
      <c r="C516" s="258"/>
      <c r="D516" s="258"/>
      <c r="E516" s="265" t="s">
        <v>21</v>
      </c>
      <c r="F516" s="258"/>
      <c r="G516" s="261"/>
      <c r="H516" s="266" t="s">
        <v>14</v>
      </c>
      <c r="I516" s="263"/>
      <c r="J516" s="263"/>
      <c r="K516" s="87"/>
      <c r="L516" s="73">
        <f t="shared" ca="1" si="322"/>
        <v>0</v>
      </c>
      <c r="M516" s="74">
        <f t="shared" ca="1" si="322"/>
        <v>0</v>
      </c>
      <c r="N516" s="74">
        <f t="shared" ca="1" si="322"/>
        <v>0</v>
      </c>
      <c r="O516" s="74">
        <f t="shared" ca="1" si="317"/>
        <v>0</v>
      </c>
      <c r="P516" s="74">
        <f t="shared" ca="1" si="318"/>
        <v>0</v>
      </c>
      <c r="Q516" s="74">
        <f t="shared" si="323"/>
        <v>0</v>
      </c>
      <c r="R516" s="74">
        <f t="shared" si="323"/>
        <v>0</v>
      </c>
      <c r="S516" s="74">
        <f t="shared" si="323"/>
        <v>0</v>
      </c>
      <c r="T516" s="74">
        <f t="shared" si="320"/>
        <v>0</v>
      </c>
      <c r="U516" s="74">
        <f t="shared" si="321"/>
        <v>0</v>
      </c>
    </row>
    <row r="517" spans="1:21" ht="18.75" hidden="1" x14ac:dyDescent="0.25">
      <c r="A517" s="257"/>
      <c r="B517" s="258"/>
      <c r="C517" s="258"/>
      <c r="D517" s="991" t="s">
        <v>22</v>
      </c>
      <c r="E517" s="258"/>
      <c r="F517" s="258"/>
      <c r="G517" s="261"/>
      <c r="H517" s="273" t="s">
        <v>14</v>
      </c>
      <c r="I517" s="272"/>
      <c r="J517" s="272"/>
      <c r="K517" s="229"/>
      <c r="L517" s="73">
        <f t="shared" ref="L517:N517" ca="1" si="324">L518+L519</f>
        <v>0</v>
      </c>
      <c r="M517" s="74">
        <f t="shared" ca="1" si="324"/>
        <v>0</v>
      </c>
      <c r="N517" s="74">
        <f t="shared" ca="1" si="324"/>
        <v>0</v>
      </c>
      <c r="O517" s="74">
        <f t="shared" ca="1" si="317"/>
        <v>0</v>
      </c>
      <c r="P517" s="74">
        <f t="shared" ca="1" si="318"/>
        <v>0</v>
      </c>
      <c r="Q517" s="74">
        <f t="shared" ref="Q517:S517" si="325">Q518+Q519</f>
        <v>0</v>
      </c>
      <c r="R517" s="74">
        <f t="shared" si="325"/>
        <v>0</v>
      </c>
      <c r="S517" s="74">
        <f t="shared" si="325"/>
        <v>0</v>
      </c>
      <c r="T517" s="74">
        <f t="shared" si="320"/>
        <v>0</v>
      </c>
      <c r="U517" s="74">
        <f t="shared" si="321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77">
        <f t="shared" si="317"/>
        <v>0</v>
      </c>
      <c r="P518" s="77">
        <f t="shared" si="318"/>
        <v>0</v>
      </c>
      <c r="Q518" s="77">
        <v>0</v>
      </c>
      <c r="R518" s="77">
        <v>0</v>
      </c>
      <c r="S518" s="77">
        <v>0</v>
      </c>
      <c r="T518" s="77">
        <f t="shared" si="320"/>
        <v>0</v>
      </c>
      <c r="U518" s="77">
        <f t="shared" si="321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3">
        <f ca="1">IFERROR(__xludf.DUMMYFUNCTION("IMPORTRANGE(""https://docs.google.com/spreadsheets/d/1-uDff_7J0KD5mKrp0Vvzr7lt3OU09vwQwhkpOPPYv2Y/edit?usp=sharing"",""งบพรบ!FM65"")"),0)</f>
        <v>0</v>
      </c>
      <c r="M519" s="74">
        <f ca="1">IFERROR(__xludf.DUMMYFUNCTION("IMPORTRANGE(""https://docs.google.com/spreadsheets/d/1-uDff_7J0KD5mKrp0Vvzr7lt3OU09vwQwhkpOPPYv2Y/edit?usp=sharing"",""งบพรบ!FR65"")"),0)</f>
        <v>0</v>
      </c>
      <c r="N519" s="74">
        <f ca="1">IFERROR(__xludf.DUMMYFUNCTION("IMPORTRANGE(""https://docs.google.com/spreadsheets/d/1-uDff_7J0KD5mKrp0Vvzr7lt3OU09vwQwhkpOPPYv2Y/edit?usp=sharing"",""งบพรบ!FT65"")"),0)</f>
        <v>0</v>
      </c>
      <c r="O519" s="74">
        <f t="shared" ca="1" si="317"/>
        <v>0</v>
      </c>
      <c r="P519" s="74">
        <f t="shared" ca="1" si="318"/>
        <v>0</v>
      </c>
      <c r="Q519" s="74">
        <v>0</v>
      </c>
      <c r="R519" s="74">
        <v>0</v>
      </c>
      <c r="S519" s="74">
        <v>0</v>
      </c>
      <c r="T519" s="74">
        <f t="shared" si="320"/>
        <v>0</v>
      </c>
      <c r="U519" s="74">
        <f t="shared" si="321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3">
        <f t="shared" ref="L520:N520" ca="1" si="326">L521+L522</f>
        <v>0</v>
      </c>
      <c r="M520" s="74">
        <f t="shared" ca="1" si="326"/>
        <v>0</v>
      </c>
      <c r="N520" s="74">
        <f t="shared" ca="1" si="326"/>
        <v>0</v>
      </c>
      <c r="O520" s="74">
        <f t="shared" ca="1" si="317"/>
        <v>0</v>
      </c>
      <c r="P520" s="74">
        <f t="shared" ca="1" si="318"/>
        <v>0</v>
      </c>
      <c r="Q520" s="74">
        <f t="shared" ref="Q520:S520" si="327">Q521+Q522</f>
        <v>0</v>
      </c>
      <c r="R520" s="74">
        <f t="shared" si="327"/>
        <v>0</v>
      </c>
      <c r="S520" s="74">
        <f t="shared" si="327"/>
        <v>0</v>
      </c>
      <c r="T520" s="74">
        <f t="shared" si="320"/>
        <v>0</v>
      </c>
      <c r="U520" s="74">
        <f t="shared" si="321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77">
        <f t="shared" si="317"/>
        <v>0</v>
      </c>
      <c r="P521" s="77">
        <f t="shared" si="318"/>
        <v>0</v>
      </c>
      <c r="Q521" s="77">
        <v>0</v>
      </c>
      <c r="R521" s="77">
        <v>0</v>
      </c>
      <c r="S521" s="77">
        <v>0</v>
      </c>
      <c r="T521" s="77">
        <f t="shared" si="320"/>
        <v>0</v>
      </c>
      <c r="U521" s="77">
        <f t="shared" si="321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3">
        <f ca="1">IFERROR(__xludf.DUMMYFUNCTION("IMPORTRANGE(""https://docs.google.com/spreadsheets/d/1-uDff_7J0KD5mKrp0Vvzr7lt3OU09vwQwhkpOPPYv2Y/edit?usp=sharing"",""งบพรบ!FP65"")"),0)</f>
        <v>0</v>
      </c>
      <c r="M522" s="74">
        <f ca="1">IFERROR(__xludf.DUMMYFUNCTION("IMPORTRANGE(""https://docs.google.com/spreadsheets/d/1-uDff_7J0KD5mKrp0Vvzr7lt3OU09vwQwhkpOPPYv2Y/edit?usp=sharing"",""งบพรบ!FS65"")"),0)</f>
        <v>0</v>
      </c>
      <c r="N522" s="74">
        <f ca="1">IFERROR(__xludf.DUMMYFUNCTION("IMPORTRANGE(""https://docs.google.com/spreadsheets/d/1-uDff_7J0KD5mKrp0Vvzr7lt3OU09vwQwhkpOPPYv2Y/edit?usp=sharing"",""งบพรบ!FU65"")"),0)</f>
        <v>0</v>
      </c>
      <c r="O522" s="74">
        <f t="shared" ca="1" si="317"/>
        <v>0</v>
      </c>
      <c r="P522" s="74">
        <f t="shared" ca="1" si="318"/>
        <v>0</v>
      </c>
      <c r="Q522" s="74">
        <v>0</v>
      </c>
      <c r="R522" s="74">
        <v>0</v>
      </c>
      <c r="S522" s="74">
        <v>0</v>
      </c>
      <c r="T522" s="74">
        <f t="shared" si="320"/>
        <v>0</v>
      </c>
      <c r="U522" s="74">
        <f t="shared" si="321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8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8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9">I546</f>
        <v>0</v>
      </c>
      <c r="J534" s="1002">
        <f t="shared" si="329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1257">
        <f t="shared" ref="L535:N535" si="330">L536+L537</f>
        <v>0</v>
      </c>
      <c r="M535" s="264">
        <f t="shared" si="330"/>
        <v>0</v>
      </c>
      <c r="N535" s="264">
        <f t="shared" si="330"/>
        <v>0</v>
      </c>
      <c r="O535" s="264">
        <f t="shared" ref="O535:O543" si="331">IF(L535&gt;0,N535*100/L535,0)</f>
        <v>0</v>
      </c>
      <c r="P535" s="264">
        <f t="shared" ref="P535:P543" si="332">IF(M535&gt;0,N535*100/M535,0)</f>
        <v>0</v>
      </c>
      <c r="Q535" s="264">
        <f t="shared" ref="Q535:S535" si="333">Q536+Q537</f>
        <v>0</v>
      </c>
      <c r="R535" s="264">
        <f t="shared" si="333"/>
        <v>0</v>
      </c>
      <c r="S535" s="264">
        <f t="shared" si="333"/>
        <v>0</v>
      </c>
      <c r="T535" s="264">
        <f t="shared" ref="T535:T543" si="334">IF(Q535&gt;0,S535*100/Q535,0)</f>
        <v>0</v>
      </c>
      <c r="U535" s="264">
        <f t="shared" ref="U535:U543" si="335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6">
        <f t="shared" ref="L536:N537" si="336">L539+L542</f>
        <v>0</v>
      </c>
      <c r="M536" s="77">
        <f t="shared" si="336"/>
        <v>0</v>
      </c>
      <c r="N536" s="77">
        <f t="shared" si="336"/>
        <v>0</v>
      </c>
      <c r="O536" s="77">
        <f t="shared" si="331"/>
        <v>0</v>
      </c>
      <c r="P536" s="77">
        <f t="shared" si="332"/>
        <v>0</v>
      </c>
      <c r="Q536" s="77">
        <f t="shared" ref="Q536:S537" si="337">Q539+Q542</f>
        <v>0</v>
      </c>
      <c r="R536" s="77">
        <f t="shared" si="337"/>
        <v>0</v>
      </c>
      <c r="S536" s="77">
        <f t="shared" si="337"/>
        <v>0</v>
      </c>
      <c r="T536" s="77">
        <f t="shared" si="334"/>
        <v>0</v>
      </c>
      <c r="U536" s="77">
        <f t="shared" si="335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3">
        <f t="shared" si="336"/>
        <v>0</v>
      </c>
      <c r="M537" s="74">
        <f t="shared" si="336"/>
        <v>0</v>
      </c>
      <c r="N537" s="74">
        <f t="shared" si="336"/>
        <v>0</v>
      </c>
      <c r="O537" s="74">
        <f t="shared" si="331"/>
        <v>0</v>
      </c>
      <c r="P537" s="74">
        <f t="shared" si="332"/>
        <v>0</v>
      </c>
      <c r="Q537" s="74">
        <f t="shared" si="337"/>
        <v>0</v>
      </c>
      <c r="R537" s="74">
        <f t="shared" si="337"/>
        <v>0</v>
      </c>
      <c r="S537" s="74">
        <f t="shared" si="337"/>
        <v>0</v>
      </c>
      <c r="T537" s="74">
        <f t="shared" si="334"/>
        <v>0</v>
      </c>
      <c r="U537" s="74">
        <f t="shared" si="335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3">
        <f t="shared" ref="L538:N538" si="338">L539+L540</f>
        <v>0</v>
      </c>
      <c r="M538" s="74">
        <f t="shared" si="338"/>
        <v>0</v>
      </c>
      <c r="N538" s="74">
        <f t="shared" si="338"/>
        <v>0</v>
      </c>
      <c r="O538" s="74">
        <f t="shared" si="331"/>
        <v>0</v>
      </c>
      <c r="P538" s="74">
        <f t="shared" si="332"/>
        <v>0</v>
      </c>
      <c r="Q538" s="74">
        <f t="shared" ref="Q538:S538" si="339">Q539+Q540</f>
        <v>0</v>
      </c>
      <c r="R538" s="74">
        <f t="shared" si="339"/>
        <v>0</v>
      </c>
      <c r="S538" s="74">
        <f t="shared" si="339"/>
        <v>0</v>
      </c>
      <c r="T538" s="74">
        <f t="shared" si="334"/>
        <v>0</v>
      </c>
      <c r="U538" s="74">
        <f t="shared" si="335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77">
        <f t="shared" si="331"/>
        <v>0</v>
      </c>
      <c r="P539" s="77">
        <f t="shared" si="332"/>
        <v>0</v>
      </c>
      <c r="Q539" s="77">
        <v>0</v>
      </c>
      <c r="R539" s="77">
        <v>0</v>
      </c>
      <c r="S539" s="77">
        <v>0</v>
      </c>
      <c r="T539" s="77">
        <f t="shared" si="334"/>
        <v>0</v>
      </c>
      <c r="U539" s="77">
        <f t="shared" si="335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74">
        <f t="shared" si="331"/>
        <v>0</v>
      </c>
      <c r="P540" s="74">
        <f t="shared" si="332"/>
        <v>0</v>
      </c>
      <c r="Q540" s="74">
        <v>0</v>
      </c>
      <c r="R540" s="74">
        <v>0</v>
      </c>
      <c r="S540" s="74">
        <v>0</v>
      </c>
      <c r="T540" s="74">
        <f t="shared" si="334"/>
        <v>0</v>
      </c>
      <c r="U540" s="74">
        <f t="shared" si="335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3">
        <f t="shared" ref="L541:N541" si="340">L542+L543</f>
        <v>0</v>
      </c>
      <c r="M541" s="74">
        <f t="shared" si="340"/>
        <v>0</v>
      </c>
      <c r="N541" s="74">
        <f t="shared" si="340"/>
        <v>0</v>
      </c>
      <c r="O541" s="74">
        <f t="shared" si="331"/>
        <v>0</v>
      </c>
      <c r="P541" s="74">
        <f t="shared" si="332"/>
        <v>0</v>
      </c>
      <c r="Q541" s="74">
        <f t="shared" ref="Q541:S541" si="341">Q542+Q543</f>
        <v>0</v>
      </c>
      <c r="R541" s="74">
        <f t="shared" si="341"/>
        <v>0</v>
      </c>
      <c r="S541" s="74">
        <f t="shared" si="341"/>
        <v>0</v>
      </c>
      <c r="T541" s="74">
        <f t="shared" si="334"/>
        <v>0</v>
      </c>
      <c r="U541" s="74">
        <f t="shared" si="335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77">
        <f t="shared" si="331"/>
        <v>0</v>
      </c>
      <c r="P542" s="77">
        <f t="shared" si="332"/>
        <v>0</v>
      </c>
      <c r="Q542" s="77">
        <v>0</v>
      </c>
      <c r="R542" s="77">
        <v>0</v>
      </c>
      <c r="S542" s="77">
        <v>0</v>
      </c>
      <c r="T542" s="77">
        <f t="shared" si="334"/>
        <v>0</v>
      </c>
      <c r="U542" s="77">
        <f t="shared" si="335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74">
        <f t="shared" si="331"/>
        <v>0</v>
      </c>
      <c r="P543" s="74">
        <f t="shared" si="332"/>
        <v>0</v>
      </c>
      <c r="Q543" s="74">
        <v>0</v>
      </c>
      <c r="R543" s="74">
        <v>0</v>
      </c>
      <c r="S543" s="74">
        <v>0</v>
      </c>
      <c r="T543" s="74">
        <f t="shared" si="334"/>
        <v>0</v>
      </c>
      <c r="U543" s="74">
        <f t="shared" si="335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2">I567</f>
        <v>0</v>
      </c>
      <c r="J555" s="1002">
        <f t="shared" si="342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1257">
        <f t="shared" ref="L556:N556" si="343">L557+L558</f>
        <v>0</v>
      </c>
      <c r="M556" s="264">
        <f t="shared" si="343"/>
        <v>0</v>
      </c>
      <c r="N556" s="264">
        <f t="shared" si="343"/>
        <v>0</v>
      </c>
      <c r="O556" s="264">
        <f t="shared" ref="O556:O564" si="344">IF(L556&gt;0,N556*100/L556,0)</f>
        <v>0</v>
      </c>
      <c r="P556" s="264">
        <f t="shared" ref="P556:P564" si="345">IF(M556&gt;0,N556*100/M556,0)</f>
        <v>0</v>
      </c>
      <c r="Q556" s="264">
        <f t="shared" ref="Q556:S556" si="346">Q557+Q558</f>
        <v>0</v>
      </c>
      <c r="R556" s="264">
        <f t="shared" si="346"/>
        <v>0</v>
      </c>
      <c r="S556" s="264">
        <f t="shared" si="346"/>
        <v>0</v>
      </c>
      <c r="T556" s="264">
        <f t="shared" ref="T556:T564" si="347">IF(Q556&gt;0,S556*100/Q556,0)</f>
        <v>0</v>
      </c>
      <c r="U556" s="264">
        <f t="shared" ref="U556:U564" si="348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6">
        <f t="shared" ref="L557:N558" si="349">L560+L563</f>
        <v>0</v>
      </c>
      <c r="M557" s="77">
        <f t="shared" si="349"/>
        <v>0</v>
      </c>
      <c r="N557" s="77">
        <f t="shared" si="349"/>
        <v>0</v>
      </c>
      <c r="O557" s="77">
        <f t="shared" si="344"/>
        <v>0</v>
      </c>
      <c r="P557" s="77">
        <f t="shared" si="345"/>
        <v>0</v>
      </c>
      <c r="Q557" s="77">
        <f t="shared" ref="Q557:S558" si="350">Q560+Q563</f>
        <v>0</v>
      </c>
      <c r="R557" s="77">
        <f t="shared" si="350"/>
        <v>0</v>
      </c>
      <c r="S557" s="77">
        <f t="shared" si="350"/>
        <v>0</v>
      </c>
      <c r="T557" s="77">
        <f t="shared" si="347"/>
        <v>0</v>
      </c>
      <c r="U557" s="77">
        <f t="shared" si="348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3">
        <f t="shared" si="349"/>
        <v>0</v>
      </c>
      <c r="M558" s="74">
        <f t="shared" si="349"/>
        <v>0</v>
      </c>
      <c r="N558" s="74">
        <f t="shared" si="349"/>
        <v>0</v>
      </c>
      <c r="O558" s="74">
        <f t="shared" si="344"/>
        <v>0</v>
      </c>
      <c r="P558" s="74">
        <f t="shared" si="345"/>
        <v>0</v>
      </c>
      <c r="Q558" s="74">
        <f t="shared" si="350"/>
        <v>0</v>
      </c>
      <c r="R558" s="74">
        <f t="shared" si="350"/>
        <v>0</v>
      </c>
      <c r="S558" s="74">
        <f t="shared" si="350"/>
        <v>0</v>
      </c>
      <c r="T558" s="74">
        <f t="shared" si="347"/>
        <v>0</v>
      </c>
      <c r="U558" s="74">
        <f t="shared" si="348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3">
        <f t="shared" ref="L559:N559" si="351">L560+L561</f>
        <v>0</v>
      </c>
      <c r="M559" s="74">
        <f t="shared" si="351"/>
        <v>0</v>
      </c>
      <c r="N559" s="74">
        <f t="shared" si="351"/>
        <v>0</v>
      </c>
      <c r="O559" s="74">
        <f t="shared" si="344"/>
        <v>0</v>
      </c>
      <c r="P559" s="74">
        <f t="shared" si="345"/>
        <v>0</v>
      </c>
      <c r="Q559" s="74">
        <f t="shared" ref="Q559:S559" si="352">Q560+Q561</f>
        <v>0</v>
      </c>
      <c r="R559" s="74">
        <f t="shared" si="352"/>
        <v>0</v>
      </c>
      <c r="S559" s="74">
        <f t="shared" si="352"/>
        <v>0</v>
      </c>
      <c r="T559" s="74">
        <f t="shared" si="347"/>
        <v>0</v>
      </c>
      <c r="U559" s="74">
        <f t="shared" si="348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77">
        <f t="shared" si="344"/>
        <v>0</v>
      </c>
      <c r="P560" s="77">
        <f t="shared" si="345"/>
        <v>0</v>
      </c>
      <c r="Q560" s="77">
        <v>0</v>
      </c>
      <c r="R560" s="77">
        <v>0</v>
      </c>
      <c r="S560" s="77">
        <v>0</v>
      </c>
      <c r="T560" s="77">
        <f t="shared" si="347"/>
        <v>0</v>
      </c>
      <c r="U560" s="77">
        <f t="shared" si="348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74">
        <f t="shared" si="344"/>
        <v>0</v>
      </c>
      <c r="P561" s="74">
        <f t="shared" si="345"/>
        <v>0</v>
      </c>
      <c r="Q561" s="74">
        <v>0</v>
      </c>
      <c r="R561" s="74">
        <v>0</v>
      </c>
      <c r="S561" s="74">
        <v>0</v>
      </c>
      <c r="T561" s="74">
        <f t="shared" si="347"/>
        <v>0</v>
      </c>
      <c r="U561" s="74">
        <f t="shared" si="348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3">
        <f t="shared" ref="L562:N562" si="353">L563+L564</f>
        <v>0</v>
      </c>
      <c r="M562" s="74">
        <f t="shared" si="353"/>
        <v>0</v>
      </c>
      <c r="N562" s="74">
        <f t="shared" si="353"/>
        <v>0</v>
      </c>
      <c r="O562" s="74">
        <f t="shared" si="344"/>
        <v>0</v>
      </c>
      <c r="P562" s="74">
        <f t="shared" si="345"/>
        <v>0</v>
      </c>
      <c r="Q562" s="74">
        <f t="shared" ref="Q562:S562" si="354">Q563+Q564</f>
        <v>0</v>
      </c>
      <c r="R562" s="74">
        <f t="shared" si="354"/>
        <v>0</v>
      </c>
      <c r="S562" s="74">
        <f t="shared" si="354"/>
        <v>0</v>
      </c>
      <c r="T562" s="74">
        <f t="shared" si="347"/>
        <v>0</v>
      </c>
      <c r="U562" s="74">
        <f t="shared" si="348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77">
        <f t="shared" si="344"/>
        <v>0</v>
      </c>
      <c r="P563" s="77">
        <f t="shared" si="345"/>
        <v>0</v>
      </c>
      <c r="Q563" s="77">
        <v>0</v>
      </c>
      <c r="R563" s="77">
        <v>0</v>
      </c>
      <c r="S563" s="77">
        <v>0</v>
      </c>
      <c r="T563" s="77">
        <f t="shared" si="347"/>
        <v>0</v>
      </c>
      <c r="U563" s="77">
        <f t="shared" si="348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74">
        <f t="shared" si="344"/>
        <v>0</v>
      </c>
      <c r="P564" s="74">
        <f t="shared" si="345"/>
        <v>0</v>
      </c>
      <c r="Q564" s="74">
        <v>0</v>
      </c>
      <c r="R564" s="74">
        <v>0</v>
      </c>
      <c r="S564" s="74">
        <v>0</v>
      </c>
      <c r="T564" s="74">
        <f t="shared" si="347"/>
        <v>0</v>
      </c>
      <c r="U564" s="74">
        <f t="shared" si="348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5">I588</f>
        <v>0</v>
      </c>
      <c r="J576" s="1002">
        <f t="shared" si="355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1257">
        <f t="shared" ref="L577:N577" si="356">L578+L579</f>
        <v>0</v>
      </c>
      <c r="M577" s="264">
        <f t="shared" si="356"/>
        <v>0</v>
      </c>
      <c r="N577" s="264">
        <f t="shared" si="356"/>
        <v>0</v>
      </c>
      <c r="O577" s="264">
        <f t="shared" ref="O577:O585" si="357">IF(L577&gt;0,N577*100/L577,0)</f>
        <v>0</v>
      </c>
      <c r="P577" s="264">
        <f t="shared" ref="P577:P585" si="358">IF(M577&gt;0,N577*100/M577,0)</f>
        <v>0</v>
      </c>
      <c r="Q577" s="264">
        <f t="shared" ref="Q577:S577" si="359">Q578+Q579</f>
        <v>0</v>
      </c>
      <c r="R577" s="264">
        <f t="shared" si="359"/>
        <v>0</v>
      </c>
      <c r="S577" s="264">
        <f t="shared" si="359"/>
        <v>0</v>
      </c>
      <c r="T577" s="264">
        <f t="shared" ref="T577:T585" si="360">IF(Q577&gt;0,S577*100/Q577,0)</f>
        <v>0</v>
      </c>
      <c r="U577" s="264">
        <f t="shared" ref="U577:U585" si="361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6">
        <f t="shared" ref="L578:N579" si="362">L581+L584</f>
        <v>0</v>
      </c>
      <c r="M578" s="77">
        <f t="shared" si="362"/>
        <v>0</v>
      </c>
      <c r="N578" s="77">
        <f t="shared" si="362"/>
        <v>0</v>
      </c>
      <c r="O578" s="77">
        <f t="shared" si="357"/>
        <v>0</v>
      </c>
      <c r="P578" s="77">
        <f t="shared" si="358"/>
        <v>0</v>
      </c>
      <c r="Q578" s="77">
        <f t="shared" ref="Q578:S579" si="363">Q581+Q584</f>
        <v>0</v>
      </c>
      <c r="R578" s="77">
        <f t="shared" si="363"/>
        <v>0</v>
      </c>
      <c r="S578" s="77">
        <f t="shared" si="363"/>
        <v>0</v>
      </c>
      <c r="T578" s="77">
        <f t="shared" si="360"/>
        <v>0</v>
      </c>
      <c r="U578" s="77">
        <f t="shared" si="361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3">
        <f t="shared" si="362"/>
        <v>0</v>
      </c>
      <c r="M579" s="74">
        <f t="shared" si="362"/>
        <v>0</v>
      </c>
      <c r="N579" s="74">
        <f t="shared" si="362"/>
        <v>0</v>
      </c>
      <c r="O579" s="74">
        <f t="shared" si="357"/>
        <v>0</v>
      </c>
      <c r="P579" s="74">
        <f t="shared" si="358"/>
        <v>0</v>
      </c>
      <c r="Q579" s="74">
        <f t="shared" si="363"/>
        <v>0</v>
      </c>
      <c r="R579" s="74">
        <f t="shared" si="363"/>
        <v>0</v>
      </c>
      <c r="S579" s="74">
        <f t="shared" si="363"/>
        <v>0</v>
      </c>
      <c r="T579" s="74">
        <f t="shared" si="360"/>
        <v>0</v>
      </c>
      <c r="U579" s="74">
        <f t="shared" si="361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3">
        <f t="shared" ref="L580:N580" si="364">L581+L582</f>
        <v>0</v>
      </c>
      <c r="M580" s="74">
        <f t="shared" si="364"/>
        <v>0</v>
      </c>
      <c r="N580" s="74">
        <f t="shared" si="364"/>
        <v>0</v>
      </c>
      <c r="O580" s="74">
        <f t="shared" si="357"/>
        <v>0</v>
      </c>
      <c r="P580" s="74">
        <f t="shared" si="358"/>
        <v>0</v>
      </c>
      <c r="Q580" s="74">
        <f t="shared" ref="Q580:S580" si="365">Q581+Q582</f>
        <v>0</v>
      </c>
      <c r="R580" s="74">
        <f t="shared" si="365"/>
        <v>0</v>
      </c>
      <c r="S580" s="74">
        <f t="shared" si="365"/>
        <v>0</v>
      </c>
      <c r="T580" s="74">
        <f t="shared" si="360"/>
        <v>0</v>
      </c>
      <c r="U580" s="74">
        <f t="shared" si="361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77">
        <f t="shared" si="357"/>
        <v>0</v>
      </c>
      <c r="P581" s="77">
        <f t="shared" si="358"/>
        <v>0</v>
      </c>
      <c r="Q581" s="77">
        <v>0</v>
      </c>
      <c r="R581" s="77">
        <v>0</v>
      </c>
      <c r="S581" s="77">
        <v>0</v>
      </c>
      <c r="T581" s="77">
        <f t="shared" si="360"/>
        <v>0</v>
      </c>
      <c r="U581" s="77">
        <f t="shared" si="361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74">
        <f t="shared" si="357"/>
        <v>0</v>
      </c>
      <c r="P582" s="74">
        <f t="shared" si="358"/>
        <v>0</v>
      </c>
      <c r="Q582" s="74">
        <v>0</v>
      </c>
      <c r="R582" s="74">
        <v>0</v>
      </c>
      <c r="S582" s="74">
        <v>0</v>
      </c>
      <c r="T582" s="74">
        <f t="shared" si="360"/>
        <v>0</v>
      </c>
      <c r="U582" s="74">
        <f t="shared" si="361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3">
        <f t="shared" ref="L583:N583" si="366">L584+L585</f>
        <v>0</v>
      </c>
      <c r="M583" s="74">
        <f t="shared" si="366"/>
        <v>0</v>
      </c>
      <c r="N583" s="74">
        <f t="shared" si="366"/>
        <v>0</v>
      </c>
      <c r="O583" s="74">
        <f t="shared" si="357"/>
        <v>0</v>
      </c>
      <c r="P583" s="74">
        <f t="shared" si="358"/>
        <v>0</v>
      </c>
      <c r="Q583" s="74">
        <f t="shared" ref="Q583:S583" si="367">Q584+Q585</f>
        <v>0</v>
      </c>
      <c r="R583" s="74">
        <f t="shared" si="367"/>
        <v>0</v>
      </c>
      <c r="S583" s="74">
        <f t="shared" si="367"/>
        <v>0</v>
      </c>
      <c r="T583" s="74">
        <f t="shared" si="360"/>
        <v>0</v>
      </c>
      <c r="U583" s="74">
        <f t="shared" si="361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77">
        <f t="shared" si="357"/>
        <v>0</v>
      </c>
      <c r="P584" s="77">
        <f t="shared" si="358"/>
        <v>0</v>
      </c>
      <c r="Q584" s="77">
        <v>0</v>
      </c>
      <c r="R584" s="77">
        <v>0</v>
      </c>
      <c r="S584" s="77">
        <v>0</v>
      </c>
      <c r="T584" s="77">
        <f t="shared" si="360"/>
        <v>0</v>
      </c>
      <c r="U584" s="77">
        <f t="shared" si="361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74">
        <f t="shared" si="357"/>
        <v>0</v>
      </c>
      <c r="P585" s="74">
        <f t="shared" si="358"/>
        <v>0</v>
      </c>
      <c r="Q585" s="74">
        <v>0</v>
      </c>
      <c r="R585" s="74">
        <v>0</v>
      </c>
      <c r="S585" s="74">
        <v>0</v>
      </c>
      <c r="T585" s="74">
        <f t="shared" si="360"/>
        <v>0</v>
      </c>
      <c r="U585" s="74">
        <f t="shared" si="361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1257">
        <f t="shared" ref="L600:N600" si="368">L601+L602</f>
        <v>0</v>
      </c>
      <c r="M600" s="264">
        <f t="shared" si="368"/>
        <v>0</v>
      </c>
      <c r="N600" s="264">
        <f t="shared" si="368"/>
        <v>0</v>
      </c>
      <c r="O600" s="264">
        <f t="shared" ref="O600:O608" si="369">IF(L600&gt;0,N600*100/L600,0)</f>
        <v>0</v>
      </c>
      <c r="P600" s="264">
        <f t="shared" ref="P600:P608" si="370">IF(M600&gt;0,N600*100/M600,0)</f>
        <v>0</v>
      </c>
      <c r="Q600" s="264">
        <f t="shared" ref="Q600:S600" si="371">Q601+Q602</f>
        <v>0</v>
      </c>
      <c r="R600" s="264">
        <f t="shared" si="371"/>
        <v>0</v>
      </c>
      <c r="S600" s="264">
        <f t="shared" si="371"/>
        <v>0</v>
      </c>
      <c r="T600" s="264">
        <f t="shared" ref="T600:T608" si="372">IF(Q600&gt;0,S600*100/Q600,0)</f>
        <v>0</v>
      </c>
      <c r="U600" s="264">
        <f t="shared" ref="U600:U608" si="373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6">
        <f t="shared" ref="L601:N602" si="374">L604+L607</f>
        <v>0</v>
      </c>
      <c r="M601" s="77">
        <f t="shared" si="374"/>
        <v>0</v>
      </c>
      <c r="N601" s="77">
        <f t="shared" si="374"/>
        <v>0</v>
      </c>
      <c r="O601" s="77">
        <f t="shared" si="369"/>
        <v>0</v>
      </c>
      <c r="P601" s="77">
        <f t="shared" si="370"/>
        <v>0</v>
      </c>
      <c r="Q601" s="77">
        <f t="shared" ref="Q601:S602" si="375">Q604+Q607</f>
        <v>0</v>
      </c>
      <c r="R601" s="77">
        <f t="shared" si="375"/>
        <v>0</v>
      </c>
      <c r="S601" s="77">
        <f t="shared" si="375"/>
        <v>0</v>
      </c>
      <c r="T601" s="77">
        <f t="shared" si="372"/>
        <v>0</v>
      </c>
      <c r="U601" s="77">
        <f t="shared" si="373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3">
        <f t="shared" si="374"/>
        <v>0</v>
      </c>
      <c r="M602" s="74">
        <f t="shared" si="374"/>
        <v>0</v>
      </c>
      <c r="N602" s="74">
        <f t="shared" si="374"/>
        <v>0</v>
      </c>
      <c r="O602" s="74">
        <f t="shared" si="369"/>
        <v>0</v>
      </c>
      <c r="P602" s="74">
        <f t="shared" si="370"/>
        <v>0</v>
      </c>
      <c r="Q602" s="74">
        <f t="shared" si="375"/>
        <v>0</v>
      </c>
      <c r="R602" s="74">
        <f t="shared" si="375"/>
        <v>0</v>
      </c>
      <c r="S602" s="74">
        <f t="shared" si="375"/>
        <v>0</v>
      </c>
      <c r="T602" s="74">
        <f t="shared" si="372"/>
        <v>0</v>
      </c>
      <c r="U602" s="74">
        <f t="shared" si="373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3">
        <f t="shared" ref="L603:N603" si="376">L604+L605</f>
        <v>0</v>
      </c>
      <c r="M603" s="74">
        <f t="shared" si="376"/>
        <v>0</v>
      </c>
      <c r="N603" s="74">
        <f t="shared" si="376"/>
        <v>0</v>
      </c>
      <c r="O603" s="74">
        <f t="shared" si="369"/>
        <v>0</v>
      </c>
      <c r="P603" s="74">
        <f t="shared" si="370"/>
        <v>0</v>
      </c>
      <c r="Q603" s="74">
        <f t="shared" ref="Q603:S603" si="377">Q604+Q605</f>
        <v>0</v>
      </c>
      <c r="R603" s="74">
        <f t="shared" si="377"/>
        <v>0</v>
      </c>
      <c r="S603" s="74">
        <f t="shared" si="377"/>
        <v>0</v>
      </c>
      <c r="T603" s="74">
        <f t="shared" si="372"/>
        <v>0</v>
      </c>
      <c r="U603" s="74">
        <f t="shared" si="373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77">
        <f t="shared" si="369"/>
        <v>0</v>
      </c>
      <c r="P604" s="77">
        <f t="shared" si="370"/>
        <v>0</v>
      </c>
      <c r="Q604" s="77">
        <v>0</v>
      </c>
      <c r="R604" s="77">
        <v>0</v>
      </c>
      <c r="S604" s="77">
        <v>0</v>
      </c>
      <c r="T604" s="77">
        <f t="shared" si="372"/>
        <v>0</v>
      </c>
      <c r="U604" s="77">
        <f t="shared" si="373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74">
        <f t="shared" si="369"/>
        <v>0</v>
      </c>
      <c r="P605" s="74">
        <f t="shared" si="370"/>
        <v>0</v>
      </c>
      <c r="Q605" s="74">
        <v>0</v>
      </c>
      <c r="R605" s="74">
        <v>0</v>
      </c>
      <c r="S605" s="74">
        <v>0</v>
      </c>
      <c r="T605" s="74">
        <f t="shared" si="372"/>
        <v>0</v>
      </c>
      <c r="U605" s="74">
        <f t="shared" si="373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3">
        <f t="shared" ref="L606:N606" si="378">L607+L608</f>
        <v>0</v>
      </c>
      <c r="M606" s="74">
        <f t="shared" si="378"/>
        <v>0</v>
      </c>
      <c r="N606" s="74">
        <f t="shared" si="378"/>
        <v>0</v>
      </c>
      <c r="O606" s="74">
        <f t="shared" si="369"/>
        <v>0</v>
      </c>
      <c r="P606" s="74">
        <f t="shared" si="370"/>
        <v>0</v>
      </c>
      <c r="Q606" s="74">
        <f t="shared" ref="Q606:S606" si="379">Q607+Q608</f>
        <v>0</v>
      </c>
      <c r="R606" s="74">
        <f t="shared" si="379"/>
        <v>0</v>
      </c>
      <c r="S606" s="74">
        <f t="shared" si="379"/>
        <v>0</v>
      </c>
      <c r="T606" s="74">
        <f t="shared" si="372"/>
        <v>0</v>
      </c>
      <c r="U606" s="74">
        <f t="shared" si="373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77">
        <f t="shared" si="369"/>
        <v>0</v>
      </c>
      <c r="P607" s="77">
        <f t="shared" si="370"/>
        <v>0</v>
      </c>
      <c r="Q607" s="77">
        <v>0</v>
      </c>
      <c r="R607" s="77">
        <v>0</v>
      </c>
      <c r="S607" s="77">
        <v>0</v>
      </c>
      <c r="T607" s="77">
        <f t="shared" si="372"/>
        <v>0</v>
      </c>
      <c r="U607" s="77">
        <f t="shared" si="373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74">
        <f t="shared" si="369"/>
        <v>0</v>
      </c>
      <c r="P608" s="74">
        <f t="shared" si="370"/>
        <v>0</v>
      </c>
      <c r="Q608" s="74">
        <v>0</v>
      </c>
      <c r="R608" s="74">
        <v>0</v>
      </c>
      <c r="S608" s="74">
        <v>0</v>
      </c>
      <c r="T608" s="74">
        <f t="shared" si="372"/>
        <v>0</v>
      </c>
      <c r="U608" s="74">
        <f t="shared" si="373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740">
        <f t="shared" ref="I616:J616" ca="1" si="380">I627</f>
        <v>50</v>
      </c>
      <c r="J616" s="740">
        <f t="shared" si="380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1257">
        <f t="shared" ref="L617:N617" si="381">L618+L619</f>
        <v>0</v>
      </c>
      <c r="M617" s="264">
        <f t="shared" si="381"/>
        <v>0</v>
      </c>
      <c r="N617" s="264">
        <f t="shared" si="381"/>
        <v>0</v>
      </c>
      <c r="O617" s="264">
        <f t="shared" ref="O617:O625" si="382">IF(L617&gt;0,N617*100/L617,0)</f>
        <v>0</v>
      </c>
      <c r="P617" s="264">
        <f t="shared" ref="P617:P625" si="383">IF(M617&gt;0,N617*100/M617,0)</f>
        <v>0</v>
      </c>
      <c r="Q617" s="264">
        <f t="shared" ref="Q617:S617" ca="1" si="384">Q618+Q619</f>
        <v>6700</v>
      </c>
      <c r="R617" s="264">
        <f t="shared" ca="1" si="384"/>
        <v>6700</v>
      </c>
      <c r="S617" s="264">
        <f t="shared" ca="1" si="384"/>
        <v>0</v>
      </c>
      <c r="T617" s="264">
        <f t="shared" ref="T617:T625" ca="1" si="385">IF(Q617&gt;0,S617*100/Q617,0)</f>
        <v>0</v>
      </c>
      <c r="U617" s="264">
        <f t="shared" ref="U617:U625" ca="1" si="386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6">
        <f t="shared" ref="L618:N619" si="387">L621+L624</f>
        <v>0</v>
      </c>
      <c r="M618" s="77">
        <f t="shared" si="387"/>
        <v>0</v>
      </c>
      <c r="N618" s="77">
        <f t="shared" si="387"/>
        <v>0</v>
      </c>
      <c r="O618" s="77">
        <f t="shared" si="382"/>
        <v>0</v>
      </c>
      <c r="P618" s="77">
        <f t="shared" si="383"/>
        <v>0</v>
      </c>
      <c r="Q618" s="77">
        <f t="shared" ref="Q618:S619" si="388">Q621+Q624</f>
        <v>0</v>
      </c>
      <c r="R618" s="77">
        <f t="shared" si="388"/>
        <v>0</v>
      </c>
      <c r="S618" s="77">
        <f t="shared" si="388"/>
        <v>0</v>
      </c>
      <c r="T618" s="77">
        <f t="shared" si="385"/>
        <v>0</v>
      </c>
      <c r="U618" s="77">
        <f t="shared" si="386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3">
        <f t="shared" si="387"/>
        <v>0</v>
      </c>
      <c r="M619" s="74">
        <f t="shared" si="387"/>
        <v>0</v>
      </c>
      <c r="N619" s="74">
        <f t="shared" si="387"/>
        <v>0</v>
      </c>
      <c r="O619" s="74">
        <f t="shared" si="382"/>
        <v>0</v>
      </c>
      <c r="P619" s="74">
        <f t="shared" si="383"/>
        <v>0</v>
      </c>
      <c r="Q619" s="74">
        <f t="shared" ca="1" si="388"/>
        <v>6700</v>
      </c>
      <c r="R619" s="74">
        <f t="shared" ca="1" si="388"/>
        <v>6700</v>
      </c>
      <c r="S619" s="74">
        <f t="shared" ca="1" si="388"/>
        <v>0</v>
      </c>
      <c r="T619" s="74">
        <f t="shared" ca="1" si="385"/>
        <v>0</v>
      </c>
      <c r="U619" s="74">
        <f t="shared" ca="1" si="386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3">
        <f t="shared" ref="L620:N620" si="389">L621+L622</f>
        <v>0</v>
      </c>
      <c r="M620" s="74">
        <f t="shared" si="389"/>
        <v>0</v>
      </c>
      <c r="N620" s="74">
        <f t="shared" si="389"/>
        <v>0</v>
      </c>
      <c r="O620" s="74">
        <f t="shared" si="382"/>
        <v>0</v>
      </c>
      <c r="P620" s="74">
        <f t="shared" si="383"/>
        <v>0</v>
      </c>
      <c r="Q620" s="74">
        <f t="shared" ref="Q620:S620" ca="1" si="390">Q621+Q622</f>
        <v>6700</v>
      </c>
      <c r="R620" s="74">
        <f t="shared" ca="1" si="390"/>
        <v>6700</v>
      </c>
      <c r="S620" s="74">
        <f t="shared" ca="1" si="390"/>
        <v>0</v>
      </c>
      <c r="T620" s="74">
        <f t="shared" ca="1" si="385"/>
        <v>0</v>
      </c>
      <c r="U620" s="74">
        <f t="shared" ca="1" si="386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77">
        <f t="shared" si="382"/>
        <v>0</v>
      </c>
      <c r="P621" s="77">
        <f t="shared" si="383"/>
        <v>0</v>
      </c>
      <c r="Q621" s="77">
        <v>0</v>
      </c>
      <c r="R621" s="77">
        <v>0</v>
      </c>
      <c r="S621" s="77">
        <v>0</v>
      </c>
      <c r="T621" s="77">
        <f t="shared" si="385"/>
        <v>0</v>
      </c>
      <c r="U621" s="77">
        <f t="shared" si="386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74">
        <f t="shared" si="382"/>
        <v>0</v>
      </c>
      <c r="P622" s="74">
        <f t="shared" si="383"/>
        <v>0</v>
      </c>
      <c r="Q622" s="74">
        <f ca="1">IFERROR(__xludf.DUMMYFUNCTION("IMPORTRANGE(""https://docs.google.com/spreadsheets/d/1ItG2mGa2ceCfYo0BwxsXqNm01IGEUdYcSSLTEv9YCik/edit?usp=sharing"",""เบิกจ่ายกองทุน!F65"")"),6700)</f>
        <v>6700</v>
      </c>
      <c r="R622" s="74">
        <f ca="1">IFERROR(__xludf.DUMMYFUNCTION("IMPORTRANGE(""https://docs.google.com/spreadsheets/d/1ItG2mGa2ceCfYo0BwxsXqNm01IGEUdYcSSLTEv9YCik/edit?usp=sharing"",""เบิกจ่ายกองทุน!G65"")"),6700)</f>
        <v>6700</v>
      </c>
      <c r="S622" s="74">
        <f ca="1">IFERROR(__xludf.DUMMYFUNCTION("IMPORTRANGE(""https://docs.google.com/spreadsheets/d/1ItG2mGa2ceCfYo0BwxsXqNm01IGEUdYcSSLTEv9YCik/edit?usp=sharing"",""เบิกจ่ายกองทุน!H65"")"),0)</f>
        <v>0</v>
      </c>
      <c r="T622" s="74">
        <f t="shared" ca="1" si="385"/>
        <v>0</v>
      </c>
      <c r="U622" s="74">
        <f t="shared" ca="1" si="386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3">
        <f t="shared" ref="L623:N623" si="391">L624+L625</f>
        <v>0</v>
      </c>
      <c r="M623" s="74">
        <f t="shared" si="391"/>
        <v>0</v>
      </c>
      <c r="N623" s="74">
        <f t="shared" si="391"/>
        <v>0</v>
      </c>
      <c r="O623" s="74">
        <f t="shared" si="382"/>
        <v>0</v>
      </c>
      <c r="P623" s="74">
        <f t="shared" si="383"/>
        <v>0</v>
      </c>
      <c r="Q623" s="74">
        <f t="shared" ref="Q623:S623" si="392">Q624+Q625</f>
        <v>0</v>
      </c>
      <c r="R623" s="74">
        <f t="shared" si="392"/>
        <v>0</v>
      </c>
      <c r="S623" s="74">
        <f t="shared" si="392"/>
        <v>0</v>
      </c>
      <c r="T623" s="74">
        <f t="shared" si="385"/>
        <v>0</v>
      </c>
      <c r="U623" s="74">
        <f t="shared" si="386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77">
        <f t="shared" si="382"/>
        <v>0</v>
      </c>
      <c r="P624" s="77">
        <f t="shared" si="383"/>
        <v>0</v>
      </c>
      <c r="Q624" s="77">
        <v>0</v>
      </c>
      <c r="R624" s="77">
        <v>0</v>
      </c>
      <c r="S624" s="77">
        <v>0</v>
      </c>
      <c r="T624" s="77">
        <f t="shared" si="385"/>
        <v>0</v>
      </c>
      <c r="U624" s="77">
        <f t="shared" si="386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74">
        <f t="shared" si="382"/>
        <v>0</v>
      </c>
      <c r="P625" s="74">
        <f t="shared" si="383"/>
        <v>0</v>
      </c>
      <c r="Q625" s="74">
        <v>0</v>
      </c>
      <c r="R625" s="74">
        <v>0</v>
      </c>
      <c r="S625" s="74">
        <v>0</v>
      </c>
      <c r="T625" s="74">
        <f t="shared" si="385"/>
        <v>0</v>
      </c>
      <c r="U625" s="74">
        <f t="shared" si="386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IFERROR(__xludf.DUMMYFUNCTION("IMPORTRANGE(""https://docs.google.com/spreadsheets/d/1eHaY18a8A9IcSdp1K8H6x8fbOy06t2VsZHhMHf-1x7Y/edit?usp=sharing"",""แผน!ID65"")"),50)</f>
        <v>50</v>
      </c>
      <c r="J627" s="622">
        <f>J633</f>
        <v>0</v>
      </c>
      <c r="K627" s="26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IFERROR(__xludf.DUMMYFUNCTION("IMPORTRANGE(""https://docs.google.com/spreadsheets/d/1eHaY18a8A9IcSdp1K8H6x8fbOy06t2VsZHhMHf-1x7Y/edit?usp=sharing"",""แผน!IC65"")"),0)</f>
        <v>0</v>
      </c>
      <c r="J628" s="294">
        <v>0</v>
      </c>
      <c r="K628" s="74">
        <f t="shared" ref="K628:K629" ca="1" si="393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IFERROR(__xludf.DUMMYFUNCTION("IMPORTRANGE(""https://docs.google.com/spreadsheets/d/1eHaY18a8A9IcSdp1K8H6x8fbOy06t2VsZHhMHf-1x7Y/edit?usp=sharing"",""แผน!IC65"")"),0)</f>
        <v>0</v>
      </c>
      <c r="J629" s="294">
        <v>0</v>
      </c>
      <c r="K629" s="74">
        <f t="shared" ca="1" si="393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0</v>
      </c>
      <c r="K630" s="74">
        <f t="shared" ref="K630:K632" ca="1" si="394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t="shared" ca="1" si="394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t="shared" ca="1" si="394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IFERROR(__xludf.DUMMYFUNCTION("IMPORTRANGE(""https://docs.google.com/spreadsheets/d/1eHaY18a8A9IcSdp1K8H6x8fbOy06t2VsZHhMHf-1x7Y/edit?usp=sharing"",""แผน!IE65"")"),0)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1257">
        <f t="shared" ref="L643:N643" si="395">L644+L645</f>
        <v>0</v>
      </c>
      <c r="M643" s="264">
        <f t="shared" si="395"/>
        <v>0</v>
      </c>
      <c r="N643" s="264">
        <f t="shared" si="395"/>
        <v>0</v>
      </c>
      <c r="O643" s="264">
        <f t="shared" ref="O643:O651" si="396">IF(L643&gt;0,N643*100/L643,0)</f>
        <v>0</v>
      </c>
      <c r="P643" s="264">
        <f t="shared" ref="P643:P651" si="397">IF(M643&gt;0,N643*100/M643,0)</f>
        <v>0</v>
      </c>
      <c r="Q643" s="264">
        <f t="shared" ref="Q643:S643" ca="1" si="398">Q644+Q645</f>
        <v>8600</v>
      </c>
      <c r="R643" s="264">
        <f t="shared" ca="1" si="398"/>
        <v>8600</v>
      </c>
      <c r="S643" s="264">
        <f t="shared" ca="1" si="398"/>
        <v>0</v>
      </c>
      <c r="T643" s="264">
        <f t="shared" ref="T643:T651" ca="1" si="399">IF(Q643&gt;0,S643*100/Q643,0)</f>
        <v>0</v>
      </c>
      <c r="U643" s="264">
        <f t="shared" ref="U643:U651" ca="1" si="400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6">
        <f t="shared" ref="L644:N645" si="401">L647+L650</f>
        <v>0</v>
      </c>
      <c r="M644" s="77">
        <f t="shared" si="401"/>
        <v>0</v>
      </c>
      <c r="N644" s="77">
        <f t="shared" si="401"/>
        <v>0</v>
      </c>
      <c r="O644" s="77">
        <f t="shared" si="396"/>
        <v>0</v>
      </c>
      <c r="P644" s="77">
        <f t="shared" si="397"/>
        <v>0</v>
      </c>
      <c r="Q644" s="77">
        <f t="shared" ref="Q644:S645" si="402">Q647+Q650</f>
        <v>0</v>
      </c>
      <c r="R644" s="77">
        <f t="shared" si="402"/>
        <v>0</v>
      </c>
      <c r="S644" s="77">
        <f t="shared" si="402"/>
        <v>0</v>
      </c>
      <c r="T644" s="77">
        <f t="shared" si="399"/>
        <v>0</v>
      </c>
      <c r="U644" s="77">
        <f t="shared" si="400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3">
        <f t="shared" si="401"/>
        <v>0</v>
      </c>
      <c r="M645" s="74">
        <f t="shared" si="401"/>
        <v>0</v>
      </c>
      <c r="N645" s="74">
        <f t="shared" si="401"/>
        <v>0</v>
      </c>
      <c r="O645" s="74">
        <f t="shared" si="396"/>
        <v>0</v>
      </c>
      <c r="P645" s="74">
        <f t="shared" si="397"/>
        <v>0</v>
      </c>
      <c r="Q645" s="74">
        <f t="shared" ca="1" si="402"/>
        <v>8600</v>
      </c>
      <c r="R645" s="74">
        <f t="shared" ca="1" si="402"/>
        <v>8600</v>
      </c>
      <c r="S645" s="74">
        <f t="shared" ca="1" si="402"/>
        <v>0</v>
      </c>
      <c r="T645" s="74">
        <f t="shared" ca="1" si="399"/>
        <v>0</v>
      </c>
      <c r="U645" s="74">
        <f t="shared" ca="1" si="400"/>
        <v>0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3">
        <f t="shared" ref="L646:N646" si="403">L647+L648</f>
        <v>0</v>
      </c>
      <c r="M646" s="74">
        <f t="shared" si="403"/>
        <v>0</v>
      </c>
      <c r="N646" s="74">
        <f t="shared" si="403"/>
        <v>0</v>
      </c>
      <c r="O646" s="74">
        <f t="shared" si="396"/>
        <v>0</v>
      </c>
      <c r="P646" s="74">
        <f t="shared" si="397"/>
        <v>0</v>
      </c>
      <c r="Q646" s="74">
        <f t="shared" ref="Q646:S646" ca="1" si="404">Q647+Q648</f>
        <v>8600</v>
      </c>
      <c r="R646" s="74">
        <f t="shared" ca="1" si="404"/>
        <v>8600</v>
      </c>
      <c r="S646" s="74">
        <f t="shared" ca="1" si="404"/>
        <v>0</v>
      </c>
      <c r="T646" s="74">
        <f t="shared" ca="1" si="399"/>
        <v>0</v>
      </c>
      <c r="U646" s="74">
        <f t="shared" ca="1" si="400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77">
        <f t="shared" si="396"/>
        <v>0</v>
      </c>
      <c r="P647" s="77">
        <f t="shared" si="397"/>
        <v>0</v>
      </c>
      <c r="Q647" s="77">
        <v>0</v>
      </c>
      <c r="R647" s="77">
        <v>0</v>
      </c>
      <c r="S647" s="77">
        <v>0</v>
      </c>
      <c r="T647" s="77">
        <f t="shared" si="399"/>
        <v>0</v>
      </c>
      <c r="U647" s="77">
        <f t="shared" si="400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74">
        <f t="shared" si="396"/>
        <v>0</v>
      </c>
      <c r="P648" s="74">
        <f t="shared" si="397"/>
        <v>0</v>
      </c>
      <c r="Q648" s="74">
        <f ca="1">IFERROR(__xludf.DUMMYFUNCTION("IMPORTRANGE(""https://docs.google.com/spreadsheets/d/1ItG2mGa2ceCfYo0BwxsXqNm01IGEUdYcSSLTEv9YCik/edit?usp=sharing"",""เบิกจ่ายกองทุน!I65"")"),8600)</f>
        <v>8600</v>
      </c>
      <c r="R648" s="74">
        <f ca="1">IFERROR(__xludf.DUMMYFUNCTION("IMPORTRANGE(""https://docs.google.com/spreadsheets/d/1ItG2mGa2ceCfYo0BwxsXqNm01IGEUdYcSSLTEv9YCik/edit?usp=sharing"",""เบิกจ่ายกองทุน!J65"")"),8600)</f>
        <v>8600</v>
      </c>
      <c r="S648" s="74">
        <f ca="1">IFERROR(__xludf.DUMMYFUNCTION("IMPORTRANGE(""https://docs.google.com/spreadsheets/d/1ItG2mGa2ceCfYo0BwxsXqNm01IGEUdYcSSLTEv9YCik/edit?usp=sharing"",""เบิกจ่ายกองทุน!K65"")"),0)</f>
        <v>0</v>
      </c>
      <c r="T648" s="74">
        <f t="shared" ca="1" si="399"/>
        <v>0</v>
      </c>
      <c r="U648" s="74">
        <f t="shared" ca="1" si="400"/>
        <v>0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3">
        <f t="shared" ref="L649:N649" si="405">L650+L651</f>
        <v>0</v>
      </c>
      <c r="M649" s="74">
        <f t="shared" si="405"/>
        <v>0</v>
      </c>
      <c r="N649" s="74">
        <f t="shared" si="405"/>
        <v>0</v>
      </c>
      <c r="O649" s="74">
        <f t="shared" si="396"/>
        <v>0</v>
      </c>
      <c r="P649" s="74">
        <f t="shared" si="397"/>
        <v>0</v>
      </c>
      <c r="Q649" s="74">
        <f t="shared" ref="Q649:S649" si="406">Q650+Q651</f>
        <v>0</v>
      </c>
      <c r="R649" s="74">
        <f t="shared" si="406"/>
        <v>0</v>
      </c>
      <c r="S649" s="74">
        <f t="shared" si="406"/>
        <v>0</v>
      </c>
      <c r="T649" s="74">
        <f t="shared" si="399"/>
        <v>0</v>
      </c>
      <c r="U649" s="74">
        <f t="shared" si="400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77">
        <f t="shared" si="396"/>
        <v>0</v>
      </c>
      <c r="P650" s="77">
        <f t="shared" si="397"/>
        <v>0</v>
      </c>
      <c r="Q650" s="77">
        <v>0</v>
      </c>
      <c r="R650" s="77">
        <v>0</v>
      </c>
      <c r="S650" s="77">
        <v>0</v>
      </c>
      <c r="T650" s="77">
        <f t="shared" si="399"/>
        <v>0</v>
      </c>
      <c r="U650" s="77">
        <f t="shared" si="400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74">
        <f t="shared" si="396"/>
        <v>0</v>
      </c>
      <c r="P651" s="74">
        <f t="shared" si="397"/>
        <v>0</v>
      </c>
      <c r="Q651" s="74">
        <v>0</v>
      </c>
      <c r="R651" s="74">
        <v>0</v>
      </c>
      <c r="S651" s="74">
        <v>0</v>
      </c>
      <c r="T651" s="74">
        <f t="shared" si="399"/>
        <v>0</v>
      </c>
      <c r="U651" s="74">
        <f t="shared" si="400"/>
        <v>0</v>
      </c>
    </row>
    <row r="652" spans="1:21" ht="19.5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IFERROR(__xludf.DUMMYFUNCTION("IMPORTRANGE(""https://docs.google.com/spreadsheets/d/1eHaY18a8A9IcSdp1K8H6x8fbOy06t2VsZHhMHf-1x7Y/edit?usp=sharing"",""แผน!IF65"")"),0)</f>
        <v>0</v>
      </c>
      <c r="J653" s="293">
        <f ca="1">IFERROR(__xludf.DUMMYFUNCTION("IMPORTRANGE(""https://docs.google.com/spreadsheets/d/1tdoBKaGub7dwA3U6UFTqxio9LNnvDCQjHKmttSEBsFQ/edit?usp=sharing"",""จัดที่ดิน!AU65"")"),0)</f>
        <v>0</v>
      </c>
      <c r="K653" s="74">
        <f t="shared" ref="K653:K655" ca="1" si="407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IFERROR(__xludf.DUMMYFUNCTION("IMPORTRANGE(""https://docs.google.com/spreadsheets/d/1eHaY18a8A9IcSdp1K8H6x8fbOy06t2VsZHhMHf-1x7Y/edit?usp=sharing"",""แผน!IG65"")"),0)</f>
        <v>0</v>
      </c>
      <c r="J654" s="293">
        <f ca="1">IFERROR(__xludf.DUMMYFUNCTION("IMPORTRANGE(""https://docs.google.com/spreadsheets/d/1tdoBKaGub7dwA3U6UFTqxio9LNnvDCQjHKmttSEBsFQ/edit?usp=sharing"",""จัดที่ดิน!AW65"")"),2)</f>
        <v>2</v>
      </c>
      <c r="K654" s="74">
        <f t="shared" ca="1" si="407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IFERROR(__xludf.DUMMYFUNCTION("IMPORTRANGE(""https://docs.google.com/spreadsheets/d/1eHaY18a8A9IcSdp1K8H6x8fbOy06t2VsZHhMHf-1x7Y/edit?usp=sharing"",""แผน!IH65"")"),350)</f>
        <v>350</v>
      </c>
      <c r="J655" s="622">
        <f>J658+J661</f>
        <v>0</v>
      </c>
      <c r="K655" s="264">
        <f t="shared" ca="1" si="407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IFERROR(__xludf.DUMMYFUNCTION("IMPORTRANGE(""https://docs.google.com/spreadsheets/d/1eHaY18a8A9IcSdp1K8H6x8fbOy06t2VsZHhMHf-1x7Y/edit?usp=sharing"",""แผน!II65"")"),0)</f>
        <v>0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IFERROR(__xludf.DUMMYFUNCTION("IMPORTRANGE(""https://docs.google.com/spreadsheets/d/1eHaY18a8A9IcSdp1K8H6x8fbOy06t2VsZHhMHf-1x7Y/edit?usp=sharing"",""แผน!IJ65"")"),350)</f>
        <v>350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IFERROR(__xludf.DUMMYFUNCTION("IMPORTRANGE(""https://docs.google.com/spreadsheets/d/1eHaY18a8A9IcSdp1K8H6x8fbOy06t2VsZHhMHf-1x7Y/edit?usp=sharing"",""แผน!IK65"")"),0)</f>
        <v>0</v>
      </c>
      <c r="J662" s="622">
        <f>J668+J671</f>
        <v>0</v>
      </c>
      <c r="K662" s="264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IFERROR(__xludf.DUMMYFUNCTION("IMPORTRANGE(""https://docs.google.com/spreadsheets/d/1tdoBKaGub7dwA3U6UFTqxio9LNnvDCQjHKmttSEBsFQ/edit?usp=sharing"",""จัดที่ดิน!AY65"")"),0)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IFERROR(__xludf.DUMMYFUNCTION("IMPORTRANGE(""https://docs.google.com/spreadsheets/d/1tdoBKaGub7dwA3U6UFTqxio9LNnvDCQjHKmttSEBsFQ/edit?usp=sharing"",""จัดที่ดิน!AZ65"")"),0)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IFERROR(__xludf.DUMMYFUNCTION("IMPORTRANGE(""https://docs.google.com/spreadsheets/d/1eHaY18a8A9IcSdp1K8H6x8fbOy06t2VsZHhMHf-1x7Y/edit?usp=sharing"",""แผน!IL65"")"),0)</f>
        <v>0</v>
      </c>
      <c r="J674" s="293">
        <f ca="1">IFERROR(__xludf.DUMMYFUNCTION("IMPORTRANGE(""https://docs.google.com/spreadsheets/d/1tdoBKaGub7dwA3U6UFTqxio9LNnvDCQjHKmttSEBsFQ/edit?usp=sharing"",""จัดที่ดิน!BA65"")"),0)</f>
        <v>0</v>
      </c>
      <c r="K674" s="74">
        <f t="shared" ref="K674:K677" ca="1" si="408">IF(I674&gt;0,J674*100/I674,0)</f>
        <v>0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IFERROR(__xludf.DUMMYFUNCTION("IMPORTRANGE(""https://docs.google.com/spreadsheets/d/1eHaY18a8A9IcSdp1K8H6x8fbOy06t2VsZHhMHf-1x7Y/edit?usp=sharing"",""แผน!IM65"")"),5)</f>
        <v>5</v>
      </c>
      <c r="J675" s="622">
        <f ca="1">J677+J680</f>
        <v>0</v>
      </c>
      <c r="K675" s="264">
        <f t="shared" ca="1" si="408"/>
        <v>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IFERROR(__xludf.DUMMYFUNCTION("IMPORTRANGE(""https://docs.google.com/spreadsheets/d/1eHaY18a8A9IcSdp1K8H6x8fbOy06t2VsZHhMHf-1x7Y/edit?usp=sharing"",""แผน!IN65"")"),140)</f>
        <v>140</v>
      </c>
      <c r="J676" s="622">
        <f ca="1">J679+J682</f>
        <v>0</v>
      </c>
      <c r="K676" s="264">
        <f t="shared" ca="1" si="408"/>
        <v>0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IFERROR(__xludf.DUMMYFUNCTION("IMPORTRANGE(""https://docs.google.com/spreadsheets/d/1eHaY18a8A9IcSdp1K8H6x8fbOy06t2VsZHhMHf-1x7Y/edit?usp=sharing"",""แผน!IO65"")"),5)</f>
        <v>5</v>
      </c>
      <c r="J677" s="293">
        <f ca="1">IFERROR(__xludf.DUMMYFUNCTION("IMPORTRANGE(""https://docs.google.com/spreadsheets/d/1tdoBKaGub7dwA3U6UFTqxio9LNnvDCQjHKmttSEBsFQ/edit?usp=sharing"",""จัดที่ดิน!BF65"")"),0)</f>
        <v>0</v>
      </c>
      <c r="K677" s="74">
        <f t="shared" ca="1" si="408"/>
        <v>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IFERROR(__xludf.DUMMYFUNCTION("IMPORTRANGE(""https://docs.google.com/spreadsheets/d/1tdoBKaGub7dwA3U6UFTqxio9LNnvDCQjHKmttSEBsFQ/edit?usp=sharing"",""จัดที่ดิน!BG65"")"),0)</f>
        <v>0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IFERROR(__xludf.DUMMYFUNCTION("IMPORTRANGE(""https://docs.google.com/spreadsheets/d/1eHaY18a8A9IcSdp1K8H6x8fbOy06t2VsZHhMHf-1x7Y/edit?usp=sharing"",""แผน!IP65"")"),140)</f>
        <v>140</v>
      </c>
      <c r="J679" s="293">
        <f ca="1">IFERROR(__xludf.DUMMYFUNCTION("IMPORTRANGE(""https://docs.google.com/spreadsheets/d/1tdoBKaGub7dwA3U6UFTqxio9LNnvDCQjHKmttSEBsFQ/edit?usp=sharing"",""จัดที่ดิน!BH65"")"),0)</f>
        <v>0</v>
      </c>
      <c r="K679" s="74">
        <f t="shared" ref="K679:K680" ca="1" si="409">IF(I679&gt;0,J679*100/I679,0)</f>
        <v>0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IFERROR(__xludf.DUMMYFUNCTION("IMPORTRANGE(""https://docs.google.com/spreadsheets/d/1eHaY18a8A9IcSdp1K8H6x8fbOy06t2VsZHhMHf-1x7Y/edit?usp=sharing"",""แผน!IQ65"")"),0)</f>
        <v>0</v>
      </c>
      <c r="J680" s="293">
        <f ca="1">IFERROR(__xludf.DUMMYFUNCTION("IMPORTRANGE(""https://docs.google.com/spreadsheets/d/1tdoBKaGub7dwA3U6UFTqxio9LNnvDCQjHKmttSEBsFQ/edit?usp=sharing"",""จัดที่ดิน!BK65"")"),0)</f>
        <v>0</v>
      </c>
      <c r="K680" s="74">
        <f t="shared" ca="1" si="409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IFERROR(__xludf.DUMMYFUNCTION("IMPORTRANGE(""https://docs.google.com/spreadsheets/d/1tdoBKaGub7dwA3U6UFTqxio9LNnvDCQjHKmttSEBsFQ/edit?usp=sharing"",""จัดที่ดิน!BL65"")"),0)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IFERROR(__xludf.DUMMYFUNCTION("IMPORTRANGE(""https://docs.google.com/spreadsheets/d/1eHaY18a8A9IcSdp1K8H6x8fbOy06t2VsZHhMHf-1x7Y/edit?usp=sharing"",""แผน!IR65"")"),0)</f>
        <v>0</v>
      </c>
      <c r="J682" s="293">
        <f ca="1">IFERROR(__xludf.DUMMYFUNCTION("IMPORTRANGE(""https://docs.google.com/spreadsheets/d/1tdoBKaGub7dwA3U6UFTqxio9LNnvDCQjHKmttSEBsFQ/edit?usp=sharing"",""จัดที่ดิน!BM65"")"),0)</f>
        <v>0</v>
      </c>
      <c r="K682" s="74">
        <f t="shared" ref="K682:K683" ca="1" si="410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IFERROR(__xludf.DUMMYFUNCTION("IMPORTRANGE(""https://docs.google.com/spreadsheets/d/1eHaY18a8A9IcSdp1K8H6x8fbOy06t2VsZHhMHf-1x7Y/edit?usp=sharing"",""แผน!IS65"")"),0)</f>
        <v>0</v>
      </c>
      <c r="J683" s="622">
        <f>J686+J689</f>
        <v>0</v>
      </c>
      <c r="K683" s="264">
        <f t="shared" ca="1" si="410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64" t="s">
        <v>35</v>
      </c>
      <c r="I690" s="765">
        <f t="shared" ref="I690:J690" ca="1" si="411">I708</f>
        <v>0</v>
      </c>
      <c r="J690" s="765">
        <f t="shared" ca="1" si="411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1257">
        <f t="shared" ref="L691:N691" si="412">L692+L693</f>
        <v>0</v>
      </c>
      <c r="M691" s="264">
        <f t="shared" si="412"/>
        <v>0</v>
      </c>
      <c r="N691" s="264">
        <f t="shared" si="412"/>
        <v>0</v>
      </c>
      <c r="O691" s="264">
        <f t="shared" ref="O691:O699" si="413">IF(L691&gt;0,N691*100/L691,0)</f>
        <v>0</v>
      </c>
      <c r="P691" s="264">
        <f t="shared" ref="P691:P699" si="414">IF(M691&gt;0,N691*100/M691,0)</f>
        <v>0</v>
      </c>
      <c r="Q691" s="264">
        <f t="shared" ref="Q691:S691" ca="1" si="415">Q692+Q693</f>
        <v>57710</v>
      </c>
      <c r="R691" s="264">
        <f t="shared" ca="1" si="415"/>
        <v>57710</v>
      </c>
      <c r="S691" s="264">
        <f t="shared" ca="1" si="415"/>
        <v>0</v>
      </c>
      <c r="T691" s="264">
        <f t="shared" ref="T691:T699" ca="1" si="416">IF(Q691&gt;0,S691*100/Q691,0)</f>
        <v>0</v>
      </c>
      <c r="U691" s="264">
        <f t="shared" ref="U691:U699" ca="1" si="417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6">
        <f t="shared" ref="L692:N693" si="418">L695+L698</f>
        <v>0</v>
      </c>
      <c r="M692" s="77">
        <f t="shared" si="418"/>
        <v>0</v>
      </c>
      <c r="N692" s="77">
        <f t="shared" si="418"/>
        <v>0</v>
      </c>
      <c r="O692" s="77">
        <f t="shared" si="413"/>
        <v>0</v>
      </c>
      <c r="P692" s="77">
        <f t="shared" si="414"/>
        <v>0</v>
      </c>
      <c r="Q692" s="77">
        <f t="shared" ref="Q692:S693" si="419">Q695+Q698</f>
        <v>0</v>
      </c>
      <c r="R692" s="77">
        <f t="shared" si="419"/>
        <v>0</v>
      </c>
      <c r="S692" s="77">
        <f t="shared" si="419"/>
        <v>0</v>
      </c>
      <c r="T692" s="77">
        <f t="shared" si="416"/>
        <v>0</v>
      </c>
      <c r="U692" s="77">
        <f t="shared" si="417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3">
        <f t="shared" si="418"/>
        <v>0</v>
      </c>
      <c r="M693" s="74">
        <f t="shared" si="418"/>
        <v>0</v>
      </c>
      <c r="N693" s="74">
        <f t="shared" si="418"/>
        <v>0</v>
      </c>
      <c r="O693" s="74">
        <f t="shared" si="413"/>
        <v>0</v>
      </c>
      <c r="P693" s="74">
        <f t="shared" si="414"/>
        <v>0</v>
      </c>
      <c r="Q693" s="74">
        <f t="shared" ca="1" si="419"/>
        <v>57710</v>
      </c>
      <c r="R693" s="74">
        <f t="shared" ca="1" si="419"/>
        <v>57710</v>
      </c>
      <c r="S693" s="74">
        <f t="shared" ca="1" si="419"/>
        <v>0</v>
      </c>
      <c r="T693" s="74">
        <f t="shared" ca="1" si="416"/>
        <v>0</v>
      </c>
      <c r="U693" s="74">
        <f t="shared" ca="1" si="417"/>
        <v>0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3">
        <f t="shared" ref="L694:N694" si="420">L695+L696</f>
        <v>0</v>
      </c>
      <c r="M694" s="74">
        <f t="shared" si="420"/>
        <v>0</v>
      </c>
      <c r="N694" s="74">
        <f t="shared" si="420"/>
        <v>0</v>
      </c>
      <c r="O694" s="74">
        <f t="shared" si="413"/>
        <v>0</v>
      </c>
      <c r="P694" s="74">
        <f t="shared" si="414"/>
        <v>0</v>
      </c>
      <c r="Q694" s="74">
        <f t="shared" ref="Q694:S694" ca="1" si="421">Q695+Q696</f>
        <v>57710</v>
      </c>
      <c r="R694" s="74">
        <f t="shared" ca="1" si="421"/>
        <v>57710</v>
      </c>
      <c r="S694" s="74">
        <f t="shared" ca="1" si="421"/>
        <v>0</v>
      </c>
      <c r="T694" s="74">
        <f t="shared" ca="1" si="416"/>
        <v>0</v>
      </c>
      <c r="U694" s="74">
        <f t="shared" ca="1" si="417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77">
        <f t="shared" si="413"/>
        <v>0</v>
      </c>
      <c r="P695" s="77">
        <f t="shared" si="414"/>
        <v>0</v>
      </c>
      <c r="Q695" s="77">
        <v>0</v>
      </c>
      <c r="R695" s="77">
        <v>0</v>
      </c>
      <c r="S695" s="77">
        <v>0</v>
      </c>
      <c r="T695" s="77">
        <f t="shared" si="416"/>
        <v>0</v>
      </c>
      <c r="U695" s="77">
        <f t="shared" si="417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74">
        <f t="shared" si="413"/>
        <v>0</v>
      </c>
      <c r="P696" s="74">
        <f t="shared" si="414"/>
        <v>0</v>
      </c>
      <c r="Q696" s="74">
        <f ca="1">IFERROR(__xludf.DUMMYFUNCTION("IMPORTRANGE(""https://docs.google.com/spreadsheets/d/1ItG2mGa2ceCfYo0BwxsXqNm01IGEUdYcSSLTEv9YCik/edit?usp=sharing"",""เบิกจ่ายกองทุน!L65"")"),57710)</f>
        <v>57710</v>
      </c>
      <c r="R696" s="74">
        <f ca="1">IFERROR(__xludf.DUMMYFUNCTION("IMPORTRANGE(""https://docs.google.com/spreadsheets/d/1ItG2mGa2ceCfYo0BwxsXqNm01IGEUdYcSSLTEv9YCik/edit?usp=sharing"",""เบิกจ่ายกองทุน!M65"")"),57710)</f>
        <v>57710</v>
      </c>
      <c r="S696" s="74">
        <f ca="1">IFERROR(__xludf.DUMMYFUNCTION("IMPORTRANGE(""https://docs.google.com/spreadsheets/d/1ItG2mGa2ceCfYo0BwxsXqNm01IGEUdYcSSLTEv9YCik/edit?usp=sharing"",""เบิกจ่ายกองทุน!N65"")"),0)</f>
        <v>0</v>
      </c>
      <c r="T696" s="74">
        <f t="shared" ca="1" si="416"/>
        <v>0</v>
      </c>
      <c r="U696" s="74">
        <f t="shared" ca="1" si="417"/>
        <v>0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3">
        <f t="shared" ref="L697:N697" si="422">L698+L699</f>
        <v>0</v>
      </c>
      <c r="M697" s="74">
        <f t="shared" si="422"/>
        <v>0</v>
      </c>
      <c r="N697" s="74">
        <f t="shared" si="422"/>
        <v>0</v>
      </c>
      <c r="O697" s="74">
        <f t="shared" si="413"/>
        <v>0</v>
      </c>
      <c r="P697" s="74">
        <f t="shared" si="414"/>
        <v>0</v>
      </c>
      <c r="Q697" s="74">
        <f t="shared" ref="Q697:S697" si="423">Q698+Q699</f>
        <v>0</v>
      </c>
      <c r="R697" s="74">
        <f t="shared" si="423"/>
        <v>0</v>
      </c>
      <c r="S697" s="74">
        <f t="shared" si="423"/>
        <v>0</v>
      </c>
      <c r="T697" s="74">
        <f t="shared" si="416"/>
        <v>0</v>
      </c>
      <c r="U697" s="74">
        <f t="shared" si="417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77">
        <f t="shared" si="413"/>
        <v>0</v>
      </c>
      <c r="P698" s="77">
        <f t="shared" si="414"/>
        <v>0</v>
      </c>
      <c r="Q698" s="77">
        <v>0</v>
      </c>
      <c r="R698" s="77">
        <v>0</v>
      </c>
      <c r="S698" s="77">
        <v>0</v>
      </c>
      <c r="T698" s="77">
        <f t="shared" si="416"/>
        <v>0</v>
      </c>
      <c r="U698" s="77">
        <f t="shared" si="417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74">
        <f t="shared" si="413"/>
        <v>0</v>
      </c>
      <c r="P699" s="74">
        <f t="shared" si="414"/>
        <v>0</v>
      </c>
      <c r="Q699" s="74">
        <v>0</v>
      </c>
      <c r="R699" s="74">
        <v>0</v>
      </c>
      <c r="S699" s="74">
        <v>0</v>
      </c>
      <c r="T699" s="74">
        <f t="shared" si="416"/>
        <v>0</v>
      </c>
      <c r="U699" s="74">
        <f t="shared" si="417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IFERROR(__xludf.DUMMYFUNCTION("IMPORTRANGE(""https://docs.google.com/spreadsheets/d/1eHaY18a8A9IcSdp1K8H6x8fbOy06t2VsZHhMHf-1x7Y/edit?usp=sharing"",""แผน!LC65"")"),0)</f>
        <v>0</v>
      </c>
      <c r="J701" s="294">
        <v>0</v>
      </c>
      <c r="K701" s="768">
        <f t="shared" ref="K701:K711" ca="1" si="424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t="shared" ref="I702:J702" ca="1" si="425">I704+I706</f>
        <v>1</v>
      </c>
      <c r="J702" s="622">
        <f t="shared" ca="1" si="425"/>
        <v>0</v>
      </c>
      <c r="K702" s="264">
        <f t="shared" ca="1" si="424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0</v>
      </c>
      <c r="K703" s="264">
        <f t="shared" si="424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IFERROR(__xludf.DUMMYFUNCTION("IMPORTRANGE(""https://docs.google.com/spreadsheets/d/1eHaY18a8A9IcSdp1K8H6x8fbOy06t2VsZHhMHf-1x7Y/edit?usp=sharing"",""แผน!LJ65"")"),0)</f>
        <v>0</v>
      </c>
      <c r="J704" s="293">
        <f ca="1">IFERROR(__xludf.DUMMYFUNCTION("IMPORTRANGE(""https://docs.google.com/spreadsheets/d/1tdoBKaGub7dwA3U6UFTqxio9LNnvDCQjHKmttSEBsFQ/edit?usp=sharing"",""จัดที่ดิน!AP65"")"),0)</f>
        <v>0</v>
      </c>
      <c r="K704" s="74">
        <f t="shared" ca="1" si="424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IFERROR(__xludf.DUMMYFUNCTION("IMPORTRANGE(""https://docs.google.com/spreadsheets/d/1tdoBKaGub7dwA3U6UFTqxio9LNnvDCQjHKmttSEBsFQ/edit?usp=sharing"",""จัดที่ดิน!AQ65"")"),0)</f>
        <v>0</v>
      </c>
      <c r="K705" s="74">
        <f t="shared" si="424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IFERROR(__xludf.DUMMYFUNCTION("IMPORTRANGE(""https://docs.google.com/spreadsheets/d/1eHaY18a8A9IcSdp1K8H6x8fbOy06t2VsZHhMHf-1x7Y/edit?usp=sharing"",""แผน!LK65"")"),1)</f>
        <v>1</v>
      </c>
      <c r="J706" s="293">
        <f ca="1">IFERROR(__xludf.DUMMYFUNCTION("IMPORTRANGE(""https://docs.google.com/spreadsheets/d/1tdoBKaGub7dwA3U6UFTqxio9LNnvDCQjHKmttSEBsFQ/edit?usp=sharing"",""จัดที่ดิน!AR65"")"),0)</f>
        <v>0</v>
      </c>
      <c r="K706" s="768">
        <f t="shared" ca="1" si="424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IFERROR(__xludf.DUMMYFUNCTION("IMPORTRANGE(""https://docs.google.com/spreadsheets/d/1tdoBKaGub7dwA3U6UFTqxio9LNnvDCQjHKmttSEBsFQ/edit?usp=sharing"",""จัดที่ดิน!AS65"")"),0)</f>
        <v>0</v>
      </c>
      <c r="K707" s="74">
        <f t="shared" si="424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IFERROR(__xludf.DUMMYFUNCTION("IMPORTRANGE(""https://docs.google.com/spreadsheets/d/1eHaY18a8A9IcSdp1K8H6x8fbOy06t2VsZHhMHf-1x7Y/edit?usp=sharing"",""แผน!LJ65"")"),0)</f>
        <v>0</v>
      </c>
      <c r="J708" s="293">
        <f ca="1">IFERROR(__xludf.DUMMYFUNCTION("IMPORTRANGE(""https://docs.google.com/spreadsheets/d/1tdoBKaGub7dwA3U6UFTqxio9LNnvDCQjHKmttSEBsFQ/edit?usp=sharing"",""จัดที่ดิน!BN65"")"),0)</f>
        <v>0</v>
      </c>
      <c r="K708" s="74">
        <f t="shared" ca="1" si="424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IFERROR(__xludf.DUMMYFUNCTION("IMPORTRANGE(""https://docs.google.com/spreadsheets/d/1tdoBKaGub7dwA3U6UFTqxio9LNnvDCQjHKmttSEBsFQ/edit?usp=sharing"",""จัดที่ดิน!BO65"")"),0)</f>
        <v>0</v>
      </c>
      <c r="K709" s="74">
        <f t="shared" si="424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IFERROR(__xludf.DUMMYFUNCTION("IMPORTRANGE(""https://docs.google.com/spreadsheets/d/1eHaY18a8A9IcSdp1K8H6x8fbOy06t2VsZHhMHf-1x7Y/edit?usp=sharing"",""แผน!LK65"")"),1)</f>
        <v>1</v>
      </c>
      <c r="J710" s="293">
        <f ca="1">IFERROR(__xludf.DUMMYFUNCTION("IMPORTRANGE(""https://docs.google.com/spreadsheets/d/1tdoBKaGub7dwA3U6UFTqxio9LNnvDCQjHKmttSEBsFQ/edit?usp=sharing"",""จัดที่ดิน!BP65"")"),0)</f>
        <v>0</v>
      </c>
      <c r="K710" s="74">
        <f t="shared" ca="1" si="424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IFERROR(__xludf.DUMMYFUNCTION("IMPORTRANGE(""https://docs.google.com/spreadsheets/d/1tdoBKaGub7dwA3U6UFTqxio9LNnvDCQjHKmttSEBsFQ/edit?usp=sharing"",""จัดที่ดิน!BQ65"")"),0)</f>
        <v>0</v>
      </c>
      <c r="K711" s="74">
        <f t="shared" si="424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1257">
        <f t="shared" ref="L715:N715" si="426">L716+L717</f>
        <v>0</v>
      </c>
      <c r="M715" s="264">
        <f t="shared" si="426"/>
        <v>0</v>
      </c>
      <c r="N715" s="264">
        <f t="shared" si="426"/>
        <v>0</v>
      </c>
      <c r="O715" s="264">
        <f t="shared" ref="O715:O723" si="427">IF(L715&gt;0,N715*100/L715,0)</f>
        <v>0</v>
      </c>
      <c r="P715" s="264">
        <f t="shared" ref="P715:P723" si="428">IF(M715&gt;0,N715*100/M715,0)</f>
        <v>0</v>
      </c>
      <c r="Q715" s="264">
        <f t="shared" ref="Q715:S715" si="429">Q716+Q717</f>
        <v>0</v>
      </c>
      <c r="R715" s="264">
        <f t="shared" si="429"/>
        <v>0</v>
      </c>
      <c r="S715" s="264">
        <f t="shared" si="429"/>
        <v>0</v>
      </c>
      <c r="T715" s="264">
        <f t="shared" ref="T715:T723" si="430">IF(Q715&gt;0,S715*100/Q715,0)</f>
        <v>0</v>
      </c>
      <c r="U715" s="264">
        <f t="shared" ref="U715:U723" si="431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6">
        <f t="shared" ref="L716:N717" si="432">L719+L722</f>
        <v>0</v>
      </c>
      <c r="M716" s="77">
        <f t="shared" si="432"/>
        <v>0</v>
      </c>
      <c r="N716" s="77">
        <f t="shared" si="432"/>
        <v>0</v>
      </c>
      <c r="O716" s="77">
        <f t="shared" si="427"/>
        <v>0</v>
      </c>
      <c r="P716" s="77">
        <f t="shared" si="428"/>
        <v>0</v>
      </c>
      <c r="Q716" s="77">
        <f t="shared" ref="Q716:S717" si="433">Q719+Q722</f>
        <v>0</v>
      </c>
      <c r="R716" s="77">
        <f t="shared" si="433"/>
        <v>0</v>
      </c>
      <c r="S716" s="77">
        <f t="shared" si="433"/>
        <v>0</v>
      </c>
      <c r="T716" s="77">
        <f t="shared" si="430"/>
        <v>0</v>
      </c>
      <c r="U716" s="77">
        <f t="shared" si="431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3">
        <f t="shared" si="432"/>
        <v>0</v>
      </c>
      <c r="M717" s="74">
        <f t="shared" si="432"/>
        <v>0</v>
      </c>
      <c r="N717" s="74">
        <f t="shared" si="432"/>
        <v>0</v>
      </c>
      <c r="O717" s="74">
        <f t="shared" si="427"/>
        <v>0</v>
      </c>
      <c r="P717" s="74">
        <f t="shared" si="428"/>
        <v>0</v>
      </c>
      <c r="Q717" s="74">
        <f t="shared" si="433"/>
        <v>0</v>
      </c>
      <c r="R717" s="74">
        <f t="shared" si="433"/>
        <v>0</v>
      </c>
      <c r="S717" s="74">
        <f t="shared" si="433"/>
        <v>0</v>
      </c>
      <c r="T717" s="74">
        <f t="shared" si="430"/>
        <v>0</v>
      </c>
      <c r="U717" s="74">
        <f t="shared" si="431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3">
        <f t="shared" ref="L718:N718" si="434">L719+L720</f>
        <v>0</v>
      </c>
      <c r="M718" s="74">
        <f t="shared" si="434"/>
        <v>0</v>
      </c>
      <c r="N718" s="74">
        <f t="shared" si="434"/>
        <v>0</v>
      </c>
      <c r="O718" s="74">
        <f t="shared" si="427"/>
        <v>0</v>
      </c>
      <c r="P718" s="74">
        <f t="shared" si="428"/>
        <v>0</v>
      </c>
      <c r="Q718" s="74">
        <f t="shared" ref="Q718:S718" si="435">Q719+Q720</f>
        <v>0</v>
      </c>
      <c r="R718" s="74">
        <f t="shared" si="435"/>
        <v>0</v>
      </c>
      <c r="S718" s="74">
        <f t="shared" si="435"/>
        <v>0</v>
      </c>
      <c r="T718" s="74">
        <f t="shared" si="430"/>
        <v>0</v>
      </c>
      <c r="U718" s="74">
        <f t="shared" si="431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77">
        <f t="shared" si="427"/>
        <v>0</v>
      </c>
      <c r="P719" s="77">
        <f t="shared" si="428"/>
        <v>0</v>
      </c>
      <c r="Q719" s="77">
        <v>0</v>
      </c>
      <c r="R719" s="77">
        <v>0</v>
      </c>
      <c r="S719" s="77">
        <v>0</v>
      </c>
      <c r="T719" s="77">
        <f t="shared" si="430"/>
        <v>0</v>
      </c>
      <c r="U719" s="77">
        <f t="shared" si="431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74">
        <f t="shared" si="427"/>
        <v>0</v>
      </c>
      <c r="P720" s="74">
        <f t="shared" si="428"/>
        <v>0</v>
      </c>
      <c r="Q720" s="74">
        <v>0</v>
      </c>
      <c r="R720" s="74">
        <v>0</v>
      </c>
      <c r="S720" s="74">
        <v>0</v>
      </c>
      <c r="T720" s="74">
        <f t="shared" si="430"/>
        <v>0</v>
      </c>
      <c r="U720" s="74">
        <f t="shared" si="431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3">
        <f t="shared" ref="L721:N721" si="436">L722+L723</f>
        <v>0</v>
      </c>
      <c r="M721" s="74">
        <f t="shared" si="436"/>
        <v>0</v>
      </c>
      <c r="N721" s="74">
        <f t="shared" si="436"/>
        <v>0</v>
      </c>
      <c r="O721" s="74">
        <f t="shared" si="427"/>
        <v>0</v>
      </c>
      <c r="P721" s="74">
        <f t="shared" si="428"/>
        <v>0</v>
      </c>
      <c r="Q721" s="74">
        <f t="shared" ref="Q721:S721" si="437">Q722+Q723</f>
        <v>0</v>
      </c>
      <c r="R721" s="74">
        <f t="shared" si="437"/>
        <v>0</v>
      </c>
      <c r="S721" s="74">
        <f t="shared" si="437"/>
        <v>0</v>
      </c>
      <c r="T721" s="74">
        <f t="shared" si="430"/>
        <v>0</v>
      </c>
      <c r="U721" s="74">
        <f t="shared" si="431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77">
        <f t="shared" si="427"/>
        <v>0</v>
      </c>
      <c r="P722" s="77">
        <f t="shared" si="428"/>
        <v>0</v>
      </c>
      <c r="Q722" s="77">
        <v>0</v>
      </c>
      <c r="R722" s="77">
        <v>0</v>
      </c>
      <c r="S722" s="77">
        <v>0</v>
      </c>
      <c r="T722" s="77">
        <f t="shared" si="430"/>
        <v>0</v>
      </c>
      <c r="U722" s="77">
        <f t="shared" si="431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74">
        <f t="shared" si="427"/>
        <v>0</v>
      </c>
      <c r="P723" s="74">
        <f t="shared" si="428"/>
        <v>0</v>
      </c>
      <c r="Q723" s="74">
        <v>0</v>
      </c>
      <c r="R723" s="74">
        <v>0</v>
      </c>
      <c r="S723" s="74">
        <v>0</v>
      </c>
      <c r="T723" s="74">
        <f t="shared" si="430"/>
        <v>0</v>
      </c>
      <c r="U723" s="74">
        <f t="shared" si="431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IFERROR(__xludf.DUMMYFUNCTION("IMPORTRANGE(""https://docs.google.com/spreadsheets/d/1eHaY18a8A9IcSdp1K8H6x8fbOy06t2VsZHhMHf-1x7Y/edit?usp=sharing"",""แผน!GA65"")"),11)</f>
        <v>11</v>
      </c>
      <c r="J727" s="781">
        <f>J743+J747+J750</f>
        <v>0</v>
      </c>
      <c r="K727" s="766">
        <f t="shared" ref="K727:K728" ca="1" si="438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IFERROR(__xludf.DUMMYFUNCTION("IMPORTRANGE(""https://docs.google.com/spreadsheets/d/1eHaY18a8A9IcSdp1K8H6x8fbOy06t2VsZHhMHf-1x7Y/edit?usp=sharing"",""แผน!FZ65"")"),100)</f>
        <v>100</v>
      </c>
      <c r="J728" s="781">
        <f>J753+J756</f>
        <v>0</v>
      </c>
      <c r="K728" s="766">
        <f t="shared" ca="1" si="438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1257">
        <f t="shared" ref="L729:N729" si="439">L730+L731</f>
        <v>0</v>
      </c>
      <c r="M729" s="264">
        <f t="shared" si="439"/>
        <v>0</v>
      </c>
      <c r="N729" s="264">
        <f t="shared" si="439"/>
        <v>0</v>
      </c>
      <c r="O729" s="264">
        <f t="shared" ref="O729:O737" si="440">IF(L729&gt;0,N729*100/L729,0)</f>
        <v>0</v>
      </c>
      <c r="P729" s="264">
        <f t="shared" ref="P729:P737" si="441">IF(M729&gt;0,N729*100/M729,0)</f>
        <v>0</v>
      </c>
      <c r="Q729" s="264">
        <f t="shared" ref="Q729:S729" ca="1" si="442">Q730+Q731</f>
        <v>111642</v>
      </c>
      <c r="R729" s="264">
        <f t="shared" ca="1" si="442"/>
        <v>111642</v>
      </c>
      <c r="S729" s="264">
        <f t="shared" ca="1" si="442"/>
        <v>0</v>
      </c>
      <c r="T729" s="264">
        <f t="shared" ref="T729:T737" ca="1" si="443">IF(Q729&gt;0,S729*100/Q729,0)</f>
        <v>0</v>
      </c>
      <c r="U729" s="264">
        <f t="shared" ref="U729:U737" ca="1" si="444">IF(R729&gt;0,S729*100/R729,0)</f>
        <v>0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6">
        <f t="shared" ref="L730:N731" si="445">L733+L736</f>
        <v>0</v>
      </c>
      <c r="M730" s="77">
        <f t="shared" si="445"/>
        <v>0</v>
      </c>
      <c r="N730" s="77">
        <f t="shared" si="445"/>
        <v>0</v>
      </c>
      <c r="O730" s="77">
        <f t="shared" si="440"/>
        <v>0</v>
      </c>
      <c r="P730" s="77">
        <f t="shared" si="441"/>
        <v>0</v>
      </c>
      <c r="Q730" s="77">
        <f t="shared" ref="Q730:S731" si="446">Q733+Q736</f>
        <v>0</v>
      </c>
      <c r="R730" s="77">
        <f t="shared" si="446"/>
        <v>0</v>
      </c>
      <c r="S730" s="77">
        <f t="shared" si="446"/>
        <v>0</v>
      </c>
      <c r="T730" s="77">
        <f t="shared" si="443"/>
        <v>0</v>
      </c>
      <c r="U730" s="77">
        <f t="shared" si="444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3">
        <f t="shared" si="445"/>
        <v>0</v>
      </c>
      <c r="M731" s="74">
        <f t="shared" si="445"/>
        <v>0</v>
      </c>
      <c r="N731" s="74">
        <f t="shared" si="445"/>
        <v>0</v>
      </c>
      <c r="O731" s="74">
        <f t="shared" si="440"/>
        <v>0</v>
      </c>
      <c r="P731" s="74">
        <f t="shared" si="441"/>
        <v>0</v>
      </c>
      <c r="Q731" s="74">
        <f t="shared" ca="1" si="446"/>
        <v>111642</v>
      </c>
      <c r="R731" s="74">
        <f t="shared" ca="1" si="446"/>
        <v>111642</v>
      </c>
      <c r="S731" s="74">
        <f t="shared" ca="1" si="446"/>
        <v>0</v>
      </c>
      <c r="T731" s="74">
        <f t="shared" ca="1" si="443"/>
        <v>0</v>
      </c>
      <c r="U731" s="74">
        <f t="shared" ca="1" si="444"/>
        <v>0</v>
      </c>
    </row>
    <row r="732" spans="1:21" ht="18.75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3">
        <f t="shared" ref="L732:N732" si="447">L733+L734</f>
        <v>0</v>
      </c>
      <c r="M732" s="74">
        <f t="shared" si="447"/>
        <v>0</v>
      </c>
      <c r="N732" s="74">
        <f t="shared" si="447"/>
        <v>0</v>
      </c>
      <c r="O732" s="74">
        <f t="shared" si="440"/>
        <v>0</v>
      </c>
      <c r="P732" s="74">
        <f t="shared" si="441"/>
        <v>0</v>
      </c>
      <c r="Q732" s="74">
        <f t="shared" ref="Q732:S732" ca="1" si="448">Q733+Q734</f>
        <v>111642</v>
      </c>
      <c r="R732" s="74">
        <f t="shared" ca="1" si="448"/>
        <v>111642</v>
      </c>
      <c r="S732" s="74">
        <f t="shared" ca="1" si="448"/>
        <v>0</v>
      </c>
      <c r="T732" s="74">
        <f t="shared" ca="1" si="443"/>
        <v>0</v>
      </c>
      <c r="U732" s="74">
        <f t="shared" ca="1" si="444"/>
        <v>0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77">
        <f t="shared" si="440"/>
        <v>0</v>
      </c>
      <c r="P733" s="77">
        <f t="shared" si="441"/>
        <v>0</v>
      </c>
      <c r="Q733" s="77">
        <v>0</v>
      </c>
      <c r="R733" s="77">
        <v>0</v>
      </c>
      <c r="S733" s="77">
        <v>0</v>
      </c>
      <c r="T733" s="77">
        <f t="shared" si="443"/>
        <v>0</v>
      </c>
      <c r="U733" s="77">
        <f t="shared" si="444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74">
        <f t="shared" si="440"/>
        <v>0</v>
      </c>
      <c r="P734" s="74">
        <f t="shared" si="441"/>
        <v>0</v>
      </c>
      <c r="Q734" s="74">
        <f ca="1">IFERROR(__xludf.DUMMYFUNCTION("IMPORTRANGE(""https://docs.google.com/spreadsheets/d/1ItG2mGa2ceCfYo0BwxsXqNm01IGEUdYcSSLTEv9YCik/edit?usp=sharing"",""เบิกจ่ายกองทุน!O65"")"),111642)</f>
        <v>111642</v>
      </c>
      <c r="R734" s="74">
        <f ca="1">IFERROR(__xludf.DUMMYFUNCTION("IMPORTRANGE(""https://docs.google.com/spreadsheets/d/1ItG2mGa2ceCfYo0BwxsXqNm01IGEUdYcSSLTEv9YCik/edit?usp=sharing"",""เบิกจ่ายกองทุน!P65"")"),111642)</f>
        <v>111642</v>
      </c>
      <c r="S734" s="74">
        <f ca="1">IFERROR(__xludf.DUMMYFUNCTION("IMPORTRANGE(""https://docs.google.com/spreadsheets/d/1ItG2mGa2ceCfYo0BwxsXqNm01IGEUdYcSSLTEv9YCik/edit?usp=sharing"",""เบิกจ่ายกองทุน!Q65"")"),0)</f>
        <v>0</v>
      </c>
      <c r="T734" s="74">
        <f t="shared" ca="1" si="443"/>
        <v>0</v>
      </c>
      <c r="U734" s="74">
        <f t="shared" ca="1" si="444"/>
        <v>0</v>
      </c>
    </row>
    <row r="735" spans="1:21" ht="18.75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3">
        <f t="shared" ref="L735:N735" si="449">L736+L737</f>
        <v>0</v>
      </c>
      <c r="M735" s="74">
        <f t="shared" si="449"/>
        <v>0</v>
      </c>
      <c r="N735" s="74">
        <f t="shared" si="449"/>
        <v>0</v>
      </c>
      <c r="O735" s="74">
        <f t="shared" si="440"/>
        <v>0</v>
      </c>
      <c r="P735" s="74">
        <f t="shared" si="441"/>
        <v>0</v>
      </c>
      <c r="Q735" s="74">
        <f t="shared" ref="Q735:S735" si="450">Q736+Q737</f>
        <v>0</v>
      </c>
      <c r="R735" s="74">
        <f t="shared" si="450"/>
        <v>0</v>
      </c>
      <c r="S735" s="74">
        <f t="shared" si="450"/>
        <v>0</v>
      </c>
      <c r="T735" s="74">
        <f t="shared" si="443"/>
        <v>0</v>
      </c>
      <c r="U735" s="74">
        <f t="shared" si="444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77">
        <f t="shared" si="440"/>
        <v>0</v>
      </c>
      <c r="P736" s="77">
        <f t="shared" si="441"/>
        <v>0</v>
      </c>
      <c r="Q736" s="77">
        <v>0</v>
      </c>
      <c r="R736" s="77">
        <v>0</v>
      </c>
      <c r="S736" s="77">
        <v>0</v>
      </c>
      <c r="T736" s="77">
        <f t="shared" si="443"/>
        <v>0</v>
      </c>
      <c r="U736" s="77">
        <f t="shared" si="444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74">
        <f t="shared" si="440"/>
        <v>0</v>
      </c>
      <c r="P737" s="74">
        <f t="shared" si="441"/>
        <v>0</v>
      </c>
      <c r="Q737" s="74">
        <v>0</v>
      </c>
      <c r="R737" s="74">
        <v>0</v>
      </c>
      <c r="S737" s="74">
        <v>0</v>
      </c>
      <c r="T737" s="74">
        <f t="shared" si="443"/>
        <v>0</v>
      </c>
      <c r="U737" s="74">
        <f t="shared" si="444"/>
        <v>0</v>
      </c>
    </row>
    <row r="738" spans="1:21" ht="19.5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x14ac:dyDescent="0.25">
      <c r="A741" s="222"/>
      <c r="B741" s="223"/>
      <c r="C741" s="223"/>
      <c r="D741" s="223"/>
      <c r="E741" s="223"/>
      <c r="F741" s="1032" t="s">
        <v>271</v>
      </c>
      <c r="G741" s="227"/>
      <c r="H741" s="216" t="s">
        <v>46</v>
      </c>
      <c r="I741" s="321">
        <f ca="1">IFERROR(__xludf.DUMMYFUNCTION("IMPORTRANGE(""https://docs.google.com/spreadsheets/d/1eHaY18a8A9IcSdp1K8H6x8fbOy06t2VsZHhMHf-1x7Y/edit?usp=sharing"",""แผน!GB65"")"),80)</f>
        <v>80</v>
      </c>
      <c r="J741" s="884">
        <v>0</v>
      </c>
      <c r="K741" s="399">
        <f ca="1">IF(I741&gt;0,J741*100/I741,0)</f>
        <v>0</v>
      </c>
      <c r="L741" s="540"/>
      <c r="M741" s="72"/>
      <c r="N741" s="72"/>
      <c r="O741" s="72"/>
      <c r="P741" s="72"/>
      <c r="Q741" s="72"/>
      <c r="R741" s="72"/>
      <c r="S741" s="72"/>
      <c r="T741" s="72"/>
      <c r="U741" s="72"/>
    </row>
    <row r="742" spans="1:21" ht="18.75" x14ac:dyDescent="0.25">
      <c r="A742" s="222"/>
      <c r="B742" s="223"/>
      <c r="C742" s="223"/>
      <c r="D742" s="223"/>
      <c r="E742" s="223"/>
      <c r="F742" s="1032" t="s">
        <v>311</v>
      </c>
      <c r="G742" s="227"/>
      <c r="H742" s="216" t="s">
        <v>35</v>
      </c>
      <c r="I742" s="71"/>
      <c r="J742" s="884">
        <v>0</v>
      </c>
      <c r="K742" s="72"/>
      <c r="L742" s="540"/>
      <c r="M742" s="72"/>
      <c r="N742" s="72"/>
      <c r="O742" s="72"/>
      <c r="P742" s="72"/>
      <c r="Q742" s="72"/>
      <c r="R742" s="72"/>
      <c r="S742" s="72"/>
      <c r="T742" s="72"/>
      <c r="U742" s="72"/>
    </row>
    <row r="743" spans="1:21" ht="18.75" x14ac:dyDescent="0.25">
      <c r="A743" s="222"/>
      <c r="B743" s="223"/>
      <c r="C743" s="223"/>
      <c r="D743" s="223"/>
      <c r="E743" s="223"/>
      <c r="F743" s="1032" t="s">
        <v>312</v>
      </c>
      <c r="G743" s="227"/>
      <c r="H743" s="216" t="s">
        <v>35</v>
      </c>
      <c r="I743" s="321">
        <f ca="1">IFERROR(__xludf.DUMMYFUNCTION("IMPORTRANGE(""https://docs.google.com/spreadsheets/d/1eHaY18a8A9IcSdp1K8H6x8fbOy06t2VsZHhMHf-1x7Y/edit?usp=sharing"",""แผน!GC65"")"),8)</f>
        <v>8</v>
      </c>
      <c r="J743" s="884">
        <v>0</v>
      </c>
      <c r="K743" s="399">
        <f ca="1">IF(I743&gt;0,J743*100/I743,0)</f>
        <v>0</v>
      </c>
      <c r="L743" s="540"/>
      <c r="M743" s="72"/>
      <c r="N743" s="72"/>
      <c r="O743" s="72"/>
      <c r="P743" s="72"/>
      <c r="Q743" s="72"/>
      <c r="R743" s="72"/>
      <c r="S743" s="72"/>
      <c r="T743" s="72"/>
      <c r="U743" s="72"/>
    </row>
    <row r="744" spans="1:21" ht="18.75" x14ac:dyDescent="0.25">
      <c r="A744" s="222"/>
      <c r="B744" s="223"/>
      <c r="C744" s="223"/>
      <c r="D744" s="223"/>
      <c r="E744" s="1032" t="s">
        <v>274</v>
      </c>
      <c r="F744" s="223"/>
      <c r="G744" s="227"/>
      <c r="H744" s="1033"/>
      <c r="I744" s="71"/>
      <c r="J744" s="71"/>
      <c r="K744" s="72"/>
      <c r="L744" s="540"/>
      <c r="M744" s="72"/>
      <c r="N744" s="72"/>
      <c r="O744" s="72"/>
      <c r="P744" s="72"/>
      <c r="Q744" s="72"/>
      <c r="R744" s="72"/>
      <c r="S744" s="72"/>
      <c r="T744" s="72"/>
      <c r="U744" s="72"/>
    </row>
    <row r="745" spans="1:21" ht="18.75" x14ac:dyDescent="0.25">
      <c r="A745" s="222"/>
      <c r="B745" s="223"/>
      <c r="C745" s="223"/>
      <c r="D745" s="223"/>
      <c r="E745" s="223"/>
      <c r="F745" s="1032" t="s">
        <v>271</v>
      </c>
      <c r="G745" s="227"/>
      <c r="H745" s="216" t="s">
        <v>46</v>
      </c>
      <c r="I745" s="321">
        <f ca="1">IFERROR(__xludf.DUMMYFUNCTION("IMPORTRANGE(""https://docs.google.com/spreadsheets/d/1eHaY18a8A9IcSdp1K8H6x8fbOy06t2VsZHhMHf-1x7Y/edit?usp=sharing"",""แผน!GD65"")"),20)</f>
        <v>20</v>
      </c>
      <c r="J745" s="884">
        <v>0</v>
      </c>
      <c r="K745" s="399">
        <f ca="1">IF(I745&gt;0,J745*100/I745,0)</f>
        <v>0</v>
      </c>
      <c r="L745" s="540"/>
      <c r="M745" s="72"/>
      <c r="N745" s="72"/>
      <c r="O745" s="72"/>
      <c r="P745" s="72"/>
      <c r="Q745" s="72"/>
      <c r="R745" s="72"/>
      <c r="S745" s="72"/>
      <c r="T745" s="72"/>
      <c r="U745" s="72"/>
    </row>
    <row r="746" spans="1:21" ht="18.75" x14ac:dyDescent="0.25">
      <c r="A746" s="222"/>
      <c r="B746" s="223"/>
      <c r="C746" s="223"/>
      <c r="D746" s="223"/>
      <c r="E746" s="223"/>
      <c r="F746" s="1032" t="s">
        <v>313</v>
      </c>
      <c r="G746" s="227"/>
      <c r="H746" s="216" t="s">
        <v>35</v>
      </c>
      <c r="I746" s="71"/>
      <c r="J746" s="884">
        <v>0</v>
      </c>
      <c r="K746" s="72"/>
      <c r="L746" s="540"/>
      <c r="M746" s="72"/>
      <c r="N746" s="72"/>
      <c r="O746" s="72"/>
      <c r="P746" s="72"/>
      <c r="Q746" s="72"/>
      <c r="R746" s="72"/>
      <c r="S746" s="72"/>
      <c r="T746" s="72"/>
      <c r="U746" s="72"/>
    </row>
    <row r="747" spans="1:21" ht="18.75" x14ac:dyDescent="0.25">
      <c r="A747" s="222"/>
      <c r="B747" s="223"/>
      <c r="C747" s="223"/>
      <c r="D747" s="223"/>
      <c r="E747" s="223"/>
      <c r="F747" s="1032" t="s">
        <v>314</v>
      </c>
      <c r="G747" s="227"/>
      <c r="H747" s="216" t="s">
        <v>35</v>
      </c>
      <c r="I747" s="321">
        <f ca="1">IFERROR(__xludf.DUMMYFUNCTION("IMPORTRANGE(""https://docs.google.com/spreadsheets/d/1eHaY18a8A9IcSdp1K8H6x8fbOy06t2VsZHhMHf-1x7Y/edit?usp=sharing"",""แผน!GE65"")"),2)</f>
        <v>2</v>
      </c>
      <c r="J747" s="884">
        <v>0</v>
      </c>
      <c r="K747" s="399">
        <f ca="1">IF(I747&gt;0,J747*100/I747,0)</f>
        <v>0</v>
      </c>
      <c r="L747" s="540"/>
      <c r="M747" s="72"/>
      <c r="N747" s="72"/>
      <c r="O747" s="72"/>
      <c r="P747" s="72"/>
      <c r="Q747" s="72"/>
      <c r="R747" s="72"/>
      <c r="S747" s="72"/>
      <c r="T747" s="72"/>
      <c r="U747" s="72"/>
    </row>
    <row r="748" spans="1:21" ht="18.75" x14ac:dyDescent="0.25">
      <c r="A748" s="222"/>
      <c r="B748" s="223"/>
      <c r="C748" s="223"/>
      <c r="D748" s="223"/>
      <c r="E748" s="1032" t="s">
        <v>277</v>
      </c>
      <c r="F748" s="231"/>
      <c r="G748" s="227"/>
      <c r="H748" s="1033"/>
      <c r="I748" s="71"/>
      <c r="J748" s="71"/>
      <c r="K748" s="72"/>
      <c r="L748" s="540"/>
      <c r="M748" s="72"/>
      <c r="N748" s="72"/>
      <c r="O748" s="72"/>
      <c r="P748" s="72"/>
      <c r="Q748" s="72"/>
      <c r="R748" s="72"/>
      <c r="S748" s="72"/>
      <c r="T748" s="72"/>
      <c r="U748" s="72"/>
    </row>
    <row r="749" spans="1:21" ht="18.75" x14ac:dyDescent="0.25">
      <c r="A749" s="222"/>
      <c r="B749" s="223"/>
      <c r="C749" s="223"/>
      <c r="D749" s="223"/>
      <c r="E749" s="223"/>
      <c r="F749" s="1032" t="s">
        <v>315</v>
      </c>
      <c r="G749" s="227"/>
      <c r="H749" s="216" t="s">
        <v>35</v>
      </c>
      <c r="I749" s="71"/>
      <c r="J749" s="884">
        <v>0</v>
      </c>
      <c r="K749" s="72"/>
      <c r="L749" s="540"/>
      <c r="M749" s="72"/>
      <c r="N749" s="72"/>
      <c r="O749" s="72"/>
      <c r="P749" s="72"/>
      <c r="Q749" s="72"/>
      <c r="R749" s="72"/>
      <c r="S749" s="72"/>
      <c r="T749" s="72"/>
      <c r="U749" s="72"/>
    </row>
    <row r="750" spans="1:21" ht="18.75" x14ac:dyDescent="0.25">
      <c r="A750" s="222"/>
      <c r="B750" s="223"/>
      <c r="C750" s="223"/>
      <c r="D750" s="223"/>
      <c r="E750" s="223"/>
      <c r="F750" s="1032" t="s">
        <v>316</v>
      </c>
      <c r="G750" s="227"/>
      <c r="H750" s="216" t="s">
        <v>35</v>
      </c>
      <c r="I750" s="321">
        <f ca="1">IFERROR(__xludf.DUMMYFUNCTION("IMPORTRANGE(""https://docs.google.com/spreadsheets/d/1eHaY18a8A9IcSdp1K8H6x8fbOy06t2VsZHhMHf-1x7Y/edit?usp=sharing"",""แผน!GF65"")"),1)</f>
        <v>1</v>
      </c>
      <c r="J750" s="884">
        <v>0</v>
      </c>
      <c r="K750" s="399">
        <f ca="1">IF(I750&gt;0,J750*100/I750,0)</f>
        <v>0</v>
      </c>
      <c r="L750" s="540"/>
      <c r="M750" s="72"/>
      <c r="N750" s="72"/>
      <c r="O750" s="72"/>
      <c r="P750" s="72"/>
      <c r="Q750" s="72"/>
      <c r="R750" s="72"/>
      <c r="S750" s="72"/>
      <c r="T750" s="72"/>
      <c r="U750" s="72"/>
    </row>
    <row r="751" spans="1:21" ht="19.5" x14ac:dyDescent="0.3">
      <c r="A751" s="222"/>
      <c r="B751" s="223"/>
      <c r="C751" s="223"/>
      <c r="D751" s="1034" t="s">
        <v>50</v>
      </c>
      <c r="E751" s="223"/>
      <c r="F751" s="231"/>
      <c r="G751" s="227"/>
      <c r="H751" s="1033"/>
      <c r="I751" s="71"/>
      <c r="J751" s="71"/>
      <c r="K751" s="72"/>
      <c r="L751" s="540"/>
      <c r="M751" s="72"/>
      <c r="N751" s="72"/>
      <c r="O751" s="72"/>
      <c r="P751" s="72"/>
      <c r="Q751" s="72"/>
      <c r="R751" s="72"/>
      <c r="S751" s="72"/>
      <c r="T751" s="72"/>
      <c r="U751" s="72"/>
    </row>
    <row r="752" spans="1:21" ht="18.75" x14ac:dyDescent="0.25">
      <c r="A752" s="222"/>
      <c r="B752" s="223"/>
      <c r="C752" s="223"/>
      <c r="D752" s="223"/>
      <c r="E752" s="1032" t="s">
        <v>270</v>
      </c>
      <c r="F752" s="231"/>
      <c r="G752" s="227"/>
      <c r="H752" s="1033"/>
      <c r="I752" s="71"/>
      <c r="J752" s="71"/>
      <c r="K752" s="72"/>
      <c r="L752" s="540"/>
      <c r="M752" s="72"/>
      <c r="N752" s="72"/>
      <c r="O752" s="72"/>
      <c r="P752" s="72"/>
      <c r="Q752" s="72"/>
      <c r="R752" s="72"/>
      <c r="S752" s="72"/>
      <c r="T752" s="72"/>
      <c r="U752" s="72"/>
    </row>
    <row r="753" spans="1:21" ht="18.75" x14ac:dyDescent="0.25">
      <c r="A753" s="222"/>
      <c r="B753" s="223"/>
      <c r="C753" s="223"/>
      <c r="D753" s="223"/>
      <c r="E753" s="223"/>
      <c r="F753" s="395" t="s">
        <v>317</v>
      </c>
      <c r="G753" s="227"/>
      <c r="H753" s="216" t="s">
        <v>46</v>
      </c>
      <c r="I753" s="321">
        <f ca="1">IFERROR(__xludf.DUMMYFUNCTION("IMPORTRANGE(""https://docs.google.com/spreadsheets/d/1eHaY18a8A9IcSdp1K8H6x8fbOy06t2VsZHhMHf-1x7Y/edit?usp=sharing"",""แผน!GC65"")"),8)</f>
        <v>8</v>
      </c>
      <c r="J753" s="884">
        <v>0</v>
      </c>
      <c r="K753" s="399">
        <f ca="1">IF(I753&gt;0,J753*100/I753,0)</f>
        <v>0</v>
      </c>
      <c r="L753" s="540"/>
      <c r="M753" s="72"/>
      <c r="N753" s="72"/>
      <c r="O753" s="72"/>
      <c r="P753" s="72"/>
      <c r="Q753" s="72"/>
      <c r="R753" s="72"/>
      <c r="S753" s="72"/>
      <c r="T753" s="72"/>
      <c r="U753" s="72"/>
    </row>
    <row r="754" spans="1:21" ht="18.75" x14ac:dyDescent="0.25">
      <c r="A754" s="222"/>
      <c r="B754" s="223"/>
      <c r="C754" s="223"/>
      <c r="D754" s="223"/>
      <c r="E754" s="223"/>
      <c r="F754" s="395" t="s">
        <v>318</v>
      </c>
      <c r="G754" s="227"/>
      <c r="H754" s="216" t="s">
        <v>46</v>
      </c>
      <c r="I754" s="71"/>
      <c r="J754" s="884">
        <v>0</v>
      </c>
      <c r="K754" s="72"/>
      <c r="L754" s="540"/>
      <c r="M754" s="72"/>
      <c r="N754" s="72"/>
      <c r="O754" s="72"/>
      <c r="P754" s="72"/>
      <c r="Q754" s="72"/>
      <c r="R754" s="72"/>
      <c r="S754" s="72"/>
      <c r="T754" s="72"/>
      <c r="U754" s="72"/>
    </row>
    <row r="755" spans="1:21" ht="18.75" x14ac:dyDescent="0.25">
      <c r="A755" s="222"/>
      <c r="B755" s="223"/>
      <c r="C755" s="223"/>
      <c r="D755" s="223"/>
      <c r="E755" s="1032" t="s">
        <v>274</v>
      </c>
      <c r="F755" s="231"/>
      <c r="G755" s="227"/>
      <c r="H755" s="1033"/>
      <c r="I755" s="71"/>
      <c r="J755" s="71"/>
      <c r="K755" s="72"/>
      <c r="L755" s="540"/>
      <c r="M755" s="72"/>
      <c r="N755" s="72"/>
      <c r="O755" s="72"/>
      <c r="P755" s="72"/>
      <c r="Q755" s="72"/>
      <c r="R755" s="72"/>
      <c r="S755" s="72"/>
      <c r="T755" s="72"/>
      <c r="U755" s="72"/>
    </row>
    <row r="756" spans="1:21" ht="18.75" x14ac:dyDescent="0.25">
      <c r="A756" s="222"/>
      <c r="B756" s="223"/>
      <c r="C756" s="223"/>
      <c r="D756" s="223"/>
      <c r="E756" s="231"/>
      <c r="F756" s="395" t="s">
        <v>319</v>
      </c>
      <c r="G756" s="227"/>
      <c r="H756" s="216" t="s">
        <v>46</v>
      </c>
      <c r="I756" s="321">
        <f ca="1">IFERROR(__xludf.DUMMYFUNCTION("IMPORTRANGE(""https://docs.google.com/spreadsheets/d/1eHaY18a8A9IcSdp1K8H6x8fbOy06t2VsZHhMHf-1x7Y/edit?usp=sharing"",""แผน!GE65"")"),2)</f>
        <v>2</v>
      </c>
      <c r="J756" s="884">
        <v>0</v>
      </c>
      <c r="K756" s="399">
        <f ca="1">IF(I756&gt;0,J756*100/I756,0)</f>
        <v>0</v>
      </c>
      <c r="L756" s="540"/>
      <c r="M756" s="72"/>
      <c r="N756" s="72"/>
      <c r="O756" s="72"/>
      <c r="P756" s="72"/>
      <c r="Q756" s="72"/>
      <c r="R756" s="72"/>
      <c r="S756" s="72"/>
      <c r="T756" s="72"/>
      <c r="U756" s="72"/>
    </row>
    <row r="757" spans="1:21" ht="18.75" x14ac:dyDescent="0.25">
      <c r="A757" s="222"/>
      <c r="B757" s="223"/>
      <c r="C757" s="223"/>
      <c r="D757" s="223"/>
      <c r="E757" s="231"/>
      <c r="F757" s="395" t="s">
        <v>320</v>
      </c>
      <c r="G757" s="227"/>
      <c r="H757" s="216" t="s">
        <v>46</v>
      </c>
      <c r="I757" s="71"/>
      <c r="J757" s="884">
        <v>0</v>
      </c>
      <c r="K757" s="72"/>
      <c r="L757" s="540"/>
      <c r="M757" s="72"/>
      <c r="N757" s="72"/>
      <c r="O757" s="72"/>
      <c r="P757" s="72"/>
      <c r="Q757" s="72"/>
      <c r="R757" s="72"/>
      <c r="S757" s="72"/>
      <c r="T757" s="72"/>
      <c r="U757" s="72"/>
    </row>
    <row r="758" spans="1:21" ht="19.5" hidden="1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1">I772</f>
        <v>0</v>
      </c>
      <c r="J758" s="781">
        <f t="shared" si="451"/>
        <v>0</v>
      </c>
      <c r="K758" s="766">
        <f t="shared" ref="K758:K759" ca="1" si="452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hidden="1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3">I774</f>
        <v>0</v>
      </c>
      <c r="J759" s="781">
        <f t="shared" si="453"/>
        <v>0</v>
      </c>
      <c r="K759" s="766">
        <f t="shared" ca="1" si="452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hidden="1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1257">
        <f t="shared" ref="L760:N760" si="454">L761+L762</f>
        <v>0</v>
      </c>
      <c r="M760" s="264">
        <f t="shared" si="454"/>
        <v>0</v>
      </c>
      <c r="N760" s="264">
        <f t="shared" si="454"/>
        <v>0</v>
      </c>
      <c r="O760" s="264">
        <f t="shared" ref="O760:O768" si="455">IF(L760&gt;0,N760*100/L760,0)</f>
        <v>0</v>
      </c>
      <c r="P760" s="264">
        <f t="shared" ref="P760:P768" si="456">IF(M760&gt;0,N760*100/M760,0)</f>
        <v>0</v>
      </c>
      <c r="Q760" s="264">
        <f t="shared" ref="Q760:S760" ca="1" si="457">Q761+Q762</f>
        <v>0</v>
      </c>
      <c r="R760" s="264">
        <f t="shared" ca="1" si="457"/>
        <v>0</v>
      </c>
      <c r="S760" s="264">
        <f t="shared" ca="1" si="457"/>
        <v>0</v>
      </c>
      <c r="T760" s="264">
        <f t="shared" ref="T760:T768" ca="1" si="458">IF(Q760&gt;0,S760*100/Q760,0)</f>
        <v>0</v>
      </c>
      <c r="U760" s="264">
        <f t="shared" ref="U760:U768" ca="1" si="459">IF(R760&gt;0,S760*100/R760,0)</f>
        <v>0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6">
        <f t="shared" ref="L761:N762" si="460">L764+L767</f>
        <v>0</v>
      </c>
      <c r="M761" s="77">
        <f t="shared" si="460"/>
        <v>0</v>
      </c>
      <c r="N761" s="77">
        <f t="shared" si="460"/>
        <v>0</v>
      </c>
      <c r="O761" s="77">
        <f t="shared" si="455"/>
        <v>0</v>
      </c>
      <c r="P761" s="77">
        <f t="shared" si="456"/>
        <v>0</v>
      </c>
      <c r="Q761" s="77">
        <f t="shared" ref="Q761:S762" si="461">Q764+Q767</f>
        <v>0</v>
      </c>
      <c r="R761" s="77">
        <f t="shared" si="461"/>
        <v>0</v>
      </c>
      <c r="S761" s="77">
        <f t="shared" si="461"/>
        <v>0</v>
      </c>
      <c r="T761" s="77">
        <f t="shared" si="458"/>
        <v>0</v>
      </c>
      <c r="U761" s="77">
        <f t="shared" si="459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3">
        <f t="shared" si="460"/>
        <v>0</v>
      </c>
      <c r="M762" s="74">
        <f t="shared" si="460"/>
        <v>0</v>
      </c>
      <c r="N762" s="74">
        <f t="shared" si="460"/>
        <v>0</v>
      </c>
      <c r="O762" s="74">
        <f t="shared" si="455"/>
        <v>0</v>
      </c>
      <c r="P762" s="74">
        <f t="shared" si="456"/>
        <v>0</v>
      </c>
      <c r="Q762" s="74">
        <f t="shared" ca="1" si="461"/>
        <v>0</v>
      </c>
      <c r="R762" s="74">
        <f t="shared" ca="1" si="461"/>
        <v>0</v>
      </c>
      <c r="S762" s="74">
        <f t="shared" ca="1" si="461"/>
        <v>0</v>
      </c>
      <c r="T762" s="74">
        <f t="shared" ca="1" si="458"/>
        <v>0</v>
      </c>
      <c r="U762" s="74">
        <f t="shared" ca="1" si="459"/>
        <v>0</v>
      </c>
    </row>
    <row r="763" spans="1:21" ht="18.75" hidden="1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3">
        <f t="shared" ref="L763:N763" si="462">L764+L765</f>
        <v>0</v>
      </c>
      <c r="M763" s="74">
        <f t="shared" si="462"/>
        <v>0</v>
      </c>
      <c r="N763" s="74">
        <f t="shared" si="462"/>
        <v>0</v>
      </c>
      <c r="O763" s="74">
        <f t="shared" si="455"/>
        <v>0</v>
      </c>
      <c r="P763" s="74">
        <f t="shared" si="456"/>
        <v>0</v>
      </c>
      <c r="Q763" s="74">
        <f t="shared" ref="Q763:S763" ca="1" si="463">Q764+Q765</f>
        <v>0</v>
      </c>
      <c r="R763" s="74">
        <f t="shared" ca="1" si="463"/>
        <v>0</v>
      </c>
      <c r="S763" s="74">
        <f t="shared" ca="1" si="463"/>
        <v>0</v>
      </c>
      <c r="T763" s="74">
        <f t="shared" ca="1" si="458"/>
        <v>0</v>
      </c>
      <c r="U763" s="74">
        <f t="shared" ca="1" si="459"/>
        <v>0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77">
        <f t="shared" si="455"/>
        <v>0</v>
      </c>
      <c r="P764" s="77">
        <f t="shared" si="456"/>
        <v>0</v>
      </c>
      <c r="Q764" s="77">
        <v>0</v>
      </c>
      <c r="R764" s="77">
        <v>0</v>
      </c>
      <c r="S764" s="77">
        <v>0</v>
      </c>
      <c r="T764" s="77">
        <f t="shared" si="458"/>
        <v>0</v>
      </c>
      <c r="U764" s="77">
        <f t="shared" si="459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74">
        <f t="shared" si="455"/>
        <v>0</v>
      </c>
      <c r="P765" s="74">
        <f t="shared" si="456"/>
        <v>0</v>
      </c>
      <c r="Q765" s="74">
        <f ca="1">IFERROR(__xludf.DUMMYFUNCTION("IMPORTRANGE(""https://docs.google.com/spreadsheets/d/1ItG2mGa2ceCfYo0BwxsXqNm01IGEUdYcSSLTEv9YCik/edit?usp=sharing"",""เบิกจ่ายกองทุน!U65"")"),0)</f>
        <v>0</v>
      </c>
      <c r="R765" s="74">
        <f ca="1">IFERROR(__xludf.DUMMYFUNCTION("IMPORTRANGE(""https://docs.google.com/spreadsheets/d/1ItG2mGa2ceCfYo0BwxsXqNm01IGEUdYcSSLTEv9YCik/edit?usp=sharing"",""เบิกจ่ายกองทุน!V65"")"),0)</f>
        <v>0</v>
      </c>
      <c r="S765" s="74">
        <f ca="1">IFERROR(__xludf.DUMMYFUNCTION("IMPORTRANGE(""https://docs.google.com/spreadsheets/d/1ItG2mGa2ceCfYo0BwxsXqNm01IGEUdYcSSLTEv9YCik/edit?usp=sharing"",""เบิกจ่ายกองทุน!W65"")"),0)</f>
        <v>0</v>
      </c>
      <c r="T765" s="74">
        <f t="shared" ca="1" si="458"/>
        <v>0</v>
      </c>
      <c r="U765" s="74">
        <f t="shared" ca="1" si="459"/>
        <v>0</v>
      </c>
    </row>
    <row r="766" spans="1:21" ht="18.75" hidden="1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3">
        <f t="shared" ref="L766:N766" si="464">L767+L768</f>
        <v>0</v>
      </c>
      <c r="M766" s="74">
        <f t="shared" si="464"/>
        <v>0</v>
      </c>
      <c r="N766" s="74">
        <f t="shared" si="464"/>
        <v>0</v>
      </c>
      <c r="O766" s="74">
        <f t="shared" si="455"/>
        <v>0</v>
      </c>
      <c r="P766" s="74">
        <f t="shared" si="456"/>
        <v>0</v>
      </c>
      <c r="Q766" s="74">
        <f t="shared" ref="Q766:S766" si="465">Q767+Q768</f>
        <v>0</v>
      </c>
      <c r="R766" s="74">
        <f t="shared" si="465"/>
        <v>0</v>
      </c>
      <c r="S766" s="74">
        <f t="shared" si="465"/>
        <v>0</v>
      </c>
      <c r="T766" s="74">
        <f t="shared" si="458"/>
        <v>0</v>
      </c>
      <c r="U766" s="74">
        <f t="shared" si="459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77">
        <f t="shared" si="455"/>
        <v>0</v>
      </c>
      <c r="P767" s="77">
        <f t="shared" si="456"/>
        <v>0</v>
      </c>
      <c r="Q767" s="77">
        <v>0</v>
      </c>
      <c r="R767" s="77">
        <v>0</v>
      </c>
      <c r="S767" s="77">
        <v>0</v>
      </c>
      <c r="T767" s="77">
        <f t="shared" si="458"/>
        <v>0</v>
      </c>
      <c r="U767" s="77">
        <f t="shared" si="459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74">
        <f t="shared" si="455"/>
        <v>0</v>
      </c>
      <c r="P768" s="74">
        <f t="shared" si="456"/>
        <v>0</v>
      </c>
      <c r="Q768" s="74">
        <v>0</v>
      </c>
      <c r="R768" s="74">
        <v>0</v>
      </c>
      <c r="S768" s="74">
        <v>0</v>
      </c>
      <c r="T768" s="74">
        <f t="shared" si="458"/>
        <v>0</v>
      </c>
      <c r="U768" s="74">
        <f t="shared" si="459"/>
        <v>0</v>
      </c>
    </row>
    <row r="769" spans="1:21" ht="19.5" hidden="1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IFERROR(__xludf.DUMMYFUNCTION("IMPORTRANGE(""https://docs.google.com/spreadsheets/d/1eHaY18a8A9IcSdp1K8H6x8fbOy06t2VsZHhMHf-1x7Y/edit?usp=sharing"",""แผน!FI65"")"),0)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hidden="1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IFERROR(__xludf.DUMMYFUNCTION("IMPORTRANGE(""https://docs.google.com/spreadsheets/d/1eHaY18a8A9IcSdp1K8H6x8fbOy06t2VsZHhMHf-1x7Y/edit?usp=sharing"",""แผน!FQ65"")"),0)</f>
        <v>0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hidden="1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hidden="1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IFERROR(__xludf.DUMMYFUNCTION("IMPORTRANGE(""https://docs.google.com/spreadsheets/d/1eHaY18a8A9IcSdp1K8H6x8fbOy06t2VsZHhMHf-1x7Y/edit?usp=sharing"",""แผน!FR65"")"),0)</f>
        <v>0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hidden="1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IFERROR(__xludf.DUMMYFUNCTION("IMPORTRANGE(""https://docs.google.com/spreadsheets/d/1eHaY18a8A9IcSdp1K8H6x8fbOy06t2VsZHhMHf-1x7Y/edit?usp=sharing"",""แผน!FS65"")"),0)</f>
        <v>0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hidden="1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IFERROR(__xludf.DUMMYFUNCTION("IMPORTRANGE(""https://docs.google.com/spreadsheets/d/1eHaY18a8A9IcSdp1K8H6x8fbOy06t2VsZHhMHf-1x7Y/edit?usp=sharing"",""แผน!FT65"")"),0)</f>
        <v>0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IFERROR(__xludf.DUMMYFUNCTION("IMPORTRANGE(""https://docs.google.com/spreadsheets/d/10OvvATaaLtwErnr3qtWFcTmtbfpFEt5Bsqel9sXx0uE/edit?usp=sharing"",""งานกองทุน!D65"")"),970748.68)</f>
        <v>970748.68</v>
      </c>
      <c r="J778" s="293">
        <f ca="1">IFERROR(__xludf.DUMMYFUNCTION("IMPORTRANGE(""https://docs.google.com/spreadsheets/d/10OvvATaaLtwErnr3qtWFcTmtbfpFEt5Bsqel9sXx0uE/edit?usp=sharing"",""งานกองทุน!F65"")"),43815.17)</f>
        <v>43815.17</v>
      </c>
      <c r="K778" s="74">
        <f t="shared" ref="K778:K785" ca="1" si="466">IF(I778&gt;0,J778*100/I778,0)</f>
        <v>4.5135441234903348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IFERROR(__xludf.DUMMYFUNCTION("IMPORTRANGE(""https://docs.google.com/spreadsheets/d/10OvvATaaLtwErnr3qtWFcTmtbfpFEt5Bsqel9sXx0uE/edit?usp=sharing"",""งานกองทุน!C65"")"),74)</f>
        <v>74</v>
      </c>
      <c r="J779" s="293">
        <f ca="1">IFERROR(__xludf.DUMMYFUNCTION("IMPORTRANGE(""https://docs.google.com/spreadsheets/d/10OvvATaaLtwErnr3qtWFcTmtbfpFEt5Bsqel9sXx0uE/edit?usp=sharing"",""งานกองทุน!E65"")"),3)</f>
        <v>3</v>
      </c>
      <c r="K779" s="74">
        <f t="shared" ca="1" si="466"/>
        <v>4.0540540540540544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IFERROR(__xludf.DUMMYFUNCTION("IMPORTRANGE(""https://docs.google.com/spreadsheets/d/10OvvATaaLtwErnr3qtWFcTmtbfpFEt5Bsqel9sXx0uE/edit?usp=sharing"",""งานกองทุน!I65"")"),430494.37)</f>
        <v>430494.37</v>
      </c>
      <c r="J780" s="293">
        <f ca="1">IFERROR(__xludf.DUMMYFUNCTION("IMPORTRANGE(""https://docs.google.com/spreadsheets/d/10OvvATaaLtwErnr3qtWFcTmtbfpFEt5Bsqel9sXx0uE/edit?usp=sharing"",""งานกองทุน!K65"")"),15086.32)</f>
        <v>15086.32</v>
      </c>
      <c r="K780" s="74">
        <f t="shared" ca="1" si="466"/>
        <v>3.5044174909883257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IFERROR(__xludf.DUMMYFUNCTION("IMPORTRANGE(""https://docs.google.com/spreadsheets/d/10OvvATaaLtwErnr3qtWFcTmtbfpFEt5Bsqel9sXx0uE/edit?usp=sharing"",""งานกองทุน!H65"")"),20)</f>
        <v>20</v>
      </c>
      <c r="J781" s="293">
        <f ca="1">IFERROR(__xludf.DUMMYFUNCTION("IMPORTRANGE(""https://docs.google.com/spreadsheets/d/10OvvATaaLtwErnr3qtWFcTmtbfpFEt5Bsqel9sXx0uE/edit?usp=sharing"",""งานกองทุน!J65"")"),3)</f>
        <v>3</v>
      </c>
      <c r="K781" s="74">
        <f t="shared" ca="1" si="466"/>
        <v>15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IFERROR(__xludf.DUMMYFUNCTION("IMPORTRANGE(""https://docs.google.com/spreadsheets/d/10OvvATaaLtwErnr3qtWFcTmtbfpFEt5Bsqel9sXx0uE/edit?usp=sharing"",""งานกองทุน!N65"")"),68639.16)</f>
        <v>68639.16</v>
      </c>
      <c r="J782" s="293">
        <f ca="1">IFERROR(__xludf.DUMMYFUNCTION("IMPORTRANGE(""https://docs.google.com/spreadsheets/d/10OvvATaaLtwErnr3qtWFcTmtbfpFEt5Bsqel9sXx0uE/edit?usp=sharing"",""งานกองทุน!P65"")"),115934.55)</f>
        <v>115934.55</v>
      </c>
      <c r="K782" s="74">
        <f t="shared" ca="1" si="466"/>
        <v>168.90438344525194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IFERROR(__xludf.DUMMYFUNCTION("IMPORTRANGE(""https://docs.google.com/spreadsheets/d/10OvvATaaLtwErnr3qtWFcTmtbfpFEt5Bsqel9sXx0uE/edit?usp=sharing"",""งานกองทุน!M65"")"),43)</f>
        <v>43</v>
      </c>
      <c r="J783" s="293">
        <f ca="1">IFERROR(__xludf.DUMMYFUNCTION("IMPORTRANGE(""https://docs.google.com/spreadsheets/d/10OvvATaaLtwErnr3qtWFcTmtbfpFEt5Bsqel9sXx0uE/edit?usp=sharing"",""งานกองทุน!O65"")"),18)</f>
        <v>18</v>
      </c>
      <c r="K783" s="74">
        <f t="shared" ca="1" si="466"/>
        <v>41.860465116279073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IFERROR(__xludf.DUMMYFUNCTION("IMPORTRANGE(""https://docs.google.com/spreadsheets/d/10OvvATaaLtwErnr3qtWFcTmtbfpFEt5Bsqel9sXx0uE/edit?usp=sharing"",""งานกองทุน!S65"")"),1092000)</f>
        <v>1092000</v>
      </c>
      <c r="J784" s="293">
        <f ca="1">IFERROR(__xludf.DUMMYFUNCTION("IMPORTRANGE(""https://docs.google.com/spreadsheets/d/10OvvATaaLtwErnr3qtWFcTmtbfpFEt5Bsqel9sXx0uE/edit?usp=sharing"",""งานกองทุน!U65"")"),445000)</f>
        <v>445000</v>
      </c>
      <c r="K784" s="74">
        <f t="shared" ca="1" si="466"/>
        <v>40.750915750915752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IFERROR(__xludf.DUMMYFUNCTION("IMPORTRANGE(""https://docs.google.com/spreadsheets/d/10OvvATaaLtwErnr3qtWFcTmtbfpFEt5Bsqel9sXx0uE/edit?usp=sharing"",""งานกองทุน!R65"")"),39)</f>
        <v>39</v>
      </c>
      <c r="J785" s="786">
        <f ca="1">IFERROR(__xludf.DUMMYFUNCTION("IMPORTRANGE(""https://docs.google.com/spreadsheets/d/10OvvATaaLtwErnr3qtWFcTmtbfpFEt5Bsqel9sXx0uE/edit?usp=sharing"",""งานกองทุน!T65"")"),11)</f>
        <v>11</v>
      </c>
      <c r="K785" s="182">
        <f t="shared" ca="1" si="466"/>
        <v>28.205128205128204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7EBFF-88FB-4F82-9889-9614AD9AA46B}">
  <sheetPr>
    <outlinePr summaryBelow="0" summaryRight="0"/>
    <pageSetUpPr fitToPage="1"/>
  </sheetPr>
  <dimension ref="A1:U797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1" width="15.140625" customWidth="1"/>
    <col min="12" max="13" width="21.28515625" bestFit="1" customWidth="1"/>
    <col min="14" max="14" width="18.7109375" bestFit="1" customWidth="1"/>
    <col min="15" max="15" width="12.5703125" bestFit="1" customWidth="1"/>
    <col min="16" max="16" width="12" bestFit="1" customWidth="1"/>
    <col min="17" max="18" width="18.710937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350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4" t="s">
        <v>4</v>
      </c>
      <c r="B6" s="1385"/>
      <c r="C6" s="1385"/>
      <c r="D6" s="1385"/>
      <c r="E6" s="1385"/>
      <c r="F6" s="1385"/>
      <c r="G6" s="1386"/>
      <c r="H6" s="1037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8">
        <f t="shared" ref="L19:N19" ca="1" si="0">L20+L21</f>
        <v>1244850</v>
      </c>
      <c r="M19" s="59">
        <f t="shared" ca="1" si="0"/>
        <v>1419640</v>
      </c>
      <c r="N19" s="59">
        <f t="shared" ca="1" si="0"/>
        <v>828596.96</v>
      </c>
      <c r="O19" s="59">
        <f t="shared" ref="O19:O27" ca="1" si="1">IF(L19&gt;0,N19*100/L19,0)</f>
        <v>66.561992207896537</v>
      </c>
      <c r="P19" s="59">
        <f t="shared" ref="P19:P27" ca="1" si="2">IF(M19&gt;0,N19*100/M19,0)</f>
        <v>58.366695782029247</v>
      </c>
      <c r="Q19" s="59">
        <f t="shared" ref="Q19:S19" ca="1" si="3">Q20+Q21</f>
        <v>961073.24</v>
      </c>
      <c r="R19" s="59">
        <f t="shared" ca="1" si="3"/>
        <v>929823</v>
      </c>
      <c r="S19" s="59">
        <f t="shared" ca="1" si="3"/>
        <v>58815</v>
      </c>
      <c r="T19" s="59">
        <f t="shared" ref="T19:T27" ca="1" si="4">IF(Q19&gt;0,S19*100/Q19,0)</f>
        <v>6.1197209070143295</v>
      </c>
      <c r="U19" s="59">
        <f t="shared" ref="U19:U27" ca="1" si="5">IF(R19&gt;0,S19*100/R19,0)</f>
        <v>6.3253974143466012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2">
        <f t="shared" ref="L20:N21" si="6">L23+L26</f>
        <v>0</v>
      </c>
      <c r="M20" s="63">
        <f t="shared" si="6"/>
        <v>0</v>
      </c>
      <c r="N20" s="63">
        <f t="shared" si="6"/>
        <v>0</v>
      </c>
      <c r="O20" s="63">
        <f t="shared" si="1"/>
        <v>0</v>
      </c>
      <c r="P20" s="63">
        <f t="shared" si="2"/>
        <v>0</v>
      </c>
      <c r="Q20" s="63">
        <f t="shared" ref="Q20:S21" si="7">Q23+Q26</f>
        <v>0</v>
      </c>
      <c r="R20" s="63">
        <f t="shared" si="7"/>
        <v>0</v>
      </c>
      <c r="S20" s="63">
        <f t="shared" si="7"/>
        <v>0</v>
      </c>
      <c r="T20" s="63">
        <f t="shared" si="4"/>
        <v>0</v>
      </c>
      <c r="U20" s="6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4">
        <f t="shared" ca="1" si="6"/>
        <v>1244850</v>
      </c>
      <c r="M21" s="65">
        <f t="shared" ca="1" si="6"/>
        <v>1419640</v>
      </c>
      <c r="N21" s="65">
        <f t="shared" ca="1" si="6"/>
        <v>828596.96</v>
      </c>
      <c r="O21" s="65">
        <f t="shared" ca="1" si="1"/>
        <v>66.561992207896537</v>
      </c>
      <c r="P21" s="65">
        <f t="shared" ca="1" si="2"/>
        <v>58.366695782029247</v>
      </c>
      <c r="Q21" s="65">
        <f t="shared" ca="1" si="7"/>
        <v>961073.24</v>
      </c>
      <c r="R21" s="65">
        <f t="shared" ca="1" si="7"/>
        <v>929823</v>
      </c>
      <c r="S21" s="65">
        <f t="shared" ca="1" si="7"/>
        <v>58815</v>
      </c>
      <c r="T21" s="65">
        <f t="shared" ca="1" si="4"/>
        <v>6.1197209070143295</v>
      </c>
      <c r="U21" s="65">
        <f t="shared" ca="1" si="5"/>
        <v>6.3253974143466012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3">
        <f t="shared" ref="L22:N22" ca="1" si="8">L23+L24</f>
        <v>1244850</v>
      </c>
      <c r="M22" s="74">
        <f t="shared" ca="1" si="8"/>
        <v>1419640</v>
      </c>
      <c r="N22" s="74">
        <f t="shared" ca="1" si="8"/>
        <v>828596.96</v>
      </c>
      <c r="O22" s="74">
        <f t="shared" ca="1" si="1"/>
        <v>66.561992207896537</v>
      </c>
      <c r="P22" s="74">
        <f t="shared" ca="1" si="2"/>
        <v>58.366695782029247</v>
      </c>
      <c r="Q22" s="74">
        <f t="shared" ref="Q22:S22" ca="1" si="9">Q23+Q24</f>
        <v>961073.24</v>
      </c>
      <c r="R22" s="74">
        <f t="shared" ca="1" si="9"/>
        <v>929823</v>
      </c>
      <c r="S22" s="74">
        <f t="shared" ca="1" si="9"/>
        <v>58815</v>
      </c>
      <c r="T22" s="74">
        <f t="shared" ca="1" si="4"/>
        <v>6.1197209070143295</v>
      </c>
      <c r="U22" s="74">
        <f t="shared" ca="1" si="5"/>
        <v>6.3253974143466012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6">
        <f t="shared" ref="L23:N24" si="10">L49+L64+L77+L99+L130+L144+L162+L191+L178+L271+L287+L308+L325+L338+L361+L518</f>
        <v>0</v>
      </c>
      <c r="M23" s="77">
        <f t="shared" si="10"/>
        <v>0</v>
      </c>
      <c r="N23" s="77">
        <f t="shared" si="10"/>
        <v>0</v>
      </c>
      <c r="O23" s="77">
        <f t="shared" si="1"/>
        <v>0</v>
      </c>
      <c r="P23" s="77">
        <f t="shared" si="2"/>
        <v>0</v>
      </c>
      <c r="Q23" s="77">
        <f t="shared" ref="Q23:S24" si="11">Q77+Q99+Q122+Q144+Q162+Q178+Q191+Q271+Q287+Q308+Q338+Q380+Q397+Q418+Q498+Q604+Q621+Q647+Q695+Q719+Q733+Q764</f>
        <v>0</v>
      </c>
      <c r="R23" s="77">
        <f t="shared" si="11"/>
        <v>0</v>
      </c>
      <c r="S23" s="77">
        <f t="shared" si="11"/>
        <v>0</v>
      </c>
      <c r="T23" s="77">
        <f t="shared" si="4"/>
        <v>0</v>
      </c>
      <c r="U23" s="77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3">
        <f t="shared" ca="1" si="10"/>
        <v>1244850</v>
      </c>
      <c r="M24" s="74">
        <f t="shared" ca="1" si="10"/>
        <v>1419640</v>
      </c>
      <c r="N24" s="74">
        <f t="shared" ca="1" si="10"/>
        <v>828596.96</v>
      </c>
      <c r="O24" s="74">
        <f t="shared" ca="1" si="1"/>
        <v>66.561992207896537</v>
      </c>
      <c r="P24" s="74">
        <f t="shared" ca="1" si="2"/>
        <v>58.366695782029247</v>
      </c>
      <c r="Q24" s="74">
        <f t="shared" ca="1" si="11"/>
        <v>961073.24</v>
      </c>
      <c r="R24" s="74">
        <f t="shared" ca="1" si="11"/>
        <v>929823</v>
      </c>
      <c r="S24" s="74">
        <f t="shared" ca="1" si="11"/>
        <v>58815</v>
      </c>
      <c r="T24" s="74">
        <f t="shared" ca="1" si="4"/>
        <v>6.1197209070143295</v>
      </c>
      <c r="U24" s="74">
        <f t="shared" ca="1" si="5"/>
        <v>6.3253974143466012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3">
        <f t="shared" ref="L25:N25" ca="1" si="12">L26+L27</f>
        <v>0</v>
      </c>
      <c r="M25" s="74">
        <f t="shared" ca="1" si="12"/>
        <v>0</v>
      </c>
      <c r="N25" s="74">
        <f t="shared" ca="1" si="12"/>
        <v>0</v>
      </c>
      <c r="O25" s="74">
        <f t="shared" ca="1" si="1"/>
        <v>0</v>
      </c>
      <c r="P25" s="74">
        <f t="shared" ca="1" si="2"/>
        <v>0</v>
      </c>
      <c r="Q25" s="74">
        <f t="shared" ref="Q25:S25" si="13">Q26+Q27</f>
        <v>0</v>
      </c>
      <c r="R25" s="74">
        <f t="shared" si="13"/>
        <v>0</v>
      </c>
      <c r="S25" s="74">
        <f t="shared" si="13"/>
        <v>0</v>
      </c>
      <c r="T25" s="74">
        <f t="shared" si="4"/>
        <v>0</v>
      </c>
      <c r="U25" s="74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6">
        <f t="shared" ref="L26:N27" si="14">L52+L67+L80+L102+L133+L147+L165+L194+L181+L274+L290+L311+L328+L341+L364+L521</f>
        <v>0</v>
      </c>
      <c r="M26" s="77">
        <f t="shared" si="14"/>
        <v>0</v>
      </c>
      <c r="N26" s="77">
        <f t="shared" si="14"/>
        <v>0</v>
      </c>
      <c r="O26" s="77">
        <f t="shared" si="1"/>
        <v>0</v>
      </c>
      <c r="P26" s="77">
        <f t="shared" si="2"/>
        <v>0</v>
      </c>
      <c r="Q26" s="77">
        <f t="shared" ref="Q26:S27" si="15">Q80+Q102+Q125+Q147+Q165+Q181+Q194+Q274+Q290+Q311+Q341+Q383+Q400+Q421+Q501+Q607+Q624+Q650+Q698+Q722+Q736+Q767</f>
        <v>0</v>
      </c>
      <c r="R26" s="77">
        <f t="shared" si="15"/>
        <v>0</v>
      </c>
      <c r="S26" s="77">
        <f t="shared" si="15"/>
        <v>0</v>
      </c>
      <c r="T26" s="77">
        <f t="shared" si="4"/>
        <v>0</v>
      </c>
      <c r="U26" s="77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3">
        <f t="shared" ca="1" si="14"/>
        <v>0</v>
      </c>
      <c r="M27" s="74">
        <f t="shared" ca="1" si="14"/>
        <v>0</v>
      </c>
      <c r="N27" s="74">
        <f t="shared" ca="1" si="14"/>
        <v>0</v>
      </c>
      <c r="O27" s="74">
        <f t="shared" ca="1" si="1"/>
        <v>0</v>
      </c>
      <c r="P27" s="74">
        <f t="shared" ca="1" si="2"/>
        <v>0</v>
      </c>
      <c r="Q27" s="77">
        <f t="shared" si="15"/>
        <v>0</v>
      </c>
      <c r="R27" s="77">
        <f t="shared" si="15"/>
        <v>0</v>
      </c>
      <c r="S27" s="77">
        <f t="shared" si="15"/>
        <v>0</v>
      </c>
      <c r="T27" s="74">
        <f t="shared" si="4"/>
        <v>0</v>
      </c>
      <c r="U27" s="74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79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80">
        <f t="shared" ref="L41:N41" ca="1" si="16">L45+L60+L73+L95+L126+L140+L158+L174+L187+L267+L283+L304+L321+L334+L357</f>
        <v>1244850</v>
      </c>
      <c r="M41" s="1279">
        <f t="shared" ca="1" si="16"/>
        <v>1419640</v>
      </c>
      <c r="N41" s="1279">
        <f t="shared" ca="1" si="16"/>
        <v>828596.96</v>
      </c>
      <c r="O41" s="1279">
        <f ca="1">IF(L41&gt;0,N41*100/L41,0)</f>
        <v>66.561992207896537</v>
      </c>
      <c r="P41" s="1279">
        <f ca="1">IF(M41&gt;0,N41*100/M41,0)</f>
        <v>58.366695782029247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6">
        <f t="shared" ref="L45:N45" ca="1" si="17">L46+L47</f>
        <v>217800</v>
      </c>
      <c r="M45" s="1275">
        <f t="shared" ca="1" si="17"/>
        <v>217980</v>
      </c>
      <c r="N45" s="1275">
        <f t="shared" ca="1" si="17"/>
        <v>132180</v>
      </c>
      <c r="O45" s="1275">
        <f t="shared" ref="O45:O53" ca="1" si="18">IF(L45&gt;0,N45*100/L45,0)</f>
        <v>60.688705234159777</v>
      </c>
      <c r="P45" s="1275">
        <f t="shared" ref="P45:P53" ca="1" si="19">IF(M45&gt;0,N45*100/M45,0)</f>
        <v>60.638590696394168</v>
      </c>
      <c r="Q45" s="1275">
        <f t="shared" ref="Q45:S45" si="20">Q46+Q47</f>
        <v>0</v>
      </c>
      <c r="R45" s="1275">
        <f t="shared" si="20"/>
        <v>0</v>
      </c>
      <c r="S45" s="1275">
        <f t="shared" si="20"/>
        <v>0</v>
      </c>
      <c r="T45" s="1275">
        <f t="shared" ref="T45:T53" si="21">IF(Q45&gt;0,S45*100/Q45,0)</f>
        <v>0</v>
      </c>
      <c r="U45" s="1275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4">
        <f t="shared" ref="L46:N47" si="23">L49+L52</f>
        <v>0</v>
      </c>
      <c r="M46" s="1273">
        <f t="shared" si="23"/>
        <v>0</v>
      </c>
      <c r="N46" s="1273">
        <f t="shared" si="23"/>
        <v>0</v>
      </c>
      <c r="O46" s="1273">
        <f t="shared" si="18"/>
        <v>0</v>
      </c>
      <c r="P46" s="1273">
        <f t="shared" si="19"/>
        <v>0</v>
      </c>
      <c r="Q46" s="1273">
        <f t="shared" ref="Q46:S47" si="24">Q49+Q52</f>
        <v>0</v>
      </c>
      <c r="R46" s="1273">
        <f t="shared" si="24"/>
        <v>0</v>
      </c>
      <c r="S46" s="1273">
        <f t="shared" si="24"/>
        <v>0</v>
      </c>
      <c r="T46" s="1273">
        <f t="shared" si="21"/>
        <v>0</v>
      </c>
      <c r="U46" s="1273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2">
        <f t="shared" ca="1" si="23"/>
        <v>217800</v>
      </c>
      <c r="M47" s="1271">
        <f t="shared" ca="1" si="23"/>
        <v>217980</v>
      </c>
      <c r="N47" s="1271">
        <f t="shared" ca="1" si="23"/>
        <v>132180</v>
      </c>
      <c r="O47" s="1271">
        <f t="shared" ca="1" si="18"/>
        <v>60.688705234159777</v>
      </c>
      <c r="P47" s="1271">
        <f t="shared" ca="1" si="19"/>
        <v>60.638590696394168</v>
      </c>
      <c r="Q47" s="1271">
        <f t="shared" si="24"/>
        <v>0</v>
      </c>
      <c r="R47" s="1271">
        <f t="shared" si="24"/>
        <v>0</v>
      </c>
      <c r="S47" s="1271">
        <f t="shared" si="24"/>
        <v>0</v>
      </c>
      <c r="T47" s="1271">
        <f t="shared" si="21"/>
        <v>0</v>
      </c>
      <c r="U47" s="1271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3">
        <f t="shared" ref="L48:N48" ca="1" si="25">L49+L50</f>
        <v>217800</v>
      </c>
      <c r="M48" s="74">
        <f t="shared" ca="1" si="25"/>
        <v>217980</v>
      </c>
      <c r="N48" s="74">
        <f t="shared" ca="1" si="25"/>
        <v>132180</v>
      </c>
      <c r="O48" s="74">
        <f t="shared" ca="1" si="18"/>
        <v>60.688705234159777</v>
      </c>
      <c r="P48" s="74">
        <f t="shared" ca="1" si="19"/>
        <v>60.638590696394168</v>
      </c>
      <c r="Q48" s="74">
        <f t="shared" ref="Q48:S48" si="26">Q49+Q50</f>
        <v>0</v>
      </c>
      <c r="R48" s="74">
        <f t="shared" si="26"/>
        <v>0</v>
      </c>
      <c r="S48" s="74">
        <f t="shared" si="26"/>
        <v>0</v>
      </c>
      <c r="T48" s="74">
        <f t="shared" si="21"/>
        <v>0</v>
      </c>
      <c r="U48" s="74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77">
        <f t="shared" si="18"/>
        <v>0</v>
      </c>
      <c r="P49" s="77">
        <f t="shared" si="19"/>
        <v>0</v>
      </c>
      <c r="Q49" s="77">
        <v>0</v>
      </c>
      <c r="R49" s="77">
        <v>0</v>
      </c>
      <c r="S49" s="77">
        <v>0</v>
      </c>
      <c r="T49" s="77">
        <f t="shared" si="21"/>
        <v>0</v>
      </c>
      <c r="U49" s="77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3">
        <f ca="1">IFERROR(__xludf.DUMMYFUNCTION("IMPORTRANGE(""https://docs.google.com/spreadsheets/d/1-uDff_7J0KD5mKrp0Vvzr7lt3OU09vwQwhkpOPPYv2Y/edit?usp=sharing"",""งบพรบ!P66"")"),217800)</f>
        <v>217800</v>
      </c>
      <c r="M50" s="74">
        <f ca="1">IFERROR(__xludf.DUMMYFUNCTION("IMPORTRANGE(""https://docs.google.com/spreadsheets/d/1-uDff_7J0KD5mKrp0Vvzr7lt3OU09vwQwhkpOPPYv2Y/edit?usp=sharing"",""งบพรบ!V66"")"),217980)</f>
        <v>217980</v>
      </c>
      <c r="N50" s="74">
        <f ca="1">IFERROR(__xludf.DUMMYFUNCTION("IMPORTRANGE(""https://docs.google.com/spreadsheets/d/1-uDff_7J0KD5mKrp0Vvzr7lt3OU09vwQwhkpOPPYv2Y/edit?usp=sharing"",""งบพรบ!Y66"")"),132180)</f>
        <v>132180</v>
      </c>
      <c r="O50" s="74">
        <f t="shared" ca="1" si="18"/>
        <v>60.688705234159777</v>
      </c>
      <c r="P50" s="74">
        <f t="shared" ca="1" si="19"/>
        <v>60.638590696394168</v>
      </c>
      <c r="Q50" s="74">
        <v>0</v>
      </c>
      <c r="R50" s="74">
        <v>0</v>
      </c>
      <c r="S50" s="74">
        <v>0</v>
      </c>
      <c r="T50" s="74">
        <f t="shared" si="21"/>
        <v>0</v>
      </c>
      <c r="U50" s="74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3">
        <f t="shared" ref="L51:N51" ca="1" si="27">L52+L53</f>
        <v>0</v>
      </c>
      <c r="M51" s="74">
        <f t="shared" ca="1" si="27"/>
        <v>0</v>
      </c>
      <c r="N51" s="74">
        <f t="shared" ca="1" si="27"/>
        <v>0</v>
      </c>
      <c r="O51" s="74">
        <f t="shared" ca="1" si="18"/>
        <v>0</v>
      </c>
      <c r="P51" s="74">
        <f t="shared" ca="1" si="19"/>
        <v>0</v>
      </c>
      <c r="Q51" s="74">
        <f t="shared" ref="Q51:S51" si="28">Q52+Q53</f>
        <v>0</v>
      </c>
      <c r="R51" s="74">
        <f t="shared" si="28"/>
        <v>0</v>
      </c>
      <c r="S51" s="74">
        <f t="shared" si="28"/>
        <v>0</v>
      </c>
      <c r="T51" s="74">
        <f t="shared" si="21"/>
        <v>0</v>
      </c>
      <c r="U51" s="74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77">
        <f t="shared" si="18"/>
        <v>0</v>
      </c>
      <c r="P52" s="77">
        <f t="shared" si="19"/>
        <v>0</v>
      </c>
      <c r="Q52" s="77">
        <v>0</v>
      </c>
      <c r="R52" s="77">
        <v>0</v>
      </c>
      <c r="S52" s="77">
        <v>0</v>
      </c>
      <c r="T52" s="77">
        <f t="shared" si="21"/>
        <v>0</v>
      </c>
      <c r="U52" s="77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3">
        <f ca="1">IFERROR(__xludf.DUMMYFUNCTION("IMPORTRANGE(""https://docs.google.com/spreadsheets/d/1-uDff_7J0KD5mKrp0Vvzr7lt3OU09vwQwhkpOPPYv2Y/edit?usp=sharing"",""งบพรบ!S66"")"),0)</f>
        <v>0</v>
      </c>
      <c r="M53" s="74">
        <f ca="1">IFERROR(__xludf.DUMMYFUNCTION("IMPORTRANGE(""https://docs.google.com/spreadsheets/d/1-uDff_7J0KD5mKrp0Vvzr7lt3OU09vwQwhkpOPPYv2Y/edit?usp=sharing"",""งบพรบ!W66"")"),0)</f>
        <v>0</v>
      </c>
      <c r="N53" s="74">
        <f ca="1">IFERROR(__xludf.DUMMYFUNCTION("IMPORTRANGE(""https://docs.google.com/spreadsheets/d/1-uDff_7J0KD5mKrp0Vvzr7lt3OU09vwQwhkpOPPYv2Y/edit?usp=sharing"",""งบพรบ!Z66"")"),0)</f>
        <v>0</v>
      </c>
      <c r="O53" s="74">
        <f t="shared" ca="1" si="18"/>
        <v>0</v>
      </c>
      <c r="P53" s="74">
        <f t="shared" ca="1" si="19"/>
        <v>0</v>
      </c>
      <c r="Q53" s="74">
        <v>0</v>
      </c>
      <c r="R53" s="74">
        <v>0</v>
      </c>
      <c r="S53" s="74">
        <v>0</v>
      </c>
      <c r="T53" s="74">
        <f t="shared" si="21"/>
        <v>0</v>
      </c>
      <c r="U53" s="74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9">
        <f t="shared" ref="L60:N60" ca="1" si="29">L61+L62</f>
        <v>219400</v>
      </c>
      <c r="M60" s="1268">
        <f t="shared" ca="1" si="29"/>
        <v>377940</v>
      </c>
      <c r="N60" s="1268">
        <f t="shared" ca="1" si="29"/>
        <v>243716.25</v>
      </c>
      <c r="O60" s="1268">
        <f t="shared" ref="O60:O68" ca="1" si="30">IF(L60&gt;0,N60*100/L60,0)</f>
        <v>111.08306745670009</v>
      </c>
      <c r="P60" s="1268">
        <f t="shared" ref="P60:P68" ca="1" si="31">IF(M60&gt;0,N60*100/M60,0)</f>
        <v>64.485434195904105</v>
      </c>
      <c r="Q60" s="1268">
        <f t="shared" ref="Q60:S60" si="32">Q61+Q62</f>
        <v>0</v>
      </c>
      <c r="R60" s="1268">
        <f t="shared" si="32"/>
        <v>0</v>
      </c>
      <c r="S60" s="1268">
        <f t="shared" si="32"/>
        <v>0</v>
      </c>
      <c r="T60" s="1268">
        <f t="shared" ref="T60:T68" si="33">IF(Q60&gt;0,S60*100/Q60,0)</f>
        <v>0</v>
      </c>
      <c r="U60" s="1268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7">
        <f t="shared" ref="L61:N62" si="35">L64+L67</f>
        <v>0</v>
      </c>
      <c r="M61" s="1266">
        <f t="shared" si="35"/>
        <v>0</v>
      </c>
      <c r="N61" s="1266">
        <f t="shared" si="35"/>
        <v>0</v>
      </c>
      <c r="O61" s="1266">
        <f t="shared" si="30"/>
        <v>0</v>
      </c>
      <c r="P61" s="1266">
        <f t="shared" si="31"/>
        <v>0</v>
      </c>
      <c r="Q61" s="1266">
        <f t="shared" ref="Q61:S62" si="36">Q64+Q67</f>
        <v>0</v>
      </c>
      <c r="R61" s="1266">
        <f t="shared" si="36"/>
        <v>0</v>
      </c>
      <c r="S61" s="1266">
        <f t="shared" si="36"/>
        <v>0</v>
      </c>
      <c r="T61" s="1266">
        <f t="shared" si="33"/>
        <v>0</v>
      </c>
      <c r="U61" s="1266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5">
        <f t="shared" ca="1" si="35"/>
        <v>219400</v>
      </c>
      <c r="M62" s="1264">
        <f t="shared" ca="1" si="35"/>
        <v>377940</v>
      </c>
      <c r="N62" s="1264">
        <f t="shared" ca="1" si="35"/>
        <v>243716.25</v>
      </c>
      <c r="O62" s="1264">
        <f t="shared" ca="1" si="30"/>
        <v>111.08306745670009</v>
      </c>
      <c r="P62" s="1264">
        <f t="shared" ca="1" si="31"/>
        <v>64.485434195904105</v>
      </c>
      <c r="Q62" s="1264">
        <f t="shared" si="36"/>
        <v>0</v>
      </c>
      <c r="R62" s="1264">
        <f t="shared" si="36"/>
        <v>0</v>
      </c>
      <c r="S62" s="1264">
        <f t="shared" si="36"/>
        <v>0</v>
      </c>
      <c r="T62" s="1264">
        <f t="shared" si="33"/>
        <v>0</v>
      </c>
      <c r="U62" s="1264">
        <f t="shared" si="34"/>
        <v>0</v>
      </c>
    </row>
    <row r="63" spans="1:21" ht="18.75" x14ac:dyDescent="0.25">
      <c r="A63" s="847"/>
      <c r="B63" s="258"/>
      <c r="C63" s="258"/>
      <c r="D63" s="270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3">
        <f t="shared" ref="L63:N63" ca="1" si="37">L64+L65</f>
        <v>219400</v>
      </c>
      <c r="M63" s="74">
        <f t="shared" ca="1" si="37"/>
        <v>377940</v>
      </c>
      <c r="N63" s="74">
        <f t="shared" ca="1" si="37"/>
        <v>243716.25</v>
      </c>
      <c r="O63" s="74">
        <f t="shared" ca="1" si="30"/>
        <v>111.08306745670009</v>
      </c>
      <c r="P63" s="74">
        <f t="shared" ca="1" si="31"/>
        <v>64.485434195904105</v>
      </c>
      <c r="Q63" s="74">
        <f t="shared" ref="Q63:S63" si="38">Q64+Q65</f>
        <v>0</v>
      </c>
      <c r="R63" s="74">
        <f t="shared" si="38"/>
        <v>0</v>
      </c>
      <c r="S63" s="74">
        <f t="shared" si="38"/>
        <v>0</v>
      </c>
      <c r="T63" s="74">
        <f t="shared" si="33"/>
        <v>0</v>
      </c>
      <c r="U63" s="74">
        <f t="shared" si="34"/>
        <v>0</v>
      </c>
    </row>
    <row r="64" spans="1:21" ht="18.75" hidden="1" x14ac:dyDescent="0.25">
      <c r="A64" s="847"/>
      <c r="B64" s="258"/>
      <c r="C64" s="258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77">
        <f t="shared" si="30"/>
        <v>0</v>
      </c>
      <c r="P64" s="77">
        <f t="shared" si="31"/>
        <v>0</v>
      </c>
      <c r="Q64" s="77">
        <v>0</v>
      </c>
      <c r="R64" s="77">
        <v>0</v>
      </c>
      <c r="S64" s="77">
        <v>0</v>
      </c>
      <c r="T64" s="77">
        <f t="shared" si="33"/>
        <v>0</v>
      </c>
      <c r="U64" s="77">
        <f t="shared" si="34"/>
        <v>0</v>
      </c>
    </row>
    <row r="65" spans="1:21" ht="18.75" hidden="1" x14ac:dyDescent="0.25">
      <c r="A65" s="847"/>
      <c r="B65" s="258"/>
      <c r="C65" s="258"/>
      <c r="D65" s="258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3">
        <f ca="1">IFERROR(__xludf.DUMMYFUNCTION("IMPORTRANGE(""https://docs.google.com/spreadsheets/d/1-uDff_7J0KD5mKrp0Vvzr7lt3OU09vwQwhkpOPPYv2Y/edit?usp=sharing"",""งบพรบ!AC66"")"),219400)</f>
        <v>219400</v>
      </c>
      <c r="M65" s="74">
        <f ca="1">IFERROR(__xludf.DUMMYFUNCTION("IMPORTRANGE(""https://docs.google.com/spreadsheets/d/1-uDff_7J0KD5mKrp0Vvzr7lt3OU09vwQwhkpOPPYv2Y/edit?usp=sharing"",""งบพรบ!AH66"")"),377940)</f>
        <v>377940</v>
      </c>
      <c r="N65" s="74">
        <f ca="1">IFERROR(__xludf.DUMMYFUNCTION("IMPORTRANGE(""https://docs.google.com/spreadsheets/d/1-uDff_7J0KD5mKrp0Vvzr7lt3OU09vwQwhkpOPPYv2Y/edit?usp=sharing"",""งบพรบ!AJ66"")"),243716.25)</f>
        <v>243716.25</v>
      </c>
      <c r="O65" s="74">
        <f t="shared" ca="1" si="30"/>
        <v>111.08306745670009</v>
      </c>
      <c r="P65" s="74">
        <f t="shared" ca="1" si="31"/>
        <v>64.485434195904105</v>
      </c>
      <c r="Q65" s="74">
        <v>0</v>
      </c>
      <c r="R65" s="74">
        <v>0</v>
      </c>
      <c r="S65" s="74">
        <v>0</v>
      </c>
      <c r="T65" s="74">
        <f t="shared" si="33"/>
        <v>0</v>
      </c>
      <c r="U65" s="74">
        <f t="shared" si="34"/>
        <v>0</v>
      </c>
    </row>
    <row r="66" spans="1:21" ht="18.75" x14ac:dyDescent="0.25">
      <c r="A66" s="847"/>
      <c r="B66" s="258"/>
      <c r="C66" s="258"/>
      <c r="D66" s="270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3">
        <f t="shared" ref="L66:N66" ca="1" si="39">L67+L68</f>
        <v>0</v>
      </c>
      <c r="M66" s="74">
        <f t="shared" ca="1" si="39"/>
        <v>0</v>
      </c>
      <c r="N66" s="74">
        <f t="shared" ca="1" si="39"/>
        <v>0</v>
      </c>
      <c r="O66" s="74">
        <f t="shared" ca="1" si="30"/>
        <v>0</v>
      </c>
      <c r="P66" s="74">
        <f t="shared" ca="1" si="31"/>
        <v>0</v>
      </c>
      <c r="Q66" s="74">
        <f t="shared" ref="Q66:S66" si="40">Q67+Q68</f>
        <v>0</v>
      </c>
      <c r="R66" s="74">
        <f t="shared" si="40"/>
        <v>0</v>
      </c>
      <c r="S66" s="74">
        <f t="shared" si="40"/>
        <v>0</v>
      </c>
      <c r="T66" s="74">
        <f t="shared" si="33"/>
        <v>0</v>
      </c>
      <c r="U66" s="74">
        <f t="shared" si="34"/>
        <v>0</v>
      </c>
    </row>
    <row r="67" spans="1:21" ht="18.75" hidden="1" x14ac:dyDescent="0.25">
      <c r="A67" s="847"/>
      <c r="B67" s="258"/>
      <c r="C67" s="258"/>
      <c r="D67" s="258"/>
      <c r="E67" s="265" t="s">
        <v>20</v>
      </c>
      <c r="F67" s="258"/>
      <c r="G67" s="261"/>
      <c r="H67" s="840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77">
        <f t="shared" si="30"/>
        <v>0</v>
      </c>
      <c r="P67" s="77">
        <f t="shared" si="31"/>
        <v>0</v>
      </c>
      <c r="Q67" s="77">
        <v>0</v>
      </c>
      <c r="R67" s="77">
        <v>0</v>
      </c>
      <c r="S67" s="77">
        <v>0</v>
      </c>
      <c r="T67" s="77">
        <f t="shared" si="33"/>
        <v>0</v>
      </c>
      <c r="U67" s="77">
        <f t="shared" si="34"/>
        <v>0</v>
      </c>
    </row>
    <row r="68" spans="1:21" ht="18.75" hidden="1" x14ac:dyDescent="0.25">
      <c r="A68" s="848"/>
      <c r="B68" s="636"/>
      <c r="C68" s="636"/>
      <c r="D68" s="636"/>
      <c r="E68" s="849" t="s">
        <v>21</v>
      </c>
      <c r="F68" s="636"/>
      <c r="G68" s="637"/>
      <c r="H68" s="850" t="s">
        <v>14</v>
      </c>
      <c r="I68" s="631"/>
      <c r="J68" s="631"/>
      <c r="K68" s="98"/>
      <c r="L68" s="181">
        <f ca="1">IFERROR(__xludf.DUMMYFUNCTION("IMPORTRANGE(""https://docs.google.com/spreadsheets/d/1-uDff_7J0KD5mKrp0Vvzr7lt3OU09vwQwhkpOPPYv2Y/edit?usp=sharing"",""งบพรบ!AF66"")"),0)</f>
        <v>0</v>
      </c>
      <c r="M68" s="182">
        <f ca="1">IFERROR(__xludf.DUMMYFUNCTION("IMPORTRANGE(""https://docs.google.com/spreadsheets/d/1-uDff_7J0KD5mKrp0Vvzr7lt3OU09vwQwhkpOPPYv2Y/edit?usp=sharing"",""งบพรบ!AI66"")"),0)</f>
        <v>0</v>
      </c>
      <c r="N68" s="182">
        <f ca="1">IFERROR(__xludf.DUMMYFUNCTION("IMPORTRANGE(""https://docs.google.com/spreadsheets/d/1-uDff_7J0KD5mKrp0Vvzr7lt3OU09vwQwhkpOPPYv2Y/edit?usp=sharing"",""งบพรบ!AK66"")"),0)</f>
        <v>0</v>
      </c>
      <c r="O68" s="182">
        <f t="shared" ca="1" si="30"/>
        <v>0</v>
      </c>
      <c r="P68" s="182">
        <f t="shared" ca="1" si="31"/>
        <v>0</v>
      </c>
      <c r="Q68" s="182">
        <v>0</v>
      </c>
      <c r="R68" s="182">
        <v>0</v>
      </c>
      <c r="S68" s="182">
        <v>0</v>
      </c>
      <c r="T68" s="182">
        <f t="shared" si="33"/>
        <v>0</v>
      </c>
      <c r="U68" s="182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7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hidden="1" x14ac:dyDescent="0.3">
      <c r="A70" s="1099" t="s">
        <v>32</v>
      </c>
      <c r="B70" s="691"/>
      <c r="C70" s="693"/>
      <c r="D70" s="691"/>
      <c r="E70" s="691"/>
      <c r="F70" s="691"/>
      <c r="G70" s="1100"/>
      <c r="H70" s="1100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19.5" hidden="1" x14ac:dyDescent="0.3">
      <c r="A71" s="250"/>
      <c r="B71" s="251" t="s">
        <v>33</v>
      </c>
      <c r="C71" s="252"/>
      <c r="D71" s="253"/>
      <c r="E71" s="252"/>
      <c r="F71" s="252"/>
      <c r="G71" s="254"/>
      <c r="H71" s="1296" t="s">
        <v>34</v>
      </c>
      <c r="I71" s="256">
        <f t="shared" ref="I71:J72" ca="1" si="41">I83</f>
        <v>0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hidden="1" x14ac:dyDescent="0.3">
      <c r="A72" s="250"/>
      <c r="B72" s="252"/>
      <c r="C72" s="252"/>
      <c r="D72" s="253"/>
      <c r="E72" s="252"/>
      <c r="F72" s="252"/>
      <c r="G72" s="254"/>
      <c r="H72" s="1296" t="s">
        <v>35</v>
      </c>
      <c r="I72" s="256">
        <f t="shared" ca="1" si="41"/>
        <v>0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hidden="1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1257">
        <f t="shared" ref="L73:N73" ca="1" si="43">L74+L75</f>
        <v>0</v>
      </c>
      <c r="M73" s="264">
        <f t="shared" ca="1" si="43"/>
        <v>0</v>
      </c>
      <c r="N73" s="264">
        <f t="shared" ca="1" si="43"/>
        <v>0</v>
      </c>
      <c r="O73" s="264">
        <f t="shared" ref="O73:O81" ca="1" si="44">IF(L73&gt;0,N73*100/L73,0)</f>
        <v>0</v>
      </c>
      <c r="P73" s="264">
        <f t="shared" ref="P73:P81" ca="1" si="45">IF(M73&gt;0,N73*100/M73,0)</f>
        <v>0</v>
      </c>
      <c r="Q73" s="264">
        <f t="shared" ref="Q73:S73" ca="1" si="46">Q74+Q75</f>
        <v>0</v>
      </c>
      <c r="R73" s="264">
        <f t="shared" ca="1" si="46"/>
        <v>0</v>
      </c>
      <c r="S73" s="264">
        <f t="shared" ca="1" si="46"/>
        <v>0</v>
      </c>
      <c r="T73" s="264">
        <f t="shared" ref="T73:T81" ca="1" si="47">IF(Q73&gt;0,S73*100/Q73,0)</f>
        <v>0</v>
      </c>
      <c r="U73" s="264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6">
        <f t="shared" ref="L74:N75" si="49">L77+L80</f>
        <v>0</v>
      </c>
      <c r="M74" s="77">
        <f t="shared" si="49"/>
        <v>0</v>
      </c>
      <c r="N74" s="77">
        <f t="shared" si="49"/>
        <v>0</v>
      </c>
      <c r="O74" s="77">
        <f t="shared" si="44"/>
        <v>0</v>
      </c>
      <c r="P74" s="77">
        <f t="shared" si="45"/>
        <v>0</v>
      </c>
      <c r="Q74" s="77">
        <f t="shared" ref="Q74:S75" si="50">Q77+Q80</f>
        <v>0</v>
      </c>
      <c r="R74" s="77">
        <f t="shared" si="50"/>
        <v>0</v>
      </c>
      <c r="S74" s="77">
        <f t="shared" si="50"/>
        <v>0</v>
      </c>
      <c r="T74" s="77">
        <f t="shared" si="47"/>
        <v>0</v>
      </c>
      <c r="U74" s="77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3">
        <f t="shared" ca="1" si="49"/>
        <v>0</v>
      </c>
      <c r="M75" s="74">
        <f t="shared" ca="1" si="49"/>
        <v>0</v>
      </c>
      <c r="N75" s="74">
        <f t="shared" ca="1" si="49"/>
        <v>0</v>
      </c>
      <c r="O75" s="74">
        <f t="shared" ca="1" si="44"/>
        <v>0</v>
      </c>
      <c r="P75" s="74">
        <f t="shared" ca="1" si="45"/>
        <v>0</v>
      </c>
      <c r="Q75" s="74">
        <f t="shared" ca="1" si="50"/>
        <v>0</v>
      </c>
      <c r="R75" s="74">
        <f t="shared" ca="1" si="50"/>
        <v>0</v>
      </c>
      <c r="S75" s="74">
        <f t="shared" ca="1" si="50"/>
        <v>0</v>
      </c>
      <c r="T75" s="74">
        <f t="shared" ca="1" si="47"/>
        <v>0</v>
      </c>
      <c r="U75" s="74">
        <f t="shared" ca="1" si="48"/>
        <v>0</v>
      </c>
    </row>
    <row r="76" spans="1:21" ht="18.75" hidden="1" x14ac:dyDescent="0.25">
      <c r="A76" s="257"/>
      <c r="B76" s="258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3">
        <f t="shared" ref="L76:N76" ca="1" si="51">L77+L78</f>
        <v>0</v>
      </c>
      <c r="M76" s="74">
        <f t="shared" ca="1" si="51"/>
        <v>0</v>
      </c>
      <c r="N76" s="74">
        <f t="shared" ca="1" si="51"/>
        <v>0</v>
      </c>
      <c r="O76" s="74">
        <f t="shared" ca="1" si="44"/>
        <v>0</v>
      </c>
      <c r="P76" s="74">
        <f t="shared" ca="1" si="45"/>
        <v>0</v>
      </c>
      <c r="Q76" s="74">
        <f t="shared" ref="Q76:S76" ca="1" si="52">Q77+Q78</f>
        <v>0</v>
      </c>
      <c r="R76" s="74">
        <f t="shared" ca="1" si="52"/>
        <v>0</v>
      </c>
      <c r="S76" s="74">
        <f t="shared" ca="1" si="52"/>
        <v>0</v>
      </c>
      <c r="T76" s="74">
        <f t="shared" ca="1" si="47"/>
        <v>0</v>
      </c>
      <c r="U76" s="74">
        <f t="shared" ca="1" si="48"/>
        <v>0</v>
      </c>
    </row>
    <row r="77" spans="1:21" ht="18.75" hidden="1" x14ac:dyDescent="0.25">
      <c r="A77" s="257"/>
      <c r="B77" s="258"/>
      <c r="C77" s="258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77">
        <f t="shared" si="44"/>
        <v>0</v>
      </c>
      <c r="P77" s="77">
        <f t="shared" si="45"/>
        <v>0</v>
      </c>
      <c r="Q77" s="77">
        <v>0</v>
      </c>
      <c r="R77" s="77">
        <v>0</v>
      </c>
      <c r="S77" s="77">
        <v>0</v>
      </c>
      <c r="T77" s="77">
        <f t="shared" si="47"/>
        <v>0</v>
      </c>
      <c r="U77" s="77">
        <f t="shared" si="48"/>
        <v>0</v>
      </c>
    </row>
    <row r="78" spans="1:21" ht="18.75" hidden="1" x14ac:dyDescent="0.25">
      <c r="A78" s="257"/>
      <c r="B78" s="258"/>
      <c r="C78" s="258"/>
      <c r="D78" s="258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3">
        <f ca="1">IFERROR(__xludf.DUMMYFUNCTION("IMPORTRANGE(""https://docs.google.com/spreadsheets/d/1-uDff_7J0KD5mKrp0Vvzr7lt3OU09vwQwhkpOPPYv2Y/edit?usp=sharing"",""งบพรบ!AM66"")"),0)</f>
        <v>0</v>
      </c>
      <c r="M78" s="74">
        <f ca="1">IFERROR(__xludf.DUMMYFUNCTION("IMPORTRANGE(""https://docs.google.com/spreadsheets/d/1-uDff_7J0KD5mKrp0Vvzr7lt3OU09vwQwhkpOPPYv2Y/edit?usp=sharing"",""งบพรบ!AR66"")"),0)</f>
        <v>0</v>
      </c>
      <c r="N78" s="74">
        <f ca="1">IFERROR(__xludf.DUMMYFUNCTION("IMPORTRANGE(""https://docs.google.com/spreadsheets/d/1-uDff_7J0KD5mKrp0Vvzr7lt3OU09vwQwhkpOPPYv2Y/edit?usp=sharing"",""งบพรบ!AT66"")"),0)</f>
        <v>0</v>
      </c>
      <c r="O78" s="74">
        <f t="shared" ca="1" si="44"/>
        <v>0</v>
      </c>
      <c r="P78" s="74">
        <f t="shared" ca="1" si="45"/>
        <v>0</v>
      </c>
      <c r="Q78" s="74">
        <f ca="1">IFERROR(__xludf.DUMMYFUNCTION("IMPORTRANGE(""https://docs.google.com/spreadsheets/d/1ItG2mGa2ceCfYo0BwxsXqNm01IGEUdYcSSLTEv9YCik/edit?usp=sharing"",""เบิกจ่ายกองทุน!AS66"")"),0)</f>
        <v>0</v>
      </c>
      <c r="R78" s="74">
        <f ca="1">IFERROR(__xludf.DUMMYFUNCTION("IMPORTRANGE(""https://docs.google.com/spreadsheets/d/1ItG2mGa2ceCfYo0BwxsXqNm01IGEUdYcSSLTEv9YCik/edit?usp=sharing"",""เบิกจ่ายกองทุน!AT66"")"),0)</f>
        <v>0</v>
      </c>
      <c r="S78" s="74">
        <f ca="1">IFERROR(__xludf.DUMMYFUNCTION("IMPORTRANGE(""https://docs.google.com/spreadsheets/d/1ItG2mGa2ceCfYo0BwxsXqNm01IGEUdYcSSLTEv9YCik/edit?usp=sharing"",""เบิกจ่ายกองทุน!AU66"")"),0)</f>
        <v>0</v>
      </c>
      <c r="T78" s="74">
        <f t="shared" ca="1" si="47"/>
        <v>0</v>
      </c>
      <c r="U78" s="74">
        <f t="shared" ca="1" si="48"/>
        <v>0</v>
      </c>
    </row>
    <row r="79" spans="1:21" ht="18.75" hidden="1" x14ac:dyDescent="0.25">
      <c r="A79" s="257"/>
      <c r="B79" s="258"/>
      <c r="C79" s="258"/>
      <c r="D79" s="270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3">
        <f t="shared" ref="L79:N79" ca="1" si="53">L80+L81</f>
        <v>0</v>
      </c>
      <c r="M79" s="74">
        <f t="shared" ca="1" si="53"/>
        <v>0</v>
      </c>
      <c r="N79" s="74">
        <f t="shared" ca="1" si="53"/>
        <v>0</v>
      </c>
      <c r="O79" s="74">
        <f t="shared" ca="1" si="44"/>
        <v>0</v>
      </c>
      <c r="P79" s="74">
        <f t="shared" ca="1" si="45"/>
        <v>0</v>
      </c>
      <c r="Q79" s="74">
        <f t="shared" ref="Q79:S79" si="54">Q80+Q81</f>
        <v>0</v>
      </c>
      <c r="R79" s="74">
        <f t="shared" si="54"/>
        <v>0</v>
      </c>
      <c r="S79" s="74">
        <f t="shared" si="54"/>
        <v>0</v>
      </c>
      <c r="T79" s="74">
        <f t="shared" si="47"/>
        <v>0</v>
      </c>
      <c r="U79" s="74">
        <f t="shared" si="48"/>
        <v>0</v>
      </c>
    </row>
    <row r="80" spans="1:21" ht="18.75" hidden="1" x14ac:dyDescent="0.25">
      <c r="A80" s="257"/>
      <c r="B80" s="258"/>
      <c r="C80" s="258"/>
      <c r="D80" s="258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77">
        <f t="shared" si="44"/>
        <v>0</v>
      </c>
      <c r="P80" s="77">
        <f t="shared" si="45"/>
        <v>0</v>
      </c>
      <c r="Q80" s="77">
        <v>0</v>
      </c>
      <c r="R80" s="74">
        <v>0</v>
      </c>
      <c r="S80" s="74">
        <v>0</v>
      </c>
      <c r="T80" s="77">
        <f t="shared" si="47"/>
        <v>0</v>
      </c>
      <c r="U80" s="77">
        <f t="shared" si="48"/>
        <v>0</v>
      </c>
    </row>
    <row r="81" spans="1:21" ht="18.75" hidden="1" x14ac:dyDescent="0.25">
      <c r="A81" s="257"/>
      <c r="B81" s="258"/>
      <c r="C81" s="258"/>
      <c r="D81" s="258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3">
        <f ca="1">IFERROR(__xludf.DUMMYFUNCTION("IMPORTRANGE(""https://docs.google.com/spreadsheets/d/1-uDff_7J0KD5mKrp0Vvzr7lt3OU09vwQwhkpOPPYv2Y/edit?usp=sharing"",""งบพรบ!AP66"")"),0)</f>
        <v>0</v>
      </c>
      <c r="M81" s="74">
        <f ca="1">IFERROR(__xludf.DUMMYFUNCTION("IMPORTRANGE(""https://docs.google.com/spreadsheets/d/1-uDff_7J0KD5mKrp0Vvzr7lt3OU09vwQwhkpOPPYv2Y/edit?usp=sharing"",""งบพรบ!AS66"")"),0)</f>
        <v>0</v>
      </c>
      <c r="N81" s="74">
        <f ca="1">IFERROR(__xludf.DUMMYFUNCTION("IMPORTRANGE(""https://docs.google.com/spreadsheets/d/1-uDff_7J0KD5mKrp0Vvzr7lt3OU09vwQwhkpOPPYv2Y/edit?usp=sharing"",""งบพรบ!AU66"")"),0)</f>
        <v>0</v>
      </c>
      <c r="O81" s="74">
        <f t="shared" ca="1" si="44"/>
        <v>0</v>
      </c>
      <c r="P81" s="74">
        <f t="shared" ca="1" si="45"/>
        <v>0</v>
      </c>
      <c r="Q81" s="74">
        <v>0</v>
      </c>
      <c r="R81" s="74">
        <v>0</v>
      </c>
      <c r="S81" s="74">
        <v>0</v>
      </c>
      <c r="T81" s="74">
        <f t="shared" si="47"/>
        <v>0</v>
      </c>
      <c r="U81" s="74">
        <f t="shared" si="48"/>
        <v>0</v>
      </c>
    </row>
    <row r="82" spans="1:21" ht="19.5" hidden="1" x14ac:dyDescent="0.3">
      <c r="A82" s="276"/>
      <c r="B82" s="277"/>
      <c r="C82" s="259" t="s">
        <v>18</v>
      </c>
      <c r="D82" s="1019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hidden="1" x14ac:dyDescent="0.3">
      <c r="A83" s="276"/>
      <c r="B83" s="277"/>
      <c r="C83" s="277"/>
      <c r="D83" s="767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0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hidden="1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0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hidden="1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IFERROR(__xludf.DUMMYFUNCTION("IMPORTRANGE(""https://docs.google.com/spreadsheets/d/1eHaY18a8A9IcSdp1K8H6x8fbOy06t2VsZHhMHf-1x7Y/edit?usp=sharing"",""แผน!H66"")"),0)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hidden="1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IFERROR(__xludf.DUMMYFUNCTION("IMPORTRANGE(""https://docs.google.com/spreadsheets/d/1eHaY18a8A9IcSdp1K8H6x8fbOy06t2VsZHhMHf-1x7Y/edit?usp=sharing"",""แผน!I66"")"),0)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hidden="1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IFERROR(__xludf.DUMMYFUNCTION("IMPORTRANGE(""https://docs.google.com/spreadsheets/d/1eHaY18a8A9IcSdp1K8H6x8fbOy06t2VsZHhMHf-1x7Y/edit?usp=sharing"",""แผน!F66"")"),0)</f>
        <v>0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hidden="1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IFERROR(__xludf.DUMMYFUNCTION("IMPORTRANGE(""https://docs.google.com/spreadsheets/d/1eHaY18a8A9IcSdp1K8H6x8fbOy06t2VsZHhMHf-1x7Y/edit?usp=sharing"",""แผน!G66"")"),0)</f>
        <v>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hidden="1" x14ac:dyDescent="0.25">
      <c r="A89" s="276"/>
      <c r="B89" s="277"/>
      <c r="C89" s="277"/>
      <c r="D89" s="277"/>
      <c r="E89" s="295" t="s">
        <v>42</v>
      </c>
      <c r="F89" s="296"/>
      <c r="G89" s="282"/>
      <c r="H89" s="299" t="s">
        <v>34</v>
      </c>
      <c r="I89" s="298">
        <f ca="1">IFERROR(__xludf.DUMMYFUNCTION("IMPORTRANGE(""https://docs.google.com/spreadsheets/d/1eHaY18a8A9IcSdp1K8H6x8fbOy06t2VsZHhMHf-1x7Y/edit?usp=sharing"",""แผน!D66"")"),0)</f>
        <v>0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hidden="1" x14ac:dyDescent="0.25">
      <c r="A90" s="276"/>
      <c r="B90" s="277"/>
      <c r="C90" s="277"/>
      <c r="D90" s="277"/>
      <c r="E90" s="296"/>
      <c r="F90" s="296"/>
      <c r="G90" s="282"/>
      <c r="H90" s="299" t="s">
        <v>35</v>
      </c>
      <c r="I90" s="298">
        <f ca="1">IFERROR(__xludf.DUMMYFUNCTION("IMPORTRANGE(""https://docs.google.com/spreadsheets/d/1eHaY18a8A9IcSdp1K8H6x8fbOy06t2VsZHhMHf-1x7Y/edit?usp=sharing"",""แผน!E66"")"),0)</f>
        <v>0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hidden="1" x14ac:dyDescent="0.25">
      <c r="A91" s="276"/>
      <c r="B91" s="277"/>
      <c r="C91" s="277"/>
      <c r="D91" s="767" t="s">
        <v>43</v>
      </c>
      <c r="E91" s="296"/>
      <c r="F91" s="296"/>
      <c r="G91" s="282"/>
      <c r="H91" s="1165" t="s">
        <v>34</v>
      </c>
      <c r="I91" s="298">
        <f ca="1">IFERROR(__xludf.DUMMYFUNCTION("IMPORTRANGE(""https://docs.google.com/spreadsheets/d/1eHaY18a8A9IcSdp1K8H6x8fbOy06t2VsZHhMHf-1x7Y/edit?usp=sharing"",""แผน!J66"")"),0)</f>
        <v>0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hidden="1" x14ac:dyDescent="0.3">
      <c r="A92" s="1099" t="s">
        <v>44</v>
      </c>
      <c r="B92" s="691"/>
      <c r="C92" s="693"/>
      <c r="D92" s="691"/>
      <c r="E92" s="691"/>
      <c r="F92" s="691"/>
      <c r="G92" s="1100"/>
      <c r="H92" s="1100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hidden="1" x14ac:dyDescent="0.3">
      <c r="A93" s="250"/>
      <c r="B93" s="251" t="s">
        <v>45</v>
      </c>
      <c r="C93" s="252"/>
      <c r="D93" s="253"/>
      <c r="E93" s="252"/>
      <c r="F93" s="252"/>
      <c r="G93" s="254"/>
      <c r="H93" s="1296" t="s">
        <v>46</v>
      </c>
      <c r="I93" s="256">
        <f t="shared" ref="I93:J94" ca="1" si="57">I109</f>
        <v>0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hidden="1" x14ac:dyDescent="0.3">
      <c r="A94" s="250"/>
      <c r="B94" s="252"/>
      <c r="C94" s="252"/>
      <c r="D94" s="253"/>
      <c r="E94" s="252"/>
      <c r="F94" s="252"/>
      <c r="G94" s="254"/>
      <c r="H94" s="1296" t="s">
        <v>35</v>
      </c>
      <c r="I94" s="256">
        <f t="shared" ca="1" si="57"/>
        <v>0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hidden="1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1257">
        <f t="shared" ref="L95:N95" ca="1" si="59">L96+L97</f>
        <v>0</v>
      </c>
      <c r="M95" s="264">
        <f t="shared" ca="1" si="59"/>
        <v>0</v>
      </c>
      <c r="N95" s="264">
        <f t="shared" ca="1" si="59"/>
        <v>0</v>
      </c>
      <c r="O95" s="264">
        <f t="shared" ref="O95:O103" ca="1" si="60">IF(L95&gt;0,N95*100/L95,0)</f>
        <v>0</v>
      </c>
      <c r="P95" s="264">
        <f t="shared" ref="P95:P103" ca="1" si="61">IF(M95&gt;0,N95*100/M95,0)</f>
        <v>0</v>
      </c>
      <c r="Q95" s="264">
        <f t="shared" ref="Q95:S95" ca="1" si="62">Q96+Q97</f>
        <v>0</v>
      </c>
      <c r="R95" s="264">
        <f t="shared" ca="1" si="62"/>
        <v>0</v>
      </c>
      <c r="S95" s="264">
        <f t="shared" ca="1" si="62"/>
        <v>0</v>
      </c>
      <c r="T95" s="264">
        <f t="shared" ref="T95:T103" ca="1" si="63">IF(Q95&gt;0,S95*100/Q95,0)</f>
        <v>0</v>
      </c>
      <c r="U95" s="264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6">
        <f t="shared" ref="L96:N97" si="65">L99+L102</f>
        <v>0</v>
      </c>
      <c r="M96" s="77">
        <f t="shared" si="65"/>
        <v>0</v>
      </c>
      <c r="N96" s="77">
        <f t="shared" si="65"/>
        <v>0</v>
      </c>
      <c r="O96" s="77">
        <f t="shared" si="60"/>
        <v>0</v>
      </c>
      <c r="P96" s="77">
        <f t="shared" si="61"/>
        <v>0</v>
      </c>
      <c r="Q96" s="77">
        <f t="shared" ref="Q96:S97" si="66">Q99+Q102</f>
        <v>0</v>
      </c>
      <c r="R96" s="77">
        <f t="shared" si="66"/>
        <v>0</v>
      </c>
      <c r="S96" s="77">
        <f t="shared" si="66"/>
        <v>0</v>
      </c>
      <c r="T96" s="77">
        <f t="shared" si="63"/>
        <v>0</v>
      </c>
      <c r="U96" s="77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3">
        <f t="shared" ca="1" si="65"/>
        <v>0</v>
      </c>
      <c r="M97" s="74">
        <f t="shared" ca="1" si="65"/>
        <v>0</v>
      </c>
      <c r="N97" s="74">
        <f t="shared" ca="1" si="65"/>
        <v>0</v>
      </c>
      <c r="O97" s="74">
        <f t="shared" ca="1" si="60"/>
        <v>0</v>
      </c>
      <c r="P97" s="74">
        <f t="shared" ca="1" si="61"/>
        <v>0</v>
      </c>
      <c r="Q97" s="74">
        <f t="shared" ca="1" si="66"/>
        <v>0</v>
      </c>
      <c r="R97" s="74">
        <f t="shared" ca="1" si="66"/>
        <v>0</v>
      </c>
      <c r="S97" s="74">
        <f t="shared" ca="1" si="66"/>
        <v>0</v>
      </c>
      <c r="T97" s="74">
        <f t="shared" ca="1" si="63"/>
        <v>0</v>
      </c>
      <c r="U97" s="74">
        <f t="shared" ca="1" si="64"/>
        <v>0</v>
      </c>
    </row>
    <row r="98" spans="1:21" ht="18.75" hidden="1" x14ac:dyDescent="0.25">
      <c r="A98" s="257"/>
      <c r="B98" s="258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3">
        <f t="shared" ref="L98:N98" ca="1" si="67">L99+L100</f>
        <v>0</v>
      </c>
      <c r="M98" s="74">
        <f t="shared" ca="1" si="67"/>
        <v>0</v>
      </c>
      <c r="N98" s="74">
        <f t="shared" ca="1" si="67"/>
        <v>0</v>
      </c>
      <c r="O98" s="74">
        <f t="shared" ca="1" si="60"/>
        <v>0</v>
      </c>
      <c r="P98" s="74">
        <f t="shared" ca="1" si="61"/>
        <v>0</v>
      </c>
      <c r="Q98" s="74">
        <f t="shared" ref="Q98:S98" ca="1" si="68">Q99+Q100</f>
        <v>0</v>
      </c>
      <c r="R98" s="74">
        <f t="shared" ca="1" si="68"/>
        <v>0</v>
      </c>
      <c r="S98" s="74">
        <f t="shared" ca="1" si="68"/>
        <v>0</v>
      </c>
      <c r="T98" s="74">
        <f t="shared" ca="1" si="63"/>
        <v>0</v>
      </c>
      <c r="U98" s="74">
        <f t="shared" ca="1" si="64"/>
        <v>0</v>
      </c>
    </row>
    <row r="99" spans="1:21" ht="18.75" hidden="1" x14ac:dyDescent="0.25">
      <c r="A99" s="257"/>
      <c r="B99" s="258"/>
      <c r="C99" s="258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77">
        <f t="shared" si="60"/>
        <v>0</v>
      </c>
      <c r="P99" s="77">
        <f t="shared" si="61"/>
        <v>0</v>
      </c>
      <c r="Q99" s="77">
        <v>0</v>
      </c>
      <c r="R99" s="77">
        <v>0</v>
      </c>
      <c r="S99" s="77">
        <v>0</v>
      </c>
      <c r="T99" s="77">
        <f t="shared" si="63"/>
        <v>0</v>
      </c>
      <c r="U99" s="77">
        <f t="shared" si="64"/>
        <v>0</v>
      </c>
    </row>
    <row r="100" spans="1:21" ht="18.75" hidden="1" x14ac:dyDescent="0.25">
      <c r="A100" s="257"/>
      <c r="B100" s="258"/>
      <c r="C100" s="258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3">
        <f ca="1">IFERROR(__xludf.DUMMYFUNCTION("IMPORTRANGE(""https://docs.google.com/spreadsheets/d/1-uDff_7J0KD5mKrp0Vvzr7lt3OU09vwQwhkpOPPYv2Y/edit?usp=sharing"",""งบพรบ!AW66"")"),0)</f>
        <v>0</v>
      </c>
      <c r="M100" s="74">
        <f ca="1">IFERROR(__xludf.DUMMYFUNCTION("IMPORTRANGE(""https://docs.google.com/spreadsheets/d/1-uDff_7J0KD5mKrp0Vvzr7lt3OU09vwQwhkpOPPYv2Y/edit?usp=sharing"",""งบพรบ!BB66"")"),0)</f>
        <v>0</v>
      </c>
      <c r="N100" s="74">
        <f ca="1">IFERROR(__xludf.DUMMYFUNCTION("IMPORTRANGE(""https://docs.google.com/spreadsheets/d/1-uDff_7J0KD5mKrp0Vvzr7lt3OU09vwQwhkpOPPYv2Y/edit?usp=sharing"",""งบพรบ!BD66"")"),0)</f>
        <v>0</v>
      </c>
      <c r="O100" s="74">
        <f t="shared" ca="1" si="60"/>
        <v>0</v>
      </c>
      <c r="P100" s="74">
        <f t="shared" ca="1" si="61"/>
        <v>0</v>
      </c>
      <c r="Q100" s="74">
        <f ca="1">IFERROR(__xludf.DUMMYFUNCTION("IMPORTRANGE(""https://docs.google.com/spreadsheets/d/1ItG2mGa2ceCfYo0BwxsXqNm01IGEUdYcSSLTEv9YCik/edit?usp=sharing"",""เบิกจ่ายกองทุน!AD66"")"),0)</f>
        <v>0</v>
      </c>
      <c r="R100" s="74">
        <f ca="1">IFERROR(__xludf.DUMMYFUNCTION("IMPORTRANGE(""https://docs.google.com/spreadsheets/d/1ItG2mGa2ceCfYo0BwxsXqNm01IGEUdYcSSLTEv9YCik/edit?usp=sharing"",""เบิกจ่ายกองทุน!AE66"")"),0)</f>
        <v>0</v>
      </c>
      <c r="S100" s="74">
        <f ca="1">IFERROR(__xludf.DUMMYFUNCTION("IMPORTRANGE(""https://docs.google.com/spreadsheets/d/1ItG2mGa2ceCfYo0BwxsXqNm01IGEUdYcSSLTEv9YCik/edit?usp=sharing"",""เบิกจ่ายกองทุน!AF66"")"),0)</f>
        <v>0</v>
      </c>
      <c r="T100" s="74">
        <f t="shared" ca="1" si="63"/>
        <v>0</v>
      </c>
      <c r="U100" s="74">
        <f t="shared" ca="1" si="64"/>
        <v>0</v>
      </c>
    </row>
    <row r="101" spans="1:21" ht="18.75" hidden="1" x14ac:dyDescent="0.25">
      <c r="A101" s="257"/>
      <c r="B101" s="258"/>
      <c r="C101" s="258"/>
      <c r="D101" s="270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3">
        <f t="shared" ref="L101:N101" ca="1" si="69">L102+L103</f>
        <v>0</v>
      </c>
      <c r="M101" s="74">
        <f t="shared" ca="1" si="69"/>
        <v>0</v>
      </c>
      <c r="N101" s="74">
        <f t="shared" ca="1" si="69"/>
        <v>0</v>
      </c>
      <c r="O101" s="74">
        <f t="shared" ca="1" si="60"/>
        <v>0</v>
      </c>
      <c r="P101" s="74">
        <f t="shared" ca="1" si="61"/>
        <v>0</v>
      </c>
      <c r="Q101" s="74">
        <f t="shared" ref="Q101:S101" si="70">Q102+Q103</f>
        <v>0</v>
      </c>
      <c r="R101" s="74">
        <f t="shared" si="70"/>
        <v>0</v>
      </c>
      <c r="S101" s="74">
        <f t="shared" si="70"/>
        <v>0</v>
      </c>
      <c r="T101" s="74">
        <f t="shared" si="63"/>
        <v>0</v>
      </c>
      <c r="U101" s="74">
        <f t="shared" si="64"/>
        <v>0</v>
      </c>
    </row>
    <row r="102" spans="1:21" ht="18.75" hidden="1" x14ac:dyDescent="0.25">
      <c r="A102" s="257"/>
      <c r="B102" s="258"/>
      <c r="C102" s="258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77">
        <f t="shared" si="60"/>
        <v>0</v>
      </c>
      <c r="P102" s="77">
        <f t="shared" si="61"/>
        <v>0</v>
      </c>
      <c r="Q102" s="77">
        <v>0</v>
      </c>
      <c r="R102" s="77">
        <v>0</v>
      </c>
      <c r="S102" s="77">
        <v>0</v>
      </c>
      <c r="T102" s="77">
        <f t="shared" si="63"/>
        <v>0</v>
      </c>
      <c r="U102" s="77">
        <f t="shared" si="64"/>
        <v>0</v>
      </c>
    </row>
    <row r="103" spans="1:21" ht="18.75" hidden="1" x14ac:dyDescent="0.25">
      <c r="A103" s="257"/>
      <c r="B103" s="258"/>
      <c r="C103" s="258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3">
        <f ca="1">IFERROR(__xludf.DUMMYFUNCTION("IMPORTRANGE(""https://docs.google.com/spreadsheets/d/1-uDff_7J0KD5mKrp0Vvzr7lt3OU09vwQwhkpOPPYv2Y/edit?usp=sharing"",""งบพรบ!AZ66"")"),0)</f>
        <v>0</v>
      </c>
      <c r="M103" s="74">
        <f ca="1">IFERROR(__xludf.DUMMYFUNCTION("IMPORTRANGE(""https://docs.google.com/spreadsheets/d/1-uDff_7J0KD5mKrp0Vvzr7lt3OU09vwQwhkpOPPYv2Y/edit?usp=sharing"",""งบพรบ!BC66"")"),0)</f>
        <v>0</v>
      </c>
      <c r="N103" s="74">
        <f ca="1">IFERROR(__xludf.DUMMYFUNCTION("IMPORTRANGE(""https://docs.google.com/spreadsheets/d/1-uDff_7J0KD5mKrp0Vvzr7lt3OU09vwQwhkpOPPYv2Y/edit?usp=sharing"",""งบพรบ!BE66"")"),0)</f>
        <v>0</v>
      </c>
      <c r="O103" s="74">
        <f t="shared" ca="1" si="60"/>
        <v>0</v>
      </c>
      <c r="P103" s="74">
        <f t="shared" ca="1" si="61"/>
        <v>0</v>
      </c>
      <c r="Q103" s="74">
        <v>0</v>
      </c>
      <c r="R103" s="74">
        <v>0</v>
      </c>
      <c r="S103" s="74">
        <v>0</v>
      </c>
      <c r="T103" s="74">
        <f t="shared" si="63"/>
        <v>0</v>
      </c>
      <c r="U103" s="74">
        <f t="shared" si="64"/>
        <v>0</v>
      </c>
    </row>
    <row r="104" spans="1:21" ht="19.5" hidden="1" x14ac:dyDescent="0.3">
      <c r="A104" s="276"/>
      <c r="B104" s="277"/>
      <c r="C104" s="259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hidden="1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IFERROR(__xludf.DUMMYFUNCTION("IMPORTRANGE(""https://docs.google.com/spreadsheets/d/1eHaY18a8A9IcSdp1K8H6x8fbOy06t2VsZHhMHf-1x7Y/edit?usp=sharing"",""แผน!N66"")"),0)</f>
        <v>0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hidden="1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IFERROR(__xludf.DUMMYFUNCTION("IMPORTRANGE(""https://docs.google.com/spreadsheets/d/1eHaY18a8A9IcSdp1K8H6x8fbOy06t2VsZHhMHf-1x7Y/edit?usp=sharing"",""แผน!O66"")"),0)</f>
        <v>0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5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2.75" hidden="1" x14ac:dyDescent="0.2">
      <c r="A114" s="283"/>
      <c r="B114" s="284"/>
      <c r="C114" s="284"/>
      <c r="D114" s="285"/>
      <c r="E114" s="285"/>
      <c r="F114" s="285"/>
      <c r="G114" s="286"/>
      <c r="H114" s="286"/>
      <c r="I114" s="287">
        <v>0</v>
      </c>
      <c r="J114" s="287">
        <v>0</v>
      </c>
      <c r="K114" s="30"/>
      <c r="L114" s="29"/>
      <c r="M114" s="30"/>
      <c r="N114" s="30"/>
      <c r="O114" s="30"/>
      <c r="P114" s="30"/>
      <c r="Q114" s="30"/>
      <c r="R114" s="30"/>
      <c r="S114" s="30"/>
      <c r="T114" s="30"/>
      <c r="U114" s="30"/>
    </row>
    <row r="115" spans="1:21" ht="18.75" hidden="1" x14ac:dyDescent="0.25">
      <c r="A115" s="276"/>
      <c r="B115" s="277"/>
      <c r="C115" s="277"/>
      <c r="D115" s="295" t="s">
        <v>50</v>
      </c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IFERROR(__xludf.DUMMYFUNCTION("IMPORTRANGE(""https://docs.google.com/spreadsheets/d/1eHaY18a8A9IcSdp1K8H6x8fbOy06t2VsZHhMHf-1x7Y/edit?usp=sharing"",""แผน!R66"")"),0)</f>
        <v>0</v>
      </c>
      <c r="J115" s="294">
        <v>0</v>
      </c>
      <c r="K115" s="74">
        <f ca="1">IF(I115&gt;0,J115*100/I115,0)</f>
        <v>0</v>
      </c>
      <c r="L115" s="86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243" t="s">
        <v>51</v>
      </c>
      <c r="B116" s="245"/>
      <c r="C116" s="300"/>
      <c r="D116" s="244"/>
      <c r="E116" s="244"/>
      <c r="F116" s="244"/>
      <c r="G116" s="244"/>
      <c r="H116" s="245"/>
      <c r="I116" s="301"/>
      <c r="J116" s="301"/>
      <c r="K116" s="302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50"/>
      <c r="B117" s="303" t="s">
        <v>52</v>
      </c>
      <c r="C117" s="304"/>
      <c r="D117" s="253"/>
      <c r="E117" s="252"/>
      <c r="F117" s="252"/>
      <c r="G117" s="254"/>
      <c r="H117" s="305" t="s">
        <v>35</v>
      </c>
      <c r="I117" s="256">
        <f t="shared" ref="I117:J117" ca="1" si="72">I128</f>
        <v>20</v>
      </c>
      <c r="J117" s="256">
        <f t="shared" si="72"/>
        <v>0</v>
      </c>
      <c r="K117" s="59">
        <f ca="1">IF(I117&gt;0,J117*100/I117,0)</f>
        <v>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69"/>
      <c r="C118" s="621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1257">
        <f t="shared" ref="L118:N118" ca="1" si="73">L119+L120</f>
        <v>0</v>
      </c>
      <c r="M118" s="264">
        <f t="shared" ca="1" si="73"/>
        <v>0</v>
      </c>
      <c r="N118" s="264">
        <f t="shared" ca="1" si="73"/>
        <v>0</v>
      </c>
      <c r="O118" s="264">
        <f t="shared" ref="O118:O126" ca="1" si="74">IF(L118&gt;0,N118*100/L118,0)</f>
        <v>0</v>
      </c>
      <c r="P118" s="264">
        <f t="shared" ref="P118:P126" ca="1" si="75">IF(M118&gt;0,N118*100/M118,0)</f>
        <v>0</v>
      </c>
      <c r="Q118" s="264">
        <f t="shared" ref="Q118:S118" ca="1" si="76">Q119+Q120</f>
        <v>209360</v>
      </c>
      <c r="R118" s="264">
        <f t="shared" ca="1" si="76"/>
        <v>209360</v>
      </c>
      <c r="S118" s="264">
        <f t="shared" ca="1" si="76"/>
        <v>36950</v>
      </c>
      <c r="T118" s="264">
        <f t="shared" ref="T118:T126" ca="1" si="77">IF(Q118&gt;0,S118*100/Q118,0)</f>
        <v>17.649025601834161</v>
      </c>
      <c r="U118" s="264">
        <f t="shared" ref="U118:U126" ca="1" si="78">IF(R118&gt;0,S118*100/R118,0)</f>
        <v>17.649025601834161</v>
      </c>
    </row>
    <row r="119" spans="1:21" ht="18.75" hidden="1" x14ac:dyDescent="0.25">
      <c r="A119" s="257"/>
      <c r="B119" s="269"/>
      <c r="C119" s="269"/>
      <c r="D119" s="269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6">
        <f t="shared" ref="L119:N120" si="79">L122+L125</f>
        <v>0</v>
      </c>
      <c r="M119" s="77">
        <f t="shared" si="79"/>
        <v>0</v>
      </c>
      <c r="N119" s="77">
        <f t="shared" si="79"/>
        <v>0</v>
      </c>
      <c r="O119" s="77">
        <f t="shared" si="74"/>
        <v>0</v>
      </c>
      <c r="P119" s="77">
        <f t="shared" si="75"/>
        <v>0</v>
      </c>
      <c r="Q119" s="77">
        <f t="shared" ref="Q119:S120" si="80">Q122+Q125</f>
        <v>0</v>
      </c>
      <c r="R119" s="77">
        <f t="shared" si="80"/>
        <v>0</v>
      </c>
      <c r="S119" s="77">
        <f t="shared" si="80"/>
        <v>0</v>
      </c>
      <c r="T119" s="77">
        <f t="shared" si="77"/>
        <v>0</v>
      </c>
      <c r="U119" s="77">
        <f t="shared" si="78"/>
        <v>0</v>
      </c>
    </row>
    <row r="120" spans="1:21" ht="18.75" hidden="1" x14ac:dyDescent="0.25">
      <c r="A120" s="257"/>
      <c r="B120" s="269"/>
      <c r="C120" s="269"/>
      <c r="D120" s="269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3">
        <f t="shared" ca="1" si="79"/>
        <v>0</v>
      </c>
      <c r="M120" s="74">
        <f t="shared" ca="1" si="79"/>
        <v>0</v>
      </c>
      <c r="N120" s="74">
        <f t="shared" ca="1" si="79"/>
        <v>0</v>
      </c>
      <c r="O120" s="74">
        <f t="shared" ca="1" si="74"/>
        <v>0</v>
      </c>
      <c r="P120" s="74">
        <f t="shared" ca="1" si="75"/>
        <v>0</v>
      </c>
      <c r="Q120" s="74">
        <f t="shared" ca="1" si="80"/>
        <v>209360</v>
      </c>
      <c r="R120" s="74">
        <f t="shared" ca="1" si="80"/>
        <v>209360</v>
      </c>
      <c r="S120" s="74">
        <f t="shared" ca="1" si="80"/>
        <v>36950</v>
      </c>
      <c r="T120" s="74">
        <f t="shared" ca="1" si="77"/>
        <v>17.649025601834161</v>
      </c>
      <c r="U120" s="74">
        <f t="shared" ca="1" si="78"/>
        <v>17.649025601834161</v>
      </c>
    </row>
    <row r="121" spans="1:21" ht="18.75" x14ac:dyDescent="0.25">
      <c r="A121" s="257"/>
      <c r="B121" s="269"/>
      <c r="C121" s="306"/>
      <c r="D121" s="967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3">
        <f t="shared" ref="L121:N121" ca="1" si="81">L122+L123</f>
        <v>0</v>
      </c>
      <c r="M121" s="74">
        <f t="shared" ca="1" si="81"/>
        <v>0</v>
      </c>
      <c r="N121" s="74">
        <f t="shared" ca="1" si="81"/>
        <v>0</v>
      </c>
      <c r="O121" s="74">
        <f t="shared" ca="1" si="74"/>
        <v>0</v>
      </c>
      <c r="P121" s="74">
        <f t="shared" ca="1" si="75"/>
        <v>0</v>
      </c>
      <c r="Q121" s="74">
        <f t="shared" ref="Q121:S121" ca="1" si="82">Q122+Q123</f>
        <v>209360</v>
      </c>
      <c r="R121" s="74">
        <f t="shared" ca="1" si="82"/>
        <v>209360</v>
      </c>
      <c r="S121" s="74">
        <f t="shared" ca="1" si="82"/>
        <v>36950</v>
      </c>
      <c r="T121" s="74">
        <f t="shared" ca="1" si="77"/>
        <v>17.649025601834161</v>
      </c>
      <c r="U121" s="74">
        <f t="shared" ca="1" si="78"/>
        <v>17.649025601834161</v>
      </c>
    </row>
    <row r="122" spans="1:21" ht="18.75" hidden="1" x14ac:dyDescent="0.25">
      <c r="A122" s="257"/>
      <c r="B122" s="269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77">
        <f t="shared" si="74"/>
        <v>0</v>
      </c>
      <c r="P122" s="77">
        <f t="shared" si="75"/>
        <v>0</v>
      </c>
      <c r="Q122" s="77">
        <v>0</v>
      </c>
      <c r="R122" s="77">
        <v>0</v>
      </c>
      <c r="S122" s="77">
        <v>0</v>
      </c>
      <c r="T122" s="77">
        <f t="shared" si="77"/>
        <v>0</v>
      </c>
      <c r="U122" s="77">
        <f t="shared" si="78"/>
        <v>0</v>
      </c>
    </row>
    <row r="123" spans="1:21" ht="18.75" hidden="1" x14ac:dyDescent="0.25">
      <c r="A123" s="257"/>
      <c r="B123" s="269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3">
        <f ca="1">IFERROR(__xludf.DUMMYFUNCTION("IMPORTRANGE(""https://docs.google.com/spreadsheets/d/1-uDff_7J0KD5mKrp0Vvzr7lt3OU09vwQwhkpOPPYv2Y/edit?usp=sharing"",""งบพรบ!BG66"")"),0)</f>
        <v>0</v>
      </c>
      <c r="M123" s="74">
        <f ca="1">IFERROR(__xludf.DUMMYFUNCTION("IMPORTRANGE(""https://docs.google.com/spreadsheets/d/1-uDff_7J0KD5mKrp0Vvzr7lt3OU09vwQwhkpOPPYv2Y/edit?usp=sharing"",""งบพรบ!BL66"")"),0)</f>
        <v>0</v>
      </c>
      <c r="N123" s="74">
        <f ca="1">IFERROR(__xludf.DUMMYFUNCTION("IMPORTRANGE(""https://docs.google.com/spreadsheets/d/1-uDff_7J0KD5mKrp0Vvzr7lt3OU09vwQwhkpOPPYv2Y/edit?usp=sharing"",""งบพรบ!BN66"")"),0)</f>
        <v>0</v>
      </c>
      <c r="O123" s="74">
        <f t="shared" ca="1" si="74"/>
        <v>0</v>
      </c>
      <c r="P123" s="74">
        <f t="shared" ca="1" si="75"/>
        <v>0</v>
      </c>
      <c r="Q123" s="74">
        <f ca="1">IFERROR(__xludf.DUMMYFUNCTION("IMPORTRANGE(""https://docs.google.com/spreadsheets/d/1ItG2mGa2ceCfYo0BwxsXqNm01IGEUdYcSSLTEv9YCik/edit?usp=sharing"",""เบิกจ่ายกองทุน!R66"")"),209360)</f>
        <v>209360</v>
      </c>
      <c r="R123" s="74">
        <f ca="1">IFERROR(__xludf.DUMMYFUNCTION("IMPORTRANGE(""https://docs.google.com/spreadsheets/d/1ItG2mGa2ceCfYo0BwxsXqNm01IGEUdYcSSLTEv9YCik/edit?usp=sharing"",""เบิกจ่ายกองทุน!S66"")"),209360)</f>
        <v>209360</v>
      </c>
      <c r="S123" s="74">
        <f ca="1">IFERROR(__xludf.DUMMYFUNCTION("IMPORTRANGE(""https://docs.google.com/spreadsheets/d/1ItG2mGa2ceCfYo0BwxsXqNm01IGEUdYcSSLTEv9YCik/edit?usp=sharing"",""เบิกจ่ายกองทุน!T66"")"),36950)</f>
        <v>36950</v>
      </c>
      <c r="T123" s="74">
        <f t="shared" ca="1" si="77"/>
        <v>17.649025601834161</v>
      </c>
      <c r="U123" s="74">
        <f t="shared" ca="1" si="78"/>
        <v>17.649025601834161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3">
        <f t="shared" ref="L124:N124" ca="1" si="83">L125+L126</f>
        <v>0</v>
      </c>
      <c r="M124" s="74">
        <f t="shared" ca="1" si="83"/>
        <v>0</v>
      </c>
      <c r="N124" s="74">
        <f t="shared" ca="1" si="83"/>
        <v>0</v>
      </c>
      <c r="O124" s="74">
        <f t="shared" ca="1" si="74"/>
        <v>0</v>
      </c>
      <c r="P124" s="74">
        <f t="shared" ca="1" si="75"/>
        <v>0</v>
      </c>
      <c r="Q124" s="74">
        <f t="shared" ref="Q124:S124" si="84">Q125+Q126</f>
        <v>0</v>
      </c>
      <c r="R124" s="74">
        <f t="shared" si="84"/>
        <v>0</v>
      </c>
      <c r="S124" s="74">
        <f t="shared" si="84"/>
        <v>0</v>
      </c>
      <c r="T124" s="74">
        <f t="shared" si="77"/>
        <v>0</v>
      </c>
      <c r="U124" s="74">
        <f t="shared" si="78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77">
        <f t="shared" si="74"/>
        <v>0</v>
      </c>
      <c r="P125" s="77">
        <f t="shared" si="75"/>
        <v>0</v>
      </c>
      <c r="Q125" s="77">
        <v>0</v>
      </c>
      <c r="R125" s="77">
        <v>0</v>
      </c>
      <c r="S125" s="77">
        <v>0</v>
      </c>
      <c r="T125" s="77">
        <f t="shared" si="77"/>
        <v>0</v>
      </c>
      <c r="U125" s="77">
        <f t="shared" si="78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3">
        <f ca="1">IFERROR(__xludf.DUMMYFUNCTION("IMPORTRANGE(""https://docs.google.com/spreadsheets/d/1-uDff_7J0KD5mKrp0Vvzr7lt3OU09vwQwhkpOPPYv2Y/edit?usp=sharing"",""งบพรบ!BJ66"")"),0)</f>
        <v>0</v>
      </c>
      <c r="M126" s="74">
        <f ca="1">IFERROR(__xludf.DUMMYFUNCTION("IMPORTRANGE(""https://docs.google.com/spreadsheets/d/1-uDff_7J0KD5mKrp0Vvzr7lt3OU09vwQwhkpOPPYv2Y/edit?usp=sharing"",""งบพรบ!BM66"")"),0)</f>
        <v>0</v>
      </c>
      <c r="N126" s="74">
        <f ca="1">IFERROR(__xludf.DUMMYFUNCTION("IMPORTRANGE(""https://docs.google.com/spreadsheets/d/1-uDff_7J0KD5mKrp0Vvzr7lt3OU09vwQwhkpOPPYv2Y/edit?usp=sharing"",""งบพรบ!BO66"")"),0)</f>
        <v>0</v>
      </c>
      <c r="O126" s="74">
        <f t="shared" ca="1" si="74"/>
        <v>0</v>
      </c>
      <c r="P126" s="74">
        <f t="shared" ca="1" si="75"/>
        <v>0</v>
      </c>
      <c r="Q126" s="74">
        <v>0</v>
      </c>
      <c r="R126" s="74">
        <v>0</v>
      </c>
      <c r="S126" s="74">
        <v>0</v>
      </c>
      <c r="T126" s="74">
        <f t="shared" si="77"/>
        <v>0</v>
      </c>
      <c r="U126" s="74">
        <f t="shared" si="78"/>
        <v>0</v>
      </c>
    </row>
    <row r="127" spans="1:21" ht="19.5" x14ac:dyDescent="0.3">
      <c r="A127" s="276"/>
      <c r="B127" s="277"/>
      <c r="C127" s="309" t="s">
        <v>18</v>
      </c>
      <c r="D127" s="1019" t="s">
        <v>38</v>
      </c>
      <c r="E127" s="280"/>
      <c r="F127" s="280"/>
      <c r="G127" s="281"/>
      <c r="H127" s="310"/>
      <c r="I127" s="263"/>
      <c r="J127" s="263"/>
      <c r="K127" s="87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IFERROR(__xludf.DUMMYFUNCTION("IMPORTRANGE(""https://docs.google.com/spreadsheets/d/1eHaY18a8A9IcSdp1K8H6x8fbOy06t2VsZHhMHf-1x7Y/edit?usp=sharing"",""แผน!FF66"")"),20)</f>
        <v>20</v>
      </c>
      <c r="J128" s="294">
        <v>0</v>
      </c>
      <c r="K128" s="74">
        <f t="shared" ref="K128:K131" ca="1" si="85">IF(I128&gt;0,J128*100/I128,0)</f>
        <v>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IFERROR(__xludf.DUMMYFUNCTION("IMPORTRANGE(""https://docs.google.com/spreadsheets/d/1eHaY18a8A9IcSdp1K8H6x8fbOy06t2VsZHhMHf-1x7Y/edit?usp=sharing"",""แผน!FG66"")"),0)</f>
        <v>0</v>
      </c>
      <c r="J129" s="294">
        <v>0</v>
      </c>
      <c r="K129" s="74">
        <f t="shared" ca="1" si="85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29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IFERROR(__xludf.DUMMYFUNCTION("IMPORTRANGE(""https://docs.google.com/spreadsheets/d/1eHaY18a8A9IcSdp1K8H6x8fbOy06t2VsZHhMHf-1x7Y/edit?usp=sharing"",""แผน!FH66"")"),20)</f>
        <v>20</v>
      </c>
      <c r="J130" s="294">
        <v>0</v>
      </c>
      <c r="K130" s="74">
        <f t="shared" ca="1" si="85"/>
        <v>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96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IFERROR(__xludf.DUMMYFUNCTION("IMPORTRANGE(""https://docs.google.com/spreadsheets/d/1eHaY18a8A9IcSdp1K8H6x8fbOy06t2VsZHhMHf-1x7Y/edit?usp=sharing"",""แผน!FI66"")"),0)</f>
        <v>0</v>
      </c>
      <c r="J131" s="294">
        <v>0</v>
      </c>
      <c r="K131" s="74">
        <f t="shared" ca="1" si="85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311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311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hidden="1" x14ac:dyDescent="0.3">
      <c r="A135" s="1099" t="s">
        <v>58</v>
      </c>
      <c r="B135" s="691"/>
      <c r="C135" s="692"/>
      <c r="D135" s="691"/>
      <c r="E135" s="691"/>
      <c r="F135" s="691"/>
      <c r="G135" s="691"/>
      <c r="H135" s="691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hidden="1" x14ac:dyDescent="0.3">
      <c r="A136" s="250"/>
      <c r="B136" s="251" t="s">
        <v>59</v>
      </c>
      <c r="C136" s="304"/>
      <c r="D136" s="253"/>
      <c r="E136" s="252"/>
      <c r="F136" s="252"/>
      <c r="G136" s="252"/>
      <c r="H136" s="252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hidden="1" x14ac:dyDescent="0.3">
      <c r="A137" s="250"/>
      <c r="B137" s="252"/>
      <c r="C137" s="1112" t="s">
        <v>60</v>
      </c>
      <c r="D137" s="253"/>
      <c r="E137" s="252"/>
      <c r="F137" s="252"/>
      <c r="G137" s="254"/>
      <c r="H137" s="1296" t="s">
        <v>61</v>
      </c>
      <c r="I137" s="256">
        <f t="shared" ref="I137:J137" ca="1" si="86">I155</f>
        <v>0</v>
      </c>
      <c r="J137" s="256">
        <f t="shared" si="86"/>
        <v>0</v>
      </c>
      <c r="K137" s="59">
        <f t="shared" ref="K137:K139" ca="1" si="87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hidden="1" x14ac:dyDescent="0.3">
      <c r="A138" s="250"/>
      <c r="B138" s="252"/>
      <c r="C138" s="1112" t="s">
        <v>62</v>
      </c>
      <c r="D138" s="253"/>
      <c r="E138" s="252"/>
      <c r="F138" s="252"/>
      <c r="G138" s="254"/>
      <c r="H138" s="1296" t="s">
        <v>35</v>
      </c>
      <c r="I138" s="256">
        <f t="shared" ref="I138:J139" ca="1" si="88">I153</f>
        <v>0</v>
      </c>
      <c r="J138" s="256">
        <f t="shared" si="88"/>
        <v>0</v>
      </c>
      <c r="K138" s="59">
        <f t="shared" ca="1" si="87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hidden="1" x14ac:dyDescent="0.3">
      <c r="A139" s="250"/>
      <c r="B139" s="252"/>
      <c r="C139" s="304"/>
      <c r="D139" s="253"/>
      <c r="E139" s="252"/>
      <c r="F139" s="252"/>
      <c r="G139" s="254"/>
      <c r="H139" s="1296" t="s">
        <v>54</v>
      </c>
      <c r="I139" s="256">
        <f t="shared" ca="1" si="88"/>
        <v>0</v>
      </c>
      <c r="J139" s="256">
        <f t="shared" si="88"/>
        <v>0</v>
      </c>
      <c r="K139" s="59">
        <f t="shared" ca="1" si="87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hidden="1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1257">
        <f t="shared" ref="L140:N140" ca="1" si="89">L141+L142</f>
        <v>0</v>
      </c>
      <c r="M140" s="264">
        <f t="shared" ca="1" si="89"/>
        <v>0</v>
      </c>
      <c r="N140" s="264">
        <f t="shared" ca="1" si="89"/>
        <v>0</v>
      </c>
      <c r="O140" s="264">
        <f t="shared" ref="O140:O148" ca="1" si="90">IF(L140&gt;0,N140*100/L140,0)</f>
        <v>0</v>
      </c>
      <c r="P140" s="264">
        <f t="shared" ref="P140:P148" ca="1" si="91">IF(M140&gt;0,N140*100/M140,0)</f>
        <v>0</v>
      </c>
      <c r="Q140" s="264">
        <f t="shared" ref="Q140:S140" ca="1" si="92">Q141+Q142</f>
        <v>0</v>
      </c>
      <c r="R140" s="264">
        <f t="shared" ca="1" si="92"/>
        <v>0</v>
      </c>
      <c r="S140" s="264">
        <f t="shared" ca="1" si="92"/>
        <v>0</v>
      </c>
      <c r="T140" s="264">
        <f t="shared" ref="T140:T148" ca="1" si="93">IF(Q140&gt;0,S140*100/Q140,0)</f>
        <v>0</v>
      </c>
      <c r="U140" s="264">
        <f t="shared" ref="U140:U148" ca="1" si="94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6">
        <f t="shared" ref="L141:N142" si="95">L144+L147</f>
        <v>0</v>
      </c>
      <c r="M141" s="77">
        <f t="shared" si="95"/>
        <v>0</v>
      </c>
      <c r="N141" s="77">
        <f t="shared" si="95"/>
        <v>0</v>
      </c>
      <c r="O141" s="77">
        <f t="shared" si="90"/>
        <v>0</v>
      </c>
      <c r="P141" s="77">
        <f t="shared" si="91"/>
        <v>0</v>
      </c>
      <c r="Q141" s="77">
        <f t="shared" ref="Q141:S142" si="96">Q144+Q147</f>
        <v>0</v>
      </c>
      <c r="R141" s="77">
        <f t="shared" si="96"/>
        <v>0</v>
      </c>
      <c r="S141" s="77">
        <f t="shared" si="96"/>
        <v>0</v>
      </c>
      <c r="T141" s="77">
        <f t="shared" si="93"/>
        <v>0</v>
      </c>
      <c r="U141" s="77">
        <f t="shared" si="94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3">
        <f t="shared" ca="1" si="95"/>
        <v>0</v>
      </c>
      <c r="M142" s="74">
        <f t="shared" ca="1" si="95"/>
        <v>0</v>
      </c>
      <c r="N142" s="74">
        <f t="shared" ca="1" si="95"/>
        <v>0</v>
      </c>
      <c r="O142" s="74">
        <f t="shared" ca="1" si="90"/>
        <v>0</v>
      </c>
      <c r="P142" s="74">
        <f t="shared" ca="1" si="91"/>
        <v>0</v>
      </c>
      <c r="Q142" s="74">
        <f t="shared" ca="1" si="96"/>
        <v>0</v>
      </c>
      <c r="R142" s="74">
        <f t="shared" ca="1" si="96"/>
        <v>0</v>
      </c>
      <c r="S142" s="74">
        <f t="shared" ca="1" si="96"/>
        <v>0</v>
      </c>
      <c r="T142" s="74">
        <f t="shared" ca="1" si="93"/>
        <v>0</v>
      </c>
      <c r="U142" s="74">
        <f t="shared" ca="1" si="94"/>
        <v>0</v>
      </c>
    </row>
    <row r="143" spans="1:21" ht="18.75" hidden="1" x14ac:dyDescent="0.25">
      <c r="A143" s="257"/>
      <c r="B143" s="258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3">
        <f t="shared" ref="L143:N143" ca="1" si="97">L144+L145</f>
        <v>0</v>
      </c>
      <c r="M143" s="74">
        <f t="shared" ca="1" si="97"/>
        <v>0</v>
      </c>
      <c r="N143" s="74">
        <f t="shared" ca="1" si="97"/>
        <v>0</v>
      </c>
      <c r="O143" s="74">
        <f t="shared" ca="1" si="90"/>
        <v>0</v>
      </c>
      <c r="P143" s="74">
        <f t="shared" ca="1" si="91"/>
        <v>0</v>
      </c>
      <c r="Q143" s="74">
        <f t="shared" ref="Q143:S143" ca="1" si="98">Q144+Q145</f>
        <v>0</v>
      </c>
      <c r="R143" s="74">
        <f t="shared" ca="1" si="98"/>
        <v>0</v>
      </c>
      <c r="S143" s="74">
        <f t="shared" ca="1" si="98"/>
        <v>0</v>
      </c>
      <c r="T143" s="74">
        <f t="shared" ca="1" si="93"/>
        <v>0</v>
      </c>
      <c r="U143" s="74">
        <f t="shared" ca="1" si="94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77">
        <f t="shared" si="90"/>
        <v>0</v>
      </c>
      <c r="P144" s="77">
        <f t="shared" si="91"/>
        <v>0</v>
      </c>
      <c r="Q144" s="77">
        <v>0</v>
      </c>
      <c r="R144" s="77">
        <v>0</v>
      </c>
      <c r="S144" s="77">
        <v>0</v>
      </c>
      <c r="T144" s="77">
        <f t="shared" si="93"/>
        <v>0</v>
      </c>
      <c r="U144" s="77">
        <f t="shared" si="94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3">
        <f ca="1">IFERROR(__xludf.DUMMYFUNCTION("IMPORTRANGE(""https://docs.google.com/spreadsheets/d/1-uDff_7J0KD5mKrp0Vvzr7lt3OU09vwQwhkpOPPYv2Y/edit?usp=sharing"",""งบพรบ!BQ66"")"),0)</f>
        <v>0</v>
      </c>
      <c r="M145" s="74">
        <f ca="1">IFERROR(__xludf.DUMMYFUNCTION("IMPORTRANGE(""https://docs.google.com/spreadsheets/d/1-uDff_7J0KD5mKrp0Vvzr7lt3OU09vwQwhkpOPPYv2Y/edit?usp=sharing"",""งบพรบ!BV66"")"),0)</f>
        <v>0</v>
      </c>
      <c r="N145" s="74">
        <f ca="1">IFERROR(__xludf.DUMMYFUNCTION("IMPORTRANGE(""https://docs.google.com/spreadsheets/d/1-uDff_7J0KD5mKrp0Vvzr7lt3OU09vwQwhkpOPPYv2Y/edit?usp=sharing"",""งบพรบ!BX66"")"),0)</f>
        <v>0</v>
      </c>
      <c r="O145" s="74">
        <f t="shared" ca="1" si="90"/>
        <v>0</v>
      </c>
      <c r="P145" s="74">
        <f t="shared" ca="1" si="91"/>
        <v>0</v>
      </c>
      <c r="Q145" s="74">
        <f ca="1">IFERROR(__xludf.DUMMYFUNCTION("IMPORTRANGE(""https://docs.google.com/spreadsheets/d/1ItG2mGa2ceCfYo0BwxsXqNm01IGEUdYcSSLTEv9YCik/edit?usp=sharing"",""เบิกจ่ายกองทุน!BB66"")"),0)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IFERROR(__xludf.DUMMYFUNCTION("IMPORTRANGE(""https://docs.google.com/spreadsheets/d/1ItG2mGa2ceCfYo0BwxsXqNm01IGEUdYcSSLTEv9YCik/edit?usp=sharing"",""เบิกจ่ายกองทุน!BC66"")"),0)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IFERROR(__xludf.DUMMYFUNCTION("IMPORTRANGE(""https://docs.google.com/spreadsheets/d/1ItG2mGa2ceCfYo0BwxsXqNm01IGEUdYcSSLTEv9YCik/edit?usp=sharing"",""เบิกจ่ายกองทุน!BD66"")"),0)</f>
        <v>0</v>
      </c>
      <c r="T145" s="74">
        <f t="shared" ca="1" si="93"/>
        <v>0</v>
      </c>
      <c r="U145" s="74">
        <f t="shared" ca="1" si="94"/>
        <v>0</v>
      </c>
    </row>
    <row r="146" spans="1:21" ht="18.75" hidden="1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3">
        <f t="shared" ref="L146:N146" ca="1" si="99">L147+L148</f>
        <v>0</v>
      </c>
      <c r="M146" s="74">
        <f t="shared" ca="1" si="99"/>
        <v>0</v>
      </c>
      <c r="N146" s="74">
        <f t="shared" ca="1" si="99"/>
        <v>0</v>
      </c>
      <c r="O146" s="74">
        <f t="shared" ca="1" si="90"/>
        <v>0</v>
      </c>
      <c r="P146" s="74">
        <f t="shared" ca="1" si="91"/>
        <v>0</v>
      </c>
      <c r="Q146" s="74">
        <f t="shared" ref="Q146:S146" si="100">Q147+Q148</f>
        <v>0</v>
      </c>
      <c r="R146" s="74">
        <f t="shared" si="100"/>
        <v>0</v>
      </c>
      <c r="S146" s="74">
        <f t="shared" si="100"/>
        <v>0</v>
      </c>
      <c r="T146" s="74">
        <f t="shared" si="93"/>
        <v>0</v>
      </c>
      <c r="U146" s="74">
        <f t="shared" si="94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77">
        <f t="shared" si="90"/>
        <v>0</v>
      </c>
      <c r="P147" s="77">
        <f t="shared" si="91"/>
        <v>0</v>
      </c>
      <c r="Q147" s="77">
        <v>0</v>
      </c>
      <c r="R147" s="77">
        <v>0</v>
      </c>
      <c r="S147" s="77">
        <v>0</v>
      </c>
      <c r="T147" s="77">
        <f t="shared" si="93"/>
        <v>0</v>
      </c>
      <c r="U147" s="77">
        <f t="shared" si="94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3">
        <f ca="1">IFERROR(__xludf.DUMMYFUNCTION("IMPORTRANGE(""https://docs.google.com/spreadsheets/d/1-uDff_7J0KD5mKrp0Vvzr7lt3OU09vwQwhkpOPPYv2Y/edit?usp=sharing"",""งบพรบ!BT66"")"),0)</f>
        <v>0</v>
      </c>
      <c r="M148" s="74">
        <f ca="1">IFERROR(__xludf.DUMMYFUNCTION("IMPORTRANGE(""https://docs.google.com/spreadsheets/d/1-uDff_7J0KD5mKrp0Vvzr7lt3OU09vwQwhkpOPPYv2Y/edit?usp=sharing"",""งบพรบ!BW66"")"),0)</f>
        <v>0</v>
      </c>
      <c r="N148" s="74">
        <f ca="1">IFERROR(__xludf.DUMMYFUNCTION("IMPORTRANGE(""https://docs.google.com/spreadsheets/d/1-uDff_7J0KD5mKrp0Vvzr7lt3OU09vwQwhkpOPPYv2Y/edit?usp=sharing"",""งบพรบ!BY66"")"),0)</f>
        <v>0</v>
      </c>
      <c r="O148" s="74">
        <f t="shared" ca="1" si="90"/>
        <v>0</v>
      </c>
      <c r="P148" s="74">
        <f t="shared" ca="1" si="91"/>
        <v>0</v>
      </c>
      <c r="Q148" s="74">
        <v>0</v>
      </c>
      <c r="R148" s="74">
        <v>0</v>
      </c>
      <c r="S148" s="74">
        <v>0</v>
      </c>
      <c r="T148" s="74">
        <f t="shared" si="93"/>
        <v>0</v>
      </c>
      <c r="U148" s="74">
        <f t="shared" si="94"/>
        <v>0</v>
      </c>
    </row>
    <row r="149" spans="1:21" ht="19.5" hidden="1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hidden="1" x14ac:dyDescent="0.25">
      <c r="A150" s="257"/>
      <c r="B150" s="258"/>
      <c r="C150" s="258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hidden="1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IFERROR(__xludf.DUMMYFUNCTION("IMPORTRANGE(""https://docs.google.com/spreadsheets/d/1eHaY18a8A9IcSdp1K8H6x8fbOy06t2VsZHhMHf-1x7Y/edit?usp=sharing"",""แผน!U66"")"),0)</f>
        <v>0</v>
      </c>
      <c r="J151" s="294">
        <v>0</v>
      </c>
      <c r="K151" s="74">
        <f t="shared" ref="K151:K155" ca="1" si="101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hidden="1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IFERROR(__xludf.DUMMYFUNCTION("IMPORTRANGE(""https://docs.google.com/spreadsheets/d/1eHaY18a8A9IcSdp1K8H6x8fbOy06t2VsZHhMHf-1x7Y/edit?usp=sharing"",""แผน!V66"")"),0)</f>
        <v>0</v>
      </c>
      <c r="J152" s="294">
        <v>0</v>
      </c>
      <c r="K152" s="74">
        <f t="shared" ca="1" si="101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hidden="1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IFERROR(__xludf.DUMMYFUNCTION("IMPORTRANGE(""https://docs.google.com/spreadsheets/d/1eHaY18a8A9IcSdp1K8H6x8fbOy06t2VsZHhMHf-1x7Y/edit?usp=sharing"",""แผน!W66"")"),0)</f>
        <v>0</v>
      </c>
      <c r="J153" s="294">
        <v>0</v>
      </c>
      <c r="K153" s="74">
        <f t="shared" ca="1" si="101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hidden="1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IFERROR(__xludf.DUMMYFUNCTION("IMPORTRANGE(""https://docs.google.com/spreadsheets/d/1eHaY18a8A9IcSdp1K8H6x8fbOy06t2VsZHhMHf-1x7Y/edit?usp=sharing"",""แผน!X66"")"),0)</f>
        <v>0</v>
      </c>
      <c r="J154" s="294">
        <v>0</v>
      </c>
      <c r="K154" s="74">
        <f t="shared" ca="1" si="101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hidden="1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IFERROR(__xludf.DUMMYFUNCTION("IMPORTRANGE(""https://docs.google.com/spreadsheets/d/1eHaY18a8A9IcSdp1K8H6x8fbOy06t2VsZHhMHf-1x7Y/edit?usp=sharing"",""แผน!Y66"")"),0)</f>
        <v>0</v>
      </c>
      <c r="J155" s="294">
        <v>0</v>
      </c>
      <c r="K155" s="74">
        <f t="shared" ca="1" si="101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hidden="1" x14ac:dyDescent="0.3">
      <c r="A156" s="1099" t="s">
        <v>67</v>
      </c>
      <c r="B156" s="691"/>
      <c r="C156" s="692"/>
      <c r="D156" s="691"/>
      <c r="E156" s="691"/>
      <c r="F156" s="691"/>
      <c r="G156" s="691"/>
      <c r="H156" s="691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hidden="1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2">I170</f>
        <v>0</v>
      </c>
      <c r="J157" s="256">
        <f t="shared" si="102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hidden="1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1257">
        <f t="shared" ref="L158:N158" ca="1" si="103">L159+L160</f>
        <v>0</v>
      </c>
      <c r="M158" s="264">
        <f t="shared" ca="1" si="103"/>
        <v>0</v>
      </c>
      <c r="N158" s="264">
        <f t="shared" ca="1" si="103"/>
        <v>0</v>
      </c>
      <c r="O158" s="264">
        <f t="shared" ref="O158:O166" ca="1" si="104">IF(L158&gt;0,N158*100/L158,0)</f>
        <v>0</v>
      </c>
      <c r="P158" s="264">
        <f t="shared" ref="P158:P166" ca="1" si="105">IF(M158&gt;0,N158*100/M158,0)</f>
        <v>0</v>
      </c>
      <c r="Q158" s="264">
        <f t="shared" ref="Q158:S158" ca="1" si="106">Q159+Q160</f>
        <v>0</v>
      </c>
      <c r="R158" s="264">
        <f t="shared" ca="1" si="106"/>
        <v>0</v>
      </c>
      <c r="S158" s="264">
        <f t="shared" ca="1" si="106"/>
        <v>0</v>
      </c>
      <c r="T158" s="264">
        <f t="shared" ref="T158:T166" ca="1" si="107">IF(Q158&gt;0,S158*100/Q158,0)</f>
        <v>0</v>
      </c>
      <c r="U158" s="264">
        <f t="shared" ref="U158:U166" ca="1" si="108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6">
        <f t="shared" ref="L159:N160" si="109">L162+L165</f>
        <v>0</v>
      </c>
      <c r="M159" s="77">
        <f t="shared" si="109"/>
        <v>0</v>
      </c>
      <c r="N159" s="77">
        <f t="shared" si="109"/>
        <v>0</v>
      </c>
      <c r="O159" s="77">
        <f t="shared" si="104"/>
        <v>0</v>
      </c>
      <c r="P159" s="77">
        <f t="shared" si="105"/>
        <v>0</v>
      </c>
      <c r="Q159" s="77">
        <f t="shared" ref="Q159:S160" si="110">Q162+Q165</f>
        <v>0</v>
      </c>
      <c r="R159" s="77">
        <f t="shared" si="110"/>
        <v>0</v>
      </c>
      <c r="S159" s="77">
        <f t="shared" si="110"/>
        <v>0</v>
      </c>
      <c r="T159" s="77">
        <f t="shared" si="107"/>
        <v>0</v>
      </c>
      <c r="U159" s="77">
        <f t="shared" si="108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3">
        <f t="shared" ca="1" si="109"/>
        <v>0</v>
      </c>
      <c r="M160" s="74">
        <f t="shared" ca="1" si="109"/>
        <v>0</v>
      </c>
      <c r="N160" s="74">
        <f t="shared" ca="1" si="109"/>
        <v>0</v>
      </c>
      <c r="O160" s="74">
        <f t="shared" ca="1" si="104"/>
        <v>0</v>
      </c>
      <c r="P160" s="74">
        <f t="shared" ca="1" si="105"/>
        <v>0</v>
      </c>
      <c r="Q160" s="74">
        <f t="shared" ca="1" si="110"/>
        <v>0</v>
      </c>
      <c r="R160" s="74">
        <f t="shared" ca="1" si="110"/>
        <v>0</v>
      </c>
      <c r="S160" s="74">
        <f t="shared" ca="1" si="110"/>
        <v>0</v>
      </c>
      <c r="T160" s="74">
        <f t="shared" ca="1" si="107"/>
        <v>0</v>
      </c>
      <c r="U160" s="74">
        <f t="shared" ca="1" si="108"/>
        <v>0</v>
      </c>
    </row>
    <row r="161" spans="1:21" ht="18.75" hidden="1" x14ac:dyDescent="0.25">
      <c r="A161" s="257"/>
      <c r="B161" s="258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3">
        <f t="shared" ref="L161:N161" ca="1" si="111">L162+L163</f>
        <v>0</v>
      </c>
      <c r="M161" s="74">
        <f t="shared" ca="1" si="111"/>
        <v>0</v>
      </c>
      <c r="N161" s="74">
        <f t="shared" ca="1" si="111"/>
        <v>0</v>
      </c>
      <c r="O161" s="74">
        <f t="shared" ca="1" si="104"/>
        <v>0</v>
      </c>
      <c r="P161" s="74">
        <f t="shared" ca="1" si="105"/>
        <v>0</v>
      </c>
      <c r="Q161" s="74">
        <f t="shared" ref="Q161:S161" ca="1" si="112">Q162+Q163</f>
        <v>0</v>
      </c>
      <c r="R161" s="74">
        <f t="shared" ca="1" si="112"/>
        <v>0</v>
      </c>
      <c r="S161" s="74">
        <f t="shared" ca="1" si="112"/>
        <v>0</v>
      </c>
      <c r="T161" s="74">
        <f t="shared" ca="1" si="107"/>
        <v>0</v>
      </c>
      <c r="U161" s="74">
        <f t="shared" ca="1" si="108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77">
        <f t="shared" si="104"/>
        <v>0</v>
      </c>
      <c r="P162" s="77">
        <f t="shared" si="105"/>
        <v>0</v>
      </c>
      <c r="Q162" s="77">
        <v>0</v>
      </c>
      <c r="R162" s="77">
        <v>0</v>
      </c>
      <c r="S162" s="77">
        <v>0</v>
      </c>
      <c r="T162" s="77">
        <f t="shared" si="107"/>
        <v>0</v>
      </c>
      <c r="U162" s="77">
        <f t="shared" si="108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3">
        <f ca="1">IFERROR(__xludf.DUMMYFUNCTION("IMPORTRANGE(""https://docs.google.com/spreadsheets/d/1-uDff_7J0KD5mKrp0Vvzr7lt3OU09vwQwhkpOPPYv2Y/edit?usp=sharing"",""งบพรบ!CA66"")"),0)</f>
        <v>0</v>
      </c>
      <c r="M163" s="74">
        <f ca="1">IFERROR(__xludf.DUMMYFUNCTION("IMPORTRANGE(""https://docs.google.com/spreadsheets/d/1-uDff_7J0KD5mKrp0Vvzr7lt3OU09vwQwhkpOPPYv2Y/edit?usp=sharing"",""งบพรบ!CF66"")"),0)</f>
        <v>0</v>
      </c>
      <c r="N163" s="74">
        <f ca="1">IFERROR(__xludf.DUMMYFUNCTION("IMPORTRANGE(""https://docs.google.com/spreadsheets/d/1-uDff_7J0KD5mKrp0Vvzr7lt3OU09vwQwhkpOPPYv2Y/edit?usp=sharing"",""งบพรบ!CH66"")"),0)</f>
        <v>0</v>
      </c>
      <c r="O163" s="74">
        <f t="shared" ca="1" si="104"/>
        <v>0</v>
      </c>
      <c r="P163" s="74">
        <f t="shared" ca="1" si="105"/>
        <v>0</v>
      </c>
      <c r="Q163" s="74">
        <f ca="1">IFERROR(__xludf.DUMMYFUNCTION("IMPORTRANGE(""https://docs.google.com/spreadsheets/d/1ItG2mGa2ceCfYo0BwxsXqNm01IGEUdYcSSLTEv9YCik/edit?usp=sharing"",""เบิกจ่ายกองทุน!AG66"")"),0)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IFERROR(__xludf.DUMMYFUNCTION("IMPORTRANGE(""https://docs.google.com/spreadsheets/d/1ItG2mGa2ceCfYo0BwxsXqNm01IGEUdYcSSLTEv9YCik/edit?usp=sharing"",""เบิกจ่ายกองทุน!AH66"")"),0)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IFERROR(__xludf.DUMMYFUNCTION("IMPORTRANGE(""https://docs.google.com/spreadsheets/d/1ItG2mGa2ceCfYo0BwxsXqNm01IGEUdYcSSLTEv9YCik/edit?usp=sharing"",""เบิกจ่ายกองทุน!AI66"")"),0)</f>
        <v>0</v>
      </c>
      <c r="T163" s="74">
        <f t="shared" ca="1" si="107"/>
        <v>0</v>
      </c>
      <c r="U163" s="74">
        <f t="shared" ca="1" si="108"/>
        <v>0</v>
      </c>
    </row>
    <row r="164" spans="1:21" ht="18.75" hidden="1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3">
        <f t="shared" ref="L164:N164" ca="1" si="113">L165+L166</f>
        <v>0</v>
      </c>
      <c r="M164" s="74">
        <f t="shared" ca="1" si="113"/>
        <v>0</v>
      </c>
      <c r="N164" s="74">
        <f t="shared" ca="1" si="113"/>
        <v>0</v>
      </c>
      <c r="O164" s="74">
        <f t="shared" ca="1" si="104"/>
        <v>0</v>
      </c>
      <c r="P164" s="74">
        <f t="shared" ca="1" si="105"/>
        <v>0</v>
      </c>
      <c r="Q164" s="74">
        <f t="shared" ref="Q164:S164" si="114">Q165+Q166</f>
        <v>0</v>
      </c>
      <c r="R164" s="74">
        <f t="shared" si="114"/>
        <v>0</v>
      </c>
      <c r="S164" s="74">
        <f t="shared" si="114"/>
        <v>0</v>
      </c>
      <c r="T164" s="74">
        <f t="shared" si="107"/>
        <v>0</v>
      </c>
      <c r="U164" s="74">
        <f t="shared" si="108"/>
        <v>0</v>
      </c>
    </row>
    <row r="165" spans="1:21" ht="18.75" hidden="1" x14ac:dyDescent="0.25">
      <c r="A165" s="257"/>
      <c r="B165" s="258"/>
      <c r="C165" s="258"/>
      <c r="D165" s="258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77">
        <f t="shared" si="104"/>
        <v>0</v>
      </c>
      <c r="P165" s="77">
        <f t="shared" si="105"/>
        <v>0</v>
      </c>
      <c r="Q165" s="77">
        <v>0</v>
      </c>
      <c r="R165" s="77">
        <v>0</v>
      </c>
      <c r="S165" s="77">
        <v>0</v>
      </c>
      <c r="T165" s="77">
        <f t="shared" si="107"/>
        <v>0</v>
      </c>
      <c r="U165" s="77">
        <f t="shared" si="108"/>
        <v>0</v>
      </c>
    </row>
    <row r="166" spans="1:21" ht="18.75" hidden="1" x14ac:dyDescent="0.25">
      <c r="A166" s="257"/>
      <c r="B166" s="258"/>
      <c r="C166" s="258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3">
        <f ca="1">IFERROR(__xludf.DUMMYFUNCTION("IMPORTRANGE(""https://docs.google.com/spreadsheets/d/1-uDff_7J0KD5mKrp0Vvzr7lt3OU09vwQwhkpOPPYv2Y/edit?usp=sharing"",""งบพรบ!CD66"")"),0)</f>
        <v>0</v>
      </c>
      <c r="M166" s="74">
        <f ca="1">IFERROR(__xludf.DUMMYFUNCTION("IMPORTRANGE(""https://docs.google.com/spreadsheets/d/1-uDff_7J0KD5mKrp0Vvzr7lt3OU09vwQwhkpOPPYv2Y/edit?usp=sharing"",""งบพรบ!CG66"")"),0)</f>
        <v>0</v>
      </c>
      <c r="N166" s="74">
        <f ca="1">IFERROR(__xludf.DUMMYFUNCTION("IMPORTRANGE(""https://docs.google.com/spreadsheets/d/1-uDff_7J0KD5mKrp0Vvzr7lt3OU09vwQwhkpOPPYv2Y/edit?usp=sharing"",""งบพรบ!CI66"")"),0)</f>
        <v>0</v>
      </c>
      <c r="O166" s="74">
        <f t="shared" ca="1" si="104"/>
        <v>0</v>
      </c>
      <c r="P166" s="74">
        <f t="shared" ca="1" si="105"/>
        <v>0</v>
      </c>
      <c r="Q166" s="74">
        <v>0</v>
      </c>
      <c r="R166" s="74">
        <v>0</v>
      </c>
      <c r="S166" s="74">
        <v>0</v>
      </c>
      <c r="T166" s="74">
        <f t="shared" si="107"/>
        <v>0</v>
      </c>
      <c r="U166" s="74">
        <f t="shared" si="108"/>
        <v>0</v>
      </c>
    </row>
    <row r="167" spans="1:21" ht="19.5" hidden="1" x14ac:dyDescent="0.3">
      <c r="A167" s="276"/>
      <c r="B167" s="277"/>
      <c r="C167" s="259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hidden="1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IFERROR(__xludf.DUMMYFUNCTION("IMPORTRANGE(""https://docs.google.com/spreadsheets/d/1eHaY18a8A9IcSdp1K8H6x8fbOy06t2VsZHhMHf-1x7Y/edit?usp=sharing"",""แผน!Z66"")"),0)</f>
        <v>0</v>
      </c>
      <c r="J168" s="294">
        <v>0</v>
      </c>
      <c r="K168" s="74">
        <f t="shared" ref="K168:K170" ca="1" si="115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IFERROR(__xludf.DUMMYFUNCTION("IMPORTRANGE(""https://docs.google.com/spreadsheets/d/1eHaY18a8A9IcSdp1K8H6x8fbOy06t2VsZHhMHf-1x7Y/edit?usp=sharing"",""แผน!Z66"")"),0)</f>
        <v>0</v>
      </c>
      <c r="J169" s="910">
        <v>0</v>
      </c>
      <c r="K169" s="77">
        <f t="shared" ca="1" si="115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IFERROR(__xludf.DUMMYFUNCTION("IMPORTRANGE(""https://docs.google.com/spreadsheets/d/1eHaY18a8A9IcSdp1K8H6x8fbOy06t2VsZHhMHf-1x7Y/edit?usp=sharing"",""แผน!Z66"")"),0)</f>
        <v>0</v>
      </c>
      <c r="J170" s="999">
        <v>0</v>
      </c>
      <c r="K170" s="1000">
        <f t="shared" ca="1" si="115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6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302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303" t="s">
        <v>35</v>
      </c>
      <c r="I173" s="1126">
        <f t="shared" ref="I173:J173" ca="1" si="116">I184+I185</f>
        <v>7</v>
      </c>
      <c r="J173" s="1126">
        <f t="shared" si="116"/>
        <v>7</v>
      </c>
      <c r="K173" s="1127">
        <f ca="1">IF(I173&gt;0,J173*100/I173,0)</f>
        <v>100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1257">
        <f t="shared" ref="L174:N174" ca="1" si="117">L175+L176</f>
        <v>19590</v>
      </c>
      <c r="M174" s="264">
        <f t="shared" ca="1" si="117"/>
        <v>30100</v>
      </c>
      <c r="N174" s="264">
        <f t="shared" ca="1" si="117"/>
        <v>16830</v>
      </c>
      <c r="O174" s="264">
        <f t="shared" ref="O174:O182" ca="1" si="118">IF(L174&gt;0,N174*100/L174,0)</f>
        <v>85.911179173047472</v>
      </c>
      <c r="P174" s="264">
        <f t="shared" ref="P174:P182" ca="1" si="119">IF(M174&gt;0,N174*100/M174,0)</f>
        <v>55.91362126245847</v>
      </c>
      <c r="Q174" s="264">
        <f t="shared" ref="Q174:S174" ca="1" si="120">Q175+Q176</f>
        <v>0</v>
      </c>
      <c r="R174" s="264">
        <f t="shared" ca="1" si="120"/>
        <v>0</v>
      </c>
      <c r="S174" s="264">
        <f t="shared" ca="1" si="120"/>
        <v>0</v>
      </c>
      <c r="T174" s="264">
        <f t="shared" ref="T174:T182" ca="1" si="121">IF(Q174&gt;0,S174*100/Q174,0)</f>
        <v>0</v>
      </c>
      <c r="U174" s="264">
        <f t="shared" ref="U174:U182" ca="1" si="122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6">
        <f t="shared" ref="L175:N176" si="123">L178+L181</f>
        <v>0</v>
      </c>
      <c r="M175" s="77">
        <f t="shared" si="123"/>
        <v>0</v>
      </c>
      <c r="N175" s="77">
        <f t="shared" si="123"/>
        <v>0</v>
      </c>
      <c r="O175" s="77">
        <f t="shared" si="118"/>
        <v>0</v>
      </c>
      <c r="P175" s="77">
        <f t="shared" si="119"/>
        <v>0</v>
      </c>
      <c r="Q175" s="77">
        <f t="shared" ref="Q175:S176" si="124">Q178+Q181</f>
        <v>0</v>
      </c>
      <c r="R175" s="77">
        <f t="shared" si="124"/>
        <v>0</v>
      </c>
      <c r="S175" s="77">
        <f t="shared" si="124"/>
        <v>0</v>
      </c>
      <c r="T175" s="77">
        <f t="shared" si="121"/>
        <v>0</v>
      </c>
      <c r="U175" s="77">
        <f t="shared" si="122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3">
        <f t="shared" ca="1" si="123"/>
        <v>19590</v>
      </c>
      <c r="M176" s="74">
        <f t="shared" ca="1" si="123"/>
        <v>30100</v>
      </c>
      <c r="N176" s="74">
        <f t="shared" ca="1" si="123"/>
        <v>16830</v>
      </c>
      <c r="O176" s="74">
        <f t="shared" ca="1" si="118"/>
        <v>85.911179173047472</v>
      </c>
      <c r="P176" s="74">
        <f t="shared" ca="1" si="119"/>
        <v>55.91362126245847</v>
      </c>
      <c r="Q176" s="74">
        <f t="shared" ca="1" si="124"/>
        <v>0</v>
      </c>
      <c r="R176" s="74">
        <f t="shared" ca="1" si="124"/>
        <v>0</v>
      </c>
      <c r="S176" s="74">
        <f t="shared" ca="1" si="124"/>
        <v>0</v>
      </c>
      <c r="T176" s="74">
        <f t="shared" ca="1" si="121"/>
        <v>0</v>
      </c>
      <c r="U176" s="74">
        <f t="shared" ca="1" si="122"/>
        <v>0</v>
      </c>
    </row>
    <row r="177" spans="1:21" ht="18.75" x14ac:dyDescent="0.25">
      <c r="A177" s="257"/>
      <c r="B177" s="258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3">
        <f t="shared" ref="L177:N177" ca="1" si="125">L178+L179</f>
        <v>19590</v>
      </c>
      <c r="M177" s="74">
        <f t="shared" ca="1" si="125"/>
        <v>30100</v>
      </c>
      <c r="N177" s="74">
        <f t="shared" ca="1" si="125"/>
        <v>16830</v>
      </c>
      <c r="O177" s="74">
        <f t="shared" ca="1" si="118"/>
        <v>85.911179173047472</v>
      </c>
      <c r="P177" s="74">
        <f t="shared" ca="1" si="119"/>
        <v>55.91362126245847</v>
      </c>
      <c r="Q177" s="74">
        <f t="shared" ref="Q177:S177" ca="1" si="126">Q178+Q179</f>
        <v>0</v>
      </c>
      <c r="R177" s="74">
        <f t="shared" ca="1" si="126"/>
        <v>0</v>
      </c>
      <c r="S177" s="74">
        <f t="shared" ca="1" si="126"/>
        <v>0</v>
      </c>
      <c r="T177" s="74">
        <f t="shared" ca="1" si="121"/>
        <v>0</v>
      </c>
      <c r="U177" s="74">
        <f t="shared" ca="1" si="122"/>
        <v>0</v>
      </c>
    </row>
    <row r="178" spans="1:21" ht="18.75" hidden="1" x14ac:dyDescent="0.25">
      <c r="A178" s="257"/>
      <c r="B178" s="258"/>
      <c r="C178" s="258"/>
      <c r="D178" s="258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77">
        <f t="shared" si="118"/>
        <v>0</v>
      </c>
      <c r="P178" s="77">
        <f t="shared" si="119"/>
        <v>0</v>
      </c>
      <c r="Q178" s="77">
        <v>0</v>
      </c>
      <c r="R178" s="77">
        <v>0</v>
      </c>
      <c r="S178" s="77">
        <v>0</v>
      </c>
      <c r="T178" s="77">
        <f t="shared" si="121"/>
        <v>0</v>
      </c>
      <c r="U178" s="77">
        <f t="shared" si="122"/>
        <v>0</v>
      </c>
    </row>
    <row r="179" spans="1:21" ht="18.75" hidden="1" x14ac:dyDescent="0.25">
      <c r="A179" s="257"/>
      <c r="B179" s="258"/>
      <c r="C179" s="258"/>
      <c r="D179" s="258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3">
        <f ca="1">IFERROR(__xludf.DUMMYFUNCTION("IMPORTRANGE(""https://docs.google.com/spreadsheets/d/1-uDff_7J0KD5mKrp0Vvzr7lt3OU09vwQwhkpOPPYv2Y/edit?usp=sharing"",""งบพรบ!CK66"")"),19590)</f>
        <v>19590</v>
      </c>
      <c r="M179" s="74">
        <f ca="1">IFERROR(__xludf.DUMMYFUNCTION("IMPORTRANGE(""https://docs.google.com/spreadsheets/d/1-uDff_7J0KD5mKrp0Vvzr7lt3OU09vwQwhkpOPPYv2Y/edit?usp=sharing"",""งบพรบ!CP66"")"),30100)</f>
        <v>30100</v>
      </c>
      <c r="N179" s="74">
        <f ca="1">IFERROR(__xludf.DUMMYFUNCTION("IMPORTRANGE(""https://docs.google.com/spreadsheets/d/1-uDff_7J0KD5mKrp0Vvzr7lt3OU09vwQwhkpOPPYv2Y/edit?usp=sharing"",""งบพรบ!CR66"")"),16830)</f>
        <v>16830</v>
      </c>
      <c r="O179" s="74">
        <f t="shared" ca="1" si="118"/>
        <v>85.911179173047472</v>
      </c>
      <c r="P179" s="74">
        <f t="shared" ca="1" si="119"/>
        <v>55.91362126245847</v>
      </c>
      <c r="Q179" s="74">
        <f ca="1">IFERROR(__xludf.DUMMYFUNCTION("IMPORTRANGE(""https://docs.google.com/spreadsheets/d/1ItG2mGa2ceCfYo0BwxsXqNm01IGEUdYcSSLTEv9YCik/edit?usp=sharing"",""เบิกจ่ายกองทุน!BE66"")"),0)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IFERROR(__xludf.DUMMYFUNCTION("IMPORTRANGE(""https://docs.google.com/spreadsheets/d/1ItG2mGa2ceCfYo0BwxsXqNm01IGEUdYcSSLTEv9YCik/edit?usp=sharing"",""เบิกจ่ายกองทุน!BF66"")"),0)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IFERROR(__xludf.DUMMYFUNCTION("IMPORTRANGE(""https://docs.google.com/spreadsheets/d/1ItG2mGa2ceCfYo0BwxsXqNm01IGEUdYcSSLTEv9YCik/edit?usp=sharing"",""เบิกจ่ายกองทุน!BG66"")"),0)</f>
        <v>0</v>
      </c>
      <c r="T179" s="74">
        <f t="shared" ca="1" si="121"/>
        <v>0</v>
      </c>
      <c r="U179" s="74">
        <f t="shared" ca="1" si="122"/>
        <v>0</v>
      </c>
    </row>
    <row r="180" spans="1:21" ht="18.75" x14ac:dyDescent="0.25">
      <c r="A180" s="257"/>
      <c r="B180" s="258"/>
      <c r="C180" s="258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3">
        <f t="shared" ref="L180:N180" ca="1" si="127">L181+L182</f>
        <v>0</v>
      </c>
      <c r="M180" s="74">
        <f t="shared" ca="1" si="127"/>
        <v>0</v>
      </c>
      <c r="N180" s="74">
        <f t="shared" ca="1" si="127"/>
        <v>0</v>
      </c>
      <c r="O180" s="74">
        <f t="shared" ca="1" si="118"/>
        <v>0</v>
      </c>
      <c r="P180" s="74">
        <f t="shared" ca="1" si="119"/>
        <v>0</v>
      </c>
      <c r="Q180" s="74">
        <f t="shared" ref="Q180:S180" si="128">Q181+Q182</f>
        <v>0</v>
      </c>
      <c r="R180" s="74">
        <f t="shared" si="128"/>
        <v>0</v>
      </c>
      <c r="S180" s="74">
        <f t="shared" si="128"/>
        <v>0</v>
      </c>
      <c r="T180" s="74">
        <f t="shared" si="121"/>
        <v>0</v>
      </c>
      <c r="U180" s="74">
        <f t="shared" si="122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77">
        <f t="shared" si="118"/>
        <v>0</v>
      </c>
      <c r="P181" s="77">
        <f t="shared" si="119"/>
        <v>0</v>
      </c>
      <c r="Q181" s="77">
        <v>0</v>
      </c>
      <c r="R181" s="77">
        <v>0</v>
      </c>
      <c r="S181" s="77">
        <v>0</v>
      </c>
      <c r="T181" s="77">
        <f t="shared" si="121"/>
        <v>0</v>
      </c>
      <c r="U181" s="77">
        <f t="shared" si="122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3">
        <f ca="1">IFERROR(__xludf.DUMMYFUNCTION("IMPORTRANGE(""https://docs.google.com/spreadsheets/d/1-uDff_7J0KD5mKrp0Vvzr7lt3OU09vwQwhkpOPPYv2Y/edit?usp=sharing"",""งบพรบ!CN66"")"),0)</f>
        <v>0</v>
      </c>
      <c r="M182" s="74">
        <f ca="1">IFERROR(__xludf.DUMMYFUNCTION("IMPORTRANGE(""https://docs.google.com/spreadsheets/d/1-uDff_7J0KD5mKrp0Vvzr7lt3OU09vwQwhkpOPPYv2Y/edit?usp=sharing"",""งบพรบ!CQ66"")"),0)</f>
        <v>0</v>
      </c>
      <c r="N182" s="74">
        <f ca="1">IFERROR(__xludf.DUMMYFUNCTION("IMPORTRANGE(""https://docs.google.com/spreadsheets/d/1-uDff_7J0KD5mKrp0Vvzr7lt3OU09vwQwhkpOPPYv2Y/edit?usp=sharing"",""งบพรบ!CS66"")"),0)</f>
        <v>0</v>
      </c>
      <c r="O182" s="74">
        <f t="shared" ca="1" si="118"/>
        <v>0</v>
      </c>
      <c r="P182" s="74">
        <f t="shared" ca="1" si="119"/>
        <v>0</v>
      </c>
      <c r="Q182" s="74">
        <v>0</v>
      </c>
      <c r="R182" s="74">
        <v>0</v>
      </c>
      <c r="S182" s="74">
        <v>0</v>
      </c>
      <c r="T182" s="74">
        <f t="shared" si="121"/>
        <v>0</v>
      </c>
      <c r="U182" s="74">
        <f t="shared" si="122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551" t="s">
        <v>35</v>
      </c>
      <c r="I184" s="293">
        <f ca="1">IFERROR(__xludf.DUMMYFUNCTION("IMPORTRANGE(""https://docs.google.com/spreadsheets/d/1eHaY18a8A9IcSdp1K8H6x8fbOy06t2VsZHhMHf-1x7Y/edit?usp=sharing"",""แผน!AA66"")"),7)</f>
        <v>7</v>
      </c>
      <c r="J184" s="294">
        <v>7</v>
      </c>
      <c r="K184" s="74">
        <f t="shared" ref="K184:K186" ca="1" si="129">IF(I184&gt;0,J184*100/I184,0)</f>
        <v>100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921" t="s">
        <v>35</v>
      </c>
      <c r="I185" s="592">
        <v>0</v>
      </c>
      <c r="J185" s="592">
        <v>0</v>
      </c>
      <c r="K185" s="77">
        <f t="shared" si="129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303" t="s">
        <v>35</v>
      </c>
      <c r="I186" s="1126">
        <f t="shared" ref="I186:J186" ca="1" si="130">I231+I232</f>
        <v>15</v>
      </c>
      <c r="J186" s="1126">
        <f t="shared" si="130"/>
        <v>0</v>
      </c>
      <c r="K186" s="1127">
        <f t="shared" ca="1" si="129"/>
        <v>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1257">
        <f t="shared" ref="L187:N187" ca="1" si="131">L188+L189</f>
        <v>150200</v>
      </c>
      <c r="M187" s="264">
        <f t="shared" ca="1" si="131"/>
        <v>145760</v>
      </c>
      <c r="N187" s="264">
        <f t="shared" ca="1" si="131"/>
        <v>60914.6</v>
      </c>
      <c r="O187" s="264">
        <f t="shared" ref="O187:O195" ca="1" si="132">IF(L187&gt;0,N187*100/L187,0)</f>
        <v>40.555659121171772</v>
      </c>
      <c r="P187" s="264">
        <f t="shared" ref="P187:P195" ca="1" si="133">IF(M187&gt;0,N187*100/M187,0)</f>
        <v>41.791026344676183</v>
      </c>
      <c r="Q187" s="264">
        <f t="shared" ref="Q187:S187" ca="1" si="134">Q188+Q189</f>
        <v>14000</v>
      </c>
      <c r="R187" s="264">
        <f t="shared" ca="1" si="134"/>
        <v>14000</v>
      </c>
      <c r="S187" s="264">
        <f t="shared" ca="1" si="134"/>
        <v>0</v>
      </c>
      <c r="T187" s="264">
        <f t="shared" ref="T187:T195" ca="1" si="135">IF(Q187&gt;0,S187*100/Q187,0)</f>
        <v>0</v>
      </c>
      <c r="U187" s="264">
        <f t="shared" ref="U187:U195" ca="1" si="136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6">
        <f t="shared" ref="L188:N189" si="137">L191+L194</f>
        <v>0</v>
      </c>
      <c r="M188" s="77">
        <f t="shared" si="137"/>
        <v>0</v>
      </c>
      <c r="N188" s="77">
        <f t="shared" si="137"/>
        <v>0</v>
      </c>
      <c r="O188" s="77">
        <f t="shared" si="132"/>
        <v>0</v>
      </c>
      <c r="P188" s="77">
        <f t="shared" si="133"/>
        <v>0</v>
      </c>
      <c r="Q188" s="77">
        <f t="shared" ref="Q188:S189" si="138">Q191+Q194</f>
        <v>0</v>
      </c>
      <c r="R188" s="77">
        <f t="shared" si="138"/>
        <v>0</v>
      </c>
      <c r="S188" s="77">
        <f t="shared" si="138"/>
        <v>0</v>
      </c>
      <c r="T188" s="77">
        <f t="shared" si="135"/>
        <v>0</v>
      </c>
      <c r="U188" s="77">
        <f t="shared" si="136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3">
        <f t="shared" ca="1" si="137"/>
        <v>150200</v>
      </c>
      <c r="M189" s="74">
        <f t="shared" ca="1" si="137"/>
        <v>145760</v>
      </c>
      <c r="N189" s="74">
        <f t="shared" ca="1" si="137"/>
        <v>60914.6</v>
      </c>
      <c r="O189" s="74">
        <f t="shared" ca="1" si="132"/>
        <v>40.555659121171772</v>
      </c>
      <c r="P189" s="74">
        <f t="shared" ca="1" si="133"/>
        <v>41.791026344676183</v>
      </c>
      <c r="Q189" s="74">
        <f t="shared" ca="1" si="138"/>
        <v>14000</v>
      </c>
      <c r="R189" s="74">
        <f t="shared" ca="1" si="138"/>
        <v>14000</v>
      </c>
      <c r="S189" s="74">
        <f t="shared" ca="1" si="138"/>
        <v>0</v>
      </c>
      <c r="T189" s="74">
        <f t="shared" ca="1" si="135"/>
        <v>0</v>
      </c>
      <c r="U189" s="74">
        <f t="shared" ca="1" si="136"/>
        <v>0</v>
      </c>
    </row>
    <row r="190" spans="1:21" ht="18.75" x14ac:dyDescent="0.25">
      <c r="A190" s="257"/>
      <c r="B190" s="258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3">
        <f t="shared" ref="L190:N190" ca="1" si="139">L191+L192</f>
        <v>150200</v>
      </c>
      <c r="M190" s="74">
        <f t="shared" ca="1" si="139"/>
        <v>145760</v>
      </c>
      <c r="N190" s="74">
        <f t="shared" ca="1" si="139"/>
        <v>60914.6</v>
      </c>
      <c r="O190" s="74">
        <f t="shared" ca="1" si="132"/>
        <v>40.555659121171772</v>
      </c>
      <c r="P190" s="74">
        <f t="shared" ca="1" si="133"/>
        <v>41.791026344676183</v>
      </c>
      <c r="Q190" s="74">
        <f t="shared" ref="Q190:S190" ca="1" si="140">Q191+Q192</f>
        <v>14000</v>
      </c>
      <c r="R190" s="74">
        <f t="shared" ca="1" si="140"/>
        <v>14000</v>
      </c>
      <c r="S190" s="74">
        <f t="shared" ca="1" si="140"/>
        <v>0</v>
      </c>
      <c r="T190" s="74">
        <f t="shared" ca="1" si="135"/>
        <v>0</v>
      </c>
      <c r="U190" s="74">
        <f t="shared" ca="1" si="136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77">
        <f t="shared" si="132"/>
        <v>0</v>
      </c>
      <c r="P191" s="77">
        <f t="shared" si="133"/>
        <v>0</v>
      </c>
      <c r="Q191" s="77">
        <v>0</v>
      </c>
      <c r="R191" s="77">
        <v>0</v>
      </c>
      <c r="S191" s="77">
        <v>0</v>
      </c>
      <c r="T191" s="77">
        <f t="shared" si="135"/>
        <v>0</v>
      </c>
      <c r="U191" s="77">
        <f t="shared" si="136"/>
        <v>0</v>
      </c>
    </row>
    <row r="192" spans="1:21" ht="18.75" hidden="1" x14ac:dyDescent="0.25">
      <c r="A192" s="257"/>
      <c r="B192" s="258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3">
        <f ca="1">IFERROR(__xludf.DUMMYFUNCTION("IMPORTRANGE(""https://docs.google.com/spreadsheets/d/1-uDff_7J0KD5mKrp0Vvzr7lt3OU09vwQwhkpOPPYv2Y/edit?usp=sharing"",""งบพรบ!CU66"")"),150200)</f>
        <v>150200</v>
      </c>
      <c r="M192" s="74">
        <f ca="1">IFERROR(__xludf.DUMMYFUNCTION("IMPORTRANGE(""https://docs.google.com/spreadsheets/d/1-uDff_7J0KD5mKrp0Vvzr7lt3OU09vwQwhkpOPPYv2Y/edit?usp=sharing"",""งบพรบ!CZ66"")"),145760)</f>
        <v>145760</v>
      </c>
      <c r="N192" s="74">
        <f ca="1">IFERROR(__xludf.DUMMYFUNCTION("IMPORTRANGE(""https://docs.google.com/spreadsheets/d/1-uDff_7J0KD5mKrp0Vvzr7lt3OU09vwQwhkpOPPYv2Y/edit?usp=sharing"",""งบพรบ!DB66"")"),60914.6)</f>
        <v>60914.6</v>
      </c>
      <c r="O192" s="74">
        <f t="shared" ca="1" si="132"/>
        <v>40.555659121171772</v>
      </c>
      <c r="P192" s="74">
        <f t="shared" ca="1" si="133"/>
        <v>41.791026344676183</v>
      </c>
      <c r="Q192" s="74">
        <f ca="1">IFERROR(__xludf.DUMMYFUNCTION("IMPORTRANGE(""https://docs.google.com/spreadsheets/d/1ItG2mGa2ceCfYo0BwxsXqNm01IGEUdYcSSLTEv9YCik/edit?usp=sharing"",""เบิกจ่ายกองทุน!AV66"")"),14000)</f>
        <v>14000</v>
      </c>
      <c r="R192" s="74">
        <f ca="1">IFERROR(__xludf.DUMMYFUNCTION("IMPORTRANGE(""https://docs.google.com/spreadsheets/d/1ItG2mGa2ceCfYo0BwxsXqNm01IGEUdYcSSLTEv9YCik/edit?usp=sharing"",""เบิกจ่ายกองทุน!AW66"")"),14000)</f>
        <v>14000</v>
      </c>
      <c r="S192" s="74">
        <f ca="1">IFERROR(__xludf.DUMMYFUNCTION("IMPORTRANGE(""https://docs.google.com/spreadsheets/d/1ItG2mGa2ceCfYo0BwxsXqNm01IGEUdYcSSLTEv9YCik/edit?usp=sharing"",""เบิกจ่ายกองทุน!AX66"")"),0)</f>
        <v>0</v>
      </c>
      <c r="T192" s="74">
        <f t="shared" ca="1" si="135"/>
        <v>0</v>
      </c>
      <c r="U192" s="74">
        <f t="shared" ca="1" si="136"/>
        <v>0</v>
      </c>
    </row>
    <row r="193" spans="1:21" ht="18.75" x14ac:dyDescent="0.25">
      <c r="A193" s="257"/>
      <c r="B193" s="258"/>
      <c r="C193" s="258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3">
        <f t="shared" ref="L193:N193" ca="1" si="141">L194+L195</f>
        <v>0</v>
      </c>
      <c r="M193" s="74">
        <f t="shared" ca="1" si="141"/>
        <v>0</v>
      </c>
      <c r="N193" s="74">
        <f t="shared" ca="1" si="141"/>
        <v>0</v>
      </c>
      <c r="O193" s="74">
        <f t="shared" ca="1" si="132"/>
        <v>0</v>
      </c>
      <c r="P193" s="74">
        <f t="shared" ca="1" si="133"/>
        <v>0</v>
      </c>
      <c r="Q193" s="74">
        <f t="shared" ref="Q193:S193" si="142">Q194+Q195</f>
        <v>0</v>
      </c>
      <c r="R193" s="74">
        <f t="shared" si="142"/>
        <v>0</v>
      </c>
      <c r="S193" s="74">
        <f t="shared" si="142"/>
        <v>0</v>
      </c>
      <c r="T193" s="74">
        <f t="shared" si="135"/>
        <v>0</v>
      </c>
      <c r="U193" s="74">
        <f t="shared" si="136"/>
        <v>0</v>
      </c>
    </row>
    <row r="194" spans="1:21" ht="18.75" hidden="1" x14ac:dyDescent="0.25">
      <c r="A194" s="257"/>
      <c r="B194" s="258"/>
      <c r="C194" s="258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77">
        <f t="shared" si="132"/>
        <v>0</v>
      </c>
      <c r="P194" s="77">
        <f t="shared" si="133"/>
        <v>0</v>
      </c>
      <c r="Q194" s="77">
        <v>0</v>
      </c>
      <c r="R194" s="77">
        <v>0</v>
      </c>
      <c r="S194" s="77">
        <v>0</v>
      </c>
      <c r="T194" s="77">
        <f t="shared" si="135"/>
        <v>0</v>
      </c>
      <c r="U194" s="77">
        <f t="shared" si="136"/>
        <v>0</v>
      </c>
    </row>
    <row r="195" spans="1:21" ht="18.75" hidden="1" x14ac:dyDescent="0.25">
      <c r="A195" s="257"/>
      <c r="B195" s="258"/>
      <c r="C195" s="258"/>
      <c r="D195" s="258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3">
        <f ca="1">IFERROR(__xludf.DUMMYFUNCTION("IMPORTRANGE(""https://docs.google.com/spreadsheets/d/1-uDff_7J0KD5mKrp0Vvzr7lt3OU09vwQwhkpOPPYv2Y/edit?usp=sharing"",""งบพรบ!CX66"")"),0)</f>
        <v>0</v>
      </c>
      <c r="M195" s="74">
        <f ca="1">IFERROR(__xludf.DUMMYFUNCTION("IMPORTRANGE(""https://docs.google.com/spreadsheets/d/1-uDff_7J0KD5mKrp0Vvzr7lt3OU09vwQwhkpOPPYv2Y/edit?usp=sharing"",""งบพรบ!DA66"")"),0)</f>
        <v>0</v>
      </c>
      <c r="N195" s="74">
        <f ca="1">IFERROR(__xludf.DUMMYFUNCTION("IMPORTRANGE(""https://docs.google.com/spreadsheets/d/1-uDff_7J0KD5mKrp0Vvzr7lt3OU09vwQwhkpOPPYv2Y/edit?usp=sharing"",""งบพรบ!DC66"")"),0)</f>
        <v>0</v>
      </c>
      <c r="O195" s="74">
        <f t="shared" ca="1" si="132"/>
        <v>0</v>
      </c>
      <c r="P195" s="74">
        <f t="shared" ca="1" si="133"/>
        <v>0</v>
      </c>
      <c r="Q195" s="74">
        <v>0</v>
      </c>
      <c r="R195" s="74">
        <v>0</v>
      </c>
      <c r="S195" s="74">
        <v>0</v>
      </c>
      <c r="T195" s="74">
        <f t="shared" si="135"/>
        <v>0</v>
      </c>
      <c r="U195" s="74">
        <f t="shared" si="136"/>
        <v>0</v>
      </c>
    </row>
    <row r="196" spans="1:21" ht="19.5" x14ac:dyDescent="0.3">
      <c r="A196" s="553"/>
      <c r="B196" s="555"/>
      <c r="C196" s="1130" t="s">
        <v>78</v>
      </c>
      <c r="D196" s="554"/>
      <c r="E196" s="554"/>
      <c r="F196" s="554"/>
      <c r="G196" s="557"/>
      <c r="H196" s="558" t="s">
        <v>79</v>
      </c>
      <c r="I196" s="559">
        <f t="shared" ref="I196:J196" ca="1" si="143">I199</f>
        <v>4</v>
      </c>
      <c r="J196" s="559">
        <f t="shared" si="143"/>
        <v>0</v>
      </c>
      <c r="K196" s="560">
        <f ca="1">IF(I196&gt;0,J196*100/I196,0)</f>
        <v>0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58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1257">
        <f ca="1">IFERROR(__xludf.DUMMYFUNCTION("IMPORTRANGE(""https://docs.google.com/spreadsheets/d/1eHaY18a8A9IcSdp1K8H6x8fbOy06t2VsZHhMHf-1x7Y/edit?usp=sharing"",""แผน!AB66"")"),6000)</f>
        <v>6000</v>
      </c>
      <c r="M197" s="87"/>
      <c r="N197" s="923">
        <v>0</v>
      </c>
      <c r="O197" s="264">
        <f ca="1">IF(L197&gt;0,N197*100/L197,0)</f>
        <v>0</v>
      </c>
      <c r="P197" s="264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282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99" t="s">
        <v>79</v>
      </c>
      <c r="I199" s="293">
        <f ca="1">IFERROR(__xludf.DUMMYFUNCTION("IMPORTRANGE(""https://docs.google.com/spreadsheets/d/1eHaY18a8A9IcSdp1K8H6x8fbOy06t2VsZHhMHf-1x7Y/edit?usp=sharing"",""แผน!AE66"")"),4)</f>
        <v>4</v>
      </c>
      <c r="J199" s="294">
        <v>0</v>
      </c>
      <c r="K199" s="74">
        <f ca="1">IF(I199&gt;0,J199*100/I199,0)</f>
        <v>0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0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0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4">I210</f>
        <v>1</v>
      </c>
      <c r="J203" s="559">
        <f t="shared" si="144"/>
        <v>0</v>
      </c>
      <c r="K203" s="560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58"/>
      <c r="C204" s="259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1257">
        <f ca="1">L205+L206+L207+L208</f>
        <v>13000</v>
      </c>
      <c r="M204" s="87"/>
      <c r="N204" s="264">
        <f>N205+N206+N207+N208</f>
        <v>0</v>
      </c>
      <c r="O204" s="264">
        <f ca="1">IF(L204&gt;0,N204*100/L204,0)</f>
        <v>0</v>
      </c>
      <c r="P204" s="264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58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73">
        <f ca="1">IFERROR(__xludf.DUMMYFUNCTION("IMPORTRANGE(""https://docs.google.com/spreadsheets/d/1eHaY18a8A9IcSdp1K8H6x8fbOy06t2VsZHhMHf-1x7Y/edit?usp=sharing"",""แผน!AG66"")"),1000)</f>
        <v>1000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58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73">
        <f ca="1">IFERROR(__xludf.DUMMYFUNCTION("IMPORTRANGE(""https://docs.google.com/spreadsheets/d/1eHaY18a8A9IcSdp1K8H6x8fbOy06t2VsZHhMHf-1x7Y/edit?usp=sharing"",""แผน!AH66"")"),0)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58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73">
        <f ca="1">IFERROR(__xludf.DUMMYFUNCTION("IMPORTRANGE(""https://docs.google.com/spreadsheets/d/1eHaY18a8A9IcSdp1K8H6x8fbOy06t2VsZHhMHf-1x7Y/edit?usp=sharing"",""แผน!AI66"")"),8000)</f>
        <v>8000</v>
      </c>
      <c r="M207" s="87"/>
      <c r="N207" s="924">
        <v>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58"/>
      <c r="D208" s="267" t="s">
        <v>89</v>
      </c>
      <c r="E208" s="258"/>
      <c r="F208" s="258"/>
      <c r="G208" s="261"/>
      <c r="H208" s="292" t="s">
        <v>14</v>
      </c>
      <c r="I208" s="263"/>
      <c r="J208" s="263"/>
      <c r="K208" s="87"/>
      <c r="L208" s="73">
        <f ca="1">IFERROR(__xludf.DUMMYFUNCTION("IMPORTRANGE(""https://docs.google.com/spreadsheets/d/1eHaY18a8A9IcSdp1K8H6x8fbOy06t2VsZHhMHf-1x7Y/edit?usp=sharing"",""แผน!AJ66"")"),4000)</f>
        <v>4000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282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3" t="s">
        <v>85</v>
      </c>
      <c r="I210" s="293">
        <f ca="1">IFERROR(__xludf.DUMMYFUNCTION("IMPORTRANGE(""https://docs.google.com/spreadsheets/d/1eHaY18a8A9IcSdp1K8H6x8fbOy06t2VsZHhMHf-1x7Y/edit?usp=sharing"",""แผน!AK66"")"),1)</f>
        <v>1</v>
      </c>
      <c r="J210" s="294">
        <v>0</v>
      </c>
      <c r="K210" s="768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282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3" t="s">
        <v>85</v>
      </c>
      <c r="I212" s="293">
        <f ca="1">IFERROR(__xludf.DUMMYFUNCTION("IMPORTRANGE(""https://docs.google.com/spreadsheets/d/1eHaY18a8A9IcSdp1K8H6x8fbOy06t2VsZHhMHf-1x7Y/edit?usp=sharing"",""แผน!JX66"")"),1)</f>
        <v>1</v>
      </c>
      <c r="J212" s="294">
        <v>0</v>
      </c>
      <c r="K212" s="768">
        <f t="shared" ref="K212:K214" ca="1" si="145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IFERROR(__xludf.DUMMYFUNCTION("IMPORTRANGE(""https://docs.google.com/spreadsheets/d/1eHaY18a8A9IcSdp1K8H6x8fbOy06t2VsZHhMHf-1x7Y/edit?usp=sharing"",""แผน!JY66"")"),0)</f>
        <v>0</v>
      </c>
      <c r="J213" s="294">
        <v>0</v>
      </c>
      <c r="K213" s="768">
        <f t="shared" ca="1" si="145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x14ac:dyDescent="0.3">
      <c r="A214" s="553"/>
      <c r="B214" s="555"/>
      <c r="C214" s="1130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6">I221</f>
        <v>0</v>
      </c>
      <c r="J214" s="559">
        <f t="shared" si="146"/>
        <v>0</v>
      </c>
      <c r="K214" s="560">
        <f t="shared" ca="1" si="145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x14ac:dyDescent="0.3">
      <c r="A215" s="257"/>
      <c r="B215" s="258"/>
      <c r="C215" s="259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1257">
        <f ca="1">L216+L217+L218</f>
        <v>0</v>
      </c>
      <c r="M215" s="87"/>
      <c r="N215" s="264">
        <f>N216+N217+N218</f>
        <v>0</v>
      </c>
      <c r="O215" s="264">
        <f ca="1">IF(L215&gt;0,N215*100/L215,0)</f>
        <v>0</v>
      </c>
      <c r="P215" s="264">
        <f>IF(M215&gt;0,N215*100/M215,0)</f>
        <v>0</v>
      </c>
      <c r="Q215" s="87"/>
      <c r="R215" s="87"/>
      <c r="S215" s="87"/>
      <c r="T215" s="87"/>
      <c r="U215" s="87"/>
    </row>
    <row r="216" spans="1:21" ht="18.75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3">
        <f ca="1">IFERROR(__xludf.DUMMYFUNCTION("IMPORTRANGE(""https://docs.google.com/spreadsheets/d/1eHaY18a8A9IcSdp1K8H6x8fbOy06t2VsZHhMHf-1x7Y/edit?usp=sharing"",""แผน!AM66"")"),0)</f>
        <v>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3">
        <f ca="1">IFERROR(__xludf.DUMMYFUNCTION("IMPORTRANGE(""https://docs.google.com/spreadsheets/d/1eHaY18a8A9IcSdp1K8H6x8fbOy06t2VsZHhMHf-1x7Y/edit?usp=sharing"",""แผน!AN66"")"),0)</f>
        <v>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3">
        <f ca="1">IFERROR(__xludf.DUMMYFUNCTION("IMPORTRANGE(""https://docs.google.com/spreadsheets/d/1eHaY18a8A9IcSdp1K8H6x8fbOy06t2VsZHhMHf-1x7Y/edit?usp=sharing"",""แผน!AO66"")"),0)</f>
        <v>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282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3" t="s">
        <v>85</v>
      </c>
      <c r="I220" s="293">
        <f ca="1">IFERROR(__xludf.DUMMYFUNCTION("IMPORTRANGE(""https://docs.google.com/spreadsheets/d/1eHaY18a8A9IcSdp1K8H6x8fbOy06t2VsZHhMHf-1x7Y/edit?usp=sharing"",""แผน!AP66"")"),0)</f>
        <v>0</v>
      </c>
      <c r="J220" s="294">
        <v>0</v>
      </c>
      <c r="K220" s="74">
        <f t="shared" ref="K220:K222" ca="1" si="147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IFERROR(__xludf.DUMMYFUNCTION("IMPORTRANGE(""https://docs.google.com/spreadsheets/d/1eHaY18a8A9IcSdp1K8H6x8fbOy06t2VsZHhMHf-1x7Y/edit?usp=sharing"",""แผน!AP66"")"),0)</f>
        <v>0</v>
      </c>
      <c r="J221" s="294">
        <v>0</v>
      </c>
      <c r="K221" s="74">
        <f t="shared" ca="1" si="147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30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8">I230</f>
        <v>6400</v>
      </c>
      <c r="J222" s="559">
        <f t="shared" si="148"/>
        <v>0</v>
      </c>
      <c r="K222" s="560">
        <f t="shared" ca="1" si="147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58"/>
      <c r="C223" s="259" t="s">
        <v>18</v>
      </c>
      <c r="D223" s="112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1257">
        <f ca="1">L224+L225+L226</f>
        <v>4500</v>
      </c>
      <c r="M223" s="87"/>
      <c r="N223" s="264">
        <f>N224+N225+N226</f>
        <v>0</v>
      </c>
      <c r="O223" s="264">
        <f ca="1">IF(L223&gt;0,N223*100/L223,0)</f>
        <v>0</v>
      </c>
      <c r="P223" s="264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58"/>
      <c r="D224" s="398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3">
        <f ca="1">IFERROR(__xludf.DUMMYFUNCTION("IMPORTRANGE(""https://docs.google.com/spreadsheets/d/1eHaY18a8A9IcSdp1K8H6x8fbOy06t2VsZHhMHf-1x7Y/edit?usp=sharing"",""แผน!AR66"")"),3000)</f>
        <v>3000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3">
        <f ca="1">IFERROR(__xludf.DUMMYFUNCTION("IMPORTRANGE(""https://docs.google.com/spreadsheets/d/1eHaY18a8A9IcSdp1K8H6x8fbOy06t2VsZHhMHf-1x7Y/edit?usp=sharing"",""แผน!AS66"")"),1500)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3">
        <f ca="1">IFERROR(__xludf.DUMMYFUNCTION("IMPORTRANGE(""https://docs.google.com/spreadsheets/d/1eHaY18a8A9IcSdp1K8H6x8fbOy06t2VsZHhMHf-1x7Y/edit?usp=sharing"",""แผน!AT66"")"),0)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282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282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99" t="s">
        <v>99</v>
      </c>
      <c r="I229" s="293">
        <f ca="1">IFERROR(__xludf.DUMMYFUNCTION("IMPORTRANGE(""https://docs.google.com/spreadsheets/d/1eHaY18a8A9IcSdp1K8H6x8fbOy06t2VsZHhMHf-1x7Y/edit?usp=sharing"",""แผน!AV66"")"),6400)</f>
        <v>6400</v>
      </c>
      <c r="J229" s="294">
        <v>0</v>
      </c>
      <c r="K229" s="768">
        <f t="shared" ref="K229:K232" ca="1" si="149">IF(I229&gt;0,J229*100/I229,0)</f>
        <v>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99" t="s">
        <v>99</v>
      </c>
      <c r="I230" s="293">
        <f ca="1">IFERROR(__xludf.DUMMYFUNCTION("IMPORTRANGE(""https://docs.google.com/spreadsheets/d/1eHaY18a8A9IcSdp1K8H6x8fbOy06t2VsZHhMHf-1x7Y/edit?usp=sharing"",""แผน!AV66"")"),6400)</f>
        <v>6400</v>
      </c>
      <c r="J230" s="294">
        <v>0</v>
      </c>
      <c r="K230" s="768">
        <f t="shared" ca="1" si="149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99" t="s">
        <v>35</v>
      </c>
      <c r="I231" s="293">
        <f ca="1">IFERROR(__xludf.DUMMYFUNCTION("IMPORTRANGE(""https://docs.google.com/spreadsheets/d/1eHaY18a8A9IcSdp1K8H6x8fbOy06t2VsZHhMHf-1x7Y/edit?usp=sharing"",""แผน!AU66"")"),0)</f>
        <v>0</v>
      </c>
      <c r="J231" s="294">
        <v>0</v>
      </c>
      <c r="K231" s="768">
        <f t="shared" ca="1" si="149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925"/>
      <c r="B232" s="926"/>
      <c r="C232" s="927" t="s">
        <v>105</v>
      </c>
      <c r="D232" s="928"/>
      <c r="E232" s="928"/>
      <c r="F232" s="928"/>
      <c r="G232" s="929"/>
      <c r="H232" s="930" t="s">
        <v>35</v>
      </c>
      <c r="I232" s="931">
        <f t="shared" ref="I232:J232" ca="1" si="150">I243+I254</f>
        <v>15</v>
      </c>
      <c r="J232" s="931">
        <f t="shared" si="150"/>
        <v>0</v>
      </c>
      <c r="K232" s="932">
        <f t="shared" ca="1" si="149"/>
        <v>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880"/>
      <c r="B233" s="838"/>
      <c r="C233" s="933" t="s">
        <v>18</v>
      </c>
      <c r="D233" s="934" t="s">
        <v>19</v>
      </c>
      <c r="E233" s="838"/>
      <c r="F233" s="838"/>
      <c r="G233" s="839"/>
      <c r="H233" s="703" t="s">
        <v>14</v>
      </c>
      <c r="I233" s="881"/>
      <c r="J233" s="881"/>
      <c r="K233" s="882"/>
      <c r="L233" s="1281">
        <f t="shared" ref="L233:L237" ca="1" si="151">L244+L255</f>
        <v>49500</v>
      </c>
      <c r="M233" s="87"/>
      <c r="N233" s="1258">
        <f t="shared" ref="N233:N237" si="152">N244+N255</f>
        <v>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880"/>
      <c r="B234" s="920"/>
      <c r="C234" s="838"/>
      <c r="D234" s="1134" t="s">
        <v>299</v>
      </c>
      <c r="E234" s="838"/>
      <c r="F234" s="838"/>
      <c r="G234" s="839"/>
      <c r="H234" s="273" t="s">
        <v>14</v>
      </c>
      <c r="I234" s="881"/>
      <c r="J234" s="881"/>
      <c r="K234" s="882"/>
      <c r="L234" s="76">
        <f t="shared" ca="1" si="151"/>
        <v>8000</v>
      </c>
      <c r="M234" s="87"/>
      <c r="N234" s="77">
        <f t="shared" si="152"/>
        <v>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919"/>
      <c r="B235" s="920"/>
      <c r="C235" s="920"/>
      <c r="D235" s="749" t="s">
        <v>87</v>
      </c>
      <c r="E235" s="838"/>
      <c r="F235" s="838"/>
      <c r="G235" s="839"/>
      <c r="H235" s="273" t="s">
        <v>14</v>
      </c>
      <c r="I235" s="841"/>
      <c r="J235" s="841"/>
      <c r="K235" s="842"/>
      <c r="L235" s="76">
        <f t="shared" ca="1" si="151"/>
        <v>2000</v>
      </c>
      <c r="M235" s="87"/>
      <c r="N235" s="77">
        <f t="shared" si="152"/>
        <v>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919"/>
      <c r="B236" s="920"/>
      <c r="C236" s="920"/>
      <c r="D236" s="749" t="s">
        <v>88</v>
      </c>
      <c r="E236" s="838"/>
      <c r="F236" s="838"/>
      <c r="G236" s="839"/>
      <c r="H236" s="273" t="s">
        <v>14</v>
      </c>
      <c r="I236" s="841"/>
      <c r="J236" s="841"/>
      <c r="K236" s="842"/>
      <c r="L236" s="76">
        <f t="shared" ca="1" si="151"/>
        <v>24000</v>
      </c>
      <c r="M236" s="87"/>
      <c r="N236" s="77">
        <f t="shared" si="152"/>
        <v>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919"/>
      <c r="B237" s="920"/>
      <c r="C237" s="920"/>
      <c r="D237" s="267" t="s">
        <v>89</v>
      </c>
      <c r="E237" s="838"/>
      <c r="F237" s="838"/>
      <c r="G237" s="839"/>
      <c r="H237" s="273" t="s">
        <v>14</v>
      </c>
      <c r="I237" s="841"/>
      <c r="J237" s="841"/>
      <c r="K237" s="842"/>
      <c r="L237" s="76">
        <f t="shared" ca="1" si="151"/>
        <v>15500</v>
      </c>
      <c r="M237" s="87"/>
      <c r="N237" s="77">
        <f t="shared" si="152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937"/>
      <c r="B238" s="938"/>
      <c r="C238" s="939" t="s">
        <v>18</v>
      </c>
      <c r="D238" s="940" t="s">
        <v>38</v>
      </c>
      <c r="E238" s="941"/>
      <c r="F238" s="941"/>
      <c r="G238" s="942"/>
      <c r="H238" s="943"/>
      <c r="I238" s="881"/>
      <c r="J238" s="841"/>
      <c r="K238" s="842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937"/>
      <c r="B239" s="938"/>
      <c r="C239" s="938"/>
      <c r="D239" s="311" t="s">
        <v>108</v>
      </c>
      <c r="E239" s="944"/>
      <c r="F239" s="944"/>
      <c r="G239" s="943"/>
      <c r="H239" s="945" t="s">
        <v>35</v>
      </c>
      <c r="I239" s="592">
        <f t="shared" ref="I239:J239" ca="1" si="153">I250+I261</f>
        <v>15</v>
      </c>
      <c r="J239" s="592">
        <f t="shared" si="153"/>
        <v>0</v>
      </c>
      <c r="K239" s="77">
        <f ca="1">IF(I239&gt;0,J239*100/I239,0)</f>
        <v>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937"/>
      <c r="B240" s="938"/>
      <c r="C240" s="938"/>
      <c r="D240" s="946" t="s">
        <v>43</v>
      </c>
      <c r="E240" s="944"/>
      <c r="F240" s="944"/>
      <c r="G240" s="943"/>
      <c r="H240" s="943"/>
      <c r="I240" s="841"/>
      <c r="J240" s="841"/>
      <c r="K240" s="842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937"/>
      <c r="B241" s="938"/>
      <c r="C241" s="938"/>
      <c r="D241" s="938"/>
      <c r="E241" s="947" t="s">
        <v>109</v>
      </c>
      <c r="F241" s="944"/>
      <c r="G241" s="943"/>
      <c r="H241" s="945" t="s">
        <v>35</v>
      </c>
      <c r="I241" s="592">
        <f t="shared" ref="I241:J242" ca="1" si="154">I252+I263</f>
        <v>15</v>
      </c>
      <c r="J241" s="592">
        <f t="shared" si="154"/>
        <v>0</v>
      </c>
      <c r="K241" s="77">
        <f t="shared" ref="K241:K243" ca="1" si="155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937"/>
      <c r="B242" s="938"/>
      <c r="C242" s="938"/>
      <c r="D242" s="938"/>
      <c r="E242" s="947" t="s">
        <v>110</v>
      </c>
      <c r="F242" s="944"/>
      <c r="G242" s="943"/>
      <c r="H242" s="945" t="s">
        <v>61</v>
      </c>
      <c r="I242" s="592">
        <f t="shared" ca="1" si="154"/>
        <v>1</v>
      </c>
      <c r="J242" s="592">
        <f t="shared" si="154"/>
        <v>0</v>
      </c>
      <c r="K242" s="77">
        <f t="shared" ca="1" si="155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x14ac:dyDescent="0.3">
      <c r="A243" s="382"/>
      <c r="B243" s="383"/>
      <c r="C243" s="384" t="s">
        <v>324</v>
      </c>
      <c r="D243" s="385"/>
      <c r="E243" s="385"/>
      <c r="F243" s="385"/>
      <c r="G243" s="386"/>
      <c r="H243" s="387" t="s">
        <v>35</v>
      </c>
      <c r="I243" s="388">
        <f t="shared" ref="I243:J243" ca="1" si="156">I250</f>
        <v>15</v>
      </c>
      <c r="J243" s="388">
        <f t="shared" si="156"/>
        <v>0</v>
      </c>
      <c r="K243" s="389">
        <f t="shared" ca="1" si="155"/>
        <v>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x14ac:dyDescent="0.3">
      <c r="A244" s="209"/>
      <c r="B244" s="67"/>
      <c r="C244" s="210" t="s">
        <v>18</v>
      </c>
      <c r="D244" s="879" t="s">
        <v>19</v>
      </c>
      <c r="E244" s="67"/>
      <c r="F244" s="67"/>
      <c r="G244" s="69"/>
      <c r="H244" s="394" t="s">
        <v>14</v>
      </c>
      <c r="I244" s="219"/>
      <c r="J244" s="219"/>
      <c r="K244" s="220"/>
      <c r="L244" s="1257">
        <f ca="1">L245+L246+L247+L248</f>
        <v>49500</v>
      </c>
      <c r="M244" s="87"/>
      <c r="N244" s="264">
        <f>N245+N246+N247+N248</f>
        <v>0</v>
      </c>
      <c r="O244" s="264">
        <f ca="1">IF(L244&gt;0,N244*100/L244,0)</f>
        <v>0</v>
      </c>
      <c r="P244" s="264">
        <f>IF(M244&gt;0,N244*100/M244,0)</f>
        <v>0</v>
      </c>
      <c r="Q244" s="87"/>
      <c r="R244" s="87"/>
      <c r="S244" s="87"/>
      <c r="T244" s="87"/>
      <c r="U244" s="87"/>
    </row>
    <row r="245" spans="1:21" ht="18.75" x14ac:dyDescent="0.25">
      <c r="A245" s="209"/>
      <c r="B245" s="381"/>
      <c r="C245" s="67"/>
      <c r="D245" s="1134" t="s">
        <v>299</v>
      </c>
      <c r="E245" s="67"/>
      <c r="F245" s="67"/>
      <c r="G245" s="69"/>
      <c r="H245" s="218" t="s">
        <v>14</v>
      </c>
      <c r="I245" s="219"/>
      <c r="J245" s="219"/>
      <c r="K245" s="220"/>
      <c r="L245" s="73">
        <f ca="1">IFERROR(__xludf.DUMMYFUNCTION("IMPORTRANGE(""https://docs.google.com/spreadsheets/d/1eHaY18a8A9IcSdp1K8H6x8fbOy06t2VsZHhMHf-1x7Y/edit?usp=sharing"",""แผน!AX66"")"),8000)</f>
        <v>8000</v>
      </c>
      <c r="M245" s="87"/>
      <c r="N245" s="924">
        <v>0</v>
      </c>
      <c r="O245" s="87"/>
      <c r="P245" s="87"/>
      <c r="Q245" s="87"/>
      <c r="R245" s="87"/>
      <c r="S245" s="87"/>
      <c r="T245" s="87"/>
      <c r="U245" s="87"/>
    </row>
    <row r="246" spans="1:21" ht="18.75" x14ac:dyDescent="0.25">
      <c r="A246" s="377"/>
      <c r="B246" s="381"/>
      <c r="C246" s="381"/>
      <c r="D246" s="749" t="s">
        <v>87</v>
      </c>
      <c r="E246" s="67"/>
      <c r="F246" s="67"/>
      <c r="G246" s="69"/>
      <c r="H246" s="218" t="s">
        <v>14</v>
      </c>
      <c r="I246" s="71"/>
      <c r="J246" s="71"/>
      <c r="K246" s="72"/>
      <c r="L246" s="73">
        <f ca="1">IFERROR(__xludf.DUMMYFUNCTION("IMPORTRANGE(""https://docs.google.com/spreadsheets/d/1eHaY18a8A9IcSdp1K8H6x8fbOy06t2VsZHhMHf-1x7Y/edit?usp=sharing"",""แผน!AY66"")"),2000)</f>
        <v>2000</v>
      </c>
      <c r="M246" s="87"/>
      <c r="N246" s="924">
        <v>0</v>
      </c>
      <c r="O246" s="87"/>
      <c r="P246" s="87"/>
      <c r="Q246" s="87"/>
      <c r="R246" s="87"/>
      <c r="S246" s="87"/>
      <c r="T246" s="87"/>
      <c r="U246" s="87"/>
    </row>
    <row r="247" spans="1:21" ht="18.75" x14ac:dyDescent="0.25">
      <c r="A247" s="377"/>
      <c r="B247" s="381"/>
      <c r="C247" s="381"/>
      <c r="D247" s="749" t="s">
        <v>88</v>
      </c>
      <c r="E247" s="67"/>
      <c r="F247" s="67"/>
      <c r="G247" s="69"/>
      <c r="H247" s="218" t="s">
        <v>14</v>
      </c>
      <c r="I247" s="71"/>
      <c r="J247" s="71"/>
      <c r="K247" s="72"/>
      <c r="L247" s="73">
        <f ca="1">IFERROR(__xludf.DUMMYFUNCTION("IMPORTRANGE(""https://docs.google.com/spreadsheets/d/1eHaY18a8A9IcSdp1K8H6x8fbOy06t2VsZHhMHf-1x7Y/edit?usp=sharing"",""แผน!AZ66"")"),24000)</f>
        <v>24000</v>
      </c>
      <c r="M247" s="87"/>
      <c r="N247" s="924">
        <v>0</v>
      </c>
      <c r="O247" s="87"/>
      <c r="P247" s="87"/>
      <c r="Q247" s="87"/>
      <c r="R247" s="87"/>
      <c r="S247" s="87"/>
      <c r="T247" s="87"/>
      <c r="U247" s="87"/>
    </row>
    <row r="248" spans="1:21" ht="18.75" x14ac:dyDescent="0.25">
      <c r="A248" s="377"/>
      <c r="B248" s="381"/>
      <c r="C248" s="381"/>
      <c r="D248" s="267" t="s">
        <v>89</v>
      </c>
      <c r="E248" s="67"/>
      <c r="F248" s="67"/>
      <c r="G248" s="69"/>
      <c r="H248" s="218" t="s">
        <v>14</v>
      </c>
      <c r="I248" s="71"/>
      <c r="J248" s="71"/>
      <c r="K248" s="72"/>
      <c r="L248" s="73">
        <f ca="1">IFERROR(__xludf.DUMMYFUNCTION("IMPORTRANGE(""https://docs.google.com/spreadsheets/d/1eHaY18a8A9IcSdp1K8H6x8fbOy06t2VsZHhMHf-1x7Y/edit?usp=sharing"",""แผน!BA66"")"),15500)</f>
        <v>15500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x14ac:dyDescent="0.3">
      <c r="A249" s="222"/>
      <c r="B249" s="223"/>
      <c r="C249" s="402" t="s">
        <v>18</v>
      </c>
      <c r="D249" s="883" t="s">
        <v>38</v>
      </c>
      <c r="E249" s="225"/>
      <c r="F249" s="225"/>
      <c r="G249" s="226"/>
      <c r="H249" s="227"/>
      <c r="I249" s="219"/>
      <c r="J249" s="71"/>
      <c r="K249" s="72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x14ac:dyDescent="0.25">
      <c r="A250" s="222"/>
      <c r="B250" s="223"/>
      <c r="C250" s="223"/>
      <c r="D250" s="395" t="s">
        <v>108</v>
      </c>
      <c r="E250" s="231"/>
      <c r="F250" s="231"/>
      <c r="G250" s="227"/>
      <c r="H250" s="401" t="s">
        <v>35</v>
      </c>
      <c r="I250" s="321">
        <f ca="1">IFERROR(__xludf.DUMMYFUNCTION("IMPORTRANGE(""https://docs.google.com/spreadsheets/d/1eHaY18a8A9IcSdp1K8H6x8fbOy06t2VsZHhMHf-1x7Y/edit?usp=sharing"",""แผน!BG66"")"),15)</f>
        <v>15</v>
      </c>
      <c r="J250" s="884">
        <v>0</v>
      </c>
      <c r="K250" s="399">
        <f ca="1">IF(I250&gt;0,J250*100/I250,0)</f>
        <v>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x14ac:dyDescent="0.25">
      <c r="A251" s="222"/>
      <c r="B251" s="223"/>
      <c r="C251" s="223"/>
      <c r="D251" s="412" t="s">
        <v>43</v>
      </c>
      <c r="E251" s="231"/>
      <c r="F251" s="231"/>
      <c r="G251" s="227"/>
      <c r="H251" s="227"/>
      <c r="I251" s="71"/>
      <c r="J251" s="71"/>
      <c r="K251" s="72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x14ac:dyDescent="0.25">
      <c r="A252" s="222"/>
      <c r="B252" s="223"/>
      <c r="C252" s="223"/>
      <c r="D252" s="223"/>
      <c r="E252" s="567" t="s">
        <v>109</v>
      </c>
      <c r="F252" s="231"/>
      <c r="G252" s="227"/>
      <c r="H252" s="401" t="s">
        <v>35</v>
      </c>
      <c r="I252" s="321">
        <f ca="1">IFERROR(__xludf.DUMMYFUNCTION("IMPORTRANGE(""https://docs.google.com/spreadsheets/d/1eHaY18a8A9IcSdp1K8H6x8fbOy06t2VsZHhMHf-1x7Y/edit?usp=sharing"",""แผน!KD66"")"),15)</f>
        <v>15</v>
      </c>
      <c r="J252" s="884">
        <v>0</v>
      </c>
      <c r="K252" s="399">
        <f t="shared" ref="K252:K254" ca="1" si="157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x14ac:dyDescent="0.25">
      <c r="A253" s="222"/>
      <c r="B253" s="223"/>
      <c r="C253" s="223"/>
      <c r="D253" s="223"/>
      <c r="E253" s="567" t="s">
        <v>110</v>
      </c>
      <c r="F253" s="231"/>
      <c r="G253" s="227"/>
      <c r="H253" s="401" t="s">
        <v>61</v>
      </c>
      <c r="I253" s="321">
        <f ca="1">IFERROR(__xludf.DUMMYFUNCTION("IMPORTRANGE(""https://docs.google.com/spreadsheets/d/1eHaY18a8A9IcSdp1K8H6x8fbOy06t2VsZHhMHf-1x7Y/edit?usp=sharing"",""แผน!KE66"")"),1)</f>
        <v>1</v>
      </c>
      <c r="J253" s="884">
        <v>0</v>
      </c>
      <c r="K253" s="399">
        <f t="shared" ca="1" si="157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553"/>
      <c r="B254" s="555"/>
      <c r="C254" s="927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8">I261</f>
        <v>0</v>
      </c>
      <c r="J254" s="931">
        <f t="shared" si="158"/>
        <v>0</v>
      </c>
      <c r="K254" s="932">
        <f t="shared" ca="1" si="157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257"/>
      <c r="B255" s="258"/>
      <c r="C255" s="933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1257">
        <f ca="1">L256+L257+L258+L259</f>
        <v>0</v>
      </c>
      <c r="M255" s="87"/>
      <c r="N255" s="264">
        <f>N256+N257+N258+N259</f>
        <v>0</v>
      </c>
      <c r="O255" s="264">
        <f ca="1">IF(L255&gt;0,N255*100/L255,0)</f>
        <v>0</v>
      </c>
      <c r="P255" s="264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257"/>
      <c r="B256" s="269"/>
      <c r="C256" s="258"/>
      <c r="D256" s="1134" t="s">
        <v>299</v>
      </c>
      <c r="E256" s="258"/>
      <c r="F256" s="258"/>
      <c r="G256" s="261"/>
      <c r="H256" s="273" t="s">
        <v>14</v>
      </c>
      <c r="I256" s="272"/>
      <c r="J256" s="272"/>
      <c r="K256" s="229"/>
      <c r="L256" s="73">
        <f ca="1">IFERROR(__xludf.DUMMYFUNCTION("IMPORTRANGE(""https://docs.google.com/spreadsheets/d/1eHaY18a8A9IcSdp1K8H6x8fbOy06t2VsZHhMHf-1x7Y/edit?usp=sharing"",""แผน!BB66"")"),0)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749" t="s">
        <v>87</v>
      </c>
      <c r="E257" s="258"/>
      <c r="F257" s="258"/>
      <c r="G257" s="261"/>
      <c r="H257" s="273" t="s">
        <v>14</v>
      </c>
      <c r="I257" s="263"/>
      <c r="J257" s="263"/>
      <c r="K257" s="87"/>
      <c r="L257" s="73">
        <f ca="1">IFERROR(__xludf.DUMMYFUNCTION("IMPORTRANGE(""https://docs.google.com/spreadsheets/d/1eHaY18a8A9IcSdp1K8H6x8fbOy06t2VsZHhMHf-1x7Y/edit?usp=sharing"",""แผน!BC66"")"),0)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749" t="s">
        <v>88</v>
      </c>
      <c r="E258" s="258"/>
      <c r="F258" s="258"/>
      <c r="G258" s="261"/>
      <c r="H258" s="273" t="s">
        <v>14</v>
      </c>
      <c r="I258" s="263"/>
      <c r="J258" s="263"/>
      <c r="K258" s="87"/>
      <c r="L258" s="73">
        <f ca="1">IFERROR(__xludf.DUMMYFUNCTION("IMPORTRANGE(""https://docs.google.com/spreadsheets/d/1eHaY18a8A9IcSdp1K8H6x8fbOy06t2VsZHhMHf-1x7Y/edit?usp=sharing"",""แผน!BD66"")"),0)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7" t="s">
        <v>89</v>
      </c>
      <c r="E259" s="258"/>
      <c r="F259" s="258"/>
      <c r="G259" s="261"/>
      <c r="H259" s="273" t="s">
        <v>14</v>
      </c>
      <c r="I259" s="263"/>
      <c r="J259" s="263"/>
      <c r="K259" s="87"/>
      <c r="L259" s="73">
        <f ca="1">IFERROR(__xludf.DUMMYFUNCTION("IMPORTRANGE(""https://docs.google.com/spreadsheets/d/1eHaY18a8A9IcSdp1K8H6x8fbOy06t2VsZHhMHf-1x7Y/edit?usp=sharing"",""แผน!BE66"")"),0)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945" t="s">
        <v>35</v>
      </c>
      <c r="I261" s="592">
        <f ca="1">IFERROR(__xludf.DUMMYFUNCTION("IMPORTRANGE(""https://docs.google.com/spreadsheets/d/1eHaY18a8A9IcSdp1K8H6x8fbOy06t2VsZHhMHf-1x7Y/edit?usp=sharing"",""แผน!BH66"")"),0)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282"/>
      <c r="I262" s="263"/>
      <c r="J262" s="263"/>
      <c r="K262" s="87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945" t="s">
        <v>35</v>
      </c>
      <c r="I263" s="263"/>
      <c r="J263" s="910">
        <v>0</v>
      </c>
      <c r="K263" s="77">
        <f t="shared" ref="K263:K264" si="159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945" t="s">
        <v>61</v>
      </c>
      <c r="I264" s="263"/>
      <c r="J264" s="910">
        <v>0</v>
      </c>
      <c r="K264" s="77">
        <f t="shared" si="159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363"/>
      <c r="I265" s="364"/>
      <c r="J265" s="364"/>
      <c r="K265" s="365"/>
      <c r="L265" s="1230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371" t="s">
        <v>35</v>
      </c>
      <c r="I266" s="1140">
        <f t="shared" ref="I266:J266" ca="1" si="160">I277</f>
        <v>22</v>
      </c>
      <c r="J266" s="1140">
        <f t="shared" si="160"/>
        <v>0</v>
      </c>
      <c r="K266" s="373">
        <f ca="1">IF(I266&gt;0,J266*100/I266,0)</f>
        <v>0</v>
      </c>
      <c r="L266" s="1231"/>
      <c r="M266" s="374"/>
      <c r="N266" s="374"/>
      <c r="O266" s="374"/>
      <c r="P266" s="374"/>
      <c r="Q266" s="374"/>
      <c r="R266" s="374"/>
      <c r="S266" s="374"/>
      <c r="T266" s="374"/>
      <c r="U266" s="374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1262">
        <f t="shared" ref="L267:N267" ca="1" si="161">L268+L269</f>
        <v>0</v>
      </c>
      <c r="M267" s="213">
        <f t="shared" ca="1" si="161"/>
        <v>5000</v>
      </c>
      <c r="N267" s="213">
        <f t="shared" ca="1" si="161"/>
        <v>0</v>
      </c>
      <c r="O267" s="213">
        <f t="shared" ref="O267:O275" ca="1" si="162">IF(L267&gt;0,N267*100/L267,0)</f>
        <v>0</v>
      </c>
      <c r="P267" s="213">
        <f t="shared" ref="P267:P275" ca="1" si="163">IF(M267&gt;0,N267*100/M267,0)</f>
        <v>0</v>
      </c>
      <c r="Q267" s="213">
        <f t="shared" ref="Q267:S267" ca="1" si="164">Q268+Q269</f>
        <v>50660</v>
      </c>
      <c r="R267" s="213">
        <f t="shared" ca="1" si="164"/>
        <v>50660</v>
      </c>
      <c r="S267" s="213">
        <f t="shared" ca="1" si="164"/>
        <v>0</v>
      </c>
      <c r="T267" s="213">
        <f t="shared" ref="T267:T275" ca="1" si="165">IF(Q267&gt;0,S267*100/Q267,0)</f>
        <v>0</v>
      </c>
      <c r="U267" s="213">
        <f t="shared" ref="U267:U275" ca="1" si="166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76">
        <f t="shared" ref="L268:N269" si="167">L271+L274</f>
        <v>0</v>
      </c>
      <c r="M268" s="77">
        <f t="shared" si="167"/>
        <v>0</v>
      </c>
      <c r="N268" s="77">
        <f t="shared" si="167"/>
        <v>0</v>
      </c>
      <c r="O268" s="77">
        <f t="shared" si="162"/>
        <v>0</v>
      </c>
      <c r="P268" s="77">
        <f t="shared" si="163"/>
        <v>0</v>
      </c>
      <c r="Q268" s="77">
        <f t="shared" ref="Q268:S269" si="168">Q271+Q274</f>
        <v>0</v>
      </c>
      <c r="R268" s="77">
        <f t="shared" si="168"/>
        <v>0</v>
      </c>
      <c r="S268" s="77">
        <f t="shared" si="168"/>
        <v>0</v>
      </c>
      <c r="T268" s="77">
        <f t="shared" si="165"/>
        <v>0</v>
      </c>
      <c r="U268" s="77">
        <f t="shared" si="166"/>
        <v>0</v>
      </c>
    </row>
    <row r="269" spans="1:21" ht="18.75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261">
        <f t="shared" ca="1" si="167"/>
        <v>0</v>
      </c>
      <c r="M269" s="399">
        <f t="shared" ca="1" si="167"/>
        <v>5000</v>
      </c>
      <c r="N269" s="399">
        <f t="shared" ca="1" si="167"/>
        <v>0</v>
      </c>
      <c r="O269" s="399">
        <f t="shared" ca="1" si="162"/>
        <v>0</v>
      </c>
      <c r="P269" s="399">
        <f t="shared" ca="1" si="163"/>
        <v>0</v>
      </c>
      <c r="Q269" s="399">
        <f t="shared" ca="1" si="168"/>
        <v>50660</v>
      </c>
      <c r="R269" s="399">
        <f t="shared" ca="1" si="168"/>
        <v>50660</v>
      </c>
      <c r="S269" s="399">
        <f t="shared" ca="1" si="168"/>
        <v>0</v>
      </c>
      <c r="T269" s="399">
        <f t="shared" ca="1" si="165"/>
        <v>0</v>
      </c>
      <c r="U269" s="399">
        <f t="shared" ca="1" si="166"/>
        <v>0</v>
      </c>
    </row>
    <row r="270" spans="1:21" ht="18.75" x14ac:dyDescent="0.25">
      <c r="A270" s="209"/>
      <c r="B270" s="67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261">
        <f t="shared" ref="L270:N270" ca="1" si="169">L271+L272</f>
        <v>0</v>
      </c>
      <c r="M270" s="399">
        <f t="shared" ca="1" si="169"/>
        <v>5000</v>
      </c>
      <c r="N270" s="399">
        <f t="shared" ca="1" si="169"/>
        <v>0</v>
      </c>
      <c r="O270" s="399">
        <f t="shared" ca="1" si="162"/>
        <v>0</v>
      </c>
      <c r="P270" s="399">
        <f t="shared" ca="1" si="163"/>
        <v>0</v>
      </c>
      <c r="Q270" s="399">
        <f t="shared" ref="Q270:S270" ca="1" si="170">Q271+Q272</f>
        <v>50660</v>
      </c>
      <c r="R270" s="399">
        <f t="shared" ca="1" si="170"/>
        <v>50660</v>
      </c>
      <c r="S270" s="399">
        <f t="shared" ca="1" si="170"/>
        <v>0</v>
      </c>
      <c r="T270" s="399">
        <f t="shared" ca="1" si="165"/>
        <v>0</v>
      </c>
      <c r="U270" s="399">
        <f t="shared" ca="1" si="166"/>
        <v>0</v>
      </c>
    </row>
    <row r="271" spans="1:21" ht="18.75" hidden="1" x14ac:dyDescent="0.25">
      <c r="A271" s="880"/>
      <c r="B271" s="838"/>
      <c r="C271" s="838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77">
        <f t="shared" si="162"/>
        <v>0</v>
      </c>
      <c r="P271" s="77">
        <f t="shared" si="163"/>
        <v>0</v>
      </c>
      <c r="Q271" s="77">
        <v>0</v>
      </c>
      <c r="R271" s="77">
        <v>0</v>
      </c>
      <c r="S271" s="77">
        <v>0</v>
      </c>
      <c r="T271" s="77">
        <f t="shared" si="165"/>
        <v>0</v>
      </c>
      <c r="U271" s="77">
        <f t="shared" si="166"/>
        <v>0</v>
      </c>
    </row>
    <row r="272" spans="1:21" ht="18.75" x14ac:dyDescent="0.25">
      <c r="A272" s="209"/>
      <c r="B272" s="67"/>
      <c r="C272" s="67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261">
        <f ca="1">IFERROR(__xludf.DUMMYFUNCTION("IMPORTRANGE(""https://docs.google.com/spreadsheets/d/1-uDff_7J0KD5mKrp0Vvzr7lt3OU09vwQwhkpOPPYv2Y/edit?usp=sharing"",""งบพรบ!DE66"")"),0)</f>
        <v>0</v>
      </c>
      <c r="M272" s="399">
        <f ca="1">IFERROR(__xludf.DUMMYFUNCTION("IMPORTRANGE(""https://docs.google.com/spreadsheets/d/1-uDff_7J0KD5mKrp0Vvzr7lt3OU09vwQwhkpOPPYv2Y/edit?usp=sharing"",""งบพรบ!DJ66"")"),5000)</f>
        <v>5000</v>
      </c>
      <c r="N272" s="399">
        <f ca="1">IFERROR(__xludf.DUMMYFUNCTION("IMPORTRANGE(""https://docs.google.com/spreadsheets/d/1-uDff_7J0KD5mKrp0Vvzr7lt3OU09vwQwhkpOPPYv2Y/edit?usp=sharing"",""งบพรบ!DL66"")"),0)</f>
        <v>0</v>
      </c>
      <c r="O272" s="399">
        <f t="shared" ca="1" si="162"/>
        <v>0</v>
      </c>
      <c r="P272" s="399">
        <f t="shared" ca="1" si="163"/>
        <v>0</v>
      </c>
      <c r="Q272" s="399">
        <f ca="1">IFERROR(__xludf.DUMMYFUNCTION("IMPORTRANGE(""https://docs.google.com/spreadsheets/d/1ItG2mGa2ceCfYo0BwxsXqNm01IGEUdYcSSLTEv9YCik/edit?usp=sharing"",""เบิกจ่ายกองทุน!AJ66"")"),50660)</f>
        <v>50660</v>
      </c>
      <c r="R272" s="399">
        <f ca="1">IFERROR(__xludf.DUMMYFUNCTION("IMPORTRANGE(""https://docs.google.com/spreadsheets/d/1ItG2mGa2ceCfYo0BwxsXqNm01IGEUdYcSSLTEv9YCik/edit?usp=sharing"",""เบิกจ่ายกองทุน!AK66"")"),50660)</f>
        <v>50660</v>
      </c>
      <c r="S272" s="399">
        <f ca="1">IFERROR(__xludf.DUMMYFUNCTION("IMPORTRANGE(""https://docs.google.com/spreadsheets/d/1ItG2mGa2ceCfYo0BwxsXqNm01IGEUdYcSSLTEv9YCik/edit?usp=sharing"",""เบิกจ่ายกองทุน!AL66"")"),0)</f>
        <v>0</v>
      </c>
      <c r="T272" s="399">
        <f t="shared" ca="1" si="165"/>
        <v>0</v>
      </c>
      <c r="U272" s="399">
        <f t="shared" ca="1" si="166"/>
        <v>0</v>
      </c>
    </row>
    <row r="273" spans="1:21" ht="18.75" x14ac:dyDescent="0.25">
      <c r="A273" s="209"/>
      <c r="B273" s="67"/>
      <c r="C273" s="67"/>
      <c r="D273" s="836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261">
        <f t="shared" ref="L273:N273" ca="1" si="171">L274+L275</f>
        <v>0</v>
      </c>
      <c r="M273" s="399">
        <f t="shared" ca="1" si="171"/>
        <v>0</v>
      </c>
      <c r="N273" s="399">
        <f t="shared" ca="1" si="171"/>
        <v>0</v>
      </c>
      <c r="O273" s="399">
        <f t="shared" ca="1" si="162"/>
        <v>0</v>
      </c>
      <c r="P273" s="399">
        <f t="shared" ca="1" si="163"/>
        <v>0</v>
      </c>
      <c r="Q273" s="399">
        <f t="shared" ref="Q273:S273" si="172">Q274+Q275</f>
        <v>0</v>
      </c>
      <c r="R273" s="399">
        <f t="shared" si="172"/>
        <v>0</v>
      </c>
      <c r="S273" s="399">
        <f t="shared" si="172"/>
        <v>0</v>
      </c>
      <c r="T273" s="399">
        <f t="shared" si="165"/>
        <v>0</v>
      </c>
      <c r="U273" s="399">
        <f t="shared" si="166"/>
        <v>0</v>
      </c>
    </row>
    <row r="274" spans="1:21" ht="18.75" hidden="1" x14ac:dyDescent="0.25">
      <c r="A274" s="880"/>
      <c r="B274" s="838"/>
      <c r="C274" s="838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77">
        <f t="shared" si="162"/>
        <v>0</v>
      </c>
      <c r="P274" s="77">
        <f t="shared" si="163"/>
        <v>0</v>
      </c>
      <c r="Q274" s="77">
        <v>0</v>
      </c>
      <c r="R274" s="77">
        <v>0</v>
      </c>
      <c r="S274" s="77">
        <v>0</v>
      </c>
      <c r="T274" s="77">
        <f t="shared" si="165"/>
        <v>0</v>
      </c>
      <c r="U274" s="77">
        <f t="shared" si="166"/>
        <v>0</v>
      </c>
    </row>
    <row r="275" spans="1:21" ht="18.75" x14ac:dyDescent="0.25">
      <c r="A275" s="209"/>
      <c r="B275" s="67"/>
      <c r="C275" s="67"/>
      <c r="D275" s="67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261">
        <f ca="1">IFERROR(__xludf.DUMMYFUNCTION("IMPORTRANGE(""https://docs.google.com/spreadsheets/d/1-uDff_7J0KD5mKrp0Vvzr7lt3OU09vwQwhkpOPPYv2Y/edit?usp=sharing"",""งบพรบ!DH66"")"),0)</f>
        <v>0</v>
      </c>
      <c r="M275" s="399">
        <f ca="1">IFERROR(__xludf.DUMMYFUNCTION("IMPORTRANGE(""https://docs.google.com/spreadsheets/d/1-uDff_7J0KD5mKrp0Vvzr7lt3OU09vwQwhkpOPPYv2Y/edit?usp=sharing"",""งบพรบ!DK66"")"),0)</f>
        <v>0</v>
      </c>
      <c r="N275" s="399">
        <f ca="1">IFERROR(__xludf.DUMMYFUNCTION("IMPORTRANGE(""https://docs.google.com/spreadsheets/d/1-uDff_7J0KD5mKrp0Vvzr7lt3OU09vwQwhkpOPPYv2Y/edit?usp=sharing"",""งบพรบ!DM66"")"),0)</f>
        <v>0</v>
      </c>
      <c r="O275" s="399">
        <f t="shared" ca="1" si="162"/>
        <v>0</v>
      </c>
      <c r="P275" s="399">
        <f t="shared" ca="1" si="163"/>
        <v>0</v>
      </c>
      <c r="Q275" s="399">
        <v>0</v>
      </c>
      <c r="R275" s="399">
        <v>0</v>
      </c>
      <c r="S275" s="399">
        <v>0</v>
      </c>
      <c r="T275" s="399">
        <f t="shared" si="165"/>
        <v>0</v>
      </c>
      <c r="U275" s="399">
        <f t="shared" si="166"/>
        <v>0</v>
      </c>
    </row>
    <row r="276" spans="1:21" ht="19.5" x14ac:dyDescent="0.3">
      <c r="A276" s="222"/>
      <c r="B276" s="223"/>
      <c r="C276" s="440" t="s">
        <v>18</v>
      </c>
      <c r="D276" s="883" t="s">
        <v>38</v>
      </c>
      <c r="E276" s="225"/>
      <c r="F276" s="225"/>
      <c r="G276" s="226"/>
      <c r="H276" s="227"/>
      <c r="I276" s="219"/>
      <c r="J276" s="219"/>
      <c r="K276" s="220"/>
      <c r="L276" s="1235"/>
      <c r="M276" s="220"/>
      <c r="N276" s="220"/>
      <c r="O276" s="220"/>
      <c r="P276" s="220"/>
      <c r="Q276" s="220"/>
      <c r="R276" s="220"/>
      <c r="S276" s="220"/>
      <c r="T276" s="220"/>
      <c r="U276" s="220"/>
    </row>
    <row r="277" spans="1:21" ht="18.75" x14ac:dyDescent="0.25">
      <c r="A277" s="949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IFERROR(__xludf.DUMMYFUNCTION("IMPORTRANGE(""https://docs.google.com/spreadsheets/d/1eHaY18a8A9IcSdp1K8H6x8fbOy06t2VsZHhMHf-1x7Y/edit?usp=sharing"",""แผน!EC66"")"),22)</f>
        <v>22</v>
      </c>
      <c r="J277" s="908">
        <v>0</v>
      </c>
      <c r="K277" s="85">
        <f ca="1">IF(I277&gt;0,J277*100/I277,0)</f>
        <v>0</v>
      </c>
      <c r="L277" s="540"/>
      <c r="M277" s="72"/>
      <c r="N277" s="72"/>
      <c r="O277" s="72"/>
      <c r="P277" s="72"/>
      <c r="Q277" s="72"/>
      <c r="R277" s="72"/>
      <c r="S277" s="72"/>
      <c r="T277" s="72"/>
      <c r="U277" s="72"/>
    </row>
    <row r="278" spans="1:21" ht="18.75" hidden="1" x14ac:dyDescent="0.25">
      <c r="A278" s="1236"/>
      <c r="B278" s="996"/>
      <c r="C278" s="996"/>
      <c r="D278" s="1145" t="s">
        <v>116</v>
      </c>
      <c r="E278" s="1237"/>
      <c r="F278" s="1237"/>
      <c r="G278" s="1238"/>
      <c r="H278" s="1305" t="s">
        <v>35</v>
      </c>
      <c r="I278" s="779">
        <v>0</v>
      </c>
      <c r="J278" s="779">
        <v>0</v>
      </c>
      <c r="K278" s="1147">
        <v>0</v>
      </c>
      <c r="L278" s="1239"/>
      <c r="M278" s="1240"/>
      <c r="N278" s="1240"/>
      <c r="O278" s="1240"/>
      <c r="P278" s="1240"/>
      <c r="Q278" s="1240"/>
      <c r="R278" s="1240"/>
      <c r="S278" s="1240"/>
      <c r="T278" s="1240"/>
      <c r="U278" s="124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50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3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306" t="s">
        <v>35</v>
      </c>
      <c r="I281" s="1163">
        <f t="shared" ref="I281:J281" ca="1" si="173">I294</f>
        <v>0</v>
      </c>
      <c r="J281" s="1163">
        <f t="shared" si="173"/>
        <v>0</v>
      </c>
      <c r="K281" s="1164">
        <f t="shared" ref="K281:K282" ca="1" si="174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306" t="s">
        <v>46</v>
      </c>
      <c r="I282" s="1163">
        <f t="shared" ref="I282:J282" ca="1" si="175">I293</f>
        <v>0</v>
      </c>
      <c r="J282" s="1163">
        <f t="shared" si="175"/>
        <v>0</v>
      </c>
      <c r="K282" s="1164">
        <f t="shared" ca="1" si="174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1257">
        <f t="shared" ref="L283:N283" ca="1" si="176">L284+L285</f>
        <v>0</v>
      </c>
      <c r="M283" s="264">
        <f t="shared" ca="1" si="176"/>
        <v>0</v>
      </c>
      <c r="N283" s="264">
        <f t="shared" ca="1" si="176"/>
        <v>0</v>
      </c>
      <c r="O283" s="264">
        <f t="shared" ref="O283:O291" ca="1" si="177">IF(L283&gt;0,N283*100/L283,0)</f>
        <v>0</v>
      </c>
      <c r="P283" s="264">
        <f t="shared" ref="P283:P291" ca="1" si="178">IF(M283&gt;0,N283*100/M283,0)</f>
        <v>0</v>
      </c>
      <c r="Q283" s="264">
        <f t="shared" ref="Q283:S283" si="179">Q284+Q285</f>
        <v>0</v>
      </c>
      <c r="R283" s="264">
        <f t="shared" si="179"/>
        <v>0</v>
      </c>
      <c r="S283" s="264">
        <f t="shared" si="179"/>
        <v>0</v>
      </c>
      <c r="T283" s="264">
        <f t="shared" ref="T283:T291" si="180">IF(Q283&gt;0,S283*100/Q283,0)</f>
        <v>0</v>
      </c>
      <c r="U283" s="264">
        <f t="shared" ref="U283:U291" si="181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6">
        <f t="shared" ref="L284:N285" si="182">L287+L290</f>
        <v>0</v>
      </c>
      <c r="M284" s="77">
        <f t="shared" si="182"/>
        <v>0</v>
      </c>
      <c r="N284" s="77">
        <f t="shared" si="182"/>
        <v>0</v>
      </c>
      <c r="O284" s="77">
        <f t="shared" si="177"/>
        <v>0</v>
      </c>
      <c r="P284" s="77">
        <f t="shared" si="178"/>
        <v>0</v>
      </c>
      <c r="Q284" s="77">
        <f t="shared" ref="Q284:S285" si="183">Q287+Q290</f>
        <v>0</v>
      </c>
      <c r="R284" s="77">
        <f t="shared" si="183"/>
        <v>0</v>
      </c>
      <c r="S284" s="77">
        <f t="shared" si="183"/>
        <v>0</v>
      </c>
      <c r="T284" s="77">
        <f t="shared" si="180"/>
        <v>0</v>
      </c>
      <c r="U284" s="77">
        <f t="shared" si="181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3">
        <f t="shared" ca="1" si="182"/>
        <v>0</v>
      </c>
      <c r="M285" s="74">
        <f t="shared" ca="1" si="182"/>
        <v>0</v>
      </c>
      <c r="N285" s="74">
        <f t="shared" ca="1" si="182"/>
        <v>0</v>
      </c>
      <c r="O285" s="74">
        <f t="shared" ca="1" si="177"/>
        <v>0</v>
      </c>
      <c r="P285" s="74">
        <f t="shared" ca="1" si="178"/>
        <v>0</v>
      </c>
      <c r="Q285" s="74">
        <f t="shared" si="183"/>
        <v>0</v>
      </c>
      <c r="R285" s="74">
        <f t="shared" si="183"/>
        <v>0</v>
      </c>
      <c r="S285" s="74">
        <f t="shared" si="183"/>
        <v>0</v>
      </c>
      <c r="T285" s="74">
        <f t="shared" si="180"/>
        <v>0</v>
      </c>
      <c r="U285" s="74">
        <f t="shared" si="181"/>
        <v>0</v>
      </c>
    </row>
    <row r="286" spans="1:21" ht="18.75" hidden="1" x14ac:dyDescent="0.25">
      <c r="A286" s="257"/>
      <c r="B286" s="258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3">
        <f t="shared" ref="L286:N286" ca="1" si="184">L287+L288</f>
        <v>0</v>
      </c>
      <c r="M286" s="74">
        <f t="shared" ca="1" si="184"/>
        <v>0</v>
      </c>
      <c r="N286" s="74">
        <f t="shared" ca="1" si="184"/>
        <v>0</v>
      </c>
      <c r="O286" s="74">
        <f t="shared" ca="1" si="177"/>
        <v>0</v>
      </c>
      <c r="P286" s="74">
        <f t="shared" ca="1" si="178"/>
        <v>0</v>
      </c>
      <c r="Q286" s="74">
        <f t="shared" ref="Q286:S286" si="185">Q287+Q288</f>
        <v>0</v>
      </c>
      <c r="R286" s="74">
        <f t="shared" si="185"/>
        <v>0</v>
      </c>
      <c r="S286" s="74">
        <f t="shared" si="185"/>
        <v>0</v>
      </c>
      <c r="T286" s="74">
        <f t="shared" si="180"/>
        <v>0</v>
      </c>
      <c r="U286" s="74">
        <f t="shared" si="181"/>
        <v>0</v>
      </c>
    </row>
    <row r="287" spans="1:21" ht="18.75" hidden="1" x14ac:dyDescent="0.25">
      <c r="A287" s="257"/>
      <c r="B287" s="258"/>
      <c r="C287" s="258"/>
      <c r="D287" s="258"/>
      <c r="E287" s="26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77">
        <f t="shared" si="177"/>
        <v>0</v>
      </c>
      <c r="P287" s="77">
        <f t="shared" si="178"/>
        <v>0</v>
      </c>
      <c r="Q287" s="77">
        <v>0</v>
      </c>
      <c r="R287" s="77">
        <v>0</v>
      </c>
      <c r="S287" s="77">
        <v>0</v>
      </c>
      <c r="T287" s="77">
        <f t="shared" si="180"/>
        <v>0</v>
      </c>
      <c r="U287" s="77">
        <f t="shared" si="181"/>
        <v>0</v>
      </c>
    </row>
    <row r="288" spans="1:21" ht="18.75" hidden="1" x14ac:dyDescent="0.25">
      <c r="A288" s="257"/>
      <c r="B288" s="258"/>
      <c r="C288" s="258"/>
      <c r="D288" s="258"/>
      <c r="E288" s="267" t="s">
        <v>37</v>
      </c>
      <c r="F288" s="258"/>
      <c r="G288" s="261"/>
      <c r="H288" s="271" t="s">
        <v>14</v>
      </c>
      <c r="I288" s="272"/>
      <c r="J288" s="272"/>
      <c r="K288" s="229"/>
      <c r="L288" s="73">
        <f ca="1">IFERROR(__xludf.DUMMYFUNCTION("IMPORTRANGE(""https://docs.google.com/spreadsheets/d/1-uDff_7J0KD5mKrp0Vvzr7lt3OU09vwQwhkpOPPYv2Y/edit?usp=sharing"",""งบพรบ!DO66"")"),0)</f>
        <v>0</v>
      </c>
      <c r="M288" s="74">
        <f ca="1">IFERROR(__xludf.DUMMYFUNCTION("IMPORTRANGE(""https://docs.google.com/spreadsheets/d/1-uDff_7J0KD5mKrp0Vvzr7lt3OU09vwQwhkpOPPYv2Y/edit?usp=sharing"",""งบพรบ!DT66"")"),0)</f>
        <v>0</v>
      </c>
      <c r="N288" s="74">
        <f ca="1">IFERROR(__xludf.DUMMYFUNCTION("IMPORTRANGE(""https://docs.google.com/spreadsheets/d/1-uDff_7J0KD5mKrp0Vvzr7lt3OU09vwQwhkpOPPYv2Y/edit?usp=sharing"",""งบพรบ!DV66"")"),0)</f>
        <v>0</v>
      </c>
      <c r="O288" s="74">
        <f t="shared" ca="1" si="177"/>
        <v>0</v>
      </c>
      <c r="P288" s="74">
        <f t="shared" ca="1" si="178"/>
        <v>0</v>
      </c>
      <c r="Q288" s="74">
        <v>0</v>
      </c>
      <c r="R288" s="74">
        <v>0</v>
      </c>
      <c r="S288" s="74">
        <v>0</v>
      </c>
      <c r="T288" s="77">
        <f t="shared" si="180"/>
        <v>0</v>
      </c>
      <c r="U288" s="77">
        <f t="shared" si="181"/>
        <v>0</v>
      </c>
    </row>
    <row r="289" spans="1:21" ht="18.75" hidden="1" x14ac:dyDescent="0.25">
      <c r="A289" s="257"/>
      <c r="B289" s="258"/>
      <c r="C289" s="258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3">
        <f t="shared" ref="L289:N289" ca="1" si="186">L290+L291</f>
        <v>0</v>
      </c>
      <c r="M289" s="74">
        <f t="shared" ca="1" si="186"/>
        <v>0</v>
      </c>
      <c r="N289" s="74">
        <f t="shared" ca="1" si="186"/>
        <v>0</v>
      </c>
      <c r="O289" s="74">
        <f t="shared" ca="1" si="177"/>
        <v>0</v>
      </c>
      <c r="P289" s="74">
        <f t="shared" ca="1" si="178"/>
        <v>0</v>
      </c>
      <c r="Q289" s="74">
        <f t="shared" ref="Q289:S289" si="187">Q290+Q291</f>
        <v>0</v>
      </c>
      <c r="R289" s="74">
        <f t="shared" si="187"/>
        <v>0</v>
      </c>
      <c r="S289" s="74">
        <f t="shared" si="187"/>
        <v>0</v>
      </c>
      <c r="T289" s="74">
        <f t="shared" si="180"/>
        <v>0</v>
      </c>
      <c r="U289" s="74">
        <f t="shared" si="181"/>
        <v>0</v>
      </c>
    </row>
    <row r="290" spans="1:21" ht="18.75" hidden="1" x14ac:dyDescent="0.25">
      <c r="A290" s="257"/>
      <c r="B290" s="258"/>
      <c r="C290" s="258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77">
        <f t="shared" si="177"/>
        <v>0</v>
      </c>
      <c r="P290" s="77">
        <f t="shared" si="178"/>
        <v>0</v>
      </c>
      <c r="Q290" s="77">
        <v>0</v>
      </c>
      <c r="R290" s="77">
        <v>0</v>
      </c>
      <c r="S290" s="77">
        <v>0</v>
      </c>
      <c r="T290" s="77">
        <f t="shared" si="180"/>
        <v>0</v>
      </c>
      <c r="U290" s="77">
        <f t="shared" si="181"/>
        <v>0</v>
      </c>
    </row>
    <row r="291" spans="1:21" ht="18.75" hidden="1" x14ac:dyDescent="0.25">
      <c r="A291" s="257"/>
      <c r="B291" s="258"/>
      <c r="C291" s="258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3">
        <f ca="1">IFERROR(__xludf.DUMMYFUNCTION("IMPORTRANGE(""https://docs.google.com/spreadsheets/d/1-uDff_7J0KD5mKrp0Vvzr7lt3OU09vwQwhkpOPPYv2Y/edit?usp=sharing"",""งบพรบ!DR66"")"),0)</f>
        <v>0</v>
      </c>
      <c r="M291" s="74">
        <f ca="1">IFERROR(__xludf.DUMMYFUNCTION("IMPORTRANGE(""https://docs.google.com/spreadsheets/d/1-uDff_7J0KD5mKrp0Vvzr7lt3OU09vwQwhkpOPPYv2Y/edit?usp=sharing"",""งบพรบ!DU66"")"),0)</f>
        <v>0</v>
      </c>
      <c r="N291" s="74">
        <f ca="1">IFERROR(__xludf.DUMMYFUNCTION("IMPORTRANGE(""https://docs.google.com/spreadsheets/d/1-uDff_7J0KD5mKrp0Vvzr7lt3OU09vwQwhkpOPPYv2Y/edit?usp=sharing"",""งบพรบ!DW66"")"),0)</f>
        <v>0</v>
      </c>
      <c r="O291" s="74">
        <f t="shared" ca="1" si="177"/>
        <v>0</v>
      </c>
      <c r="P291" s="74">
        <f t="shared" ca="1" si="178"/>
        <v>0</v>
      </c>
      <c r="Q291" s="74">
        <v>0</v>
      </c>
      <c r="R291" s="74">
        <v>0</v>
      </c>
      <c r="S291" s="74">
        <v>0</v>
      </c>
      <c r="T291" s="74">
        <f t="shared" si="180"/>
        <v>0</v>
      </c>
      <c r="U291" s="74">
        <f t="shared" si="181"/>
        <v>0</v>
      </c>
    </row>
    <row r="292" spans="1:21" ht="19.5" hidden="1" x14ac:dyDescent="0.3">
      <c r="A292" s="276"/>
      <c r="B292" s="277"/>
      <c r="C292" s="259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IFERROR(__xludf.DUMMYFUNCTION("IMPORTRANGE(""https://docs.google.com/spreadsheets/d/1eHaY18a8A9IcSdp1K8H6x8fbOy06t2VsZHhMHf-1x7Y/edit?usp=sharing"",""แผน!EE66"")"),0)</f>
        <v>0</v>
      </c>
      <c r="J293" s="294">
        <v>0</v>
      </c>
      <c r="K293" s="768">
        <f t="shared" ref="K293:K294" ca="1" si="188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IFERROR(__xludf.DUMMYFUNCTION("IMPORTRANGE(""https://docs.google.com/spreadsheets/d/1eHaY18a8A9IcSdp1K8H6x8fbOy06t2VsZHhMHf-1x7Y/edit?usp=sharing"",""แผน!ED66"")"),0)</f>
        <v>0</v>
      </c>
      <c r="J294" s="622">
        <f>J297</f>
        <v>0</v>
      </c>
      <c r="K294" s="1105">
        <f t="shared" ca="1" si="188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96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IFERROR(__xludf.DUMMYFUNCTION("IMPORTRANGE(""https://docs.google.com/spreadsheets/d/1eHaY18a8A9IcSdp1K8H6x8fbOy06t2VsZHhMHf-1x7Y/edit?usp=sharing"",""แผน!ED66"")"),0)</f>
        <v>0</v>
      </c>
      <c r="J296" s="294">
        <v>0</v>
      </c>
      <c r="K296" s="768">
        <f t="shared" ref="K296:K297" ca="1" si="189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IFERROR(__xludf.DUMMYFUNCTION("IMPORTRANGE(""https://docs.google.com/spreadsheets/d/1eHaY18a8A9IcSdp1K8H6x8fbOy06t2VsZHhMHf-1x7Y/edit?usp=sharing"",""แผน!ED66"")"),0)</f>
        <v>0</v>
      </c>
      <c r="J297" s="294">
        <v>0</v>
      </c>
      <c r="K297" s="768">
        <f t="shared" ca="1" si="189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286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286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041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1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6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x14ac:dyDescent="0.3">
      <c r="A303" s="1179"/>
      <c r="B303" s="1180" t="s">
        <v>127</v>
      </c>
      <c r="C303" s="607"/>
      <c r="D303" s="607"/>
      <c r="E303" s="607"/>
      <c r="F303" s="607"/>
      <c r="G303" s="608"/>
      <c r="H303" s="1307" t="s">
        <v>35</v>
      </c>
      <c r="I303" s="617">
        <f t="shared" ref="I303:J303" ca="1" si="190">I315</f>
        <v>25</v>
      </c>
      <c r="J303" s="617">
        <f t="shared" si="190"/>
        <v>25</v>
      </c>
      <c r="K303" s="611">
        <f ca="1">IF(I303&gt;0,J303*100/I303,0)</f>
        <v>100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1257">
        <f t="shared" ref="L304:N304" ca="1" si="191">L305+L306</f>
        <v>101000</v>
      </c>
      <c r="M304" s="264">
        <f t="shared" ca="1" si="191"/>
        <v>101000</v>
      </c>
      <c r="N304" s="264">
        <f t="shared" ca="1" si="191"/>
        <v>56925</v>
      </c>
      <c r="O304" s="264">
        <f t="shared" ref="O304:O312" ca="1" si="192">IF(L304&gt;0,N304*100/L304,0)</f>
        <v>56.361386138613859</v>
      </c>
      <c r="P304" s="264">
        <f t="shared" ref="P304:P312" ca="1" si="193">IF(M304&gt;0,N304*100/M304,0)</f>
        <v>56.361386138613859</v>
      </c>
      <c r="Q304" s="264">
        <f t="shared" ref="Q304:S304" ca="1" si="194">Q305+Q306</f>
        <v>166057.24</v>
      </c>
      <c r="R304" s="264">
        <f t="shared" ca="1" si="194"/>
        <v>166057</v>
      </c>
      <c r="S304" s="264">
        <f t="shared" ca="1" si="194"/>
        <v>0</v>
      </c>
      <c r="T304" s="264">
        <f t="shared" ref="T304:T312" ca="1" si="195">IF(Q304&gt;0,S304*100/Q304,0)</f>
        <v>0</v>
      </c>
      <c r="U304" s="264">
        <f t="shared" ref="U304:U312" ca="1" si="196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6">
        <f t="shared" ref="L305:N306" si="197">L308+L311</f>
        <v>0</v>
      </c>
      <c r="M305" s="77">
        <f t="shared" si="197"/>
        <v>0</v>
      </c>
      <c r="N305" s="77">
        <f t="shared" si="197"/>
        <v>0</v>
      </c>
      <c r="O305" s="77">
        <f t="shared" si="192"/>
        <v>0</v>
      </c>
      <c r="P305" s="77">
        <f t="shared" si="193"/>
        <v>0</v>
      </c>
      <c r="Q305" s="77">
        <f t="shared" ref="Q305:S306" si="198">Q308+Q311</f>
        <v>0</v>
      </c>
      <c r="R305" s="77">
        <f t="shared" si="198"/>
        <v>0</v>
      </c>
      <c r="S305" s="77">
        <f t="shared" si="198"/>
        <v>0</v>
      </c>
      <c r="T305" s="77">
        <f t="shared" si="195"/>
        <v>0</v>
      </c>
      <c r="U305" s="77">
        <f t="shared" si="196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3">
        <f t="shared" ca="1" si="197"/>
        <v>101000</v>
      </c>
      <c r="M306" s="74">
        <f t="shared" ca="1" si="197"/>
        <v>101000</v>
      </c>
      <c r="N306" s="74">
        <f t="shared" ca="1" si="197"/>
        <v>56925</v>
      </c>
      <c r="O306" s="74">
        <f t="shared" ca="1" si="192"/>
        <v>56.361386138613859</v>
      </c>
      <c r="P306" s="74">
        <f t="shared" ca="1" si="193"/>
        <v>56.361386138613859</v>
      </c>
      <c r="Q306" s="74">
        <f t="shared" ca="1" si="198"/>
        <v>166057.24</v>
      </c>
      <c r="R306" s="74">
        <f t="shared" ca="1" si="198"/>
        <v>166057</v>
      </c>
      <c r="S306" s="74">
        <f t="shared" ca="1" si="198"/>
        <v>0</v>
      </c>
      <c r="T306" s="74">
        <f t="shared" ca="1" si="195"/>
        <v>0</v>
      </c>
      <c r="U306" s="74">
        <f t="shared" ca="1" si="196"/>
        <v>0</v>
      </c>
    </row>
    <row r="307" spans="1:21" ht="18.75" x14ac:dyDescent="0.25">
      <c r="A307" s="257"/>
      <c r="B307" s="258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3">
        <f t="shared" ref="L307:N307" ca="1" si="199">L308+L309</f>
        <v>101000</v>
      </c>
      <c r="M307" s="74">
        <f t="shared" ca="1" si="199"/>
        <v>101000</v>
      </c>
      <c r="N307" s="74">
        <f t="shared" ca="1" si="199"/>
        <v>56925</v>
      </c>
      <c r="O307" s="74">
        <f t="shared" ca="1" si="192"/>
        <v>56.361386138613859</v>
      </c>
      <c r="P307" s="74">
        <f t="shared" ca="1" si="193"/>
        <v>56.361386138613859</v>
      </c>
      <c r="Q307" s="74">
        <f t="shared" ref="Q307:S307" ca="1" si="200">Q308+Q309</f>
        <v>166057.24</v>
      </c>
      <c r="R307" s="74">
        <f t="shared" ca="1" si="200"/>
        <v>166057</v>
      </c>
      <c r="S307" s="74">
        <f t="shared" ca="1" si="200"/>
        <v>0</v>
      </c>
      <c r="T307" s="74">
        <f t="shared" ca="1" si="195"/>
        <v>0</v>
      </c>
      <c r="U307" s="74">
        <f t="shared" ca="1" si="196"/>
        <v>0</v>
      </c>
    </row>
    <row r="308" spans="1:21" ht="18.75" hidden="1" x14ac:dyDescent="0.25">
      <c r="A308" s="257"/>
      <c r="B308" s="258"/>
      <c r="C308" s="258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77">
        <f t="shared" si="192"/>
        <v>0</v>
      </c>
      <c r="P308" s="77">
        <f t="shared" si="193"/>
        <v>0</v>
      </c>
      <c r="Q308" s="77">
        <v>0</v>
      </c>
      <c r="R308" s="77">
        <v>0</v>
      </c>
      <c r="S308" s="77">
        <v>0</v>
      </c>
      <c r="T308" s="77">
        <f t="shared" si="195"/>
        <v>0</v>
      </c>
      <c r="U308" s="77">
        <f t="shared" si="196"/>
        <v>0</v>
      </c>
    </row>
    <row r="309" spans="1:21" ht="18.75" hidden="1" x14ac:dyDescent="0.25">
      <c r="A309" s="257"/>
      <c r="B309" s="258"/>
      <c r="C309" s="258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3">
        <f ca="1">IFERROR(__xludf.DUMMYFUNCTION("IMPORTRANGE(""https://docs.google.com/spreadsheets/d/1-uDff_7J0KD5mKrp0Vvzr7lt3OU09vwQwhkpOPPYv2Y/edit?usp=sharing"",""งบพรบ!DY66"")"),101000)</f>
        <v>101000</v>
      </c>
      <c r="M309" s="74">
        <f ca="1">IFERROR(__xludf.DUMMYFUNCTION("IMPORTRANGE(""https://docs.google.com/spreadsheets/d/1-uDff_7J0KD5mKrp0Vvzr7lt3OU09vwQwhkpOPPYv2Y/edit?usp=sharing"",""งบพรบ!ED66"")"),101000)</f>
        <v>101000</v>
      </c>
      <c r="N309" s="74">
        <f ca="1">IFERROR(__xludf.DUMMYFUNCTION("IMPORTRANGE(""https://docs.google.com/spreadsheets/d/1-uDff_7J0KD5mKrp0Vvzr7lt3OU09vwQwhkpOPPYv2Y/edit?usp=sharing"",""งบพรบ!EF66"")"),56925)</f>
        <v>56925</v>
      </c>
      <c r="O309" s="74">
        <f t="shared" ca="1" si="192"/>
        <v>56.361386138613859</v>
      </c>
      <c r="P309" s="74">
        <f t="shared" ca="1" si="193"/>
        <v>56.361386138613859</v>
      </c>
      <c r="Q309" s="74">
        <f ca="1">IFERROR(__xludf.DUMMYFUNCTION("IMPORTRANGE(""https://docs.google.com/spreadsheets/d/1ItG2mGa2ceCfYo0BwxsXqNm01IGEUdYcSSLTEv9YCik/edit?usp=sharing"",""เบิกจ่ายกองทุน!AP66"")"),166057.24)</f>
        <v>166057.24</v>
      </c>
      <c r="R309" s="74">
        <f ca="1">IFERROR(__xludf.DUMMYFUNCTION("IMPORTRANGE(""https://docs.google.com/spreadsheets/d/1ItG2mGa2ceCfYo0BwxsXqNm01IGEUdYcSSLTEv9YCik/edit?usp=sharing"",""เบิกจ่ายกองทุน!AQ66"")"),166057)</f>
        <v>166057</v>
      </c>
      <c r="S309" s="74">
        <f ca="1">IFERROR(__xludf.DUMMYFUNCTION("IMPORTRANGE(""https://docs.google.com/spreadsheets/d/1ItG2mGa2ceCfYo0BwxsXqNm01IGEUdYcSSLTEv9YCik/edit?usp=sharing"",""เบิกจ่ายกองทุน!AR66"")"),0)</f>
        <v>0</v>
      </c>
      <c r="T309" s="74">
        <f t="shared" ca="1" si="195"/>
        <v>0</v>
      </c>
      <c r="U309" s="74">
        <f t="shared" ca="1" si="196"/>
        <v>0</v>
      </c>
    </row>
    <row r="310" spans="1:21" ht="18.75" x14ac:dyDescent="0.25">
      <c r="A310" s="257"/>
      <c r="B310" s="258"/>
      <c r="C310" s="258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3">
        <f t="shared" ref="L310:N310" ca="1" si="201">L311+L312</f>
        <v>0</v>
      </c>
      <c r="M310" s="74">
        <f t="shared" ca="1" si="201"/>
        <v>0</v>
      </c>
      <c r="N310" s="74">
        <f t="shared" ca="1" si="201"/>
        <v>0</v>
      </c>
      <c r="O310" s="74">
        <f t="shared" ca="1" si="192"/>
        <v>0</v>
      </c>
      <c r="P310" s="74">
        <f t="shared" ca="1" si="193"/>
        <v>0</v>
      </c>
      <c r="Q310" s="74">
        <f t="shared" ref="Q310:S310" si="202">Q311+Q312</f>
        <v>0</v>
      </c>
      <c r="R310" s="74">
        <f t="shared" si="202"/>
        <v>0</v>
      </c>
      <c r="S310" s="74">
        <f t="shared" si="202"/>
        <v>0</v>
      </c>
      <c r="T310" s="74">
        <f t="shared" si="195"/>
        <v>0</v>
      </c>
      <c r="U310" s="74">
        <f t="shared" si="196"/>
        <v>0</v>
      </c>
    </row>
    <row r="311" spans="1:21" ht="18.75" hidden="1" x14ac:dyDescent="0.25">
      <c r="A311" s="257"/>
      <c r="B311" s="258"/>
      <c r="C311" s="258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77">
        <f t="shared" si="192"/>
        <v>0</v>
      </c>
      <c r="P311" s="77">
        <f t="shared" si="193"/>
        <v>0</v>
      </c>
      <c r="Q311" s="77">
        <v>0</v>
      </c>
      <c r="R311" s="77">
        <v>0</v>
      </c>
      <c r="S311" s="77">
        <v>0</v>
      </c>
      <c r="T311" s="77">
        <f t="shared" si="195"/>
        <v>0</v>
      </c>
      <c r="U311" s="77">
        <f t="shared" si="196"/>
        <v>0</v>
      </c>
    </row>
    <row r="312" spans="1:21" ht="18.75" hidden="1" x14ac:dyDescent="0.25">
      <c r="A312" s="257"/>
      <c r="B312" s="258"/>
      <c r="C312" s="258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3">
        <f ca="1">IFERROR(__xludf.DUMMYFUNCTION("IMPORTRANGE(""https://docs.google.com/spreadsheets/d/1-uDff_7J0KD5mKrp0Vvzr7lt3OU09vwQwhkpOPPYv2Y/edit?usp=sharing"",""งบพรบ!EB66"")"),0)</f>
        <v>0</v>
      </c>
      <c r="M312" s="74">
        <f ca="1">IFERROR(__xludf.DUMMYFUNCTION("IMPORTRANGE(""https://docs.google.com/spreadsheets/d/1-uDff_7J0KD5mKrp0Vvzr7lt3OU09vwQwhkpOPPYv2Y/edit?usp=sharing"",""งบพรบ!EE66"")"),0)</f>
        <v>0</v>
      </c>
      <c r="N312" s="74">
        <f ca="1">IFERROR(__xludf.DUMMYFUNCTION("IMPORTRANGE(""https://docs.google.com/spreadsheets/d/1-uDff_7J0KD5mKrp0Vvzr7lt3OU09vwQwhkpOPPYv2Y/edit?usp=sharing"",""งบพรบ!EG66"")"),0)</f>
        <v>0</v>
      </c>
      <c r="O312" s="74">
        <f t="shared" ca="1" si="192"/>
        <v>0</v>
      </c>
      <c r="P312" s="74">
        <f t="shared" ca="1" si="193"/>
        <v>0</v>
      </c>
      <c r="Q312" s="74">
        <v>0</v>
      </c>
      <c r="R312" s="74">
        <v>0</v>
      </c>
      <c r="S312" s="74">
        <v>0</v>
      </c>
      <c r="T312" s="74">
        <f t="shared" si="195"/>
        <v>0</v>
      </c>
      <c r="U312" s="74">
        <f t="shared" si="196"/>
        <v>0</v>
      </c>
    </row>
    <row r="313" spans="1:21" ht="19.5" x14ac:dyDescent="0.3">
      <c r="A313" s="276"/>
      <c r="B313" s="277"/>
      <c r="C313" s="259" t="s">
        <v>18</v>
      </c>
      <c r="D313" s="1019" t="s">
        <v>38</v>
      </c>
      <c r="E313" s="280"/>
      <c r="F313" s="280"/>
      <c r="G313" s="2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3"/>
      <c r="E314" s="285"/>
      <c r="F314" s="285"/>
      <c r="G314" s="286"/>
      <c r="H314" s="286"/>
      <c r="I314" s="287"/>
      <c r="J314" s="1252"/>
      <c r="K314" s="30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x14ac:dyDescent="0.25">
      <c r="A315" s="276"/>
      <c r="B315" s="277"/>
      <c r="C315" s="277"/>
      <c r="D315" s="295" t="s">
        <v>121</v>
      </c>
      <c r="E315" s="296"/>
      <c r="F315" s="296"/>
      <c r="G315" s="282"/>
      <c r="H315" s="299" t="s">
        <v>35</v>
      </c>
      <c r="I315" s="293">
        <f ca="1">IFERROR(__xludf.DUMMYFUNCTION("IMPORTRANGE(""https://docs.google.com/spreadsheets/d/1eHaY18a8A9IcSdp1K8H6x8fbOy06t2VsZHhMHf-1x7Y/edit?usp=sharing"",""แผน!EF66"")"),25)</f>
        <v>25</v>
      </c>
      <c r="J315" s="294">
        <v>25</v>
      </c>
      <c r="K315" s="74">
        <f ca="1">IF(I315&gt;0,J315*100/I315,0)</f>
        <v>100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308"/>
      <c r="I316" s="1252"/>
      <c r="J316" s="1252"/>
      <c r="K316" s="1255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308"/>
      <c r="I317" s="1252"/>
      <c r="J317" s="1252"/>
      <c r="K317" s="1255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491"/>
      <c r="B318" s="492"/>
      <c r="C318" s="492"/>
      <c r="D318" s="31"/>
      <c r="E318" s="21"/>
      <c r="F318" s="21"/>
      <c r="G318" s="24"/>
      <c r="H318" s="32"/>
      <c r="I318" s="494"/>
      <c r="J318" s="494"/>
      <c r="K318" s="33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5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1307" t="s">
        <v>133</v>
      </c>
      <c r="I320" s="617">
        <f t="shared" ref="I320:J320" ca="1" si="203">I331</f>
        <v>0</v>
      </c>
      <c r="J320" s="617">
        <f t="shared" si="203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1257">
        <f t="shared" ref="L321:N321" ca="1" si="204">L322+L323</f>
        <v>0</v>
      </c>
      <c r="M321" s="264">
        <f t="shared" ca="1" si="204"/>
        <v>0</v>
      </c>
      <c r="N321" s="264">
        <f t="shared" ca="1" si="204"/>
        <v>0</v>
      </c>
      <c r="O321" s="264">
        <f t="shared" ref="O321:O329" ca="1" si="205">IF(L321&gt;0,N321*100/L321,0)</f>
        <v>0</v>
      </c>
      <c r="P321" s="264">
        <f t="shared" ref="P321:P329" ca="1" si="206">IF(M321&gt;0,N321*100/M321,0)</f>
        <v>0</v>
      </c>
      <c r="Q321" s="264">
        <f t="shared" ref="Q321:S321" si="207">Q322+Q323</f>
        <v>0</v>
      </c>
      <c r="R321" s="264">
        <f t="shared" si="207"/>
        <v>0</v>
      </c>
      <c r="S321" s="264">
        <f t="shared" si="207"/>
        <v>0</v>
      </c>
      <c r="T321" s="264">
        <f t="shared" ref="T321:T329" si="208">IF(Q321&gt;0,S321*100/Q321,0)</f>
        <v>0</v>
      </c>
      <c r="U321" s="264">
        <f t="shared" ref="U321:U329" si="209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6">
        <f t="shared" ref="L322:N323" si="210">L325+L328</f>
        <v>0</v>
      </c>
      <c r="M322" s="77">
        <f t="shared" si="210"/>
        <v>0</v>
      </c>
      <c r="N322" s="77">
        <f t="shared" si="210"/>
        <v>0</v>
      </c>
      <c r="O322" s="77">
        <f t="shared" si="205"/>
        <v>0</v>
      </c>
      <c r="P322" s="77">
        <f t="shared" si="206"/>
        <v>0</v>
      </c>
      <c r="Q322" s="77">
        <f t="shared" ref="Q322:S323" si="211">Q325+Q328</f>
        <v>0</v>
      </c>
      <c r="R322" s="77">
        <f t="shared" si="211"/>
        <v>0</v>
      </c>
      <c r="S322" s="77">
        <f t="shared" si="211"/>
        <v>0</v>
      </c>
      <c r="T322" s="77">
        <f t="shared" si="208"/>
        <v>0</v>
      </c>
      <c r="U322" s="77">
        <f t="shared" si="209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3">
        <f t="shared" ca="1" si="210"/>
        <v>0</v>
      </c>
      <c r="M323" s="74">
        <f t="shared" ca="1" si="210"/>
        <v>0</v>
      </c>
      <c r="N323" s="74">
        <f t="shared" ca="1" si="210"/>
        <v>0</v>
      </c>
      <c r="O323" s="74">
        <f t="shared" ca="1" si="205"/>
        <v>0</v>
      </c>
      <c r="P323" s="74">
        <f t="shared" ca="1" si="206"/>
        <v>0</v>
      </c>
      <c r="Q323" s="74">
        <f t="shared" si="211"/>
        <v>0</v>
      </c>
      <c r="R323" s="74">
        <f t="shared" si="211"/>
        <v>0</v>
      </c>
      <c r="S323" s="74">
        <f t="shared" si="211"/>
        <v>0</v>
      </c>
      <c r="T323" s="74">
        <f t="shared" si="208"/>
        <v>0</v>
      </c>
      <c r="U323" s="74">
        <f t="shared" si="209"/>
        <v>0</v>
      </c>
    </row>
    <row r="324" spans="1:21" ht="18.75" hidden="1" x14ac:dyDescent="0.25">
      <c r="A324" s="257"/>
      <c r="B324" s="258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3">
        <f t="shared" ref="L324:N324" ca="1" si="212">L325+L326</f>
        <v>0</v>
      </c>
      <c r="M324" s="74">
        <f t="shared" ca="1" si="212"/>
        <v>0</v>
      </c>
      <c r="N324" s="74">
        <f t="shared" ca="1" si="212"/>
        <v>0</v>
      </c>
      <c r="O324" s="74">
        <f t="shared" ca="1" si="205"/>
        <v>0</v>
      </c>
      <c r="P324" s="74">
        <f t="shared" ca="1" si="206"/>
        <v>0</v>
      </c>
      <c r="Q324" s="74">
        <f t="shared" ref="Q324:S324" si="213">Q325+Q326</f>
        <v>0</v>
      </c>
      <c r="R324" s="74">
        <f t="shared" si="213"/>
        <v>0</v>
      </c>
      <c r="S324" s="74">
        <f t="shared" si="213"/>
        <v>0</v>
      </c>
      <c r="T324" s="74">
        <f t="shared" si="208"/>
        <v>0</v>
      </c>
      <c r="U324" s="74">
        <f t="shared" si="209"/>
        <v>0</v>
      </c>
    </row>
    <row r="325" spans="1:21" ht="18.75" hidden="1" x14ac:dyDescent="0.25">
      <c r="A325" s="257"/>
      <c r="B325" s="258"/>
      <c r="C325" s="258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77">
        <f t="shared" si="205"/>
        <v>0</v>
      </c>
      <c r="P325" s="77">
        <f t="shared" si="206"/>
        <v>0</v>
      </c>
      <c r="Q325" s="77">
        <v>0</v>
      </c>
      <c r="R325" s="77">
        <v>0</v>
      </c>
      <c r="S325" s="77">
        <v>0</v>
      </c>
      <c r="T325" s="77">
        <f t="shared" si="208"/>
        <v>0</v>
      </c>
      <c r="U325" s="77">
        <f t="shared" si="209"/>
        <v>0</v>
      </c>
    </row>
    <row r="326" spans="1:21" ht="18.75" hidden="1" x14ac:dyDescent="0.25">
      <c r="A326" s="257"/>
      <c r="B326" s="258"/>
      <c r="C326" s="258"/>
      <c r="D326" s="258"/>
      <c r="E326" s="267" t="s">
        <v>37</v>
      </c>
      <c r="F326" s="258"/>
      <c r="G326" s="261"/>
      <c r="H326" s="271" t="s">
        <v>14</v>
      </c>
      <c r="I326" s="272"/>
      <c r="J326" s="272"/>
      <c r="K326" s="229"/>
      <c r="L326" s="73">
        <f ca="1">IFERROR(__xludf.DUMMYFUNCTION("IMPORTRANGE(""https://docs.google.com/spreadsheets/d/1-uDff_7J0KD5mKrp0Vvzr7lt3OU09vwQwhkpOPPYv2Y/edit?usp=sharing"",""งบพรบ!EI66"")"),0)</f>
        <v>0</v>
      </c>
      <c r="M326" s="74">
        <f ca="1">IFERROR(__xludf.DUMMYFUNCTION("IMPORTRANGE(""https://docs.google.com/spreadsheets/d/1-uDff_7J0KD5mKrp0Vvzr7lt3OU09vwQwhkpOPPYv2Y/edit?usp=sharing"",""งบพรบ!EN66"")"),0)</f>
        <v>0</v>
      </c>
      <c r="N326" s="74">
        <f ca="1">IFERROR(__xludf.DUMMYFUNCTION("IMPORTRANGE(""https://docs.google.com/spreadsheets/d/1-uDff_7J0KD5mKrp0Vvzr7lt3OU09vwQwhkpOPPYv2Y/edit?usp=sharing"",""งบพรบ!EP66"")"),0)</f>
        <v>0</v>
      </c>
      <c r="O326" s="74">
        <f t="shared" ca="1" si="205"/>
        <v>0</v>
      </c>
      <c r="P326" s="74">
        <f t="shared" ca="1" si="206"/>
        <v>0</v>
      </c>
      <c r="Q326" s="74">
        <v>0</v>
      </c>
      <c r="R326" s="74">
        <v>0</v>
      </c>
      <c r="S326" s="74">
        <v>0</v>
      </c>
      <c r="T326" s="74">
        <f t="shared" si="208"/>
        <v>0</v>
      </c>
      <c r="U326" s="74">
        <f t="shared" si="209"/>
        <v>0</v>
      </c>
    </row>
    <row r="327" spans="1:21" ht="18.75" hidden="1" x14ac:dyDescent="0.25">
      <c r="A327" s="257"/>
      <c r="B327" s="258"/>
      <c r="C327" s="258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3">
        <f t="shared" ref="L327:N327" ca="1" si="214">L328+L329</f>
        <v>0</v>
      </c>
      <c r="M327" s="74">
        <f t="shared" ca="1" si="214"/>
        <v>0</v>
      </c>
      <c r="N327" s="74">
        <f t="shared" ca="1" si="214"/>
        <v>0</v>
      </c>
      <c r="O327" s="74">
        <f t="shared" ca="1" si="205"/>
        <v>0</v>
      </c>
      <c r="P327" s="74">
        <f t="shared" ca="1" si="206"/>
        <v>0</v>
      </c>
      <c r="Q327" s="74">
        <f t="shared" ref="Q327:S327" si="215">Q328+Q329</f>
        <v>0</v>
      </c>
      <c r="R327" s="74">
        <f t="shared" si="215"/>
        <v>0</v>
      </c>
      <c r="S327" s="74">
        <f t="shared" si="215"/>
        <v>0</v>
      </c>
      <c r="T327" s="74">
        <f t="shared" si="208"/>
        <v>0</v>
      </c>
      <c r="U327" s="74">
        <f t="shared" si="209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77">
        <f t="shared" si="205"/>
        <v>0</v>
      </c>
      <c r="P328" s="77">
        <f t="shared" si="206"/>
        <v>0</v>
      </c>
      <c r="Q328" s="77">
        <v>0</v>
      </c>
      <c r="R328" s="77">
        <v>0</v>
      </c>
      <c r="S328" s="77">
        <v>0</v>
      </c>
      <c r="T328" s="77">
        <f t="shared" si="208"/>
        <v>0</v>
      </c>
      <c r="U328" s="77">
        <f t="shared" si="209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3">
        <f ca="1">IFERROR(__xludf.DUMMYFUNCTION("IMPORTRANGE(""https://docs.google.com/spreadsheets/d/1-uDff_7J0KD5mKrp0Vvzr7lt3OU09vwQwhkpOPPYv2Y/edit?usp=sharing"",""งบพรบ!EL66"")"),0)</f>
        <v>0</v>
      </c>
      <c r="M329" s="74">
        <f ca="1">IFERROR(__xludf.DUMMYFUNCTION("IMPORTRANGE(""https://docs.google.com/spreadsheets/d/1-uDff_7J0KD5mKrp0Vvzr7lt3OU09vwQwhkpOPPYv2Y/edit?usp=sharing"",""งบพรบ!EO66"")"),0)</f>
        <v>0</v>
      </c>
      <c r="N329" s="74">
        <f ca="1">IFERROR(__xludf.DUMMYFUNCTION("IMPORTRANGE(""https://docs.google.com/spreadsheets/d/1-uDff_7J0KD5mKrp0Vvzr7lt3OU09vwQwhkpOPPYv2Y/edit?usp=sharing"",""งบพรบ!EQ66"")"),0)</f>
        <v>0</v>
      </c>
      <c r="O329" s="74">
        <f t="shared" ca="1" si="205"/>
        <v>0</v>
      </c>
      <c r="P329" s="74">
        <f t="shared" ca="1" si="206"/>
        <v>0</v>
      </c>
      <c r="Q329" s="74">
        <v>0</v>
      </c>
      <c r="R329" s="74">
        <v>0</v>
      </c>
      <c r="S329" s="74">
        <v>0</v>
      </c>
      <c r="T329" s="74">
        <f t="shared" si="208"/>
        <v>0</v>
      </c>
      <c r="U329" s="74">
        <f t="shared" si="209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282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92" t="s">
        <v>133</v>
      </c>
      <c r="I331" s="293">
        <f ca="1">IFERROR(__xludf.DUMMYFUNCTION("IMPORTRANGE(""https://docs.google.com/spreadsheets/d/1eHaY18a8A9IcSdp1K8H6x8fbOy06t2VsZHhMHf-1x7Y/edit?usp=sharing"",""แผน!EJ66"")"),0)</f>
        <v>0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5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1307" t="s">
        <v>35</v>
      </c>
      <c r="I333" s="534">
        <f ca="1">I345</f>
        <v>260</v>
      </c>
      <c r="J333" s="535">
        <f ca="1">J345+J348+J349+J350+J354</f>
        <v>1221</v>
      </c>
      <c r="K333" s="536">
        <f ca="1">IF(I333&gt;0,J333*100/I333,0)</f>
        <v>469.61538461538464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1257">
        <f t="shared" ref="L334:N334" ca="1" si="216">L335+L336</f>
        <v>150100</v>
      </c>
      <c r="M334" s="264">
        <f t="shared" ca="1" si="216"/>
        <v>155100</v>
      </c>
      <c r="N334" s="264">
        <f t="shared" ca="1" si="216"/>
        <v>95752.11</v>
      </c>
      <c r="O334" s="264">
        <f t="shared" ref="O334:O342" ca="1" si="217">IF(L334&gt;0,N334*100/L334,0)</f>
        <v>63.79221185876083</v>
      </c>
      <c r="P334" s="264">
        <f t="shared" ref="P334:P342" ca="1" si="218">IF(M334&gt;0,N334*100/M334,0)</f>
        <v>61.735725338491299</v>
      </c>
      <c r="Q334" s="264">
        <f t="shared" ref="Q334:S334" si="219">Q335+Q336</f>
        <v>0</v>
      </c>
      <c r="R334" s="264">
        <f t="shared" si="219"/>
        <v>0</v>
      </c>
      <c r="S334" s="264">
        <f t="shared" si="219"/>
        <v>0</v>
      </c>
      <c r="T334" s="264">
        <f t="shared" ref="T334:T342" si="220">IF(Q334&gt;0,S334*100/Q334,0)</f>
        <v>0</v>
      </c>
      <c r="U334" s="264">
        <f t="shared" ref="U334:U342" si="221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6">
        <f t="shared" ref="L335:N336" si="222">L338+L341</f>
        <v>0</v>
      </c>
      <c r="M335" s="77">
        <f t="shared" si="222"/>
        <v>0</v>
      </c>
      <c r="N335" s="77">
        <f t="shared" si="222"/>
        <v>0</v>
      </c>
      <c r="O335" s="77">
        <f t="shared" si="217"/>
        <v>0</v>
      </c>
      <c r="P335" s="77">
        <f t="shared" si="218"/>
        <v>0</v>
      </c>
      <c r="Q335" s="77">
        <f t="shared" ref="Q335:S336" si="223">Q338+Q341</f>
        <v>0</v>
      </c>
      <c r="R335" s="77">
        <f t="shared" si="223"/>
        <v>0</v>
      </c>
      <c r="S335" s="77">
        <f t="shared" si="223"/>
        <v>0</v>
      </c>
      <c r="T335" s="77">
        <f t="shared" si="220"/>
        <v>0</v>
      </c>
      <c r="U335" s="77">
        <f t="shared" si="221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3">
        <f t="shared" ca="1" si="222"/>
        <v>150100</v>
      </c>
      <c r="M336" s="74">
        <f t="shared" ca="1" si="222"/>
        <v>155100</v>
      </c>
      <c r="N336" s="74">
        <f t="shared" ca="1" si="222"/>
        <v>95752.11</v>
      </c>
      <c r="O336" s="74">
        <f t="shared" ca="1" si="217"/>
        <v>63.79221185876083</v>
      </c>
      <c r="P336" s="74">
        <f t="shared" ca="1" si="218"/>
        <v>61.735725338491299</v>
      </c>
      <c r="Q336" s="74">
        <f t="shared" si="223"/>
        <v>0</v>
      </c>
      <c r="R336" s="74">
        <f t="shared" si="223"/>
        <v>0</v>
      </c>
      <c r="S336" s="74">
        <f t="shared" si="223"/>
        <v>0</v>
      </c>
      <c r="T336" s="74">
        <f t="shared" si="220"/>
        <v>0</v>
      </c>
      <c r="U336" s="74">
        <f t="shared" si="221"/>
        <v>0</v>
      </c>
    </row>
    <row r="337" spans="1:21" ht="18.75" x14ac:dyDescent="0.25">
      <c r="A337" s="257"/>
      <c r="B337" s="258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3">
        <f t="shared" ref="L337:N337" ca="1" si="224">L338+L339</f>
        <v>150100</v>
      </c>
      <c r="M337" s="74">
        <f t="shared" ca="1" si="224"/>
        <v>155100</v>
      </c>
      <c r="N337" s="74">
        <f t="shared" ca="1" si="224"/>
        <v>95752.11</v>
      </c>
      <c r="O337" s="74">
        <f t="shared" ca="1" si="217"/>
        <v>63.79221185876083</v>
      </c>
      <c r="P337" s="74">
        <f t="shared" ca="1" si="218"/>
        <v>61.735725338491299</v>
      </c>
      <c r="Q337" s="74">
        <f t="shared" ref="Q337:S337" si="225">Q338+Q339</f>
        <v>0</v>
      </c>
      <c r="R337" s="74">
        <f t="shared" si="225"/>
        <v>0</v>
      </c>
      <c r="S337" s="74">
        <f t="shared" si="225"/>
        <v>0</v>
      </c>
      <c r="T337" s="74">
        <f t="shared" si="220"/>
        <v>0</v>
      </c>
      <c r="U337" s="74">
        <f t="shared" si="221"/>
        <v>0</v>
      </c>
    </row>
    <row r="338" spans="1:21" ht="18.75" hidden="1" x14ac:dyDescent="0.25">
      <c r="A338" s="257"/>
      <c r="B338" s="258"/>
      <c r="C338" s="258"/>
      <c r="D338" s="258"/>
      <c r="E338" s="26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77">
        <f t="shared" si="217"/>
        <v>0</v>
      </c>
      <c r="P338" s="77">
        <f t="shared" si="218"/>
        <v>0</v>
      </c>
      <c r="Q338" s="77">
        <v>0</v>
      </c>
      <c r="R338" s="77">
        <v>0</v>
      </c>
      <c r="S338" s="77">
        <v>0</v>
      </c>
      <c r="T338" s="77">
        <f t="shared" si="220"/>
        <v>0</v>
      </c>
      <c r="U338" s="77">
        <f t="shared" si="221"/>
        <v>0</v>
      </c>
    </row>
    <row r="339" spans="1:21" ht="18.75" hidden="1" x14ac:dyDescent="0.25">
      <c r="A339" s="257"/>
      <c r="B339" s="258"/>
      <c r="C339" s="258"/>
      <c r="D339" s="258"/>
      <c r="E339" s="267" t="s">
        <v>37</v>
      </c>
      <c r="F339" s="258"/>
      <c r="G339" s="261"/>
      <c r="H339" s="271" t="s">
        <v>14</v>
      </c>
      <c r="I339" s="272"/>
      <c r="J339" s="272"/>
      <c r="K339" s="229"/>
      <c r="L339" s="73">
        <f ca="1">IFERROR(__xludf.DUMMYFUNCTION("IMPORTRANGE(""https://docs.google.com/spreadsheets/d/1-uDff_7J0KD5mKrp0Vvzr7lt3OU09vwQwhkpOPPYv2Y/edit?usp=sharing"",""งบพรบ!ES66"")"),150100)</f>
        <v>150100</v>
      </c>
      <c r="M339" s="74">
        <f ca="1">IFERROR(__xludf.DUMMYFUNCTION("IMPORTRANGE(""https://docs.google.com/spreadsheets/d/1-uDff_7J0KD5mKrp0Vvzr7lt3OU09vwQwhkpOPPYv2Y/edit?usp=sharing"",""งบพรบ!EX66"")"),155100)</f>
        <v>155100</v>
      </c>
      <c r="N339" s="74">
        <f ca="1">IFERROR(__xludf.DUMMYFUNCTION("IMPORTRANGE(""https://docs.google.com/spreadsheets/d/1-uDff_7J0KD5mKrp0Vvzr7lt3OU09vwQwhkpOPPYv2Y/edit?usp=sharing"",""งบพรบ!EZ66"")"),95752.11)</f>
        <v>95752.11</v>
      </c>
      <c r="O339" s="74">
        <f t="shared" ca="1" si="217"/>
        <v>63.79221185876083</v>
      </c>
      <c r="P339" s="74">
        <f t="shared" ca="1" si="218"/>
        <v>61.735725338491299</v>
      </c>
      <c r="Q339" s="74">
        <v>0</v>
      </c>
      <c r="R339" s="74">
        <v>0</v>
      </c>
      <c r="S339" s="74">
        <v>0</v>
      </c>
      <c r="T339" s="74">
        <f t="shared" si="220"/>
        <v>0</v>
      </c>
      <c r="U339" s="74">
        <f t="shared" si="221"/>
        <v>0</v>
      </c>
    </row>
    <row r="340" spans="1:21" ht="18.75" x14ac:dyDescent="0.25">
      <c r="A340" s="257"/>
      <c r="B340" s="258"/>
      <c r="C340" s="258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3">
        <f t="shared" ref="L340:N340" ca="1" si="226">L341+L342</f>
        <v>0</v>
      </c>
      <c r="M340" s="74">
        <f t="shared" ca="1" si="226"/>
        <v>0</v>
      </c>
      <c r="N340" s="74">
        <f t="shared" ca="1" si="226"/>
        <v>0</v>
      </c>
      <c r="O340" s="74">
        <f t="shared" ca="1" si="217"/>
        <v>0</v>
      </c>
      <c r="P340" s="74">
        <f t="shared" ca="1" si="218"/>
        <v>0</v>
      </c>
      <c r="Q340" s="74">
        <f t="shared" ref="Q340:S340" si="227">Q341+Q342</f>
        <v>0</v>
      </c>
      <c r="R340" s="74">
        <f t="shared" si="227"/>
        <v>0</v>
      </c>
      <c r="S340" s="74">
        <f t="shared" si="227"/>
        <v>0</v>
      </c>
      <c r="T340" s="74">
        <f t="shared" si="220"/>
        <v>0</v>
      </c>
      <c r="U340" s="74">
        <f t="shared" si="221"/>
        <v>0</v>
      </c>
    </row>
    <row r="341" spans="1:21" ht="18.75" hidden="1" x14ac:dyDescent="0.25">
      <c r="A341" s="257"/>
      <c r="B341" s="258"/>
      <c r="C341" s="258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77">
        <f t="shared" si="217"/>
        <v>0</v>
      </c>
      <c r="P341" s="77">
        <f t="shared" si="218"/>
        <v>0</v>
      </c>
      <c r="Q341" s="77">
        <v>0</v>
      </c>
      <c r="R341" s="77">
        <v>0</v>
      </c>
      <c r="S341" s="77">
        <v>0</v>
      </c>
      <c r="T341" s="77">
        <f t="shared" si="220"/>
        <v>0</v>
      </c>
      <c r="U341" s="77">
        <f t="shared" si="221"/>
        <v>0</v>
      </c>
    </row>
    <row r="342" spans="1:21" ht="18.75" hidden="1" x14ac:dyDescent="0.25">
      <c r="A342" s="257"/>
      <c r="B342" s="258"/>
      <c r="C342" s="258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3">
        <f ca="1">IFERROR(__xludf.DUMMYFUNCTION("IMPORTRANGE(""https://docs.google.com/spreadsheets/d/1-uDff_7J0KD5mKrp0Vvzr7lt3OU09vwQwhkpOPPYv2Y/edit?usp=sharing"",""งบพรบ!EV66"")"),0)</f>
        <v>0</v>
      </c>
      <c r="M342" s="74">
        <f ca="1">IFERROR(__xludf.DUMMYFUNCTION("IMPORTRANGE(""https://docs.google.com/spreadsheets/d/1-uDff_7J0KD5mKrp0Vvzr7lt3OU09vwQwhkpOPPYv2Y/edit?usp=sharing"",""งบพรบ!EY66"")"),0)</f>
        <v>0</v>
      </c>
      <c r="N342" s="74">
        <f ca="1">IFERROR(__xludf.DUMMYFUNCTION("IMPORTRANGE(""https://docs.google.com/spreadsheets/d/1-uDff_7J0KD5mKrp0Vvzr7lt3OU09vwQwhkpOPPYv2Y/edit?usp=sharing"",""งบพรบ!FA66"")"),0)</f>
        <v>0</v>
      </c>
      <c r="O342" s="74">
        <f t="shared" ca="1" si="217"/>
        <v>0</v>
      </c>
      <c r="P342" s="74">
        <f t="shared" ca="1" si="218"/>
        <v>0</v>
      </c>
      <c r="Q342" s="74">
        <v>0</v>
      </c>
      <c r="R342" s="74">
        <v>0</v>
      </c>
      <c r="S342" s="74">
        <v>0</v>
      </c>
      <c r="T342" s="74">
        <f t="shared" si="220"/>
        <v>0</v>
      </c>
      <c r="U342" s="74">
        <f t="shared" si="221"/>
        <v>0</v>
      </c>
    </row>
    <row r="343" spans="1:21" ht="19.5" x14ac:dyDescent="0.3">
      <c r="A343" s="276"/>
      <c r="B343" s="277"/>
      <c r="C343" s="259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81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551" t="s">
        <v>35</v>
      </c>
      <c r="I345" s="293">
        <f ca="1">IFERROR(__xludf.DUMMYFUNCTION("IMPORTRANGE(""https://docs.google.com/spreadsheets/d/1eHaY18a8A9IcSdp1K8H6x8fbOy06t2VsZHhMHf-1x7Y/edit?usp=sharing"",""แผน!EK66"")"),260)</f>
        <v>260</v>
      </c>
      <c r="J345" s="293">
        <f ca="1">IFERROR(__xludf.DUMMYFUNCTION("IMPORTRANGE(""https://docs.google.com/spreadsheets/d/1awYsYK3VOup2i3Pq_Yjnu8DRu_mYwSBnCR2QPthd0rU/edit?usp=sharing"",""ศูนย์ยกเว้นโฉนด!D66"")"),77)</f>
        <v>77</v>
      </c>
      <c r="K345" s="74">
        <f ca="1">IF(I345&gt;0,J345*100/I345,0)</f>
        <v>29.615384615384617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IFERROR(__xludf.DUMMYFUNCTION("IMPORTRANGE(""https://docs.google.com/spreadsheets/d/1eHaY18a8A9IcSdp1K8H6x8fbOy06t2VsZHhMHf-1x7Y/edit?usp=sharing"",""แผน!EL66"")"),1)</f>
        <v>1</v>
      </c>
      <c r="J347" s="293">
        <f ca="1">IFERROR(__xludf.DUMMYFUNCTION("IMPORTRANGE(""https://docs.google.com/spreadsheets/d/1awYsYK3VOup2i3Pq_Yjnu8DRu_mYwSBnCR2QPthd0rU/edit?usp=sharing"",""ศูนย์รวม!E66"")"),1)</f>
        <v>1</v>
      </c>
      <c r="K347" s="74">
        <f ca="1">IF(I347&gt;0,J347*100/I347,0)</f>
        <v>100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IFERROR(__xludf.DUMMYFUNCTION("IMPORTRANGE(""https://docs.google.com/spreadsheets/d/1awYsYK3VOup2i3Pq_Yjnu8DRu_mYwSBnCR2QPthd0rU/edit?usp=sharing"",""ศูนย์ยกเว้นโฉนด!F66"")"),0)</f>
        <v>0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IFERROR(__xludf.DUMMYFUNCTION("IMPORTRANGE(""https://docs.google.com/spreadsheets/d/1awYsYK3VOup2i3Pq_Yjnu8DRu_mYwSBnCR2QPthd0rU/edit?usp=sharing"",""ศูนย์ยกเว้นโฉนด!G66"")"),4)</f>
        <v>4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IFERROR(__xludf.DUMMYFUNCTION("IMPORTRANGE(""https://docs.google.com/spreadsheets/d/1awYsYK3VOup2i3Pq_Yjnu8DRu_mYwSBnCR2QPthd0rU/edit?usp=sharing"",""ศูนย์ยกเว้นโฉนด!H66"")"),0)</f>
        <v>0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558" t="s">
        <v>35</v>
      </c>
      <c r="I352" s="559">
        <v>0</v>
      </c>
      <c r="J352" s="559">
        <f ca="1">J353+J354</f>
        <v>1253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IFERROR(__xludf.DUMMYFUNCTION("IMPORTRANGE(""https://docs.google.com/spreadsheets/d/1awYsYK3VOup2i3Pq_Yjnu8DRu_mYwSBnCR2QPthd0rU/edit?usp=sharing"",""โฉนดM3!G66"")"),113)</f>
        <v>113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IFERROR(__xludf.DUMMYFUNCTION("IMPORTRANGE(""https://docs.google.com/spreadsheets/d/1awYsYK3VOup2i3Pq_Yjnu8DRu_mYwSBnCR2QPthd0rU/edit?usp=sharing"",""โฉนดM3!H66"")"),1140)</f>
        <v>1140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08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1257">
        <f t="shared" ref="L357:N357" ca="1" si="228">L358+L359</f>
        <v>386760</v>
      </c>
      <c r="M357" s="264">
        <f t="shared" ca="1" si="228"/>
        <v>386760</v>
      </c>
      <c r="N357" s="264">
        <f t="shared" ca="1" si="228"/>
        <v>222279</v>
      </c>
      <c r="O357" s="264">
        <f t="shared" ref="O357:O365" ca="1" si="229">IF(L357&gt;0,N357*100/L357,0)</f>
        <v>57.4720757058641</v>
      </c>
      <c r="P357" s="264">
        <f t="shared" ref="P357:P365" ca="1" si="230">IF(M357&gt;0,N357*100/M357,0)</f>
        <v>57.4720757058641</v>
      </c>
      <c r="Q357" s="264">
        <f t="shared" ref="Q357:S357" si="231">Q358+Q359</f>
        <v>0</v>
      </c>
      <c r="R357" s="264">
        <f t="shared" si="231"/>
        <v>0</v>
      </c>
      <c r="S357" s="264">
        <f t="shared" si="231"/>
        <v>0</v>
      </c>
      <c r="T357" s="264">
        <f t="shared" ref="T357:T365" si="232">IF(Q357&gt;0,S357*100/Q357,0)</f>
        <v>0</v>
      </c>
      <c r="U357" s="264">
        <f t="shared" ref="U357:U365" si="233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6">
        <f t="shared" ref="L358:N359" si="234">L361+L364</f>
        <v>0</v>
      </c>
      <c r="M358" s="77">
        <f t="shared" si="234"/>
        <v>0</v>
      </c>
      <c r="N358" s="77">
        <f t="shared" si="234"/>
        <v>0</v>
      </c>
      <c r="O358" s="77">
        <f t="shared" si="229"/>
        <v>0</v>
      </c>
      <c r="P358" s="77">
        <f t="shared" si="230"/>
        <v>0</v>
      </c>
      <c r="Q358" s="77">
        <f t="shared" ref="Q358:S359" si="235">Q361+Q364</f>
        <v>0</v>
      </c>
      <c r="R358" s="77">
        <f t="shared" si="235"/>
        <v>0</v>
      </c>
      <c r="S358" s="77">
        <f t="shared" si="235"/>
        <v>0</v>
      </c>
      <c r="T358" s="77">
        <f t="shared" si="232"/>
        <v>0</v>
      </c>
      <c r="U358" s="77">
        <f t="shared" si="233"/>
        <v>0</v>
      </c>
    </row>
    <row r="359" spans="1:21" ht="18.75" hidden="1" x14ac:dyDescent="0.25">
      <c r="A359" s="257"/>
      <c r="B359" s="258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3">
        <f t="shared" ca="1" si="234"/>
        <v>386760</v>
      </c>
      <c r="M359" s="74">
        <f t="shared" ca="1" si="234"/>
        <v>386760</v>
      </c>
      <c r="N359" s="74">
        <f t="shared" ca="1" si="234"/>
        <v>222279</v>
      </c>
      <c r="O359" s="74">
        <f t="shared" ca="1" si="229"/>
        <v>57.4720757058641</v>
      </c>
      <c r="P359" s="74">
        <f t="shared" ca="1" si="230"/>
        <v>57.4720757058641</v>
      </c>
      <c r="Q359" s="74">
        <f t="shared" si="235"/>
        <v>0</v>
      </c>
      <c r="R359" s="74">
        <f t="shared" si="235"/>
        <v>0</v>
      </c>
      <c r="S359" s="74">
        <f t="shared" si="235"/>
        <v>0</v>
      </c>
      <c r="T359" s="74">
        <f t="shared" si="232"/>
        <v>0</v>
      </c>
      <c r="U359" s="74">
        <f t="shared" si="233"/>
        <v>0</v>
      </c>
    </row>
    <row r="360" spans="1:21" ht="18.75" x14ac:dyDescent="0.25">
      <c r="A360" s="257"/>
      <c r="B360" s="258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3">
        <f t="shared" ref="L360:N360" ca="1" si="236">L361+L362</f>
        <v>386760</v>
      </c>
      <c r="M360" s="74">
        <f t="shared" ca="1" si="236"/>
        <v>386760</v>
      </c>
      <c r="N360" s="74">
        <f t="shared" ca="1" si="236"/>
        <v>222279</v>
      </c>
      <c r="O360" s="74">
        <f t="shared" ca="1" si="229"/>
        <v>57.4720757058641</v>
      </c>
      <c r="P360" s="74">
        <f t="shared" ca="1" si="230"/>
        <v>57.4720757058641</v>
      </c>
      <c r="Q360" s="74">
        <f t="shared" ref="Q360:S360" si="237">Q361+Q362</f>
        <v>0</v>
      </c>
      <c r="R360" s="74">
        <f t="shared" si="237"/>
        <v>0</v>
      </c>
      <c r="S360" s="74">
        <f t="shared" si="237"/>
        <v>0</v>
      </c>
      <c r="T360" s="74">
        <f t="shared" si="232"/>
        <v>0</v>
      </c>
      <c r="U360" s="74">
        <f t="shared" si="233"/>
        <v>0</v>
      </c>
    </row>
    <row r="361" spans="1:21" ht="18.75" hidden="1" x14ac:dyDescent="0.25">
      <c r="A361" s="257"/>
      <c r="B361" s="258"/>
      <c r="C361" s="258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77">
        <f t="shared" si="229"/>
        <v>0</v>
      </c>
      <c r="P361" s="77">
        <f t="shared" si="230"/>
        <v>0</v>
      </c>
      <c r="Q361" s="77">
        <v>0</v>
      </c>
      <c r="R361" s="77">
        <v>0</v>
      </c>
      <c r="S361" s="77">
        <v>0</v>
      </c>
      <c r="T361" s="77">
        <f t="shared" si="232"/>
        <v>0</v>
      </c>
      <c r="U361" s="77">
        <f t="shared" si="233"/>
        <v>0</v>
      </c>
    </row>
    <row r="362" spans="1:21" ht="18.75" hidden="1" x14ac:dyDescent="0.25">
      <c r="A362" s="257"/>
      <c r="B362" s="258"/>
      <c r="C362" s="258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3">
        <f ca="1">IFERROR(__xludf.DUMMYFUNCTION("IMPORTRANGE(""https://docs.google.com/spreadsheets/d/1-uDff_7J0KD5mKrp0Vvzr7lt3OU09vwQwhkpOPPYv2Y/edit?usp=sharing"",""งบพรบ!FC66"")"),386760)</f>
        <v>386760</v>
      </c>
      <c r="M362" s="74">
        <f ca="1">IFERROR(__xludf.DUMMYFUNCTION("IMPORTRANGE(""https://docs.google.com/spreadsheets/d/1-uDff_7J0KD5mKrp0Vvzr7lt3OU09vwQwhkpOPPYv2Y/edit?usp=sharing"",""งบพรบ!FH66"")"),386760)</f>
        <v>386760</v>
      </c>
      <c r="N362" s="74">
        <f ca="1">IFERROR(__xludf.DUMMYFUNCTION("IMPORTRANGE(""https://docs.google.com/spreadsheets/d/1-uDff_7J0KD5mKrp0Vvzr7lt3OU09vwQwhkpOPPYv2Y/edit?usp=sharing"",""งบพรบ!FJ66"")"),222279)</f>
        <v>222279</v>
      </c>
      <c r="O362" s="74">
        <f t="shared" ca="1" si="229"/>
        <v>57.4720757058641</v>
      </c>
      <c r="P362" s="74">
        <f t="shared" ca="1" si="230"/>
        <v>57.4720757058641</v>
      </c>
      <c r="Q362" s="74">
        <v>0</v>
      </c>
      <c r="R362" s="74">
        <v>0</v>
      </c>
      <c r="S362" s="74">
        <v>0</v>
      </c>
      <c r="T362" s="74">
        <f t="shared" si="232"/>
        <v>0</v>
      </c>
      <c r="U362" s="74">
        <f t="shared" si="233"/>
        <v>0</v>
      </c>
    </row>
    <row r="363" spans="1:21" ht="18.75" x14ac:dyDescent="0.25">
      <c r="A363" s="257"/>
      <c r="B363" s="258"/>
      <c r="C363" s="258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3">
        <f t="shared" ref="L363:N363" ca="1" si="238">L364+L365</f>
        <v>0</v>
      </c>
      <c r="M363" s="74">
        <f t="shared" ca="1" si="238"/>
        <v>0</v>
      </c>
      <c r="N363" s="74">
        <f t="shared" ca="1" si="238"/>
        <v>0</v>
      </c>
      <c r="O363" s="74">
        <f t="shared" ca="1" si="229"/>
        <v>0</v>
      </c>
      <c r="P363" s="74">
        <f t="shared" ca="1" si="230"/>
        <v>0</v>
      </c>
      <c r="Q363" s="74">
        <f t="shared" ref="Q363:S363" si="239">Q364+Q365</f>
        <v>0</v>
      </c>
      <c r="R363" s="74">
        <f t="shared" si="239"/>
        <v>0</v>
      </c>
      <c r="S363" s="74">
        <f t="shared" si="239"/>
        <v>0</v>
      </c>
      <c r="T363" s="74">
        <f t="shared" si="232"/>
        <v>0</v>
      </c>
      <c r="U363" s="74">
        <f t="shared" si="233"/>
        <v>0</v>
      </c>
    </row>
    <row r="364" spans="1:21" ht="18.75" hidden="1" x14ac:dyDescent="0.25">
      <c r="A364" s="257"/>
      <c r="B364" s="258"/>
      <c r="C364" s="258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77">
        <f t="shared" si="229"/>
        <v>0</v>
      </c>
      <c r="P364" s="77">
        <f t="shared" si="230"/>
        <v>0</v>
      </c>
      <c r="Q364" s="77">
        <v>0</v>
      </c>
      <c r="R364" s="77">
        <v>0</v>
      </c>
      <c r="S364" s="77">
        <v>0</v>
      </c>
      <c r="T364" s="77">
        <f t="shared" si="232"/>
        <v>0</v>
      </c>
      <c r="U364" s="77">
        <f t="shared" si="233"/>
        <v>0</v>
      </c>
    </row>
    <row r="365" spans="1:21" ht="18.75" hidden="1" x14ac:dyDescent="0.25">
      <c r="A365" s="257"/>
      <c r="B365" s="258"/>
      <c r="C365" s="258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3">
        <f ca="1">IFERROR(__xludf.DUMMYFUNCTION("IMPORTRANGE(""https://docs.google.com/spreadsheets/d/1-uDff_7J0KD5mKrp0Vvzr7lt3OU09vwQwhkpOPPYv2Y/edit?usp=sharing"",""งบพรบ!FF66"")"),0)</f>
        <v>0</v>
      </c>
      <c r="M365" s="74">
        <f ca="1">IFERROR(__xludf.DUMMYFUNCTION("IMPORTRANGE(""https://docs.google.com/spreadsheets/d/1-uDff_7J0KD5mKrp0Vvzr7lt3OU09vwQwhkpOPPYv2Y/edit?usp=sharing"",""งบพรบ!FI66"")"),0)</f>
        <v>0</v>
      </c>
      <c r="N365" s="74">
        <f ca="1">IFERROR(__xludf.DUMMYFUNCTION("IMPORTRANGE(""https://docs.google.com/spreadsheets/d/1-uDff_7J0KD5mKrp0Vvzr7lt3OU09vwQwhkpOPPYv2Y/edit?usp=sharing"",""งบพรบ!FK66"")"),0)</f>
        <v>0</v>
      </c>
      <c r="O365" s="74">
        <f t="shared" ca="1" si="229"/>
        <v>0</v>
      </c>
      <c r="P365" s="74">
        <f t="shared" ca="1" si="230"/>
        <v>0</v>
      </c>
      <c r="Q365" s="74">
        <v>0</v>
      </c>
      <c r="R365" s="74">
        <v>0</v>
      </c>
      <c r="S365" s="74">
        <v>0</v>
      </c>
      <c r="T365" s="74">
        <f t="shared" si="232"/>
        <v>0</v>
      </c>
      <c r="U365" s="74">
        <f t="shared" si="233"/>
        <v>0</v>
      </c>
    </row>
    <row r="366" spans="1:21" ht="19.5" x14ac:dyDescent="0.3">
      <c r="A366" s="553"/>
      <c r="B366" s="555"/>
      <c r="C366" s="554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0">I372</f>
        <v>48</v>
      </c>
      <c r="J366" s="559">
        <f t="shared" ca="1" si="240"/>
        <v>2</v>
      </c>
      <c r="K366" s="560">
        <f ca="1">IF(I366&gt;0,J366*100/I366,0)</f>
        <v>4.166666666666667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259" t="s">
        <v>18</v>
      </c>
      <c r="D367" s="1019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96"/>
      <c r="C368" s="277"/>
      <c r="D368" s="296"/>
      <c r="E368" s="767" t="s">
        <v>150</v>
      </c>
      <c r="F368" s="296"/>
      <c r="G368" s="282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IFERROR(__xludf.DUMMYFUNCTION("IMPORTRANGE(""https://docs.google.com/spreadsheets/d/1tdoBKaGub7dwA3U6UFTqxio9LNnvDCQjHKmttSEBsFQ/edit?usp=sharing"",""จัดที่ดิน!AB66"")"),27)</f>
        <v>27</v>
      </c>
      <c r="K368" s="74">
        <f t="shared" ref="K368:K373" si="241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IFERROR(__xludf.DUMMYFUNCTION("IMPORTRANGE(""https://docs.google.com/spreadsheets/d/1eHaY18a8A9IcSdp1K8H6x8fbOy06t2VsZHhMHf-1x7Y/edit?usp=sharing"",""แผน!EW66"")"),460)</f>
        <v>460</v>
      </c>
      <c r="J369" s="1190">
        <f ca="1">IFERROR(__xludf.DUMMYFUNCTION("IMPORTRANGE(""https://docs.google.com/spreadsheets/d/1tdoBKaGub7dwA3U6UFTqxio9LNnvDCQjHKmttSEBsFQ/edit?usp=sharing"",""จัดที่ดิน!AC66"")"),224.14)</f>
        <v>224.14</v>
      </c>
      <c r="K369" s="74">
        <f t="shared" ca="1" si="241"/>
        <v>48.72608695652174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99" t="s">
        <v>35</v>
      </c>
      <c r="I370" s="293">
        <f ca="1">IFERROR(__xludf.DUMMYFUNCTION("IMPORTRANGE(""https://docs.google.com/spreadsheets/d/1eHaY18a8A9IcSdp1K8H6x8fbOy06t2VsZHhMHf-1x7Y/edit?usp=sharing"",""แผน!EX66"")"),65)</f>
        <v>65</v>
      </c>
      <c r="J370" s="293">
        <f ca="1">IFERROR(__xludf.DUMMYFUNCTION("IMPORTRANGE(""https://docs.google.com/spreadsheets/d/1tdoBKaGub7dwA3U6UFTqxio9LNnvDCQjHKmttSEBsFQ/edit?usp=sharing"",""จัดที่ดิน!AD66"")"),98)</f>
        <v>98</v>
      </c>
      <c r="K370" s="74">
        <f t="shared" ca="1" si="241"/>
        <v>150.76923076923077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99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IFERROR(__xludf.DUMMYFUNCTION("IMPORTRANGE(""https://docs.google.com/spreadsheets/d/1tdoBKaGub7dwA3U6UFTqxio9LNnvDCQjHKmttSEBsFQ/edit?usp=sharing"",""จัดที่ดิน!AE66"")"),1301.79)</f>
        <v>1301.79</v>
      </c>
      <c r="K371" s="74">
        <f t="shared" si="241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99" t="s">
        <v>35</v>
      </c>
      <c r="I372" s="293">
        <f ca="1">IFERROR(__xludf.DUMMYFUNCTION("IMPORTRANGE(""https://docs.google.com/spreadsheets/d/1eHaY18a8A9IcSdp1K8H6x8fbOy06t2VsZHhMHf-1x7Y/edit?usp=sharing"",""แผน!EY66"")"),48)</f>
        <v>48</v>
      </c>
      <c r="J372" s="293">
        <f ca="1">IFERROR(__xludf.DUMMYFUNCTION("IMPORTRANGE(""https://docs.google.com/spreadsheets/d/1tdoBKaGub7dwA3U6UFTqxio9LNnvDCQjHKmttSEBsFQ/edit?usp=sharing"",""จัดที่ดิน!AF66"")"),2)</f>
        <v>2</v>
      </c>
      <c r="K372" s="74">
        <f t="shared" ca="1" si="241"/>
        <v>4.166666666666667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99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IFERROR(__xludf.DUMMYFUNCTION("IMPORTRANGE(""https://docs.google.com/spreadsheets/d/1tdoBKaGub7dwA3U6UFTqxio9LNnvDCQjHKmttSEBsFQ/edit?usp=sharing"",""จัดที่ดิน!AG66"")"),92.8)</f>
        <v>92.8</v>
      </c>
      <c r="K373" s="74">
        <f t="shared" si="241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37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2">I387+I389</f>
        <v>500</v>
      </c>
      <c r="J375" s="585">
        <f t="shared" ca="1" si="242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1257">
        <f t="shared" ref="L376:N376" si="243">L377+L378</f>
        <v>0</v>
      </c>
      <c r="M376" s="264">
        <f t="shared" si="243"/>
        <v>0</v>
      </c>
      <c r="N376" s="264">
        <f t="shared" si="243"/>
        <v>0</v>
      </c>
      <c r="O376" s="264">
        <f t="shared" ref="O376:O384" si="244">IF(L376&gt;0,N376*100/L376,0)</f>
        <v>0</v>
      </c>
      <c r="P376" s="264">
        <f t="shared" ref="P376:P384" si="245">IF(M376&gt;0,N376*100/M376,0)</f>
        <v>0</v>
      </c>
      <c r="Q376" s="264">
        <f t="shared" ref="Q376:S376" ca="1" si="246">Q377+Q378</f>
        <v>31250</v>
      </c>
      <c r="R376" s="264">
        <f t="shared" ca="1" si="246"/>
        <v>0</v>
      </c>
      <c r="S376" s="264">
        <f t="shared" ca="1" si="246"/>
        <v>0</v>
      </c>
      <c r="T376" s="264">
        <f t="shared" ref="T376:T384" ca="1" si="247">IF(Q376&gt;0,S376*100/Q376,0)</f>
        <v>0</v>
      </c>
      <c r="U376" s="264">
        <f t="shared" ref="U376:U384" ca="1" si="248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6">
        <f t="shared" ref="L377:N378" si="249">L380+L383</f>
        <v>0</v>
      </c>
      <c r="M377" s="77">
        <f t="shared" si="249"/>
        <v>0</v>
      </c>
      <c r="N377" s="77">
        <f t="shared" si="249"/>
        <v>0</v>
      </c>
      <c r="O377" s="77">
        <f t="shared" si="244"/>
        <v>0</v>
      </c>
      <c r="P377" s="77">
        <f t="shared" si="245"/>
        <v>0</v>
      </c>
      <c r="Q377" s="77">
        <f t="shared" ref="Q377:S378" si="250">Q380+Q383</f>
        <v>0</v>
      </c>
      <c r="R377" s="77">
        <f t="shared" si="250"/>
        <v>0</v>
      </c>
      <c r="S377" s="77">
        <f t="shared" si="250"/>
        <v>0</v>
      </c>
      <c r="T377" s="77">
        <f t="shared" si="247"/>
        <v>0</v>
      </c>
      <c r="U377" s="77">
        <f t="shared" si="248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3">
        <f t="shared" si="249"/>
        <v>0</v>
      </c>
      <c r="M378" s="74">
        <f t="shared" si="249"/>
        <v>0</v>
      </c>
      <c r="N378" s="74">
        <f t="shared" si="249"/>
        <v>0</v>
      </c>
      <c r="O378" s="74">
        <f t="shared" si="244"/>
        <v>0</v>
      </c>
      <c r="P378" s="74">
        <f t="shared" si="245"/>
        <v>0</v>
      </c>
      <c r="Q378" s="74">
        <f t="shared" ca="1" si="250"/>
        <v>31250</v>
      </c>
      <c r="R378" s="74">
        <f t="shared" ca="1" si="250"/>
        <v>0</v>
      </c>
      <c r="S378" s="74">
        <f t="shared" ca="1" si="250"/>
        <v>0</v>
      </c>
      <c r="T378" s="74">
        <f t="shared" ca="1" si="247"/>
        <v>0</v>
      </c>
      <c r="U378" s="74">
        <f t="shared" ca="1" si="248"/>
        <v>0</v>
      </c>
    </row>
    <row r="379" spans="1:21" ht="18.75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3">
        <f t="shared" ref="L379:N379" si="251">L380+L381</f>
        <v>0</v>
      </c>
      <c r="M379" s="74">
        <f t="shared" si="251"/>
        <v>0</v>
      </c>
      <c r="N379" s="74">
        <f t="shared" si="251"/>
        <v>0</v>
      </c>
      <c r="O379" s="74">
        <f t="shared" si="244"/>
        <v>0</v>
      </c>
      <c r="P379" s="74">
        <f t="shared" si="245"/>
        <v>0</v>
      </c>
      <c r="Q379" s="74">
        <f t="shared" ref="Q379:S379" ca="1" si="252">Q380+Q381</f>
        <v>31250</v>
      </c>
      <c r="R379" s="74">
        <f t="shared" ca="1" si="252"/>
        <v>0</v>
      </c>
      <c r="S379" s="74">
        <f t="shared" ca="1" si="252"/>
        <v>0</v>
      </c>
      <c r="T379" s="74">
        <f t="shared" ca="1" si="247"/>
        <v>0</v>
      </c>
      <c r="U379" s="74">
        <f t="shared" ca="1" si="248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77">
        <f t="shared" si="244"/>
        <v>0</v>
      </c>
      <c r="P380" s="77">
        <f t="shared" si="245"/>
        <v>0</v>
      </c>
      <c r="Q380" s="77">
        <v>0</v>
      </c>
      <c r="R380" s="77">
        <v>0</v>
      </c>
      <c r="S380" s="77">
        <v>0</v>
      </c>
      <c r="T380" s="77">
        <f t="shared" si="247"/>
        <v>0</v>
      </c>
      <c r="U380" s="77">
        <f t="shared" si="248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74">
        <f t="shared" si="244"/>
        <v>0</v>
      </c>
      <c r="P381" s="74">
        <f t="shared" si="245"/>
        <v>0</v>
      </c>
      <c r="Q381" s="74">
        <f ca="1">IFERROR(__xludf.DUMMYFUNCTION("IMPORTRANGE(""https://docs.google.com/spreadsheets/d/1ItG2mGa2ceCfYo0BwxsXqNm01IGEUdYcSSLTEv9YCik/edit?usp=sharing"",""เบิกจ่ายกองทุน!AY66"")"),31250)</f>
        <v>31250</v>
      </c>
      <c r="R381" s="74">
        <f ca="1">IFERROR(__xludf.DUMMYFUNCTION("IMPORTRANGE(""https://docs.google.com/spreadsheets/d/1ItG2mGa2ceCfYo0BwxsXqNm01IGEUdYcSSLTEv9YCik/edit?usp=sharing"",""เบิกจ่ายกองทุน!AZ66"")"),0)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IFERROR(__xludf.DUMMYFUNCTION("IMPORTRANGE(""https://docs.google.com/spreadsheets/d/1ItG2mGa2ceCfYo0BwxsXqNm01IGEUdYcSSLTEv9YCik/edit?usp=sharing"",""เบิกจ่ายกองทุน!BA66"")"),0)</f>
        <v>0</v>
      </c>
      <c r="T381" s="74">
        <f t="shared" ca="1" si="247"/>
        <v>0</v>
      </c>
      <c r="U381" s="74">
        <f t="shared" ca="1" si="248"/>
        <v>0</v>
      </c>
    </row>
    <row r="382" spans="1:21" ht="18.75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3">
        <f t="shared" ref="L382:N382" si="253">L383+L384</f>
        <v>0</v>
      </c>
      <c r="M382" s="74">
        <f t="shared" si="253"/>
        <v>0</v>
      </c>
      <c r="N382" s="74">
        <f t="shared" si="253"/>
        <v>0</v>
      </c>
      <c r="O382" s="74">
        <f t="shared" si="244"/>
        <v>0</v>
      </c>
      <c r="P382" s="74">
        <f t="shared" si="245"/>
        <v>0</v>
      </c>
      <c r="Q382" s="74">
        <f t="shared" ref="Q382:S382" si="254">Q383+Q384</f>
        <v>0</v>
      </c>
      <c r="R382" s="74">
        <f t="shared" si="254"/>
        <v>0</v>
      </c>
      <c r="S382" s="74">
        <f t="shared" si="254"/>
        <v>0</v>
      </c>
      <c r="T382" s="74">
        <f t="shared" si="247"/>
        <v>0</v>
      </c>
      <c r="U382" s="74">
        <f t="shared" si="248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77">
        <f t="shared" si="244"/>
        <v>0</v>
      </c>
      <c r="P383" s="77">
        <f t="shared" si="245"/>
        <v>0</v>
      </c>
      <c r="Q383" s="77">
        <v>0</v>
      </c>
      <c r="R383" s="77">
        <v>0</v>
      </c>
      <c r="S383" s="77">
        <v>0</v>
      </c>
      <c r="T383" s="77">
        <f t="shared" si="247"/>
        <v>0</v>
      </c>
      <c r="U383" s="77">
        <f t="shared" si="248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74">
        <f t="shared" si="244"/>
        <v>0</v>
      </c>
      <c r="P384" s="74">
        <f t="shared" si="245"/>
        <v>0</v>
      </c>
      <c r="Q384" s="74">
        <v>0</v>
      </c>
      <c r="R384" s="74">
        <v>0</v>
      </c>
      <c r="S384" s="74">
        <v>0</v>
      </c>
      <c r="T384" s="74">
        <f t="shared" si="247"/>
        <v>0</v>
      </c>
      <c r="U384" s="74">
        <f t="shared" si="248"/>
        <v>0</v>
      </c>
    </row>
    <row r="385" spans="1:21" ht="19.5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v>0</v>
      </c>
      <c r="J386" s="293">
        <f ca="1">IFERROR(__xludf.DUMMYFUNCTION("IMPORTRANGE(""https://docs.google.com/spreadsheets/d/1w5rwWK1o49a35cNtocGL0gxDwhFSTZUQu90BiH9_zqM/edit?usp=sharing"",""RTK!H66"")"),0)</f>
        <v>0</v>
      </c>
      <c r="K386" s="74">
        <f t="shared" ref="K386:K389" si="255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IFERROR(__xludf.DUMMYFUNCTION("IMPORTRANGE(""https://docs.google.com/spreadsheets/d/1w5rwWK1o49a35cNtocGL0gxDwhFSTZUQu90BiH9_zqM/edit?usp=sharing"",""RTK!G66"")"),500)</f>
        <v>500</v>
      </c>
      <c r="J387" s="293">
        <f ca="1">IFERROR(__xludf.DUMMYFUNCTION("IMPORTRANGE(""https://docs.google.com/spreadsheets/d/1w5rwWK1o49a35cNtocGL0gxDwhFSTZUQu90BiH9_zqM/edit?usp=sharing"",""RTK!I66"")"),0)</f>
        <v>0</v>
      </c>
      <c r="K387" s="74">
        <f t="shared" ca="1" si="255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x14ac:dyDescent="0.25">
      <c r="A388" s="381"/>
      <c r="B388" s="381"/>
      <c r="C388" s="381"/>
      <c r="D388" s="381"/>
      <c r="E388" s="379" t="s">
        <v>155</v>
      </c>
      <c r="F388" s="381"/>
      <c r="G388" s="1033"/>
      <c r="H388" s="216" t="s">
        <v>34</v>
      </c>
      <c r="I388" s="321">
        <v>0</v>
      </c>
      <c r="J388" s="321">
        <f ca="1">IFERROR(__xludf.DUMMYFUNCTION("IMPORTRANGE(""https://docs.google.com/spreadsheets/d/1w5rwWK1o49a35cNtocGL0gxDwhFSTZUQu90BiH9_zqM/edit?usp=sharing"",""RTK!L66"")"),0)</f>
        <v>0</v>
      </c>
      <c r="K388" s="399">
        <f t="shared" si="255"/>
        <v>0</v>
      </c>
      <c r="L388" s="540"/>
      <c r="M388" s="72"/>
      <c r="N388" s="72"/>
      <c r="O388" s="72"/>
      <c r="P388" s="72"/>
      <c r="Q388" s="72"/>
      <c r="R388" s="72"/>
      <c r="S388" s="72"/>
      <c r="T388" s="72"/>
      <c r="U388" s="72"/>
    </row>
    <row r="389" spans="1:21" ht="18.75" x14ac:dyDescent="0.25">
      <c r="A389" s="381"/>
      <c r="B389" s="381"/>
      <c r="C389" s="381"/>
      <c r="D389" s="381"/>
      <c r="E389" s="381"/>
      <c r="F389" s="381"/>
      <c r="G389" s="1033"/>
      <c r="H389" s="216" t="s">
        <v>46</v>
      </c>
      <c r="I389" s="321">
        <f ca="1">IFERROR(__xludf.DUMMYFUNCTION("IMPORTRANGE(""https://docs.google.com/spreadsheets/d/1w5rwWK1o49a35cNtocGL0gxDwhFSTZUQu90BiH9_zqM/edit?usp=sharing"",""RTK!K66"")"),0)</f>
        <v>0</v>
      </c>
      <c r="J389" s="321">
        <f ca="1">IFERROR(__xludf.DUMMYFUNCTION("IMPORTRANGE(""https://docs.google.com/spreadsheets/d/1w5rwWK1o49a35cNtocGL0gxDwhFSTZUQu90BiH9_zqM/edit?usp=sharing"",""RTK!M66"")"),0)</f>
        <v>0</v>
      </c>
      <c r="K389" s="399">
        <f t="shared" ca="1" si="255"/>
        <v>0</v>
      </c>
      <c r="L389" s="540"/>
      <c r="M389" s="72"/>
      <c r="N389" s="72"/>
      <c r="O389" s="72"/>
      <c r="P389" s="72"/>
      <c r="Q389" s="72"/>
      <c r="R389" s="72"/>
      <c r="S389" s="72"/>
      <c r="T389" s="72"/>
      <c r="U389" s="72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6">I403</f>
        <v>0</v>
      </c>
      <c r="J392" s="1189">
        <f t="shared" si="256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1257">
        <f t="shared" ref="L393:N393" si="257">L394+L395</f>
        <v>0</v>
      </c>
      <c r="M393" s="264">
        <f t="shared" si="257"/>
        <v>0</v>
      </c>
      <c r="N393" s="264">
        <f t="shared" si="257"/>
        <v>0</v>
      </c>
      <c r="O393" s="264">
        <f t="shared" ref="O393:O401" si="258">IF(L393&gt;0,N393*100/L393,0)</f>
        <v>0</v>
      </c>
      <c r="P393" s="264">
        <f t="shared" ref="P393:P401" si="259">IF(M393&gt;0,N393*100/M393,0)</f>
        <v>0</v>
      </c>
      <c r="Q393" s="264">
        <f t="shared" ref="Q393:S393" si="260">Q394+Q395</f>
        <v>0</v>
      </c>
      <c r="R393" s="264">
        <f t="shared" si="260"/>
        <v>0</v>
      </c>
      <c r="S393" s="264">
        <f t="shared" si="260"/>
        <v>0</v>
      </c>
      <c r="T393" s="264">
        <f t="shared" ref="T393:T401" si="261">IF(Q393&gt;0,S393*100/Q393,0)</f>
        <v>0</v>
      </c>
      <c r="U393" s="264">
        <f t="shared" ref="U393:U401" si="262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6">
        <f t="shared" ref="L394:N395" si="263">L397+L400</f>
        <v>0</v>
      </c>
      <c r="M394" s="77">
        <f t="shared" si="263"/>
        <v>0</v>
      </c>
      <c r="N394" s="77">
        <f t="shared" si="263"/>
        <v>0</v>
      </c>
      <c r="O394" s="77">
        <f t="shared" si="258"/>
        <v>0</v>
      </c>
      <c r="P394" s="77">
        <f t="shared" si="259"/>
        <v>0</v>
      </c>
      <c r="Q394" s="77">
        <f t="shared" ref="Q394:S395" si="264">Q397+Q400</f>
        <v>0</v>
      </c>
      <c r="R394" s="77">
        <f t="shared" si="264"/>
        <v>0</v>
      </c>
      <c r="S394" s="77">
        <f t="shared" si="264"/>
        <v>0</v>
      </c>
      <c r="T394" s="77">
        <f t="shared" si="261"/>
        <v>0</v>
      </c>
      <c r="U394" s="77">
        <f t="shared" si="262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3">
        <f t="shared" si="263"/>
        <v>0</v>
      </c>
      <c r="M395" s="74">
        <f t="shared" si="263"/>
        <v>0</v>
      </c>
      <c r="N395" s="74">
        <f t="shared" si="263"/>
        <v>0</v>
      </c>
      <c r="O395" s="74">
        <f t="shared" si="258"/>
        <v>0</v>
      </c>
      <c r="P395" s="74">
        <f t="shared" si="259"/>
        <v>0</v>
      </c>
      <c r="Q395" s="74">
        <f t="shared" si="264"/>
        <v>0</v>
      </c>
      <c r="R395" s="74">
        <f t="shared" si="264"/>
        <v>0</v>
      </c>
      <c r="S395" s="74">
        <f t="shared" si="264"/>
        <v>0</v>
      </c>
      <c r="T395" s="74">
        <f t="shared" si="261"/>
        <v>0</v>
      </c>
      <c r="U395" s="74">
        <f t="shared" si="262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3">
        <f t="shared" ref="L396:N396" si="265">L397+L398</f>
        <v>0</v>
      </c>
      <c r="M396" s="74">
        <f t="shared" si="265"/>
        <v>0</v>
      </c>
      <c r="N396" s="74">
        <f t="shared" si="265"/>
        <v>0</v>
      </c>
      <c r="O396" s="74">
        <f t="shared" si="258"/>
        <v>0</v>
      </c>
      <c r="P396" s="74">
        <f t="shared" si="259"/>
        <v>0</v>
      </c>
      <c r="Q396" s="74">
        <f t="shared" ref="Q396:S396" si="266">Q397+Q398</f>
        <v>0</v>
      </c>
      <c r="R396" s="74">
        <f t="shared" si="266"/>
        <v>0</v>
      </c>
      <c r="S396" s="74">
        <f t="shared" si="266"/>
        <v>0</v>
      </c>
      <c r="T396" s="74">
        <f t="shared" si="261"/>
        <v>0</v>
      </c>
      <c r="U396" s="74">
        <f t="shared" si="262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77">
        <f t="shared" si="258"/>
        <v>0</v>
      </c>
      <c r="P397" s="77">
        <f t="shared" si="259"/>
        <v>0</v>
      </c>
      <c r="Q397" s="77">
        <v>0</v>
      </c>
      <c r="R397" s="77">
        <v>0</v>
      </c>
      <c r="S397" s="77">
        <v>0</v>
      </c>
      <c r="T397" s="77">
        <f t="shared" si="261"/>
        <v>0</v>
      </c>
      <c r="U397" s="77">
        <f t="shared" si="262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74">
        <f t="shared" si="258"/>
        <v>0</v>
      </c>
      <c r="P398" s="74">
        <f t="shared" si="259"/>
        <v>0</v>
      </c>
      <c r="Q398" s="74">
        <v>0</v>
      </c>
      <c r="R398" s="74">
        <v>0</v>
      </c>
      <c r="S398" s="74">
        <v>0</v>
      </c>
      <c r="T398" s="74">
        <f t="shared" si="261"/>
        <v>0</v>
      </c>
      <c r="U398" s="74">
        <f t="shared" si="262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3">
        <f t="shared" ref="L399:N399" si="267">L400+L401</f>
        <v>0</v>
      </c>
      <c r="M399" s="74">
        <f t="shared" si="267"/>
        <v>0</v>
      </c>
      <c r="N399" s="74">
        <f t="shared" si="267"/>
        <v>0</v>
      </c>
      <c r="O399" s="74">
        <f t="shared" si="258"/>
        <v>0</v>
      </c>
      <c r="P399" s="74">
        <f t="shared" si="259"/>
        <v>0</v>
      </c>
      <c r="Q399" s="74">
        <f t="shared" ref="Q399:S399" si="268">Q400+Q401</f>
        <v>0</v>
      </c>
      <c r="R399" s="74">
        <f t="shared" si="268"/>
        <v>0</v>
      </c>
      <c r="S399" s="74">
        <f t="shared" si="268"/>
        <v>0</v>
      </c>
      <c r="T399" s="74">
        <f t="shared" si="261"/>
        <v>0</v>
      </c>
      <c r="U399" s="74">
        <f t="shared" si="262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77">
        <f t="shared" si="258"/>
        <v>0</v>
      </c>
      <c r="P400" s="77">
        <f t="shared" si="259"/>
        <v>0</v>
      </c>
      <c r="Q400" s="77">
        <v>0</v>
      </c>
      <c r="R400" s="77">
        <v>0</v>
      </c>
      <c r="S400" s="77">
        <v>0</v>
      </c>
      <c r="T400" s="77">
        <f t="shared" si="261"/>
        <v>0</v>
      </c>
      <c r="U400" s="77">
        <f t="shared" si="262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74">
        <f t="shared" si="258"/>
        <v>0</v>
      </c>
      <c r="P401" s="74">
        <f t="shared" si="259"/>
        <v>0</v>
      </c>
      <c r="Q401" s="74">
        <v>0</v>
      </c>
      <c r="R401" s="74">
        <v>0</v>
      </c>
      <c r="S401" s="74">
        <v>0</v>
      </c>
      <c r="T401" s="74">
        <f t="shared" si="261"/>
        <v>0</v>
      </c>
      <c r="U401" s="74">
        <f t="shared" si="262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69">I424</f>
        <v>0</v>
      </c>
      <c r="J413" s="617">
        <f t="shared" si="269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1257">
        <f t="shared" ref="L414:N414" si="270">L415+L416</f>
        <v>0</v>
      </c>
      <c r="M414" s="264">
        <f t="shared" si="270"/>
        <v>0</v>
      </c>
      <c r="N414" s="264">
        <f t="shared" si="270"/>
        <v>0</v>
      </c>
      <c r="O414" s="264">
        <f t="shared" ref="O414:O422" si="271">IF(L414&gt;0,N414*100/L414,0)</f>
        <v>0</v>
      </c>
      <c r="P414" s="264">
        <f t="shared" ref="P414:P422" si="272">IF(M414&gt;0,N414*100/M414,0)</f>
        <v>0</v>
      </c>
      <c r="Q414" s="264">
        <f t="shared" ref="Q414:S414" ca="1" si="273">Q415+Q416</f>
        <v>0</v>
      </c>
      <c r="R414" s="264">
        <f t="shared" ca="1" si="273"/>
        <v>0</v>
      </c>
      <c r="S414" s="264">
        <f t="shared" ca="1" si="273"/>
        <v>0</v>
      </c>
      <c r="T414" s="264">
        <f t="shared" ref="T414:T422" ca="1" si="274">IF(Q414&gt;0,S414*100/Q414,0)</f>
        <v>0</v>
      </c>
      <c r="U414" s="264">
        <f t="shared" ref="U414:U422" ca="1" si="275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6">
        <f t="shared" ref="L415:N416" si="276">L418+L421</f>
        <v>0</v>
      </c>
      <c r="M415" s="77">
        <f t="shared" si="276"/>
        <v>0</v>
      </c>
      <c r="N415" s="77">
        <f t="shared" si="276"/>
        <v>0</v>
      </c>
      <c r="O415" s="77">
        <f t="shared" si="271"/>
        <v>0</v>
      </c>
      <c r="P415" s="77">
        <f t="shared" si="272"/>
        <v>0</v>
      </c>
      <c r="Q415" s="77">
        <f t="shared" ref="Q415:S416" si="277">Q418+Q421</f>
        <v>0</v>
      </c>
      <c r="R415" s="77">
        <f t="shared" si="277"/>
        <v>0</v>
      </c>
      <c r="S415" s="77">
        <f t="shared" si="277"/>
        <v>0</v>
      </c>
      <c r="T415" s="77">
        <f t="shared" si="274"/>
        <v>0</v>
      </c>
      <c r="U415" s="77">
        <f t="shared" si="275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3">
        <f t="shared" si="276"/>
        <v>0</v>
      </c>
      <c r="M416" s="74">
        <f t="shared" si="276"/>
        <v>0</v>
      </c>
      <c r="N416" s="74">
        <f t="shared" si="276"/>
        <v>0</v>
      </c>
      <c r="O416" s="74">
        <f t="shared" si="271"/>
        <v>0</v>
      </c>
      <c r="P416" s="74">
        <f t="shared" si="272"/>
        <v>0</v>
      </c>
      <c r="Q416" s="74">
        <f t="shared" ca="1" si="277"/>
        <v>0</v>
      </c>
      <c r="R416" s="74">
        <f t="shared" ca="1" si="277"/>
        <v>0</v>
      </c>
      <c r="S416" s="74">
        <f t="shared" ca="1" si="277"/>
        <v>0</v>
      </c>
      <c r="T416" s="74">
        <f t="shared" ca="1" si="274"/>
        <v>0</v>
      </c>
      <c r="U416" s="74">
        <f t="shared" ca="1" si="275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3">
        <f t="shared" ref="L417:N417" si="278">L418+L419</f>
        <v>0</v>
      </c>
      <c r="M417" s="74">
        <f t="shared" si="278"/>
        <v>0</v>
      </c>
      <c r="N417" s="74">
        <f t="shared" si="278"/>
        <v>0</v>
      </c>
      <c r="O417" s="74">
        <f t="shared" si="271"/>
        <v>0</v>
      </c>
      <c r="P417" s="74">
        <f t="shared" si="272"/>
        <v>0</v>
      </c>
      <c r="Q417" s="74">
        <f t="shared" ref="Q417:S417" ca="1" si="279">Q418+Q419</f>
        <v>0</v>
      </c>
      <c r="R417" s="74">
        <f t="shared" ca="1" si="279"/>
        <v>0</v>
      </c>
      <c r="S417" s="74">
        <f t="shared" ca="1" si="279"/>
        <v>0</v>
      </c>
      <c r="T417" s="74">
        <f t="shared" ca="1" si="274"/>
        <v>0</v>
      </c>
      <c r="U417" s="74">
        <f t="shared" ca="1" si="275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77">
        <f t="shared" si="271"/>
        <v>0</v>
      </c>
      <c r="P418" s="77">
        <f t="shared" si="272"/>
        <v>0</v>
      </c>
      <c r="Q418" s="77">
        <v>0</v>
      </c>
      <c r="R418" s="77">
        <v>0</v>
      </c>
      <c r="S418" s="77">
        <v>0</v>
      </c>
      <c r="T418" s="77">
        <f t="shared" si="274"/>
        <v>0</v>
      </c>
      <c r="U418" s="77">
        <f t="shared" si="275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74">
        <f t="shared" si="271"/>
        <v>0</v>
      </c>
      <c r="P419" s="74">
        <f t="shared" si="272"/>
        <v>0</v>
      </c>
      <c r="Q419" s="74">
        <f ca="1">IFERROR(__xludf.DUMMYFUNCTION("IMPORTRANGE(""https://docs.google.com/spreadsheets/d/1ItG2mGa2ceCfYo0BwxsXqNm01IGEUdYcSSLTEv9YCik/edit?usp=sharing"",""เบิกจ่ายกองทุน!BH66"")"),0)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IFERROR(__xludf.DUMMYFUNCTION("IMPORTRANGE(""https://docs.google.com/spreadsheets/d/1ItG2mGa2ceCfYo0BwxsXqNm01IGEUdYcSSLTEv9YCik/edit?usp=sharing"",""เบิกจ่ายกองทุน!BI66"")"),0)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IFERROR(__xludf.DUMMYFUNCTION("IMPORTRANGE(""https://docs.google.com/spreadsheets/d/1ItG2mGa2ceCfYo0BwxsXqNm01IGEUdYcSSLTEv9YCik/edit?usp=sharing"",""เบิกจ่ายกองทุน!BJ66"")"),0)</f>
        <v>0</v>
      </c>
      <c r="T419" s="74">
        <f t="shared" ca="1" si="274"/>
        <v>0</v>
      </c>
      <c r="U419" s="74">
        <f t="shared" ca="1" si="275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3">
        <f t="shared" ref="L420:N420" si="280">L421+L422</f>
        <v>0</v>
      </c>
      <c r="M420" s="74">
        <f t="shared" si="280"/>
        <v>0</v>
      </c>
      <c r="N420" s="74">
        <f t="shared" si="280"/>
        <v>0</v>
      </c>
      <c r="O420" s="74">
        <f t="shared" si="271"/>
        <v>0</v>
      </c>
      <c r="P420" s="74">
        <f t="shared" si="272"/>
        <v>0</v>
      </c>
      <c r="Q420" s="74">
        <f t="shared" ref="Q420:S420" si="281">Q421+Q422</f>
        <v>0</v>
      </c>
      <c r="R420" s="74">
        <f t="shared" si="281"/>
        <v>0</v>
      </c>
      <c r="S420" s="74">
        <f t="shared" si="281"/>
        <v>0</v>
      </c>
      <c r="T420" s="74">
        <f t="shared" si="274"/>
        <v>0</v>
      </c>
      <c r="U420" s="74">
        <f t="shared" si="275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77">
        <f t="shared" si="271"/>
        <v>0</v>
      </c>
      <c r="P421" s="77">
        <f t="shared" si="272"/>
        <v>0</v>
      </c>
      <c r="Q421" s="77">
        <v>0</v>
      </c>
      <c r="R421" s="77">
        <v>0</v>
      </c>
      <c r="S421" s="77">
        <v>0</v>
      </c>
      <c r="T421" s="77">
        <f t="shared" si="274"/>
        <v>0</v>
      </c>
      <c r="U421" s="77">
        <f t="shared" si="275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74">
        <f t="shared" si="271"/>
        <v>0</v>
      </c>
      <c r="P422" s="74">
        <f t="shared" si="272"/>
        <v>0</v>
      </c>
      <c r="Q422" s="74">
        <v>0</v>
      </c>
      <c r="R422" s="74">
        <v>0</v>
      </c>
      <c r="S422" s="74">
        <v>0</v>
      </c>
      <c r="T422" s="74">
        <f t="shared" si="274"/>
        <v>0</v>
      </c>
      <c r="U422" s="74">
        <f t="shared" si="275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2">I441</f>
        <v>0</v>
      </c>
      <c r="J424" s="622">
        <f t="shared" si="282"/>
        <v>0</v>
      </c>
      <c r="K424" s="264">
        <f t="shared" ref="K424:K426" ca="1" si="283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IFERROR(__xludf.DUMMYFUNCTION("IMPORTRANGE(""https://docs.google.com/spreadsheets/d/1eHaY18a8A9IcSdp1K8H6x8fbOy06t2VsZHhMHf-1x7Y/edit?usp=sharing"",""แผน!HJ66"")"),0)</f>
        <v>0</v>
      </c>
      <c r="J425" s="622">
        <f t="shared" ref="J425:J426" si="284">J427+J429+J431</f>
        <v>0</v>
      </c>
      <c r="K425" s="264">
        <f t="shared" ca="1" si="283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IFERROR(__xludf.DUMMYFUNCTION("IMPORTRANGE(""https://docs.google.com/spreadsheets/d/1eHaY18a8A9IcSdp1K8H6x8fbOy06t2VsZHhMHf-1x7Y/edit?usp=sharing"",""แผน!HK66"")"),0)</f>
        <v>0</v>
      </c>
      <c r="J426" s="622">
        <f t="shared" si="284"/>
        <v>0</v>
      </c>
      <c r="K426" s="264">
        <f t="shared" ca="1" si="283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IFERROR(__xludf.DUMMYFUNCTION("IMPORTRANGE(""https://docs.google.com/spreadsheets/d/1eHaY18a8A9IcSdp1K8H6x8fbOy06t2VsZHhMHf-1x7Y/edit?usp=sharing"",""แผน!HJ66"")"),0)</f>
        <v>0</v>
      </c>
      <c r="J433" s="622">
        <f t="shared" ref="J433:J434" si="285">J435+J437+J439</f>
        <v>0</v>
      </c>
      <c r="K433" s="264">
        <f t="shared" ref="K433:K434" ca="1" si="286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IFERROR(__xludf.DUMMYFUNCTION("IMPORTRANGE(""https://docs.google.com/spreadsheets/d/1eHaY18a8A9IcSdp1K8H6x8fbOy06t2VsZHhMHf-1x7Y/edit?usp=sharing"",""แผน!HK66"")"),0)</f>
        <v>0</v>
      </c>
      <c r="J434" s="622">
        <f t="shared" si="285"/>
        <v>0</v>
      </c>
      <c r="K434" s="264">
        <f t="shared" ca="1" si="286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IFERROR(__xludf.DUMMYFUNCTION("IMPORTRANGE(""https://docs.google.com/spreadsheets/d/1eHaY18a8A9IcSdp1K8H6x8fbOy06t2VsZHhMHf-1x7Y/edit?usp=sharing"",""แผน!HJ66"")"),0)</f>
        <v>0</v>
      </c>
      <c r="J441" s="622">
        <f t="shared" ref="J441:J442" si="287">J443+J445+J447+J453+J455</f>
        <v>0</v>
      </c>
      <c r="K441" s="264">
        <f t="shared" ref="K441:K442" ca="1" si="288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IFERROR(__xludf.DUMMYFUNCTION("IMPORTRANGE(""https://docs.google.com/spreadsheets/d/1eHaY18a8A9IcSdp1K8H6x8fbOy06t2VsZHhMHf-1x7Y/edit?usp=sharing"",""แผน!HK66"")"),0)</f>
        <v>0</v>
      </c>
      <c r="J442" s="622">
        <f t="shared" si="287"/>
        <v>0</v>
      </c>
      <c r="K442" s="264">
        <f t="shared" ca="1" si="288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89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89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0">I458</f>
        <v>0</v>
      </c>
      <c r="J457" s="622">
        <f t="shared" si="290"/>
        <v>0</v>
      </c>
      <c r="K457" s="264">
        <f t="shared" ref="K457:K459" ca="1" si="291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IFERROR(__xludf.DUMMYFUNCTION("IMPORTRANGE(""https://docs.google.com/spreadsheets/d/1eHaY18a8A9IcSdp1K8H6x8fbOy06t2VsZHhMHf-1x7Y/edit?usp=sharing"",""แผน!HL66"")"),0)</f>
        <v>0</v>
      </c>
      <c r="J458" s="622">
        <f t="shared" ref="J458:J459" si="292">J460+J468+J474</f>
        <v>0</v>
      </c>
      <c r="K458" s="264">
        <f t="shared" ca="1" si="291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IFERROR(__xludf.DUMMYFUNCTION("IMPORTRANGE(""https://docs.google.com/spreadsheets/d/1eHaY18a8A9IcSdp1K8H6x8fbOy06t2VsZHhMHf-1x7Y/edit?usp=sharing"",""แผน!HM66"")"),0)</f>
        <v>0</v>
      </c>
      <c r="J459" s="622">
        <f t="shared" si="292"/>
        <v>0</v>
      </c>
      <c r="K459" s="264">
        <f t="shared" ca="1" si="291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3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3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4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4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5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6">J479+J481</f>
        <v>0</v>
      </c>
      <c r="K477" s="264">
        <f t="shared" si="295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6"/>
        <v>0</v>
      </c>
      <c r="K478" s="264">
        <f t="shared" si="295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IFERROR(__xludf.DUMMYFUNCTION("IMPORTRANGE(""https://docs.google.com/spreadsheets/d/1eHaY18a8A9IcSdp1K8H6x8fbOy06t2VsZHhMHf-1x7Y/edit?usp=sharing"",""แผน!HN66"")"),0)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IFERROR(__xludf.DUMMYFUNCTION("IMPORTRANGE(""https://docs.google.com/spreadsheets/d/1eHaY18a8A9IcSdp1K8H6x8fbOy06t2VsZHhMHf-1x7Y/edit?usp=sharing"",""แผน!HO66"")"),0)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7">J481</f>
        <v>0</v>
      </c>
      <c r="J485" s="622">
        <f t="shared" ref="J485:J486" si="298">J487+J489+J491</f>
        <v>0</v>
      </c>
      <c r="K485" s="264">
        <f t="shared" ref="K485:K486" si="299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7"/>
        <v>0</v>
      </c>
      <c r="J486" s="622">
        <f t="shared" si="298"/>
        <v>0</v>
      </c>
      <c r="K486" s="264">
        <f t="shared" si="299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hidden="1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0">I504</f>
        <v>0</v>
      </c>
      <c r="J493" s="617">
        <f t="shared" ca="1" si="300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1257">
        <f t="shared" ref="L494:N494" si="301">L495+L496</f>
        <v>0</v>
      </c>
      <c r="M494" s="264">
        <f t="shared" si="301"/>
        <v>0</v>
      </c>
      <c r="N494" s="264">
        <f t="shared" si="301"/>
        <v>0</v>
      </c>
      <c r="O494" s="264">
        <f t="shared" ref="O494:O502" si="302">IF(L494&gt;0,N494*100/L494,0)</f>
        <v>0</v>
      </c>
      <c r="P494" s="264">
        <f t="shared" ref="P494:P502" si="303">IF(M494&gt;0,N494*100/M494,0)</f>
        <v>0</v>
      </c>
      <c r="Q494" s="264">
        <f t="shared" ref="Q494:S494" ca="1" si="304">Q495+Q496</f>
        <v>0</v>
      </c>
      <c r="R494" s="264">
        <f t="shared" ca="1" si="304"/>
        <v>0</v>
      </c>
      <c r="S494" s="264">
        <f t="shared" ca="1" si="304"/>
        <v>0</v>
      </c>
      <c r="T494" s="264">
        <f t="shared" ref="T494:T502" ca="1" si="305">IF(Q494&gt;0,S494*100/Q494,0)</f>
        <v>0</v>
      </c>
      <c r="U494" s="264">
        <f t="shared" ref="U494:U502" ca="1" si="306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6">
        <f t="shared" ref="L495:N496" si="307">L498+L501</f>
        <v>0</v>
      </c>
      <c r="M495" s="77">
        <f t="shared" si="307"/>
        <v>0</v>
      </c>
      <c r="N495" s="77">
        <f t="shared" si="307"/>
        <v>0</v>
      </c>
      <c r="O495" s="77">
        <f t="shared" si="302"/>
        <v>0</v>
      </c>
      <c r="P495" s="77">
        <f t="shared" si="303"/>
        <v>0</v>
      </c>
      <c r="Q495" s="77">
        <f t="shared" ref="Q495:S496" si="308">Q498+Q501</f>
        <v>0</v>
      </c>
      <c r="R495" s="77">
        <f t="shared" si="308"/>
        <v>0</v>
      </c>
      <c r="S495" s="77">
        <f t="shared" si="308"/>
        <v>0</v>
      </c>
      <c r="T495" s="77">
        <f t="shared" si="305"/>
        <v>0</v>
      </c>
      <c r="U495" s="77">
        <f t="shared" si="306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3">
        <f t="shared" si="307"/>
        <v>0</v>
      </c>
      <c r="M496" s="74">
        <f t="shared" si="307"/>
        <v>0</v>
      </c>
      <c r="N496" s="74">
        <f t="shared" si="307"/>
        <v>0</v>
      </c>
      <c r="O496" s="74">
        <f t="shared" si="302"/>
        <v>0</v>
      </c>
      <c r="P496" s="74">
        <f t="shared" si="303"/>
        <v>0</v>
      </c>
      <c r="Q496" s="74">
        <f t="shared" ca="1" si="308"/>
        <v>0</v>
      </c>
      <c r="R496" s="74">
        <f t="shared" ca="1" si="308"/>
        <v>0</v>
      </c>
      <c r="S496" s="74">
        <f t="shared" ca="1" si="308"/>
        <v>0</v>
      </c>
      <c r="T496" s="74">
        <f t="shared" ca="1" si="305"/>
        <v>0</v>
      </c>
      <c r="U496" s="74">
        <f t="shared" ca="1" si="306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3">
        <f t="shared" ref="L497:N497" si="309">L498+L499</f>
        <v>0</v>
      </c>
      <c r="M497" s="74">
        <f t="shared" si="309"/>
        <v>0</v>
      </c>
      <c r="N497" s="74">
        <f t="shared" si="309"/>
        <v>0</v>
      </c>
      <c r="O497" s="74">
        <f t="shared" si="302"/>
        <v>0</v>
      </c>
      <c r="P497" s="74">
        <f t="shared" si="303"/>
        <v>0</v>
      </c>
      <c r="Q497" s="74">
        <f t="shared" ref="Q497:S497" ca="1" si="310">Q498+Q499</f>
        <v>0</v>
      </c>
      <c r="R497" s="74">
        <f t="shared" ca="1" si="310"/>
        <v>0</v>
      </c>
      <c r="S497" s="74">
        <f t="shared" ca="1" si="310"/>
        <v>0</v>
      </c>
      <c r="T497" s="74">
        <f t="shared" ca="1" si="305"/>
        <v>0</v>
      </c>
      <c r="U497" s="74">
        <f t="shared" ca="1" si="306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77">
        <f t="shared" si="302"/>
        <v>0</v>
      </c>
      <c r="P498" s="77">
        <f t="shared" si="303"/>
        <v>0</v>
      </c>
      <c r="Q498" s="77">
        <v>0</v>
      </c>
      <c r="R498" s="77">
        <v>0</v>
      </c>
      <c r="S498" s="77">
        <v>0</v>
      </c>
      <c r="T498" s="77">
        <f t="shared" si="305"/>
        <v>0</v>
      </c>
      <c r="U498" s="77">
        <f t="shared" si="306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74">
        <f t="shared" si="302"/>
        <v>0</v>
      </c>
      <c r="P499" s="74">
        <f t="shared" si="303"/>
        <v>0</v>
      </c>
      <c r="Q499" s="74">
        <f ca="1">IFERROR(__xludf.DUMMYFUNCTION("IMPORTRANGE(""https://docs.google.com/spreadsheets/d/1ItG2mGa2ceCfYo0BwxsXqNm01IGEUdYcSSLTEv9YCik/edit?usp=sharing"",""เบิกจ่ายกองทุน!X66"")"),0)</f>
        <v>0</v>
      </c>
      <c r="R499" s="74">
        <f ca="1">IFERROR(__xludf.DUMMYFUNCTION("IMPORTRANGE(""https://docs.google.com/spreadsheets/d/1ItG2mGa2ceCfYo0BwxsXqNm01IGEUdYcSSLTEv9YCik/edit?usp=sharing"",""เบิกจ่ายกองทุน!Y66"")"),0)</f>
        <v>0</v>
      </c>
      <c r="S499" s="74">
        <f ca="1">IFERROR(__xludf.DUMMYFUNCTION("IMPORTRANGE(""https://docs.google.com/spreadsheets/d/1ItG2mGa2ceCfYo0BwxsXqNm01IGEUdYcSSLTEv9YCik/edit?usp=sharing"",""เบิกจ่ายกองทุน!Z66"")"),0)</f>
        <v>0</v>
      </c>
      <c r="T499" s="74">
        <f t="shared" ca="1" si="305"/>
        <v>0</v>
      </c>
      <c r="U499" s="74">
        <f t="shared" ca="1" si="306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3">
        <f t="shared" ref="L500:N500" si="311">L501+L502</f>
        <v>0</v>
      </c>
      <c r="M500" s="74">
        <f t="shared" si="311"/>
        <v>0</v>
      </c>
      <c r="N500" s="74">
        <f t="shared" si="311"/>
        <v>0</v>
      </c>
      <c r="O500" s="74">
        <f t="shared" si="302"/>
        <v>0</v>
      </c>
      <c r="P500" s="74">
        <f t="shared" si="303"/>
        <v>0</v>
      </c>
      <c r="Q500" s="74">
        <f t="shared" ref="Q500:S500" si="312">Q501+Q502</f>
        <v>0</v>
      </c>
      <c r="R500" s="74">
        <f t="shared" si="312"/>
        <v>0</v>
      </c>
      <c r="S500" s="74">
        <f t="shared" si="312"/>
        <v>0</v>
      </c>
      <c r="T500" s="74">
        <f t="shared" si="305"/>
        <v>0</v>
      </c>
      <c r="U500" s="74">
        <f t="shared" si="306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77">
        <f t="shared" si="302"/>
        <v>0</v>
      </c>
      <c r="P501" s="77">
        <f t="shared" si="303"/>
        <v>0</v>
      </c>
      <c r="Q501" s="77">
        <v>0</v>
      </c>
      <c r="R501" s="77">
        <v>0</v>
      </c>
      <c r="S501" s="77">
        <v>0</v>
      </c>
      <c r="T501" s="77">
        <f t="shared" si="305"/>
        <v>0</v>
      </c>
      <c r="U501" s="77">
        <f t="shared" si="306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74">
        <f t="shared" si="302"/>
        <v>0</v>
      </c>
      <c r="P502" s="74">
        <f t="shared" si="303"/>
        <v>0</v>
      </c>
      <c r="Q502" s="74">
        <v>0</v>
      </c>
      <c r="R502" s="74">
        <v>0</v>
      </c>
      <c r="S502" s="74">
        <v>0</v>
      </c>
      <c r="T502" s="74">
        <f t="shared" si="305"/>
        <v>0</v>
      </c>
      <c r="U502" s="74">
        <f t="shared" si="306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IFERROR(__xludf.DUMMYFUNCTION("IMPORTRANGE(""https://docs.google.com/spreadsheets/d/1eHaY18a8A9IcSdp1K8H6x8fbOy06t2VsZHhMHf-1x7Y/edit?usp=sharing"",""แผน!GX66"")"),0)</f>
        <v>0</v>
      </c>
      <c r="J504" s="622">
        <f ca="1">IF(AND(J505=I505,J506=I506,J507=I507,J508=I508),I504,0)</f>
        <v>0</v>
      </c>
      <c r="K504" s="264">
        <f t="shared" ref="K504:K510" ca="1" si="313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IFERROR(__xludf.DUMMYFUNCTION("IMPORTRANGE(""https://docs.google.com/spreadsheets/d/1eHaY18a8A9IcSdp1K8H6x8fbOy06t2VsZHhMHf-1x7Y/edit?usp=sharing"",""แผน!GY66"")"),0)</f>
        <v>0</v>
      </c>
      <c r="J505" s="294">
        <v>0</v>
      </c>
      <c r="K505" s="74">
        <f t="shared" ca="1" si="313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IFERROR(__xludf.DUMMYFUNCTION("IMPORTRANGE(""https://docs.google.com/spreadsheets/d/1eHaY18a8A9IcSdp1K8H6x8fbOy06t2VsZHhMHf-1x7Y/edit?usp=sharing"",""แผน!GZ66"")"),0)</f>
        <v>0</v>
      </c>
      <c r="J506" s="294">
        <v>0</v>
      </c>
      <c r="K506" s="74">
        <f t="shared" ca="1" si="313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IFERROR(__xludf.DUMMYFUNCTION("IMPORTRANGE(""https://docs.google.com/spreadsheets/d/1eHaY18a8A9IcSdp1K8H6x8fbOy06t2VsZHhMHf-1x7Y/edit?usp=sharing"",""แผน!HA66"")"),0)</f>
        <v>0</v>
      </c>
      <c r="J507" s="294">
        <v>0</v>
      </c>
      <c r="K507" s="74">
        <f t="shared" ca="1" si="313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IFERROR(__xludf.DUMMYFUNCTION("IMPORTRANGE(""https://docs.google.com/spreadsheets/d/1eHaY18a8A9IcSdp1K8H6x8fbOy06t2VsZHhMHf-1x7Y/edit?usp=sharing"",""แผน!HB66"")"),0)</f>
        <v>0</v>
      </c>
      <c r="J508" s="294">
        <v>0</v>
      </c>
      <c r="K508" s="74">
        <f t="shared" ca="1" si="313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3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IFERROR(__xludf.DUMMYFUNCTION("IMPORTRANGE(""https://docs.google.com/spreadsheets/d/1eHaY18a8A9IcSdp1K8H6x8fbOy06t2VsZHhMHf-1x7Y/edit?usp=sharing"",""แผน!HC66"")"),0)</f>
        <v>0</v>
      </c>
      <c r="J510" s="761">
        <v>0</v>
      </c>
      <c r="K510" s="182">
        <f t="shared" ca="1" si="313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9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309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987" t="s">
        <v>61</v>
      </c>
      <c r="I513" s="988">
        <f t="shared" ref="I513:J513" si="314">I525</f>
        <v>0</v>
      </c>
      <c r="J513" s="988">
        <f t="shared" si="314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7">
        <f t="shared" ref="L514:N514" ca="1" si="315">L515+L516</f>
        <v>0</v>
      </c>
      <c r="M514" s="264">
        <f t="shared" ca="1" si="315"/>
        <v>0</v>
      </c>
      <c r="N514" s="264">
        <f t="shared" ca="1" si="315"/>
        <v>0</v>
      </c>
      <c r="O514" s="264">
        <f t="shared" ref="O514:O522" ca="1" si="316">IF(L514&gt;0,N514*100/L514,0)</f>
        <v>0</v>
      </c>
      <c r="P514" s="264">
        <f t="shared" ref="P514:P522" ca="1" si="317">IF(M514&gt;0,N514*100/M514,0)</f>
        <v>0</v>
      </c>
      <c r="Q514" s="264">
        <f t="shared" ref="Q514:S514" si="318">Q515+Q516</f>
        <v>0</v>
      </c>
      <c r="R514" s="264">
        <f t="shared" si="318"/>
        <v>0</v>
      </c>
      <c r="S514" s="264">
        <f t="shared" si="318"/>
        <v>0</v>
      </c>
      <c r="T514" s="264">
        <f t="shared" ref="T514:T522" si="319">IF(Q514&gt;0,S514*100/Q514,0)</f>
        <v>0</v>
      </c>
      <c r="U514" s="264">
        <f t="shared" ref="U514:U522" si="320">IF(R514&gt;0,S514*100/R514,0)</f>
        <v>0</v>
      </c>
    </row>
    <row r="515" spans="1:21" ht="18.75" hidden="1" x14ac:dyDescent="0.25">
      <c r="A515" s="257"/>
      <c r="B515" s="258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6">
        <f t="shared" ref="L515:N516" si="321">L518+L521</f>
        <v>0</v>
      </c>
      <c r="M515" s="77">
        <f t="shared" si="321"/>
        <v>0</v>
      </c>
      <c r="N515" s="77">
        <f t="shared" si="321"/>
        <v>0</v>
      </c>
      <c r="O515" s="77">
        <f t="shared" si="316"/>
        <v>0</v>
      </c>
      <c r="P515" s="77">
        <f t="shared" si="317"/>
        <v>0</v>
      </c>
      <c r="Q515" s="77">
        <f t="shared" ref="Q515:S516" si="322">Q518+Q521</f>
        <v>0</v>
      </c>
      <c r="R515" s="77">
        <f t="shared" si="322"/>
        <v>0</v>
      </c>
      <c r="S515" s="77">
        <f t="shared" si="322"/>
        <v>0</v>
      </c>
      <c r="T515" s="77">
        <f t="shared" si="319"/>
        <v>0</v>
      </c>
      <c r="U515" s="77">
        <f t="shared" si="320"/>
        <v>0</v>
      </c>
    </row>
    <row r="516" spans="1:21" ht="18.75" hidden="1" x14ac:dyDescent="0.25">
      <c r="A516" s="257"/>
      <c r="B516" s="258"/>
      <c r="C516" s="258"/>
      <c r="D516" s="258"/>
      <c r="E516" s="265" t="s">
        <v>21</v>
      </c>
      <c r="F516" s="258"/>
      <c r="G516" s="261"/>
      <c r="H516" s="266" t="s">
        <v>14</v>
      </c>
      <c r="I516" s="263"/>
      <c r="J516" s="263"/>
      <c r="K516" s="87"/>
      <c r="L516" s="73">
        <f t="shared" ca="1" si="321"/>
        <v>0</v>
      </c>
      <c r="M516" s="74">
        <f t="shared" ca="1" si="321"/>
        <v>0</v>
      </c>
      <c r="N516" s="74">
        <f t="shared" ca="1" si="321"/>
        <v>0</v>
      </c>
      <c r="O516" s="74">
        <f t="shared" ca="1" si="316"/>
        <v>0</v>
      </c>
      <c r="P516" s="74">
        <f t="shared" ca="1" si="317"/>
        <v>0</v>
      </c>
      <c r="Q516" s="74">
        <f t="shared" si="322"/>
        <v>0</v>
      </c>
      <c r="R516" s="74">
        <f t="shared" si="322"/>
        <v>0</v>
      </c>
      <c r="S516" s="74">
        <f t="shared" si="322"/>
        <v>0</v>
      </c>
      <c r="T516" s="74">
        <f t="shared" si="319"/>
        <v>0</v>
      </c>
      <c r="U516" s="74">
        <f t="shared" si="320"/>
        <v>0</v>
      </c>
    </row>
    <row r="517" spans="1:21" ht="18.75" hidden="1" x14ac:dyDescent="0.25">
      <c r="A517" s="257"/>
      <c r="B517" s="258"/>
      <c r="C517" s="258"/>
      <c r="D517" s="991" t="s">
        <v>22</v>
      </c>
      <c r="E517" s="258"/>
      <c r="F517" s="258"/>
      <c r="G517" s="261"/>
      <c r="H517" s="273" t="s">
        <v>14</v>
      </c>
      <c r="I517" s="272"/>
      <c r="J517" s="272"/>
      <c r="K517" s="229"/>
      <c r="L517" s="73">
        <f t="shared" ref="L517:N517" ca="1" si="323">L518+L519</f>
        <v>0</v>
      </c>
      <c r="M517" s="74">
        <f t="shared" ca="1" si="323"/>
        <v>0</v>
      </c>
      <c r="N517" s="74">
        <f t="shared" ca="1" si="323"/>
        <v>0</v>
      </c>
      <c r="O517" s="74">
        <f t="shared" ca="1" si="316"/>
        <v>0</v>
      </c>
      <c r="P517" s="74">
        <f t="shared" ca="1" si="317"/>
        <v>0</v>
      </c>
      <c r="Q517" s="74">
        <f t="shared" ref="Q517:S517" si="324">Q518+Q519</f>
        <v>0</v>
      </c>
      <c r="R517" s="74">
        <f t="shared" si="324"/>
        <v>0</v>
      </c>
      <c r="S517" s="74">
        <f t="shared" si="324"/>
        <v>0</v>
      </c>
      <c r="T517" s="74">
        <f t="shared" si="319"/>
        <v>0</v>
      </c>
      <c r="U517" s="74">
        <f t="shared" si="320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77">
        <f t="shared" si="316"/>
        <v>0</v>
      </c>
      <c r="P518" s="77">
        <f t="shared" si="317"/>
        <v>0</v>
      </c>
      <c r="Q518" s="77">
        <v>0</v>
      </c>
      <c r="R518" s="77">
        <v>0</v>
      </c>
      <c r="S518" s="77">
        <v>0</v>
      </c>
      <c r="T518" s="77">
        <f t="shared" si="319"/>
        <v>0</v>
      </c>
      <c r="U518" s="77">
        <f t="shared" si="320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3">
        <f ca="1">IFERROR(__xludf.DUMMYFUNCTION("IMPORTRANGE(""https://docs.google.com/spreadsheets/d/1-uDff_7J0KD5mKrp0Vvzr7lt3OU09vwQwhkpOPPYv2Y/edit?usp=sharing"",""งบพรบ!FM66"")"),0)</f>
        <v>0</v>
      </c>
      <c r="M519" s="74">
        <f ca="1">IFERROR(__xludf.DUMMYFUNCTION("IMPORTRANGE(""https://docs.google.com/spreadsheets/d/1-uDff_7J0KD5mKrp0Vvzr7lt3OU09vwQwhkpOPPYv2Y/edit?usp=sharing"",""งบพรบ!FR66"")"),0)</f>
        <v>0</v>
      </c>
      <c r="N519" s="74">
        <f ca="1">IFERROR(__xludf.DUMMYFUNCTION("IMPORTRANGE(""https://docs.google.com/spreadsheets/d/1-uDff_7J0KD5mKrp0Vvzr7lt3OU09vwQwhkpOPPYv2Y/edit?usp=sharing"",""งบพรบ!FT66"")"),0)</f>
        <v>0</v>
      </c>
      <c r="O519" s="74">
        <f t="shared" ca="1" si="316"/>
        <v>0</v>
      </c>
      <c r="P519" s="74">
        <f t="shared" ca="1" si="317"/>
        <v>0</v>
      </c>
      <c r="Q519" s="74">
        <v>0</v>
      </c>
      <c r="R519" s="74">
        <v>0</v>
      </c>
      <c r="S519" s="74">
        <v>0</v>
      </c>
      <c r="T519" s="74">
        <f t="shared" si="319"/>
        <v>0</v>
      </c>
      <c r="U519" s="74">
        <f t="shared" si="320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3">
        <f t="shared" ref="L520:N520" ca="1" si="325">L521+L522</f>
        <v>0</v>
      </c>
      <c r="M520" s="74">
        <f t="shared" ca="1" si="325"/>
        <v>0</v>
      </c>
      <c r="N520" s="74">
        <f t="shared" ca="1" si="325"/>
        <v>0</v>
      </c>
      <c r="O520" s="74">
        <f t="shared" ca="1" si="316"/>
        <v>0</v>
      </c>
      <c r="P520" s="74">
        <f t="shared" ca="1" si="317"/>
        <v>0</v>
      </c>
      <c r="Q520" s="74">
        <f t="shared" ref="Q520:S520" si="326">Q521+Q522</f>
        <v>0</v>
      </c>
      <c r="R520" s="74">
        <f t="shared" si="326"/>
        <v>0</v>
      </c>
      <c r="S520" s="74">
        <f t="shared" si="326"/>
        <v>0</v>
      </c>
      <c r="T520" s="74">
        <f t="shared" si="319"/>
        <v>0</v>
      </c>
      <c r="U520" s="74">
        <f t="shared" si="320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77">
        <f t="shared" si="316"/>
        <v>0</v>
      </c>
      <c r="P521" s="77">
        <f t="shared" si="317"/>
        <v>0</v>
      </c>
      <c r="Q521" s="77">
        <v>0</v>
      </c>
      <c r="R521" s="77">
        <v>0</v>
      </c>
      <c r="S521" s="77">
        <v>0</v>
      </c>
      <c r="T521" s="77">
        <f t="shared" si="319"/>
        <v>0</v>
      </c>
      <c r="U521" s="77">
        <f t="shared" si="320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3">
        <f ca="1">IFERROR(__xludf.DUMMYFUNCTION("IMPORTRANGE(""https://docs.google.com/spreadsheets/d/1-uDff_7J0KD5mKrp0Vvzr7lt3OU09vwQwhkpOPPYv2Y/edit?usp=sharing"",""งบพรบ!FP66"")"),0)</f>
        <v>0</v>
      </c>
      <c r="M522" s="74">
        <f ca="1">IFERROR(__xludf.DUMMYFUNCTION("IMPORTRANGE(""https://docs.google.com/spreadsheets/d/1-uDff_7J0KD5mKrp0Vvzr7lt3OU09vwQwhkpOPPYv2Y/edit?usp=sharing"",""งบพรบ!FS66"")"),0)</f>
        <v>0</v>
      </c>
      <c r="N522" s="74">
        <f ca="1">IFERROR(__xludf.DUMMYFUNCTION("IMPORTRANGE(""https://docs.google.com/spreadsheets/d/1-uDff_7J0KD5mKrp0Vvzr7lt3OU09vwQwhkpOPPYv2Y/edit?usp=sharing"",""งบพรบ!FU66"")"),0)</f>
        <v>0</v>
      </c>
      <c r="O522" s="74">
        <f t="shared" ca="1" si="316"/>
        <v>0</v>
      </c>
      <c r="P522" s="74">
        <f t="shared" ca="1" si="317"/>
        <v>0</v>
      </c>
      <c r="Q522" s="74">
        <v>0</v>
      </c>
      <c r="R522" s="74">
        <v>0</v>
      </c>
      <c r="S522" s="74">
        <v>0</v>
      </c>
      <c r="T522" s="74">
        <f t="shared" si="319"/>
        <v>0</v>
      </c>
      <c r="U522" s="74">
        <f t="shared" si="320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7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7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8">I546</f>
        <v>0</v>
      </c>
      <c r="J534" s="1002">
        <f t="shared" si="328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1257">
        <f t="shared" ref="L535:N535" si="329">L536+L537</f>
        <v>0</v>
      </c>
      <c r="M535" s="264">
        <f t="shared" si="329"/>
        <v>0</v>
      </c>
      <c r="N535" s="264">
        <f t="shared" si="329"/>
        <v>0</v>
      </c>
      <c r="O535" s="264">
        <f t="shared" ref="O535:O543" si="330">IF(L535&gt;0,N535*100/L535,0)</f>
        <v>0</v>
      </c>
      <c r="P535" s="264">
        <f t="shared" ref="P535:P543" si="331">IF(M535&gt;0,N535*100/M535,0)</f>
        <v>0</v>
      </c>
      <c r="Q535" s="264">
        <f t="shared" ref="Q535:S535" si="332">Q536+Q537</f>
        <v>0</v>
      </c>
      <c r="R535" s="264">
        <f t="shared" si="332"/>
        <v>0</v>
      </c>
      <c r="S535" s="264">
        <f t="shared" si="332"/>
        <v>0</v>
      </c>
      <c r="T535" s="264">
        <f t="shared" ref="T535:T543" si="333">IF(Q535&gt;0,S535*100/Q535,0)</f>
        <v>0</v>
      </c>
      <c r="U535" s="264">
        <f t="shared" ref="U535:U543" si="334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6">
        <f t="shared" ref="L536:N537" si="335">L539+L542</f>
        <v>0</v>
      </c>
      <c r="M536" s="77">
        <f t="shared" si="335"/>
        <v>0</v>
      </c>
      <c r="N536" s="77">
        <f t="shared" si="335"/>
        <v>0</v>
      </c>
      <c r="O536" s="77">
        <f t="shared" si="330"/>
        <v>0</v>
      </c>
      <c r="P536" s="77">
        <f t="shared" si="331"/>
        <v>0</v>
      </c>
      <c r="Q536" s="77">
        <f t="shared" ref="Q536:S537" si="336">Q539+Q542</f>
        <v>0</v>
      </c>
      <c r="R536" s="77">
        <f t="shared" si="336"/>
        <v>0</v>
      </c>
      <c r="S536" s="77">
        <f t="shared" si="336"/>
        <v>0</v>
      </c>
      <c r="T536" s="77">
        <f t="shared" si="333"/>
        <v>0</v>
      </c>
      <c r="U536" s="77">
        <f t="shared" si="334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3">
        <f t="shared" si="335"/>
        <v>0</v>
      </c>
      <c r="M537" s="74">
        <f t="shared" si="335"/>
        <v>0</v>
      </c>
      <c r="N537" s="74">
        <f t="shared" si="335"/>
        <v>0</v>
      </c>
      <c r="O537" s="74">
        <f t="shared" si="330"/>
        <v>0</v>
      </c>
      <c r="P537" s="74">
        <f t="shared" si="331"/>
        <v>0</v>
      </c>
      <c r="Q537" s="74">
        <f t="shared" si="336"/>
        <v>0</v>
      </c>
      <c r="R537" s="74">
        <f t="shared" si="336"/>
        <v>0</v>
      </c>
      <c r="S537" s="74">
        <f t="shared" si="336"/>
        <v>0</v>
      </c>
      <c r="T537" s="74">
        <f t="shared" si="333"/>
        <v>0</v>
      </c>
      <c r="U537" s="74">
        <f t="shared" si="334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3">
        <f t="shared" ref="L538:N538" si="337">L539+L540</f>
        <v>0</v>
      </c>
      <c r="M538" s="74">
        <f t="shared" si="337"/>
        <v>0</v>
      </c>
      <c r="N538" s="74">
        <f t="shared" si="337"/>
        <v>0</v>
      </c>
      <c r="O538" s="74">
        <f t="shared" si="330"/>
        <v>0</v>
      </c>
      <c r="P538" s="74">
        <f t="shared" si="331"/>
        <v>0</v>
      </c>
      <c r="Q538" s="74">
        <f t="shared" ref="Q538:S538" si="338">Q539+Q540</f>
        <v>0</v>
      </c>
      <c r="R538" s="74">
        <f t="shared" si="338"/>
        <v>0</v>
      </c>
      <c r="S538" s="74">
        <f t="shared" si="338"/>
        <v>0</v>
      </c>
      <c r="T538" s="74">
        <f t="shared" si="333"/>
        <v>0</v>
      </c>
      <c r="U538" s="74">
        <f t="shared" si="334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77">
        <f t="shared" si="330"/>
        <v>0</v>
      </c>
      <c r="P539" s="77">
        <f t="shared" si="331"/>
        <v>0</v>
      </c>
      <c r="Q539" s="77">
        <v>0</v>
      </c>
      <c r="R539" s="77">
        <v>0</v>
      </c>
      <c r="S539" s="77">
        <v>0</v>
      </c>
      <c r="T539" s="77">
        <f t="shared" si="333"/>
        <v>0</v>
      </c>
      <c r="U539" s="77">
        <f t="shared" si="334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74">
        <f t="shared" si="330"/>
        <v>0</v>
      </c>
      <c r="P540" s="74">
        <f t="shared" si="331"/>
        <v>0</v>
      </c>
      <c r="Q540" s="74">
        <v>0</v>
      </c>
      <c r="R540" s="74">
        <v>0</v>
      </c>
      <c r="S540" s="74">
        <v>0</v>
      </c>
      <c r="T540" s="74">
        <f t="shared" si="333"/>
        <v>0</v>
      </c>
      <c r="U540" s="74">
        <f t="shared" si="334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3">
        <f t="shared" ref="L541:N541" si="339">L542+L543</f>
        <v>0</v>
      </c>
      <c r="M541" s="74">
        <f t="shared" si="339"/>
        <v>0</v>
      </c>
      <c r="N541" s="74">
        <f t="shared" si="339"/>
        <v>0</v>
      </c>
      <c r="O541" s="74">
        <f t="shared" si="330"/>
        <v>0</v>
      </c>
      <c r="P541" s="74">
        <f t="shared" si="331"/>
        <v>0</v>
      </c>
      <c r="Q541" s="74">
        <f t="shared" ref="Q541:S541" si="340">Q542+Q543</f>
        <v>0</v>
      </c>
      <c r="R541" s="74">
        <f t="shared" si="340"/>
        <v>0</v>
      </c>
      <c r="S541" s="74">
        <f t="shared" si="340"/>
        <v>0</v>
      </c>
      <c r="T541" s="74">
        <f t="shared" si="333"/>
        <v>0</v>
      </c>
      <c r="U541" s="74">
        <f t="shared" si="334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77">
        <f t="shared" si="330"/>
        <v>0</v>
      </c>
      <c r="P542" s="77">
        <f t="shared" si="331"/>
        <v>0</v>
      </c>
      <c r="Q542" s="77">
        <v>0</v>
      </c>
      <c r="R542" s="77">
        <v>0</v>
      </c>
      <c r="S542" s="77">
        <v>0</v>
      </c>
      <c r="T542" s="77">
        <f t="shared" si="333"/>
        <v>0</v>
      </c>
      <c r="U542" s="77">
        <f t="shared" si="334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74">
        <f t="shared" si="330"/>
        <v>0</v>
      </c>
      <c r="P543" s="74">
        <f t="shared" si="331"/>
        <v>0</v>
      </c>
      <c r="Q543" s="74">
        <v>0</v>
      </c>
      <c r="R543" s="74">
        <v>0</v>
      </c>
      <c r="S543" s="74">
        <v>0</v>
      </c>
      <c r="T543" s="74">
        <f t="shared" si="333"/>
        <v>0</v>
      </c>
      <c r="U543" s="74">
        <f t="shared" si="334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1">I567</f>
        <v>0</v>
      </c>
      <c r="J555" s="1002">
        <f t="shared" si="341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1257">
        <f t="shared" ref="L556:N556" si="342">L557+L558</f>
        <v>0</v>
      </c>
      <c r="M556" s="264">
        <f t="shared" si="342"/>
        <v>0</v>
      </c>
      <c r="N556" s="264">
        <f t="shared" si="342"/>
        <v>0</v>
      </c>
      <c r="O556" s="264">
        <f t="shared" ref="O556:O564" si="343">IF(L556&gt;0,N556*100/L556,0)</f>
        <v>0</v>
      </c>
      <c r="P556" s="264">
        <f t="shared" ref="P556:P564" si="344">IF(M556&gt;0,N556*100/M556,0)</f>
        <v>0</v>
      </c>
      <c r="Q556" s="264">
        <f t="shared" ref="Q556:S556" si="345">Q557+Q558</f>
        <v>0</v>
      </c>
      <c r="R556" s="264">
        <f t="shared" si="345"/>
        <v>0</v>
      </c>
      <c r="S556" s="264">
        <f t="shared" si="345"/>
        <v>0</v>
      </c>
      <c r="T556" s="264">
        <f t="shared" ref="T556:T564" si="346">IF(Q556&gt;0,S556*100/Q556,0)</f>
        <v>0</v>
      </c>
      <c r="U556" s="264">
        <f t="shared" ref="U556:U564" si="347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6">
        <f t="shared" ref="L557:N558" si="348">L560+L563</f>
        <v>0</v>
      </c>
      <c r="M557" s="77">
        <f t="shared" si="348"/>
        <v>0</v>
      </c>
      <c r="N557" s="77">
        <f t="shared" si="348"/>
        <v>0</v>
      </c>
      <c r="O557" s="77">
        <f t="shared" si="343"/>
        <v>0</v>
      </c>
      <c r="P557" s="77">
        <f t="shared" si="344"/>
        <v>0</v>
      </c>
      <c r="Q557" s="77">
        <f t="shared" ref="Q557:S558" si="349">Q560+Q563</f>
        <v>0</v>
      </c>
      <c r="R557" s="77">
        <f t="shared" si="349"/>
        <v>0</v>
      </c>
      <c r="S557" s="77">
        <f t="shared" si="349"/>
        <v>0</v>
      </c>
      <c r="T557" s="77">
        <f t="shared" si="346"/>
        <v>0</v>
      </c>
      <c r="U557" s="77">
        <f t="shared" si="347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3">
        <f t="shared" si="348"/>
        <v>0</v>
      </c>
      <c r="M558" s="74">
        <f t="shared" si="348"/>
        <v>0</v>
      </c>
      <c r="N558" s="74">
        <f t="shared" si="348"/>
        <v>0</v>
      </c>
      <c r="O558" s="74">
        <f t="shared" si="343"/>
        <v>0</v>
      </c>
      <c r="P558" s="74">
        <f t="shared" si="344"/>
        <v>0</v>
      </c>
      <c r="Q558" s="74">
        <f t="shared" si="349"/>
        <v>0</v>
      </c>
      <c r="R558" s="74">
        <f t="shared" si="349"/>
        <v>0</v>
      </c>
      <c r="S558" s="74">
        <f t="shared" si="349"/>
        <v>0</v>
      </c>
      <c r="T558" s="74">
        <f t="shared" si="346"/>
        <v>0</v>
      </c>
      <c r="U558" s="74">
        <f t="shared" si="347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3">
        <f t="shared" ref="L559:N559" si="350">L560+L561</f>
        <v>0</v>
      </c>
      <c r="M559" s="74">
        <f t="shared" si="350"/>
        <v>0</v>
      </c>
      <c r="N559" s="74">
        <f t="shared" si="350"/>
        <v>0</v>
      </c>
      <c r="O559" s="74">
        <f t="shared" si="343"/>
        <v>0</v>
      </c>
      <c r="P559" s="74">
        <f t="shared" si="344"/>
        <v>0</v>
      </c>
      <c r="Q559" s="74">
        <f t="shared" ref="Q559:S559" si="351">Q560+Q561</f>
        <v>0</v>
      </c>
      <c r="R559" s="74">
        <f t="shared" si="351"/>
        <v>0</v>
      </c>
      <c r="S559" s="74">
        <f t="shared" si="351"/>
        <v>0</v>
      </c>
      <c r="T559" s="74">
        <f t="shared" si="346"/>
        <v>0</v>
      </c>
      <c r="U559" s="74">
        <f t="shared" si="347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77">
        <f t="shared" si="343"/>
        <v>0</v>
      </c>
      <c r="P560" s="77">
        <f t="shared" si="344"/>
        <v>0</v>
      </c>
      <c r="Q560" s="77">
        <v>0</v>
      </c>
      <c r="R560" s="77">
        <v>0</v>
      </c>
      <c r="S560" s="77">
        <v>0</v>
      </c>
      <c r="T560" s="77">
        <f t="shared" si="346"/>
        <v>0</v>
      </c>
      <c r="U560" s="77">
        <f t="shared" si="347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74">
        <f t="shared" si="343"/>
        <v>0</v>
      </c>
      <c r="P561" s="74">
        <f t="shared" si="344"/>
        <v>0</v>
      </c>
      <c r="Q561" s="74">
        <v>0</v>
      </c>
      <c r="R561" s="74">
        <v>0</v>
      </c>
      <c r="S561" s="74">
        <v>0</v>
      </c>
      <c r="T561" s="74">
        <f t="shared" si="346"/>
        <v>0</v>
      </c>
      <c r="U561" s="74">
        <f t="shared" si="347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3">
        <f t="shared" ref="L562:N562" si="352">L563+L564</f>
        <v>0</v>
      </c>
      <c r="M562" s="74">
        <f t="shared" si="352"/>
        <v>0</v>
      </c>
      <c r="N562" s="74">
        <f t="shared" si="352"/>
        <v>0</v>
      </c>
      <c r="O562" s="74">
        <f t="shared" si="343"/>
        <v>0</v>
      </c>
      <c r="P562" s="74">
        <f t="shared" si="344"/>
        <v>0</v>
      </c>
      <c r="Q562" s="74">
        <f t="shared" ref="Q562:S562" si="353">Q563+Q564</f>
        <v>0</v>
      </c>
      <c r="R562" s="74">
        <f t="shared" si="353"/>
        <v>0</v>
      </c>
      <c r="S562" s="74">
        <f t="shared" si="353"/>
        <v>0</v>
      </c>
      <c r="T562" s="74">
        <f t="shared" si="346"/>
        <v>0</v>
      </c>
      <c r="U562" s="74">
        <f t="shared" si="347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77">
        <f t="shared" si="343"/>
        <v>0</v>
      </c>
      <c r="P563" s="77">
        <f t="shared" si="344"/>
        <v>0</v>
      </c>
      <c r="Q563" s="77">
        <v>0</v>
      </c>
      <c r="R563" s="77">
        <v>0</v>
      </c>
      <c r="S563" s="77">
        <v>0</v>
      </c>
      <c r="T563" s="77">
        <f t="shared" si="346"/>
        <v>0</v>
      </c>
      <c r="U563" s="77">
        <f t="shared" si="347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74">
        <f t="shared" si="343"/>
        <v>0</v>
      </c>
      <c r="P564" s="74">
        <f t="shared" si="344"/>
        <v>0</v>
      </c>
      <c r="Q564" s="74">
        <v>0</v>
      </c>
      <c r="R564" s="74">
        <v>0</v>
      </c>
      <c r="S564" s="74">
        <v>0</v>
      </c>
      <c r="T564" s="74">
        <f t="shared" si="346"/>
        <v>0</v>
      </c>
      <c r="U564" s="74">
        <f t="shared" si="347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4">I588</f>
        <v>0</v>
      </c>
      <c r="J576" s="1002">
        <f t="shared" si="354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1257">
        <f t="shared" ref="L577:N577" si="355">L578+L579</f>
        <v>0</v>
      </c>
      <c r="M577" s="264">
        <f t="shared" si="355"/>
        <v>0</v>
      </c>
      <c r="N577" s="264">
        <f t="shared" si="355"/>
        <v>0</v>
      </c>
      <c r="O577" s="264">
        <f t="shared" ref="O577:O585" si="356">IF(L577&gt;0,N577*100/L577,0)</f>
        <v>0</v>
      </c>
      <c r="P577" s="264">
        <f t="shared" ref="P577:P585" si="357">IF(M577&gt;0,N577*100/M577,0)</f>
        <v>0</v>
      </c>
      <c r="Q577" s="264">
        <f t="shared" ref="Q577:S577" si="358">Q578+Q579</f>
        <v>0</v>
      </c>
      <c r="R577" s="264">
        <f t="shared" si="358"/>
        <v>0</v>
      </c>
      <c r="S577" s="264">
        <f t="shared" si="358"/>
        <v>0</v>
      </c>
      <c r="T577" s="264">
        <f t="shared" ref="T577:T585" si="359">IF(Q577&gt;0,S577*100/Q577,0)</f>
        <v>0</v>
      </c>
      <c r="U577" s="264">
        <f t="shared" ref="U577:U585" si="360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6">
        <f t="shared" ref="L578:N579" si="361">L581+L584</f>
        <v>0</v>
      </c>
      <c r="M578" s="77">
        <f t="shared" si="361"/>
        <v>0</v>
      </c>
      <c r="N578" s="77">
        <f t="shared" si="361"/>
        <v>0</v>
      </c>
      <c r="O578" s="77">
        <f t="shared" si="356"/>
        <v>0</v>
      </c>
      <c r="P578" s="77">
        <f t="shared" si="357"/>
        <v>0</v>
      </c>
      <c r="Q578" s="77">
        <f t="shared" ref="Q578:S579" si="362">Q581+Q584</f>
        <v>0</v>
      </c>
      <c r="R578" s="77">
        <f t="shared" si="362"/>
        <v>0</v>
      </c>
      <c r="S578" s="77">
        <f t="shared" si="362"/>
        <v>0</v>
      </c>
      <c r="T578" s="77">
        <f t="shared" si="359"/>
        <v>0</v>
      </c>
      <c r="U578" s="77">
        <f t="shared" si="360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3">
        <f t="shared" si="361"/>
        <v>0</v>
      </c>
      <c r="M579" s="74">
        <f t="shared" si="361"/>
        <v>0</v>
      </c>
      <c r="N579" s="74">
        <f t="shared" si="361"/>
        <v>0</v>
      </c>
      <c r="O579" s="74">
        <f t="shared" si="356"/>
        <v>0</v>
      </c>
      <c r="P579" s="74">
        <f t="shared" si="357"/>
        <v>0</v>
      </c>
      <c r="Q579" s="74">
        <f t="shared" si="362"/>
        <v>0</v>
      </c>
      <c r="R579" s="74">
        <f t="shared" si="362"/>
        <v>0</v>
      </c>
      <c r="S579" s="74">
        <f t="shared" si="362"/>
        <v>0</v>
      </c>
      <c r="T579" s="74">
        <f t="shared" si="359"/>
        <v>0</v>
      </c>
      <c r="U579" s="74">
        <f t="shared" si="360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3">
        <f t="shared" ref="L580:N580" si="363">L581+L582</f>
        <v>0</v>
      </c>
      <c r="M580" s="74">
        <f t="shared" si="363"/>
        <v>0</v>
      </c>
      <c r="N580" s="74">
        <f t="shared" si="363"/>
        <v>0</v>
      </c>
      <c r="O580" s="74">
        <f t="shared" si="356"/>
        <v>0</v>
      </c>
      <c r="P580" s="74">
        <f t="shared" si="357"/>
        <v>0</v>
      </c>
      <c r="Q580" s="74">
        <f t="shared" ref="Q580:S580" si="364">Q581+Q582</f>
        <v>0</v>
      </c>
      <c r="R580" s="74">
        <f t="shared" si="364"/>
        <v>0</v>
      </c>
      <c r="S580" s="74">
        <f t="shared" si="364"/>
        <v>0</v>
      </c>
      <c r="T580" s="74">
        <f t="shared" si="359"/>
        <v>0</v>
      </c>
      <c r="U580" s="74">
        <f t="shared" si="360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77">
        <f t="shared" si="356"/>
        <v>0</v>
      </c>
      <c r="P581" s="77">
        <f t="shared" si="357"/>
        <v>0</v>
      </c>
      <c r="Q581" s="77">
        <v>0</v>
      </c>
      <c r="R581" s="77">
        <v>0</v>
      </c>
      <c r="S581" s="77">
        <v>0</v>
      </c>
      <c r="T581" s="77">
        <f t="shared" si="359"/>
        <v>0</v>
      </c>
      <c r="U581" s="77">
        <f t="shared" si="360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74">
        <f t="shared" si="356"/>
        <v>0</v>
      </c>
      <c r="P582" s="74">
        <f t="shared" si="357"/>
        <v>0</v>
      </c>
      <c r="Q582" s="74">
        <v>0</v>
      </c>
      <c r="R582" s="74">
        <v>0</v>
      </c>
      <c r="S582" s="74">
        <v>0</v>
      </c>
      <c r="T582" s="74">
        <f t="shared" si="359"/>
        <v>0</v>
      </c>
      <c r="U582" s="74">
        <f t="shared" si="360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3">
        <f t="shared" ref="L583:N583" si="365">L584+L585</f>
        <v>0</v>
      </c>
      <c r="M583" s="74">
        <f t="shared" si="365"/>
        <v>0</v>
      </c>
      <c r="N583" s="74">
        <f t="shared" si="365"/>
        <v>0</v>
      </c>
      <c r="O583" s="74">
        <f t="shared" si="356"/>
        <v>0</v>
      </c>
      <c r="P583" s="74">
        <f t="shared" si="357"/>
        <v>0</v>
      </c>
      <c r="Q583" s="74">
        <f t="shared" ref="Q583:S583" si="366">Q584+Q585</f>
        <v>0</v>
      </c>
      <c r="R583" s="74">
        <f t="shared" si="366"/>
        <v>0</v>
      </c>
      <c r="S583" s="74">
        <f t="shared" si="366"/>
        <v>0</v>
      </c>
      <c r="T583" s="74">
        <f t="shared" si="359"/>
        <v>0</v>
      </c>
      <c r="U583" s="74">
        <f t="shared" si="360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77">
        <f t="shared" si="356"/>
        <v>0</v>
      </c>
      <c r="P584" s="77">
        <f t="shared" si="357"/>
        <v>0</v>
      </c>
      <c r="Q584" s="77">
        <v>0</v>
      </c>
      <c r="R584" s="77">
        <v>0</v>
      </c>
      <c r="S584" s="77">
        <v>0</v>
      </c>
      <c r="T584" s="77">
        <f t="shared" si="359"/>
        <v>0</v>
      </c>
      <c r="U584" s="77">
        <f t="shared" si="360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74">
        <f t="shared" si="356"/>
        <v>0</v>
      </c>
      <c r="P585" s="74">
        <f t="shared" si="357"/>
        <v>0</v>
      </c>
      <c r="Q585" s="74">
        <v>0</v>
      </c>
      <c r="R585" s="74">
        <v>0</v>
      </c>
      <c r="S585" s="74">
        <v>0</v>
      </c>
      <c r="T585" s="74">
        <f t="shared" si="359"/>
        <v>0</v>
      </c>
      <c r="U585" s="74">
        <f t="shared" si="360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1257">
        <f t="shared" ref="L600:N600" si="367">L601+L602</f>
        <v>0</v>
      </c>
      <c r="M600" s="264">
        <f t="shared" si="367"/>
        <v>0</v>
      </c>
      <c r="N600" s="264">
        <f t="shared" si="367"/>
        <v>0</v>
      </c>
      <c r="O600" s="264">
        <f t="shared" ref="O600:O608" si="368">IF(L600&gt;0,N600*100/L600,0)</f>
        <v>0</v>
      </c>
      <c r="P600" s="264">
        <f t="shared" ref="P600:P608" si="369">IF(M600&gt;0,N600*100/M600,0)</f>
        <v>0</v>
      </c>
      <c r="Q600" s="264">
        <f t="shared" ref="Q600:S600" si="370">Q601+Q602</f>
        <v>0</v>
      </c>
      <c r="R600" s="264">
        <f t="shared" si="370"/>
        <v>0</v>
      </c>
      <c r="S600" s="264">
        <f t="shared" si="370"/>
        <v>0</v>
      </c>
      <c r="T600" s="264">
        <f t="shared" ref="T600:T608" si="371">IF(Q600&gt;0,S600*100/Q600,0)</f>
        <v>0</v>
      </c>
      <c r="U600" s="264">
        <f t="shared" ref="U600:U608" si="372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6">
        <f t="shared" ref="L601:N602" si="373">L604+L607</f>
        <v>0</v>
      </c>
      <c r="M601" s="77">
        <f t="shared" si="373"/>
        <v>0</v>
      </c>
      <c r="N601" s="77">
        <f t="shared" si="373"/>
        <v>0</v>
      </c>
      <c r="O601" s="77">
        <f t="shared" si="368"/>
        <v>0</v>
      </c>
      <c r="P601" s="77">
        <f t="shared" si="369"/>
        <v>0</v>
      </c>
      <c r="Q601" s="77">
        <f t="shared" ref="Q601:S602" si="374">Q604+Q607</f>
        <v>0</v>
      </c>
      <c r="R601" s="77">
        <f t="shared" si="374"/>
        <v>0</v>
      </c>
      <c r="S601" s="77">
        <f t="shared" si="374"/>
        <v>0</v>
      </c>
      <c r="T601" s="77">
        <f t="shared" si="371"/>
        <v>0</v>
      </c>
      <c r="U601" s="77">
        <f t="shared" si="372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3">
        <f t="shared" si="373"/>
        <v>0</v>
      </c>
      <c r="M602" s="74">
        <f t="shared" si="373"/>
        <v>0</v>
      </c>
      <c r="N602" s="74">
        <f t="shared" si="373"/>
        <v>0</v>
      </c>
      <c r="O602" s="74">
        <f t="shared" si="368"/>
        <v>0</v>
      </c>
      <c r="P602" s="74">
        <f t="shared" si="369"/>
        <v>0</v>
      </c>
      <c r="Q602" s="74">
        <f t="shared" si="374"/>
        <v>0</v>
      </c>
      <c r="R602" s="74">
        <f t="shared" si="374"/>
        <v>0</v>
      </c>
      <c r="S602" s="74">
        <f t="shared" si="374"/>
        <v>0</v>
      </c>
      <c r="T602" s="74">
        <f t="shared" si="371"/>
        <v>0</v>
      </c>
      <c r="U602" s="74">
        <f t="shared" si="372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3">
        <f t="shared" ref="L603:N603" si="375">L604+L605</f>
        <v>0</v>
      </c>
      <c r="M603" s="74">
        <f t="shared" si="375"/>
        <v>0</v>
      </c>
      <c r="N603" s="74">
        <f t="shared" si="375"/>
        <v>0</v>
      </c>
      <c r="O603" s="74">
        <f t="shared" si="368"/>
        <v>0</v>
      </c>
      <c r="P603" s="74">
        <f t="shared" si="369"/>
        <v>0</v>
      </c>
      <c r="Q603" s="74">
        <f t="shared" ref="Q603:S603" si="376">Q604+Q605</f>
        <v>0</v>
      </c>
      <c r="R603" s="74">
        <f t="shared" si="376"/>
        <v>0</v>
      </c>
      <c r="S603" s="74">
        <f t="shared" si="376"/>
        <v>0</v>
      </c>
      <c r="T603" s="74">
        <f t="shared" si="371"/>
        <v>0</v>
      </c>
      <c r="U603" s="74">
        <f t="shared" si="372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77">
        <f t="shared" si="368"/>
        <v>0</v>
      </c>
      <c r="P604" s="77">
        <f t="shared" si="369"/>
        <v>0</v>
      </c>
      <c r="Q604" s="77">
        <v>0</v>
      </c>
      <c r="R604" s="77">
        <v>0</v>
      </c>
      <c r="S604" s="77">
        <v>0</v>
      </c>
      <c r="T604" s="77">
        <f t="shared" si="371"/>
        <v>0</v>
      </c>
      <c r="U604" s="77">
        <f t="shared" si="372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74">
        <f t="shared" si="368"/>
        <v>0</v>
      </c>
      <c r="P605" s="74">
        <f t="shared" si="369"/>
        <v>0</v>
      </c>
      <c r="Q605" s="74">
        <v>0</v>
      </c>
      <c r="R605" s="74">
        <v>0</v>
      </c>
      <c r="S605" s="74">
        <v>0</v>
      </c>
      <c r="T605" s="74">
        <f t="shared" si="371"/>
        <v>0</v>
      </c>
      <c r="U605" s="74">
        <f t="shared" si="372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3">
        <f t="shared" ref="L606:N606" si="377">L607+L608</f>
        <v>0</v>
      </c>
      <c r="M606" s="74">
        <f t="shared" si="377"/>
        <v>0</v>
      </c>
      <c r="N606" s="74">
        <f t="shared" si="377"/>
        <v>0</v>
      </c>
      <c r="O606" s="74">
        <f t="shared" si="368"/>
        <v>0</v>
      </c>
      <c r="P606" s="74">
        <f t="shared" si="369"/>
        <v>0</v>
      </c>
      <c r="Q606" s="74">
        <f t="shared" ref="Q606:S606" si="378">Q607+Q608</f>
        <v>0</v>
      </c>
      <c r="R606" s="74">
        <f t="shared" si="378"/>
        <v>0</v>
      </c>
      <c r="S606" s="74">
        <f t="shared" si="378"/>
        <v>0</v>
      </c>
      <c r="T606" s="74">
        <f t="shared" si="371"/>
        <v>0</v>
      </c>
      <c r="U606" s="74">
        <f t="shared" si="372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77">
        <f t="shared" si="368"/>
        <v>0</v>
      </c>
      <c r="P607" s="77">
        <f t="shared" si="369"/>
        <v>0</v>
      </c>
      <c r="Q607" s="77">
        <v>0</v>
      </c>
      <c r="R607" s="77">
        <v>0</v>
      </c>
      <c r="S607" s="77">
        <v>0</v>
      </c>
      <c r="T607" s="77">
        <f t="shared" si="371"/>
        <v>0</v>
      </c>
      <c r="U607" s="77">
        <f t="shared" si="372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74">
        <f t="shared" si="368"/>
        <v>0</v>
      </c>
      <c r="P608" s="74">
        <f t="shared" si="369"/>
        <v>0</v>
      </c>
      <c r="Q608" s="74">
        <v>0</v>
      </c>
      <c r="R608" s="74">
        <v>0</v>
      </c>
      <c r="S608" s="74">
        <v>0</v>
      </c>
      <c r="T608" s="74">
        <f t="shared" si="371"/>
        <v>0</v>
      </c>
      <c r="U608" s="74">
        <f t="shared" si="372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hidden="1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740">
        <f t="shared" ref="I616:J616" ca="1" si="379">I627</f>
        <v>50</v>
      </c>
      <c r="J616" s="740">
        <f t="shared" si="379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1257">
        <f t="shared" ref="L617:N617" si="380">L618+L619</f>
        <v>0</v>
      </c>
      <c r="M617" s="264">
        <f t="shared" si="380"/>
        <v>0</v>
      </c>
      <c r="N617" s="264">
        <f t="shared" si="380"/>
        <v>0</v>
      </c>
      <c r="O617" s="264">
        <f t="shared" ref="O617:O625" si="381">IF(L617&gt;0,N617*100/L617,0)</f>
        <v>0</v>
      </c>
      <c r="P617" s="264">
        <f t="shared" ref="P617:P625" si="382">IF(M617&gt;0,N617*100/M617,0)</f>
        <v>0</v>
      </c>
      <c r="Q617" s="264">
        <f t="shared" ref="Q617:S617" ca="1" si="383">Q618+Q619</f>
        <v>7300</v>
      </c>
      <c r="R617" s="264">
        <f t="shared" ca="1" si="383"/>
        <v>7300</v>
      </c>
      <c r="S617" s="264">
        <f t="shared" ca="1" si="383"/>
        <v>0</v>
      </c>
      <c r="T617" s="264">
        <f t="shared" ref="T617:T625" ca="1" si="384">IF(Q617&gt;0,S617*100/Q617,0)</f>
        <v>0</v>
      </c>
      <c r="U617" s="264">
        <f t="shared" ref="U617:U625" ca="1" si="385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6">
        <f t="shared" ref="L618:N619" si="386">L621+L624</f>
        <v>0</v>
      </c>
      <c r="M618" s="77">
        <f t="shared" si="386"/>
        <v>0</v>
      </c>
      <c r="N618" s="77">
        <f t="shared" si="386"/>
        <v>0</v>
      </c>
      <c r="O618" s="77">
        <f t="shared" si="381"/>
        <v>0</v>
      </c>
      <c r="P618" s="77">
        <f t="shared" si="382"/>
        <v>0</v>
      </c>
      <c r="Q618" s="77">
        <f t="shared" ref="Q618:S619" si="387">Q621+Q624</f>
        <v>0</v>
      </c>
      <c r="R618" s="77">
        <f t="shared" si="387"/>
        <v>0</v>
      </c>
      <c r="S618" s="77">
        <f t="shared" si="387"/>
        <v>0</v>
      </c>
      <c r="T618" s="77">
        <f t="shared" si="384"/>
        <v>0</v>
      </c>
      <c r="U618" s="77">
        <f t="shared" si="385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3">
        <f t="shared" si="386"/>
        <v>0</v>
      </c>
      <c r="M619" s="74">
        <f t="shared" si="386"/>
        <v>0</v>
      </c>
      <c r="N619" s="74">
        <f t="shared" si="386"/>
        <v>0</v>
      </c>
      <c r="O619" s="74">
        <f t="shared" si="381"/>
        <v>0</v>
      </c>
      <c r="P619" s="74">
        <f t="shared" si="382"/>
        <v>0</v>
      </c>
      <c r="Q619" s="74">
        <f t="shared" ca="1" si="387"/>
        <v>7300</v>
      </c>
      <c r="R619" s="74">
        <f t="shared" ca="1" si="387"/>
        <v>7300</v>
      </c>
      <c r="S619" s="74">
        <f t="shared" ca="1" si="387"/>
        <v>0</v>
      </c>
      <c r="T619" s="74">
        <f t="shared" ca="1" si="384"/>
        <v>0</v>
      </c>
      <c r="U619" s="74">
        <f t="shared" ca="1" si="385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3">
        <f t="shared" ref="L620:N620" si="388">L621+L622</f>
        <v>0</v>
      </c>
      <c r="M620" s="74">
        <f t="shared" si="388"/>
        <v>0</v>
      </c>
      <c r="N620" s="74">
        <f t="shared" si="388"/>
        <v>0</v>
      </c>
      <c r="O620" s="74">
        <f t="shared" si="381"/>
        <v>0</v>
      </c>
      <c r="P620" s="74">
        <f t="shared" si="382"/>
        <v>0</v>
      </c>
      <c r="Q620" s="74">
        <f t="shared" ref="Q620:S620" ca="1" si="389">Q621+Q622</f>
        <v>7300</v>
      </c>
      <c r="R620" s="74">
        <f t="shared" ca="1" si="389"/>
        <v>7300</v>
      </c>
      <c r="S620" s="74">
        <f t="shared" ca="1" si="389"/>
        <v>0</v>
      </c>
      <c r="T620" s="74">
        <f t="shared" ca="1" si="384"/>
        <v>0</v>
      </c>
      <c r="U620" s="74">
        <f t="shared" ca="1" si="385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77">
        <f t="shared" si="381"/>
        <v>0</v>
      </c>
      <c r="P621" s="77">
        <f t="shared" si="382"/>
        <v>0</v>
      </c>
      <c r="Q621" s="77">
        <v>0</v>
      </c>
      <c r="R621" s="77">
        <v>0</v>
      </c>
      <c r="S621" s="77">
        <v>0</v>
      </c>
      <c r="T621" s="77">
        <f t="shared" si="384"/>
        <v>0</v>
      </c>
      <c r="U621" s="77">
        <f t="shared" si="385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74">
        <f t="shared" si="381"/>
        <v>0</v>
      </c>
      <c r="P622" s="74">
        <f t="shared" si="382"/>
        <v>0</v>
      </c>
      <c r="Q622" s="74">
        <f ca="1">IFERROR(__xludf.DUMMYFUNCTION("IMPORTRANGE(""https://docs.google.com/spreadsheets/d/1ItG2mGa2ceCfYo0BwxsXqNm01IGEUdYcSSLTEv9YCik/edit?usp=sharing"",""เบิกจ่ายกองทุน!F66"")"),7300)</f>
        <v>7300</v>
      </c>
      <c r="R622" s="74">
        <f ca="1">IFERROR(__xludf.DUMMYFUNCTION("IMPORTRANGE(""https://docs.google.com/spreadsheets/d/1ItG2mGa2ceCfYo0BwxsXqNm01IGEUdYcSSLTEv9YCik/edit?usp=sharing"",""เบิกจ่ายกองทุน!G66"")"),7300)</f>
        <v>7300</v>
      </c>
      <c r="S622" s="74">
        <f ca="1">IFERROR(__xludf.DUMMYFUNCTION("IMPORTRANGE(""https://docs.google.com/spreadsheets/d/1ItG2mGa2ceCfYo0BwxsXqNm01IGEUdYcSSLTEv9YCik/edit?usp=sharing"",""เบิกจ่ายกองทุน!H66"")"),0)</f>
        <v>0</v>
      </c>
      <c r="T622" s="74">
        <f t="shared" ca="1" si="384"/>
        <v>0</v>
      </c>
      <c r="U622" s="74">
        <f t="shared" ca="1" si="385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3">
        <f t="shared" ref="L623:N623" si="390">L624+L625</f>
        <v>0</v>
      </c>
      <c r="M623" s="74">
        <f t="shared" si="390"/>
        <v>0</v>
      </c>
      <c r="N623" s="74">
        <f t="shared" si="390"/>
        <v>0</v>
      </c>
      <c r="O623" s="74">
        <f t="shared" si="381"/>
        <v>0</v>
      </c>
      <c r="P623" s="74">
        <f t="shared" si="382"/>
        <v>0</v>
      </c>
      <c r="Q623" s="74">
        <f t="shared" ref="Q623:S623" si="391">Q624+Q625</f>
        <v>0</v>
      </c>
      <c r="R623" s="74">
        <f t="shared" si="391"/>
        <v>0</v>
      </c>
      <c r="S623" s="74">
        <f t="shared" si="391"/>
        <v>0</v>
      </c>
      <c r="T623" s="74">
        <f t="shared" si="384"/>
        <v>0</v>
      </c>
      <c r="U623" s="74">
        <f t="shared" si="385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77">
        <f t="shared" si="381"/>
        <v>0</v>
      </c>
      <c r="P624" s="77">
        <f t="shared" si="382"/>
        <v>0</v>
      </c>
      <c r="Q624" s="77">
        <v>0</v>
      </c>
      <c r="R624" s="77">
        <v>0</v>
      </c>
      <c r="S624" s="77">
        <v>0</v>
      </c>
      <c r="T624" s="77">
        <f t="shared" si="384"/>
        <v>0</v>
      </c>
      <c r="U624" s="77">
        <f t="shared" si="385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74">
        <f t="shared" si="381"/>
        <v>0</v>
      </c>
      <c r="P625" s="74">
        <f t="shared" si="382"/>
        <v>0</v>
      </c>
      <c r="Q625" s="74">
        <v>0</v>
      </c>
      <c r="R625" s="74">
        <v>0</v>
      </c>
      <c r="S625" s="74">
        <v>0</v>
      </c>
      <c r="T625" s="74">
        <f t="shared" si="384"/>
        <v>0</v>
      </c>
      <c r="U625" s="74">
        <f t="shared" si="385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IFERROR(__xludf.DUMMYFUNCTION("IMPORTRANGE(""https://docs.google.com/spreadsheets/d/1eHaY18a8A9IcSdp1K8H6x8fbOy06t2VsZHhMHf-1x7Y/edit?usp=sharing"",""แผน!ID66"")"),50)</f>
        <v>50</v>
      </c>
      <c r="J627" s="622">
        <f>J633</f>
        <v>0</v>
      </c>
      <c r="K627" s="26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IFERROR(__xludf.DUMMYFUNCTION("IMPORTRANGE(""https://docs.google.com/spreadsheets/d/1eHaY18a8A9IcSdp1K8H6x8fbOy06t2VsZHhMHf-1x7Y/edit?usp=sharing"",""แผน!IC66"")"),1)</f>
        <v>1</v>
      </c>
      <c r="J628" s="294">
        <v>0</v>
      </c>
      <c r="K628" s="74">
        <f t="shared" ref="K628:K629" ca="1" si="392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IFERROR(__xludf.DUMMYFUNCTION("IMPORTRANGE(""https://docs.google.com/spreadsheets/d/1eHaY18a8A9IcSdp1K8H6x8fbOy06t2VsZHhMHf-1x7Y/edit?usp=sharing"",""แผน!IC66"")"),1)</f>
        <v>1</v>
      </c>
      <c r="J629" s="294">
        <v>0</v>
      </c>
      <c r="K629" s="74">
        <f t="shared" ca="1" si="392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0</v>
      </c>
      <c r="K630" s="74">
        <f t="shared" ref="K630:K632" ca="1" si="393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t="shared" ca="1" si="393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t="shared" ca="1" si="393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IFERROR(__xludf.DUMMYFUNCTION("IMPORTRANGE(""https://docs.google.com/spreadsheets/d/1eHaY18a8A9IcSdp1K8H6x8fbOy06t2VsZHhMHf-1x7Y/edit?usp=sharing"",""แผน!IE66"")"),0)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hidden="1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hidden="1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1257">
        <f t="shared" ref="L643:N643" si="394">L644+L645</f>
        <v>0</v>
      </c>
      <c r="M643" s="264">
        <f t="shared" si="394"/>
        <v>0</v>
      </c>
      <c r="N643" s="264">
        <f t="shared" si="394"/>
        <v>0</v>
      </c>
      <c r="O643" s="264">
        <f t="shared" ref="O643:O651" si="395">IF(L643&gt;0,N643*100/L643,0)</f>
        <v>0</v>
      </c>
      <c r="P643" s="264">
        <f t="shared" ref="P643:P651" si="396">IF(M643&gt;0,N643*100/M643,0)</f>
        <v>0</v>
      </c>
      <c r="Q643" s="264">
        <f t="shared" ref="Q643:S643" ca="1" si="397">Q644+Q645</f>
        <v>0</v>
      </c>
      <c r="R643" s="264">
        <f t="shared" ca="1" si="397"/>
        <v>0</v>
      </c>
      <c r="S643" s="264">
        <f t="shared" ca="1" si="397"/>
        <v>0</v>
      </c>
      <c r="T643" s="264">
        <f t="shared" ref="T643:T651" ca="1" si="398">IF(Q643&gt;0,S643*100/Q643,0)</f>
        <v>0</v>
      </c>
      <c r="U643" s="264">
        <f t="shared" ref="U643:U651" ca="1" si="399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6">
        <f t="shared" ref="L644:N645" si="400">L647+L650</f>
        <v>0</v>
      </c>
      <c r="M644" s="77">
        <f t="shared" si="400"/>
        <v>0</v>
      </c>
      <c r="N644" s="77">
        <f t="shared" si="400"/>
        <v>0</v>
      </c>
      <c r="O644" s="77">
        <f t="shared" si="395"/>
        <v>0</v>
      </c>
      <c r="P644" s="77">
        <f t="shared" si="396"/>
        <v>0</v>
      </c>
      <c r="Q644" s="77">
        <f t="shared" ref="Q644:S645" si="401">Q647+Q650</f>
        <v>0</v>
      </c>
      <c r="R644" s="77">
        <f t="shared" si="401"/>
        <v>0</v>
      </c>
      <c r="S644" s="77">
        <f t="shared" si="401"/>
        <v>0</v>
      </c>
      <c r="T644" s="77">
        <f t="shared" si="398"/>
        <v>0</v>
      </c>
      <c r="U644" s="77">
        <f t="shared" si="399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3">
        <f t="shared" si="400"/>
        <v>0</v>
      </c>
      <c r="M645" s="74">
        <f t="shared" si="400"/>
        <v>0</v>
      </c>
      <c r="N645" s="74">
        <f t="shared" si="400"/>
        <v>0</v>
      </c>
      <c r="O645" s="74">
        <f t="shared" si="395"/>
        <v>0</v>
      </c>
      <c r="P645" s="74">
        <f t="shared" si="396"/>
        <v>0</v>
      </c>
      <c r="Q645" s="74">
        <f t="shared" ca="1" si="401"/>
        <v>0</v>
      </c>
      <c r="R645" s="74">
        <f t="shared" ca="1" si="401"/>
        <v>0</v>
      </c>
      <c r="S645" s="74">
        <f t="shared" ca="1" si="401"/>
        <v>0</v>
      </c>
      <c r="T645" s="74">
        <f t="shared" ca="1" si="398"/>
        <v>0</v>
      </c>
      <c r="U645" s="74">
        <f t="shared" ca="1" si="399"/>
        <v>0</v>
      </c>
    </row>
    <row r="646" spans="1:21" ht="18.75" hidden="1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3">
        <f t="shared" ref="L646:N646" si="402">L647+L648</f>
        <v>0</v>
      </c>
      <c r="M646" s="74">
        <f t="shared" si="402"/>
        <v>0</v>
      </c>
      <c r="N646" s="74">
        <f t="shared" si="402"/>
        <v>0</v>
      </c>
      <c r="O646" s="74">
        <f t="shared" si="395"/>
        <v>0</v>
      </c>
      <c r="P646" s="74">
        <f t="shared" si="396"/>
        <v>0</v>
      </c>
      <c r="Q646" s="74">
        <f t="shared" ref="Q646:S646" ca="1" si="403">Q647+Q648</f>
        <v>0</v>
      </c>
      <c r="R646" s="74">
        <f t="shared" ca="1" si="403"/>
        <v>0</v>
      </c>
      <c r="S646" s="74">
        <f t="shared" ca="1" si="403"/>
        <v>0</v>
      </c>
      <c r="T646" s="74">
        <f t="shared" ca="1" si="398"/>
        <v>0</v>
      </c>
      <c r="U646" s="74">
        <f t="shared" ca="1" si="399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77">
        <f t="shared" si="395"/>
        <v>0</v>
      </c>
      <c r="P647" s="77">
        <f t="shared" si="396"/>
        <v>0</v>
      </c>
      <c r="Q647" s="77">
        <v>0</v>
      </c>
      <c r="R647" s="77">
        <v>0</v>
      </c>
      <c r="S647" s="77">
        <v>0</v>
      </c>
      <c r="T647" s="77">
        <f t="shared" si="398"/>
        <v>0</v>
      </c>
      <c r="U647" s="77">
        <f t="shared" si="399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74">
        <f t="shared" si="395"/>
        <v>0</v>
      </c>
      <c r="P648" s="74">
        <f t="shared" si="396"/>
        <v>0</v>
      </c>
      <c r="Q648" s="74">
        <f ca="1">IFERROR(__xludf.DUMMYFUNCTION("IMPORTRANGE(""https://docs.google.com/spreadsheets/d/1ItG2mGa2ceCfYo0BwxsXqNm01IGEUdYcSSLTEv9YCik/edit?usp=sharing"",""เบิกจ่ายกองทุน!I66"")"),0)</f>
        <v>0</v>
      </c>
      <c r="R648" s="74">
        <f ca="1">IFERROR(__xludf.DUMMYFUNCTION("IMPORTRANGE(""https://docs.google.com/spreadsheets/d/1ItG2mGa2ceCfYo0BwxsXqNm01IGEUdYcSSLTEv9YCik/edit?usp=sharing"",""เบิกจ่ายกองทุน!J66"")"),0)</f>
        <v>0</v>
      </c>
      <c r="S648" s="74">
        <f ca="1">IFERROR(__xludf.DUMMYFUNCTION("IMPORTRANGE(""https://docs.google.com/spreadsheets/d/1ItG2mGa2ceCfYo0BwxsXqNm01IGEUdYcSSLTEv9YCik/edit?usp=sharing"",""เบิกจ่ายกองทุน!K66"")"),0)</f>
        <v>0</v>
      </c>
      <c r="T648" s="74">
        <f t="shared" ca="1" si="398"/>
        <v>0</v>
      </c>
      <c r="U648" s="74">
        <f t="shared" ca="1" si="399"/>
        <v>0</v>
      </c>
    </row>
    <row r="649" spans="1:21" ht="18.75" hidden="1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3">
        <f t="shared" ref="L649:N649" si="404">L650+L651</f>
        <v>0</v>
      </c>
      <c r="M649" s="74">
        <f t="shared" si="404"/>
        <v>0</v>
      </c>
      <c r="N649" s="74">
        <f t="shared" si="404"/>
        <v>0</v>
      </c>
      <c r="O649" s="74">
        <f t="shared" si="395"/>
        <v>0</v>
      </c>
      <c r="P649" s="74">
        <f t="shared" si="396"/>
        <v>0</v>
      </c>
      <c r="Q649" s="74">
        <f t="shared" ref="Q649:S649" si="405">Q650+Q651</f>
        <v>0</v>
      </c>
      <c r="R649" s="74">
        <f t="shared" si="405"/>
        <v>0</v>
      </c>
      <c r="S649" s="74">
        <f t="shared" si="405"/>
        <v>0</v>
      </c>
      <c r="T649" s="74">
        <f t="shared" si="398"/>
        <v>0</v>
      </c>
      <c r="U649" s="74">
        <f t="shared" si="399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77">
        <f t="shared" si="395"/>
        <v>0</v>
      </c>
      <c r="P650" s="77">
        <f t="shared" si="396"/>
        <v>0</v>
      </c>
      <c r="Q650" s="77">
        <v>0</v>
      </c>
      <c r="R650" s="77">
        <v>0</v>
      </c>
      <c r="S650" s="77">
        <v>0</v>
      </c>
      <c r="T650" s="77">
        <f t="shared" si="398"/>
        <v>0</v>
      </c>
      <c r="U650" s="77">
        <f t="shared" si="399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74">
        <f t="shared" si="395"/>
        <v>0</v>
      </c>
      <c r="P651" s="74">
        <f t="shared" si="396"/>
        <v>0</v>
      </c>
      <c r="Q651" s="74">
        <v>0</v>
      </c>
      <c r="R651" s="74">
        <v>0</v>
      </c>
      <c r="S651" s="74">
        <v>0</v>
      </c>
      <c r="T651" s="74">
        <f t="shared" si="398"/>
        <v>0</v>
      </c>
      <c r="U651" s="74">
        <f t="shared" si="399"/>
        <v>0</v>
      </c>
    </row>
    <row r="652" spans="1:21" ht="19.5" hidden="1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IFERROR(__xludf.DUMMYFUNCTION("IMPORTRANGE(""https://docs.google.com/spreadsheets/d/1eHaY18a8A9IcSdp1K8H6x8fbOy06t2VsZHhMHf-1x7Y/edit?usp=sharing"",""แผน!IF66"")"),0)</f>
        <v>0</v>
      </c>
      <c r="J653" s="293">
        <f ca="1">IFERROR(__xludf.DUMMYFUNCTION("IMPORTRANGE(""https://docs.google.com/spreadsheets/d/1tdoBKaGub7dwA3U6UFTqxio9LNnvDCQjHKmttSEBsFQ/edit?usp=sharing"",""จัดที่ดิน!AU66"")"),0)</f>
        <v>0</v>
      </c>
      <c r="K653" s="74">
        <f t="shared" ref="K653:K655" ca="1" si="406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hidden="1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IFERROR(__xludf.DUMMYFUNCTION("IMPORTRANGE(""https://docs.google.com/spreadsheets/d/1eHaY18a8A9IcSdp1K8H6x8fbOy06t2VsZHhMHf-1x7Y/edit?usp=sharing"",""แผน!IG66"")"),0)</f>
        <v>0</v>
      </c>
      <c r="J654" s="293">
        <f ca="1">IFERROR(__xludf.DUMMYFUNCTION("IMPORTRANGE(""https://docs.google.com/spreadsheets/d/1tdoBKaGub7dwA3U6UFTqxio9LNnvDCQjHKmttSEBsFQ/edit?usp=sharing"",""จัดที่ดิน!AW66"")"),0)</f>
        <v>0</v>
      </c>
      <c r="K654" s="74">
        <f t="shared" ca="1" si="406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hidden="1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IFERROR(__xludf.DUMMYFUNCTION("IMPORTRANGE(""https://docs.google.com/spreadsheets/d/1eHaY18a8A9IcSdp1K8H6x8fbOy06t2VsZHhMHf-1x7Y/edit?usp=sharing"",""แผน!IH66"")"),0)</f>
        <v>0</v>
      </c>
      <c r="J655" s="622">
        <f>J658+J661</f>
        <v>0</v>
      </c>
      <c r="K655" s="264">
        <f t="shared" ca="1" si="406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hidden="1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hidden="1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hidden="1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IFERROR(__xludf.DUMMYFUNCTION("IMPORTRANGE(""https://docs.google.com/spreadsheets/d/1eHaY18a8A9IcSdp1K8H6x8fbOy06t2VsZHhMHf-1x7Y/edit?usp=sharing"",""แผน!II66"")"),0)</f>
        <v>0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hidden="1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hidden="1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hidden="1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IFERROR(__xludf.DUMMYFUNCTION("IMPORTRANGE(""https://docs.google.com/spreadsheets/d/1eHaY18a8A9IcSdp1K8H6x8fbOy06t2VsZHhMHf-1x7Y/edit?usp=sharing"",""แผน!IJ66"")"),0)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hidden="1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IFERROR(__xludf.DUMMYFUNCTION("IMPORTRANGE(""https://docs.google.com/spreadsheets/d/1eHaY18a8A9IcSdp1K8H6x8fbOy06t2VsZHhMHf-1x7Y/edit?usp=sharing"",""แผน!IK66"")"),0)</f>
        <v>0</v>
      </c>
      <c r="J662" s="622">
        <f>J668+J671</f>
        <v>0</v>
      </c>
      <c r="K662" s="264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hidden="1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hidden="1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hidden="1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hidden="1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hidden="1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hidden="1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hidden="1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hidden="1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hidden="1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hidden="1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IFERROR(__xludf.DUMMYFUNCTION("IMPORTRANGE(""https://docs.google.com/spreadsheets/d/1tdoBKaGub7dwA3U6UFTqxio9LNnvDCQjHKmttSEBsFQ/edit?usp=sharing"",""จัดที่ดิน!AY66"")"),0)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hidden="1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IFERROR(__xludf.DUMMYFUNCTION("IMPORTRANGE(""https://docs.google.com/spreadsheets/d/1tdoBKaGub7dwA3U6UFTqxio9LNnvDCQjHKmttSEBsFQ/edit?usp=sharing"",""จัดที่ดิน!AZ66"")"),0)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hidden="1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IFERROR(__xludf.DUMMYFUNCTION("IMPORTRANGE(""https://docs.google.com/spreadsheets/d/1eHaY18a8A9IcSdp1K8H6x8fbOy06t2VsZHhMHf-1x7Y/edit?usp=sharing"",""แผน!IL66"")"),0)</f>
        <v>0</v>
      </c>
      <c r="J674" s="293">
        <f ca="1">IFERROR(__xludf.DUMMYFUNCTION("IMPORTRANGE(""https://docs.google.com/spreadsheets/d/1tdoBKaGub7dwA3U6UFTqxio9LNnvDCQjHKmttSEBsFQ/edit?usp=sharing"",""จัดที่ดิน!BA66"")"),0)</f>
        <v>0</v>
      </c>
      <c r="K674" s="74">
        <f t="shared" ref="K674:K677" ca="1" si="407">IF(I674&gt;0,J674*100/I674,0)</f>
        <v>0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hidden="1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IFERROR(__xludf.DUMMYFUNCTION("IMPORTRANGE(""https://docs.google.com/spreadsheets/d/1eHaY18a8A9IcSdp1K8H6x8fbOy06t2VsZHhMHf-1x7Y/edit?usp=sharing"",""แผน!IM66"")"),0)</f>
        <v>0</v>
      </c>
      <c r="J675" s="622">
        <f ca="1">J677+J680</f>
        <v>0</v>
      </c>
      <c r="K675" s="264">
        <f t="shared" ca="1" si="407"/>
        <v>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hidden="1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IFERROR(__xludf.DUMMYFUNCTION("IMPORTRANGE(""https://docs.google.com/spreadsheets/d/1eHaY18a8A9IcSdp1K8H6x8fbOy06t2VsZHhMHf-1x7Y/edit?usp=sharing"",""แผน!IN66"")"),0)</f>
        <v>0</v>
      </c>
      <c r="J676" s="622">
        <f ca="1">J679+J682</f>
        <v>0</v>
      </c>
      <c r="K676" s="264">
        <f t="shared" ca="1" si="407"/>
        <v>0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hidden="1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IFERROR(__xludf.DUMMYFUNCTION("IMPORTRANGE(""https://docs.google.com/spreadsheets/d/1eHaY18a8A9IcSdp1K8H6x8fbOy06t2VsZHhMHf-1x7Y/edit?usp=sharing"",""แผน!IO66"")"),0)</f>
        <v>0</v>
      </c>
      <c r="J677" s="293">
        <f ca="1">IFERROR(__xludf.DUMMYFUNCTION("IMPORTRANGE(""https://docs.google.com/spreadsheets/d/1tdoBKaGub7dwA3U6UFTqxio9LNnvDCQjHKmttSEBsFQ/edit?usp=sharing"",""จัดที่ดิน!BF66"")"),0)</f>
        <v>0</v>
      </c>
      <c r="K677" s="74">
        <f t="shared" ca="1" si="407"/>
        <v>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hidden="1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IFERROR(__xludf.DUMMYFUNCTION("IMPORTRANGE(""https://docs.google.com/spreadsheets/d/1tdoBKaGub7dwA3U6UFTqxio9LNnvDCQjHKmttSEBsFQ/edit?usp=sharing"",""จัดที่ดิน!BG66"")"),0)</f>
        <v>0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hidden="1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IFERROR(__xludf.DUMMYFUNCTION("IMPORTRANGE(""https://docs.google.com/spreadsheets/d/1eHaY18a8A9IcSdp1K8H6x8fbOy06t2VsZHhMHf-1x7Y/edit?usp=sharing"",""แผน!IP66"")"),0)</f>
        <v>0</v>
      </c>
      <c r="J679" s="293">
        <f ca="1">IFERROR(__xludf.DUMMYFUNCTION("IMPORTRANGE(""https://docs.google.com/spreadsheets/d/1tdoBKaGub7dwA3U6UFTqxio9LNnvDCQjHKmttSEBsFQ/edit?usp=sharing"",""จัดที่ดิน!BH66"")"),0)</f>
        <v>0</v>
      </c>
      <c r="K679" s="74">
        <f t="shared" ref="K679:K680" ca="1" si="408">IF(I679&gt;0,J679*100/I679,0)</f>
        <v>0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hidden="1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IFERROR(__xludf.DUMMYFUNCTION("IMPORTRANGE(""https://docs.google.com/spreadsheets/d/1eHaY18a8A9IcSdp1K8H6x8fbOy06t2VsZHhMHf-1x7Y/edit?usp=sharing"",""แผน!IQ66"")"),0)</f>
        <v>0</v>
      </c>
      <c r="J680" s="293">
        <f ca="1">IFERROR(__xludf.DUMMYFUNCTION("IMPORTRANGE(""https://docs.google.com/spreadsheets/d/1tdoBKaGub7dwA3U6UFTqxio9LNnvDCQjHKmttSEBsFQ/edit?usp=sharing"",""จัดที่ดิน!BK66"")"),0)</f>
        <v>0</v>
      </c>
      <c r="K680" s="74">
        <f t="shared" ca="1" si="408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hidden="1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IFERROR(__xludf.DUMMYFUNCTION("IMPORTRANGE(""https://docs.google.com/spreadsheets/d/1tdoBKaGub7dwA3U6UFTqxio9LNnvDCQjHKmttSEBsFQ/edit?usp=sharing"",""จัดที่ดิน!BL66"")"),0)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hidden="1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IFERROR(__xludf.DUMMYFUNCTION("IMPORTRANGE(""https://docs.google.com/spreadsheets/d/1eHaY18a8A9IcSdp1K8H6x8fbOy06t2VsZHhMHf-1x7Y/edit?usp=sharing"",""แผน!IR66"")"),0)</f>
        <v>0</v>
      </c>
      <c r="J682" s="293">
        <f ca="1">IFERROR(__xludf.DUMMYFUNCTION("IMPORTRANGE(""https://docs.google.com/spreadsheets/d/1tdoBKaGub7dwA3U6UFTqxio9LNnvDCQjHKmttSEBsFQ/edit?usp=sharing"",""จัดที่ดิน!BM66"")"),0)</f>
        <v>0</v>
      </c>
      <c r="K682" s="74">
        <f t="shared" ref="K682:K683" ca="1" si="409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hidden="1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IFERROR(__xludf.DUMMYFUNCTION("IMPORTRANGE(""https://docs.google.com/spreadsheets/d/1eHaY18a8A9IcSdp1K8H6x8fbOy06t2VsZHhMHf-1x7Y/edit?usp=sharing"",""แผน!IS66"")"),0)</f>
        <v>0</v>
      </c>
      <c r="J683" s="622">
        <f>J686+J689</f>
        <v>0</v>
      </c>
      <c r="K683" s="264">
        <f t="shared" ca="1" si="409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hidden="1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hidden="1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hidden="1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hidden="1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hidden="1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hidden="1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80" t="s">
        <v>35</v>
      </c>
      <c r="I690" s="781">
        <f t="shared" ref="I690:J690" ca="1" si="410">I708</f>
        <v>10</v>
      </c>
      <c r="J690" s="781">
        <f t="shared" ca="1" si="410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1257">
        <f t="shared" ref="L691:N691" si="411">L692+L693</f>
        <v>0</v>
      </c>
      <c r="M691" s="264">
        <f t="shared" si="411"/>
        <v>0</v>
      </c>
      <c r="N691" s="264">
        <f t="shared" si="411"/>
        <v>0</v>
      </c>
      <c r="O691" s="264">
        <f t="shared" ref="O691:O699" si="412">IF(L691&gt;0,N691*100/L691,0)</f>
        <v>0</v>
      </c>
      <c r="P691" s="264">
        <f t="shared" ref="P691:P699" si="413">IF(M691&gt;0,N691*100/M691,0)</f>
        <v>0</v>
      </c>
      <c r="Q691" s="264">
        <f t="shared" ref="Q691:S691" ca="1" si="414">Q692+Q693</f>
        <v>72160</v>
      </c>
      <c r="R691" s="264">
        <f t="shared" ca="1" si="414"/>
        <v>72160</v>
      </c>
      <c r="S691" s="264">
        <f t="shared" ca="1" si="414"/>
        <v>0</v>
      </c>
      <c r="T691" s="264">
        <f t="shared" ref="T691:T699" ca="1" si="415">IF(Q691&gt;0,S691*100/Q691,0)</f>
        <v>0</v>
      </c>
      <c r="U691" s="264">
        <f t="shared" ref="U691:U699" ca="1" si="416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6">
        <f t="shared" ref="L692:N693" si="417">L695+L698</f>
        <v>0</v>
      </c>
      <c r="M692" s="77">
        <f t="shared" si="417"/>
        <v>0</v>
      </c>
      <c r="N692" s="77">
        <f t="shared" si="417"/>
        <v>0</v>
      </c>
      <c r="O692" s="77">
        <f t="shared" si="412"/>
        <v>0</v>
      </c>
      <c r="P692" s="77">
        <f t="shared" si="413"/>
        <v>0</v>
      </c>
      <c r="Q692" s="77">
        <f t="shared" ref="Q692:S693" si="418">Q695+Q698</f>
        <v>0</v>
      </c>
      <c r="R692" s="77">
        <f t="shared" si="418"/>
        <v>0</v>
      </c>
      <c r="S692" s="77">
        <f t="shared" si="418"/>
        <v>0</v>
      </c>
      <c r="T692" s="77">
        <f t="shared" si="415"/>
        <v>0</v>
      </c>
      <c r="U692" s="77">
        <f t="shared" si="416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3">
        <f t="shared" si="417"/>
        <v>0</v>
      </c>
      <c r="M693" s="74">
        <f t="shared" si="417"/>
        <v>0</v>
      </c>
      <c r="N693" s="74">
        <f t="shared" si="417"/>
        <v>0</v>
      </c>
      <c r="O693" s="74">
        <f t="shared" si="412"/>
        <v>0</v>
      </c>
      <c r="P693" s="74">
        <f t="shared" si="413"/>
        <v>0</v>
      </c>
      <c r="Q693" s="74">
        <f t="shared" ca="1" si="418"/>
        <v>72160</v>
      </c>
      <c r="R693" s="74">
        <f t="shared" ca="1" si="418"/>
        <v>72160</v>
      </c>
      <c r="S693" s="74">
        <f t="shared" ca="1" si="418"/>
        <v>0</v>
      </c>
      <c r="T693" s="74">
        <f t="shared" ca="1" si="415"/>
        <v>0</v>
      </c>
      <c r="U693" s="74">
        <f t="shared" ca="1" si="416"/>
        <v>0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3">
        <f t="shared" ref="L694:N694" si="419">L695+L696</f>
        <v>0</v>
      </c>
      <c r="M694" s="74">
        <f t="shared" si="419"/>
        <v>0</v>
      </c>
      <c r="N694" s="74">
        <f t="shared" si="419"/>
        <v>0</v>
      </c>
      <c r="O694" s="74">
        <f t="shared" si="412"/>
        <v>0</v>
      </c>
      <c r="P694" s="74">
        <f t="shared" si="413"/>
        <v>0</v>
      </c>
      <c r="Q694" s="74">
        <f t="shared" ref="Q694:S694" ca="1" si="420">Q695+Q696</f>
        <v>72160</v>
      </c>
      <c r="R694" s="74">
        <f t="shared" ca="1" si="420"/>
        <v>72160</v>
      </c>
      <c r="S694" s="74">
        <f t="shared" ca="1" si="420"/>
        <v>0</v>
      </c>
      <c r="T694" s="74">
        <f t="shared" ca="1" si="415"/>
        <v>0</v>
      </c>
      <c r="U694" s="74">
        <f t="shared" ca="1" si="416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77">
        <f t="shared" si="412"/>
        <v>0</v>
      </c>
      <c r="P695" s="77">
        <f t="shared" si="413"/>
        <v>0</v>
      </c>
      <c r="Q695" s="77">
        <v>0</v>
      </c>
      <c r="R695" s="77">
        <v>0</v>
      </c>
      <c r="S695" s="77">
        <v>0</v>
      </c>
      <c r="T695" s="77">
        <f t="shared" si="415"/>
        <v>0</v>
      </c>
      <c r="U695" s="77">
        <f t="shared" si="416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74">
        <f t="shared" si="412"/>
        <v>0</v>
      </c>
      <c r="P696" s="74">
        <f t="shared" si="413"/>
        <v>0</v>
      </c>
      <c r="Q696" s="74">
        <f ca="1">IFERROR(__xludf.DUMMYFUNCTION("IMPORTRANGE(""https://docs.google.com/spreadsheets/d/1ItG2mGa2ceCfYo0BwxsXqNm01IGEUdYcSSLTEv9YCik/edit?usp=sharing"",""เบิกจ่ายกองทุน!L66"")"),72160)</f>
        <v>72160</v>
      </c>
      <c r="R696" s="74">
        <f ca="1">IFERROR(__xludf.DUMMYFUNCTION("IMPORTRANGE(""https://docs.google.com/spreadsheets/d/1ItG2mGa2ceCfYo0BwxsXqNm01IGEUdYcSSLTEv9YCik/edit?usp=sharing"",""เบิกจ่ายกองทุน!M66"")"),72160)</f>
        <v>72160</v>
      </c>
      <c r="S696" s="74">
        <f ca="1">IFERROR(__xludf.DUMMYFUNCTION("IMPORTRANGE(""https://docs.google.com/spreadsheets/d/1ItG2mGa2ceCfYo0BwxsXqNm01IGEUdYcSSLTEv9YCik/edit?usp=sharing"",""เบิกจ่ายกองทุน!N66"")"),0)</f>
        <v>0</v>
      </c>
      <c r="T696" s="74">
        <f t="shared" ca="1" si="415"/>
        <v>0</v>
      </c>
      <c r="U696" s="74">
        <f t="shared" ca="1" si="416"/>
        <v>0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3">
        <f t="shared" ref="L697:N697" si="421">L698+L699</f>
        <v>0</v>
      </c>
      <c r="M697" s="74">
        <f t="shared" si="421"/>
        <v>0</v>
      </c>
      <c r="N697" s="74">
        <f t="shared" si="421"/>
        <v>0</v>
      </c>
      <c r="O697" s="74">
        <f t="shared" si="412"/>
        <v>0</v>
      </c>
      <c r="P697" s="74">
        <f t="shared" si="413"/>
        <v>0</v>
      </c>
      <c r="Q697" s="74">
        <f t="shared" ref="Q697:S697" si="422">Q698+Q699</f>
        <v>0</v>
      </c>
      <c r="R697" s="74">
        <f t="shared" si="422"/>
        <v>0</v>
      </c>
      <c r="S697" s="74">
        <f t="shared" si="422"/>
        <v>0</v>
      </c>
      <c r="T697" s="74">
        <f t="shared" si="415"/>
        <v>0</v>
      </c>
      <c r="U697" s="74">
        <f t="shared" si="416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77">
        <f t="shared" si="412"/>
        <v>0</v>
      </c>
      <c r="P698" s="77">
        <f t="shared" si="413"/>
        <v>0</v>
      </c>
      <c r="Q698" s="77">
        <v>0</v>
      </c>
      <c r="R698" s="77">
        <v>0</v>
      </c>
      <c r="S698" s="77">
        <v>0</v>
      </c>
      <c r="T698" s="77">
        <f t="shared" si="415"/>
        <v>0</v>
      </c>
      <c r="U698" s="77">
        <f t="shared" si="416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74">
        <f t="shared" si="412"/>
        <v>0</v>
      </c>
      <c r="P699" s="74">
        <f t="shared" si="413"/>
        <v>0</v>
      </c>
      <c r="Q699" s="74">
        <v>0</v>
      </c>
      <c r="R699" s="74">
        <v>0</v>
      </c>
      <c r="S699" s="74">
        <v>0</v>
      </c>
      <c r="T699" s="74">
        <f t="shared" si="415"/>
        <v>0</v>
      </c>
      <c r="U699" s="74">
        <f t="shared" si="416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IFERROR(__xludf.DUMMYFUNCTION("IMPORTRANGE(""https://docs.google.com/spreadsheets/d/1eHaY18a8A9IcSdp1K8H6x8fbOy06t2VsZHhMHf-1x7Y/edit?usp=sharing"",""แผน!LC66"")"),0)</f>
        <v>0</v>
      </c>
      <c r="J701" s="294">
        <v>0</v>
      </c>
      <c r="K701" s="768">
        <f t="shared" ref="K701:K711" ca="1" si="423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t="shared" ref="I702:J702" ca="1" si="424">I704+I706</f>
        <v>14</v>
      </c>
      <c r="J702" s="622">
        <f t="shared" ca="1" si="424"/>
        <v>0</v>
      </c>
      <c r="K702" s="264">
        <f t="shared" ca="1" si="423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0</v>
      </c>
      <c r="K703" s="264">
        <f t="shared" si="423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IFERROR(__xludf.DUMMYFUNCTION("IMPORTRANGE(""https://docs.google.com/spreadsheets/d/1eHaY18a8A9IcSdp1K8H6x8fbOy06t2VsZHhMHf-1x7Y/edit?usp=sharing"",""แผน!LJ66"")"),10)</f>
        <v>10</v>
      </c>
      <c r="J704" s="293">
        <f ca="1">IFERROR(__xludf.DUMMYFUNCTION("IMPORTRANGE(""https://docs.google.com/spreadsheets/d/1tdoBKaGub7dwA3U6UFTqxio9LNnvDCQjHKmttSEBsFQ/edit?usp=sharing"",""จัดที่ดิน!AP66"")"),0)</f>
        <v>0</v>
      </c>
      <c r="K704" s="74">
        <f t="shared" ca="1" si="423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IFERROR(__xludf.DUMMYFUNCTION("IMPORTRANGE(""https://docs.google.com/spreadsheets/d/1tdoBKaGub7dwA3U6UFTqxio9LNnvDCQjHKmttSEBsFQ/edit?usp=sharing"",""จัดที่ดิน!AQ66"")"),0)</f>
        <v>0</v>
      </c>
      <c r="K705" s="74">
        <f t="shared" si="423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IFERROR(__xludf.DUMMYFUNCTION("IMPORTRANGE(""https://docs.google.com/spreadsheets/d/1eHaY18a8A9IcSdp1K8H6x8fbOy06t2VsZHhMHf-1x7Y/edit?usp=sharing"",""แผน!LK66"")"),4)</f>
        <v>4</v>
      </c>
      <c r="J706" s="293">
        <f ca="1">IFERROR(__xludf.DUMMYFUNCTION("IMPORTRANGE(""https://docs.google.com/spreadsheets/d/1tdoBKaGub7dwA3U6UFTqxio9LNnvDCQjHKmttSEBsFQ/edit?usp=sharing"",""จัดที่ดิน!AR66"")"),0)</f>
        <v>0</v>
      </c>
      <c r="K706" s="768">
        <f t="shared" ca="1" si="423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IFERROR(__xludf.DUMMYFUNCTION("IMPORTRANGE(""https://docs.google.com/spreadsheets/d/1tdoBKaGub7dwA3U6UFTqxio9LNnvDCQjHKmttSEBsFQ/edit?usp=sharing"",""จัดที่ดิน!AS66"")"),0)</f>
        <v>0</v>
      </c>
      <c r="K707" s="74">
        <f t="shared" si="423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IFERROR(__xludf.DUMMYFUNCTION("IMPORTRANGE(""https://docs.google.com/spreadsheets/d/1eHaY18a8A9IcSdp1K8H6x8fbOy06t2VsZHhMHf-1x7Y/edit?usp=sharing"",""แผน!LJ66"")"),10)</f>
        <v>10</v>
      </c>
      <c r="J708" s="293">
        <f ca="1">IFERROR(__xludf.DUMMYFUNCTION("IMPORTRANGE(""https://docs.google.com/spreadsheets/d/1tdoBKaGub7dwA3U6UFTqxio9LNnvDCQjHKmttSEBsFQ/edit?usp=sharing"",""จัดที่ดิน!BN66"")"),0)</f>
        <v>0</v>
      </c>
      <c r="K708" s="74">
        <f t="shared" ca="1" si="423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IFERROR(__xludf.DUMMYFUNCTION("IMPORTRANGE(""https://docs.google.com/spreadsheets/d/1tdoBKaGub7dwA3U6UFTqxio9LNnvDCQjHKmttSEBsFQ/edit?usp=sharing"",""จัดที่ดิน!BO66"")"),0)</f>
        <v>0</v>
      </c>
      <c r="K709" s="74">
        <f t="shared" si="423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IFERROR(__xludf.DUMMYFUNCTION("IMPORTRANGE(""https://docs.google.com/spreadsheets/d/1eHaY18a8A9IcSdp1K8H6x8fbOy06t2VsZHhMHf-1x7Y/edit?usp=sharing"",""แผน!LK66"")"),4)</f>
        <v>4</v>
      </c>
      <c r="J710" s="293">
        <f ca="1">IFERROR(__xludf.DUMMYFUNCTION("IMPORTRANGE(""https://docs.google.com/spreadsheets/d/1tdoBKaGub7dwA3U6UFTqxio9LNnvDCQjHKmttSEBsFQ/edit?usp=sharing"",""จัดที่ดิน!BP66"")"),0)</f>
        <v>0</v>
      </c>
      <c r="K710" s="74">
        <f t="shared" ca="1" si="423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IFERROR(__xludf.DUMMYFUNCTION("IMPORTRANGE(""https://docs.google.com/spreadsheets/d/1tdoBKaGub7dwA3U6UFTqxio9LNnvDCQjHKmttSEBsFQ/edit?usp=sharing"",""จัดที่ดิน!BQ66"")"),0)</f>
        <v>0</v>
      </c>
      <c r="K711" s="74">
        <f t="shared" si="423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1257">
        <f t="shared" ref="L715:N715" si="425">L716+L717</f>
        <v>0</v>
      </c>
      <c r="M715" s="264">
        <f t="shared" si="425"/>
        <v>0</v>
      </c>
      <c r="N715" s="264">
        <f t="shared" si="425"/>
        <v>0</v>
      </c>
      <c r="O715" s="264">
        <f t="shared" ref="O715:O723" si="426">IF(L715&gt;0,N715*100/L715,0)</f>
        <v>0</v>
      </c>
      <c r="P715" s="264">
        <f t="shared" ref="P715:P723" si="427">IF(M715&gt;0,N715*100/M715,0)</f>
        <v>0</v>
      </c>
      <c r="Q715" s="264">
        <f t="shared" ref="Q715:S715" si="428">Q716+Q717</f>
        <v>0</v>
      </c>
      <c r="R715" s="264">
        <f t="shared" si="428"/>
        <v>0</v>
      </c>
      <c r="S715" s="264">
        <f t="shared" si="428"/>
        <v>0</v>
      </c>
      <c r="T715" s="264">
        <f t="shared" ref="T715:T723" si="429">IF(Q715&gt;0,S715*100/Q715,0)</f>
        <v>0</v>
      </c>
      <c r="U715" s="264">
        <f t="shared" ref="U715:U723" si="430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6">
        <f t="shared" ref="L716:N717" si="431">L719+L722</f>
        <v>0</v>
      </c>
      <c r="M716" s="77">
        <f t="shared" si="431"/>
        <v>0</v>
      </c>
      <c r="N716" s="77">
        <f t="shared" si="431"/>
        <v>0</v>
      </c>
      <c r="O716" s="77">
        <f t="shared" si="426"/>
        <v>0</v>
      </c>
      <c r="P716" s="77">
        <f t="shared" si="427"/>
        <v>0</v>
      </c>
      <c r="Q716" s="77">
        <f t="shared" ref="Q716:S717" si="432">Q719+Q722</f>
        <v>0</v>
      </c>
      <c r="R716" s="77">
        <f t="shared" si="432"/>
        <v>0</v>
      </c>
      <c r="S716" s="77">
        <f t="shared" si="432"/>
        <v>0</v>
      </c>
      <c r="T716" s="77">
        <f t="shared" si="429"/>
        <v>0</v>
      </c>
      <c r="U716" s="77">
        <f t="shared" si="430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3">
        <f t="shared" si="431"/>
        <v>0</v>
      </c>
      <c r="M717" s="74">
        <f t="shared" si="431"/>
        <v>0</v>
      </c>
      <c r="N717" s="74">
        <f t="shared" si="431"/>
        <v>0</v>
      </c>
      <c r="O717" s="74">
        <f t="shared" si="426"/>
        <v>0</v>
      </c>
      <c r="P717" s="74">
        <f t="shared" si="427"/>
        <v>0</v>
      </c>
      <c r="Q717" s="74">
        <f t="shared" si="432"/>
        <v>0</v>
      </c>
      <c r="R717" s="74">
        <f t="shared" si="432"/>
        <v>0</v>
      </c>
      <c r="S717" s="74">
        <f t="shared" si="432"/>
        <v>0</v>
      </c>
      <c r="T717" s="74">
        <f t="shared" si="429"/>
        <v>0</v>
      </c>
      <c r="U717" s="74">
        <f t="shared" si="430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3">
        <f t="shared" ref="L718:N718" si="433">L719+L720</f>
        <v>0</v>
      </c>
      <c r="M718" s="74">
        <f t="shared" si="433"/>
        <v>0</v>
      </c>
      <c r="N718" s="74">
        <f t="shared" si="433"/>
        <v>0</v>
      </c>
      <c r="O718" s="74">
        <f t="shared" si="426"/>
        <v>0</v>
      </c>
      <c r="P718" s="74">
        <f t="shared" si="427"/>
        <v>0</v>
      </c>
      <c r="Q718" s="74">
        <f t="shared" ref="Q718:S718" si="434">Q719+Q720</f>
        <v>0</v>
      </c>
      <c r="R718" s="74">
        <f t="shared" si="434"/>
        <v>0</v>
      </c>
      <c r="S718" s="74">
        <f t="shared" si="434"/>
        <v>0</v>
      </c>
      <c r="T718" s="74">
        <f t="shared" si="429"/>
        <v>0</v>
      </c>
      <c r="U718" s="74">
        <f t="shared" si="430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77">
        <f t="shared" si="426"/>
        <v>0</v>
      </c>
      <c r="P719" s="77">
        <f t="shared" si="427"/>
        <v>0</v>
      </c>
      <c r="Q719" s="77">
        <v>0</v>
      </c>
      <c r="R719" s="77">
        <v>0</v>
      </c>
      <c r="S719" s="77">
        <v>0</v>
      </c>
      <c r="T719" s="77">
        <f t="shared" si="429"/>
        <v>0</v>
      </c>
      <c r="U719" s="77">
        <f t="shared" si="430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74">
        <f t="shared" si="426"/>
        <v>0</v>
      </c>
      <c r="P720" s="74">
        <f t="shared" si="427"/>
        <v>0</v>
      </c>
      <c r="Q720" s="74">
        <v>0</v>
      </c>
      <c r="R720" s="74">
        <v>0</v>
      </c>
      <c r="S720" s="74">
        <v>0</v>
      </c>
      <c r="T720" s="74">
        <f t="shared" si="429"/>
        <v>0</v>
      </c>
      <c r="U720" s="74">
        <f t="shared" si="430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3">
        <f t="shared" ref="L721:N721" si="435">L722+L723</f>
        <v>0</v>
      </c>
      <c r="M721" s="74">
        <f t="shared" si="435"/>
        <v>0</v>
      </c>
      <c r="N721" s="74">
        <f t="shared" si="435"/>
        <v>0</v>
      </c>
      <c r="O721" s="74">
        <f t="shared" si="426"/>
        <v>0</v>
      </c>
      <c r="P721" s="74">
        <f t="shared" si="427"/>
        <v>0</v>
      </c>
      <c r="Q721" s="74">
        <f t="shared" ref="Q721:S721" si="436">Q722+Q723</f>
        <v>0</v>
      </c>
      <c r="R721" s="74">
        <f t="shared" si="436"/>
        <v>0</v>
      </c>
      <c r="S721" s="74">
        <f t="shared" si="436"/>
        <v>0</v>
      </c>
      <c r="T721" s="74">
        <f t="shared" si="429"/>
        <v>0</v>
      </c>
      <c r="U721" s="74">
        <f t="shared" si="430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77">
        <f t="shared" si="426"/>
        <v>0</v>
      </c>
      <c r="P722" s="77">
        <f t="shared" si="427"/>
        <v>0</v>
      </c>
      <c r="Q722" s="77">
        <v>0</v>
      </c>
      <c r="R722" s="77">
        <v>0</v>
      </c>
      <c r="S722" s="77">
        <v>0</v>
      </c>
      <c r="T722" s="77">
        <f t="shared" si="429"/>
        <v>0</v>
      </c>
      <c r="U722" s="77">
        <f t="shared" si="430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74">
        <f t="shared" si="426"/>
        <v>0</v>
      </c>
      <c r="P723" s="74">
        <f t="shared" si="427"/>
        <v>0</v>
      </c>
      <c r="Q723" s="74">
        <v>0</v>
      </c>
      <c r="R723" s="74">
        <v>0</v>
      </c>
      <c r="S723" s="74">
        <v>0</v>
      </c>
      <c r="T723" s="74">
        <f t="shared" si="429"/>
        <v>0</v>
      </c>
      <c r="U723" s="74">
        <f t="shared" si="430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IFERROR(__xludf.DUMMYFUNCTION("IMPORTRANGE(""https://docs.google.com/spreadsheets/d/1eHaY18a8A9IcSdp1K8H6x8fbOy06t2VsZHhMHf-1x7Y/edit?usp=sharing"",""แผน!GA66"")"),6)</f>
        <v>6</v>
      </c>
      <c r="J727" s="781">
        <f>J743+J747+J750</f>
        <v>0</v>
      </c>
      <c r="K727" s="766">
        <f t="shared" ref="K727:K728" ca="1" si="437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IFERROR(__xludf.DUMMYFUNCTION("IMPORTRANGE(""https://docs.google.com/spreadsheets/d/1eHaY18a8A9IcSdp1K8H6x8fbOy06t2VsZHhMHf-1x7Y/edit?usp=sharing"",""แผน!FZ66"")"),50)</f>
        <v>50</v>
      </c>
      <c r="J728" s="781">
        <f>J753+J756</f>
        <v>0</v>
      </c>
      <c r="K728" s="766">
        <f t="shared" ca="1" si="437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1257">
        <f t="shared" ref="L729:N729" si="438">L730+L731</f>
        <v>0</v>
      </c>
      <c r="M729" s="264">
        <f t="shared" si="438"/>
        <v>0</v>
      </c>
      <c r="N729" s="264">
        <f t="shared" si="438"/>
        <v>0</v>
      </c>
      <c r="O729" s="264">
        <f t="shared" ref="O729:O737" si="439">IF(L729&gt;0,N729*100/L729,0)</f>
        <v>0</v>
      </c>
      <c r="P729" s="264">
        <f t="shared" ref="P729:P737" si="440">IF(M729&gt;0,N729*100/M729,0)</f>
        <v>0</v>
      </c>
      <c r="Q729" s="264">
        <f t="shared" ref="Q729:S729" ca="1" si="441">Q730+Q731</f>
        <v>79606</v>
      </c>
      <c r="R729" s="264">
        <f t="shared" ca="1" si="441"/>
        <v>79606</v>
      </c>
      <c r="S729" s="264">
        <f t="shared" ca="1" si="441"/>
        <v>11790</v>
      </c>
      <c r="T729" s="264">
        <f t="shared" ref="T729:T737" ca="1" si="442">IF(Q729&gt;0,S729*100/Q729,0)</f>
        <v>14.810441424013264</v>
      </c>
      <c r="U729" s="264">
        <f t="shared" ref="U729:U737" ca="1" si="443">IF(R729&gt;0,S729*100/R729,0)</f>
        <v>14.810441424013264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6">
        <f t="shared" ref="L730:N731" si="444">L733+L736</f>
        <v>0</v>
      </c>
      <c r="M730" s="77">
        <f t="shared" si="444"/>
        <v>0</v>
      </c>
      <c r="N730" s="77">
        <f t="shared" si="444"/>
        <v>0</v>
      </c>
      <c r="O730" s="77">
        <f t="shared" si="439"/>
        <v>0</v>
      </c>
      <c r="P730" s="77">
        <f t="shared" si="440"/>
        <v>0</v>
      </c>
      <c r="Q730" s="77">
        <f t="shared" ref="Q730:S731" si="445">Q733+Q736</f>
        <v>0</v>
      </c>
      <c r="R730" s="77">
        <f t="shared" si="445"/>
        <v>0</v>
      </c>
      <c r="S730" s="77">
        <f t="shared" si="445"/>
        <v>0</v>
      </c>
      <c r="T730" s="77">
        <f t="shared" si="442"/>
        <v>0</v>
      </c>
      <c r="U730" s="77">
        <f t="shared" si="443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3">
        <f t="shared" si="444"/>
        <v>0</v>
      </c>
      <c r="M731" s="74">
        <f t="shared" si="444"/>
        <v>0</v>
      </c>
      <c r="N731" s="74">
        <f t="shared" si="444"/>
        <v>0</v>
      </c>
      <c r="O731" s="74">
        <f t="shared" si="439"/>
        <v>0</v>
      </c>
      <c r="P731" s="74">
        <f t="shared" si="440"/>
        <v>0</v>
      </c>
      <c r="Q731" s="74">
        <f t="shared" ca="1" si="445"/>
        <v>79606</v>
      </c>
      <c r="R731" s="74">
        <f t="shared" ca="1" si="445"/>
        <v>79606</v>
      </c>
      <c r="S731" s="74">
        <f t="shared" ca="1" si="445"/>
        <v>11790</v>
      </c>
      <c r="T731" s="74">
        <f t="shared" ca="1" si="442"/>
        <v>14.810441424013264</v>
      </c>
      <c r="U731" s="74">
        <f t="shared" ca="1" si="443"/>
        <v>14.810441424013264</v>
      </c>
    </row>
    <row r="732" spans="1:21" ht="18.75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3">
        <f t="shared" ref="L732:N732" si="446">L733+L734</f>
        <v>0</v>
      </c>
      <c r="M732" s="74">
        <f t="shared" si="446"/>
        <v>0</v>
      </c>
      <c r="N732" s="74">
        <f t="shared" si="446"/>
        <v>0</v>
      </c>
      <c r="O732" s="74">
        <f t="shared" si="439"/>
        <v>0</v>
      </c>
      <c r="P732" s="74">
        <f t="shared" si="440"/>
        <v>0</v>
      </c>
      <c r="Q732" s="74">
        <f t="shared" ref="Q732:S732" ca="1" si="447">Q733+Q734</f>
        <v>79606</v>
      </c>
      <c r="R732" s="74">
        <f t="shared" ca="1" si="447"/>
        <v>79606</v>
      </c>
      <c r="S732" s="74">
        <f t="shared" ca="1" si="447"/>
        <v>11790</v>
      </c>
      <c r="T732" s="74">
        <f t="shared" ca="1" si="442"/>
        <v>14.810441424013264</v>
      </c>
      <c r="U732" s="74">
        <f t="shared" ca="1" si="443"/>
        <v>14.810441424013264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77">
        <f t="shared" si="439"/>
        <v>0</v>
      </c>
      <c r="P733" s="77">
        <f t="shared" si="440"/>
        <v>0</v>
      </c>
      <c r="Q733" s="77">
        <v>0</v>
      </c>
      <c r="R733" s="77">
        <v>0</v>
      </c>
      <c r="S733" s="77">
        <v>0</v>
      </c>
      <c r="T733" s="77">
        <f t="shared" si="442"/>
        <v>0</v>
      </c>
      <c r="U733" s="77">
        <f t="shared" si="443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74">
        <f t="shared" si="439"/>
        <v>0</v>
      </c>
      <c r="P734" s="74">
        <f t="shared" si="440"/>
        <v>0</v>
      </c>
      <c r="Q734" s="74">
        <f ca="1">IFERROR(__xludf.DUMMYFUNCTION("IMPORTRANGE(""https://docs.google.com/spreadsheets/d/1ItG2mGa2ceCfYo0BwxsXqNm01IGEUdYcSSLTEv9YCik/edit?usp=sharing"",""เบิกจ่ายกองทุน!O66"")"),79606)</f>
        <v>79606</v>
      </c>
      <c r="R734" s="74">
        <f ca="1">IFERROR(__xludf.DUMMYFUNCTION("IMPORTRANGE(""https://docs.google.com/spreadsheets/d/1ItG2mGa2ceCfYo0BwxsXqNm01IGEUdYcSSLTEv9YCik/edit?usp=sharing"",""เบิกจ่ายกองทุน!P66"")"),79606)</f>
        <v>79606</v>
      </c>
      <c r="S734" s="74">
        <f ca="1">IFERROR(__xludf.DUMMYFUNCTION("IMPORTRANGE(""https://docs.google.com/spreadsheets/d/1ItG2mGa2ceCfYo0BwxsXqNm01IGEUdYcSSLTEv9YCik/edit?usp=sharing"",""เบิกจ่ายกองทุน!Q66"")"),11790)</f>
        <v>11790</v>
      </c>
      <c r="T734" s="74">
        <f t="shared" ca="1" si="442"/>
        <v>14.810441424013264</v>
      </c>
      <c r="U734" s="74">
        <f t="shared" ca="1" si="443"/>
        <v>14.810441424013264</v>
      </c>
    </row>
    <row r="735" spans="1:21" ht="18.75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3">
        <f t="shared" ref="L735:N735" si="448">L736+L737</f>
        <v>0</v>
      </c>
      <c r="M735" s="74">
        <f t="shared" si="448"/>
        <v>0</v>
      </c>
      <c r="N735" s="74">
        <f t="shared" si="448"/>
        <v>0</v>
      </c>
      <c r="O735" s="74">
        <f t="shared" si="439"/>
        <v>0</v>
      </c>
      <c r="P735" s="74">
        <f t="shared" si="440"/>
        <v>0</v>
      </c>
      <c r="Q735" s="74">
        <f t="shared" ref="Q735:S735" si="449">Q736+Q737</f>
        <v>0</v>
      </c>
      <c r="R735" s="74">
        <f t="shared" si="449"/>
        <v>0</v>
      </c>
      <c r="S735" s="74">
        <f t="shared" si="449"/>
        <v>0</v>
      </c>
      <c r="T735" s="74">
        <f t="shared" si="442"/>
        <v>0</v>
      </c>
      <c r="U735" s="74">
        <f t="shared" si="443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77">
        <f t="shared" si="439"/>
        <v>0</v>
      </c>
      <c r="P736" s="77">
        <f t="shared" si="440"/>
        <v>0</v>
      </c>
      <c r="Q736" s="77">
        <v>0</v>
      </c>
      <c r="R736" s="77">
        <v>0</v>
      </c>
      <c r="S736" s="77">
        <v>0</v>
      </c>
      <c r="T736" s="77">
        <f t="shared" si="442"/>
        <v>0</v>
      </c>
      <c r="U736" s="77">
        <f t="shared" si="443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74">
        <f t="shared" si="439"/>
        <v>0</v>
      </c>
      <c r="P737" s="74">
        <f t="shared" si="440"/>
        <v>0</v>
      </c>
      <c r="Q737" s="74">
        <v>0</v>
      </c>
      <c r="R737" s="74">
        <v>0</v>
      </c>
      <c r="S737" s="74">
        <v>0</v>
      </c>
      <c r="T737" s="74">
        <f t="shared" si="442"/>
        <v>0</v>
      </c>
      <c r="U737" s="74">
        <f t="shared" si="443"/>
        <v>0</v>
      </c>
    </row>
    <row r="738" spans="1:21" ht="19.5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x14ac:dyDescent="0.25">
      <c r="A741" s="222"/>
      <c r="B741" s="223"/>
      <c r="C741" s="223"/>
      <c r="D741" s="223"/>
      <c r="E741" s="223"/>
      <c r="F741" s="1032" t="s">
        <v>271</v>
      </c>
      <c r="G741" s="227"/>
      <c r="H741" s="216" t="s">
        <v>46</v>
      </c>
      <c r="I741" s="321">
        <f ca="1">IFERROR(__xludf.DUMMYFUNCTION("IMPORTRANGE(""https://docs.google.com/spreadsheets/d/1eHaY18a8A9IcSdp1K8H6x8fbOy06t2VsZHhMHf-1x7Y/edit?usp=sharing"",""แผน!GB66"")"),40)</f>
        <v>40</v>
      </c>
      <c r="J741" s="884">
        <v>0</v>
      </c>
      <c r="K741" s="399">
        <f ca="1">IF(I741&gt;0,J741*100/I741,0)</f>
        <v>0</v>
      </c>
      <c r="L741" s="540"/>
      <c r="M741" s="72"/>
      <c r="N741" s="72"/>
      <c r="O741" s="72"/>
      <c r="P741" s="72"/>
      <c r="Q741" s="72"/>
      <c r="R741" s="72"/>
      <c r="S741" s="72"/>
      <c r="T741" s="72"/>
      <c r="U741" s="72"/>
    </row>
    <row r="742" spans="1:21" ht="18.75" x14ac:dyDescent="0.25">
      <c r="A742" s="222"/>
      <c r="B742" s="223"/>
      <c r="C742" s="223"/>
      <c r="D742" s="223"/>
      <c r="E742" s="223"/>
      <c r="F742" s="1032" t="s">
        <v>311</v>
      </c>
      <c r="G742" s="227"/>
      <c r="H742" s="216" t="s">
        <v>35</v>
      </c>
      <c r="I742" s="71"/>
      <c r="J742" s="884">
        <v>0</v>
      </c>
      <c r="K742" s="72"/>
      <c r="L742" s="540"/>
      <c r="M742" s="72"/>
      <c r="N742" s="72"/>
      <c r="O742" s="72"/>
      <c r="P742" s="72"/>
      <c r="Q742" s="72"/>
      <c r="R742" s="72"/>
      <c r="S742" s="72"/>
      <c r="T742" s="72"/>
      <c r="U742" s="72"/>
    </row>
    <row r="743" spans="1:21" ht="18.75" x14ac:dyDescent="0.25">
      <c r="A743" s="222"/>
      <c r="B743" s="223"/>
      <c r="C743" s="223"/>
      <c r="D743" s="223"/>
      <c r="E743" s="223"/>
      <c r="F743" s="1032" t="s">
        <v>312</v>
      </c>
      <c r="G743" s="227"/>
      <c r="H743" s="216" t="s">
        <v>35</v>
      </c>
      <c r="I743" s="321">
        <f ca="1">IFERROR(__xludf.DUMMYFUNCTION("IMPORTRANGE(""https://docs.google.com/spreadsheets/d/1eHaY18a8A9IcSdp1K8H6x8fbOy06t2VsZHhMHf-1x7Y/edit?usp=sharing"",""แผน!GC66"")"),4)</f>
        <v>4</v>
      </c>
      <c r="J743" s="884">
        <v>0</v>
      </c>
      <c r="K743" s="399">
        <f ca="1">IF(I743&gt;0,J743*100/I743,0)</f>
        <v>0</v>
      </c>
      <c r="L743" s="540"/>
      <c r="M743" s="72"/>
      <c r="N743" s="72"/>
      <c r="O743" s="72"/>
      <c r="P743" s="72"/>
      <c r="Q743" s="72"/>
      <c r="R743" s="72"/>
      <c r="S743" s="72"/>
      <c r="T743" s="72"/>
      <c r="U743" s="72"/>
    </row>
    <row r="744" spans="1:21" ht="18.75" x14ac:dyDescent="0.25">
      <c r="A744" s="222"/>
      <c r="B744" s="223"/>
      <c r="C744" s="223"/>
      <c r="D744" s="223"/>
      <c r="E744" s="1032" t="s">
        <v>274</v>
      </c>
      <c r="F744" s="223"/>
      <c r="G744" s="227"/>
      <c r="H744" s="1033"/>
      <c r="I744" s="71"/>
      <c r="J744" s="71"/>
      <c r="K744" s="72"/>
      <c r="L744" s="540"/>
      <c r="M744" s="72"/>
      <c r="N744" s="72"/>
      <c r="O744" s="72"/>
      <c r="P744" s="72"/>
      <c r="Q744" s="72"/>
      <c r="R744" s="72"/>
      <c r="S744" s="72"/>
      <c r="T744" s="72"/>
      <c r="U744" s="72"/>
    </row>
    <row r="745" spans="1:21" ht="18.75" x14ac:dyDescent="0.25">
      <c r="A745" s="222"/>
      <c r="B745" s="223"/>
      <c r="C745" s="223"/>
      <c r="D745" s="223"/>
      <c r="E745" s="223"/>
      <c r="F745" s="1032" t="s">
        <v>271</v>
      </c>
      <c r="G745" s="227"/>
      <c r="H745" s="216" t="s">
        <v>46</v>
      </c>
      <c r="I745" s="321">
        <f ca="1">IFERROR(__xludf.DUMMYFUNCTION("IMPORTRANGE(""https://docs.google.com/spreadsheets/d/1eHaY18a8A9IcSdp1K8H6x8fbOy06t2VsZHhMHf-1x7Y/edit?usp=sharing"",""แผน!GD66"")"),10)</f>
        <v>10</v>
      </c>
      <c r="J745" s="884">
        <v>0</v>
      </c>
      <c r="K745" s="399">
        <f ca="1">IF(I745&gt;0,J745*100/I745,0)</f>
        <v>0</v>
      </c>
      <c r="L745" s="540"/>
      <c r="M745" s="72"/>
      <c r="N745" s="72"/>
      <c r="O745" s="72"/>
      <c r="P745" s="72"/>
      <c r="Q745" s="72"/>
      <c r="R745" s="72"/>
      <c r="S745" s="72"/>
      <c r="T745" s="72"/>
      <c r="U745" s="72"/>
    </row>
    <row r="746" spans="1:21" ht="18.75" x14ac:dyDescent="0.25">
      <c r="A746" s="222"/>
      <c r="B746" s="223"/>
      <c r="C746" s="223"/>
      <c r="D746" s="223"/>
      <c r="E746" s="223"/>
      <c r="F746" s="1032" t="s">
        <v>313</v>
      </c>
      <c r="G746" s="227"/>
      <c r="H746" s="216" t="s">
        <v>35</v>
      </c>
      <c r="I746" s="71"/>
      <c r="J746" s="884">
        <v>0</v>
      </c>
      <c r="K746" s="72"/>
      <c r="L746" s="540"/>
      <c r="M746" s="72"/>
      <c r="N746" s="72"/>
      <c r="O746" s="72"/>
      <c r="P746" s="72"/>
      <c r="Q746" s="72"/>
      <c r="R746" s="72"/>
      <c r="S746" s="72"/>
      <c r="T746" s="72"/>
      <c r="U746" s="72"/>
    </row>
    <row r="747" spans="1:21" ht="18.75" x14ac:dyDescent="0.25">
      <c r="A747" s="222"/>
      <c r="B747" s="223"/>
      <c r="C747" s="223"/>
      <c r="D747" s="223"/>
      <c r="E747" s="223"/>
      <c r="F747" s="1032" t="s">
        <v>314</v>
      </c>
      <c r="G747" s="227"/>
      <c r="H747" s="216" t="s">
        <v>35</v>
      </c>
      <c r="I747" s="321">
        <f ca="1">IFERROR(__xludf.DUMMYFUNCTION("IMPORTRANGE(""https://docs.google.com/spreadsheets/d/1eHaY18a8A9IcSdp1K8H6x8fbOy06t2VsZHhMHf-1x7Y/edit?usp=sharing"",""แผน!GE66"")"),1)</f>
        <v>1</v>
      </c>
      <c r="J747" s="884">
        <v>0</v>
      </c>
      <c r="K747" s="399">
        <f ca="1">IF(I747&gt;0,J747*100/I747,0)</f>
        <v>0</v>
      </c>
      <c r="L747" s="540"/>
      <c r="M747" s="72"/>
      <c r="N747" s="72"/>
      <c r="O747" s="72"/>
      <c r="P747" s="72"/>
      <c r="Q747" s="72"/>
      <c r="R747" s="72"/>
      <c r="S747" s="72"/>
      <c r="T747" s="72"/>
      <c r="U747" s="72"/>
    </row>
    <row r="748" spans="1:21" ht="18.75" x14ac:dyDescent="0.25">
      <c r="A748" s="222"/>
      <c r="B748" s="223"/>
      <c r="C748" s="223"/>
      <c r="D748" s="223"/>
      <c r="E748" s="1032" t="s">
        <v>277</v>
      </c>
      <c r="F748" s="231"/>
      <c r="G748" s="227"/>
      <c r="H748" s="1033"/>
      <c r="I748" s="71"/>
      <c r="J748" s="71"/>
      <c r="K748" s="72"/>
      <c r="L748" s="540"/>
      <c r="M748" s="72"/>
      <c r="N748" s="72"/>
      <c r="O748" s="72"/>
      <c r="P748" s="72"/>
      <c r="Q748" s="72"/>
      <c r="R748" s="72"/>
      <c r="S748" s="72"/>
      <c r="T748" s="72"/>
      <c r="U748" s="72"/>
    </row>
    <row r="749" spans="1:21" ht="18.75" x14ac:dyDescent="0.25">
      <c r="A749" s="222"/>
      <c r="B749" s="223"/>
      <c r="C749" s="223"/>
      <c r="D749" s="223"/>
      <c r="E749" s="223"/>
      <c r="F749" s="1032" t="s">
        <v>315</v>
      </c>
      <c r="G749" s="227"/>
      <c r="H749" s="216" t="s">
        <v>35</v>
      </c>
      <c r="I749" s="71"/>
      <c r="J749" s="884">
        <v>0</v>
      </c>
      <c r="K749" s="72"/>
      <c r="L749" s="540"/>
      <c r="M749" s="72"/>
      <c r="N749" s="72"/>
      <c r="O749" s="72"/>
      <c r="P749" s="72"/>
      <c r="Q749" s="72"/>
      <c r="R749" s="72"/>
      <c r="S749" s="72"/>
      <c r="T749" s="72"/>
      <c r="U749" s="72"/>
    </row>
    <row r="750" spans="1:21" ht="18.75" x14ac:dyDescent="0.25">
      <c r="A750" s="222"/>
      <c r="B750" s="223"/>
      <c r="C750" s="223"/>
      <c r="D750" s="223"/>
      <c r="E750" s="223"/>
      <c r="F750" s="1032" t="s">
        <v>316</v>
      </c>
      <c r="G750" s="227"/>
      <c r="H750" s="216" t="s">
        <v>35</v>
      </c>
      <c r="I750" s="321">
        <f ca="1">IFERROR(__xludf.DUMMYFUNCTION("IMPORTRANGE(""https://docs.google.com/spreadsheets/d/1eHaY18a8A9IcSdp1K8H6x8fbOy06t2VsZHhMHf-1x7Y/edit?usp=sharing"",""แผน!GF66"")"),1)</f>
        <v>1</v>
      </c>
      <c r="J750" s="884">
        <v>0</v>
      </c>
      <c r="K750" s="399">
        <f ca="1">IF(I750&gt;0,J750*100/I750,0)</f>
        <v>0</v>
      </c>
      <c r="L750" s="540"/>
      <c r="M750" s="72"/>
      <c r="N750" s="72"/>
      <c r="O750" s="72"/>
      <c r="P750" s="72"/>
      <c r="Q750" s="72"/>
      <c r="R750" s="72"/>
      <c r="S750" s="72"/>
      <c r="T750" s="72"/>
      <c r="U750" s="72"/>
    </row>
    <row r="751" spans="1:21" ht="19.5" x14ac:dyDescent="0.3">
      <c r="A751" s="222"/>
      <c r="B751" s="223"/>
      <c r="C751" s="223"/>
      <c r="D751" s="1034" t="s">
        <v>50</v>
      </c>
      <c r="E751" s="223"/>
      <c r="F751" s="231"/>
      <c r="G751" s="227"/>
      <c r="H751" s="1033"/>
      <c r="I751" s="71"/>
      <c r="J751" s="71"/>
      <c r="K751" s="72"/>
      <c r="L751" s="540"/>
      <c r="M751" s="72"/>
      <c r="N751" s="72"/>
      <c r="O751" s="72"/>
      <c r="P751" s="72"/>
      <c r="Q751" s="72"/>
      <c r="R751" s="72"/>
      <c r="S751" s="72"/>
      <c r="T751" s="72"/>
      <c r="U751" s="72"/>
    </row>
    <row r="752" spans="1:21" ht="18.75" x14ac:dyDescent="0.25">
      <c r="A752" s="222"/>
      <c r="B752" s="223"/>
      <c r="C752" s="223"/>
      <c r="D752" s="223"/>
      <c r="E752" s="1032" t="s">
        <v>270</v>
      </c>
      <c r="F752" s="231"/>
      <c r="G752" s="227"/>
      <c r="H752" s="1033"/>
      <c r="I752" s="71"/>
      <c r="J752" s="71"/>
      <c r="K752" s="72"/>
      <c r="L752" s="540"/>
      <c r="M752" s="72"/>
      <c r="N752" s="72"/>
      <c r="O752" s="72"/>
      <c r="P752" s="72"/>
      <c r="Q752" s="72"/>
      <c r="R752" s="72"/>
      <c r="S752" s="72"/>
      <c r="T752" s="72"/>
      <c r="U752" s="72"/>
    </row>
    <row r="753" spans="1:21" ht="18.75" x14ac:dyDescent="0.25">
      <c r="A753" s="222"/>
      <c r="B753" s="223"/>
      <c r="C753" s="223"/>
      <c r="D753" s="223"/>
      <c r="E753" s="223"/>
      <c r="F753" s="395" t="s">
        <v>317</v>
      </c>
      <c r="G753" s="227"/>
      <c r="H753" s="216" t="s">
        <v>46</v>
      </c>
      <c r="I753" s="321">
        <f ca="1">IFERROR(__xludf.DUMMYFUNCTION("IMPORTRANGE(""https://docs.google.com/spreadsheets/d/1eHaY18a8A9IcSdp1K8H6x8fbOy06t2VsZHhMHf-1x7Y/edit?usp=sharing"",""แผน!GC66"")"),4)</f>
        <v>4</v>
      </c>
      <c r="J753" s="884">
        <v>0</v>
      </c>
      <c r="K753" s="399">
        <f ca="1">IF(I753&gt;0,J753*100/I753,0)</f>
        <v>0</v>
      </c>
      <c r="L753" s="540"/>
      <c r="M753" s="72"/>
      <c r="N753" s="72"/>
      <c r="O753" s="72"/>
      <c r="P753" s="72"/>
      <c r="Q753" s="72"/>
      <c r="R753" s="72"/>
      <c r="S753" s="72"/>
      <c r="T753" s="72"/>
      <c r="U753" s="72"/>
    </row>
    <row r="754" spans="1:21" ht="18.75" x14ac:dyDescent="0.25">
      <c r="A754" s="222"/>
      <c r="B754" s="223"/>
      <c r="C754" s="223"/>
      <c r="D754" s="223"/>
      <c r="E754" s="223"/>
      <c r="F754" s="395" t="s">
        <v>318</v>
      </c>
      <c r="G754" s="227"/>
      <c r="H754" s="216" t="s">
        <v>46</v>
      </c>
      <c r="I754" s="71"/>
      <c r="J754" s="884">
        <v>0</v>
      </c>
      <c r="K754" s="72"/>
      <c r="L754" s="540"/>
      <c r="M754" s="72"/>
      <c r="N754" s="72"/>
      <c r="O754" s="72"/>
      <c r="P754" s="72"/>
      <c r="Q754" s="72"/>
      <c r="R754" s="72"/>
      <c r="S754" s="72"/>
      <c r="T754" s="72"/>
      <c r="U754" s="72"/>
    </row>
    <row r="755" spans="1:21" ht="18.75" x14ac:dyDescent="0.25">
      <c r="A755" s="222"/>
      <c r="B755" s="223"/>
      <c r="C755" s="223"/>
      <c r="D755" s="223"/>
      <c r="E755" s="1032" t="s">
        <v>274</v>
      </c>
      <c r="F755" s="231"/>
      <c r="G755" s="227"/>
      <c r="H755" s="1033"/>
      <c r="I755" s="71"/>
      <c r="J755" s="71"/>
      <c r="K755" s="72"/>
      <c r="L755" s="540"/>
      <c r="M755" s="72"/>
      <c r="N755" s="72"/>
      <c r="O755" s="72"/>
      <c r="P755" s="72"/>
      <c r="Q755" s="72"/>
      <c r="R755" s="72"/>
      <c r="S755" s="72"/>
      <c r="T755" s="72"/>
      <c r="U755" s="72"/>
    </row>
    <row r="756" spans="1:21" ht="18.75" x14ac:dyDescent="0.25">
      <c r="A756" s="222"/>
      <c r="B756" s="223"/>
      <c r="C756" s="223"/>
      <c r="D756" s="223"/>
      <c r="E756" s="231"/>
      <c r="F756" s="395" t="s">
        <v>319</v>
      </c>
      <c r="G756" s="227"/>
      <c r="H756" s="216" t="s">
        <v>46</v>
      </c>
      <c r="I756" s="321">
        <f ca="1">IFERROR(__xludf.DUMMYFUNCTION("IMPORTRANGE(""https://docs.google.com/spreadsheets/d/1eHaY18a8A9IcSdp1K8H6x8fbOy06t2VsZHhMHf-1x7Y/edit?usp=sharing"",""แผน!GE66"")"),1)</f>
        <v>1</v>
      </c>
      <c r="J756" s="884">
        <v>0</v>
      </c>
      <c r="K756" s="399">
        <f ca="1">IF(I756&gt;0,J756*100/I756,0)</f>
        <v>0</v>
      </c>
      <c r="L756" s="540"/>
      <c r="M756" s="72"/>
      <c r="N756" s="72"/>
      <c r="O756" s="72"/>
      <c r="P756" s="72"/>
      <c r="Q756" s="72"/>
      <c r="R756" s="72"/>
      <c r="S756" s="72"/>
      <c r="T756" s="72"/>
      <c r="U756" s="72"/>
    </row>
    <row r="757" spans="1:21" ht="18.75" x14ac:dyDescent="0.25">
      <c r="A757" s="222"/>
      <c r="B757" s="223"/>
      <c r="C757" s="223"/>
      <c r="D757" s="223"/>
      <c r="E757" s="231"/>
      <c r="F757" s="395" t="s">
        <v>320</v>
      </c>
      <c r="G757" s="227"/>
      <c r="H757" s="216" t="s">
        <v>46</v>
      </c>
      <c r="I757" s="71"/>
      <c r="J757" s="884">
        <v>0</v>
      </c>
      <c r="K757" s="72"/>
      <c r="L757" s="540"/>
      <c r="M757" s="72"/>
      <c r="N757" s="72"/>
      <c r="O757" s="72"/>
      <c r="P757" s="72"/>
      <c r="Q757" s="72"/>
      <c r="R757" s="72"/>
      <c r="S757" s="72"/>
      <c r="T757" s="72"/>
      <c r="U757" s="72"/>
    </row>
    <row r="758" spans="1:21" ht="19.5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0">I772</f>
        <v>30</v>
      </c>
      <c r="J758" s="781">
        <f t="shared" si="450"/>
        <v>0</v>
      </c>
      <c r="K758" s="766">
        <f t="shared" ref="K758:K759" ca="1" si="451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2">I774</f>
        <v>100</v>
      </c>
      <c r="J759" s="781">
        <f t="shared" si="452"/>
        <v>0</v>
      </c>
      <c r="K759" s="766">
        <f t="shared" ca="1" si="451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1257">
        <f t="shared" ref="L760:N760" si="453">L761+L762</f>
        <v>0</v>
      </c>
      <c r="M760" s="264">
        <f t="shared" si="453"/>
        <v>0</v>
      </c>
      <c r="N760" s="264">
        <f t="shared" si="453"/>
        <v>0</v>
      </c>
      <c r="O760" s="264">
        <f t="shared" ref="O760:O768" si="454">IF(L760&gt;0,N760*100/L760,0)</f>
        <v>0</v>
      </c>
      <c r="P760" s="264">
        <f t="shared" ref="P760:P768" si="455">IF(M760&gt;0,N760*100/M760,0)</f>
        <v>0</v>
      </c>
      <c r="Q760" s="264">
        <f t="shared" ref="Q760:S760" ca="1" si="456">Q761+Q762</f>
        <v>330680</v>
      </c>
      <c r="R760" s="264">
        <f t="shared" ca="1" si="456"/>
        <v>330680</v>
      </c>
      <c r="S760" s="264">
        <f t="shared" ca="1" si="456"/>
        <v>10075</v>
      </c>
      <c r="T760" s="264">
        <f t="shared" ref="T760:T768" ca="1" si="457">IF(Q760&gt;0,S760*100/Q760,0)</f>
        <v>3.0467521470908432</v>
      </c>
      <c r="U760" s="264">
        <f t="shared" ref="U760:U768" ca="1" si="458">IF(R760&gt;0,S760*100/R760,0)</f>
        <v>3.0467521470908432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6">
        <f t="shared" ref="L761:N762" si="459">L764+L767</f>
        <v>0</v>
      </c>
      <c r="M761" s="77">
        <f t="shared" si="459"/>
        <v>0</v>
      </c>
      <c r="N761" s="77">
        <f t="shared" si="459"/>
        <v>0</v>
      </c>
      <c r="O761" s="77">
        <f t="shared" si="454"/>
        <v>0</v>
      </c>
      <c r="P761" s="77">
        <f t="shared" si="455"/>
        <v>0</v>
      </c>
      <c r="Q761" s="77">
        <f t="shared" ref="Q761:S762" si="460">Q764+Q767</f>
        <v>0</v>
      </c>
      <c r="R761" s="77">
        <f t="shared" si="460"/>
        <v>0</v>
      </c>
      <c r="S761" s="77">
        <f t="shared" si="460"/>
        <v>0</v>
      </c>
      <c r="T761" s="77">
        <f t="shared" si="457"/>
        <v>0</v>
      </c>
      <c r="U761" s="77">
        <f t="shared" si="458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3">
        <f t="shared" si="459"/>
        <v>0</v>
      </c>
      <c r="M762" s="74">
        <f t="shared" si="459"/>
        <v>0</v>
      </c>
      <c r="N762" s="74">
        <f t="shared" si="459"/>
        <v>0</v>
      </c>
      <c r="O762" s="74">
        <f t="shared" si="454"/>
        <v>0</v>
      </c>
      <c r="P762" s="74">
        <f t="shared" si="455"/>
        <v>0</v>
      </c>
      <c r="Q762" s="74">
        <f t="shared" ca="1" si="460"/>
        <v>330680</v>
      </c>
      <c r="R762" s="74">
        <f t="shared" ca="1" si="460"/>
        <v>330680</v>
      </c>
      <c r="S762" s="74">
        <f t="shared" ca="1" si="460"/>
        <v>10075</v>
      </c>
      <c r="T762" s="74">
        <f t="shared" ca="1" si="457"/>
        <v>3.0467521470908432</v>
      </c>
      <c r="U762" s="74">
        <f t="shared" ca="1" si="458"/>
        <v>3.0467521470908432</v>
      </c>
    </row>
    <row r="763" spans="1:21" ht="18.75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3">
        <f t="shared" ref="L763:N763" si="461">L764+L765</f>
        <v>0</v>
      </c>
      <c r="M763" s="74">
        <f t="shared" si="461"/>
        <v>0</v>
      </c>
      <c r="N763" s="74">
        <f t="shared" si="461"/>
        <v>0</v>
      </c>
      <c r="O763" s="74">
        <f t="shared" si="454"/>
        <v>0</v>
      </c>
      <c r="P763" s="74">
        <f t="shared" si="455"/>
        <v>0</v>
      </c>
      <c r="Q763" s="74">
        <f t="shared" ref="Q763:S763" ca="1" si="462">Q764+Q765</f>
        <v>330680</v>
      </c>
      <c r="R763" s="74">
        <f t="shared" ca="1" si="462"/>
        <v>330680</v>
      </c>
      <c r="S763" s="74">
        <f t="shared" ca="1" si="462"/>
        <v>10075</v>
      </c>
      <c r="T763" s="74">
        <f t="shared" ca="1" si="457"/>
        <v>3.0467521470908432</v>
      </c>
      <c r="U763" s="74">
        <f t="shared" ca="1" si="458"/>
        <v>3.0467521470908432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77">
        <f t="shared" si="454"/>
        <v>0</v>
      </c>
      <c r="P764" s="77">
        <f t="shared" si="455"/>
        <v>0</v>
      </c>
      <c r="Q764" s="77">
        <v>0</v>
      </c>
      <c r="R764" s="77">
        <v>0</v>
      </c>
      <c r="S764" s="77">
        <v>0</v>
      </c>
      <c r="T764" s="77">
        <f t="shared" si="457"/>
        <v>0</v>
      </c>
      <c r="U764" s="77">
        <f t="shared" si="458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74">
        <f t="shared" si="454"/>
        <v>0</v>
      </c>
      <c r="P765" s="74">
        <f t="shared" si="455"/>
        <v>0</v>
      </c>
      <c r="Q765" s="74">
        <f ca="1">IFERROR(__xludf.DUMMYFUNCTION("IMPORTRANGE(""https://docs.google.com/spreadsheets/d/1ItG2mGa2ceCfYo0BwxsXqNm01IGEUdYcSSLTEv9YCik/edit?usp=sharing"",""เบิกจ่ายกองทุน!U66"")"),330680)</f>
        <v>330680</v>
      </c>
      <c r="R765" s="74">
        <f ca="1">IFERROR(__xludf.DUMMYFUNCTION("IMPORTRANGE(""https://docs.google.com/spreadsheets/d/1ItG2mGa2ceCfYo0BwxsXqNm01IGEUdYcSSLTEv9YCik/edit?usp=sharing"",""เบิกจ่ายกองทุน!V66"")"),330680)</f>
        <v>330680</v>
      </c>
      <c r="S765" s="74">
        <f ca="1">IFERROR(__xludf.DUMMYFUNCTION("IMPORTRANGE(""https://docs.google.com/spreadsheets/d/1ItG2mGa2ceCfYo0BwxsXqNm01IGEUdYcSSLTEv9YCik/edit?usp=sharing"",""เบิกจ่ายกองทุน!W66"")"),10075)</f>
        <v>10075</v>
      </c>
      <c r="T765" s="74">
        <f t="shared" ca="1" si="457"/>
        <v>3.0467521470908432</v>
      </c>
      <c r="U765" s="74">
        <f t="shared" ca="1" si="458"/>
        <v>3.0467521470908432</v>
      </c>
    </row>
    <row r="766" spans="1:21" ht="18.75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3">
        <f t="shared" ref="L766:N766" si="463">L767+L768</f>
        <v>0</v>
      </c>
      <c r="M766" s="74">
        <f t="shared" si="463"/>
        <v>0</v>
      </c>
      <c r="N766" s="74">
        <f t="shared" si="463"/>
        <v>0</v>
      </c>
      <c r="O766" s="74">
        <f t="shared" si="454"/>
        <v>0</v>
      </c>
      <c r="P766" s="74">
        <f t="shared" si="455"/>
        <v>0</v>
      </c>
      <c r="Q766" s="74">
        <f t="shared" ref="Q766:S766" si="464">Q767+Q768</f>
        <v>0</v>
      </c>
      <c r="R766" s="74">
        <f t="shared" si="464"/>
        <v>0</v>
      </c>
      <c r="S766" s="74">
        <f t="shared" si="464"/>
        <v>0</v>
      </c>
      <c r="T766" s="74">
        <f t="shared" si="457"/>
        <v>0</v>
      </c>
      <c r="U766" s="74">
        <f t="shared" si="458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77">
        <f t="shared" si="454"/>
        <v>0</v>
      </c>
      <c r="P767" s="77">
        <f t="shared" si="455"/>
        <v>0</v>
      </c>
      <c r="Q767" s="77">
        <v>0</v>
      </c>
      <c r="R767" s="77">
        <v>0</v>
      </c>
      <c r="S767" s="77">
        <v>0</v>
      </c>
      <c r="T767" s="77">
        <f t="shared" si="457"/>
        <v>0</v>
      </c>
      <c r="U767" s="77">
        <f t="shared" si="458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74">
        <f t="shared" si="454"/>
        <v>0</v>
      </c>
      <c r="P768" s="74">
        <f t="shared" si="455"/>
        <v>0</v>
      </c>
      <c r="Q768" s="74">
        <v>0</v>
      </c>
      <c r="R768" s="74">
        <v>0</v>
      </c>
      <c r="S768" s="74">
        <v>0</v>
      </c>
      <c r="T768" s="74">
        <f t="shared" si="457"/>
        <v>0</v>
      </c>
      <c r="U768" s="74">
        <f t="shared" si="458"/>
        <v>0</v>
      </c>
    </row>
    <row r="769" spans="1:21" ht="19.5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IFERROR(__xludf.DUMMYFUNCTION("IMPORTRANGE(""https://docs.google.com/spreadsheets/d/1eHaY18a8A9IcSdp1K8H6x8fbOy06t2VsZHhMHf-1x7Y/edit?usp=sharing"",""แผน!FI66"")"),0)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IFERROR(__xludf.DUMMYFUNCTION("IMPORTRANGE(""https://docs.google.com/spreadsheets/d/1eHaY18a8A9IcSdp1K8H6x8fbOy06t2VsZHhMHf-1x7Y/edit?usp=sharing"",""แผน!FQ66"")"),30)</f>
        <v>30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IFERROR(__xludf.DUMMYFUNCTION("IMPORTRANGE(""https://docs.google.com/spreadsheets/d/1eHaY18a8A9IcSdp1K8H6x8fbOy06t2VsZHhMHf-1x7Y/edit?usp=sharing"",""แผน!FR66"")"),100)</f>
        <v>100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IFERROR(__xludf.DUMMYFUNCTION("IMPORTRANGE(""https://docs.google.com/spreadsheets/d/1eHaY18a8A9IcSdp1K8H6x8fbOy06t2VsZHhMHf-1x7Y/edit?usp=sharing"",""แผน!FS66"")"),100)</f>
        <v>100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IFERROR(__xludf.DUMMYFUNCTION("IMPORTRANGE(""https://docs.google.com/spreadsheets/d/1eHaY18a8A9IcSdp1K8H6x8fbOy06t2VsZHhMHf-1x7Y/edit?usp=sharing"",""แผน!FT66"")"),30)</f>
        <v>30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IFERROR(__xludf.DUMMYFUNCTION("IMPORTRANGE(""https://docs.google.com/spreadsheets/d/10OvvATaaLtwErnr3qtWFcTmtbfpFEt5Bsqel9sXx0uE/edit?usp=sharing"",""งานกองทุน!D66"")"),2251469.59)</f>
        <v>2251469.59</v>
      </c>
      <c r="J778" s="293">
        <f ca="1">IFERROR(__xludf.DUMMYFUNCTION("IMPORTRANGE(""https://docs.google.com/spreadsheets/d/10OvvATaaLtwErnr3qtWFcTmtbfpFEt5Bsqel9sXx0uE/edit?usp=sharing"",""งานกองทุน!F66"")"),353654.68)</f>
        <v>353654.68</v>
      </c>
      <c r="K778" s="74">
        <f t="shared" ref="K778:K785" ca="1" si="465">IF(I778&gt;0,J778*100/I778,0)</f>
        <v>15.707726258918736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IFERROR(__xludf.DUMMYFUNCTION("IMPORTRANGE(""https://docs.google.com/spreadsheets/d/10OvvATaaLtwErnr3qtWFcTmtbfpFEt5Bsqel9sXx0uE/edit?usp=sharing"",""งานกองทุน!C66"")"),136)</f>
        <v>136</v>
      </c>
      <c r="J779" s="293">
        <f ca="1">IFERROR(__xludf.DUMMYFUNCTION("IMPORTRANGE(""https://docs.google.com/spreadsheets/d/10OvvATaaLtwErnr3qtWFcTmtbfpFEt5Bsqel9sXx0uE/edit?usp=sharing"",""งานกองทุน!E66"")"),10)</f>
        <v>10</v>
      </c>
      <c r="K779" s="74">
        <f t="shared" ca="1" si="465"/>
        <v>7.3529411764705879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IFERROR(__xludf.DUMMYFUNCTION("IMPORTRANGE(""https://docs.google.com/spreadsheets/d/10OvvATaaLtwErnr3qtWFcTmtbfpFEt5Bsqel9sXx0uE/edit?usp=sharing"",""งานกองทุน!I66"")"),1230016.65)</f>
        <v>1230016.6499999999</v>
      </c>
      <c r="J780" s="293">
        <f ca="1">IFERROR(__xludf.DUMMYFUNCTION("IMPORTRANGE(""https://docs.google.com/spreadsheets/d/10OvvATaaLtwErnr3qtWFcTmtbfpFEt5Bsqel9sXx0uE/edit?usp=sharing"",""งานกองทุน!K66"")"),99825.79)</f>
        <v>99825.79</v>
      </c>
      <c r="K780" s="74">
        <f t="shared" ca="1" si="465"/>
        <v>8.1158080258507077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IFERROR(__xludf.DUMMYFUNCTION("IMPORTRANGE(""https://docs.google.com/spreadsheets/d/10OvvATaaLtwErnr3qtWFcTmtbfpFEt5Bsqel9sXx0uE/edit?usp=sharing"",""งานกองทุน!H66"")"),39)</f>
        <v>39</v>
      </c>
      <c r="J781" s="293">
        <f ca="1">IFERROR(__xludf.DUMMYFUNCTION("IMPORTRANGE(""https://docs.google.com/spreadsheets/d/10OvvATaaLtwErnr3qtWFcTmtbfpFEt5Bsqel9sXx0uE/edit?usp=sharing"",""งานกองทุน!J66"")"),14)</f>
        <v>14</v>
      </c>
      <c r="K781" s="74">
        <f t="shared" ca="1" si="465"/>
        <v>35.897435897435898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IFERROR(__xludf.DUMMYFUNCTION("IMPORTRANGE(""https://docs.google.com/spreadsheets/d/10OvvATaaLtwErnr3qtWFcTmtbfpFEt5Bsqel9sXx0uE/edit?usp=sharing"",""งานกองทุน!N66"")"),0)</f>
        <v>0</v>
      </c>
      <c r="J782" s="293">
        <f ca="1">IFERROR(__xludf.DUMMYFUNCTION("IMPORTRANGE(""https://docs.google.com/spreadsheets/d/10OvvATaaLtwErnr3qtWFcTmtbfpFEt5Bsqel9sXx0uE/edit?usp=sharing"",""งานกองทุน!P66"")"),0)</f>
        <v>0</v>
      </c>
      <c r="K782" s="74">
        <f t="shared" ca="1" si="465"/>
        <v>0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IFERROR(__xludf.DUMMYFUNCTION("IMPORTRANGE(""https://docs.google.com/spreadsheets/d/10OvvATaaLtwErnr3qtWFcTmtbfpFEt5Bsqel9sXx0uE/edit?usp=sharing"",""งานกองทุน!M66"")"),0)</f>
        <v>0</v>
      </c>
      <c r="J783" s="293">
        <f ca="1">IFERROR(__xludf.DUMMYFUNCTION("IMPORTRANGE(""https://docs.google.com/spreadsheets/d/10OvvATaaLtwErnr3qtWFcTmtbfpFEt5Bsqel9sXx0uE/edit?usp=sharing"",""งานกองทุน!O66"")"),0)</f>
        <v>0</v>
      </c>
      <c r="K783" s="74">
        <f t="shared" ca="1" si="465"/>
        <v>0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IFERROR(__xludf.DUMMYFUNCTION("IMPORTRANGE(""https://docs.google.com/spreadsheets/d/10OvvATaaLtwErnr3qtWFcTmtbfpFEt5Bsqel9sXx0uE/edit?usp=sharing"",""งานกองทุน!S66"")"),2156000)</f>
        <v>2156000</v>
      </c>
      <c r="J784" s="293">
        <f ca="1">IFERROR(__xludf.DUMMYFUNCTION("IMPORTRANGE(""https://docs.google.com/spreadsheets/d/10OvvATaaLtwErnr3qtWFcTmtbfpFEt5Bsqel9sXx0uE/edit?usp=sharing"",""งานกองทุน!U66"")"),450000)</f>
        <v>450000</v>
      </c>
      <c r="K784" s="74">
        <f t="shared" ca="1" si="465"/>
        <v>20.871985157699445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IFERROR(__xludf.DUMMYFUNCTION("IMPORTRANGE(""https://docs.google.com/spreadsheets/d/10OvvATaaLtwErnr3qtWFcTmtbfpFEt5Bsqel9sXx0uE/edit?usp=sharing"",""งานกองทุน!R66"")"),77)</f>
        <v>77</v>
      </c>
      <c r="J785" s="786">
        <f ca="1">IFERROR(__xludf.DUMMYFUNCTION("IMPORTRANGE(""https://docs.google.com/spreadsheets/d/10OvvATaaLtwErnr3qtWFcTmtbfpFEt5Bsqel9sXx0uE/edit?usp=sharing"",""งานกองทุน!T66"")"),9)</f>
        <v>9</v>
      </c>
      <c r="K785" s="182">
        <f t="shared" ca="1" si="465"/>
        <v>11.688311688311689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  <row r="789" spans="1:21" ht="12.75" x14ac:dyDescent="0.2">
      <c r="L789" s="289"/>
      <c r="M789" s="289"/>
      <c r="N789" s="289"/>
      <c r="O789" s="289"/>
      <c r="P789" s="289"/>
      <c r="Q789" s="289"/>
      <c r="R789" s="289"/>
      <c r="S789" s="289"/>
      <c r="T789" s="289"/>
      <c r="U789" s="289"/>
    </row>
    <row r="790" spans="1:21" ht="12.75" x14ac:dyDescent="0.2">
      <c r="L790" s="289"/>
      <c r="M790" s="289"/>
      <c r="N790" s="289"/>
      <c r="O790" s="289"/>
      <c r="P790" s="289"/>
      <c r="Q790" s="289"/>
      <c r="R790" s="289"/>
      <c r="S790" s="289"/>
      <c r="T790" s="289"/>
      <c r="U790" s="289"/>
    </row>
    <row r="791" spans="1:21" ht="12.75" x14ac:dyDescent="0.2">
      <c r="L791" s="289"/>
      <c r="M791" s="289"/>
      <c r="N791" s="289"/>
      <c r="O791" s="289"/>
      <c r="P791" s="289"/>
      <c r="Q791" s="289"/>
      <c r="R791" s="289"/>
      <c r="S791" s="289"/>
      <c r="T791" s="289"/>
      <c r="U791" s="289"/>
    </row>
    <row r="792" spans="1:21" ht="12.75" x14ac:dyDescent="0.2">
      <c r="L792" s="289"/>
      <c r="M792" s="289"/>
      <c r="N792" s="289"/>
      <c r="O792" s="289"/>
      <c r="P792" s="289"/>
      <c r="Q792" s="289"/>
      <c r="R792" s="289"/>
      <c r="S792" s="289"/>
      <c r="T792" s="289"/>
      <c r="U792" s="289"/>
    </row>
    <row r="793" spans="1:21" ht="12.75" x14ac:dyDescent="0.2">
      <c r="L793" s="289"/>
      <c r="M793" s="289"/>
      <c r="N793" s="289"/>
      <c r="O793" s="289"/>
      <c r="P793" s="289"/>
      <c r="Q793" s="289"/>
      <c r="R793" s="289"/>
      <c r="S793" s="289"/>
      <c r="T793" s="289"/>
      <c r="U793" s="289"/>
    </row>
    <row r="794" spans="1:21" ht="12.75" x14ac:dyDescent="0.2">
      <c r="L794" s="289"/>
      <c r="M794" s="289"/>
      <c r="N794" s="289"/>
      <c r="O794" s="289"/>
      <c r="P794" s="289"/>
      <c r="Q794" s="289"/>
      <c r="R794" s="289"/>
      <c r="S794" s="289"/>
      <c r="T794" s="289"/>
      <c r="U794" s="289"/>
    </row>
    <row r="795" spans="1:21" ht="12.75" x14ac:dyDescent="0.2">
      <c r="L795" s="289"/>
      <c r="M795" s="289"/>
      <c r="N795" s="289"/>
      <c r="O795" s="289"/>
      <c r="P795" s="289"/>
      <c r="Q795" s="289"/>
      <c r="R795" s="289"/>
      <c r="S795" s="289"/>
      <c r="T795" s="289"/>
      <c r="U795" s="289"/>
    </row>
    <row r="796" spans="1:21" ht="12.75" x14ac:dyDescent="0.2">
      <c r="L796" s="289"/>
      <c r="M796" s="289"/>
      <c r="N796" s="289"/>
      <c r="O796" s="289"/>
      <c r="P796" s="289"/>
      <c r="Q796" s="289"/>
      <c r="R796" s="289"/>
      <c r="S796" s="289"/>
      <c r="T796" s="289"/>
      <c r="U796" s="289"/>
    </row>
    <row r="797" spans="1:21" ht="12.75" x14ac:dyDescent="0.2">
      <c r="L797" s="289"/>
      <c r="M797" s="289"/>
      <c r="N797" s="289"/>
      <c r="O797" s="289"/>
      <c r="P797" s="289"/>
      <c r="Q797" s="289"/>
      <c r="R797" s="289"/>
      <c r="S797" s="289"/>
      <c r="T797" s="289"/>
      <c r="U797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38AC9-3B87-4815-8FC9-280C4CF9D97C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5.140625" customWidth="1"/>
    <col min="12" max="14" width="21.28515625" bestFit="1" customWidth="1"/>
    <col min="15" max="15" width="10.8554687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351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9" t="s">
        <v>4</v>
      </c>
      <c r="B6" s="1385"/>
      <c r="C6" s="1385"/>
      <c r="D6" s="1385"/>
      <c r="E6" s="1385"/>
      <c r="F6" s="1385"/>
      <c r="G6" s="1386"/>
      <c r="H6" s="1284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8">
        <f t="shared" ref="L19:N19" ca="1" si="0">L20+L21</f>
        <v>1542175</v>
      </c>
      <c r="M19" s="59">
        <f t="shared" ca="1" si="0"/>
        <v>1545275</v>
      </c>
      <c r="N19" s="59">
        <f t="shared" ca="1" si="0"/>
        <v>1004432.22</v>
      </c>
      <c r="O19" s="59">
        <f t="shared" ref="O19:O27" ca="1" si="1">IF(L19&gt;0,N19*100/L19,0)</f>
        <v>65.130884627231026</v>
      </c>
      <c r="P19" s="59">
        <f t="shared" ref="P19:P27" ca="1" si="2">IF(M19&gt;0,N19*100/M19,0)</f>
        <v>65.000224555499827</v>
      </c>
      <c r="Q19" s="59">
        <f t="shared" ref="Q19:S19" ca="1" si="3">Q20+Q21</f>
        <v>1211654.3900000001</v>
      </c>
      <c r="R19" s="59">
        <f t="shared" ca="1" si="3"/>
        <v>1149154</v>
      </c>
      <c r="S19" s="59">
        <f t="shared" ca="1" si="3"/>
        <v>56650</v>
      </c>
      <c r="T19" s="59">
        <f t="shared" ref="T19:T27" ca="1" si="4">IF(Q19&gt;0,S19*100/Q19,0)</f>
        <v>4.6754256384941577</v>
      </c>
      <c r="U19" s="59">
        <f t="shared" ref="U19:U27" ca="1" si="5">IF(R19&gt;0,S19*100/R19,0)</f>
        <v>4.9297135109828618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2">
        <f t="shared" ref="L20:N21" si="6">L23+L26</f>
        <v>0</v>
      </c>
      <c r="M20" s="63">
        <f t="shared" si="6"/>
        <v>0</v>
      </c>
      <c r="N20" s="63">
        <f t="shared" si="6"/>
        <v>0</v>
      </c>
      <c r="O20" s="63">
        <f t="shared" si="1"/>
        <v>0</v>
      </c>
      <c r="P20" s="63">
        <f t="shared" si="2"/>
        <v>0</v>
      </c>
      <c r="Q20" s="63">
        <f t="shared" ref="Q20:S21" si="7">Q23+Q26</f>
        <v>0</v>
      </c>
      <c r="R20" s="63">
        <f t="shared" si="7"/>
        <v>0</v>
      </c>
      <c r="S20" s="63">
        <f t="shared" si="7"/>
        <v>0</v>
      </c>
      <c r="T20" s="63">
        <f t="shared" si="4"/>
        <v>0</v>
      </c>
      <c r="U20" s="6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4">
        <f t="shared" ca="1" si="6"/>
        <v>1542175</v>
      </c>
      <c r="M21" s="65">
        <f t="shared" ca="1" si="6"/>
        <v>1545275</v>
      </c>
      <c r="N21" s="65">
        <f t="shared" ca="1" si="6"/>
        <v>1004432.22</v>
      </c>
      <c r="O21" s="65">
        <f t="shared" ca="1" si="1"/>
        <v>65.130884627231026</v>
      </c>
      <c r="P21" s="65">
        <f t="shared" ca="1" si="2"/>
        <v>65.000224555499827</v>
      </c>
      <c r="Q21" s="65">
        <f t="shared" ca="1" si="7"/>
        <v>1211654.3900000001</v>
      </c>
      <c r="R21" s="65">
        <f t="shared" ca="1" si="7"/>
        <v>1149154</v>
      </c>
      <c r="S21" s="65">
        <f t="shared" ca="1" si="7"/>
        <v>56650</v>
      </c>
      <c r="T21" s="65">
        <f t="shared" ca="1" si="4"/>
        <v>4.6754256384941577</v>
      </c>
      <c r="U21" s="65">
        <f t="shared" ca="1" si="5"/>
        <v>4.9297135109828618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3">
        <f t="shared" ref="L22:N22" ca="1" si="8">L23+L24</f>
        <v>1542175</v>
      </c>
      <c r="M22" s="74">
        <f t="shared" ca="1" si="8"/>
        <v>1545275</v>
      </c>
      <c r="N22" s="74">
        <f t="shared" ca="1" si="8"/>
        <v>1004432.22</v>
      </c>
      <c r="O22" s="74">
        <f t="shared" ca="1" si="1"/>
        <v>65.130884627231026</v>
      </c>
      <c r="P22" s="74">
        <f t="shared" ca="1" si="2"/>
        <v>65.000224555499827</v>
      </c>
      <c r="Q22" s="74">
        <f t="shared" ref="Q22:S22" ca="1" si="9">Q23+Q24</f>
        <v>1211654.3900000001</v>
      </c>
      <c r="R22" s="74">
        <f t="shared" ca="1" si="9"/>
        <v>1149154</v>
      </c>
      <c r="S22" s="74">
        <f t="shared" ca="1" si="9"/>
        <v>56650</v>
      </c>
      <c r="T22" s="74">
        <f t="shared" ca="1" si="4"/>
        <v>4.6754256384941577</v>
      </c>
      <c r="U22" s="74">
        <f t="shared" ca="1" si="5"/>
        <v>4.9297135109828618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6">
        <f t="shared" ref="L23:N24" si="10">L49+L64+L77+L99+L130+L144+L162+L191+L178+L271+L287+L308+L325+L338+L361+L518</f>
        <v>0</v>
      </c>
      <c r="M23" s="77">
        <f t="shared" si="10"/>
        <v>0</v>
      </c>
      <c r="N23" s="77">
        <f t="shared" si="10"/>
        <v>0</v>
      </c>
      <c r="O23" s="77">
        <f t="shared" si="1"/>
        <v>0</v>
      </c>
      <c r="P23" s="77">
        <f t="shared" si="2"/>
        <v>0</v>
      </c>
      <c r="Q23" s="77">
        <f t="shared" ref="Q23:S24" si="11">Q77+Q99+Q122+Q144+Q162+Q178+Q191+Q271+Q287+Q308+Q338+Q380+Q397+Q418+Q498+Q604+Q621+Q647+Q695+Q719+Q733+Q764</f>
        <v>0</v>
      </c>
      <c r="R23" s="77">
        <f t="shared" si="11"/>
        <v>0</v>
      </c>
      <c r="S23" s="77">
        <f t="shared" si="11"/>
        <v>0</v>
      </c>
      <c r="T23" s="77">
        <f t="shared" si="4"/>
        <v>0</v>
      </c>
      <c r="U23" s="77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3">
        <f t="shared" ca="1" si="10"/>
        <v>1542175</v>
      </c>
      <c r="M24" s="74">
        <f t="shared" ca="1" si="10"/>
        <v>1545275</v>
      </c>
      <c r="N24" s="74">
        <f t="shared" ca="1" si="10"/>
        <v>1004432.22</v>
      </c>
      <c r="O24" s="74">
        <f t="shared" ca="1" si="1"/>
        <v>65.130884627231026</v>
      </c>
      <c r="P24" s="74">
        <f t="shared" ca="1" si="2"/>
        <v>65.000224555499827</v>
      </c>
      <c r="Q24" s="74">
        <f t="shared" ca="1" si="11"/>
        <v>1211654.3900000001</v>
      </c>
      <c r="R24" s="74">
        <f t="shared" ca="1" si="11"/>
        <v>1149154</v>
      </c>
      <c r="S24" s="74">
        <f t="shared" ca="1" si="11"/>
        <v>56650</v>
      </c>
      <c r="T24" s="74">
        <f t="shared" ca="1" si="4"/>
        <v>4.6754256384941577</v>
      </c>
      <c r="U24" s="74">
        <f t="shared" ca="1" si="5"/>
        <v>4.9297135109828618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3">
        <f t="shared" ref="L25:N25" ca="1" si="12">L26+L27</f>
        <v>0</v>
      </c>
      <c r="M25" s="74">
        <f t="shared" ca="1" si="12"/>
        <v>0</v>
      </c>
      <c r="N25" s="74">
        <f t="shared" ca="1" si="12"/>
        <v>0</v>
      </c>
      <c r="O25" s="74">
        <f t="shared" ca="1" si="1"/>
        <v>0</v>
      </c>
      <c r="P25" s="74">
        <f t="shared" ca="1" si="2"/>
        <v>0</v>
      </c>
      <c r="Q25" s="74">
        <f t="shared" ref="Q25:S25" si="13">Q26+Q27</f>
        <v>0</v>
      </c>
      <c r="R25" s="74">
        <f t="shared" si="13"/>
        <v>0</v>
      </c>
      <c r="S25" s="74">
        <f t="shared" si="13"/>
        <v>0</v>
      </c>
      <c r="T25" s="74">
        <f t="shared" si="4"/>
        <v>0</v>
      </c>
      <c r="U25" s="74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6">
        <f t="shared" ref="L26:N27" si="14">L52+L67+L80+L102+L133+L147+L165+L194+L181+L274+L290+L311+L328+L341+L364+L521</f>
        <v>0</v>
      </c>
      <c r="M26" s="77">
        <f t="shared" si="14"/>
        <v>0</v>
      </c>
      <c r="N26" s="77">
        <f t="shared" si="14"/>
        <v>0</v>
      </c>
      <c r="O26" s="77">
        <f t="shared" si="1"/>
        <v>0</v>
      </c>
      <c r="P26" s="77">
        <f t="shared" si="2"/>
        <v>0</v>
      </c>
      <c r="Q26" s="77">
        <f t="shared" ref="Q26:S27" si="15">Q80+Q102+Q125+Q147+Q165+Q181+Q194+Q274+Q290+Q311+Q341+Q383+Q400+Q421+Q501+Q607+Q624+Q650+Q698+Q722+Q736+Q767</f>
        <v>0</v>
      </c>
      <c r="R26" s="77">
        <f t="shared" si="15"/>
        <v>0</v>
      </c>
      <c r="S26" s="77">
        <f t="shared" si="15"/>
        <v>0</v>
      </c>
      <c r="T26" s="77">
        <f t="shared" si="4"/>
        <v>0</v>
      </c>
      <c r="U26" s="77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3">
        <f t="shared" ca="1" si="14"/>
        <v>0</v>
      </c>
      <c r="M27" s="74">
        <f t="shared" ca="1" si="14"/>
        <v>0</v>
      </c>
      <c r="N27" s="74">
        <f t="shared" ca="1" si="14"/>
        <v>0</v>
      </c>
      <c r="O27" s="74">
        <f t="shared" ca="1" si="1"/>
        <v>0</v>
      </c>
      <c r="P27" s="74">
        <f t="shared" ca="1" si="2"/>
        <v>0</v>
      </c>
      <c r="Q27" s="77">
        <f t="shared" si="15"/>
        <v>0</v>
      </c>
      <c r="R27" s="77">
        <f t="shared" si="15"/>
        <v>0</v>
      </c>
      <c r="S27" s="77">
        <f t="shared" si="15"/>
        <v>0</v>
      </c>
      <c r="T27" s="74">
        <f t="shared" si="4"/>
        <v>0</v>
      </c>
      <c r="U27" s="74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79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80">
        <f t="shared" ref="L41:N41" ca="1" si="16">L45+L60+L73+L95+L126+L140+L158+L174+L187+L267+L283+L304+L321+L334+L357</f>
        <v>1542175</v>
      </c>
      <c r="M41" s="1279">
        <f t="shared" ca="1" si="16"/>
        <v>1545275</v>
      </c>
      <c r="N41" s="1279">
        <f t="shared" ca="1" si="16"/>
        <v>1004432.22</v>
      </c>
      <c r="O41" s="1279">
        <f ca="1">IF(L41&gt;0,N41*100/L41,0)</f>
        <v>65.130884627231026</v>
      </c>
      <c r="P41" s="1279">
        <f ca="1">IF(M41&gt;0,N41*100/M41,0)</f>
        <v>65.000224555499827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6">
        <f t="shared" ref="L45:N45" ca="1" si="17">L46+L47</f>
        <v>235300</v>
      </c>
      <c r="M45" s="1275">
        <f t="shared" ca="1" si="17"/>
        <v>240160</v>
      </c>
      <c r="N45" s="1275">
        <f t="shared" ca="1" si="17"/>
        <v>210060</v>
      </c>
      <c r="O45" s="1275">
        <f t="shared" ref="O45:O53" ca="1" si="18">IF(L45&gt;0,N45*100/L45,0)</f>
        <v>89.273268168295786</v>
      </c>
      <c r="P45" s="1275">
        <f t="shared" ref="P45:P53" ca="1" si="19">IF(M45&gt;0,N45*100/M45,0)</f>
        <v>87.466688874083943</v>
      </c>
      <c r="Q45" s="1275">
        <f t="shared" ref="Q45:S45" si="20">Q46+Q47</f>
        <v>0</v>
      </c>
      <c r="R45" s="1275">
        <f t="shared" si="20"/>
        <v>0</v>
      </c>
      <c r="S45" s="1275">
        <f t="shared" si="20"/>
        <v>0</v>
      </c>
      <c r="T45" s="1275">
        <f t="shared" ref="T45:T53" si="21">IF(Q45&gt;0,S45*100/Q45,0)</f>
        <v>0</v>
      </c>
      <c r="U45" s="1275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4">
        <f t="shared" ref="L46:N47" si="23">L49+L52</f>
        <v>0</v>
      </c>
      <c r="M46" s="1273">
        <f t="shared" si="23"/>
        <v>0</v>
      </c>
      <c r="N46" s="1273">
        <f t="shared" si="23"/>
        <v>0</v>
      </c>
      <c r="O46" s="1273">
        <f t="shared" si="18"/>
        <v>0</v>
      </c>
      <c r="P46" s="1273">
        <f t="shared" si="19"/>
        <v>0</v>
      </c>
      <c r="Q46" s="1273">
        <f t="shared" ref="Q46:S47" si="24">Q49+Q52</f>
        <v>0</v>
      </c>
      <c r="R46" s="1273">
        <f t="shared" si="24"/>
        <v>0</v>
      </c>
      <c r="S46" s="1273">
        <f t="shared" si="24"/>
        <v>0</v>
      </c>
      <c r="T46" s="1273">
        <f t="shared" si="21"/>
        <v>0</v>
      </c>
      <c r="U46" s="1273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2">
        <f t="shared" ca="1" si="23"/>
        <v>235300</v>
      </c>
      <c r="M47" s="1271">
        <f t="shared" ca="1" si="23"/>
        <v>240160</v>
      </c>
      <c r="N47" s="1271">
        <f t="shared" ca="1" si="23"/>
        <v>210060</v>
      </c>
      <c r="O47" s="1271">
        <f t="shared" ca="1" si="18"/>
        <v>89.273268168295786</v>
      </c>
      <c r="P47" s="1271">
        <f t="shared" ca="1" si="19"/>
        <v>87.466688874083943</v>
      </c>
      <c r="Q47" s="1271">
        <f t="shared" si="24"/>
        <v>0</v>
      </c>
      <c r="R47" s="1271">
        <f t="shared" si="24"/>
        <v>0</v>
      </c>
      <c r="S47" s="1271">
        <f t="shared" si="24"/>
        <v>0</v>
      </c>
      <c r="T47" s="1271">
        <f t="shared" si="21"/>
        <v>0</v>
      </c>
      <c r="U47" s="1271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3">
        <f t="shared" ref="L48:N48" ca="1" si="25">L49+L50</f>
        <v>235300</v>
      </c>
      <c r="M48" s="74">
        <f t="shared" ca="1" si="25"/>
        <v>240160</v>
      </c>
      <c r="N48" s="74">
        <f t="shared" ca="1" si="25"/>
        <v>210060</v>
      </c>
      <c r="O48" s="74">
        <f t="shared" ca="1" si="18"/>
        <v>89.273268168295786</v>
      </c>
      <c r="P48" s="74">
        <f t="shared" ca="1" si="19"/>
        <v>87.466688874083943</v>
      </c>
      <c r="Q48" s="74">
        <f t="shared" ref="Q48:S48" si="26">Q49+Q50</f>
        <v>0</v>
      </c>
      <c r="R48" s="74">
        <f t="shared" si="26"/>
        <v>0</v>
      </c>
      <c r="S48" s="74">
        <f t="shared" si="26"/>
        <v>0</v>
      </c>
      <c r="T48" s="74">
        <f t="shared" si="21"/>
        <v>0</v>
      </c>
      <c r="U48" s="74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77">
        <f t="shared" si="18"/>
        <v>0</v>
      </c>
      <c r="P49" s="77">
        <f t="shared" si="19"/>
        <v>0</v>
      </c>
      <c r="Q49" s="77">
        <v>0</v>
      </c>
      <c r="R49" s="77">
        <v>0</v>
      </c>
      <c r="S49" s="77">
        <v>0</v>
      </c>
      <c r="T49" s="77">
        <f t="shared" si="21"/>
        <v>0</v>
      </c>
      <c r="U49" s="77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3">
        <f ca="1">IFERROR(__xludf.DUMMYFUNCTION("IMPORTRANGE(""https://docs.google.com/spreadsheets/d/1-uDff_7J0KD5mKrp0Vvzr7lt3OU09vwQwhkpOPPYv2Y/edit?usp=sharing"",""งบพรบ!P67"")"),235300)</f>
        <v>235300</v>
      </c>
      <c r="M50" s="74">
        <f ca="1">IFERROR(__xludf.DUMMYFUNCTION("IMPORTRANGE(""https://docs.google.com/spreadsheets/d/1-uDff_7J0KD5mKrp0Vvzr7lt3OU09vwQwhkpOPPYv2Y/edit?usp=sharing"",""งบพรบ!V67"")"),240160)</f>
        <v>240160</v>
      </c>
      <c r="N50" s="74">
        <f ca="1">IFERROR(__xludf.DUMMYFUNCTION("IMPORTRANGE(""https://docs.google.com/spreadsheets/d/1-uDff_7J0KD5mKrp0Vvzr7lt3OU09vwQwhkpOPPYv2Y/edit?usp=sharing"",""งบพรบ!Y67"")"),210060)</f>
        <v>210060</v>
      </c>
      <c r="O50" s="74">
        <f t="shared" ca="1" si="18"/>
        <v>89.273268168295786</v>
      </c>
      <c r="P50" s="74">
        <f t="shared" ca="1" si="19"/>
        <v>87.466688874083943</v>
      </c>
      <c r="Q50" s="74">
        <v>0</v>
      </c>
      <c r="R50" s="74">
        <v>0</v>
      </c>
      <c r="S50" s="74">
        <v>0</v>
      </c>
      <c r="T50" s="74">
        <f t="shared" si="21"/>
        <v>0</v>
      </c>
      <c r="U50" s="74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3">
        <f t="shared" ref="L51:N51" ca="1" si="27">L52+L53</f>
        <v>0</v>
      </c>
      <c r="M51" s="74">
        <f t="shared" ca="1" si="27"/>
        <v>0</v>
      </c>
      <c r="N51" s="74">
        <f t="shared" ca="1" si="27"/>
        <v>0</v>
      </c>
      <c r="O51" s="74">
        <f t="shared" ca="1" si="18"/>
        <v>0</v>
      </c>
      <c r="P51" s="74">
        <f t="shared" ca="1" si="19"/>
        <v>0</v>
      </c>
      <c r="Q51" s="74">
        <f t="shared" ref="Q51:S51" si="28">Q52+Q53</f>
        <v>0</v>
      </c>
      <c r="R51" s="74">
        <f t="shared" si="28"/>
        <v>0</v>
      </c>
      <c r="S51" s="74">
        <f t="shared" si="28"/>
        <v>0</v>
      </c>
      <c r="T51" s="74">
        <f t="shared" si="21"/>
        <v>0</v>
      </c>
      <c r="U51" s="74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77">
        <f t="shared" si="18"/>
        <v>0</v>
      </c>
      <c r="P52" s="77">
        <f t="shared" si="19"/>
        <v>0</v>
      </c>
      <c r="Q52" s="77">
        <v>0</v>
      </c>
      <c r="R52" s="77">
        <v>0</v>
      </c>
      <c r="S52" s="77">
        <v>0</v>
      </c>
      <c r="T52" s="77">
        <f t="shared" si="21"/>
        <v>0</v>
      </c>
      <c r="U52" s="77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3">
        <f ca="1">IFERROR(__xludf.DUMMYFUNCTION("IMPORTRANGE(""https://docs.google.com/spreadsheets/d/1-uDff_7J0KD5mKrp0Vvzr7lt3OU09vwQwhkpOPPYv2Y/edit?usp=sharing"",""งบพรบ!S67"")"),0)</f>
        <v>0</v>
      </c>
      <c r="M53" s="74">
        <f ca="1">IFERROR(__xludf.DUMMYFUNCTION("IMPORTRANGE(""https://docs.google.com/spreadsheets/d/1-uDff_7J0KD5mKrp0Vvzr7lt3OU09vwQwhkpOPPYv2Y/edit?usp=sharing"",""งบพรบ!W67"")"),0)</f>
        <v>0</v>
      </c>
      <c r="N53" s="74">
        <f ca="1">IFERROR(__xludf.DUMMYFUNCTION("IMPORTRANGE(""https://docs.google.com/spreadsheets/d/1-uDff_7J0KD5mKrp0Vvzr7lt3OU09vwQwhkpOPPYv2Y/edit?usp=sharing"",""งบพรบ!Z67"")"),0)</f>
        <v>0</v>
      </c>
      <c r="O53" s="74">
        <f t="shared" ca="1" si="18"/>
        <v>0</v>
      </c>
      <c r="P53" s="74">
        <f t="shared" ca="1" si="19"/>
        <v>0</v>
      </c>
      <c r="Q53" s="74">
        <v>0</v>
      </c>
      <c r="R53" s="74">
        <v>0</v>
      </c>
      <c r="S53" s="74">
        <v>0</v>
      </c>
      <c r="T53" s="74">
        <f t="shared" si="21"/>
        <v>0</v>
      </c>
      <c r="U53" s="74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9">
        <f t="shared" ref="L60:N60" ca="1" si="29">L61+L62</f>
        <v>412600</v>
      </c>
      <c r="M60" s="1268">
        <f t="shared" ca="1" si="29"/>
        <v>412600</v>
      </c>
      <c r="N60" s="1268">
        <f t="shared" ca="1" si="29"/>
        <v>309881.98</v>
      </c>
      <c r="O60" s="1268">
        <f t="shared" ref="O60:O68" ca="1" si="30">IF(L60&gt;0,N60*100/L60,0)</f>
        <v>75.104697043141059</v>
      </c>
      <c r="P60" s="1268">
        <f t="shared" ref="P60:P68" ca="1" si="31">IF(M60&gt;0,N60*100/M60,0)</f>
        <v>75.104697043141059</v>
      </c>
      <c r="Q60" s="1268">
        <f t="shared" ref="Q60:S60" si="32">Q61+Q62</f>
        <v>0</v>
      </c>
      <c r="R60" s="1268">
        <f t="shared" si="32"/>
        <v>0</v>
      </c>
      <c r="S60" s="1268">
        <f t="shared" si="32"/>
        <v>0</v>
      </c>
      <c r="T60" s="1268">
        <f t="shared" ref="T60:T68" si="33">IF(Q60&gt;0,S60*100/Q60,0)</f>
        <v>0</v>
      </c>
      <c r="U60" s="1268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7">
        <f t="shared" ref="L61:N62" si="35">L64+L67</f>
        <v>0</v>
      </c>
      <c r="M61" s="1266">
        <f t="shared" si="35"/>
        <v>0</v>
      </c>
      <c r="N61" s="1266">
        <f t="shared" si="35"/>
        <v>0</v>
      </c>
      <c r="O61" s="1266">
        <f t="shared" si="30"/>
        <v>0</v>
      </c>
      <c r="P61" s="1266">
        <f t="shared" si="31"/>
        <v>0</v>
      </c>
      <c r="Q61" s="1266">
        <f t="shared" ref="Q61:S62" si="36">Q64+Q67</f>
        <v>0</v>
      </c>
      <c r="R61" s="1266">
        <f t="shared" si="36"/>
        <v>0</v>
      </c>
      <c r="S61" s="1266">
        <f t="shared" si="36"/>
        <v>0</v>
      </c>
      <c r="T61" s="1266">
        <f t="shared" si="33"/>
        <v>0</v>
      </c>
      <c r="U61" s="1266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5">
        <f t="shared" ca="1" si="35"/>
        <v>412600</v>
      </c>
      <c r="M62" s="1264">
        <f t="shared" ca="1" si="35"/>
        <v>412600</v>
      </c>
      <c r="N62" s="1264">
        <f t="shared" ca="1" si="35"/>
        <v>309881.98</v>
      </c>
      <c r="O62" s="1264">
        <f t="shared" ca="1" si="30"/>
        <v>75.104697043141059</v>
      </c>
      <c r="P62" s="1264">
        <f t="shared" ca="1" si="31"/>
        <v>75.104697043141059</v>
      </c>
      <c r="Q62" s="1264">
        <f t="shared" si="36"/>
        <v>0</v>
      </c>
      <c r="R62" s="1264">
        <f t="shared" si="36"/>
        <v>0</v>
      </c>
      <c r="S62" s="1264">
        <f t="shared" si="36"/>
        <v>0</v>
      </c>
      <c r="T62" s="1264">
        <f t="shared" si="33"/>
        <v>0</v>
      </c>
      <c r="U62" s="1264">
        <f t="shared" si="34"/>
        <v>0</v>
      </c>
    </row>
    <row r="63" spans="1:21" ht="18.75" x14ac:dyDescent="0.25">
      <c r="A63" s="847"/>
      <c r="B63" s="258"/>
      <c r="C63" s="258"/>
      <c r="D63" s="270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3">
        <f t="shared" ref="L63:N63" ca="1" si="37">L64+L65</f>
        <v>412600</v>
      </c>
      <c r="M63" s="74">
        <f t="shared" ca="1" si="37"/>
        <v>412600</v>
      </c>
      <c r="N63" s="74">
        <f t="shared" ca="1" si="37"/>
        <v>309881.98</v>
      </c>
      <c r="O63" s="74">
        <f t="shared" ca="1" si="30"/>
        <v>75.104697043141059</v>
      </c>
      <c r="P63" s="74">
        <f t="shared" ca="1" si="31"/>
        <v>75.104697043141059</v>
      </c>
      <c r="Q63" s="74">
        <f t="shared" ref="Q63:S63" si="38">Q64+Q65</f>
        <v>0</v>
      </c>
      <c r="R63" s="74">
        <f t="shared" si="38"/>
        <v>0</v>
      </c>
      <c r="S63" s="74">
        <f t="shared" si="38"/>
        <v>0</v>
      </c>
      <c r="T63" s="74">
        <f t="shared" si="33"/>
        <v>0</v>
      </c>
      <c r="U63" s="74">
        <f t="shared" si="34"/>
        <v>0</v>
      </c>
    </row>
    <row r="64" spans="1:21" ht="18.75" hidden="1" x14ac:dyDescent="0.25">
      <c r="A64" s="847"/>
      <c r="B64" s="258"/>
      <c r="C64" s="258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77">
        <f t="shared" si="30"/>
        <v>0</v>
      </c>
      <c r="P64" s="77">
        <f t="shared" si="31"/>
        <v>0</v>
      </c>
      <c r="Q64" s="77">
        <v>0</v>
      </c>
      <c r="R64" s="77">
        <v>0</v>
      </c>
      <c r="S64" s="77">
        <v>0</v>
      </c>
      <c r="T64" s="77">
        <f t="shared" si="33"/>
        <v>0</v>
      </c>
      <c r="U64" s="77">
        <f t="shared" si="34"/>
        <v>0</v>
      </c>
    </row>
    <row r="65" spans="1:21" ht="18.75" hidden="1" x14ac:dyDescent="0.25">
      <c r="A65" s="847"/>
      <c r="B65" s="258"/>
      <c r="C65" s="258"/>
      <c r="D65" s="258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3">
        <f ca="1">IFERROR(__xludf.DUMMYFUNCTION("IMPORTRANGE(""https://docs.google.com/spreadsheets/d/1-uDff_7J0KD5mKrp0Vvzr7lt3OU09vwQwhkpOPPYv2Y/edit?usp=sharing"",""งบพรบ!AC67"")"),412600)</f>
        <v>412600</v>
      </c>
      <c r="M65" s="74">
        <f ca="1">IFERROR(__xludf.DUMMYFUNCTION("IMPORTRANGE(""https://docs.google.com/spreadsheets/d/1-uDff_7J0KD5mKrp0Vvzr7lt3OU09vwQwhkpOPPYv2Y/edit?usp=sharing"",""งบพรบ!AH67"")"),412600)</f>
        <v>412600</v>
      </c>
      <c r="N65" s="74">
        <f ca="1">IFERROR(__xludf.DUMMYFUNCTION("IMPORTRANGE(""https://docs.google.com/spreadsheets/d/1-uDff_7J0KD5mKrp0Vvzr7lt3OU09vwQwhkpOPPYv2Y/edit?usp=sharing"",""งบพรบ!AJ67"")"),309881.98)</f>
        <v>309881.98</v>
      </c>
      <c r="O65" s="74">
        <f t="shared" ca="1" si="30"/>
        <v>75.104697043141059</v>
      </c>
      <c r="P65" s="74">
        <f t="shared" ca="1" si="31"/>
        <v>75.104697043141059</v>
      </c>
      <c r="Q65" s="74">
        <v>0</v>
      </c>
      <c r="R65" s="74">
        <v>0</v>
      </c>
      <c r="S65" s="74">
        <v>0</v>
      </c>
      <c r="T65" s="74">
        <f t="shared" si="33"/>
        <v>0</v>
      </c>
      <c r="U65" s="74">
        <f t="shared" si="34"/>
        <v>0</v>
      </c>
    </row>
    <row r="66" spans="1:21" ht="18.75" x14ac:dyDescent="0.25">
      <c r="A66" s="847"/>
      <c r="B66" s="258"/>
      <c r="C66" s="258"/>
      <c r="D66" s="270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3">
        <f t="shared" ref="L66:N66" ca="1" si="39">L67+L68</f>
        <v>0</v>
      </c>
      <c r="M66" s="74">
        <f t="shared" ca="1" si="39"/>
        <v>0</v>
      </c>
      <c r="N66" s="74">
        <f t="shared" ca="1" si="39"/>
        <v>0</v>
      </c>
      <c r="O66" s="74">
        <f t="shared" ca="1" si="30"/>
        <v>0</v>
      </c>
      <c r="P66" s="74">
        <f t="shared" ca="1" si="31"/>
        <v>0</v>
      </c>
      <c r="Q66" s="74">
        <f t="shared" ref="Q66:S66" si="40">Q67+Q68</f>
        <v>0</v>
      </c>
      <c r="R66" s="74">
        <f t="shared" si="40"/>
        <v>0</v>
      </c>
      <c r="S66" s="74">
        <f t="shared" si="40"/>
        <v>0</v>
      </c>
      <c r="T66" s="74">
        <f t="shared" si="33"/>
        <v>0</v>
      </c>
      <c r="U66" s="74">
        <f t="shared" si="34"/>
        <v>0</v>
      </c>
    </row>
    <row r="67" spans="1:21" ht="18.75" hidden="1" x14ac:dyDescent="0.25">
      <c r="A67" s="847"/>
      <c r="B67" s="258"/>
      <c r="C67" s="258"/>
      <c r="D67" s="258"/>
      <c r="E67" s="265" t="s">
        <v>20</v>
      </c>
      <c r="F67" s="258"/>
      <c r="G67" s="261"/>
      <c r="H67" s="840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77">
        <f t="shared" si="30"/>
        <v>0</v>
      </c>
      <c r="P67" s="77">
        <f t="shared" si="31"/>
        <v>0</v>
      </c>
      <c r="Q67" s="77">
        <v>0</v>
      </c>
      <c r="R67" s="77">
        <v>0</v>
      </c>
      <c r="S67" s="77">
        <v>0</v>
      </c>
      <c r="T67" s="77">
        <f t="shared" si="33"/>
        <v>0</v>
      </c>
      <c r="U67" s="77">
        <f t="shared" si="34"/>
        <v>0</v>
      </c>
    </row>
    <row r="68" spans="1:21" ht="18.75" hidden="1" x14ac:dyDescent="0.25">
      <c r="A68" s="848"/>
      <c r="B68" s="636"/>
      <c r="C68" s="636"/>
      <c r="D68" s="636"/>
      <c r="E68" s="849" t="s">
        <v>21</v>
      </c>
      <c r="F68" s="636"/>
      <c r="G68" s="637"/>
      <c r="H68" s="850" t="s">
        <v>14</v>
      </c>
      <c r="I68" s="631"/>
      <c r="J68" s="631"/>
      <c r="K68" s="98"/>
      <c r="L68" s="181">
        <f ca="1">IFERROR(__xludf.DUMMYFUNCTION("IMPORTRANGE(""https://docs.google.com/spreadsheets/d/1-uDff_7J0KD5mKrp0Vvzr7lt3OU09vwQwhkpOPPYv2Y/edit?usp=sharing"",""งบพรบ!AF67"")"),0)</f>
        <v>0</v>
      </c>
      <c r="M68" s="182">
        <f ca="1">IFERROR(__xludf.DUMMYFUNCTION("IMPORTRANGE(""https://docs.google.com/spreadsheets/d/1-uDff_7J0KD5mKrp0Vvzr7lt3OU09vwQwhkpOPPYv2Y/edit?usp=sharing"",""งบพรบ!AI67"")"),0)</f>
        <v>0</v>
      </c>
      <c r="N68" s="182">
        <f ca="1">IFERROR(__xludf.DUMMYFUNCTION("IMPORTRANGE(""https://docs.google.com/spreadsheets/d/1-uDff_7J0KD5mKrp0Vvzr7lt3OU09vwQwhkpOPPYv2Y/edit?usp=sharing"",""งบพรบ!AK67"")"),0)</f>
        <v>0</v>
      </c>
      <c r="O68" s="182">
        <f t="shared" ca="1" si="30"/>
        <v>0</v>
      </c>
      <c r="P68" s="182">
        <f t="shared" ca="1" si="31"/>
        <v>0</v>
      </c>
      <c r="Q68" s="182">
        <v>0</v>
      </c>
      <c r="R68" s="182">
        <v>0</v>
      </c>
      <c r="S68" s="182">
        <v>0</v>
      </c>
      <c r="T68" s="182">
        <f t="shared" si="33"/>
        <v>0</v>
      </c>
      <c r="U68" s="182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7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hidden="1" x14ac:dyDescent="0.3">
      <c r="A70" s="1099" t="s">
        <v>32</v>
      </c>
      <c r="B70" s="691"/>
      <c r="C70" s="693"/>
      <c r="D70" s="691"/>
      <c r="E70" s="691"/>
      <c r="F70" s="691"/>
      <c r="G70" s="1100"/>
      <c r="H70" s="1100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19.5" hidden="1" x14ac:dyDescent="0.3">
      <c r="A71" s="250"/>
      <c r="B71" s="251" t="s">
        <v>33</v>
      </c>
      <c r="C71" s="252"/>
      <c r="D71" s="253"/>
      <c r="E71" s="252"/>
      <c r="F71" s="252"/>
      <c r="G71" s="254"/>
      <c r="H71" s="1296" t="s">
        <v>34</v>
      </c>
      <c r="I71" s="256">
        <f t="shared" ref="I71:J72" ca="1" si="41">I83</f>
        <v>0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hidden="1" x14ac:dyDescent="0.3">
      <c r="A72" s="250"/>
      <c r="B72" s="252"/>
      <c r="C72" s="252"/>
      <c r="D72" s="253"/>
      <c r="E72" s="252"/>
      <c r="F72" s="252"/>
      <c r="G72" s="254"/>
      <c r="H72" s="1296" t="s">
        <v>35</v>
      </c>
      <c r="I72" s="256">
        <f t="shared" ca="1" si="41"/>
        <v>0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hidden="1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1257">
        <f t="shared" ref="L73:N73" ca="1" si="43">L74+L75</f>
        <v>0</v>
      </c>
      <c r="M73" s="264">
        <f t="shared" ca="1" si="43"/>
        <v>0</v>
      </c>
      <c r="N73" s="264">
        <f t="shared" ca="1" si="43"/>
        <v>0</v>
      </c>
      <c r="O73" s="264">
        <f t="shared" ref="O73:O81" ca="1" si="44">IF(L73&gt;0,N73*100/L73,0)</f>
        <v>0</v>
      </c>
      <c r="P73" s="264">
        <f t="shared" ref="P73:P81" ca="1" si="45">IF(M73&gt;0,N73*100/M73,0)</f>
        <v>0</v>
      </c>
      <c r="Q73" s="264">
        <f t="shared" ref="Q73:S73" ca="1" si="46">Q74+Q75</f>
        <v>0</v>
      </c>
      <c r="R73" s="264">
        <f t="shared" ca="1" si="46"/>
        <v>0</v>
      </c>
      <c r="S73" s="264">
        <f t="shared" ca="1" si="46"/>
        <v>0</v>
      </c>
      <c r="T73" s="264">
        <f t="shared" ref="T73:T81" ca="1" si="47">IF(Q73&gt;0,S73*100/Q73,0)</f>
        <v>0</v>
      </c>
      <c r="U73" s="264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6">
        <f t="shared" ref="L74:N75" si="49">L77+L80</f>
        <v>0</v>
      </c>
      <c r="M74" s="77">
        <f t="shared" si="49"/>
        <v>0</v>
      </c>
      <c r="N74" s="77">
        <f t="shared" si="49"/>
        <v>0</v>
      </c>
      <c r="O74" s="77">
        <f t="shared" si="44"/>
        <v>0</v>
      </c>
      <c r="P74" s="77">
        <f t="shared" si="45"/>
        <v>0</v>
      </c>
      <c r="Q74" s="77">
        <f t="shared" ref="Q74:S75" si="50">Q77+Q80</f>
        <v>0</v>
      </c>
      <c r="R74" s="77">
        <f t="shared" si="50"/>
        <v>0</v>
      </c>
      <c r="S74" s="77">
        <f t="shared" si="50"/>
        <v>0</v>
      </c>
      <c r="T74" s="77">
        <f t="shared" si="47"/>
        <v>0</v>
      </c>
      <c r="U74" s="77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3">
        <f t="shared" ca="1" si="49"/>
        <v>0</v>
      </c>
      <c r="M75" s="74">
        <f t="shared" ca="1" si="49"/>
        <v>0</v>
      </c>
      <c r="N75" s="74">
        <f t="shared" ca="1" si="49"/>
        <v>0</v>
      </c>
      <c r="O75" s="74">
        <f t="shared" ca="1" si="44"/>
        <v>0</v>
      </c>
      <c r="P75" s="74">
        <f t="shared" ca="1" si="45"/>
        <v>0</v>
      </c>
      <c r="Q75" s="74">
        <f t="shared" ca="1" si="50"/>
        <v>0</v>
      </c>
      <c r="R75" s="74">
        <f t="shared" ca="1" si="50"/>
        <v>0</v>
      </c>
      <c r="S75" s="74">
        <f t="shared" ca="1" si="50"/>
        <v>0</v>
      </c>
      <c r="T75" s="74">
        <f t="shared" ca="1" si="47"/>
        <v>0</v>
      </c>
      <c r="U75" s="74">
        <f t="shared" ca="1" si="48"/>
        <v>0</v>
      </c>
    </row>
    <row r="76" spans="1:21" ht="18.75" hidden="1" x14ac:dyDescent="0.25">
      <c r="A76" s="257"/>
      <c r="B76" s="258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3">
        <f t="shared" ref="L76:N76" ca="1" si="51">L77+L78</f>
        <v>0</v>
      </c>
      <c r="M76" s="74">
        <f t="shared" ca="1" si="51"/>
        <v>0</v>
      </c>
      <c r="N76" s="74">
        <f t="shared" ca="1" si="51"/>
        <v>0</v>
      </c>
      <c r="O76" s="74">
        <f t="shared" ca="1" si="44"/>
        <v>0</v>
      </c>
      <c r="P76" s="74">
        <f t="shared" ca="1" si="45"/>
        <v>0</v>
      </c>
      <c r="Q76" s="74">
        <f t="shared" ref="Q76:S76" ca="1" si="52">Q77+Q78</f>
        <v>0</v>
      </c>
      <c r="R76" s="74">
        <f t="shared" ca="1" si="52"/>
        <v>0</v>
      </c>
      <c r="S76" s="74">
        <f t="shared" ca="1" si="52"/>
        <v>0</v>
      </c>
      <c r="T76" s="74">
        <f t="shared" ca="1" si="47"/>
        <v>0</v>
      </c>
      <c r="U76" s="74">
        <f t="shared" ca="1" si="48"/>
        <v>0</v>
      </c>
    </row>
    <row r="77" spans="1:21" ht="18.75" hidden="1" x14ac:dyDescent="0.25">
      <c r="A77" s="257"/>
      <c r="B77" s="258"/>
      <c r="C77" s="258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77">
        <f t="shared" si="44"/>
        <v>0</v>
      </c>
      <c r="P77" s="77">
        <f t="shared" si="45"/>
        <v>0</v>
      </c>
      <c r="Q77" s="77">
        <v>0</v>
      </c>
      <c r="R77" s="77">
        <v>0</v>
      </c>
      <c r="S77" s="77">
        <v>0</v>
      </c>
      <c r="T77" s="77">
        <f t="shared" si="47"/>
        <v>0</v>
      </c>
      <c r="U77" s="77">
        <f t="shared" si="48"/>
        <v>0</v>
      </c>
    </row>
    <row r="78" spans="1:21" ht="18.75" hidden="1" x14ac:dyDescent="0.25">
      <c r="A78" s="257"/>
      <c r="B78" s="258"/>
      <c r="C78" s="258"/>
      <c r="D78" s="258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3">
        <f ca="1">IFERROR(__xludf.DUMMYFUNCTION("IMPORTRANGE(""https://docs.google.com/spreadsheets/d/1-uDff_7J0KD5mKrp0Vvzr7lt3OU09vwQwhkpOPPYv2Y/edit?usp=sharing"",""งบพรบ!AM67"")"),0)</f>
        <v>0</v>
      </c>
      <c r="M78" s="74">
        <f ca="1">IFERROR(__xludf.DUMMYFUNCTION("IMPORTRANGE(""https://docs.google.com/spreadsheets/d/1-uDff_7J0KD5mKrp0Vvzr7lt3OU09vwQwhkpOPPYv2Y/edit?usp=sharing"",""งบพรบ!AR67"")"),0)</f>
        <v>0</v>
      </c>
      <c r="N78" s="74">
        <f ca="1">IFERROR(__xludf.DUMMYFUNCTION("IMPORTRANGE(""https://docs.google.com/spreadsheets/d/1-uDff_7J0KD5mKrp0Vvzr7lt3OU09vwQwhkpOPPYv2Y/edit?usp=sharing"",""งบพรบ!AT67"")"),0)</f>
        <v>0</v>
      </c>
      <c r="O78" s="74">
        <f t="shared" ca="1" si="44"/>
        <v>0</v>
      </c>
      <c r="P78" s="74">
        <f t="shared" ca="1" si="45"/>
        <v>0</v>
      </c>
      <c r="Q78" s="74">
        <f ca="1">IFERROR(__xludf.DUMMYFUNCTION("IMPORTRANGE(""https://docs.google.com/spreadsheets/d/1ItG2mGa2ceCfYo0BwxsXqNm01IGEUdYcSSLTEv9YCik/edit?usp=sharing"",""เบิกจ่ายกองทุน!AS67"")"),0)</f>
        <v>0</v>
      </c>
      <c r="R78" s="74">
        <f ca="1">IFERROR(__xludf.DUMMYFUNCTION("IMPORTRANGE(""https://docs.google.com/spreadsheets/d/1ItG2mGa2ceCfYo0BwxsXqNm01IGEUdYcSSLTEv9YCik/edit?usp=sharing"",""เบิกจ่ายกองทุน!AT67"")"),0)</f>
        <v>0</v>
      </c>
      <c r="S78" s="74">
        <f ca="1">IFERROR(__xludf.DUMMYFUNCTION("IMPORTRANGE(""https://docs.google.com/spreadsheets/d/1ItG2mGa2ceCfYo0BwxsXqNm01IGEUdYcSSLTEv9YCik/edit?usp=sharing"",""เบิกจ่ายกองทุน!AU67"")"),0)</f>
        <v>0</v>
      </c>
      <c r="T78" s="74">
        <f t="shared" ca="1" si="47"/>
        <v>0</v>
      </c>
      <c r="U78" s="74">
        <f t="shared" ca="1" si="48"/>
        <v>0</v>
      </c>
    </row>
    <row r="79" spans="1:21" ht="18.75" hidden="1" x14ac:dyDescent="0.25">
      <c r="A79" s="257"/>
      <c r="B79" s="258"/>
      <c r="C79" s="258"/>
      <c r="D79" s="270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3">
        <f t="shared" ref="L79:N79" ca="1" si="53">L80+L81</f>
        <v>0</v>
      </c>
      <c r="M79" s="74">
        <f t="shared" ca="1" si="53"/>
        <v>0</v>
      </c>
      <c r="N79" s="74">
        <f t="shared" ca="1" si="53"/>
        <v>0</v>
      </c>
      <c r="O79" s="74">
        <f t="shared" ca="1" si="44"/>
        <v>0</v>
      </c>
      <c r="P79" s="74">
        <f t="shared" ca="1" si="45"/>
        <v>0</v>
      </c>
      <c r="Q79" s="74">
        <f t="shared" ref="Q79:S79" si="54">Q80+Q81</f>
        <v>0</v>
      </c>
      <c r="R79" s="74">
        <f t="shared" si="54"/>
        <v>0</v>
      </c>
      <c r="S79" s="74">
        <f t="shared" si="54"/>
        <v>0</v>
      </c>
      <c r="T79" s="74">
        <f t="shared" si="47"/>
        <v>0</v>
      </c>
      <c r="U79" s="74">
        <f t="shared" si="48"/>
        <v>0</v>
      </c>
    </row>
    <row r="80" spans="1:21" ht="18.75" hidden="1" x14ac:dyDescent="0.25">
      <c r="A80" s="257"/>
      <c r="B80" s="258"/>
      <c r="C80" s="258"/>
      <c r="D80" s="258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77">
        <f t="shared" si="44"/>
        <v>0</v>
      </c>
      <c r="P80" s="77">
        <f t="shared" si="45"/>
        <v>0</v>
      </c>
      <c r="Q80" s="77">
        <v>0</v>
      </c>
      <c r="R80" s="74">
        <v>0</v>
      </c>
      <c r="S80" s="74">
        <v>0</v>
      </c>
      <c r="T80" s="77">
        <f t="shared" si="47"/>
        <v>0</v>
      </c>
      <c r="U80" s="77">
        <f t="shared" si="48"/>
        <v>0</v>
      </c>
    </row>
    <row r="81" spans="1:21" ht="18.75" hidden="1" x14ac:dyDescent="0.25">
      <c r="A81" s="257"/>
      <c r="B81" s="258"/>
      <c r="C81" s="258"/>
      <c r="D81" s="258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3">
        <f ca="1">IFERROR(__xludf.DUMMYFUNCTION("IMPORTRANGE(""https://docs.google.com/spreadsheets/d/1-uDff_7J0KD5mKrp0Vvzr7lt3OU09vwQwhkpOPPYv2Y/edit?usp=sharing"",""งบพรบ!AP67"")"),0)</f>
        <v>0</v>
      </c>
      <c r="M81" s="74">
        <f ca="1">IFERROR(__xludf.DUMMYFUNCTION("IMPORTRANGE(""https://docs.google.com/spreadsheets/d/1-uDff_7J0KD5mKrp0Vvzr7lt3OU09vwQwhkpOPPYv2Y/edit?usp=sharing"",""งบพรบ!AS67"")"),0)</f>
        <v>0</v>
      </c>
      <c r="N81" s="74">
        <f ca="1">IFERROR(__xludf.DUMMYFUNCTION("IMPORTRANGE(""https://docs.google.com/spreadsheets/d/1-uDff_7J0KD5mKrp0Vvzr7lt3OU09vwQwhkpOPPYv2Y/edit?usp=sharing"",""งบพรบ!AU67"")"),0)</f>
        <v>0</v>
      </c>
      <c r="O81" s="74">
        <f t="shared" ca="1" si="44"/>
        <v>0</v>
      </c>
      <c r="P81" s="74">
        <f t="shared" ca="1" si="45"/>
        <v>0</v>
      </c>
      <c r="Q81" s="74">
        <v>0</v>
      </c>
      <c r="R81" s="74">
        <v>0</v>
      </c>
      <c r="S81" s="74">
        <v>0</v>
      </c>
      <c r="T81" s="74">
        <f t="shared" si="47"/>
        <v>0</v>
      </c>
      <c r="U81" s="74">
        <f t="shared" si="48"/>
        <v>0</v>
      </c>
    </row>
    <row r="82" spans="1:21" ht="19.5" hidden="1" x14ac:dyDescent="0.3">
      <c r="A82" s="276"/>
      <c r="B82" s="277"/>
      <c r="C82" s="259" t="s">
        <v>18</v>
      </c>
      <c r="D82" s="1019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hidden="1" x14ac:dyDescent="0.3">
      <c r="A83" s="276"/>
      <c r="B83" s="277"/>
      <c r="C83" s="277"/>
      <c r="D83" s="767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0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hidden="1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0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hidden="1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IFERROR(__xludf.DUMMYFUNCTION("IMPORTRANGE(""https://docs.google.com/spreadsheets/d/1eHaY18a8A9IcSdp1K8H6x8fbOy06t2VsZHhMHf-1x7Y/edit?usp=sharing"",""แผน!H67"")"),0)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hidden="1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IFERROR(__xludf.DUMMYFUNCTION("IMPORTRANGE(""https://docs.google.com/spreadsheets/d/1eHaY18a8A9IcSdp1K8H6x8fbOy06t2VsZHhMHf-1x7Y/edit?usp=sharing"",""แผน!I67"")"),0)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hidden="1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IFERROR(__xludf.DUMMYFUNCTION("IMPORTRANGE(""https://docs.google.com/spreadsheets/d/1eHaY18a8A9IcSdp1K8H6x8fbOy06t2VsZHhMHf-1x7Y/edit?usp=sharing"",""แผน!F67"")"),0)</f>
        <v>0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hidden="1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IFERROR(__xludf.DUMMYFUNCTION("IMPORTRANGE(""https://docs.google.com/spreadsheets/d/1eHaY18a8A9IcSdp1K8H6x8fbOy06t2VsZHhMHf-1x7Y/edit?usp=sharing"",""แผน!G67"")"),0)</f>
        <v>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hidden="1" x14ac:dyDescent="0.25">
      <c r="A89" s="276"/>
      <c r="B89" s="277"/>
      <c r="C89" s="277"/>
      <c r="D89" s="277"/>
      <c r="E89" s="295" t="s">
        <v>42</v>
      </c>
      <c r="F89" s="296"/>
      <c r="G89" s="282"/>
      <c r="H89" s="299" t="s">
        <v>34</v>
      </c>
      <c r="I89" s="298">
        <f ca="1">IFERROR(__xludf.DUMMYFUNCTION("IMPORTRANGE(""https://docs.google.com/spreadsheets/d/1eHaY18a8A9IcSdp1K8H6x8fbOy06t2VsZHhMHf-1x7Y/edit?usp=sharing"",""แผน!D67"")"),0)</f>
        <v>0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hidden="1" x14ac:dyDescent="0.25">
      <c r="A90" s="276"/>
      <c r="B90" s="277"/>
      <c r="C90" s="277"/>
      <c r="D90" s="277"/>
      <c r="E90" s="296"/>
      <c r="F90" s="296"/>
      <c r="G90" s="282"/>
      <c r="H90" s="299" t="s">
        <v>35</v>
      </c>
      <c r="I90" s="298">
        <f ca="1">IFERROR(__xludf.DUMMYFUNCTION("IMPORTRANGE(""https://docs.google.com/spreadsheets/d/1eHaY18a8A9IcSdp1K8H6x8fbOy06t2VsZHhMHf-1x7Y/edit?usp=sharing"",""แผน!E67"")"),0)</f>
        <v>0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hidden="1" x14ac:dyDescent="0.25">
      <c r="A91" s="276"/>
      <c r="B91" s="277"/>
      <c r="C91" s="277"/>
      <c r="D91" s="767" t="s">
        <v>43</v>
      </c>
      <c r="E91" s="296"/>
      <c r="F91" s="296"/>
      <c r="G91" s="282"/>
      <c r="H91" s="1165" t="s">
        <v>34</v>
      </c>
      <c r="I91" s="298">
        <f ca="1">IFERROR(__xludf.DUMMYFUNCTION("IMPORTRANGE(""https://docs.google.com/spreadsheets/d/1eHaY18a8A9IcSdp1K8H6x8fbOy06t2VsZHhMHf-1x7Y/edit?usp=sharing"",""แผน!J67"")"),0)</f>
        <v>0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x14ac:dyDescent="0.3">
      <c r="A92" s="1099" t="s">
        <v>44</v>
      </c>
      <c r="B92" s="691"/>
      <c r="C92" s="693"/>
      <c r="D92" s="691"/>
      <c r="E92" s="691"/>
      <c r="F92" s="691"/>
      <c r="G92" s="1100"/>
      <c r="H92" s="1100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x14ac:dyDescent="0.3">
      <c r="A93" s="250"/>
      <c r="B93" s="251" t="s">
        <v>45</v>
      </c>
      <c r="C93" s="252"/>
      <c r="D93" s="253"/>
      <c r="E93" s="252"/>
      <c r="F93" s="252"/>
      <c r="G93" s="254"/>
      <c r="H93" s="1296" t="s">
        <v>46</v>
      </c>
      <c r="I93" s="256">
        <f t="shared" ref="I93:J94" ca="1" si="57">I109</f>
        <v>45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x14ac:dyDescent="0.3">
      <c r="A94" s="250"/>
      <c r="B94" s="252"/>
      <c r="C94" s="252"/>
      <c r="D94" s="253"/>
      <c r="E94" s="252"/>
      <c r="F94" s="252"/>
      <c r="G94" s="254"/>
      <c r="H94" s="1296" t="s">
        <v>35</v>
      </c>
      <c r="I94" s="256">
        <f t="shared" ca="1" si="57"/>
        <v>15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1257">
        <f t="shared" ref="L95:N95" ca="1" si="59">L96+L97</f>
        <v>0</v>
      </c>
      <c r="M95" s="264">
        <f t="shared" ca="1" si="59"/>
        <v>0</v>
      </c>
      <c r="N95" s="264">
        <f t="shared" ca="1" si="59"/>
        <v>0</v>
      </c>
      <c r="O95" s="264">
        <f t="shared" ref="O95:O103" ca="1" si="60">IF(L95&gt;0,N95*100/L95,0)</f>
        <v>0</v>
      </c>
      <c r="P95" s="264">
        <f t="shared" ref="P95:P103" ca="1" si="61">IF(M95&gt;0,N95*100/M95,0)</f>
        <v>0</v>
      </c>
      <c r="Q95" s="264">
        <f t="shared" ref="Q95:S95" ca="1" si="62">Q96+Q97</f>
        <v>126630</v>
      </c>
      <c r="R95" s="264">
        <f t="shared" ca="1" si="62"/>
        <v>126630</v>
      </c>
      <c r="S95" s="264">
        <f t="shared" ca="1" si="62"/>
        <v>0</v>
      </c>
      <c r="T95" s="264">
        <f t="shared" ref="T95:T103" ca="1" si="63">IF(Q95&gt;0,S95*100/Q95,0)</f>
        <v>0</v>
      </c>
      <c r="U95" s="264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6">
        <f t="shared" ref="L96:N97" si="65">L99+L102</f>
        <v>0</v>
      </c>
      <c r="M96" s="77">
        <f t="shared" si="65"/>
        <v>0</v>
      </c>
      <c r="N96" s="77">
        <f t="shared" si="65"/>
        <v>0</v>
      </c>
      <c r="O96" s="77">
        <f t="shared" si="60"/>
        <v>0</v>
      </c>
      <c r="P96" s="77">
        <f t="shared" si="61"/>
        <v>0</v>
      </c>
      <c r="Q96" s="77">
        <f t="shared" ref="Q96:S97" si="66">Q99+Q102</f>
        <v>0</v>
      </c>
      <c r="R96" s="77">
        <f t="shared" si="66"/>
        <v>0</v>
      </c>
      <c r="S96" s="77">
        <f t="shared" si="66"/>
        <v>0</v>
      </c>
      <c r="T96" s="77">
        <f t="shared" si="63"/>
        <v>0</v>
      </c>
      <c r="U96" s="77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3">
        <f t="shared" ca="1" si="65"/>
        <v>0</v>
      </c>
      <c r="M97" s="74">
        <f t="shared" ca="1" si="65"/>
        <v>0</v>
      </c>
      <c r="N97" s="74">
        <f t="shared" ca="1" si="65"/>
        <v>0</v>
      </c>
      <c r="O97" s="74">
        <f t="shared" ca="1" si="60"/>
        <v>0</v>
      </c>
      <c r="P97" s="74">
        <f t="shared" ca="1" si="61"/>
        <v>0</v>
      </c>
      <c r="Q97" s="74">
        <f t="shared" ca="1" si="66"/>
        <v>126630</v>
      </c>
      <c r="R97" s="74">
        <f t="shared" ca="1" si="66"/>
        <v>126630</v>
      </c>
      <c r="S97" s="74">
        <f t="shared" ca="1" si="66"/>
        <v>0</v>
      </c>
      <c r="T97" s="74">
        <f t="shared" ca="1" si="63"/>
        <v>0</v>
      </c>
      <c r="U97" s="74">
        <f t="shared" ca="1" si="64"/>
        <v>0</v>
      </c>
    </row>
    <row r="98" spans="1:21" ht="18.75" x14ac:dyDescent="0.25">
      <c r="A98" s="257"/>
      <c r="B98" s="258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3">
        <f t="shared" ref="L98:N98" ca="1" si="67">L99+L100</f>
        <v>0</v>
      </c>
      <c r="M98" s="74">
        <f t="shared" ca="1" si="67"/>
        <v>0</v>
      </c>
      <c r="N98" s="74">
        <f t="shared" ca="1" si="67"/>
        <v>0</v>
      </c>
      <c r="O98" s="74">
        <f t="shared" ca="1" si="60"/>
        <v>0</v>
      </c>
      <c r="P98" s="74">
        <f t="shared" ca="1" si="61"/>
        <v>0</v>
      </c>
      <c r="Q98" s="74">
        <f t="shared" ref="Q98:S98" ca="1" si="68">Q99+Q100</f>
        <v>126630</v>
      </c>
      <c r="R98" s="74">
        <f t="shared" ca="1" si="68"/>
        <v>126630</v>
      </c>
      <c r="S98" s="74">
        <f t="shared" ca="1" si="68"/>
        <v>0</v>
      </c>
      <c r="T98" s="74">
        <f t="shared" ca="1" si="63"/>
        <v>0</v>
      </c>
      <c r="U98" s="74">
        <f t="shared" ca="1" si="64"/>
        <v>0</v>
      </c>
    </row>
    <row r="99" spans="1:21" ht="18.75" hidden="1" x14ac:dyDescent="0.25">
      <c r="A99" s="257"/>
      <c r="B99" s="258"/>
      <c r="C99" s="258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77">
        <f t="shared" si="60"/>
        <v>0</v>
      </c>
      <c r="P99" s="77">
        <f t="shared" si="61"/>
        <v>0</v>
      </c>
      <c r="Q99" s="77">
        <v>0</v>
      </c>
      <c r="R99" s="77">
        <v>0</v>
      </c>
      <c r="S99" s="77">
        <v>0</v>
      </c>
      <c r="T99" s="77">
        <f t="shared" si="63"/>
        <v>0</v>
      </c>
      <c r="U99" s="77">
        <f t="shared" si="64"/>
        <v>0</v>
      </c>
    </row>
    <row r="100" spans="1:21" ht="18.75" hidden="1" x14ac:dyDescent="0.25">
      <c r="A100" s="257"/>
      <c r="B100" s="258"/>
      <c r="C100" s="258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3">
        <f ca="1">IFERROR(__xludf.DUMMYFUNCTION("IMPORTRANGE(""https://docs.google.com/spreadsheets/d/1-uDff_7J0KD5mKrp0Vvzr7lt3OU09vwQwhkpOPPYv2Y/edit?usp=sharing"",""งบพรบ!AW67"")"),0)</f>
        <v>0</v>
      </c>
      <c r="M100" s="74">
        <f ca="1">IFERROR(__xludf.DUMMYFUNCTION("IMPORTRANGE(""https://docs.google.com/spreadsheets/d/1-uDff_7J0KD5mKrp0Vvzr7lt3OU09vwQwhkpOPPYv2Y/edit?usp=sharing"",""งบพรบ!BB67"")"),0)</f>
        <v>0</v>
      </c>
      <c r="N100" s="74">
        <f ca="1">IFERROR(__xludf.DUMMYFUNCTION("IMPORTRANGE(""https://docs.google.com/spreadsheets/d/1-uDff_7J0KD5mKrp0Vvzr7lt3OU09vwQwhkpOPPYv2Y/edit?usp=sharing"",""งบพรบ!BD67"")"),0)</f>
        <v>0</v>
      </c>
      <c r="O100" s="74">
        <f t="shared" ca="1" si="60"/>
        <v>0</v>
      </c>
      <c r="P100" s="74">
        <f t="shared" ca="1" si="61"/>
        <v>0</v>
      </c>
      <c r="Q100" s="74">
        <f ca="1">IFERROR(__xludf.DUMMYFUNCTION("IMPORTRANGE(""https://docs.google.com/spreadsheets/d/1ItG2mGa2ceCfYo0BwxsXqNm01IGEUdYcSSLTEv9YCik/edit?usp=sharing"",""เบิกจ่ายกองทุน!AD67"")"),126630)</f>
        <v>126630</v>
      </c>
      <c r="R100" s="74">
        <f ca="1">IFERROR(__xludf.DUMMYFUNCTION("IMPORTRANGE(""https://docs.google.com/spreadsheets/d/1ItG2mGa2ceCfYo0BwxsXqNm01IGEUdYcSSLTEv9YCik/edit?usp=sharing"",""เบิกจ่ายกองทุน!AE67"")"),126630)</f>
        <v>126630</v>
      </c>
      <c r="S100" s="74">
        <f ca="1">IFERROR(__xludf.DUMMYFUNCTION("IMPORTRANGE(""https://docs.google.com/spreadsheets/d/1ItG2mGa2ceCfYo0BwxsXqNm01IGEUdYcSSLTEv9YCik/edit?usp=sharing"",""เบิกจ่ายกองทุน!AF67"")"),0)</f>
        <v>0</v>
      </c>
      <c r="T100" s="74">
        <f t="shared" ca="1" si="63"/>
        <v>0</v>
      </c>
      <c r="U100" s="74">
        <f t="shared" ca="1" si="64"/>
        <v>0</v>
      </c>
    </row>
    <row r="101" spans="1:21" ht="18.75" x14ac:dyDescent="0.25">
      <c r="A101" s="257"/>
      <c r="B101" s="258"/>
      <c r="C101" s="258"/>
      <c r="D101" s="270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3">
        <f t="shared" ref="L101:N101" ca="1" si="69">L102+L103</f>
        <v>0</v>
      </c>
      <c r="M101" s="74">
        <f t="shared" ca="1" si="69"/>
        <v>0</v>
      </c>
      <c r="N101" s="74">
        <f t="shared" ca="1" si="69"/>
        <v>0</v>
      </c>
      <c r="O101" s="74">
        <f t="shared" ca="1" si="60"/>
        <v>0</v>
      </c>
      <c r="P101" s="74">
        <f t="shared" ca="1" si="61"/>
        <v>0</v>
      </c>
      <c r="Q101" s="74">
        <f t="shared" ref="Q101:S101" si="70">Q102+Q103</f>
        <v>0</v>
      </c>
      <c r="R101" s="74">
        <f t="shared" si="70"/>
        <v>0</v>
      </c>
      <c r="S101" s="74">
        <f t="shared" si="70"/>
        <v>0</v>
      </c>
      <c r="T101" s="74">
        <f t="shared" si="63"/>
        <v>0</v>
      </c>
      <c r="U101" s="74">
        <f t="shared" si="64"/>
        <v>0</v>
      </c>
    </row>
    <row r="102" spans="1:21" ht="18.75" hidden="1" x14ac:dyDescent="0.25">
      <c r="A102" s="257"/>
      <c r="B102" s="258"/>
      <c r="C102" s="258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77">
        <f t="shared" si="60"/>
        <v>0</v>
      </c>
      <c r="P102" s="77">
        <f t="shared" si="61"/>
        <v>0</v>
      </c>
      <c r="Q102" s="77">
        <v>0</v>
      </c>
      <c r="R102" s="77">
        <v>0</v>
      </c>
      <c r="S102" s="77">
        <v>0</v>
      </c>
      <c r="T102" s="77">
        <f t="shared" si="63"/>
        <v>0</v>
      </c>
      <c r="U102" s="77">
        <f t="shared" si="64"/>
        <v>0</v>
      </c>
    </row>
    <row r="103" spans="1:21" ht="18.75" hidden="1" x14ac:dyDescent="0.25">
      <c r="A103" s="257"/>
      <c r="B103" s="258"/>
      <c r="C103" s="258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3">
        <f ca="1">IFERROR(__xludf.DUMMYFUNCTION("IMPORTRANGE(""https://docs.google.com/spreadsheets/d/1-uDff_7J0KD5mKrp0Vvzr7lt3OU09vwQwhkpOPPYv2Y/edit?usp=sharing"",""งบพรบ!AZ67"")"),0)</f>
        <v>0</v>
      </c>
      <c r="M103" s="74">
        <f ca="1">IFERROR(__xludf.DUMMYFUNCTION("IMPORTRANGE(""https://docs.google.com/spreadsheets/d/1-uDff_7J0KD5mKrp0Vvzr7lt3OU09vwQwhkpOPPYv2Y/edit?usp=sharing"",""งบพรบ!BC67"")"),0)</f>
        <v>0</v>
      </c>
      <c r="N103" s="74">
        <f ca="1">IFERROR(__xludf.DUMMYFUNCTION("IMPORTRANGE(""https://docs.google.com/spreadsheets/d/1-uDff_7J0KD5mKrp0Vvzr7lt3OU09vwQwhkpOPPYv2Y/edit?usp=sharing"",""งบพรบ!BE67"")"),0)</f>
        <v>0</v>
      </c>
      <c r="O103" s="74">
        <f t="shared" ca="1" si="60"/>
        <v>0</v>
      </c>
      <c r="P103" s="74">
        <f t="shared" ca="1" si="61"/>
        <v>0</v>
      </c>
      <c r="Q103" s="74">
        <v>0</v>
      </c>
      <c r="R103" s="74">
        <v>0</v>
      </c>
      <c r="S103" s="74">
        <v>0</v>
      </c>
      <c r="T103" s="74">
        <f t="shared" si="63"/>
        <v>0</v>
      </c>
      <c r="U103" s="74">
        <f t="shared" si="64"/>
        <v>0</v>
      </c>
    </row>
    <row r="104" spans="1:21" ht="19.5" x14ac:dyDescent="0.3">
      <c r="A104" s="276"/>
      <c r="B104" s="277"/>
      <c r="C104" s="259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IFERROR(__xludf.DUMMYFUNCTION("IMPORTRANGE(""https://docs.google.com/spreadsheets/d/1eHaY18a8A9IcSdp1K8H6x8fbOy06t2VsZHhMHf-1x7Y/edit?usp=sharing"",""แผน!N67"")"),45)</f>
        <v>45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IFERROR(__xludf.DUMMYFUNCTION("IMPORTRANGE(""https://docs.google.com/spreadsheets/d/1eHaY18a8A9IcSdp1K8H6x8fbOy06t2VsZHhMHf-1x7Y/edit?usp=sharing"",""แผน!O67"")"),15)</f>
        <v>15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5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8.75" x14ac:dyDescent="0.25">
      <c r="A114" s="890"/>
      <c r="B114" s="891"/>
      <c r="C114" s="891"/>
      <c r="D114" s="892" t="s">
        <v>50</v>
      </c>
      <c r="E114" s="893"/>
      <c r="F114" s="893"/>
      <c r="G114" s="894"/>
      <c r="H114" s="895" t="s">
        <v>46</v>
      </c>
      <c r="I114" s="896">
        <f ca="1">IFERROR(__xludf.DUMMYFUNCTION("IMPORTRANGE(""https://docs.google.com/spreadsheets/d/1eHaY18a8A9IcSdp1K8H6x8fbOy06t2VsZHhMHf-1x7Y/edit?usp=sharing"",""แผน!S67"")"),0)</f>
        <v>0</v>
      </c>
      <c r="J114" s="897">
        <v>0</v>
      </c>
      <c r="K114" s="898">
        <f t="shared" ref="K114:K115" ca="1" si="72">IF(I114&gt;0,J114*100/I114,0)</f>
        <v>0</v>
      </c>
      <c r="L114" s="450"/>
      <c r="M114" s="450"/>
      <c r="N114" s="450"/>
      <c r="O114" s="899"/>
      <c r="P114" s="899"/>
      <c r="Q114" s="450"/>
      <c r="R114" s="450"/>
      <c r="S114" s="450"/>
      <c r="T114" s="899"/>
      <c r="U114" s="899"/>
    </row>
    <row r="115" spans="1:21" ht="18.75" x14ac:dyDescent="0.25">
      <c r="A115" s="276"/>
      <c r="B115" s="277"/>
      <c r="C115" s="277"/>
      <c r="D115" s="296"/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IFERROR(__xludf.DUMMYFUNCTION("IMPORTRANGE(""https://docs.google.com/spreadsheets/d/1eHaY18a8A9IcSdp1K8H6x8fbOy06t2VsZHhMHf-1x7Y/edit?usp=sharing"",""แผน!R67"")"),15)</f>
        <v>15</v>
      </c>
      <c r="J115" s="294">
        <v>0</v>
      </c>
      <c r="K115" s="74">
        <f t="shared" ca="1" si="72"/>
        <v>0</v>
      </c>
      <c r="L115" s="87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243" t="s">
        <v>51</v>
      </c>
      <c r="B116" s="245"/>
      <c r="C116" s="300"/>
      <c r="D116" s="244"/>
      <c r="E116" s="244"/>
      <c r="F116" s="244"/>
      <c r="G116" s="244"/>
      <c r="H116" s="245"/>
      <c r="I116" s="301"/>
      <c r="J116" s="301"/>
      <c r="K116" s="302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50"/>
      <c r="B117" s="303" t="s">
        <v>52</v>
      </c>
      <c r="C117" s="304"/>
      <c r="D117" s="253"/>
      <c r="E117" s="252"/>
      <c r="F117" s="252"/>
      <c r="G117" s="254"/>
      <c r="H117" s="305" t="s">
        <v>35</v>
      </c>
      <c r="I117" s="256">
        <f t="shared" ref="I117:J117" ca="1" si="73">I128</f>
        <v>10</v>
      </c>
      <c r="J117" s="256">
        <f t="shared" si="73"/>
        <v>0</v>
      </c>
      <c r="K117" s="59">
        <f ca="1">IF(I117&gt;0,J117*100/I117,0)</f>
        <v>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69"/>
      <c r="C118" s="621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1257">
        <f t="shared" ref="L118:N118" ca="1" si="74">L119+L120</f>
        <v>0</v>
      </c>
      <c r="M118" s="264">
        <f t="shared" ca="1" si="74"/>
        <v>0</v>
      </c>
      <c r="N118" s="264">
        <f t="shared" ca="1" si="74"/>
        <v>0</v>
      </c>
      <c r="O118" s="264">
        <f t="shared" ref="O118:O126" ca="1" si="75">IF(L118&gt;0,N118*100/L118,0)</f>
        <v>0</v>
      </c>
      <c r="P118" s="264">
        <f t="shared" ref="P118:P126" ca="1" si="76">IF(M118&gt;0,N118*100/M118,0)</f>
        <v>0</v>
      </c>
      <c r="Q118" s="264">
        <f t="shared" ref="Q118:S118" ca="1" si="77">Q119+Q120</f>
        <v>173660</v>
      </c>
      <c r="R118" s="264">
        <f t="shared" ca="1" si="77"/>
        <v>173660</v>
      </c>
      <c r="S118" s="264">
        <f t="shared" ca="1" si="77"/>
        <v>10150</v>
      </c>
      <c r="T118" s="264">
        <f t="shared" ref="T118:T126" ca="1" si="78">IF(Q118&gt;0,S118*100/Q118,0)</f>
        <v>5.8447541172405852</v>
      </c>
      <c r="U118" s="264">
        <f t="shared" ref="U118:U126" ca="1" si="79">IF(R118&gt;0,S118*100/R118,0)</f>
        <v>5.8447541172405852</v>
      </c>
    </row>
    <row r="119" spans="1:21" ht="18.75" hidden="1" x14ac:dyDescent="0.25">
      <c r="A119" s="257"/>
      <c r="B119" s="269"/>
      <c r="C119" s="269"/>
      <c r="D119" s="269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6">
        <f t="shared" ref="L119:N120" si="80">L122+L125</f>
        <v>0</v>
      </c>
      <c r="M119" s="77">
        <f t="shared" si="80"/>
        <v>0</v>
      </c>
      <c r="N119" s="77">
        <f t="shared" si="80"/>
        <v>0</v>
      </c>
      <c r="O119" s="77">
        <f t="shared" si="75"/>
        <v>0</v>
      </c>
      <c r="P119" s="77">
        <f t="shared" si="76"/>
        <v>0</v>
      </c>
      <c r="Q119" s="77">
        <f t="shared" ref="Q119:S120" si="81">Q122+Q125</f>
        <v>0</v>
      </c>
      <c r="R119" s="77">
        <f t="shared" si="81"/>
        <v>0</v>
      </c>
      <c r="S119" s="77">
        <f t="shared" si="81"/>
        <v>0</v>
      </c>
      <c r="T119" s="77">
        <f t="shared" si="78"/>
        <v>0</v>
      </c>
      <c r="U119" s="77">
        <f t="shared" si="79"/>
        <v>0</v>
      </c>
    </row>
    <row r="120" spans="1:21" ht="18.75" hidden="1" x14ac:dyDescent="0.25">
      <c r="A120" s="257"/>
      <c r="B120" s="269"/>
      <c r="C120" s="269"/>
      <c r="D120" s="269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3">
        <f t="shared" ca="1" si="80"/>
        <v>0</v>
      </c>
      <c r="M120" s="74">
        <f t="shared" ca="1" si="80"/>
        <v>0</v>
      </c>
      <c r="N120" s="74">
        <f t="shared" ca="1" si="80"/>
        <v>0</v>
      </c>
      <c r="O120" s="74">
        <f t="shared" ca="1" si="75"/>
        <v>0</v>
      </c>
      <c r="P120" s="74">
        <f t="shared" ca="1" si="76"/>
        <v>0</v>
      </c>
      <c r="Q120" s="74">
        <f t="shared" ca="1" si="81"/>
        <v>173660</v>
      </c>
      <c r="R120" s="74">
        <f t="shared" ca="1" si="81"/>
        <v>173660</v>
      </c>
      <c r="S120" s="74">
        <f t="shared" ca="1" si="81"/>
        <v>10150</v>
      </c>
      <c r="T120" s="74">
        <f t="shared" ca="1" si="78"/>
        <v>5.8447541172405852</v>
      </c>
      <c r="U120" s="74">
        <f t="shared" ca="1" si="79"/>
        <v>5.8447541172405852</v>
      </c>
    </row>
    <row r="121" spans="1:21" ht="18.75" x14ac:dyDescent="0.25">
      <c r="A121" s="257"/>
      <c r="B121" s="269"/>
      <c r="C121" s="306"/>
      <c r="D121" s="967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3">
        <f t="shared" ref="L121:N121" ca="1" si="82">L122+L123</f>
        <v>0</v>
      </c>
      <c r="M121" s="74">
        <f t="shared" ca="1" si="82"/>
        <v>0</v>
      </c>
      <c r="N121" s="74">
        <f t="shared" ca="1" si="82"/>
        <v>0</v>
      </c>
      <c r="O121" s="74">
        <f t="shared" ca="1" si="75"/>
        <v>0</v>
      </c>
      <c r="P121" s="74">
        <f t="shared" ca="1" si="76"/>
        <v>0</v>
      </c>
      <c r="Q121" s="74">
        <f t="shared" ref="Q121:S121" ca="1" si="83">Q122+Q123</f>
        <v>173660</v>
      </c>
      <c r="R121" s="74">
        <f t="shared" ca="1" si="83"/>
        <v>173660</v>
      </c>
      <c r="S121" s="74">
        <f t="shared" ca="1" si="83"/>
        <v>10150</v>
      </c>
      <c r="T121" s="74">
        <f t="shared" ca="1" si="78"/>
        <v>5.8447541172405852</v>
      </c>
      <c r="U121" s="74">
        <f t="shared" ca="1" si="79"/>
        <v>5.8447541172405852</v>
      </c>
    </row>
    <row r="122" spans="1:21" ht="18.75" hidden="1" x14ac:dyDescent="0.25">
      <c r="A122" s="257"/>
      <c r="B122" s="269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77">
        <f t="shared" si="75"/>
        <v>0</v>
      </c>
      <c r="P122" s="77">
        <f t="shared" si="76"/>
        <v>0</v>
      </c>
      <c r="Q122" s="77">
        <v>0</v>
      </c>
      <c r="R122" s="77">
        <v>0</v>
      </c>
      <c r="S122" s="77">
        <v>0</v>
      </c>
      <c r="T122" s="77">
        <f t="shared" si="78"/>
        <v>0</v>
      </c>
      <c r="U122" s="77">
        <f t="shared" si="79"/>
        <v>0</v>
      </c>
    </row>
    <row r="123" spans="1:21" ht="18.75" hidden="1" x14ac:dyDescent="0.25">
      <c r="A123" s="257"/>
      <c r="B123" s="269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3">
        <f ca="1">IFERROR(__xludf.DUMMYFUNCTION("IMPORTRANGE(""https://docs.google.com/spreadsheets/d/1-uDff_7J0KD5mKrp0Vvzr7lt3OU09vwQwhkpOPPYv2Y/edit?usp=sharing"",""งบพรบ!BG67"")"),0)</f>
        <v>0</v>
      </c>
      <c r="M123" s="74">
        <f ca="1">IFERROR(__xludf.DUMMYFUNCTION("IMPORTRANGE(""https://docs.google.com/spreadsheets/d/1-uDff_7J0KD5mKrp0Vvzr7lt3OU09vwQwhkpOPPYv2Y/edit?usp=sharing"",""งบพรบ!BL67"")"),0)</f>
        <v>0</v>
      </c>
      <c r="N123" s="74">
        <f ca="1">IFERROR(__xludf.DUMMYFUNCTION("IMPORTRANGE(""https://docs.google.com/spreadsheets/d/1-uDff_7J0KD5mKrp0Vvzr7lt3OU09vwQwhkpOPPYv2Y/edit?usp=sharing"",""งบพรบ!BN67"")"),0)</f>
        <v>0</v>
      </c>
      <c r="O123" s="74">
        <f t="shared" ca="1" si="75"/>
        <v>0</v>
      </c>
      <c r="P123" s="74">
        <f t="shared" ca="1" si="76"/>
        <v>0</v>
      </c>
      <c r="Q123" s="74">
        <f ca="1">IFERROR(__xludf.DUMMYFUNCTION("IMPORTRANGE(""https://docs.google.com/spreadsheets/d/1ItG2mGa2ceCfYo0BwxsXqNm01IGEUdYcSSLTEv9YCik/edit?usp=sharing"",""เบิกจ่ายกองทุน!R67"")"),173660)</f>
        <v>173660</v>
      </c>
      <c r="R123" s="74">
        <f ca="1">IFERROR(__xludf.DUMMYFUNCTION("IMPORTRANGE(""https://docs.google.com/spreadsheets/d/1ItG2mGa2ceCfYo0BwxsXqNm01IGEUdYcSSLTEv9YCik/edit?usp=sharing"",""เบิกจ่ายกองทุน!S67"")"),173660)</f>
        <v>173660</v>
      </c>
      <c r="S123" s="74">
        <f ca="1">IFERROR(__xludf.DUMMYFUNCTION("IMPORTRANGE(""https://docs.google.com/spreadsheets/d/1ItG2mGa2ceCfYo0BwxsXqNm01IGEUdYcSSLTEv9YCik/edit?usp=sharing"",""เบิกจ่ายกองทุน!T67"")"),10150)</f>
        <v>10150</v>
      </c>
      <c r="T123" s="74">
        <f t="shared" ca="1" si="78"/>
        <v>5.8447541172405852</v>
      </c>
      <c r="U123" s="74">
        <f t="shared" ca="1" si="79"/>
        <v>5.8447541172405852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3">
        <f t="shared" ref="L124:N124" ca="1" si="84">L125+L126</f>
        <v>0</v>
      </c>
      <c r="M124" s="74">
        <f t="shared" ca="1" si="84"/>
        <v>0</v>
      </c>
      <c r="N124" s="74">
        <f t="shared" ca="1" si="84"/>
        <v>0</v>
      </c>
      <c r="O124" s="74">
        <f t="shared" ca="1" si="75"/>
        <v>0</v>
      </c>
      <c r="P124" s="74">
        <f t="shared" ca="1" si="76"/>
        <v>0</v>
      </c>
      <c r="Q124" s="74">
        <f t="shared" ref="Q124:S124" si="85">Q125+Q126</f>
        <v>0</v>
      </c>
      <c r="R124" s="74">
        <f t="shared" si="85"/>
        <v>0</v>
      </c>
      <c r="S124" s="74">
        <f t="shared" si="85"/>
        <v>0</v>
      </c>
      <c r="T124" s="74">
        <f t="shared" si="78"/>
        <v>0</v>
      </c>
      <c r="U124" s="74">
        <f t="shared" si="79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77">
        <f t="shared" si="75"/>
        <v>0</v>
      </c>
      <c r="P125" s="77">
        <f t="shared" si="76"/>
        <v>0</v>
      </c>
      <c r="Q125" s="77">
        <v>0</v>
      </c>
      <c r="R125" s="77">
        <v>0</v>
      </c>
      <c r="S125" s="77">
        <v>0</v>
      </c>
      <c r="T125" s="77">
        <f t="shared" si="78"/>
        <v>0</v>
      </c>
      <c r="U125" s="77">
        <f t="shared" si="79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3">
        <f ca="1">IFERROR(__xludf.DUMMYFUNCTION("IMPORTRANGE(""https://docs.google.com/spreadsheets/d/1-uDff_7J0KD5mKrp0Vvzr7lt3OU09vwQwhkpOPPYv2Y/edit?usp=sharing"",""งบพรบ!BJ67"")"),0)</f>
        <v>0</v>
      </c>
      <c r="M126" s="74">
        <f ca="1">IFERROR(__xludf.DUMMYFUNCTION("IMPORTRANGE(""https://docs.google.com/spreadsheets/d/1-uDff_7J0KD5mKrp0Vvzr7lt3OU09vwQwhkpOPPYv2Y/edit?usp=sharing"",""งบพรบ!BM67"")"),0)</f>
        <v>0</v>
      </c>
      <c r="N126" s="74">
        <f ca="1">IFERROR(__xludf.DUMMYFUNCTION("IMPORTRANGE(""https://docs.google.com/spreadsheets/d/1-uDff_7J0KD5mKrp0Vvzr7lt3OU09vwQwhkpOPPYv2Y/edit?usp=sharing"",""งบพรบ!BO67"")"),0)</f>
        <v>0</v>
      </c>
      <c r="O126" s="74">
        <f t="shared" ca="1" si="75"/>
        <v>0</v>
      </c>
      <c r="P126" s="74">
        <f t="shared" ca="1" si="76"/>
        <v>0</v>
      </c>
      <c r="Q126" s="74">
        <v>0</v>
      </c>
      <c r="R126" s="74">
        <v>0</v>
      </c>
      <c r="S126" s="74">
        <v>0</v>
      </c>
      <c r="T126" s="74">
        <f t="shared" si="78"/>
        <v>0</v>
      </c>
      <c r="U126" s="74">
        <f t="shared" si="79"/>
        <v>0</v>
      </c>
    </row>
    <row r="127" spans="1:21" ht="19.5" x14ac:dyDescent="0.3">
      <c r="A127" s="276"/>
      <c r="B127" s="277"/>
      <c r="C127" s="309" t="s">
        <v>18</v>
      </c>
      <c r="D127" s="1019" t="s">
        <v>38</v>
      </c>
      <c r="E127" s="280"/>
      <c r="F127" s="280"/>
      <c r="G127" s="281"/>
      <c r="H127" s="310"/>
      <c r="I127" s="263"/>
      <c r="J127" s="263"/>
      <c r="K127" s="87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IFERROR(__xludf.DUMMYFUNCTION("IMPORTRANGE(""https://docs.google.com/spreadsheets/d/1eHaY18a8A9IcSdp1K8H6x8fbOy06t2VsZHhMHf-1x7Y/edit?usp=sharing"",""แผน!FF67"")"),10)</f>
        <v>10</v>
      </c>
      <c r="J128" s="294">
        <v>0</v>
      </c>
      <c r="K128" s="74">
        <f t="shared" ref="K128:K131" ca="1" si="86">IF(I128&gt;0,J128*100/I128,0)</f>
        <v>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IFERROR(__xludf.DUMMYFUNCTION("IMPORTRANGE(""https://docs.google.com/spreadsheets/d/1eHaY18a8A9IcSdp1K8H6x8fbOy06t2VsZHhMHf-1x7Y/edit?usp=sharing"",""แผน!FG67"")"),0)</f>
        <v>0</v>
      </c>
      <c r="J129" s="294">
        <v>0</v>
      </c>
      <c r="K129" s="74">
        <f t="shared" ca="1" si="86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29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IFERROR(__xludf.DUMMYFUNCTION("IMPORTRANGE(""https://docs.google.com/spreadsheets/d/1eHaY18a8A9IcSdp1K8H6x8fbOy06t2VsZHhMHf-1x7Y/edit?usp=sharing"",""แผน!FH67"")"),10)</f>
        <v>10</v>
      </c>
      <c r="J130" s="294">
        <v>10</v>
      </c>
      <c r="K130" s="74">
        <f t="shared" ca="1" si="86"/>
        <v>100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96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IFERROR(__xludf.DUMMYFUNCTION("IMPORTRANGE(""https://docs.google.com/spreadsheets/d/1eHaY18a8A9IcSdp1K8H6x8fbOy06t2VsZHhMHf-1x7Y/edit?usp=sharing"",""แผน!FI67"")"),0)</f>
        <v>0</v>
      </c>
      <c r="J131" s="294">
        <v>0</v>
      </c>
      <c r="K131" s="74">
        <f t="shared" ca="1" si="86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311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311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x14ac:dyDescent="0.3">
      <c r="A135" s="1099" t="s">
        <v>58</v>
      </c>
      <c r="B135" s="691"/>
      <c r="C135" s="692"/>
      <c r="D135" s="691"/>
      <c r="E135" s="691"/>
      <c r="F135" s="691"/>
      <c r="G135" s="691"/>
      <c r="H135" s="691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x14ac:dyDescent="0.3">
      <c r="A136" s="250"/>
      <c r="B136" s="251" t="s">
        <v>59</v>
      </c>
      <c r="C136" s="304"/>
      <c r="D136" s="253"/>
      <c r="E136" s="252"/>
      <c r="F136" s="252"/>
      <c r="G136" s="252"/>
      <c r="H136" s="252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x14ac:dyDescent="0.3">
      <c r="A137" s="250"/>
      <c r="B137" s="252"/>
      <c r="C137" s="1112" t="s">
        <v>60</v>
      </c>
      <c r="D137" s="253"/>
      <c r="E137" s="252"/>
      <c r="F137" s="252"/>
      <c r="G137" s="254"/>
      <c r="H137" s="1296" t="s">
        <v>61</v>
      </c>
      <c r="I137" s="256">
        <f t="shared" ref="I137:J137" ca="1" si="87">I155</f>
        <v>1</v>
      </c>
      <c r="J137" s="256">
        <f t="shared" si="87"/>
        <v>0</v>
      </c>
      <c r="K137" s="59">
        <f t="shared" ref="K137:K139" ca="1" si="88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x14ac:dyDescent="0.3">
      <c r="A138" s="250"/>
      <c r="B138" s="252"/>
      <c r="C138" s="1112" t="s">
        <v>62</v>
      </c>
      <c r="D138" s="253"/>
      <c r="E138" s="252"/>
      <c r="F138" s="252"/>
      <c r="G138" s="254"/>
      <c r="H138" s="1296" t="s">
        <v>35</v>
      </c>
      <c r="I138" s="256">
        <f t="shared" ref="I138:J139" ca="1" si="89">I153</f>
        <v>30</v>
      </c>
      <c r="J138" s="256">
        <f t="shared" si="89"/>
        <v>30</v>
      </c>
      <c r="K138" s="59">
        <f t="shared" ca="1" si="88"/>
        <v>100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x14ac:dyDescent="0.3">
      <c r="A139" s="250"/>
      <c r="B139" s="252"/>
      <c r="C139" s="304"/>
      <c r="D139" s="253"/>
      <c r="E139" s="252"/>
      <c r="F139" s="252"/>
      <c r="G139" s="254"/>
      <c r="H139" s="1296" t="s">
        <v>54</v>
      </c>
      <c r="I139" s="256">
        <f t="shared" ca="1" si="89"/>
        <v>3</v>
      </c>
      <c r="J139" s="256">
        <f t="shared" si="89"/>
        <v>3</v>
      </c>
      <c r="K139" s="59">
        <f t="shared" ca="1" si="88"/>
        <v>100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1257">
        <f t="shared" ref="L140:N140" ca="1" si="90">L141+L142</f>
        <v>135400</v>
      </c>
      <c r="M140" s="264">
        <f t="shared" ca="1" si="90"/>
        <v>130400</v>
      </c>
      <c r="N140" s="264">
        <f t="shared" ca="1" si="90"/>
        <v>71027</v>
      </c>
      <c r="O140" s="264">
        <f t="shared" ref="O140:O148" ca="1" si="91">IF(L140&gt;0,N140*100/L140,0)</f>
        <v>52.457163958641061</v>
      </c>
      <c r="P140" s="264">
        <f t="shared" ref="P140:P148" ca="1" si="92">IF(M140&gt;0,N140*100/M140,0)</f>
        <v>54.468558282208591</v>
      </c>
      <c r="Q140" s="264">
        <f t="shared" ref="Q140:S140" ca="1" si="93">Q141+Q142</f>
        <v>0</v>
      </c>
      <c r="R140" s="264">
        <f t="shared" ca="1" si="93"/>
        <v>0</v>
      </c>
      <c r="S140" s="264">
        <f t="shared" ca="1" si="93"/>
        <v>0</v>
      </c>
      <c r="T140" s="264">
        <f t="shared" ref="T140:T148" ca="1" si="94">IF(Q140&gt;0,S140*100/Q140,0)</f>
        <v>0</v>
      </c>
      <c r="U140" s="264">
        <f t="shared" ref="U140:U148" ca="1" si="95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6">
        <f t="shared" ref="L141:N142" si="96">L144+L147</f>
        <v>0</v>
      </c>
      <c r="M141" s="77">
        <f t="shared" si="96"/>
        <v>0</v>
      </c>
      <c r="N141" s="77">
        <f t="shared" si="96"/>
        <v>0</v>
      </c>
      <c r="O141" s="77">
        <f t="shared" si="91"/>
        <v>0</v>
      </c>
      <c r="P141" s="77">
        <f t="shared" si="92"/>
        <v>0</v>
      </c>
      <c r="Q141" s="77">
        <f t="shared" ref="Q141:S142" si="97">Q144+Q147</f>
        <v>0</v>
      </c>
      <c r="R141" s="77">
        <f t="shared" si="97"/>
        <v>0</v>
      </c>
      <c r="S141" s="77">
        <f t="shared" si="97"/>
        <v>0</v>
      </c>
      <c r="T141" s="77">
        <f t="shared" si="94"/>
        <v>0</v>
      </c>
      <c r="U141" s="77">
        <f t="shared" si="95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3">
        <f t="shared" ca="1" si="96"/>
        <v>135400</v>
      </c>
      <c r="M142" s="74">
        <f t="shared" ca="1" si="96"/>
        <v>130400</v>
      </c>
      <c r="N142" s="74">
        <f t="shared" ca="1" si="96"/>
        <v>71027</v>
      </c>
      <c r="O142" s="74">
        <f t="shared" ca="1" si="91"/>
        <v>52.457163958641061</v>
      </c>
      <c r="P142" s="74">
        <f t="shared" ca="1" si="92"/>
        <v>54.468558282208591</v>
      </c>
      <c r="Q142" s="74">
        <f t="shared" ca="1" si="97"/>
        <v>0</v>
      </c>
      <c r="R142" s="74">
        <f t="shared" ca="1" si="97"/>
        <v>0</v>
      </c>
      <c r="S142" s="74">
        <f t="shared" ca="1" si="97"/>
        <v>0</v>
      </c>
      <c r="T142" s="74">
        <f t="shared" ca="1" si="94"/>
        <v>0</v>
      </c>
      <c r="U142" s="74">
        <f t="shared" ca="1" si="95"/>
        <v>0</v>
      </c>
    </row>
    <row r="143" spans="1:21" ht="18.75" x14ac:dyDescent="0.25">
      <c r="A143" s="257"/>
      <c r="B143" s="258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3">
        <f t="shared" ref="L143:N143" ca="1" si="98">L144+L145</f>
        <v>135400</v>
      </c>
      <c r="M143" s="74">
        <f t="shared" ca="1" si="98"/>
        <v>130400</v>
      </c>
      <c r="N143" s="74">
        <f t="shared" ca="1" si="98"/>
        <v>71027</v>
      </c>
      <c r="O143" s="74">
        <f t="shared" ca="1" si="91"/>
        <v>52.457163958641061</v>
      </c>
      <c r="P143" s="74">
        <f t="shared" ca="1" si="92"/>
        <v>54.468558282208591</v>
      </c>
      <c r="Q143" s="74">
        <f t="shared" ref="Q143:S143" ca="1" si="99">Q144+Q145</f>
        <v>0</v>
      </c>
      <c r="R143" s="74">
        <f t="shared" ca="1" si="99"/>
        <v>0</v>
      </c>
      <c r="S143" s="74">
        <f t="shared" ca="1" si="99"/>
        <v>0</v>
      </c>
      <c r="T143" s="74">
        <f t="shared" ca="1" si="94"/>
        <v>0</v>
      </c>
      <c r="U143" s="74">
        <f t="shared" ca="1" si="95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77">
        <f t="shared" si="91"/>
        <v>0</v>
      </c>
      <c r="P144" s="77">
        <f t="shared" si="92"/>
        <v>0</v>
      </c>
      <c r="Q144" s="77">
        <v>0</v>
      </c>
      <c r="R144" s="77">
        <v>0</v>
      </c>
      <c r="S144" s="77">
        <v>0</v>
      </c>
      <c r="T144" s="77">
        <f t="shared" si="94"/>
        <v>0</v>
      </c>
      <c r="U144" s="77">
        <f t="shared" si="95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3">
        <f ca="1">IFERROR(__xludf.DUMMYFUNCTION("IMPORTRANGE(""https://docs.google.com/spreadsheets/d/1-uDff_7J0KD5mKrp0Vvzr7lt3OU09vwQwhkpOPPYv2Y/edit?usp=sharing"",""งบพรบ!BQ67"")"),135400)</f>
        <v>135400</v>
      </c>
      <c r="M145" s="74">
        <f ca="1">IFERROR(__xludf.DUMMYFUNCTION("IMPORTRANGE(""https://docs.google.com/spreadsheets/d/1-uDff_7J0KD5mKrp0Vvzr7lt3OU09vwQwhkpOPPYv2Y/edit?usp=sharing"",""งบพรบ!BV67"")"),130400)</f>
        <v>130400</v>
      </c>
      <c r="N145" s="74">
        <f ca="1">IFERROR(__xludf.DUMMYFUNCTION("IMPORTRANGE(""https://docs.google.com/spreadsheets/d/1-uDff_7J0KD5mKrp0Vvzr7lt3OU09vwQwhkpOPPYv2Y/edit?usp=sharing"",""งบพรบ!BX67"")"),71027)</f>
        <v>71027</v>
      </c>
      <c r="O145" s="74">
        <f t="shared" ca="1" si="91"/>
        <v>52.457163958641061</v>
      </c>
      <c r="P145" s="74">
        <f t="shared" ca="1" si="92"/>
        <v>54.468558282208591</v>
      </c>
      <c r="Q145" s="74">
        <f ca="1">IFERROR(__xludf.DUMMYFUNCTION("IMPORTRANGE(""https://docs.google.com/spreadsheets/d/1ItG2mGa2ceCfYo0BwxsXqNm01IGEUdYcSSLTEv9YCik/edit?usp=sharing"",""เบิกจ่ายกองทุน!BB67"")"),0)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IFERROR(__xludf.DUMMYFUNCTION("IMPORTRANGE(""https://docs.google.com/spreadsheets/d/1ItG2mGa2ceCfYo0BwxsXqNm01IGEUdYcSSLTEv9YCik/edit?usp=sharing"",""เบิกจ่ายกองทุน!BC67"")"),0)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IFERROR(__xludf.DUMMYFUNCTION("IMPORTRANGE(""https://docs.google.com/spreadsheets/d/1ItG2mGa2ceCfYo0BwxsXqNm01IGEUdYcSSLTEv9YCik/edit?usp=sharing"",""เบิกจ่ายกองทุน!BD67"")"),0)</f>
        <v>0</v>
      </c>
      <c r="T145" s="74">
        <f t="shared" ca="1" si="94"/>
        <v>0</v>
      </c>
      <c r="U145" s="74">
        <f t="shared" ca="1" si="95"/>
        <v>0</v>
      </c>
    </row>
    <row r="146" spans="1:21" ht="18.75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3">
        <f t="shared" ref="L146:N146" ca="1" si="100">L147+L148</f>
        <v>0</v>
      </c>
      <c r="M146" s="74">
        <f t="shared" ca="1" si="100"/>
        <v>0</v>
      </c>
      <c r="N146" s="74">
        <f t="shared" ca="1" si="100"/>
        <v>0</v>
      </c>
      <c r="O146" s="74">
        <f t="shared" ca="1" si="91"/>
        <v>0</v>
      </c>
      <c r="P146" s="74">
        <f t="shared" ca="1" si="92"/>
        <v>0</v>
      </c>
      <c r="Q146" s="74">
        <f t="shared" ref="Q146:S146" si="101">Q147+Q148</f>
        <v>0</v>
      </c>
      <c r="R146" s="74">
        <f t="shared" si="101"/>
        <v>0</v>
      </c>
      <c r="S146" s="74">
        <f t="shared" si="101"/>
        <v>0</v>
      </c>
      <c r="T146" s="74">
        <f t="shared" si="94"/>
        <v>0</v>
      </c>
      <c r="U146" s="74">
        <f t="shared" si="95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77">
        <f t="shared" si="91"/>
        <v>0</v>
      </c>
      <c r="P147" s="77">
        <f t="shared" si="92"/>
        <v>0</v>
      </c>
      <c r="Q147" s="77">
        <v>0</v>
      </c>
      <c r="R147" s="77">
        <v>0</v>
      </c>
      <c r="S147" s="77">
        <v>0</v>
      </c>
      <c r="T147" s="77">
        <f t="shared" si="94"/>
        <v>0</v>
      </c>
      <c r="U147" s="77">
        <f t="shared" si="95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3">
        <f ca="1">IFERROR(__xludf.DUMMYFUNCTION("IMPORTRANGE(""https://docs.google.com/spreadsheets/d/1-uDff_7J0KD5mKrp0Vvzr7lt3OU09vwQwhkpOPPYv2Y/edit?usp=sharing"",""งบพรบ!BT67"")"),0)</f>
        <v>0</v>
      </c>
      <c r="M148" s="74">
        <f ca="1">IFERROR(__xludf.DUMMYFUNCTION("IMPORTRANGE(""https://docs.google.com/spreadsheets/d/1-uDff_7J0KD5mKrp0Vvzr7lt3OU09vwQwhkpOPPYv2Y/edit?usp=sharing"",""งบพรบ!BW67"")"),0)</f>
        <v>0</v>
      </c>
      <c r="N148" s="74">
        <f ca="1">IFERROR(__xludf.DUMMYFUNCTION("IMPORTRANGE(""https://docs.google.com/spreadsheets/d/1-uDff_7J0KD5mKrp0Vvzr7lt3OU09vwQwhkpOPPYv2Y/edit?usp=sharing"",""งบพรบ!BY67"")"),0)</f>
        <v>0</v>
      </c>
      <c r="O148" s="74">
        <f t="shared" ca="1" si="91"/>
        <v>0</v>
      </c>
      <c r="P148" s="74">
        <f t="shared" ca="1" si="92"/>
        <v>0</v>
      </c>
      <c r="Q148" s="74">
        <v>0</v>
      </c>
      <c r="R148" s="74">
        <v>0</v>
      </c>
      <c r="S148" s="74">
        <v>0</v>
      </c>
      <c r="T148" s="74">
        <f t="shared" si="94"/>
        <v>0</v>
      </c>
      <c r="U148" s="74">
        <f t="shared" si="95"/>
        <v>0</v>
      </c>
    </row>
    <row r="149" spans="1:21" ht="19.5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x14ac:dyDescent="0.25">
      <c r="A150" s="257"/>
      <c r="B150" s="258"/>
      <c r="C150" s="258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IFERROR(__xludf.DUMMYFUNCTION("IMPORTRANGE(""https://docs.google.com/spreadsheets/d/1eHaY18a8A9IcSdp1K8H6x8fbOy06t2VsZHhMHf-1x7Y/edit?usp=sharing"",""แผน!U67"")"),10)</f>
        <v>10</v>
      </c>
      <c r="J151" s="294">
        <v>0</v>
      </c>
      <c r="K151" s="74">
        <f t="shared" ref="K151:K155" ca="1" si="102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IFERROR(__xludf.DUMMYFUNCTION("IMPORTRANGE(""https://docs.google.com/spreadsheets/d/1eHaY18a8A9IcSdp1K8H6x8fbOy06t2VsZHhMHf-1x7Y/edit?usp=sharing"",""แผน!V67"")"),1)</f>
        <v>1</v>
      </c>
      <c r="J152" s="294">
        <v>0</v>
      </c>
      <c r="K152" s="74">
        <f t="shared" ca="1" si="102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IFERROR(__xludf.DUMMYFUNCTION("IMPORTRANGE(""https://docs.google.com/spreadsheets/d/1eHaY18a8A9IcSdp1K8H6x8fbOy06t2VsZHhMHf-1x7Y/edit?usp=sharing"",""แผน!W67"")"),30)</f>
        <v>30</v>
      </c>
      <c r="J153" s="294">
        <v>30</v>
      </c>
      <c r="K153" s="74">
        <f t="shared" ca="1" si="102"/>
        <v>100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IFERROR(__xludf.DUMMYFUNCTION("IMPORTRANGE(""https://docs.google.com/spreadsheets/d/1eHaY18a8A9IcSdp1K8H6x8fbOy06t2VsZHhMHf-1x7Y/edit?usp=sharing"",""แผน!X67"")"),3)</f>
        <v>3</v>
      </c>
      <c r="J154" s="294">
        <v>3</v>
      </c>
      <c r="K154" s="74">
        <f t="shared" ca="1" si="102"/>
        <v>100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IFERROR(__xludf.DUMMYFUNCTION("IMPORTRANGE(""https://docs.google.com/spreadsheets/d/1eHaY18a8A9IcSdp1K8H6x8fbOy06t2VsZHhMHf-1x7Y/edit?usp=sharing"",""แผน!Y67"")"),1)</f>
        <v>1</v>
      </c>
      <c r="J155" s="294">
        <v>0</v>
      </c>
      <c r="K155" s="74">
        <f t="shared" ca="1" si="102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x14ac:dyDescent="0.3">
      <c r="A156" s="1099" t="s">
        <v>67</v>
      </c>
      <c r="B156" s="691"/>
      <c r="C156" s="692"/>
      <c r="D156" s="691"/>
      <c r="E156" s="691"/>
      <c r="F156" s="691"/>
      <c r="G156" s="691"/>
      <c r="H156" s="691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3">I168</f>
        <v>10</v>
      </c>
      <c r="J157" s="256">
        <f t="shared" si="103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1257">
        <f t="shared" ref="L158:N158" ca="1" si="104">L159+L160</f>
        <v>3000</v>
      </c>
      <c r="M158" s="264">
        <f t="shared" ca="1" si="104"/>
        <v>2250</v>
      </c>
      <c r="N158" s="264">
        <f t="shared" ca="1" si="104"/>
        <v>0</v>
      </c>
      <c r="O158" s="264">
        <f t="shared" ref="O158:O166" ca="1" si="105">IF(L158&gt;0,N158*100/L158,0)</f>
        <v>0</v>
      </c>
      <c r="P158" s="264">
        <f t="shared" ref="P158:P166" ca="1" si="106">IF(M158&gt;0,N158*100/M158,0)</f>
        <v>0</v>
      </c>
      <c r="Q158" s="264">
        <f t="shared" ref="Q158:S158" ca="1" si="107">Q159+Q160</f>
        <v>0</v>
      </c>
      <c r="R158" s="264">
        <f t="shared" ca="1" si="107"/>
        <v>0</v>
      </c>
      <c r="S158" s="264">
        <f t="shared" ca="1" si="107"/>
        <v>0</v>
      </c>
      <c r="T158" s="264">
        <f t="shared" ref="T158:T166" ca="1" si="108">IF(Q158&gt;0,S158*100/Q158,0)</f>
        <v>0</v>
      </c>
      <c r="U158" s="264">
        <f t="shared" ref="U158:U166" ca="1" si="109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6">
        <f t="shared" ref="L159:N160" si="110">L162+L165</f>
        <v>0</v>
      </c>
      <c r="M159" s="77">
        <f t="shared" si="110"/>
        <v>0</v>
      </c>
      <c r="N159" s="77">
        <f t="shared" si="110"/>
        <v>0</v>
      </c>
      <c r="O159" s="77">
        <f t="shared" si="105"/>
        <v>0</v>
      </c>
      <c r="P159" s="77">
        <f t="shared" si="106"/>
        <v>0</v>
      </c>
      <c r="Q159" s="77">
        <f t="shared" ref="Q159:S160" si="111">Q162+Q165</f>
        <v>0</v>
      </c>
      <c r="R159" s="77">
        <f t="shared" si="111"/>
        <v>0</v>
      </c>
      <c r="S159" s="77">
        <f t="shared" si="111"/>
        <v>0</v>
      </c>
      <c r="T159" s="77">
        <f t="shared" si="108"/>
        <v>0</v>
      </c>
      <c r="U159" s="77">
        <f t="shared" si="109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3">
        <f t="shared" ca="1" si="110"/>
        <v>3000</v>
      </c>
      <c r="M160" s="74">
        <f t="shared" ca="1" si="110"/>
        <v>2250</v>
      </c>
      <c r="N160" s="74">
        <f t="shared" ca="1" si="110"/>
        <v>0</v>
      </c>
      <c r="O160" s="74">
        <f t="shared" ca="1" si="105"/>
        <v>0</v>
      </c>
      <c r="P160" s="74">
        <f t="shared" ca="1" si="106"/>
        <v>0</v>
      </c>
      <c r="Q160" s="74">
        <f t="shared" ca="1" si="111"/>
        <v>0</v>
      </c>
      <c r="R160" s="74">
        <f t="shared" ca="1" si="111"/>
        <v>0</v>
      </c>
      <c r="S160" s="74">
        <f t="shared" ca="1" si="111"/>
        <v>0</v>
      </c>
      <c r="T160" s="74">
        <f t="shared" ca="1" si="108"/>
        <v>0</v>
      </c>
      <c r="U160" s="74">
        <f t="shared" ca="1" si="109"/>
        <v>0</v>
      </c>
    </row>
    <row r="161" spans="1:21" ht="18.75" x14ac:dyDescent="0.25">
      <c r="A161" s="257"/>
      <c r="B161" s="258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3">
        <f t="shared" ref="L161:N161" ca="1" si="112">L162+L163</f>
        <v>3000</v>
      </c>
      <c r="M161" s="74">
        <f t="shared" ca="1" si="112"/>
        <v>2250</v>
      </c>
      <c r="N161" s="74">
        <f t="shared" ca="1" si="112"/>
        <v>0</v>
      </c>
      <c r="O161" s="74">
        <f t="shared" ca="1" si="105"/>
        <v>0</v>
      </c>
      <c r="P161" s="74">
        <f t="shared" ca="1" si="106"/>
        <v>0</v>
      </c>
      <c r="Q161" s="74">
        <f t="shared" ref="Q161:S161" ca="1" si="113">Q162+Q163</f>
        <v>0</v>
      </c>
      <c r="R161" s="74">
        <f t="shared" ca="1" si="113"/>
        <v>0</v>
      </c>
      <c r="S161" s="74">
        <f t="shared" ca="1" si="113"/>
        <v>0</v>
      </c>
      <c r="T161" s="74">
        <f t="shared" ca="1" si="108"/>
        <v>0</v>
      </c>
      <c r="U161" s="74">
        <f t="shared" ca="1" si="109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77">
        <f t="shared" si="105"/>
        <v>0</v>
      </c>
      <c r="P162" s="77">
        <f t="shared" si="106"/>
        <v>0</v>
      </c>
      <c r="Q162" s="77">
        <v>0</v>
      </c>
      <c r="R162" s="77">
        <v>0</v>
      </c>
      <c r="S162" s="77">
        <v>0</v>
      </c>
      <c r="T162" s="77">
        <f t="shared" si="108"/>
        <v>0</v>
      </c>
      <c r="U162" s="77">
        <f t="shared" si="109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3">
        <f ca="1">IFERROR(__xludf.DUMMYFUNCTION("IMPORTRANGE(""https://docs.google.com/spreadsheets/d/1-uDff_7J0KD5mKrp0Vvzr7lt3OU09vwQwhkpOPPYv2Y/edit?usp=sharing"",""งบพรบ!CA67"")"),3000)</f>
        <v>3000</v>
      </c>
      <c r="M163" s="74">
        <f ca="1">IFERROR(__xludf.DUMMYFUNCTION("IMPORTRANGE(""https://docs.google.com/spreadsheets/d/1-uDff_7J0KD5mKrp0Vvzr7lt3OU09vwQwhkpOPPYv2Y/edit?usp=sharing"",""งบพรบ!CF67"")"),2250)</f>
        <v>2250</v>
      </c>
      <c r="N163" s="74">
        <f ca="1">IFERROR(__xludf.DUMMYFUNCTION("IMPORTRANGE(""https://docs.google.com/spreadsheets/d/1-uDff_7J0KD5mKrp0Vvzr7lt3OU09vwQwhkpOPPYv2Y/edit?usp=sharing"",""งบพรบ!CH67"")"),0)</f>
        <v>0</v>
      </c>
      <c r="O163" s="74">
        <f t="shared" ca="1" si="105"/>
        <v>0</v>
      </c>
      <c r="P163" s="74">
        <f t="shared" ca="1" si="106"/>
        <v>0</v>
      </c>
      <c r="Q163" s="74">
        <f ca="1">IFERROR(__xludf.DUMMYFUNCTION("IMPORTRANGE(""https://docs.google.com/spreadsheets/d/1ItG2mGa2ceCfYo0BwxsXqNm01IGEUdYcSSLTEv9YCik/edit?usp=sharing"",""เบิกจ่ายกองทุน!AG67"")"),0)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IFERROR(__xludf.DUMMYFUNCTION("IMPORTRANGE(""https://docs.google.com/spreadsheets/d/1ItG2mGa2ceCfYo0BwxsXqNm01IGEUdYcSSLTEv9YCik/edit?usp=sharing"",""เบิกจ่ายกองทุน!AH67"")"),0)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IFERROR(__xludf.DUMMYFUNCTION("IMPORTRANGE(""https://docs.google.com/spreadsheets/d/1ItG2mGa2ceCfYo0BwxsXqNm01IGEUdYcSSLTEv9YCik/edit?usp=sharing"",""เบิกจ่ายกองทุน!AI67"")"),0)</f>
        <v>0</v>
      </c>
      <c r="T163" s="74">
        <f t="shared" ca="1" si="108"/>
        <v>0</v>
      </c>
      <c r="U163" s="74">
        <f t="shared" ca="1" si="109"/>
        <v>0</v>
      </c>
    </row>
    <row r="164" spans="1:21" ht="18.75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3">
        <f t="shared" ref="L164:N164" ca="1" si="114">L165+L166</f>
        <v>0</v>
      </c>
      <c r="M164" s="74">
        <f t="shared" ca="1" si="114"/>
        <v>0</v>
      </c>
      <c r="N164" s="74">
        <f t="shared" ca="1" si="114"/>
        <v>0</v>
      </c>
      <c r="O164" s="74">
        <f t="shared" ca="1" si="105"/>
        <v>0</v>
      </c>
      <c r="P164" s="74">
        <f t="shared" ca="1" si="106"/>
        <v>0</v>
      </c>
      <c r="Q164" s="74">
        <f t="shared" ref="Q164:S164" si="115">Q165+Q166</f>
        <v>0</v>
      </c>
      <c r="R164" s="74">
        <f t="shared" si="115"/>
        <v>0</v>
      </c>
      <c r="S164" s="74">
        <f t="shared" si="115"/>
        <v>0</v>
      </c>
      <c r="T164" s="74">
        <f t="shared" si="108"/>
        <v>0</v>
      </c>
      <c r="U164" s="74">
        <f t="shared" si="109"/>
        <v>0</v>
      </c>
    </row>
    <row r="165" spans="1:21" ht="18.75" hidden="1" x14ac:dyDescent="0.25">
      <c r="A165" s="257"/>
      <c r="B165" s="258"/>
      <c r="C165" s="258"/>
      <c r="D165" s="258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77">
        <f t="shared" si="105"/>
        <v>0</v>
      </c>
      <c r="P165" s="77">
        <f t="shared" si="106"/>
        <v>0</v>
      </c>
      <c r="Q165" s="77">
        <v>0</v>
      </c>
      <c r="R165" s="77">
        <v>0</v>
      </c>
      <c r="S165" s="77">
        <v>0</v>
      </c>
      <c r="T165" s="77">
        <f t="shared" si="108"/>
        <v>0</v>
      </c>
      <c r="U165" s="77">
        <f t="shared" si="109"/>
        <v>0</v>
      </c>
    </row>
    <row r="166" spans="1:21" ht="18.75" hidden="1" x14ac:dyDescent="0.25">
      <c r="A166" s="257"/>
      <c r="B166" s="258"/>
      <c r="C166" s="258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3">
        <f ca="1">IFERROR(__xludf.DUMMYFUNCTION("IMPORTRANGE(""https://docs.google.com/spreadsheets/d/1-uDff_7J0KD5mKrp0Vvzr7lt3OU09vwQwhkpOPPYv2Y/edit?usp=sharing"",""งบพรบ!CD67"")"),0)</f>
        <v>0</v>
      </c>
      <c r="M166" s="74">
        <f ca="1">IFERROR(__xludf.DUMMYFUNCTION("IMPORTRANGE(""https://docs.google.com/spreadsheets/d/1-uDff_7J0KD5mKrp0Vvzr7lt3OU09vwQwhkpOPPYv2Y/edit?usp=sharing"",""งบพรบ!CG67"")"),0)</f>
        <v>0</v>
      </c>
      <c r="N166" s="74">
        <f ca="1">IFERROR(__xludf.DUMMYFUNCTION("IMPORTRANGE(""https://docs.google.com/spreadsheets/d/1-uDff_7J0KD5mKrp0Vvzr7lt3OU09vwQwhkpOPPYv2Y/edit?usp=sharing"",""งบพรบ!CI67"")"),0)</f>
        <v>0</v>
      </c>
      <c r="O166" s="74">
        <f t="shared" ca="1" si="105"/>
        <v>0</v>
      </c>
      <c r="P166" s="74">
        <f t="shared" ca="1" si="106"/>
        <v>0</v>
      </c>
      <c r="Q166" s="74">
        <v>0</v>
      </c>
      <c r="R166" s="74">
        <v>0</v>
      </c>
      <c r="S166" s="74">
        <v>0</v>
      </c>
      <c r="T166" s="74">
        <f t="shared" si="108"/>
        <v>0</v>
      </c>
      <c r="U166" s="74">
        <f t="shared" si="109"/>
        <v>0</v>
      </c>
    </row>
    <row r="167" spans="1:21" ht="19.5" x14ac:dyDescent="0.3">
      <c r="A167" s="276"/>
      <c r="B167" s="277"/>
      <c r="C167" s="259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IFERROR(__xludf.DUMMYFUNCTION("IMPORTRANGE(""https://docs.google.com/spreadsheets/d/1eHaY18a8A9IcSdp1K8H6x8fbOy06t2VsZHhMHf-1x7Y/edit?usp=sharing"",""แผน!Z67"")"),10)</f>
        <v>10</v>
      </c>
      <c r="J168" s="294">
        <v>0</v>
      </c>
      <c r="K168" s="74">
        <f t="shared" ref="K168:K170" ca="1" si="116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I168</f>
        <v>10</v>
      </c>
      <c r="J169" s="910">
        <v>0</v>
      </c>
      <c r="K169" s="77">
        <f t="shared" ca="1" si="116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I168</f>
        <v>10</v>
      </c>
      <c r="J170" s="999">
        <v>0</v>
      </c>
      <c r="K170" s="1000">
        <f t="shared" ca="1" si="116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6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302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303" t="s">
        <v>35</v>
      </c>
      <c r="I173" s="1126">
        <f t="shared" ref="I173:J173" ca="1" si="117">I184+I185</f>
        <v>7</v>
      </c>
      <c r="J173" s="1126">
        <f t="shared" si="117"/>
        <v>0</v>
      </c>
      <c r="K173" s="1127">
        <f ca="1">IF(I173&gt;0,J173*100/I173,0)</f>
        <v>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1257">
        <f t="shared" ref="L174:N174" ca="1" si="118">L175+L176</f>
        <v>19590</v>
      </c>
      <c r="M174" s="264">
        <f t="shared" ca="1" si="118"/>
        <v>29580</v>
      </c>
      <c r="N174" s="264">
        <f t="shared" ca="1" si="118"/>
        <v>3255</v>
      </c>
      <c r="O174" s="264">
        <f t="shared" ref="O174:O182" ca="1" si="119">IF(L174&gt;0,N174*100/L174,0)</f>
        <v>16.615620214395101</v>
      </c>
      <c r="P174" s="264">
        <f t="shared" ref="P174:P182" ca="1" si="120">IF(M174&gt;0,N174*100/M174,0)</f>
        <v>11.004056795131845</v>
      </c>
      <c r="Q174" s="264">
        <f t="shared" ref="Q174:S174" ca="1" si="121">Q175+Q176</f>
        <v>0</v>
      </c>
      <c r="R174" s="264">
        <f t="shared" ca="1" si="121"/>
        <v>0</v>
      </c>
      <c r="S174" s="264">
        <f t="shared" ca="1" si="121"/>
        <v>0</v>
      </c>
      <c r="T174" s="264">
        <f t="shared" ref="T174:T182" ca="1" si="122">IF(Q174&gt;0,S174*100/Q174,0)</f>
        <v>0</v>
      </c>
      <c r="U174" s="264">
        <f t="shared" ref="U174:U182" ca="1" si="123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6">
        <f t="shared" ref="L175:N176" si="124">L178+L181</f>
        <v>0</v>
      </c>
      <c r="M175" s="77">
        <f t="shared" si="124"/>
        <v>0</v>
      </c>
      <c r="N175" s="77">
        <f t="shared" si="124"/>
        <v>0</v>
      </c>
      <c r="O175" s="77">
        <f t="shared" si="119"/>
        <v>0</v>
      </c>
      <c r="P175" s="77">
        <f t="shared" si="120"/>
        <v>0</v>
      </c>
      <c r="Q175" s="77">
        <f t="shared" ref="Q175:S176" si="125">Q178+Q181</f>
        <v>0</v>
      </c>
      <c r="R175" s="77">
        <f t="shared" si="125"/>
        <v>0</v>
      </c>
      <c r="S175" s="77">
        <f t="shared" si="125"/>
        <v>0</v>
      </c>
      <c r="T175" s="77">
        <f t="shared" si="122"/>
        <v>0</v>
      </c>
      <c r="U175" s="77">
        <f t="shared" si="123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3">
        <f t="shared" ca="1" si="124"/>
        <v>19590</v>
      </c>
      <c r="M176" s="74">
        <f t="shared" ca="1" si="124"/>
        <v>29580</v>
      </c>
      <c r="N176" s="74">
        <f t="shared" ca="1" si="124"/>
        <v>3255</v>
      </c>
      <c r="O176" s="74">
        <f t="shared" ca="1" si="119"/>
        <v>16.615620214395101</v>
      </c>
      <c r="P176" s="74">
        <f t="shared" ca="1" si="120"/>
        <v>11.004056795131845</v>
      </c>
      <c r="Q176" s="74">
        <f t="shared" ca="1" si="125"/>
        <v>0</v>
      </c>
      <c r="R176" s="74">
        <f t="shared" ca="1" si="125"/>
        <v>0</v>
      </c>
      <c r="S176" s="74">
        <f t="shared" ca="1" si="125"/>
        <v>0</v>
      </c>
      <c r="T176" s="74">
        <f t="shared" ca="1" si="122"/>
        <v>0</v>
      </c>
      <c r="U176" s="74">
        <f t="shared" ca="1" si="123"/>
        <v>0</v>
      </c>
    </row>
    <row r="177" spans="1:21" ht="18.75" x14ac:dyDescent="0.25">
      <c r="A177" s="257"/>
      <c r="B177" s="258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3">
        <f t="shared" ref="L177:N177" ca="1" si="126">L178+L179</f>
        <v>19590</v>
      </c>
      <c r="M177" s="74">
        <f t="shared" ca="1" si="126"/>
        <v>29580</v>
      </c>
      <c r="N177" s="74">
        <f t="shared" ca="1" si="126"/>
        <v>3255</v>
      </c>
      <c r="O177" s="74">
        <f t="shared" ca="1" si="119"/>
        <v>16.615620214395101</v>
      </c>
      <c r="P177" s="74">
        <f t="shared" ca="1" si="120"/>
        <v>11.004056795131845</v>
      </c>
      <c r="Q177" s="74">
        <f t="shared" ref="Q177:S177" ca="1" si="127">Q178+Q179</f>
        <v>0</v>
      </c>
      <c r="R177" s="74">
        <f t="shared" ca="1" si="127"/>
        <v>0</v>
      </c>
      <c r="S177" s="74">
        <f t="shared" ca="1" si="127"/>
        <v>0</v>
      </c>
      <c r="T177" s="74">
        <f t="shared" ca="1" si="122"/>
        <v>0</v>
      </c>
      <c r="U177" s="74">
        <f t="shared" ca="1" si="123"/>
        <v>0</v>
      </c>
    </row>
    <row r="178" spans="1:21" ht="18.75" hidden="1" x14ac:dyDescent="0.25">
      <c r="A178" s="257"/>
      <c r="B178" s="258"/>
      <c r="C178" s="258"/>
      <c r="D178" s="258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77">
        <f t="shared" si="119"/>
        <v>0</v>
      </c>
      <c r="P178" s="77">
        <f t="shared" si="120"/>
        <v>0</v>
      </c>
      <c r="Q178" s="77">
        <v>0</v>
      </c>
      <c r="R178" s="77">
        <v>0</v>
      </c>
      <c r="S178" s="77">
        <v>0</v>
      </c>
      <c r="T178" s="77">
        <f t="shared" si="122"/>
        <v>0</v>
      </c>
      <c r="U178" s="77">
        <f t="shared" si="123"/>
        <v>0</v>
      </c>
    </row>
    <row r="179" spans="1:21" ht="18.75" hidden="1" x14ac:dyDescent="0.25">
      <c r="A179" s="257"/>
      <c r="B179" s="258"/>
      <c r="C179" s="258"/>
      <c r="D179" s="258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3">
        <f ca="1">IFERROR(__xludf.DUMMYFUNCTION("IMPORTRANGE(""https://docs.google.com/spreadsheets/d/1-uDff_7J0KD5mKrp0Vvzr7lt3OU09vwQwhkpOPPYv2Y/edit?usp=sharing"",""งบพรบ!CK67"")"),19590)</f>
        <v>19590</v>
      </c>
      <c r="M179" s="74">
        <f ca="1">IFERROR(__xludf.DUMMYFUNCTION("IMPORTRANGE(""https://docs.google.com/spreadsheets/d/1-uDff_7J0KD5mKrp0Vvzr7lt3OU09vwQwhkpOPPYv2Y/edit?usp=sharing"",""งบพรบ!CP67"")"),29580)</f>
        <v>29580</v>
      </c>
      <c r="N179" s="74">
        <f ca="1">IFERROR(__xludf.DUMMYFUNCTION("IMPORTRANGE(""https://docs.google.com/spreadsheets/d/1-uDff_7J0KD5mKrp0Vvzr7lt3OU09vwQwhkpOPPYv2Y/edit?usp=sharing"",""งบพรบ!CR67"")"),3255)</f>
        <v>3255</v>
      </c>
      <c r="O179" s="74">
        <f t="shared" ca="1" si="119"/>
        <v>16.615620214395101</v>
      </c>
      <c r="P179" s="74">
        <f t="shared" ca="1" si="120"/>
        <v>11.004056795131845</v>
      </c>
      <c r="Q179" s="74">
        <f ca="1">IFERROR(__xludf.DUMMYFUNCTION("IMPORTRANGE(""https://docs.google.com/spreadsheets/d/1ItG2mGa2ceCfYo0BwxsXqNm01IGEUdYcSSLTEv9YCik/edit?usp=sharing"",""เบิกจ่ายกองทุน!BE67"")"),0)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IFERROR(__xludf.DUMMYFUNCTION("IMPORTRANGE(""https://docs.google.com/spreadsheets/d/1ItG2mGa2ceCfYo0BwxsXqNm01IGEUdYcSSLTEv9YCik/edit?usp=sharing"",""เบิกจ่ายกองทุน!BF67"")"),0)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IFERROR(__xludf.DUMMYFUNCTION("IMPORTRANGE(""https://docs.google.com/spreadsheets/d/1ItG2mGa2ceCfYo0BwxsXqNm01IGEUdYcSSLTEv9YCik/edit?usp=sharing"",""เบิกจ่ายกองทุน!BG67"")"),0)</f>
        <v>0</v>
      </c>
      <c r="T179" s="74">
        <f t="shared" ca="1" si="122"/>
        <v>0</v>
      </c>
      <c r="U179" s="74">
        <f t="shared" ca="1" si="123"/>
        <v>0</v>
      </c>
    </row>
    <row r="180" spans="1:21" ht="18.75" x14ac:dyDescent="0.25">
      <c r="A180" s="257"/>
      <c r="B180" s="258"/>
      <c r="C180" s="258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3">
        <f t="shared" ref="L180:N180" ca="1" si="128">L181+L182</f>
        <v>0</v>
      </c>
      <c r="M180" s="74">
        <f t="shared" ca="1" si="128"/>
        <v>0</v>
      </c>
      <c r="N180" s="74">
        <f t="shared" ca="1" si="128"/>
        <v>0</v>
      </c>
      <c r="O180" s="74">
        <f t="shared" ca="1" si="119"/>
        <v>0</v>
      </c>
      <c r="P180" s="74">
        <f t="shared" ca="1" si="120"/>
        <v>0</v>
      </c>
      <c r="Q180" s="74">
        <f t="shared" ref="Q180:S180" si="129">Q181+Q182</f>
        <v>0</v>
      </c>
      <c r="R180" s="74">
        <f t="shared" si="129"/>
        <v>0</v>
      </c>
      <c r="S180" s="74">
        <f t="shared" si="129"/>
        <v>0</v>
      </c>
      <c r="T180" s="74">
        <f t="shared" si="122"/>
        <v>0</v>
      </c>
      <c r="U180" s="74">
        <f t="shared" si="123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77">
        <f t="shared" si="119"/>
        <v>0</v>
      </c>
      <c r="P181" s="77">
        <f t="shared" si="120"/>
        <v>0</v>
      </c>
      <c r="Q181" s="77">
        <v>0</v>
      </c>
      <c r="R181" s="77">
        <v>0</v>
      </c>
      <c r="S181" s="77">
        <v>0</v>
      </c>
      <c r="T181" s="77">
        <f t="shared" si="122"/>
        <v>0</v>
      </c>
      <c r="U181" s="77">
        <f t="shared" si="123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3">
        <f ca="1">IFERROR(__xludf.DUMMYFUNCTION("IMPORTRANGE(""https://docs.google.com/spreadsheets/d/1-uDff_7J0KD5mKrp0Vvzr7lt3OU09vwQwhkpOPPYv2Y/edit?usp=sharing"",""งบพรบ!CN67"")"),0)</f>
        <v>0</v>
      </c>
      <c r="M182" s="74">
        <f ca="1">IFERROR(__xludf.DUMMYFUNCTION("IMPORTRANGE(""https://docs.google.com/spreadsheets/d/1-uDff_7J0KD5mKrp0Vvzr7lt3OU09vwQwhkpOPPYv2Y/edit?usp=sharing"",""งบพรบ!CQ67"")"),0)</f>
        <v>0</v>
      </c>
      <c r="N182" s="74">
        <f ca="1">IFERROR(__xludf.DUMMYFUNCTION("IMPORTRANGE(""https://docs.google.com/spreadsheets/d/1-uDff_7J0KD5mKrp0Vvzr7lt3OU09vwQwhkpOPPYv2Y/edit?usp=sharing"",""งบพรบ!CS67"")"),0)</f>
        <v>0</v>
      </c>
      <c r="O182" s="74">
        <f t="shared" ca="1" si="119"/>
        <v>0</v>
      </c>
      <c r="P182" s="74">
        <f t="shared" ca="1" si="120"/>
        <v>0</v>
      </c>
      <c r="Q182" s="74">
        <v>0</v>
      </c>
      <c r="R182" s="74">
        <v>0</v>
      </c>
      <c r="S182" s="74">
        <v>0</v>
      </c>
      <c r="T182" s="74">
        <f t="shared" si="122"/>
        <v>0</v>
      </c>
      <c r="U182" s="74">
        <f t="shared" si="123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551" t="s">
        <v>35</v>
      </c>
      <c r="I184" s="293">
        <f ca="1">IFERROR(__xludf.DUMMYFUNCTION("IMPORTRANGE(""https://docs.google.com/spreadsheets/d/1eHaY18a8A9IcSdp1K8H6x8fbOy06t2VsZHhMHf-1x7Y/edit?usp=sharing"",""แผน!AA67"")"),7)</f>
        <v>7</v>
      </c>
      <c r="J184" s="294">
        <v>0</v>
      </c>
      <c r="K184" s="74">
        <f t="shared" ref="K184:K186" ca="1" si="130">IF(I184&gt;0,J184*100/I184,0)</f>
        <v>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921" t="s">
        <v>35</v>
      </c>
      <c r="I185" s="592">
        <v>0</v>
      </c>
      <c r="J185" s="592">
        <v>0</v>
      </c>
      <c r="K185" s="77">
        <f t="shared" si="130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303" t="s">
        <v>35</v>
      </c>
      <c r="I186" s="1126">
        <f t="shared" ref="I186:J186" ca="1" si="131">I231+I232</f>
        <v>0</v>
      </c>
      <c r="J186" s="1126">
        <f t="shared" si="131"/>
        <v>0</v>
      </c>
      <c r="K186" s="1127">
        <f t="shared" ca="1" si="130"/>
        <v>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1257">
        <f t="shared" ref="L187:N187" ca="1" si="132">L188+L189</f>
        <v>36500</v>
      </c>
      <c r="M187" s="264">
        <f t="shared" ca="1" si="132"/>
        <v>20500</v>
      </c>
      <c r="N187" s="264">
        <f t="shared" ca="1" si="132"/>
        <v>350</v>
      </c>
      <c r="O187" s="264">
        <f t="shared" ref="O187:O195" ca="1" si="133">IF(L187&gt;0,N187*100/L187,0)</f>
        <v>0.95890410958904104</v>
      </c>
      <c r="P187" s="264">
        <f t="shared" ref="P187:P195" ca="1" si="134">IF(M187&gt;0,N187*100/M187,0)</f>
        <v>1.7073170731707317</v>
      </c>
      <c r="Q187" s="264">
        <f t="shared" ref="Q187:S187" ca="1" si="135">Q188+Q189</f>
        <v>42000</v>
      </c>
      <c r="R187" s="264">
        <f t="shared" ca="1" si="135"/>
        <v>42000</v>
      </c>
      <c r="S187" s="264">
        <f t="shared" ca="1" si="135"/>
        <v>0</v>
      </c>
      <c r="T187" s="264">
        <f t="shared" ref="T187:T195" ca="1" si="136">IF(Q187&gt;0,S187*100/Q187,0)</f>
        <v>0</v>
      </c>
      <c r="U187" s="264">
        <f t="shared" ref="U187:U195" ca="1" si="137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6">
        <f t="shared" ref="L188:N189" si="138">L191+L194</f>
        <v>0</v>
      </c>
      <c r="M188" s="77">
        <f t="shared" si="138"/>
        <v>0</v>
      </c>
      <c r="N188" s="77">
        <f t="shared" si="138"/>
        <v>0</v>
      </c>
      <c r="O188" s="77">
        <f t="shared" si="133"/>
        <v>0</v>
      </c>
      <c r="P188" s="77">
        <f t="shared" si="134"/>
        <v>0</v>
      </c>
      <c r="Q188" s="77">
        <f t="shared" ref="Q188:S189" si="139">Q191+Q194</f>
        <v>0</v>
      </c>
      <c r="R188" s="77">
        <f t="shared" si="139"/>
        <v>0</v>
      </c>
      <c r="S188" s="77">
        <f t="shared" si="139"/>
        <v>0</v>
      </c>
      <c r="T188" s="77">
        <f t="shared" si="136"/>
        <v>0</v>
      </c>
      <c r="U188" s="77">
        <f t="shared" si="137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3">
        <f t="shared" ca="1" si="138"/>
        <v>36500</v>
      </c>
      <c r="M189" s="74">
        <f t="shared" ca="1" si="138"/>
        <v>20500</v>
      </c>
      <c r="N189" s="74">
        <f t="shared" ca="1" si="138"/>
        <v>350</v>
      </c>
      <c r="O189" s="74">
        <f t="shared" ca="1" si="133"/>
        <v>0.95890410958904104</v>
      </c>
      <c r="P189" s="74">
        <f t="shared" ca="1" si="134"/>
        <v>1.7073170731707317</v>
      </c>
      <c r="Q189" s="74">
        <f t="shared" ca="1" si="139"/>
        <v>42000</v>
      </c>
      <c r="R189" s="74">
        <f t="shared" ca="1" si="139"/>
        <v>42000</v>
      </c>
      <c r="S189" s="74">
        <f t="shared" ca="1" si="139"/>
        <v>0</v>
      </c>
      <c r="T189" s="74">
        <f t="shared" ca="1" si="136"/>
        <v>0</v>
      </c>
      <c r="U189" s="74">
        <f t="shared" ca="1" si="137"/>
        <v>0</v>
      </c>
    </row>
    <row r="190" spans="1:21" ht="18.75" x14ac:dyDescent="0.25">
      <c r="A190" s="257"/>
      <c r="B190" s="258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3">
        <f t="shared" ref="L190:N190" ca="1" si="140">L191+L192</f>
        <v>36500</v>
      </c>
      <c r="M190" s="74">
        <f t="shared" ca="1" si="140"/>
        <v>20500</v>
      </c>
      <c r="N190" s="74">
        <f t="shared" ca="1" si="140"/>
        <v>350</v>
      </c>
      <c r="O190" s="74">
        <f t="shared" ca="1" si="133"/>
        <v>0.95890410958904104</v>
      </c>
      <c r="P190" s="74">
        <f t="shared" ca="1" si="134"/>
        <v>1.7073170731707317</v>
      </c>
      <c r="Q190" s="74">
        <f t="shared" ref="Q190:S190" ca="1" si="141">Q191+Q192</f>
        <v>42000</v>
      </c>
      <c r="R190" s="74">
        <f t="shared" ca="1" si="141"/>
        <v>42000</v>
      </c>
      <c r="S190" s="74">
        <f t="shared" ca="1" si="141"/>
        <v>0</v>
      </c>
      <c r="T190" s="74">
        <f t="shared" ca="1" si="136"/>
        <v>0</v>
      </c>
      <c r="U190" s="74">
        <f t="shared" ca="1" si="137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77">
        <f t="shared" si="133"/>
        <v>0</v>
      </c>
      <c r="P191" s="77">
        <f t="shared" si="134"/>
        <v>0</v>
      </c>
      <c r="Q191" s="77">
        <v>0</v>
      </c>
      <c r="R191" s="77">
        <v>0</v>
      </c>
      <c r="S191" s="77">
        <v>0</v>
      </c>
      <c r="T191" s="77">
        <f t="shared" si="136"/>
        <v>0</v>
      </c>
      <c r="U191" s="77">
        <f t="shared" si="137"/>
        <v>0</v>
      </c>
    </row>
    <row r="192" spans="1:21" ht="18.75" hidden="1" x14ac:dyDescent="0.25">
      <c r="A192" s="257"/>
      <c r="B192" s="258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3">
        <f ca="1">IFERROR(__xludf.DUMMYFUNCTION("IMPORTRANGE(""https://docs.google.com/spreadsheets/d/1-uDff_7J0KD5mKrp0Vvzr7lt3OU09vwQwhkpOPPYv2Y/edit?usp=sharing"",""งบพรบ!CU67"")"),36500)</f>
        <v>36500</v>
      </c>
      <c r="M192" s="74">
        <f ca="1">IFERROR(__xludf.DUMMYFUNCTION("IMPORTRANGE(""https://docs.google.com/spreadsheets/d/1-uDff_7J0KD5mKrp0Vvzr7lt3OU09vwQwhkpOPPYv2Y/edit?usp=sharing"",""งบพรบ!CZ67"")"),20500)</f>
        <v>20500</v>
      </c>
      <c r="N192" s="74">
        <f ca="1">IFERROR(__xludf.DUMMYFUNCTION("IMPORTRANGE(""https://docs.google.com/spreadsheets/d/1-uDff_7J0KD5mKrp0Vvzr7lt3OU09vwQwhkpOPPYv2Y/edit?usp=sharing"",""งบพรบ!DB67"")"),350)</f>
        <v>350</v>
      </c>
      <c r="O192" s="74">
        <f t="shared" ca="1" si="133"/>
        <v>0.95890410958904104</v>
      </c>
      <c r="P192" s="74">
        <f t="shared" ca="1" si="134"/>
        <v>1.7073170731707317</v>
      </c>
      <c r="Q192" s="74">
        <f ca="1">IFERROR(__xludf.DUMMYFUNCTION("IMPORTRANGE(""https://docs.google.com/spreadsheets/d/1ItG2mGa2ceCfYo0BwxsXqNm01IGEUdYcSSLTEv9YCik/edit?usp=sharing"",""เบิกจ่ายกองทุน!AV67"")"),42000)</f>
        <v>42000</v>
      </c>
      <c r="R192" s="74">
        <f ca="1">IFERROR(__xludf.DUMMYFUNCTION("IMPORTRANGE(""https://docs.google.com/spreadsheets/d/1ItG2mGa2ceCfYo0BwxsXqNm01IGEUdYcSSLTEv9YCik/edit?usp=sharing"",""เบิกจ่ายกองทุน!AW67"")"),42000)</f>
        <v>42000</v>
      </c>
      <c r="S192" s="74">
        <f ca="1">IFERROR(__xludf.DUMMYFUNCTION("IMPORTRANGE(""https://docs.google.com/spreadsheets/d/1ItG2mGa2ceCfYo0BwxsXqNm01IGEUdYcSSLTEv9YCik/edit?usp=sharing"",""เบิกจ่ายกองทุน!AX67"")"),0)</f>
        <v>0</v>
      </c>
      <c r="T192" s="74">
        <f t="shared" ca="1" si="136"/>
        <v>0</v>
      </c>
      <c r="U192" s="74">
        <f t="shared" ca="1" si="137"/>
        <v>0</v>
      </c>
    </row>
    <row r="193" spans="1:21" ht="18.75" x14ac:dyDescent="0.25">
      <c r="A193" s="257"/>
      <c r="B193" s="258"/>
      <c r="C193" s="258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3">
        <f t="shared" ref="L193:N193" ca="1" si="142">L194+L195</f>
        <v>0</v>
      </c>
      <c r="M193" s="74">
        <f t="shared" ca="1" si="142"/>
        <v>0</v>
      </c>
      <c r="N193" s="74">
        <f t="shared" ca="1" si="142"/>
        <v>0</v>
      </c>
      <c r="O193" s="74">
        <f t="shared" ca="1" si="133"/>
        <v>0</v>
      </c>
      <c r="P193" s="74">
        <f t="shared" ca="1" si="134"/>
        <v>0</v>
      </c>
      <c r="Q193" s="74">
        <f t="shared" ref="Q193:S193" si="143">Q194+Q195</f>
        <v>0</v>
      </c>
      <c r="R193" s="74">
        <f t="shared" si="143"/>
        <v>0</v>
      </c>
      <c r="S193" s="74">
        <f t="shared" si="143"/>
        <v>0</v>
      </c>
      <c r="T193" s="74">
        <f t="shared" si="136"/>
        <v>0</v>
      </c>
      <c r="U193" s="74">
        <f t="shared" si="137"/>
        <v>0</v>
      </c>
    </row>
    <row r="194" spans="1:21" ht="18.75" hidden="1" x14ac:dyDescent="0.25">
      <c r="A194" s="257"/>
      <c r="B194" s="258"/>
      <c r="C194" s="258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77">
        <f t="shared" si="133"/>
        <v>0</v>
      </c>
      <c r="P194" s="77">
        <f t="shared" si="134"/>
        <v>0</v>
      </c>
      <c r="Q194" s="77">
        <v>0</v>
      </c>
      <c r="R194" s="77">
        <v>0</v>
      </c>
      <c r="S194" s="77">
        <v>0</v>
      </c>
      <c r="T194" s="77">
        <f t="shared" si="136"/>
        <v>0</v>
      </c>
      <c r="U194" s="77">
        <f t="shared" si="137"/>
        <v>0</v>
      </c>
    </row>
    <row r="195" spans="1:21" ht="18.75" hidden="1" x14ac:dyDescent="0.25">
      <c r="A195" s="257"/>
      <c r="B195" s="258"/>
      <c r="C195" s="258"/>
      <c r="D195" s="258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3">
        <f ca="1">IFERROR(__xludf.DUMMYFUNCTION("IMPORTRANGE(""https://docs.google.com/spreadsheets/d/1-uDff_7J0KD5mKrp0Vvzr7lt3OU09vwQwhkpOPPYv2Y/edit?usp=sharing"",""งบพรบ!CX67"")"),0)</f>
        <v>0</v>
      </c>
      <c r="M195" s="74">
        <f ca="1">IFERROR(__xludf.DUMMYFUNCTION("IMPORTRANGE(""https://docs.google.com/spreadsheets/d/1-uDff_7J0KD5mKrp0Vvzr7lt3OU09vwQwhkpOPPYv2Y/edit?usp=sharing"",""งบพรบ!DA67"")"),0)</f>
        <v>0</v>
      </c>
      <c r="N195" s="74">
        <f ca="1">IFERROR(__xludf.DUMMYFUNCTION("IMPORTRANGE(""https://docs.google.com/spreadsheets/d/1-uDff_7J0KD5mKrp0Vvzr7lt3OU09vwQwhkpOPPYv2Y/edit?usp=sharing"",""งบพรบ!DC67"")"),0)</f>
        <v>0</v>
      </c>
      <c r="O195" s="74">
        <f t="shared" ca="1" si="133"/>
        <v>0</v>
      </c>
      <c r="P195" s="74">
        <f t="shared" ca="1" si="134"/>
        <v>0</v>
      </c>
      <c r="Q195" s="74">
        <v>0</v>
      </c>
      <c r="R195" s="74">
        <v>0</v>
      </c>
      <c r="S195" s="74">
        <v>0</v>
      </c>
      <c r="T195" s="74">
        <f t="shared" si="136"/>
        <v>0</v>
      </c>
      <c r="U195" s="74">
        <f t="shared" si="137"/>
        <v>0</v>
      </c>
    </row>
    <row r="196" spans="1:21" ht="19.5" x14ac:dyDescent="0.3">
      <c r="A196" s="553"/>
      <c r="B196" s="555"/>
      <c r="C196" s="1130" t="s">
        <v>78</v>
      </c>
      <c r="D196" s="554"/>
      <c r="E196" s="554"/>
      <c r="F196" s="554"/>
      <c r="G196" s="557"/>
      <c r="H196" s="558" t="s">
        <v>79</v>
      </c>
      <c r="I196" s="559">
        <f t="shared" ref="I196:J196" ca="1" si="144">I199</f>
        <v>4</v>
      </c>
      <c r="J196" s="559">
        <f t="shared" si="144"/>
        <v>1</v>
      </c>
      <c r="K196" s="560">
        <f ca="1">IF(I196&gt;0,J196*100/I196,0)</f>
        <v>25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58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1257">
        <f ca="1">IFERROR(__xludf.DUMMYFUNCTION("IMPORTRANGE(""https://docs.google.com/spreadsheets/d/1eHaY18a8A9IcSdp1K8H6x8fbOy06t2VsZHhMHf-1x7Y/edit?usp=sharing"",""แผน!AB67"")"),6000)</f>
        <v>6000</v>
      </c>
      <c r="M197" s="87"/>
      <c r="N197" s="923">
        <v>350</v>
      </c>
      <c r="O197" s="264">
        <f ca="1">IF(L197&gt;0,N197*100/L197,0)</f>
        <v>5.833333333333333</v>
      </c>
      <c r="P197" s="264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282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99" t="s">
        <v>79</v>
      </c>
      <c r="I199" s="293">
        <f ca="1">IFERROR(__xludf.DUMMYFUNCTION("IMPORTRANGE(""https://docs.google.com/spreadsheets/d/1eHaY18a8A9IcSdp1K8H6x8fbOy06t2VsZHhMHf-1x7Y/edit?usp=sharing"",""แผน!AE67"")"),4)</f>
        <v>4</v>
      </c>
      <c r="J199" s="294">
        <v>1</v>
      </c>
      <c r="K199" s="74">
        <f ca="1">IF(I199&gt;0,J199*100/I199,0)</f>
        <v>25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55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55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5">I210</f>
        <v>2</v>
      </c>
      <c r="J203" s="559">
        <f t="shared" si="145"/>
        <v>0</v>
      </c>
      <c r="K203" s="560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58"/>
      <c r="C204" s="259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1257">
        <f ca="1">L205+L206+L207+L208</f>
        <v>26000</v>
      </c>
      <c r="M204" s="87"/>
      <c r="N204" s="264">
        <f>N205+N206+N207+N208</f>
        <v>0</v>
      </c>
      <c r="O204" s="264">
        <f ca="1">IF(L204&gt;0,N204*100/L204,0)</f>
        <v>0</v>
      </c>
      <c r="P204" s="264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58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73">
        <f ca="1">IFERROR(__xludf.DUMMYFUNCTION("IMPORTRANGE(""https://docs.google.com/spreadsheets/d/1eHaY18a8A9IcSdp1K8H6x8fbOy06t2VsZHhMHf-1x7Y/edit?usp=sharing"",""แผน!AG67"")"),2000)</f>
        <v>2000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58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73">
        <f ca="1">IFERROR(__xludf.DUMMYFUNCTION("IMPORTRANGE(""https://docs.google.com/spreadsheets/d/1eHaY18a8A9IcSdp1K8H6x8fbOy06t2VsZHhMHf-1x7Y/edit?usp=sharing"",""แผน!AH67"")"),0)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58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73">
        <f ca="1">IFERROR(__xludf.DUMMYFUNCTION("IMPORTRANGE(""https://docs.google.com/spreadsheets/d/1eHaY18a8A9IcSdp1K8H6x8fbOy06t2VsZHhMHf-1x7Y/edit?usp=sharing"",""แผน!AI67"")"),16000)</f>
        <v>16000</v>
      </c>
      <c r="M207" s="87"/>
      <c r="N207" s="924">
        <v>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58"/>
      <c r="D208" s="267" t="s">
        <v>89</v>
      </c>
      <c r="E208" s="258"/>
      <c r="F208" s="258"/>
      <c r="G208" s="261"/>
      <c r="H208" s="292" t="s">
        <v>14</v>
      </c>
      <c r="I208" s="263"/>
      <c r="J208" s="263"/>
      <c r="K208" s="87"/>
      <c r="L208" s="73">
        <f ca="1">IFERROR(__xludf.DUMMYFUNCTION("IMPORTRANGE(""https://docs.google.com/spreadsheets/d/1eHaY18a8A9IcSdp1K8H6x8fbOy06t2VsZHhMHf-1x7Y/edit?usp=sharing"",""แผน!AJ67"")"),8000)</f>
        <v>8000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282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3" t="s">
        <v>85</v>
      </c>
      <c r="I210" s="293">
        <f ca="1">IFERROR(__xludf.DUMMYFUNCTION("IMPORTRANGE(""https://docs.google.com/spreadsheets/d/1eHaY18a8A9IcSdp1K8H6x8fbOy06t2VsZHhMHf-1x7Y/edit?usp=sharing"",""แผน!AK67"")"),2)</f>
        <v>2</v>
      </c>
      <c r="J210" s="294">
        <v>0</v>
      </c>
      <c r="K210" s="768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282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3" t="s">
        <v>85</v>
      </c>
      <c r="I212" s="293">
        <f ca="1">IFERROR(__xludf.DUMMYFUNCTION("IMPORTRANGE(""https://docs.google.com/spreadsheets/d/1eHaY18a8A9IcSdp1K8H6x8fbOy06t2VsZHhMHf-1x7Y/edit?usp=sharing"",""แผน!JX67"")"),2)</f>
        <v>2</v>
      </c>
      <c r="J212" s="294">
        <v>0</v>
      </c>
      <c r="K212" s="768">
        <f t="shared" ref="K212:K214" ca="1" si="146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IFERROR(__xludf.DUMMYFUNCTION("IMPORTRANGE(""https://docs.google.com/spreadsheets/d/1eHaY18a8A9IcSdp1K8H6x8fbOy06t2VsZHhMHf-1x7Y/edit?usp=sharing"",""แผน!JY67"")"),0)</f>
        <v>0</v>
      </c>
      <c r="J213" s="294">
        <v>0</v>
      </c>
      <c r="K213" s="768">
        <f t="shared" ca="1" si="146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hidden="1" x14ac:dyDescent="0.3">
      <c r="A214" s="553"/>
      <c r="B214" s="555"/>
      <c r="C214" s="1130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7">I221</f>
        <v>0</v>
      </c>
      <c r="J214" s="559">
        <f t="shared" si="147"/>
        <v>0</v>
      </c>
      <c r="K214" s="560">
        <f t="shared" ca="1" si="146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hidden="1" x14ac:dyDescent="0.3">
      <c r="A215" s="257"/>
      <c r="B215" s="258"/>
      <c r="C215" s="259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1257">
        <f ca="1">L216+L217+L218</f>
        <v>0</v>
      </c>
      <c r="M215" s="87"/>
      <c r="N215" s="264">
        <f>N216+N217+N218</f>
        <v>0</v>
      </c>
      <c r="O215" s="264">
        <f ca="1">IF(L215&gt;0,N215*100/L215,0)</f>
        <v>0</v>
      </c>
      <c r="P215" s="264">
        <f>IF(M215&gt;0,N215*100/M215,0)</f>
        <v>0</v>
      </c>
      <c r="Q215" s="87"/>
      <c r="R215" s="87"/>
      <c r="S215" s="87"/>
      <c r="T215" s="87"/>
      <c r="U215" s="87"/>
    </row>
    <row r="216" spans="1:21" ht="18.75" hidden="1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3">
        <f ca="1">IFERROR(__xludf.DUMMYFUNCTION("IMPORTRANGE(""https://docs.google.com/spreadsheets/d/1eHaY18a8A9IcSdp1K8H6x8fbOy06t2VsZHhMHf-1x7Y/edit?usp=sharing"",""แผน!AM67"")"),0)</f>
        <v>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hidden="1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3">
        <f ca="1">IFERROR(__xludf.DUMMYFUNCTION("IMPORTRANGE(""https://docs.google.com/spreadsheets/d/1eHaY18a8A9IcSdp1K8H6x8fbOy06t2VsZHhMHf-1x7Y/edit?usp=sharing"",""แผน!AN67"")"),0)</f>
        <v>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hidden="1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3">
        <f ca="1">IFERROR(__xludf.DUMMYFUNCTION("IMPORTRANGE(""https://docs.google.com/spreadsheets/d/1eHaY18a8A9IcSdp1K8H6x8fbOy06t2VsZHhMHf-1x7Y/edit?usp=sharing"",""แผน!AO67"")"),0)</f>
        <v>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hidden="1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282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hidden="1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3" t="s">
        <v>85</v>
      </c>
      <c r="I220" s="293">
        <f ca="1">IFERROR(__xludf.DUMMYFUNCTION("IMPORTRANGE(""https://docs.google.com/spreadsheets/d/1eHaY18a8A9IcSdp1K8H6x8fbOy06t2VsZHhMHf-1x7Y/edit?usp=sharing"",""แผน!AP67"")"),0)</f>
        <v>0</v>
      </c>
      <c r="J220" s="294">
        <v>0</v>
      </c>
      <c r="K220" s="74">
        <f t="shared" ref="K220:K222" ca="1" si="148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hidden="1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IFERROR(__xludf.DUMMYFUNCTION("IMPORTRANGE(""https://docs.google.com/spreadsheets/d/1eHaY18a8A9IcSdp1K8H6x8fbOy06t2VsZHhMHf-1x7Y/edit?usp=sharing"",""แผน!AP67"")"),0)</f>
        <v>0</v>
      </c>
      <c r="J221" s="294">
        <v>0</v>
      </c>
      <c r="K221" s="74">
        <f t="shared" ca="1" si="148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30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9">I230</f>
        <v>20000</v>
      </c>
      <c r="J222" s="559">
        <f t="shared" si="149"/>
        <v>0</v>
      </c>
      <c r="K222" s="560">
        <f t="shared" ca="1" si="148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58"/>
      <c r="C223" s="259" t="s">
        <v>18</v>
      </c>
      <c r="D223" s="112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1257">
        <f ca="1">L224+L225+L226</f>
        <v>4500</v>
      </c>
      <c r="M223" s="87"/>
      <c r="N223" s="264">
        <f>N224+N225+N226</f>
        <v>0</v>
      </c>
      <c r="O223" s="264">
        <f ca="1">IF(L223&gt;0,N223*100/L223,0)</f>
        <v>0</v>
      </c>
      <c r="P223" s="264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58"/>
      <c r="D224" s="398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3">
        <f ca="1">IFERROR(__xludf.DUMMYFUNCTION("IMPORTRANGE(""https://docs.google.com/spreadsheets/d/1eHaY18a8A9IcSdp1K8H6x8fbOy06t2VsZHhMHf-1x7Y/edit?usp=sharing"",""แผน!AR67"")"),3000)</f>
        <v>3000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3">
        <f ca="1">IFERROR(__xludf.DUMMYFUNCTION("IMPORTRANGE(""https://docs.google.com/spreadsheets/d/1eHaY18a8A9IcSdp1K8H6x8fbOy06t2VsZHhMHf-1x7Y/edit?usp=sharing"",""แผน!AS67"")"),1500)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3">
        <f ca="1">IFERROR(__xludf.DUMMYFUNCTION("IMPORTRANGE(""https://docs.google.com/spreadsheets/d/1eHaY18a8A9IcSdp1K8H6x8fbOy06t2VsZHhMHf-1x7Y/edit?usp=sharing"",""แผน!AT67"")"),0)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282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282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99" t="s">
        <v>99</v>
      </c>
      <c r="I229" s="293">
        <f ca="1">IFERROR(__xludf.DUMMYFUNCTION("IMPORTRANGE(""https://docs.google.com/spreadsheets/d/1eHaY18a8A9IcSdp1K8H6x8fbOy06t2VsZHhMHf-1x7Y/edit?usp=sharing"",""แผน!AV67"")"),20000)</f>
        <v>20000</v>
      </c>
      <c r="J229" s="294">
        <v>0</v>
      </c>
      <c r="K229" s="768">
        <f t="shared" ref="K229:K232" ca="1" si="150">IF(I229&gt;0,J229*100/I229,0)</f>
        <v>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99" t="s">
        <v>99</v>
      </c>
      <c r="I230" s="293">
        <f ca="1">IFERROR(__xludf.DUMMYFUNCTION("IMPORTRANGE(""https://docs.google.com/spreadsheets/d/1eHaY18a8A9IcSdp1K8H6x8fbOy06t2VsZHhMHf-1x7Y/edit?usp=sharing"",""แผน!AV67"")"),20000)</f>
        <v>20000</v>
      </c>
      <c r="J230" s="294">
        <v>0</v>
      </c>
      <c r="K230" s="768">
        <f t="shared" ca="1" si="150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99" t="s">
        <v>35</v>
      </c>
      <c r="I231" s="293">
        <f ca="1">IFERROR(__xludf.DUMMYFUNCTION("IMPORTRANGE(""https://docs.google.com/spreadsheets/d/1eHaY18a8A9IcSdp1K8H6x8fbOy06t2VsZHhMHf-1x7Y/edit?usp=sharing"",""แผน!AU67"")"),0)</f>
        <v>0</v>
      </c>
      <c r="J231" s="294">
        <v>0</v>
      </c>
      <c r="K231" s="768">
        <f t="shared" ca="1" si="150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553"/>
      <c r="B232" s="555"/>
      <c r="C232" s="1130" t="s">
        <v>105</v>
      </c>
      <c r="D232" s="554"/>
      <c r="E232" s="554"/>
      <c r="F232" s="554"/>
      <c r="G232" s="557"/>
      <c r="H232" s="558" t="s">
        <v>35</v>
      </c>
      <c r="I232" s="559">
        <f t="shared" ref="I232:J232" ca="1" si="151">I243+I254</f>
        <v>0</v>
      </c>
      <c r="J232" s="559">
        <f t="shared" si="151"/>
        <v>0</v>
      </c>
      <c r="K232" s="560">
        <f t="shared" ca="1" si="150"/>
        <v>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257"/>
      <c r="B233" s="258"/>
      <c r="C233" s="259" t="s">
        <v>18</v>
      </c>
      <c r="D233" s="260" t="s">
        <v>19</v>
      </c>
      <c r="E233" s="258"/>
      <c r="F233" s="258"/>
      <c r="G233" s="261"/>
      <c r="H233" s="633" t="s">
        <v>14</v>
      </c>
      <c r="I233" s="272"/>
      <c r="J233" s="272"/>
      <c r="K233" s="229"/>
      <c r="L233" s="1281">
        <f t="shared" ref="L233:L237" ca="1" si="152">L244+L255</f>
        <v>0</v>
      </c>
      <c r="M233" s="87"/>
      <c r="N233" s="1258">
        <f t="shared" ref="N233:N237" si="153">N244+N255</f>
        <v>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257"/>
      <c r="B234" s="269"/>
      <c r="C234" s="258"/>
      <c r="D234" s="267" t="s">
        <v>86</v>
      </c>
      <c r="E234" s="258"/>
      <c r="F234" s="258"/>
      <c r="G234" s="261"/>
      <c r="H234" s="271" t="s">
        <v>14</v>
      </c>
      <c r="I234" s="272"/>
      <c r="J234" s="272"/>
      <c r="K234" s="229"/>
      <c r="L234" s="76">
        <f t="shared" ca="1" si="152"/>
        <v>0</v>
      </c>
      <c r="M234" s="87"/>
      <c r="N234" s="77">
        <f t="shared" si="153"/>
        <v>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550"/>
      <c r="B235" s="269"/>
      <c r="C235" s="269"/>
      <c r="D235" s="267" t="s">
        <v>88</v>
      </c>
      <c r="E235" s="258"/>
      <c r="F235" s="258"/>
      <c r="G235" s="261"/>
      <c r="H235" s="271" t="s">
        <v>14</v>
      </c>
      <c r="I235" s="263"/>
      <c r="J235" s="263"/>
      <c r="K235" s="87"/>
      <c r="L235" s="76">
        <f t="shared" ca="1" si="152"/>
        <v>0</v>
      </c>
      <c r="M235" s="87"/>
      <c r="N235" s="77">
        <f t="shared" si="153"/>
        <v>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550"/>
      <c r="B236" s="269"/>
      <c r="C236" s="269"/>
      <c r="D236" s="267" t="s">
        <v>106</v>
      </c>
      <c r="E236" s="258"/>
      <c r="F236" s="258"/>
      <c r="G236" s="261"/>
      <c r="H236" s="271" t="s">
        <v>14</v>
      </c>
      <c r="I236" s="263"/>
      <c r="J236" s="263"/>
      <c r="K236" s="87"/>
      <c r="L236" s="76">
        <f t="shared" ca="1" si="152"/>
        <v>0</v>
      </c>
      <c r="M236" s="87"/>
      <c r="N236" s="77">
        <f t="shared" si="153"/>
        <v>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550"/>
      <c r="B237" s="269"/>
      <c r="C237" s="269"/>
      <c r="D237" s="267" t="s">
        <v>107</v>
      </c>
      <c r="E237" s="258"/>
      <c r="F237" s="258"/>
      <c r="G237" s="261"/>
      <c r="H237" s="271" t="s">
        <v>14</v>
      </c>
      <c r="I237" s="263"/>
      <c r="J237" s="263"/>
      <c r="K237" s="87"/>
      <c r="L237" s="76">
        <f t="shared" ca="1" si="152"/>
        <v>0</v>
      </c>
      <c r="M237" s="87"/>
      <c r="N237" s="77">
        <f t="shared" si="153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276"/>
      <c r="B238" s="277"/>
      <c r="C238" s="621" t="s">
        <v>18</v>
      </c>
      <c r="D238" s="1019" t="s">
        <v>38</v>
      </c>
      <c r="E238" s="280"/>
      <c r="F238" s="280"/>
      <c r="G238" s="281"/>
      <c r="H238" s="282"/>
      <c r="I238" s="272"/>
      <c r="J238" s="263"/>
      <c r="K238" s="87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276"/>
      <c r="B239" s="277"/>
      <c r="C239" s="277"/>
      <c r="D239" s="295" t="s">
        <v>108</v>
      </c>
      <c r="E239" s="296"/>
      <c r="F239" s="296"/>
      <c r="G239" s="282"/>
      <c r="H239" s="299" t="s">
        <v>35</v>
      </c>
      <c r="I239" s="293">
        <f t="shared" ref="I239:J239" ca="1" si="154">I250+I261</f>
        <v>0</v>
      </c>
      <c r="J239" s="293">
        <f t="shared" si="154"/>
        <v>0</v>
      </c>
      <c r="K239" s="74">
        <f ca="1">IF(I239&gt;0,J239*100/I239,0)</f>
        <v>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276"/>
      <c r="B240" s="277"/>
      <c r="C240" s="277"/>
      <c r="D240" s="1103" t="s">
        <v>43</v>
      </c>
      <c r="E240" s="296"/>
      <c r="F240" s="296"/>
      <c r="G240" s="282"/>
      <c r="H240" s="282"/>
      <c r="I240" s="263"/>
      <c r="J240" s="263"/>
      <c r="K240" s="87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276"/>
      <c r="B241" s="277"/>
      <c r="C241" s="277"/>
      <c r="D241" s="277"/>
      <c r="E241" s="767" t="s">
        <v>109</v>
      </c>
      <c r="F241" s="296"/>
      <c r="G241" s="282"/>
      <c r="H241" s="299" t="s">
        <v>35</v>
      </c>
      <c r="I241" s="293">
        <f t="shared" ref="I241:J242" si="155">I252+I263</f>
        <v>0</v>
      </c>
      <c r="J241" s="293">
        <f t="shared" si="155"/>
        <v>0</v>
      </c>
      <c r="K241" s="74">
        <f t="shared" ref="K241:K243" si="156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276"/>
      <c r="B242" s="277"/>
      <c r="C242" s="277"/>
      <c r="D242" s="277"/>
      <c r="E242" s="767" t="s">
        <v>110</v>
      </c>
      <c r="F242" s="296"/>
      <c r="G242" s="282"/>
      <c r="H242" s="299" t="s">
        <v>61</v>
      </c>
      <c r="I242" s="293">
        <f t="shared" si="155"/>
        <v>0</v>
      </c>
      <c r="J242" s="293">
        <f t="shared" si="155"/>
        <v>0</v>
      </c>
      <c r="K242" s="74">
        <f t="shared" si="156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hidden="1" x14ac:dyDescent="0.3">
      <c r="A243" s="553"/>
      <c r="B243" s="555"/>
      <c r="C243" s="927" t="s">
        <v>111</v>
      </c>
      <c r="D243" s="554"/>
      <c r="E243" s="554"/>
      <c r="F243" s="554"/>
      <c r="G243" s="557"/>
      <c r="H243" s="930" t="s">
        <v>35</v>
      </c>
      <c r="I243" s="931">
        <f t="shared" ref="I243:J243" ca="1" si="157">I250</f>
        <v>0</v>
      </c>
      <c r="J243" s="931">
        <f t="shared" si="157"/>
        <v>0</v>
      </c>
      <c r="K243" s="932">
        <f t="shared" ca="1" si="156"/>
        <v>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hidden="1" x14ac:dyDescent="0.3">
      <c r="A244" s="257"/>
      <c r="B244" s="258"/>
      <c r="C244" s="933" t="s">
        <v>18</v>
      </c>
      <c r="D244" s="934" t="s">
        <v>19</v>
      </c>
      <c r="E244" s="258"/>
      <c r="F244" s="258"/>
      <c r="G244" s="261"/>
      <c r="H244" s="703" t="s">
        <v>14</v>
      </c>
      <c r="I244" s="272"/>
      <c r="J244" s="272"/>
      <c r="K244" s="229"/>
      <c r="L244" s="1257">
        <f ca="1">L245+L246+L247+L248</f>
        <v>0</v>
      </c>
      <c r="M244" s="87"/>
      <c r="N244" s="264">
        <f>N245+N246+N247+N248</f>
        <v>0</v>
      </c>
      <c r="O244" s="264">
        <f ca="1">IF(L244&gt;0,N244*100/L244,0)</f>
        <v>0</v>
      </c>
      <c r="P244" s="264">
        <f>IF(M244&gt;0,N244*100/M244,0)</f>
        <v>0</v>
      </c>
      <c r="Q244" s="87"/>
      <c r="R244" s="87"/>
      <c r="S244" s="87"/>
      <c r="T244" s="87"/>
      <c r="U244" s="87"/>
    </row>
    <row r="245" spans="1:21" ht="18.75" hidden="1" x14ac:dyDescent="0.25">
      <c r="A245" s="257"/>
      <c r="B245" s="269"/>
      <c r="C245" s="258"/>
      <c r="D245" s="265" t="s">
        <v>86</v>
      </c>
      <c r="E245" s="258"/>
      <c r="F245" s="258"/>
      <c r="G245" s="261"/>
      <c r="H245" s="273" t="s">
        <v>14</v>
      </c>
      <c r="I245" s="272"/>
      <c r="J245" s="272"/>
      <c r="K245" s="229"/>
      <c r="L245" s="73">
        <f ca="1">IFERROR(__xludf.DUMMYFUNCTION("IMPORTRANGE(""https://docs.google.com/spreadsheets/d/1eHaY18a8A9IcSdp1K8H6x8fbOy06t2VsZHhMHf-1x7Y/edit?usp=sharing"",""แผน!AX67"")"),0)</f>
        <v>0</v>
      </c>
      <c r="M245" s="87"/>
      <c r="N245" s="924">
        <v>0</v>
      </c>
      <c r="O245" s="87"/>
      <c r="P245" s="87"/>
      <c r="Q245" s="87"/>
      <c r="R245" s="87"/>
      <c r="S245" s="87"/>
      <c r="T245" s="87"/>
      <c r="U245" s="87"/>
    </row>
    <row r="246" spans="1:21" ht="18.75" hidden="1" x14ac:dyDescent="0.25">
      <c r="A246" s="550"/>
      <c r="B246" s="269"/>
      <c r="C246" s="269"/>
      <c r="D246" s="265" t="s">
        <v>88</v>
      </c>
      <c r="E246" s="258"/>
      <c r="F246" s="258"/>
      <c r="G246" s="261"/>
      <c r="H246" s="273" t="s">
        <v>14</v>
      </c>
      <c r="I246" s="263"/>
      <c r="J246" s="263"/>
      <c r="K246" s="87"/>
      <c r="L246" s="73">
        <f ca="1">IFERROR(__xludf.DUMMYFUNCTION("IMPORTRANGE(""https://docs.google.com/spreadsheets/d/1eHaY18a8A9IcSdp1K8H6x8fbOy06t2VsZHhMHf-1x7Y/edit?usp=sharing"",""แผน!AY67"")"),0)</f>
        <v>0</v>
      </c>
      <c r="M246" s="87"/>
      <c r="N246" s="924">
        <v>0</v>
      </c>
      <c r="O246" s="87"/>
      <c r="P246" s="87"/>
      <c r="Q246" s="87"/>
      <c r="R246" s="87"/>
      <c r="S246" s="87"/>
      <c r="T246" s="87"/>
      <c r="U246" s="87"/>
    </row>
    <row r="247" spans="1:21" ht="18.75" hidden="1" x14ac:dyDescent="0.25">
      <c r="A247" s="550"/>
      <c r="B247" s="269"/>
      <c r="C247" s="269"/>
      <c r="D247" s="265" t="s">
        <v>106</v>
      </c>
      <c r="E247" s="258"/>
      <c r="F247" s="258"/>
      <c r="G247" s="261"/>
      <c r="H247" s="273" t="s">
        <v>14</v>
      </c>
      <c r="I247" s="263"/>
      <c r="J247" s="263"/>
      <c r="K247" s="87"/>
      <c r="L247" s="73">
        <f ca="1">IFERROR(__xludf.DUMMYFUNCTION("IMPORTRANGE(""https://docs.google.com/spreadsheets/d/1eHaY18a8A9IcSdp1K8H6x8fbOy06t2VsZHhMHf-1x7Y/edit?usp=sharing"",""แผน!AZ67"")"),0)</f>
        <v>0</v>
      </c>
      <c r="M247" s="87"/>
      <c r="N247" s="924">
        <v>0</v>
      </c>
      <c r="O247" s="87"/>
      <c r="P247" s="87"/>
      <c r="Q247" s="87"/>
      <c r="R247" s="87"/>
      <c r="S247" s="87"/>
      <c r="T247" s="87"/>
      <c r="U247" s="87"/>
    </row>
    <row r="248" spans="1:21" ht="18.75" hidden="1" x14ac:dyDescent="0.25">
      <c r="A248" s="550"/>
      <c r="B248" s="269"/>
      <c r="C248" s="269"/>
      <c r="D248" s="265" t="s">
        <v>107</v>
      </c>
      <c r="E248" s="258"/>
      <c r="F248" s="258"/>
      <c r="G248" s="261"/>
      <c r="H248" s="273" t="s">
        <v>14</v>
      </c>
      <c r="I248" s="263"/>
      <c r="J248" s="263"/>
      <c r="K248" s="87"/>
      <c r="L248" s="73">
        <f ca="1">IFERROR(__xludf.DUMMYFUNCTION("IMPORTRANGE(""https://docs.google.com/spreadsheets/d/1eHaY18a8A9IcSdp1K8H6x8fbOy06t2VsZHhMHf-1x7Y/edit?usp=sharing"",""แผน!BA67"")"),0)</f>
        <v>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hidden="1" x14ac:dyDescent="0.3">
      <c r="A249" s="276"/>
      <c r="B249" s="277"/>
      <c r="C249" s="939" t="s">
        <v>18</v>
      </c>
      <c r="D249" s="940" t="s">
        <v>38</v>
      </c>
      <c r="E249" s="280"/>
      <c r="F249" s="280"/>
      <c r="G249" s="281"/>
      <c r="H249" s="282"/>
      <c r="I249" s="272"/>
      <c r="J249" s="263"/>
      <c r="K249" s="87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hidden="1" x14ac:dyDescent="0.25">
      <c r="A250" s="276"/>
      <c r="B250" s="277"/>
      <c r="C250" s="277"/>
      <c r="D250" s="311" t="s">
        <v>108</v>
      </c>
      <c r="E250" s="296"/>
      <c r="F250" s="296"/>
      <c r="G250" s="282"/>
      <c r="H250" s="945" t="s">
        <v>35</v>
      </c>
      <c r="I250" s="592">
        <f ca="1">IFERROR(__xludf.DUMMYFUNCTION("IMPORTRANGE(""https://docs.google.com/spreadsheets/d/1eHaY18a8A9IcSdp1K8H6x8fbOy06t2VsZHhMHf-1x7Y/edit?usp=sharing"",""แผน!BG67"")"),0)</f>
        <v>0</v>
      </c>
      <c r="J250" s="910">
        <v>0</v>
      </c>
      <c r="K250" s="77">
        <f ca="1">IF(I250&gt;0,J250*100/I250,0)</f>
        <v>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hidden="1" x14ac:dyDescent="0.25">
      <c r="A251" s="276"/>
      <c r="B251" s="277"/>
      <c r="C251" s="277"/>
      <c r="D251" s="946" t="s">
        <v>43</v>
      </c>
      <c r="E251" s="296"/>
      <c r="F251" s="296"/>
      <c r="G251" s="282"/>
      <c r="H251" s="282"/>
      <c r="I251" s="263"/>
      <c r="J251" s="263"/>
      <c r="K251" s="87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hidden="1" x14ac:dyDescent="0.25">
      <c r="A252" s="276"/>
      <c r="B252" s="277"/>
      <c r="C252" s="277"/>
      <c r="D252" s="277"/>
      <c r="E252" s="947" t="s">
        <v>109</v>
      </c>
      <c r="F252" s="296"/>
      <c r="G252" s="282"/>
      <c r="H252" s="945" t="s">
        <v>35</v>
      </c>
      <c r="I252" s="592">
        <v>0</v>
      </c>
      <c r="J252" s="910">
        <v>0</v>
      </c>
      <c r="K252" s="77">
        <f t="shared" ref="K252:K254" si="158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hidden="1" x14ac:dyDescent="0.25">
      <c r="A253" s="276"/>
      <c r="B253" s="277"/>
      <c r="C253" s="277"/>
      <c r="D253" s="277"/>
      <c r="E253" s="947" t="s">
        <v>110</v>
      </c>
      <c r="F253" s="296"/>
      <c r="G253" s="282"/>
      <c r="H253" s="945" t="s">
        <v>61</v>
      </c>
      <c r="I253" s="592">
        <v>0</v>
      </c>
      <c r="J253" s="910">
        <v>0</v>
      </c>
      <c r="K253" s="77">
        <f t="shared" si="158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553"/>
      <c r="B254" s="555"/>
      <c r="C254" s="927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9">I261</f>
        <v>0</v>
      </c>
      <c r="J254" s="931">
        <f t="shared" si="159"/>
        <v>0</v>
      </c>
      <c r="K254" s="932">
        <f t="shared" ca="1" si="158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257"/>
      <c r="B255" s="258"/>
      <c r="C255" s="933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1257">
        <f ca="1">L256+L257+L258+L259</f>
        <v>0</v>
      </c>
      <c r="M255" s="87"/>
      <c r="N255" s="264">
        <f>N256+N257+N258+N259</f>
        <v>0</v>
      </c>
      <c r="O255" s="264">
        <f ca="1">IF(L255&gt;0,N255*100/L255,0)</f>
        <v>0</v>
      </c>
      <c r="P255" s="264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257"/>
      <c r="B256" s="269"/>
      <c r="C256" s="258"/>
      <c r="D256" s="265" t="s">
        <v>86</v>
      </c>
      <c r="E256" s="258"/>
      <c r="F256" s="258"/>
      <c r="G256" s="261"/>
      <c r="H256" s="273" t="s">
        <v>14</v>
      </c>
      <c r="I256" s="272"/>
      <c r="J256" s="272"/>
      <c r="K256" s="229"/>
      <c r="L256" s="73">
        <f ca="1">IFERROR(__xludf.DUMMYFUNCTION("IMPORTRANGE(""https://docs.google.com/spreadsheets/d/1eHaY18a8A9IcSdp1K8H6x8fbOy06t2VsZHhMHf-1x7Y/edit?usp=sharing"",""แผน!BB67"")"),0)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265" t="s">
        <v>88</v>
      </c>
      <c r="E257" s="258"/>
      <c r="F257" s="258"/>
      <c r="G257" s="261"/>
      <c r="H257" s="273" t="s">
        <v>14</v>
      </c>
      <c r="I257" s="263"/>
      <c r="J257" s="263"/>
      <c r="K257" s="87"/>
      <c r="L257" s="73">
        <f ca="1">IFERROR(__xludf.DUMMYFUNCTION("IMPORTRANGE(""https://docs.google.com/spreadsheets/d/1eHaY18a8A9IcSdp1K8H6x8fbOy06t2VsZHhMHf-1x7Y/edit?usp=sharing"",""แผน!BC67"")"),0)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265" t="s">
        <v>106</v>
      </c>
      <c r="E258" s="258"/>
      <c r="F258" s="258"/>
      <c r="G258" s="261"/>
      <c r="H258" s="273" t="s">
        <v>14</v>
      </c>
      <c r="I258" s="263"/>
      <c r="J258" s="263"/>
      <c r="K258" s="87"/>
      <c r="L258" s="73">
        <f ca="1">IFERROR(__xludf.DUMMYFUNCTION("IMPORTRANGE(""https://docs.google.com/spreadsheets/d/1eHaY18a8A9IcSdp1K8H6x8fbOy06t2VsZHhMHf-1x7Y/edit?usp=sharing"",""แผน!BD67"")"),0)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5" t="s">
        <v>107</v>
      </c>
      <c r="E259" s="258"/>
      <c r="F259" s="258"/>
      <c r="G259" s="261"/>
      <c r="H259" s="273" t="s">
        <v>14</v>
      </c>
      <c r="I259" s="263"/>
      <c r="J259" s="263"/>
      <c r="K259" s="87"/>
      <c r="L259" s="73">
        <f ca="1">IFERROR(__xludf.DUMMYFUNCTION("IMPORTRANGE(""https://docs.google.com/spreadsheets/d/1eHaY18a8A9IcSdp1K8H6x8fbOy06t2VsZHhMHf-1x7Y/edit?usp=sharing"",""แผน!BE67"")"),0)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945" t="s">
        <v>35</v>
      </c>
      <c r="I261" s="592">
        <f ca="1">IFERROR(__xludf.DUMMYFUNCTION("IMPORTRANGE(""https://docs.google.com/spreadsheets/d/1eHaY18a8A9IcSdp1K8H6x8fbOy06t2VsZHhMHf-1x7Y/edit?usp=sharing"",""แผน!BH67"")"),0)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282"/>
      <c r="I262" s="263"/>
      <c r="J262" s="263"/>
      <c r="K262" s="87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945" t="s">
        <v>35</v>
      </c>
      <c r="I263" s="263"/>
      <c r="J263" s="910">
        <v>0</v>
      </c>
      <c r="K263" s="77">
        <f t="shared" ref="K263:K264" si="160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945" t="s">
        <v>61</v>
      </c>
      <c r="I264" s="263"/>
      <c r="J264" s="910">
        <v>0</v>
      </c>
      <c r="K264" s="77">
        <f t="shared" si="160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1314"/>
      <c r="C265" s="1314"/>
      <c r="D265" s="1315"/>
      <c r="E265" s="1315"/>
      <c r="F265" s="1315"/>
      <c r="G265" s="1316"/>
      <c r="H265" s="1316"/>
      <c r="I265" s="1317"/>
      <c r="J265" s="1317"/>
      <c r="K265" s="1318"/>
      <c r="L265" s="1319"/>
      <c r="M265" s="1318"/>
      <c r="N265" s="1318"/>
      <c r="O265" s="1318"/>
      <c r="P265" s="1318"/>
      <c r="Q265" s="1318"/>
      <c r="R265" s="1318"/>
      <c r="S265" s="1318"/>
      <c r="T265" s="1318"/>
      <c r="U265" s="1318"/>
    </row>
    <row r="266" spans="1:21" ht="19.5" x14ac:dyDescent="0.3">
      <c r="A266" s="1247"/>
      <c r="B266" s="537" t="s">
        <v>114</v>
      </c>
      <c r="C266" s="1248"/>
      <c r="D266" s="1249"/>
      <c r="E266" s="1249"/>
      <c r="F266" s="1249"/>
      <c r="G266" s="1250"/>
      <c r="H266" s="371" t="s">
        <v>35</v>
      </c>
      <c r="I266" s="1140">
        <f t="shared" ref="I266:J266" ca="1" si="161">I277</f>
        <v>24</v>
      </c>
      <c r="J266" s="1140">
        <f t="shared" si="161"/>
        <v>0</v>
      </c>
      <c r="K266" s="373">
        <f ca="1">IF(I266&gt;0,J266*100/I266,0)</f>
        <v>0</v>
      </c>
      <c r="L266" s="1320"/>
      <c r="M266" s="1321"/>
      <c r="N266" s="1321"/>
      <c r="O266" s="1321"/>
      <c r="P266" s="1321"/>
      <c r="Q266" s="1321"/>
      <c r="R266" s="1321"/>
      <c r="S266" s="1321"/>
      <c r="T266" s="1321"/>
      <c r="U266" s="1321"/>
    </row>
    <row r="267" spans="1:21" ht="19.5" x14ac:dyDescent="0.3">
      <c r="A267" s="1322"/>
      <c r="B267" s="440"/>
      <c r="C267" s="210" t="s">
        <v>18</v>
      </c>
      <c r="D267" s="879" t="s">
        <v>19</v>
      </c>
      <c r="E267" s="440"/>
      <c r="F267" s="440"/>
      <c r="G267" s="1323"/>
      <c r="H267" s="212" t="s">
        <v>14</v>
      </c>
      <c r="I267" s="1217"/>
      <c r="J267" s="1217"/>
      <c r="K267" s="1218"/>
      <c r="L267" s="1262">
        <f t="shared" ref="L267:N267" ca="1" si="162">L268+L269</f>
        <v>0</v>
      </c>
      <c r="M267" s="213">
        <f t="shared" ca="1" si="162"/>
        <v>5000</v>
      </c>
      <c r="N267" s="213">
        <f t="shared" ca="1" si="162"/>
        <v>0</v>
      </c>
      <c r="O267" s="213">
        <f t="shared" ref="O267:O275" ca="1" si="163">IF(L267&gt;0,N267*100/L267,0)</f>
        <v>0</v>
      </c>
      <c r="P267" s="213">
        <f t="shared" ref="P267:P275" ca="1" si="164">IF(M267&gt;0,N267*100/M267,0)</f>
        <v>0</v>
      </c>
      <c r="Q267" s="213">
        <f t="shared" ref="Q267:S267" ca="1" si="165">Q268+Q269</f>
        <v>53440</v>
      </c>
      <c r="R267" s="213">
        <f t="shared" ca="1" si="165"/>
        <v>53440</v>
      </c>
      <c r="S267" s="213">
        <f t="shared" ca="1" si="165"/>
        <v>0</v>
      </c>
      <c r="T267" s="213">
        <f t="shared" ref="T267:T275" ca="1" si="166">IF(Q267&gt;0,S267*100/Q267,0)</f>
        <v>0</v>
      </c>
      <c r="U267" s="213">
        <f t="shared" ref="U267:U275" ca="1" si="167">IF(R267&gt;0,S267*100/R267,0)</f>
        <v>0</v>
      </c>
    </row>
    <row r="268" spans="1:21" ht="18.75" hidden="1" x14ac:dyDescent="0.25">
      <c r="A268" s="1324"/>
      <c r="B268" s="265"/>
      <c r="C268" s="265"/>
      <c r="D268" s="265"/>
      <c r="E268" s="265" t="s">
        <v>20</v>
      </c>
      <c r="F268" s="265"/>
      <c r="G268" s="1325"/>
      <c r="H268" s="266" t="s">
        <v>14</v>
      </c>
      <c r="I268" s="1224"/>
      <c r="J268" s="1224"/>
      <c r="K268" s="133"/>
      <c r="L268" s="76">
        <f t="shared" ref="L268:N269" si="168">L271+L274</f>
        <v>0</v>
      </c>
      <c r="M268" s="77">
        <f t="shared" si="168"/>
        <v>0</v>
      </c>
      <c r="N268" s="77">
        <f t="shared" si="168"/>
        <v>0</v>
      </c>
      <c r="O268" s="77">
        <f t="shared" si="163"/>
        <v>0</v>
      </c>
      <c r="P268" s="77">
        <f t="shared" si="164"/>
        <v>0</v>
      </c>
      <c r="Q268" s="77">
        <f t="shared" ref="Q268:S269" si="169">Q271+Q274</f>
        <v>0</v>
      </c>
      <c r="R268" s="77">
        <f t="shared" si="169"/>
        <v>0</v>
      </c>
      <c r="S268" s="77">
        <f t="shared" si="169"/>
        <v>0</v>
      </c>
      <c r="T268" s="77">
        <f t="shared" si="166"/>
        <v>0</v>
      </c>
      <c r="U268" s="77">
        <f t="shared" si="167"/>
        <v>0</v>
      </c>
    </row>
    <row r="269" spans="1:21" ht="18.75" hidden="1" x14ac:dyDescent="0.25">
      <c r="A269" s="1322"/>
      <c r="B269" s="440"/>
      <c r="C269" s="440"/>
      <c r="D269" s="440"/>
      <c r="E269" s="440" t="s">
        <v>21</v>
      </c>
      <c r="F269" s="440"/>
      <c r="G269" s="1323"/>
      <c r="H269" s="216" t="s">
        <v>14</v>
      </c>
      <c r="I269" s="1217"/>
      <c r="J269" s="1217"/>
      <c r="K269" s="1218"/>
      <c r="L269" s="1261">
        <f t="shared" ca="1" si="168"/>
        <v>0</v>
      </c>
      <c r="M269" s="399">
        <f t="shared" ca="1" si="168"/>
        <v>5000</v>
      </c>
      <c r="N269" s="399">
        <f t="shared" ca="1" si="168"/>
        <v>0</v>
      </c>
      <c r="O269" s="399">
        <f t="shared" ca="1" si="163"/>
        <v>0</v>
      </c>
      <c r="P269" s="399">
        <f t="shared" ca="1" si="164"/>
        <v>0</v>
      </c>
      <c r="Q269" s="399">
        <f t="shared" ca="1" si="169"/>
        <v>53440</v>
      </c>
      <c r="R269" s="399">
        <f t="shared" ca="1" si="169"/>
        <v>53440</v>
      </c>
      <c r="S269" s="399">
        <f t="shared" ca="1" si="169"/>
        <v>0</v>
      </c>
      <c r="T269" s="399">
        <f t="shared" ca="1" si="166"/>
        <v>0</v>
      </c>
      <c r="U269" s="399">
        <f t="shared" ca="1" si="167"/>
        <v>0</v>
      </c>
    </row>
    <row r="270" spans="1:21" ht="18.75" x14ac:dyDescent="0.25">
      <c r="A270" s="1322"/>
      <c r="B270" s="440"/>
      <c r="C270" s="440"/>
      <c r="D270" s="836" t="s">
        <v>22</v>
      </c>
      <c r="E270" s="440"/>
      <c r="F270" s="440"/>
      <c r="G270" s="1323"/>
      <c r="H270" s="218" t="s">
        <v>14</v>
      </c>
      <c r="I270" s="1326"/>
      <c r="J270" s="1326"/>
      <c r="K270" s="1327"/>
      <c r="L270" s="1261">
        <f t="shared" ref="L270:N270" ca="1" si="170">L271+L272</f>
        <v>0</v>
      </c>
      <c r="M270" s="399">
        <f t="shared" ca="1" si="170"/>
        <v>5000</v>
      </c>
      <c r="N270" s="399">
        <f t="shared" ca="1" si="170"/>
        <v>0</v>
      </c>
      <c r="O270" s="399">
        <f t="shared" ca="1" si="163"/>
        <v>0</v>
      </c>
      <c r="P270" s="399">
        <f t="shared" ca="1" si="164"/>
        <v>0</v>
      </c>
      <c r="Q270" s="399">
        <f t="shared" ref="Q270:S270" ca="1" si="171">Q271+Q272</f>
        <v>53440</v>
      </c>
      <c r="R270" s="399">
        <f t="shared" ca="1" si="171"/>
        <v>53440</v>
      </c>
      <c r="S270" s="399">
        <f t="shared" ca="1" si="171"/>
        <v>0</v>
      </c>
      <c r="T270" s="399">
        <f t="shared" ca="1" si="166"/>
        <v>0</v>
      </c>
      <c r="U270" s="399">
        <f t="shared" ca="1" si="167"/>
        <v>0</v>
      </c>
    </row>
    <row r="271" spans="1:21" ht="18.75" hidden="1" x14ac:dyDescent="0.25">
      <c r="A271" s="1324"/>
      <c r="B271" s="265"/>
      <c r="C271" s="265"/>
      <c r="D271" s="265"/>
      <c r="E271" s="265" t="s">
        <v>36</v>
      </c>
      <c r="F271" s="265"/>
      <c r="G271" s="1325"/>
      <c r="H271" s="273" t="s">
        <v>14</v>
      </c>
      <c r="I271" s="1328"/>
      <c r="J271" s="1328"/>
      <c r="K271" s="1329"/>
      <c r="L271" s="76">
        <v>0</v>
      </c>
      <c r="M271" s="77">
        <v>0</v>
      </c>
      <c r="N271" s="77">
        <v>0</v>
      </c>
      <c r="O271" s="77">
        <f t="shared" si="163"/>
        <v>0</v>
      </c>
      <c r="P271" s="77">
        <f t="shared" si="164"/>
        <v>0</v>
      </c>
      <c r="Q271" s="77">
        <v>0</v>
      </c>
      <c r="R271" s="77">
        <v>0</v>
      </c>
      <c r="S271" s="77">
        <v>0</v>
      </c>
      <c r="T271" s="77">
        <f t="shared" si="166"/>
        <v>0</v>
      </c>
      <c r="U271" s="77">
        <f t="shared" si="167"/>
        <v>0</v>
      </c>
    </row>
    <row r="272" spans="1:21" ht="18.75" hidden="1" x14ac:dyDescent="0.25">
      <c r="A272" s="1322"/>
      <c r="B272" s="440"/>
      <c r="C272" s="440"/>
      <c r="D272" s="440"/>
      <c r="E272" s="440" t="s">
        <v>37</v>
      </c>
      <c r="F272" s="440"/>
      <c r="G272" s="1323"/>
      <c r="H272" s="218" t="s">
        <v>14</v>
      </c>
      <c r="I272" s="1326"/>
      <c r="J272" s="1326"/>
      <c r="K272" s="1327"/>
      <c r="L272" s="1261">
        <f ca="1">IFERROR(__xludf.DUMMYFUNCTION("IMPORTRANGE(""https://docs.google.com/spreadsheets/d/1-uDff_7J0KD5mKrp0Vvzr7lt3OU09vwQwhkpOPPYv2Y/edit?usp=sharing"",""งบพรบ!DE67"")"),0)</f>
        <v>0</v>
      </c>
      <c r="M272" s="399">
        <f ca="1">IFERROR(__xludf.DUMMYFUNCTION("IMPORTRANGE(""https://docs.google.com/spreadsheets/d/1-uDff_7J0KD5mKrp0Vvzr7lt3OU09vwQwhkpOPPYv2Y/edit?usp=sharing"",""งบพรบ!DJ67"")"),5000)</f>
        <v>5000</v>
      </c>
      <c r="N272" s="399">
        <f ca="1">IFERROR(__xludf.DUMMYFUNCTION("IMPORTRANGE(""https://docs.google.com/spreadsheets/d/1-uDff_7J0KD5mKrp0Vvzr7lt3OU09vwQwhkpOPPYv2Y/edit?usp=sharing"",""งบพรบ!DL67"")"),0)</f>
        <v>0</v>
      </c>
      <c r="O272" s="399">
        <f t="shared" ca="1" si="163"/>
        <v>0</v>
      </c>
      <c r="P272" s="399">
        <f t="shared" ca="1" si="164"/>
        <v>0</v>
      </c>
      <c r="Q272" s="399">
        <f ca="1">IFERROR(__xludf.DUMMYFUNCTION("IMPORTRANGE(""https://docs.google.com/spreadsheets/d/1ItG2mGa2ceCfYo0BwxsXqNm01IGEUdYcSSLTEv9YCik/edit?usp=sharing"",""เบิกจ่ายกองทุน!AJ67"")"),53440)</f>
        <v>53440</v>
      </c>
      <c r="R272" s="399">
        <f ca="1">IFERROR(__xludf.DUMMYFUNCTION("IMPORTRANGE(""https://docs.google.com/spreadsheets/d/1ItG2mGa2ceCfYo0BwxsXqNm01IGEUdYcSSLTEv9YCik/edit?usp=sharing"",""เบิกจ่ายกองทุน!AK67"")"),53440)</f>
        <v>53440</v>
      </c>
      <c r="S272" s="399">
        <f ca="1">IFERROR(__xludf.DUMMYFUNCTION("IMPORTRANGE(""https://docs.google.com/spreadsheets/d/1ItG2mGa2ceCfYo0BwxsXqNm01IGEUdYcSSLTEv9YCik/edit?usp=sharing"",""เบิกจ่ายกองทุน!AL67"")"),0)</f>
        <v>0</v>
      </c>
      <c r="T272" s="399">
        <f t="shared" ca="1" si="166"/>
        <v>0</v>
      </c>
      <c r="U272" s="399">
        <f t="shared" ca="1" si="167"/>
        <v>0</v>
      </c>
    </row>
    <row r="273" spans="1:21" ht="18.75" x14ac:dyDescent="0.25">
      <c r="A273" s="1322"/>
      <c r="B273" s="440"/>
      <c r="C273" s="440"/>
      <c r="D273" s="836" t="s">
        <v>23</v>
      </c>
      <c r="E273" s="440"/>
      <c r="F273" s="440"/>
      <c r="G273" s="1323"/>
      <c r="H273" s="221" t="s">
        <v>14</v>
      </c>
      <c r="I273" s="1326"/>
      <c r="J273" s="1326"/>
      <c r="K273" s="1327"/>
      <c r="L273" s="1261">
        <f t="shared" ref="L273:N273" ca="1" si="172">L274+L275</f>
        <v>0</v>
      </c>
      <c r="M273" s="399">
        <f t="shared" ca="1" si="172"/>
        <v>0</v>
      </c>
      <c r="N273" s="399">
        <f t="shared" ca="1" si="172"/>
        <v>0</v>
      </c>
      <c r="O273" s="399">
        <f t="shared" ca="1" si="163"/>
        <v>0</v>
      </c>
      <c r="P273" s="399">
        <f t="shared" ca="1" si="164"/>
        <v>0</v>
      </c>
      <c r="Q273" s="399">
        <f t="shared" ref="Q273:S273" si="173">Q274+Q275</f>
        <v>0</v>
      </c>
      <c r="R273" s="399">
        <f t="shared" si="173"/>
        <v>0</v>
      </c>
      <c r="S273" s="399">
        <f t="shared" si="173"/>
        <v>0</v>
      </c>
      <c r="T273" s="399">
        <f t="shared" si="166"/>
        <v>0</v>
      </c>
      <c r="U273" s="399">
        <f t="shared" si="167"/>
        <v>0</v>
      </c>
    </row>
    <row r="274" spans="1:21" ht="18.75" hidden="1" x14ac:dyDescent="0.25">
      <c r="A274" s="1324"/>
      <c r="B274" s="265"/>
      <c r="C274" s="265"/>
      <c r="D274" s="265"/>
      <c r="E274" s="265" t="s">
        <v>20</v>
      </c>
      <c r="F274" s="265"/>
      <c r="G274" s="1325"/>
      <c r="H274" s="273" t="s">
        <v>14</v>
      </c>
      <c r="I274" s="1328"/>
      <c r="J274" s="1328"/>
      <c r="K274" s="1329"/>
      <c r="L274" s="76">
        <v>0</v>
      </c>
      <c r="M274" s="77">
        <v>0</v>
      </c>
      <c r="N274" s="77">
        <v>0</v>
      </c>
      <c r="O274" s="77">
        <f t="shared" si="163"/>
        <v>0</v>
      </c>
      <c r="P274" s="77">
        <f t="shared" si="164"/>
        <v>0</v>
      </c>
      <c r="Q274" s="77">
        <v>0</v>
      </c>
      <c r="R274" s="77">
        <v>0</v>
      </c>
      <c r="S274" s="77">
        <v>0</v>
      </c>
      <c r="T274" s="77">
        <f t="shared" si="166"/>
        <v>0</v>
      </c>
      <c r="U274" s="77">
        <f t="shared" si="167"/>
        <v>0</v>
      </c>
    </row>
    <row r="275" spans="1:21" ht="18.75" hidden="1" x14ac:dyDescent="0.25">
      <c r="A275" s="1322"/>
      <c r="B275" s="440"/>
      <c r="C275" s="440"/>
      <c r="D275" s="440"/>
      <c r="E275" s="440" t="s">
        <v>21</v>
      </c>
      <c r="F275" s="440"/>
      <c r="G275" s="1323"/>
      <c r="H275" s="221" t="s">
        <v>14</v>
      </c>
      <c r="I275" s="1326"/>
      <c r="J275" s="1326"/>
      <c r="K275" s="1327"/>
      <c r="L275" s="1261">
        <f ca="1">IFERROR(__xludf.DUMMYFUNCTION("IMPORTRANGE(""https://docs.google.com/spreadsheets/d/1-uDff_7J0KD5mKrp0Vvzr7lt3OU09vwQwhkpOPPYv2Y/edit?usp=sharing"",""งบพรบ!DH67"")"),0)</f>
        <v>0</v>
      </c>
      <c r="M275" s="399">
        <f ca="1">IFERROR(__xludf.DUMMYFUNCTION("IMPORTRANGE(""https://docs.google.com/spreadsheets/d/1-uDff_7J0KD5mKrp0Vvzr7lt3OU09vwQwhkpOPPYv2Y/edit?usp=sharing"",""งบพรบ!DK67"")"),0)</f>
        <v>0</v>
      </c>
      <c r="N275" s="399">
        <f ca="1">IFERROR(__xludf.DUMMYFUNCTION("IMPORTRANGE(""https://docs.google.com/spreadsheets/d/1-uDff_7J0KD5mKrp0Vvzr7lt3OU09vwQwhkpOPPYv2Y/edit?usp=sharing"",""งบพรบ!DM67"")"),0)</f>
        <v>0</v>
      </c>
      <c r="O275" s="399">
        <f t="shared" ca="1" si="163"/>
        <v>0</v>
      </c>
      <c r="P275" s="399">
        <f t="shared" ca="1" si="164"/>
        <v>0</v>
      </c>
      <c r="Q275" s="399">
        <v>0</v>
      </c>
      <c r="R275" s="399">
        <v>0</v>
      </c>
      <c r="S275" s="399">
        <v>0</v>
      </c>
      <c r="T275" s="399">
        <f t="shared" si="166"/>
        <v>0</v>
      </c>
      <c r="U275" s="399">
        <f t="shared" si="167"/>
        <v>0</v>
      </c>
    </row>
    <row r="276" spans="1:21" ht="19.5" x14ac:dyDescent="0.3">
      <c r="A276" s="1330"/>
      <c r="B276" s="1032"/>
      <c r="C276" s="440" t="s">
        <v>18</v>
      </c>
      <c r="D276" s="883" t="s">
        <v>38</v>
      </c>
      <c r="E276" s="1249"/>
      <c r="F276" s="1249"/>
      <c r="G276" s="1250"/>
      <c r="H276" s="400"/>
      <c r="I276" s="1326"/>
      <c r="J276" s="1326"/>
      <c r="K276" s="1327"/>
      <c r="L276" s="1331"/>
      <c r="M276" s="1327"/>
      <c r="N276" s="1327"/>
      <c r="O276" s="1327"/>
      <c r="P276" s="1327"/>
      <c r="Q276" s="1327"/>
      <c r="R276" s="1327"/>
      <c r="S276" s="1327"/>
      <c r="T276" s="1327"/>
      <c r="U276" s="1327"/>
    </row>
    <row r="277" spans="1:21" ht="18.75" x14ac:dyDescent="0.25">
      <c r="A277" s="1332"/>
      <c r="B277" s="1333"/>
      <c r="C277" s="1333"/>
      <c r="D277" s="951" t="s">
        <v>115</v>
      </c>
      <c r="E277" s="327"/>
      <c r="F277" s="327"/>
      <c r="G277" s="1334"/>
      <c r="H277" s="952" t="s">
        <v>35</v>
      </c>
      <c r="I277" s="329">
        <f ca="1">IFERROR(__xludf.DUMMYFUNCTION("IMPORTRANGE(""https://docs.google.com/spreadsheets/d/1eHaY18a8A9IcSdp1K8H6x8fbOy06t2VsZHhMHf-1x7Y/edit?usp=sharing"",""แผน!EC67"")"),24)</f>
        <v>24</v>
      </c>
      <c r="J277" s="908">
        <v>0</v>
      </c>
      <c r="K277" s="85">
        <f ca="1">IF(I277&gt;0,J277*100/I277,0)</f>
        <v>0</v>
      </c>
      <c r="L277" s="1234"/>
      <c r="M277" s="1218"/>
      <c r="N277" s="1218"/>
      <c r="O277" s="1218"/>
      <c r="P277" s="1218"/>
      <c r="Q277" s="1218"/>
      <c r="R277" s="1218"/>
      <c r="S277" s="1218"/>
      <c r="T277" s="1218"/>
      <c r="U277" s="1218"/>
    </row>
    <row r="278" spans="1:21" ht="18.75" hidden="1" x14ac:dyDescent="0.25">
      <c r="A278" s="1335"/>
      <c r="B278" s="1336"/>
      <c r="C278" s="1336"/>
      <c r="D278" s="1145" t="s">
        <v>116</v>
      </c>
      <c r="E278" s="995"/>
      <c r="F278" s="995"/>
      <c r="G278" s="1337"/>
      <c r="H278" s="1305" t="s">
        <v>35</v>
      </c>
      <c r="I278" s="779">
        <v>0</v>
      </c>
      <c r="J278" s="779">
        <v>0</v>
      </c>
      <c r="K278" s="1147">
        <v>0</v>
      </c>
      <c r="L278" s="1338"/>
      <c r="M278" s="1339"/>
      <c r="N278" s="1339"/>
      <c r="O278" s="1339"/>
      <c r="P278" s="1339"/>
      <c r="Q278" s="1339"/>
      <c r="R278" s="1339"/>
      <c r="S278" s="1339"/>
      <c r="T278" s="1339"/>
      <c r="U278" s="1339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50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3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306" t="s">
        <v>35</v>
      </c>
      <c r="I281" s="1163">
        <f t="shared" ref="I281:J281" ca="1" si="174">I294</f>
        <v>0</v>
      </c>
      <c r="J281" s="1163">
        <f t="shared" si="174"/>
        <v>0</v>
      </c>
      <c r="K281" s="1164">
        <f t="shared" ref="K281:K282" ca="1" si="175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306" t="s">
        <v>46</v>
      </c>
      <c r="I282" s="1163">
        <f t="shared" ref="I282:J282" ca="1" si="176">I293</f>
        <v>0</v>
      </c>
      <c r="J282" s="1163">
        <f t="shared" si="176"/>
        <v>0</v>
      </c>
      <c r="K282" s="1164">
        <f t="shared" ca="1" si="175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1257">
        <f t="shared" ref="L283:N283" ca="1" si="177">L284+L285</f>
        <v>0</v>
      </c>
      <c r="M283" s="264">
        <f t="shared" ca="1" si="177"/>
        <v>0</v>
      </c>
      <c r="N283" s="264">
        <f t="shared" ca="1" si="177"/>
        <v>0</v>
      </c>
      <c r="O283" s="264">
        <f t="shared" ref="O283:O291" ca="1" si="178">IF(L283&gt;0,N283*100/L283,0)</f>
        <v>0</v>
      </c>
      <c r="P283" s="264">
        <f t="shared" ref="P283:P291" ca="1" si="179">IF(M283&gt;0,N283*100/M283,0)</f>
        <v>0</v>
      </c>
      <c r="Q283" s="264">
        <f t="shared" ref="Q283:S283" si="180">Q284+Q285</f>
        <v>0</v>
      </c>
      <c r="R283" s="264">
        <f t="shared" si="180"/>
        <v>0</v>
      </c>
      <c r="S283" s="264">
        <f t="shared" si="180"/>
        <v>0</v>
      </c>
      <c r="T283" s="264">
        <f t="shared" ref="T283:T291" si="181">IF(Q283&gt;0,S283*100/Q283,0)</f>
        <v>0</v>
      </c>
      <c r="U283" s="264">
        <f t="shared" ref="U283:U291" si="182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6">
        <f t="shared" ref="L284:N285" si="183">L287+L290</f>
        <v>0</v>
      </c>
      <c r="M284" s="77">
        <f t="shared" si="183"/>
        <v>0</v>
      </c>
      <c r="N284" s="77">
        <f t="shared" si="183"/>
        <v>0</v>
      </c>
      <c r="O284" s="77">
        <f t="shared" si="178"/>
        <v>0</v>
      </c>
      <c r="P284" s="77">
        <f t="shared" si="179"/>
        <v>0</v>
      </c>
      <c r="Q284" s="77">
        <f t="shared" ref="Q284:S285" si="184">Q287+Q290</f>
        <v>0</v>
      </c>
      <c r="R284" s="77">
        <f t="shared" si="184"/>
        <v>0</v>
      </c>
      <c r="S284" s="77">
        <f t="shared" si="184"/>
        <v>0</v>
      </c>
      <c r="T284" s="77">
        <f t="shared" si="181"/>
        <v>0</v>
      </c>
      <c r="U284" s="77">
        <f t="shared" si="182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3">
        <f t="shared" ca="1" si="183"/>
        <v>0</v>
      </c>
      <c r="M285" s="74">
        <f t="shared" ca="1" si="183"/>
        <v>0</v>
      </c>
      <c r="N285" s="74">
        <f t="shared" ca="1" si="183"/>
        <v>0</v>
      </c>
      <c r="O285" s="74">
        <f t="shared" ca="1" si="178"/>
        <v>0</v>
      </c>
      <c r="P285" s="74">
        <f t="shared" ca="1" si="179"/>
        <v>0</v>
      </c>
      <c r="Q285" s="74">
        <f t="shared" si="184"/>
        <v>0</v>
      </c>
      <c r="R285" s="74">
        <f t="shared" si="184"/>
        <v>0</v>
      </c>
      <c r="S285" s="74">
        <f t="shared" si="184"/>
        <v>0</v>
      </c>
      <c r="T285" s="74">
        <f t="shared" si="181"/>
        <v>0</v>
      </c>
      <c r="U285" s="74">
        <f t="shared" si="182"/>
        <v>0</v>
      </c>
    </row>
    <row r="286" spans="1:21" ht="18.75" hidden="1" x14ac:dyDescent="0.25">
      <c r="A286" s="257"/>
      <c r="B286" s="258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3">
        <f t="shared" ref="L286:N286" ca="1" si="185">L287+L288</f>
        <v>0</v>
      </c>
      <c r="M286" s="74">
        <f t="shared" ca="1" si="185"/>
        <v>0</v>
      </c>
      <c r="N286" s="74">
        <f t="shared" ca="1" si="185"/>
        <v>0</v>
      </c>
      <c r="O286" s="74">
        <f t="shared" ca="1" si="178"/>
        <v>0</v>
      </c>
      <c r="P286" s="74">
        <f t="shared" ca="1" si="179"/>
        <v>0</v>
      </c>
      <c r="Q286" s="74">
        <f t="shared" ref="Q286:S286" si="186">Q287+Q288</f>
        <v>0</v>
      </c>
      <c r="R286" s="74">
        <f t="shared" si="186"/>
        <v>0</v>
      </c>
      <c r="S286" s="74">
        <f t="shared" si="186"/>
        <v>0</v>
      </c>
      <c r="T286" s="74">
        <f t="shared" si="181"/>
        <v>0</v>
      </c>
      <c r="U286" s="74">
        <f t="shared" si="182"/>
        <v>0</v>
      </c>
    </row>
    <row r="287" spans="1:21" ht="18.75" hidden="1" x14ac:dyDescent="0.25">
      <c r="A287" s="257"/>
      <c r="B287" s="258"/>
      <c r="C287" s="258"/>
      <c r="D287" s="258"/>
      <c r="E287" s="26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77">
        <f t="shared" si="178"/>
        <v>0</v>
      </c>
      <c r="P287" s="77">
        <f t="shared" si="179"/>
        <v>0</v>
      </c>
      <c r="Q287" s="77">
        <v>0</v>
      </c>
      <c r="R287" s="77">
        <v>0</v>
      </c>
      <c r="S287" s="77">
        <v>0</v>
      </c>
      <c r="T287" s="77">
        <f t="shared" si="181"/>
        <v>0</v>
      </c>
      <c r="U287" s="77">
        <f t="shared" si="182"/>
        <v>0</v>
      </c>
    </row>
    <row r="288" spans="1:21" ht="18.75" hidden="1" x14ac:dyDescent="0.25">
      <c r="A288" s="257"/>
      <c r="B288" s="258"/>
      <c r="C288" s="258"/>
      <c r="D288" s="258"/>
      <c r="E288" s="267" t="s">
        <v>37</v>
      </c>
      <c r="F288" s="258"/>
      <c r="G288" s="261"/>
      <c r="H288" s="271" t="s">
        <v>14</v>
      </c>
      <c r="I288" s="272"/>
      <c r="J288" s="272"/>
      <c r="K288" s="229"/>
      <c r="L288" s="73">
        <f ca="1">IFERROR(__xludf.DUMMYFUNCTION("IMPORTRANGE(""https://docs.google.com/spreadsheets/d/1-uDff_7J0KD5mKrp0Vvzr7lt3OU09vwQwhkpOPPYv2Y/edit?usp=sharing"",""งบพรบ!DO67"")"),0)</f>
        <v>0</v>
      </c>
      <c r="M288" s="74">
        <f ca="1">IFERROR(__xludf.DUMMYFUNCTION("IMPORTRANGE(""https://docs.google.com/spreadsheets/d/1-uDff_7J0KD5mKrp0Vvzr7lt3OU09vwQwhkpOPPYv2Y/edit?usp=sharing"",""งบพรบ!DT67"")"),0)</f>
        <v>0</v>
      </c>
      <c r="N288" s="74">
        <f ca="1">IFERROR(__xludf.DUMMYFUNCTION("IMPORTRANGE(""https://docs.google.com/spreadsheets/d/1-uDff_7J0KD5mKrp0Vvzr7lt3OU09vwQwhkpOPPYv2Y/edit?usp=sharing"",""งบพรบ!DV67"")"),0)</f>
        <v>0</v>
      </c>
      <c r="O288" s="74">
        <f t="shared" ca="1" si="178"/>
        <v>0</v>
      </c>
      <c r="P288" s="74">
        <f t="shared" ca="1" si="179"/>
        <v>0</v>
      </c>
      <c r="Q288" s="74">
        <v>0</v>
      </c>
      <c r="R288" s="74">
        <v>0</v>
      </c>
      <c r="S288" s="74">
        <v>0</v>
      </c>
      <c r="T288" s="77">
        <f t="shared" si="181"/>
        <v>0</v>
      </c>
      <c r="U288" s="77">
        <f t="shared" si="182"/>
        <v>0</v>
      </c>
    </row>
    <row r="289" spans="1:21" ht="18.75" hidden="1" x14ac:dyDescent="0.25">
      <c r="A289" s="257"/>
      <c r="B289" s="258"/>
      <c r="C289" s="258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3">
        <f t="shared" ref="L289:N289" ca="1" si="187">L290+L291</f>
        <v>0</v>
      </c>
      <c r="M289" s="74">
        <f t="shared" ca="1" si="187"/>
        <v>0</v>
      </c>
      <c r="N289" s="74">
        <f t="shared" ca="1" si="187"/>
        <v>0</v>
      </c>
      <c r="O289" s="74">
        <f t="shared" ca="1" si="178"/>
        <v>0</v>
      </c>
      <c r="P289" s="74">
        <f t="shared" ca="1" si="179"/>
        <v>0</v>
      </c>
      <c r="Q289" s="74">
        <f t="shared" ref="Q289:S289" si="188">Q290+Q291</f>
        <v>0</v>
      </c>
      <c r="R289" s="74">
        <f t="shared" si="188"/>
        <v>0</v>
      </c>
      <c r="S289" s="74">
        <f t="shared" si="188"/>
        <v>0</v>
      </c>
      <c r="T289" s="74">
        <f t="shared" si="181"/>
        <v>0</v>
      </c>
      <c r="U289" s="74">
        <f t="shared" si="182"/>
        <v>0</v>
      </c>
    </row>
    <row r="290" spans="1:21" ht="18.75" hidden="1" x14ac:dyDescent="0.25">
      <c r="A290" s="257"/>
      <c r="B290" s="258"/>
      <c r="C290" s="258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77">
        <f t="shared" si="178"/>
        <v>0</v>
      </c>
      <c r="P290" s="77">
        <f t="shared" si="179"/>
        <v>0</v>
      </c>
      <c r="Q290" s="77">
        <v>0</v>
      </c>
      <c r="R290" s="77">
        <v>0</v>
      </c>
      <c r="S290" s="77">
        <v>0</v>
      </c>
      <c r="T290" s="77">
        <f t="shared" si="181"/>
        <v>0</v>
      </c>
      <c r="U290" s="77">
        <f t="shared" si="182"/>
        <v>0</v>
      </c>
    </row>
    <row r="291" spans="1:21" ht="18.75" hidden="1" x14ac:dyDescent="0.25">
      <c r="A291" s="257"/>
      <c r="B291" s="258"/>
      <c r="C291" s="258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3">
        <f ca="1">IFERROR(__xludf.DUMMYFUNCTION("IMPORTRANGE(""https://docs.google.com/spreadsheets/d/1-uDff_7J0KD5mKrp0Vvzr7lt3OU09vwQwhkpOPPYv2Y/edit?usp=sharing"",""งบพรบ!DR67"")"),0)</f>
        <v>0</v>
      </c>
      <c r="M291" s="74">
        <f ca="1">IFERROR(__xludf.DUMMYFUNCTION("IMPORTRANGE(""https://docs.google.com/spreadsheets/d/1-uDff_7J0KD5mKrp0Vvzr7lt3OU09vwQwhkpOPPYv2Y/edit?usp=sharing"",""งบพรบ!DU67"")"),0)</f>
        <v>0</v>
      </c>
      <c r="N291" s="74">
        <f ca="1">IFERROR(__xludf.DUMMYFUNCTION("IMPORTRANGE(""https://docs.google.com/spreadsheets/d/1-uDff_7J0KD5mKrp0Vvzr7lt3OU09vwQwhkpOPPYv2Y/edit?usp=sharing"",""งบพรบ!DW67"")"),0)</f>
        <v>0</v>
      </c>
      <c r="O291" s="74">
        <f t="shared" ca="1" si="178"/>
        <v>0</v>
      </c>
      <c r="P291" s="74">
        <f t="shared" ca="1" si="179"/>
        <v>0</v>
      </c>
      <c r="Q291" s="74">
        <v>0</v>
      </c>
      <c r="R291" s="74">
        <v>0</v>
      </c>
      <c r="S291" s="74">
        <v>0</v>
      </c>
      <c r="T291" s="74">
        <f t="shared" si="181"/>
        <v>0</v>
      </c>
      <c r="U291" s="74">
        <f t="shared" si="182"/>
        <v>0</v>
      </c>
    </row>
    <row r="292" spans="1:21" ht="19.5" hidden="1" x14ac:dyDescent="0.3">
      <c r="A292" s="276"/>
      <c r="B292" s="277"/>
      <c r="C292" s="259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IFERROR(__xludf.DUMMYFUNCTION("IMPORTRANGE(""https://docs.google.com/spreadsheets/d/1eHaY18a8A9IcSdp1K8H6x8fbOy06t2VsZHhMHf-1x7Y/edit?usp=sharing"",""แผน!EE67"")"),0)</f>
        <v>0</v>
      </c>
      <c r="J293" s="294">
        <v>0</v>
      </c>
      <c r="K293" s="768">
        <f t="shared" ref="K293:K294" ca="1" si="189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IFERROR(__xludf.DUMMYFUNCTION("IMPORTRANGE(""https://docs.google.com/spreadsheets/d/1eHaY18a8A9IcSdp1K8H6x8fbOy06t2VsZHhMHf-1x7Y/edit?usp=sharing"",""แผน!ED67"")"),0)</f>
        <v>0</v>
      </c>
      <c r="J294" s="622">
        <f>J297</f>
        <v>0</v>
      </c>
      <c r="K294" s="1105">
        <f t="shared" ca="1" si="189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96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IFERROR(__xludf.DUMMYFUNCTION("IMPORTRANGE(""https://docs.google.com/spreadsheets/d/1eHaY18a8A9IcSdp1K8H6x8fbOy06t2VsZHhMHf-1x7Y/edit?usp=sharing"",""แผน!ED67"")"),0)</f>
        <v>0</v>
      </c>
      <c r="J296" s="294">
        <v>0</v>
      </c>
      <c r="K296" s="768">
        <f t="shared" ref="K296:K297" ca="1" si="190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IFERROR(__xludf.DUMMYFUNCTION("IMPORTRANGE(""https://docs.google.com/spreadsheets/d/1eHaY18a8A9IcSdp1K8H6x8fbOy06t2VsZHhMHf-1x7Y/edit?usp=sharing"",""แผน!ED67"")"),0)</f>
        <v>0</v>
      </c>
      <c r="J297" s="294">
        <v>0</v>
      </c>
      <c r="K297" s="768">
        <f t="shared" ca="1" si="190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286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286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041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1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6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x14ac:dyDescent="0.3">
      <c r="A303" s="1179"/>
      <c r="B303" s="1180" t="s">
        <v>127</v>
      </c>
      <c r="C303" s="607"/>
      <c r="D303" s="607"/>
      <c r="E303" s="607"/>
      <c r="F303" s="607"/>
      <c r="G303" s="608"/>
      <c r="H303" s="1307" t="s">
        <v>35</v>
      </c>
      <c r="I303" s="617">
        <f t="shared" ref="I303:J303" ca="1" si="191">I315</f>
        <v>30</v>
      </c>
      <c r="J303" s="617">
        <f t="shared" si="191"/>
        <v>0</v>
      </c>
      <c r="K303" s="611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1257">
        <f t="shared" ref="L304:N304" ca="1" si="192">L305+L306</f>
        <v>0</v>
      </c>
      <c r="M304" s="264">
        <f t="shared" ca="1" si="192"/>
        <v>0</v>
      </c>
      <c r="N304" s="264">
        <f t="shared" ca="1" si="192"/>
        <v>0</v>
      </c>
      <c r="O304" s="264">
        <f t="shared" ref="O304:O312" ca="1" si="193">IF(L304&gt;0,N304*100/L304,0)</f>
        <v>0</v>
      </c>
      <c r="P304" s="264">
        <f t="shared" ref="P304:P312" ca="1" si="194">IF(M304&gt;0,N304*100/M304,0)</f>
        <v>0</v>
      </c>
      <c r="Q304" s="264">
        <f t="shared" ref="Q304:S304" ca="1" si="195">Q305+Q306</f>
        <v>260958.39</v>
      </c>
      <c r="R304" s="264">
        <f t="shared" ca="1" si="195"/>
        <v>260958</v>
      </c>
      <c r="S304" s="264">
        <f t="shared" ca="1" si="195"/>
        <v>0</v>
      </c>
      <c r="T304" s="264">
        <f t="shared" ref="T304:T312" ca="1" si="196">IF(Q304&gt;0,S304*100/Q304,0)</f>
        <v>0</v>
      </c>
      <c r="U304" s="264">
        <f t="shared" ref="U304:U312" ca="1" si="197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6">
        <f t="shared" ref="L305:N306" si="198">L308+L311</f>
        <v>0</v>
      </c>
      <c r="M305" s="77">
        <f t="shared" si="198"/>
        <v>0</v>
      </c>
      <c r="N305" s="77">
        <f t="shared" si="198"/>
        <v>0</v>
      </c>
      <c r="O305" s="77">
        <f t="shared" si="193"/>
        <v>0</v>
      </c>
      <c r="P305" s="77">
        <f t="shared" si="194"/>
        <v>0</v>
      </c>
      <c r="Q305" s="77">
        <f t="shared" ref="Q305:S306" si="199">Q308+Q311</f>
        <v>0</v>
      </c>
      <c r="R305" s="77">
        <f t="shared" si="199"/>
        <v>0</v>
      </c>
      <c r="S305" s="77">
        <f t="shared" si="199"/>
        <v>0</v>
      </c>
      <c r="T305" s="77">
        <f t="shared" si="196"/>
        <v>0</v>
      </c>
      <c r="U305" s="77">
        <f t="shared" si="197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3">
        <f t="shared" ca="1" si="198"/>
        <v>0</v>
      </c>
      <c r="M306" s="74">
        <f t="shared" ca="1" si="198"/>
        <v>0</v>
      </c>
      <c r="N306" s="74">
        <f t="shared" ca="1" si="198"/>
        <v>0</v>
      </c>
      <c r="O306" s="74">
        <f t="shared" ca="1" si="193"/>
        <v>0</v>
      </c>
      <c r="P306" s="74">
        <f t="shared" ca="1" si="194"/>
        <v>0</v>
      </c>
      <c r="Q306" s="74">
        <f t="shared" ca="1" si="199"/>
        <v>260958.39</v>
      </c>
      <c r="R306" s="74">
        <f t="shared" ca="1" si="199"/>
        <v>260958</v>
      </c>
      <c r="S306" s="74">
        <f t="shared" ca="1" si="199"/>
        <v>0</v>
      </c>
      <c r="T306" s="74">
        <f t="shared" ca="1" si="196"/>
        <v>0</v>
      </c>
      <c r="U306" s="74">
        <f t="shared" ca="1" si="197"/>
        <v>0</v>
      </c>
    </row>
    <row r="307" spans="1:21" ht="18.75" x14ac:dyDescent="0.25">
      <c r="A307" s="257"/>
      <c r="B307" s="258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3">
        <f t="shared" ref="L307:N307" ca="1" si="200">L308+L309</f>
        <v>0</v>
      </c>
      <c r="M307" s="74">
        <f t="shared" ca="1" si="200"/>
        <v>0</v>
      </c>
      <c r="N307" s="74">
        <f t="shared" ca="1" si="200"/>
        <v>0</v>
      </c>
      <c r="O307" s="74">
        <f t="shared" ca="1" si="193"/>
        <v>0</v>
      </c>
      <c r="P307" s="74">
        <f t="shared" ca="1" si="194"/>
        <v>0</v>
      </c>
      <c r="Q307" s="74">
        <f t="shared" ref="Q307:S307" ca="1" si="201">Q308+Q309</f>
        <v>260958.39</v>
      </c>
      <c r="R307" s="74">
        <f t="shared" ca="1" si="201"/>
        <v>260958</v>
      </c>
      <c r="S307" s="74">
        <f t="shared" ca="1" si="201"/>
        <v>0</v>
      </c>
      <c r="T307" s="74">
        <f t="shared" ca="1" si="196"/>
        <v>0</v>
      </c>
      <c r="U307" s="74">
        <f t="shared" ca="1" si="197"/>
        <v>0</v>
      </c>
    </row>
    <row r="308" spans="1:21" ht="18.75" hidden="1" x14ac:dyDescent="0.25">
      <c r="A308" s="257"/>
      <c r="B308" s="258"/>
      <c r="C308" s="258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77">
        <f t="shared" si="193"/>
        <v>0</v>
      </c>
      <c r="P308" s="77">
        <f t="shared" si="194"/>
        <v>0</v>
      </c>
      <c r="Q308" s="77">
        <v>0</v>
      </c>
      <c r="R308" s="77">
        <v>0</v>
      </c>
      <c r="S308" s="77">
        <v>0</v>
      </c>
      <c r="T308" s="77">
        <f t="shared" si="196"/>
        <v>0</v>
      </c>
      <c r="U308" s="77">
        <f t="shared" si="197"/>
        <v>0</v>
      </c>
    </row>
    <row r="309" spans="1:21" ht="18.75" hidden="1" x14ac:dyDescent="0.25">
      <c r="A309" s="257"/>
      <c r="B309" s="258"/>
      <c r="C309" s="258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3">
        <f ca="1">IFERROR(__xludf.DUMMYFUNCTION("IMPORTRANGE(""https://docs.google.com/spreadsheets/d/1-uDff_7J0KD5mKrp0Vvzr7lt3OU09vwQwhkpOPPYv2Y/edit?usp=sharing"",""งบพรบ!DY67"")"),0)</f>
        <v>0</v>
      </c>
      <c r="M309" s="74">
        <f ca="1">IFERROR(__xludf.DUMMYFUNCTION("IMPORTRANGE(""https://docs.google.com/spreadsheets/d/1-uDff_7J0KD5mKrp0Vvzr7lt3OU09vwQwhkpOPPYv2Y/edit?usp=sharing"",""งบพรบ!ED67"")"),0)</f>
        <v>0</v>
      </c>
      <c r="N309" s="74">
        <f ca="1">IFERROR(__xludf.DUMMYFUNCTION("IMPORTRANGE(""https://docs.google.com/spreadsheets/d/1-uDff_7J0KD5mKrp0Vvzr7lt3OU09vwQwhkpOPPYv2Y/edit?usp=sharing"",""งบพรบ!EF67"")"),0)</f>
        <v>0</v>
      </c>
      <c r="O309" s="74">
        <f t="shared" ca="1" si="193"/>
        <v>0</v>
      </c>
      <c r="P309" s="74">
        <f t="shared" ca="1" si="194"/>
        <v>0</v>
      </c>
      <c r="Q309" s="74">
        <f ca="1">IFERROR(__xludf.DUMMYFUNCTION("IMPORTRANGE(""https://docs.google.com/spreadsheets/d/1ItG2mGa2ceCfYo0BwxsXqNm01IGEUdYcSSLTEv9YCik/edit?usp=sharing"",""เบิกจ่ายกองทุน!AP67"")"),260958.39)</f>
        <v>260958.39</v>
      </c>
      <c r="R309" s="74">
        <f ca="1">IFERROR(__xludf.DUMMYFUNCTION("IMPORTRANGE(""https://docs.google.com/spreadsheets/d/1ItG2mGa2ceCfYo0BwxsXqNm01IGEUdYcSSLTEv9YCik/edit?usp=sharing"",""เบิกจ่ายกองทุน!AQ67"")"),260958)</f>
        <v>260958</v>
      </c>
      <c r="S309" s="74">
        <f ca="1">IFERROR(__xludf.DUMMYFUNCTION("IMPORTRANGE(""https://docs.google.com/spreadsheets/d/1ItG2mGa2ceCfYo0BwxsXqNm01IGEUdYcSSLTEv9YCik/edit?usp=sharing"",""เบิกจ่ายกองทุน!AR67"")"),0)</f>
        <v>0</v>
      </c>
      <c r="T309" s="74">
        <f t="shared" ca="1" si="196"/>
        <v>0</v>
      </c>
      <c r="U309" s="74">
        <f t="shared" ca="1" si="197"/>
        <v>0</v>
      </c>
    </row>
    <row r="310" spans="1:21" ht="18.75" x14ac:dyDescent="0.25">
      <c r="A310" s="257"/>
      <c r="B310" s="258"/>
      <c r="C310" s="258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3">
        <f t="shared" ref="L310:N310" ca="1" si="202">L311+L312</f>
        <v>0</v>
      </c>
      <c r="M310" s="74">
        <f t="shared" ca="1" si="202"/>
        <v>0</v>
      </c>
      <c r="N310" s="74">
        <f t="shared" ca="1" si="202"/>
        <v>0</v>
      </c>
      <c r="O310" s="74">
        <f t="shared" ca="1" si="193"/>
        <v>0</v>
      </c>
      <c r="P310" s="74">
        <f t="shared" ca="1" si="194"/>
        <v>0</v>
      </c>
      <c r="Q310" s="74">
        <f t="shared" ref="Q310:S310" si="203">Q311+Q312</f>
        <v>0</v>
      </c>
      <c r="R310" s="74">
        <f t="shared" si="203"/>
        <v>0</v>
      </c>
      <c r="S310" s="74">
        <f t="shared" si="203"/>
        <v>0</v>
      </c>
      <c r="T310" s="74">
        <f t="shared" si="196"/>
        <v>0</v>
      </c>
      <c r="U310" s="74">
        <f t="shared" si="197"/>
        <v>0</v>
      </c>
    </row>
    <row r="311" spans="1:21" ht="18.75" hidden="1" x14ac:dyDescent="0.25">
      <c r="A311" s="257"/>
      <c r="B311" s="258"/>
      <c r="C311" s="258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77">
        <f t="shared" si="193"/>
        <v>0</v>
      </c>
      <c r="P311" s="77">
        <f t="shared" si="194"/>
        <v>0</v>
      </c>
      <c r="Q311" s="77">
        <v>0</v>
      </c>
      <c r="R311" s="77">
        <v>0</v>
      </c>
      <c r="S311" s="77">
        <v>0</v>
      </c>
      <c r="T311" s="77">
        <f t="shared" si="196"/>
        <v>0</v>
      </c>
      <c r="U311" s="77">
        <f t="shared" si="197"/>
        <v>0</v>
      </c>
    </row>
    <row r="312" spans="1:21" ht="18.75" hidden="1" x14ac:dyDescent="0.25">
      <c r="A312" s="257"/>
      <c r="B312" s="258"/>
      <c r="C312" s="258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3">
        <f ca="1">IFERROR(__xludf.DUMMYFUNCTION("IMPORTRANGE(""https://docs.google.com/spreadsheets/d/1-uDff_7J0KD5mKrp0Vvzr7lt3OU09vwQwhkpOPPYv2Y/edit?usp=sharing"",""งบพรบ!EB67"")"),0)</f>
        <v>0</v>
      </c>
      <c r="M312" s="74">
        <f ca="1">IFERROR(__xludf.DUMMYFUNCTION("IMPORTRANGE(""https://docs.google.com/spreadsheets/d/1-uDff_7J0KD5mKrp0Vvzr7lt3OU09vwQwhkpOPPYv2Y/edit?usp=sharing"",""งบพรบ!EE67"")"),0)</f>
        <v>0</v>
      </c>
      <c r="N312" s="74">
        <f ca="1">IFERROR(__xludf.DUMMYFUNCTION("IMPORTRANGE(""https://docs.google.com/spreadsheets/d/1-uDff_7J0KD5mKrp0Vvzr7lt3OU09vwQwhkpOPPYv2Y/edit?usp=sharing"",""งบพรบ!EG67"")"),0)</f>
        <v>0</v>
      </c>
      <c r="O312" s="74">
        <f t="shared" ca="1" si="193"/>
        <v>0</v>
      </c>
      <c r="P312" s="74">
        <f t="shared" ca="1" si="194"/>
        <v>0</v>
      </c>
      <c r="Q312" s="74">
        <v>0</v>
      </c>
      <c r="R312" s="74">
        <v>0</v>
      </c>
      <c r="S312" s="74">
        <v>0</v>
      </c>
      <c r="T312" s="74">
        <f t="shared" si="196"/>
        <v>0</v>
      </c>
      <c r="U312" s="74">
        <f t="shared" si="197"/>
        <v>0</v>
      </c>
    </row>
    <row r="313" spans="1:21" ht="19.5" x14ac:dyDescent="0.3">
      <c r="A313" s="276"/>
      <c r="B313" s="277"/>
      <c r="C313" s="259" t="s">
        <v>18</v>
      </c>
      <c r="D313" s="1019" t="s">
        <v>38</v>
      </c>
      <c r="E313" s="280"/>
      <c r="F313" s="280"/>
      <c r="G313" s="2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3"/>
      <c r="E314" s="285"/>
      <c r="F314" s="285"/>
      <c r="G314" s="286"/>
      <c r="H314" s="286"/>
      <c r="I314" s="287"/>
      <c r="J314" s="1252"/>
      <c r="K314" s="30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x14ac:dyDescent="0.25">
      <c r="A315" s="276"/>
      <c r="B315" s="277"/>
      <c r="C315" s="277"/>
      <c r="D315" s="295" t="s">
        <v>121</v>
      </c>
      <c r="E315" s="296"/>
      <c r="F315" s="296"/>
      <c r="G315" s="282"/>
      <c r="H315" s="299" t="s">
        <v>35</v>
      </c>
      <c r="I315" s="293">
        <f ca="1">IFERROR(__xludf.DUMMYFUNCTION("IMPORTRANGE(""https://docs.google.com/spreadsheets/d/1eHaY18a8A9IcSdp1K8H6x8fbOy06t2VsZHhMHf-1x7Y/edit?usp=sharing"",""แผน!EF67"")"),30)</f>
        <v>30</v>
      </c>
      <c r="J315" s="294">
        <v>0</v>
      </c>
      <c r="K315" s="74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308"/>
      <c r="I316" s="1252"/>
      <c r="J316" s="1252"/>
      <c r="K316" s="1255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308"/>
      <c r="I317" s="1252"/>
      <c r="J317" s="1252"/>
      <c r="K317" s="1255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283"/>
      <c r="B318" s="284"/>
      <c r="C318" s="284"/>
      <c r="D318" s="812"/>
      <c r="E318" s="285"/>
      <c r="F318" s="285"/>
      <c r="G318" s="286"/>
      <c r="H318" s="813"/>
      <c r="I318" s="887"/>
      <c r="J318" s="887"/>
      <c r="K318" s="888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5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1307" t="s">
        <v>133</v>
      </c>
      <c r="I320" s="617">
        <f t="shared" ref="I320:J320" ca="1" si="204">I331</f>
        <v>0</v>
      </c>
      <c r="J320" s="617">
        <f t="shared" si="204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1257">
        <f t="shared" ref="L321:N321" ca="1" si="205">L322+L323</f>
        <v>0</v>
      </c>
      <c r="M321" s="264">
        <f t="shared" ca="1" si="205"/>
        <v>0</v>
      </c>
      <c r="N321" s="264">
        <f t="shared" ca="1" si="205"/>
        <v>0</v>
      </c>
      <c r="O321" s="264">
        <f t="shared" ref="O321:O329" ca="1" si="206">IF(L321&gt;0,N321*100/L321,0)</f>
        <v>0</v>
      </c>
      <c r="P321" s="264">
        <f t="shared" ref="P321:P329" ca="1" si="207">IF(M321&gt;0,N321*100/M321,0)</f>
        <v>0</v>
      </c>
      <c r="Q321" s="264">
        <f t="shared" ref="Q321:S321" si="208">Q322+Q323</f>
        <v>0</v>
      </c>
      <c r="R321" s="264">
        <f t="shared" si="208"/>
        <v>0</v>
      </c>
      <c r="S321" s="264">
        <f t="shared" si="208"/>
        <v>0</v>
      </c>
      <c r="T321" s="264">
        <f t="shared" ref="T321:T329" si="209">IF(Q321&gt;0,S321*100/Q321,0)</f>
        <v>0</v>
      </c>
      <c r="U321" s="264">
        <f t="shared" ref="U321:U329" si="210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6">
        <f t="shared" ref="L322:N323" si="211">L325+L328</f>
        <v>0</v>
      </c>
      <c r="M322" s="77">
        <f t="shared" si="211"/>
        <v>0</v>
      </c>
      <c r="N322" s="77">
        <f t="shared" si="211"/>
        <v>0</v>
      </c>
      <c r="O322" s="77">
        <f t="shared" si="206"/>
        <v>0</v>
      </c>
      <c r="P322" s="77">
        <f t="shared" si="207"/>
        <v>0</v>
      </c>
      <c r="Q322" s="77">
        <f t="shared" ref="Q322:S323" si="212">Q325+Q328</f>
        <v>0</v>
      </c>
      <c r="R322" s="77">
        <f t="shared" si="212"/>
        <v>0</v>
      </c>
      <c r="S322" s="77">
        <f t="shared" si="212"/>
        <v>0</v>
      </c>
      <c r="T322" s="77">
        <f t="shared" si="209"/>
        <v>0</v>
      </c>
      <c r="U322" s="77">
        <f t="shared" si="210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3">
        <f t="shared" ca="1" si="211"/>
        <v>0</v>
      </c>
      <c r="M323" s="74">
        <f t="shared" ca="1" si="211"/>
        <v>0</v>
      </c>
      <c r="N323" s="74">
        <f t="shared" ca="1" si="211"/>
        <v>0</v>
      </c>
      <c r="O323" s="74">
        <f t="shared" ca="1" si="206"/>
        <v>0</v>
      </c>
      <c r="P323" s="74">
        <f t="shared" ca="1" si="207"/>
        <v>0</v>
      </c>
      <c r="Q323" s="74">
        <f t="shared" si="212"/>
        <v>0</v>
      </c>
      <c r="R323" s="74">
        <f t="shared" si="212"/>
        <v>0</v>
      </c>
      <c r="S323" s="74">
        <f t="shared" si="212"/>
        <v>0</v>
      </c>
      <c r="T323" s="74">
        <f t="shared" si="209"/>
        <v>0</v>
      </c>
      <c r="U323" s="74">
        <f t="shared" si="210"/>
        <v>0</v>
      </c>
    </row>
    <row r="324" spans="1:21" ht="18.75" hidden="1" x14ac:dyDescent="0.25">
      <c r="A324" s="257"/>
      <c r="B324" s="258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3">
        <f t="shared" ref="L324:N324" ca="1" si="213">L325+L326</f>
        <v>0</v>
      </c>
      <c r="M324" s="74">
        <f t="shared" ca="1" si="213"/>
        <v>0</v>
      </c>
      <c r="N324" s="74">
        <f t="shared" ca="1" si="213"/>
        <v>0</v>
      </c>
      <c r="O324" s="74">
        <f t="shared" ca="1" si="206"/>
        <v>0</v>
      </c>
      <c r="P324" s="74">
        <f t="shared" ca="1" si="207"/>
        <v>0</v>
      </c>
      <c r="Q324" s="74">
        <f t="shared" ref="Q324:S324" si="214">Q325+Q326</f>
        <v>0</v>
      </c>
      <c r="R324" s="74">
        <f t="shared" si="214"/>
        <v>0</v>
      </c>
      <c r="S324" s="74">
        <f t="shared" si="214"/>
        <v>0</v>
      </c>
      <c r="T324" s="74">
        <f t="shared" si="209"/>
        <v>0</v>
      </c>
      <c r="U324" s="74">
        <f t="shared" si="210"/>
        <v>0</v>
      </c>
    </row>
    <row r="325" spans="1:21" ht="18.75" hidden="1" x14ac:dyDescent="0.25">
      <c r="A325" s="257"/>
      <c r="B325" s="258"/>
      <c r="C325" s="258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77">
        <f t="shared" si="206"/>
        <v>0</v>
      </c>
      <c r="P325" s="77">
        <f t="shared" si="207"/>
        <v>0</v>
      </c>
      <c r="Q325" s="77">
        <v>0</v>
      </c>
      <c r="R325" s="77">
        <v>0</v>
      </c>
      <c r="S325" s="77">
        <v>0</v>
      </c>
      <c r="T325" s="77">
        <f t="shared" si="209"/>
        <v>0</v>
      </c>
      <c r="U325" s="77">
        <f t="shared" si="210"/>
        <v>0</v>
      </c>
    </row>
    <row r="326" spans="1:21" ht="18.75" hidden="1" x14ac:dyDescent="0.25">
      <c r="A326" s="257"/>
      <c r="B326" s="258"/>
      <c r="C326" s="258"/>
      <c r="D326" s="258"/>
      <c r="E326" s="267" t="s">
        <v>37</v>
      </c>
      <c r="F326" s="258"/>
      <c r="G326" s="261"/>
      <c r="H326" s="271" t="s">
        <v>14</v>
      </c>
      <c r="I326" s="272"/>
      <c r="J326" s="272"/>
      <c r="K326" s="229"/>
      <c r="L326" s="73">
        <f ca="1">IFERROR(__xludf.DUMMYFUNCTION("IMPORTRANGE(""https://docs.google.com/spreadsheets/d/1-uDff_7J0KD5mKrp0Vvzr7lt3OU09vwQwhkpOPPYv2Y/edit?usp=sharing"",""งบพรบ!EI67"")"),0)</f>
        <v>0</v>
      </c>
      <c r="M326" s="74">
        <f ca="1">IFERROR(__xludf.DUMMYFUNCTION("IMPORTRANGE(""https://docs.google.com/spreadsheets/d/1-uDff_7J0KD5mKrp0Vvzr7lt3OU09vwQwhkpOPPYv2Y/edit?usp=sharing"",""งบพรบ!EN67"")"),0)</f>
        <v>0</v>
      </c>
      <c r="N326" s="74">
        <f ca="1">IFERROR(__xludf.DUMMYFUNCTION("IMPORTRANGE(""https://docs.google.com/spreadsheets/d/1-uDff_7J0KD5mKrp0Vvzr7lt3OU09vwQwhkpOPPYv2Y/edit?usp=sharing"",""งบพรบ!EP67"")"),0)</f>
        <v>0</v>
      </c>
      <c r="O326" s="74">
        <f t="shared" ca="1" si="206"/>
        <v>0</v>
      </c>
      <c r="P326" s="74">
        <f t="shared" ca="1" si="207"/>
        <v>0</v>
      </c>
      <c r="Q326" s="74">
        <v>0</v>
      </c>
      <c r="R326" s="74">
        <v>0</v>
      </c>
      <c r="S326" s="74">
        <v>0</v>
      </c>
      <c r="T326" s="74">
        <f t="shared" si="209"/>
        <v>0</v>
      </c>
      <c r="U326" s="74">
        <f t="shared" si="210"/>
        <v>0</v>
      </c>
    </row>
    <row r="327" spans="1:21" ht="18.75" hidden="1" x14ac:dyDescent="0.25">
      <c r="A327" s="257"/>
      <c r="B327" s="258"/>
      <c r="C327" s="258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3">
        <f t="shared" ref="L327:N327" ca="1" si="215">L328+L329</f>
        <v>0</v>
      </c>
      <c r="M327" s="74">
        <f t="shared" ca="1" si="215"/>
        <v>0</v>
      </c>
      <c r="N327" s="74">
        <f t="shared" ca="1" si="215"/>
        <v>0</v>
      </c>
      <c r="O327" s="74">
        <f t="shared" ca="1" si="206"/>
        <v>0</v>
      </c>
      <c r="P327" s="74">
        <f t="shared" ca="1" si="207"/>
        <v>0</v>
      </c>
      <c r="Q327" s="74">
        <f t="shared" ref="Q327:S327" si="216">Q328+Q329</f>
        <v>0</v>
      </c>
      <c r="R327" s="74">
        <f t="shared" si="216"/>
        <v>0</v>
      </c>
      <c r="S327" s="74">
        <f t="shared" si="216"/>
        <v>0</v>
      </c>
      <c r="T327" s="74">
        <f t="shared" si="209"/>
        <v>0</v>
      </c>
      <c r="U327" s="74">
        <f t="shared" si="210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77">
        <f t="shared" si="206"/>
        <v>0</v>
      </c>
      <c r="P328" s="77">
        <f t="shared" si="207"/>
        <v>0</v>
      </c>
      <c r="Q328" s="77">
        <v>0</v>
      </c>
      <c r="R328" s="77">
        <v>0</v>
      </c>
      <c r="S328" s="77">
        <v>0</v>
      </c>
      <c r="T328" s="77">
        <f t="shared" si="209"/>
        <v>0</v>
      </c>
      <c r="U328" s="77">
        <f t="shared" si="210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3">
        <f ca="1">IFERROR(__xludf.DUMMYFUNCTION("IMPORTRANGE(""https://docs.google.com/spreadsheets/d/1-uDff_7J0KD5mKrp0Vvzr7lt3OU09vwQwhkpOPPYv2Y/edit?usp=sharing"",""งบพรบ!EL67"")"),0)</f>
        <v>0</v>
      </c>
      <c r="M329" s="74">
        <f ca="1">IFERROR(__xludf.DUMMYFUNCTION("IMPORTRANGE(""https://docs.google.com/spreadsheets/d/1-uDff_7J0KD5mKrp0Vvzr7lt3OU09vwQwhkpOPPYv2Y/edit?usp=sharing"",""งบพรบ!EO67"")"),0)</f>
        <v>0</v>
      </c>
      <c r="N329" s="74">
        <f ca="1">IFERROR(__xludf.DUMMYFUNCTION("IMPORTRANGE(""https://docs.google.com/spreadsheets/d/1-uDff_7J0KD5mKrp0Vvzr7lt3OU09vwQwhkpOPPYv2Y/edit?usp=sharing"",""งบพรบ!EQ67"")"),0)</f>
        <v>0</v>
      </c>
      <c r="O329" s="74">
        <f t="shared" ca="1" si="206"/>
        <v>0</v>
      </c>
      <c r="P329" s="74">
        <f t="shared" ca="1" si="207"/>
        <v>0</v>
      </c>
      <c r="Q329" s="74">
        <v>0</v>
      </c>
      <c r="R329" s="74">
        <v>0</v>
      </c>
      <c r="S329" s="74">
        <v>0</v>
      </c>
      <c r="T329" s="74">
        <f t="shared" si="209"/>
        <v>0</v>
      </c>
      <c r="U329" s="74">
        <f t="shared" si="210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282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92" t="s">
        <v>133</v>
      </c>
      <c r="I331" s="293">
        <f ca="1">IFERROR(__xludf.DUMMYFUNCTION("IMPORTRANGE(""https://docs.google.com/spreadsheets/d/1eHaY18a8A9IcSdp1K8H6x8fbOy06t2VsZHhMHf-1x7Y/edit?usp=sharing"",""แผน!EJ67"")"),0)</f>
        <v>0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5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1307" t="s">
        <v>35</v>
      </c>
      <c r="I333" s="534">
        <f ca="1">I345</f>
        <v>1060</v>
      </c>
      <c r="J333" s="535">
        <f ca="1">J345+J348+J349+J350+J354</f>
        <v>4280</v>
      </c>
      <c r="K333" s="536">
        <f ca="1">IF(I333&gt;0,J333*100/I333,0)</f>
        <v>403.77358490566036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1257">
        <f t="shared" ref="L334:N334" ca="1" si="217">L335+L336</f>
        <v>108000</v>
      </c>
      <c r="M334" s="264">
        <f t="shared" ca="1" si="217"/>
        <v>113000</v>
      </c>
      <c r="N334" s="264">
        <f t="shared" ca="1" si="217"/>
        <v>68390</v>
      </c>
      <c r="O334" s="264">
        <f t="shared" ref="O334:O342" ca="1" si="218">IF(L334&gt;0,N334*100/L334,0)</f>
        <v>63.324074074074076</v>
      </c>
      <c r="P334" s="264">
        <f t="shared" ref="P334:P342" ca="1" si="219">IF(M334&gt;0,N334*100/M334,0)</f>
        <v>60.522123893805308</v>
      </c>
      <c r="Q334" s="264">
        <f t="shared" ref="Q334:S334" si="220">Q335+Q336</f>
        <v>0</v>
      </c>
      <c r="R334" s="264">
        <f t="shared" si="220"/>
        <v>0</v>
      </c>
      <c r="S334" s="264">
        <f t="shared" si="220"/>
        <v>0</v>
      </c>
      <c r="T334" s="264">
        <f t="shared" ref="T334:T342" si="221">IF(Q334&gt;0,S334*100/Q334,0)</f>
        <v>0</v>
      </c>
      <c r="U334" s="264">
        <f t="shared" ref="U334:U342" si="222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6">
        <f t="shared" ref="L335:N336" si="223">L338+L341</f>
        <v>0</v>
      </c>
      <c r="M335" s="77">
        <f t="shared" si="223"/>
        <v>0</v>
      </c>
      <c r="N335" s="77">
        <f t="shared" si="223"/>
        <v>0</v>
      </c>
      <c r="O335" s="77">
        <f t="shared" si="218"/>
        <v>0</v>
      </c>
      <c r="P335" s="77">
        <f t="shared" si="219"/>
        <v>0</v>
      </c>
      <c r="Q335" s="77">
        <f t="shared" ref="Q335:S336" si="224">Q338+Q341</f>
        <v>0</v>
      </c>
      <c r="R335" s="77">
        <f t="shared" si="224"/>
        <v>0</v>
      </c>
      <c r="S335" s="77">
        <f t="shared" si="224"/>
        <v>0</v>
      </c>
      <c r="T335" s="77">
        <f t="shared" si="221"/>
        <v>0</v>
      </c>
      <c r="U335" s="77">
        <f t="shared" si="222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3">
        <f t="shared" ca="1" si="223"/>
        <v>108000</v>
      </c>
      <c r="M336" s="74">
        <f t="shared" ca="1" si="223"/>
        <v>113000</v>
      </c>
      <c r="N336" s="74">
        <f t="shared" ca="1" si="223"/>
        <v>68390</v>
      </c>
      <c r="O336" s="74">
        <f t="shared" ca="1" si="218"/>
        <v>63.324074074074076</v>
      </c>
      <c r="P336" s="74">
        <f t="shared" ca="1" si="219"/>
        <v>60.522123893805308</v>
      </c>
      <c r="Q336" s="74">
        <f t="shared" si="224"/>
        <v>0</v>
      </c>
      <c r="R336" s="74">
        <f t="shared" si="224"/>
        <v>0</v>
      </c>
      <c r="S336" s="74">
        <f t="shared" si="224"/>
        <v>0</v>
      </c>
      <c r="T336" s="74">
        <f t="shared" si="221"/>
        <v>0</v>
      </c>
      <c r="U336" s="74">
        <f t="shared" si="222"/>
        <v>0</v>
      </c>
    </row>
    <row r="337" spans="1:21" ht="18.75" x14ac:dyDescent="0.25">
      <c r="A337" s="257"/>
      <c r="B337" s="258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3">
        <f t="shared" ref="L337:N337" ca="1" si="225">L338+L339</f>
        <v>108000</v>
      </c>
      <c r="M337" s="74">
        <f t="shared" ca="1" si="225"/>
        <v>113000</v>
      </c>
      <c r="N337" s="74">
        <f t="shared" ca="1" si="225"/>
        <v>68390</v>
      </c>
      <c r="O337" s="74">
        <f t="shared" ca="1" si="218"/>
        <v>63.324074074074076</v>
      </c>
      <c r="P337" s="74">
        <f t="shared" ca="1" si="219"/>
        <v>60.522123893805308</v>
      </c>
      <c r="Q337" s="74">
        <f t="shared" ref="Q337:S337" si="226">Q338+Q339</f>
        <v>0</v>
      </c>
      <c r="R337" s="74">
        <f t="shared" si="226"/>
        <v>0</v>
      </c>
      <c r="S337" s="74">
        <f t="shared" si="226"/>
        <v>0</v>
      </c>
      <c r="T337" s="74">
        <f t="shared" si="221"/>
        <v>0</v>
      </c>
      <c r="U337" s="74">
        <f t="shared" si="222"/>
        <v>0</v>
      </c>
    </row>
    <row r="338" spans="1:21" ht="18.75" hidden="1" x14ac:dyDescent="0.25">
      <c r="A338" s="257"/>
      <c r="B338" s="258"/>
      <c r="C338" s="258"/>
      <c r="D338" s="258"/>
      <c r="E338" s="26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77">
        <f t="shared" si="218"/>
        <v>0</v>
      </c>
      <c r="P338" s="77">
        <f t="shared" si="219"/>
        <v>0</v>
      </c>
      <c r="Q338" s="77">
        <v>0</v>
      </c>
      <c r="R338" s="77">
        <v>0</v>
      </c>
      <c r="S338" s="77">
        <v>0</v>
      </c>
      <c r="T338" s="77">
        <f t="shared" si="221"/>
        <v>0</v>
      </c>
      <c r="U338" s="77">
        <f t="shared" si="222"/>
        <v>0</v>
      </c>
    </row>
    <row r="339" spans="1:21" ht="18.75" hidden="1" x14ac:dyDescent="0.25">
      <c r="A339" s="257"/>
      <c r="B339" s="258"/>
      <c r="C339" s="258"/>
      <c r="D339" s="258"/>
      <c r="E339" s="267" t="s">
        <v>37</v>
      </c>
      <c r="F339" s="258"/>
      <c r="G339" s="261"/>
      <c r="H339" s="271" t="s">
        <v>14</v>
      </c>
      <c r="I339" s="272"/>
      <c r="J339" s="272"/>
      <c r="K339" s="229"/>
      <c r="L339" s="73">
        <f ca="1">IFERROR(__xludf.DUMMYFUNCTION("IMPORTRANGE(""https://docs.google.com/spreadsheets/d/1-uDff_7J0KD5mKrp0Vvzr7lt3OU09vwQwhkpOPPYv2Y/edit?usp=sharing"",""งบพรบ!ES67"")"),108000)</f>
        <v>108000</v>
      </c>
      <c r="M339" s="74">
        <f ca="1">IFERROR(__xludf.DUMMYFUNCTION("IMPORTRANGE(""https://docs.google.com/spreadsheets/d/1-uDff_7J0KD5mKrp0Vvzr7lt3OU09vwQwhkpOPPYv2Y/edit?usp=sharing"",""งบพรบ!EX67"")"),113000)</f>
        <v>113000</v>
      </c>
      <c r="N339" s="74">
        <f ca="1">IFERROR(__xludf.DUMMYFUNCTION("IMPORTRANGE(""https://docs.google.com/spreadsheets/d/1-uDff_7J0KD5mKrp0Vvzr7lt3OU09vwQwhkpOPPYv2Y/edit?usp=sharing"",""งบพรบ!EZ67"")"),68390)</f>
        <v>68390</v>
      </c>
      <c r="O339" s="74">
        <f t="shared" ca="1" si="218"/>
        <v>63.324074074074076</v>
      </c>
      <c r="P339" s="74">
        <f t="shared" ca="1" si="219"/>
        <v>60.522123893805308</v>
      </c>
      <c r="Q339" s="74">
        <v>0</v>
      </c>
      <c r="R339" s="74">
        <v>0</v>
      </c>
      <c r="S339" s="74">
        <v>0</v>
      </c>
      <c r="T339" s="74">
        <f t="shared" si="221"/>
        <v>0</v>
      </c>
      <c r="U339" s="74">
        <f t="shared" si="222"/>
        <v>0</v>
      </c>
    </row>
    <row r="340" spans="1:21" ht="18.75" x14ac:dyDescent="0.25">
      <c r="A340" s="257"/>
      <c r="B340" s="258"/>
      <c r="C340" s="258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3">
        <f t="shared" ref="L340:N340" ca="1" si="227">L341+L342</f>
        <v>0</v>
      </c>
      <c r="M340" s="74">
        <f t="shared" ca="1" si="227"/>
        <v>0</v>
      </c>
      <c r="N340" s="74">
        <f t="shared" ca="1" si="227"/>
        <v>0</v>
      </c>
      <c r="O340" s="74">
        <f t="shared" ca="1" si="218"/>
        <v>0</v>
      </c>
      <c r="P340" s="74">
        <f t="shared" ca="1" si="219"/>
        <v>0</v>
      </c>
      <c r="Q340" s="74">
        <f t="shared" ref="Q340:S340" si="228">Q341+Q342</f>
        <v>0</v>
      </c>
      <c r="R340" s="74">
        <f t="shared" si="228"/>
        <v>0</v>
      </c>
      <c r="S340" s="74">
        <f t="shared" si="228"/>
        <v>0</v>
      </c>
      <c r="T340" s="74">
        <f t="shared" si="221"/>
        <v>0</v>
      </c>
      <c r="U340" s="74">
        <f t="shared" si="222"/>
        <v>0</v>
      </c>
    </row>
    <row r="341" spans="1:21" ht="18.75" hidden="1" x14ac:dyDescent="0.25">
      <c r="A341" s="257"/>
      <c r="B341" s="258"/>
      <c r="C341" s="258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77">
        <f t="shared" si="218"/>
        <v>0</v>
      </c>
      <c r="P341" s="77">
        <f t="shared" si="219"/>
        <v>0</v>
      </c>
      <c r="Q341" s="77">
        <v>0</v>
      </c>
      <c r="R341" s="77">
        <v>0</v>
      </c>
      <c r="S341" s="77">
        <v>0</v>
      </c>
      <c r="T341" s="77">
        <f t="shared" si="221"/>
        <v>0</v>
      </c>
      <c r="U341" s="77">
        <f t="shared" si="222"/>
        <v>0</v>
      </c>
    </row>
    <row r="342" spans="1:21" ht="18.75" hidden="1" x14ac:dyDescent="0.25">
      <c r="A342" s="257"/>
      <c r="B342" s="258"/>
      <c r="C342" s="258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3">
        <f ca="1">IFERROR(__xludf.DUMMYFUNCTION("IMPORTRANGE(""https://docs.google.com/spreadsheets/d/1-uDff_7J0KD5mKrp0Vvzr7lt3OU09vwQwhkpOPPYv2Y/edit?usp=sharing"",""งบพรบ!EV67"")"),0)</f>
        <v>0</v>
      </c>
      <c r="M342" s="74">
        <f ca="1">IFERROR(__xludf.DUMMYFUNCTION("IMPORTRANGE(""https://docs.google.com/spreadsheets/d/1-uDff_7J0KD5mKrp0Vvzr7lt3OU09vwQwhkpOPPYv2Y/edit?usp=sharing"",""งบพรบ!EY67"")"),0)</f>
        <v>0</v>
      </c>
      <c r="N342" s="74">
        <f ca="1">IFERROR(__xludf.DUMMYFUNCTION("IMPORTRANGE(""https://docs.google.com/spreadsheets/d/1-uDff_7J0KD5mKrp0Vvzr7lt3OU09vwQwhkpOPPYv2Y/edit?usp=sharing"",""งบพรบ!FA67"")"),0)</f>
        <v>0</v>
      </c>
      <c r="O342" s="74">
        <f t="shared" ca="1" si="218"/>
        <v>0</v>
      </c>
      <c r="P342" s="74">
        <f t="shared" ca="1" si="219"/>
        <v>0</v>
      </c>
      <c r="Q342" s="74">
        <v>0</v>
      </c>
      <c r="R342" s="74">
        <v>0</v>
      </c>
      <c r="S342" s="74">
        <v>0</v>
      </c>
      <c r="T342" s="74">
        <f t="shared" si="221"/>
        <v>0</v>
      </c>
      <c r="U342" s="74">
        <f t="shared" si="222"/>
        <v>0</v>
      </c>
    </row>
    <row r="343" spans="1:21" ht="19.5" x14ac:dyDescent="0.3">
      <c r="A343" s="276"/>
      <c r="B343" s="277"/>
      <c r="C343" s="259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1457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551" t="s">
        <v>35</v>
      </c>
      <c r="I345" s="293">
        <f ca="1">IFERROR(__xludf.DUMMYFUNCTION("IMPORTRANGE(""https://docs.google.com/spreadsheets/d/1eHaY18a8A9IcSdp1K8H6x8fbOy06t2VsZHhMHf-1x7Y/edit?usp=sharing"",""แผน!EK67"")"),1060)</f>
        <v>1060</v>
      </c>
      <c r="J345" s="293">
        <f ca="1">IFERROR(__xludf.DUMMYFUNCTION("IMPORTRANGE(""https://docs.google.com/spreadsheets/d/1awYsYK3VOup2i3Pq_Yjnu8DRu_mYwSBnCR2QPthd0rU/edit?usp=sharing"",""ศูนย์ยกเว้นโฉนด!D67"")"),1456)</f>
        <v>1456</v>
      </c>
      <c r="K345" s="74">
        <f ca="1">IF(I345&gt;0,J345*100/I345,0)</f>
        <v>137.35849056603774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IFERROR(__xludf.DUMMYFUNCTION("IMPORTRANGE(""https://docs.google.com/spreadsheets/d/1eHaY18a8A9IcSdp1K8H6x8fbOy06t2VsZHhMHf-1x7Y/edit?usp=sharing"",""แผน!EL67"")"),4)</f>
        <v>4</v>
      </c>
      <c r="J347" s="293">
        <f ca="1">IFERROR(__xludf.DUMMYFUNCTION("IMPORTRANGE(""https://docs.google.com/spreadsheets/d/1awYsYK3VOup2i3Pq_Yjnu8DRu_mYwSBnCR2QPthd0rU/edit?usp=sharing"",""ศูนย์รวม!E67"")"),4)</f>
        <v>4</v>
      </c>
      <c r="K347" s="74">
        <f ca="1">IF(I347&gt;0,J347*100/I347,0)</f>
        <v>100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IFERROR(__xludf.DUMMYFUNCTION("IMPORTRANGE(""https://docs.google.com/spreadsheets/d/1awYsYK3VOup2i3Pq_Yjnu8DRu_mYwSBnCR2QPthd0rU/edit?usp=sharing"",""ศูนย์ยกเว้นโฉนด!F67"")"),0)</f>
        <v>0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IFERROR(__xludf.DUMMYFUNCTION("IMPORTRANGE(""https://docs.google.com/spreadsheets/d/1awYsYK3VOup2i3Pq_Yjnu8DRu_mYwSBnCR2QPthd0rU/edit?usp=sharing"",""ศูนย์ยกเว้นโฉนด!G67"")"),1)</f>
        <v>1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IFERROR(__xludf.DUMMYFUNCTION("IMPORTRANGE(""https://docs.google.com/spreadsheets/d/1awYsYK3VOup2i3Pq_Yjnu8DRu_mYwSBnCR2QPthd0rU/edit?usp=sharing"",""ศูนย์ยกเว้นโฉนด!H67"")"),0)</f>
        <v>0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558" t="s">
        <v>35</v>
      </c>
      <c r="I352" s="559">
        <v>0</v>
      </c>
      <c r="J352" s="559">
        <f ca="1">J353+J354</f>
        <v>3072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IFERROR(__xludf.DUMMYFUNCTION("IMPORTRANGE(""https://docs.google.com/spreadsheets/d/1awYsYK3VOup2i3Pq_Yjnu8DRu_mYwSBnCR2QPthd0rU/edit?usp=sharing"",""โฉนดM3!G67"")"),249)</f>
        <v>249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IFERROR(__xludf.DUMMYFUNCTION("IMPORTRANGE(""https://docs.google.com/spreadsheets/d/1awYsYK3VOup2i3Pq_Yjnu8DRu_mYwSBnCR2QPthd0rU/edit?usp=sharing"",""โฉนดM3!H67"")"),2823)</f>
        <v>2823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08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1257">
        <f t="shared" ref="L357:N357" ca="1" si="229">L358+L359</f>
        <v>591785</v>
      </c>
      <c r="M357" s="264">
        <f t="shared" ca="1" si="229"/>
        <v>591785</v>
      </c>
      <c r="N357" s="264">
        <f t="shared" ca="1" si="229"/>
        <v>341468.24</v>
      </c>
      <c r="O357" s="264">
        <f t="shared" ref="O357:O365" ca="1" si="230">IF(L357&gt;0,N357*100/L357,0)</f>
        <v>57.701401691492684</v>
      </c>
      <c r="P357" s="264">
        <f t="shared" ref="P357:P365" ca="1" si="231">IF(M357&gt;0,N357*100/M357,0)</f>
        <v>57.701401691492684</v>
      </c>
      <c r="Q357" s="264">
        <f t="shared" ref="Q357:S357" si="232">Q358+Q359</f>
        <v>0</v>
      </c>
      <c r="R357" s="264">
        <f t="shared" si="232"/>
        <v>0</v>
      </c>
      <c r="S357" s="264">
        <f t="shared" si="232"/>
        <v>0</v>
      </c>
      <c r="T357" s="264">
        <f t="shared" ref="T357:T365" si="233">IF(Q357&gt;0,S357*100/Q357,0)</f>
        <v>0</v>
      </c>
      <c r="U357" s="264">
        <f t="shared" ref="U357:U365" si="234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6">
        <f t="shared" ref="L358:N359" si="235">L361+L364</f>
        <v>0</v>
      </c>
      <c r="M358" s="77">
        <f t="shared" si="235"/>
        <v>0</v>
      </c>
      <c r="N358" s="77">
        <f t="shared" si="235"/>
        <v>0</v>
      </c>
      <c r="O358" s="77">
        <f t="shared" si="230"/>
        <v>0</v>
      </c>
      <c r="P358" s="77">
        <f t="shared" si="231"/>
        <v>0</v>
      </c>
      <c r="Q358" s="77">
        <f t="shared" ref="Q358:S359" si="236">Q361+Q364</f>
        <v>0</v>
      </c>
      <c r="R358" s="77">
        <f t="shared" si="236"/>
        <v>0</v>
      </c>
      <c r="S358" s="77">
        <f t="shared" si="236"/>
        <v>0</v>
      </c>
      <c r="T358" s="77">
        <f t="shared" si="233"/>
        <v>0</v>
      </c>
      <c r="U358" s="77">
        <f t="shared" si="234"/>
        <v>0</v>
      </c>
    </row>
    <row r="359" spans="1:21" ht="18.75" hidden="1" x14ac:dyDescent="0.25">
      <c r="A359" s="257"/>
      <c r="B359" s="258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3">
        <f t="shared" ca="1" si="235"/>
        <v>591785</v>
      </c>
      <c r="M359" s="74">
        <f t="shared" ca="1" si="235"/>
        <v>591785</v>
      </c>
      <c r="N359" s="74">
        <f t="shared" ca="1" si="235"/>
        <v>341468.24</v>
      </c>
      <c r="O359" s="74">
        <f t="shared" ca="1" si="230"/>
        <v>57.701401691492684</v>
      </c>
      <c r="P359" s="74">
        <f t="shared" ca="1" si="231"/>
        <v>57.701401691492684</v>
      </c>
      <c r="Q359" s="74">
        <f t="shared" si="236"/>
        <v>0</v>
      </c>
      <c r="R359" s="74">
        <f t="shared" si="236"/>
        <v>0</v>
      </c>
      <c r="S359" s="74">
        <f t="shared" si="236"/>
        <v>0</v>
      </c>
      <c r="T359" s="74">
        <f t="shared" si="233"/>
        <v>0</v>
      </c>
      <c r="U359" s="74">
        <f t="shared" si="234"/>
        <v>0</v>
      </c>
    </row>
    <row r="360" spans="1:21" ht="18.75" x14ac:dyDescent="0.25">
      <c r="A360" s="257"/>
      <c r="B360" s="258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3">
        <f t="shared" ref="L360:N360" ca="1" si="237">L361+L362</f>
        <v>591785</v>
      </c>
      <c r="M360" s="74">
        <f t="shared" ca="1" si="237"/>
        <v>591785</v>
      </c>
      <c r="N360" s="74">
        <f t="shared" ca="1" si="237"/>
        <v>341468.24</v>
      </c>
      <c r="O360" s="74">
        <f t="shared" ca="1" si="230"/>
        <v>57.701401691492684</v>
      </c>
      <c r="P360" s="74">
        <f t="shared" ca="1" si="231"/>
        <v>57.701401691492684</v>
      </c>
      <c r="Q360" s="74">
        <f t="shared" ref="Q360:S360" si="238">Q361+Q362</f>
        <v>0</v>
      </c>
      <c r="R360" s="74">
        <f t="shared" si="238"/>
        <v>0</v>
      </c>
      <c r="S360" s="74">
        <f t="shared" si="238"/>
        <v>0</v>
      </c>
      <c r="T360" s="74">
        <f t="shared" si="233"/>
        <v>0</v>
      </c>
      <c r="U360" s="74">
        <f t="shared" si="234"/>
        <v>0</v>
      </c>
    </row>
    <row r="361" spans="1:21" ht="18.75" hidden="1" x14ac:dyDescent="0.25">
      <c r="A361" s="257"/>
      <c r="B361" s="258"/>
      <c r="C361" s="258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77">
        <f t="shared" si="230"/>
        <v>0</v>
      </c>
      <c r="P361" s="77">
        <f t="shared" si="231"/>
        <v>0</v>
      </c>
      <c r="Q361" s="77">
        <v>0</v>
      </c>
      <c r="R361" s="77">
        <v>0</v>
      </c>
      <c r="S361" s="77">
        <v>0</v>
      </c>
      <c r="T361" s="77">
        <f t="shared" si="233"/>
        <v>0</v>
      </c>
      <c r="U361" s="77">
        <f t="shared" si="234"/>
        <v>0</v>
      </c>
    </row>
    <row r="362" spans="1:21" ht="18.75" hidden="1" x14ac:dyDescent="0.25">
      <c r="A362" s="257"/>
      <c r="B362" s="258"/>
      <c r="C362" s="258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3">
        <f ca="1">IFERROR(__xludf.DUMMYFUNCTION("IMPORTRANGE(""https://docs.google.com/spreadsheets/d/1-uDff_7J0KD5mKrp0Vvzr7lt3OU09vwQwhkpOPPYv2Y/edit?usp=sharing"",""งบพรบ!FC67"")"),591785)</f>
        <v>591785</v>
      </c>
      <c r="M362" s="74">
        <f ca="1">IFERROR(__xludf.DUMMYFUNCTION("IMPORTRANGE(""https://docs.google.com/spreadsheets/d/1-uDff_7J0KD5mKrp0Vvzr7lt3OU09vwQwhkpOPPYv2Y/edit?usp=sharing"",""งบพรบ!FH67"")"),591785)</f>
        <v>591785</v>
      </c>
      <c r="N362" s="74">
        <f ca="1">IFERROR(__xludf.DUMMYFUNCTION("IMPORTRANGE(""https://docs.google.com/spreadsheets/d/1-uDff_7J0KD5mKrp0Vvzr7lt3OU09vwQwhkpOPPYv2Y/edit?usp=sharing"",""งบพรบ!FJ67"")"),341468.24)</f>
        <v>341468.24</v>
      </c>
      <c r="O362" s="74">
        <f t="shared" ca="1" si="230"/>
        <v>57.701401691492684</v>
      </c>
      <c r="P362" s="74">
        <f t="shared" ca="1" si="231"/>
        <v>57.701401691492684</v>
      </c>
      <c r="Q362" s="74">
        <v>0</v>
      </c>
      <c r="R362" s="74">
        <v>0</v>
      </c>
      <c r="S362" s="74">
        <v>0</v>
      </c>
      <c r="T362" s="74">
        <f t="shared" si="233"/>
        <v>0</v>
      </c>
      <c r="U362" s="74">
        <f t="shared" si="234"/>
        <v>0</v>
      </c>
    </row>
    <row r="363" spans="1:21" ht="18.75" x14ac:dyDescent="0.25">
      <c r="A363" s="257"/>
      <c r="B363" s="258"/>
      <c r="C363" s="258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3">
        <f t="shared" ref="L363:N363" ca="1" si="239">L364+L365</f>
        <v>0</v>
      </c>
      <c r="M363" s="74">
        <f t="shared" ca="1" si="239"/>
        <v>0</v>
      </c>
      <c r="N363" s="74">
        <f t="shared" ca="1" si="239"/>
        <v>0</v>
      </c>
      <c r="O363" s="74">
        <f t="shared" ca="1" si="230"/>
        <v>0</v>
      </c>
      <c r="P363" s="74">
        <f t="shared" ca="1" si="231"/>
        <v>0</v>
      </c>
      <c r="Q363" s="74">
        <f t="shared" ref="Q363:S363" si="240">Q364+Q365</f>
        <v>0</v>
      </c>
      <c r="R363" s="74">
        <f t="shared" si="240"/>
        <v>0</v>
      </c>
      <c r="S363" s="74">
        <f t="shared" si="240"/>
        <v>0</v>
      </c>
      <c r="T363" s="74">
        <f t="shared" si="233"/>
        <v>0</v>
      </c>
      <c r="U363" s="74">
        <f t="shared" si="234"/>
        <v>0</v>
      </c>
    </row>
    <row r="364" spans="1:21" ht="18.75" hidden="1" x14ac:dyDescent="0.25">
      <c r="A364" s="257"/>
      <c r="B364" s="258"/>
      <c r="C364" s="258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77">
        <f t="shared" si="230"/>
        <v>0</v>
      </c>
      <c r="P364" s="77">
        <f t="shared" si="231"/>
        <v>0</v>
      </c>
      <c r="Q364" s="77">
        <v>0</v>
      </c>
      <c r="R364" s="77">
        <v>0</v>
      </c>
      <c r="S364" s="77">
        <v>0</v>
      </c>
      <c r="T364" s="77">
        <f t="shared" si="233"/>
        <v>0</v>
      </c>
      <c r="U364" s="77">
        <f t="shared" si="234"/>
        <v>0</v>
      </c>
    </row>
    <row r="365" spans="1:21" ht="18.75" hidden="1" x14ac:dyDescent="0.25">
      <c r="A365" s="257"/>
      <c r="B365" s="258"/>
      <c r="C365" s="258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3">
        <f ca="1">IFERROR(__xludf.DUMMYFUNCTION("IMPORTRANGE(""https://docs.google.com/spreadsheets/d/1-uDff_7J0KD5mKrp0Vvzr7lt3OU09vwQwhkpOPPYv2Y/edit?usp=sharing"",""งบพรบ!FF67"")"),0)</f>
        <v>0</v>
      </c>
      <c r="M365" s="74">
        <f ca="1">IFERROR(__xludf.DUMMYFUNCTION("IMPORTRANGE(""https://docs.google.com/spreadsheets/d/1-uDff_7J0KD5mKrp0Vvzr7lt3OU09vwQwhkpOPPYv2Y/edit?usp=sharing"",""งบพรบ!FI67"")"),0)</f>
        <v>0</v>
      </c>
      <c r="N365" s="74">
        <f ca="1">IFERROR(__xludf.DUMMYFUNCTION("IMPORTRANGE(""https://docs.google.com/spreadsheets/d/1-uDff_7J0KD5mKrp0Vvzr7lt3OU09vwQwhkpOPPYv2Y/edit?usp=sharing"",""งบพรบ!FK67"")"),0)</f>
        <v>0</v>
      </c>
      <c r="O365" s="74">
        <f t="shared" ca="1" si="230"/>
        <v>0</v>
      </c>
      <c r="P365" s="74">
        <f t="shared" ca="1" si="231"/>
        <v>0</v>
      </c>
      <c r="Q365" s="74">
        <v>0</v>
      </c>
      <c r="R365" s="74">
        <v>0</v>
      </c>
      <c r="S365" s="74">
        <v>0</v>
      </c>
      <c r="T365" s="74">
        <f t="shared" si="233"/>
        <v>0</v>
      </c>
      <c r="U365" s="74">
        <f t="shared" si="234"/>
        <v>0</v>
      </c>
    </row>
    <row r="366" spans="1:21" ht="19.5" x14ac:dyDescent="0.3">
      <c r="A366" s="553"/>
      <c r="B366" s="555"/>
      <c r="C366" s="554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1">I372</f>
        <v>83</v>
      </c>
      <c r="J366" s="559">
        <f t="shared" ca="1" si="241"/>
        <v>137</v>
      </c>
      <c r="K366" s="560">
        <f ca="1">IF(I366&gt;0,J366*100/I366,0)</f>
        <v>165.06024096385542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259" t="s">
        <v>18</v>
      </c>
      <c r="D367" s="1019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96"/>
      <c r="C368" s="277"/>
      <c r="D368" s="296"/>
      <c r="E368" s="767" t="s">
        <v>150</v>
      </c>
      <c r="F368" s="296"/>
      <c r="G368" s="282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IFERROR(__xludf.DUMMYFUNCTION("IMPORTRANGE(""https://docs.google.com/spreadsheets/d/1tdoBKaGub7dwA3U6UFTqxio9LNnvDCQjHKmttSEBsFQ/edit?usp=sharing"",""จัดที่ดิน!AB67"")"),17)</f>
        <v>17</v>
      </c>
      <c r="K368" s="74">
        <f t="shared" ref="K368:K373" si="242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IFERROR(__xludf.DUMMYFUNCTION("IMPORTRANGE(""https://docs.google.com/spreadsheets/d/1eHaY18a8A9IcSdp1K8H6x8fbOy06t2VsZHhMHf-1x7Y/edit?usp=sharing"",""แผน!EW67"")"),840)</f>
        <v>840</v>
      </c>
      <c r="J369" s="1190">
        <f ca="1">IFERROR(__xludf.DUMMYFUNCTION("IMPORTRANGE(""https://docs.google.com/spreadsheets/d/1tdoBKaGub7dwA3U6UFTqxio9LNnvDCQjHKmttSEBsFQ/edit?usp=sharing"",""จัดที่ดิน!AC67"")"),102.28)</f>
        <v>102.28</v>
      </c>
      <c r="K369" s="74">
        <f t="shared" ca="1" si="242"/>
        <v>12.176190476190476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99" t="s">
        <v>35</v>
      </c>
      <c r="I370" s="293">
        <f ca="1">IFERROR(__xludf.DUMMYFUNCTION("IMPORTRANGE(""https://docs.google.com/spreadsheets/d/1eHaY18a8A9IcSdp1K8H6x8fbOy06t2VsZHhMHf-1x7Y/edit?usp=sharing"",""แผน!EX67"")"),123)</f>
        <v>123</v>
      </c>
      <c r="J370" s="293">
        <f ca="1">IFERROR(__xludf.DUMMYFUNCTION("IMPORTRANGE(""https://docs.google.com/spreadsheets/d/1tdoBKaGub7dwA3U6UFTqxio9LNnvDCQjHKmttSEBsFQ/edit?usp=sharing"",""จัดที่ดิน!AD67"")"),135)</f>
        <v>135</v>
      </c>
      <c r="K370" s="74">
        <f t="shared" ca="1" si="242"/>
        <v>109.7560975609756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99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IFERROR(__xludf.DUMMYFUNCTION("IMPORTRANGE(""https://docs.google.com/spreadsheets/d/1tdoBKaGub7dwA3U6UFTqxio9LNnvDCQjHKmttSEBsFQ/edit?usp=sharing"",""จัดที่ดิน!AE67"")"),1608.38)</f>
        <v>1608.38</v>
      </c>
      <c r="K371" s="74">
        <f t="shared" si="242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99" t="s">
        <v>35</v>
      </c>
      <c r="I372" s="293">
        <f ca="1">IFERROR(__xludf.DUMMYFUNCTION("IMPORTRANGE(""https://docs.google.com/spreadsheets/d/1eHaY18a8A9IcSdp1K8H6x8fbOy06t2VsZHhMHf-1x7Y/edit?usp=sharing"",""แผน!EY67"")"),83)</f>
        <v>83</v>
      </c>
      <c r="J372" s="293">
        <f ca="1">IFERROR(__xludf.DUMMYFUNCTION("IMPORTRANGE(""https://docs.google.com/spreadsheets/d/1tdoBKaGub7dwA3U6UFTqxio9LNnvDCQjHKmttSEBsFQ/edit?usp=sharing"",""จัดที่ดิน!AF67"")"),137)</f>
        <v>137</v>
      </c>
      <c r="K372" s="74">
        <f t="shared" ca="1" si="242"/>
        <v>165.06024096385542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99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IFERROR(__xludf.DUMMYFUNCTION("IMPORTRANGE(""https://docs.google.com/spreadsheets/d/1tdoBKaGub7dwA3U6UFTqxio9LNnvDCQjHKmttSEBsFQ/edit?usp=sharing"",""จัดที่ดิน!AG67"")"),1660.94)</f>
        <v>1660.94</v>
      </c>
      <c r="K373" s="74">
        <f t="shared" si="242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37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3">I387+I389</f>
        <v>1000</v>
      </c>
      <c r="J375" s="585">
        <f t="shared" ca="1" si="243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1257">
        <f t="shared" ref="L376:N376" si="244">L377+L378</f>
        <v>0</v>
      </c>
      <c r="M376" s="264">
        <f t="shared" si="244"/>
        <v>0</v>
      </c>
      <c r="N376" s="264">
        <f t="shared" si="244"/>
        <v>0</v>
      </c>
      <c r="O376" s="264">
        <f t="shared" ref="O376:O384" si="245">IF(L376&gt;0,N376*100/L376,0)</f>
        <v>0</v>
      </c>
      <c r="P376" s="264">
        <f t="shared" ref="P376:P384" si="246">IF(M376&gt;0,N376*100/M376,0)</f>
        <v>0</v>
      </c>
      <c r="Q376" s="264">
        <f t="shared" ref="Q376:S376" ca="1" si="247">Q377+Q378</f>
        <v>62500</v>
      </c>
      <c r="R376" s="264">
        <f t="shared" ca="1" si="247"/>
        <v>0</v>
      </c>
      <c r="S376" s="264">
        <f t="shared" ca="1" si="247"/>
        <v>0</v>
      </c>
      <c r="T376" s="264">
        <f t="shared" ref="T376:T384" ca="1" si="248">IF(Q376&gt;0,S376*100/Q376,0)</f>
        <v>0</v>
      </c>
      <c r="U376" s="264">
        <f t="shared" ref="U376:U384" ca="1" si="249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6">
        <f t="shared" ref="L377:N378" si="250">L380+L383</f>
        <v>0</v>
      </c>
      <c r="M377" s="77">
        <f t="shared" si="250"/>
        <v>0</v>
      </c>
      <c r="N377" s="77">
        <f t="shared" si="250"/>
        <v>0</v>
      </c>
      <c r="O377" s="77">
        <f t="shared" si="245"/>
        <v>0</v>
      </c>
      <c r="P377" s="77">
        <f t="shared" si="246"/>
        <v>0</v>
      </c>
      <c r="Q377" s="77">
        <f t="shared" ref="Q377:S378" si="251">Q380+Q383</f>
        <v>0</v>
      </c>
      <c r="R377" s="77">
        <f t="shared" si="251"/>
        <v>0</v>
      </c>
      <c r="S377" s="77">
        <f t="shared" si="251"/>
        <v>0</v>
      </c>
      <c r="T377" s="77">
        <f t="shared" si="248"/>
        <v>0</v>
      </c>
      <c r="U377" s="77">
        <f t="shared" si="249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3">
        <f t="shared" si="250"/>
        <v>0</v>
      </c>
      <c r="M378" s="74">
        <f t="shared" si="250"/>
        <v>0</v>
      </c>
      <c r="N378" s="74">
        <f t="shared" si="250"/>
        <v>0</v>
      </c>
      <c r="O378" s="74">
        <f t="shared" si="245"/>
        <v>0</v>
      </c>
      <c r="P378" s="74">
        <f t="shared" si="246"/>
        <v>0</v>
      </c>
      <c r="Q378" s="74">
        <f t="shared" ca="1" si="251"/>
        <v>62500</v>
      </c>
      <c r="R378" s="74">
        <f t="shared" ca="1" si="251"/>
        <v>0</v>
      </c>
      <c r="S378" s="74">
        <f t="shared" ca="1" si="251"/>
        <v>0</v>
      </c>
      <c r="T378" s="74">
        <f t="shared" ca="1" si="248"/>
        <v>0</v>
      </c>
      <c r="U378" s="74">
        <f t="shared" ca="1" si="249"/>
        <v>0</v>
      </c>
    </row>
    <row r="379" spans="1:21" ht="18.75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3">
        <f t="shared" ref="L379:N379" si="252">L380+L381</f>
        <v>0</v>
      </c>
      <c r="M379" s="74">
        <f t="shared" si="252"/>
        <v>0</v>
      </c>
      <c r="N379" s="74">
        <f t="shared" si="252"/>
        <v>0</v>
      </c>
      <c r="O379" s="74">
        <f t="shared" si="245"/>
        <v>0</v>
      </c>
      <c r="P379" s="74">
        <f t="shared" si="246"/>
        <v>0</v>
      </c>
      <c r="Q379" s="74">
        <f t="shared" ref="Q379:S379" ca="1" si="253">Q380+Q381</f>
        <v>62500</v>
      </c>
      <c r="R379" s="74">
        <f t="shared" ca="1" si="253"/>
        <v>0</v>
      </c>
      <c r="S379" s="74">
        <f t="shared" ca="1" si="253"/>
        <v>0</v>
      </c>
      <c r="T379" s="74">
        <f t="shared" ca="1" si="248"/>
        <v>0</v>
      </c>
      <c r="U379" s="74">
        <f t="shared" ca="1" si="249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77">
        <f t="shared" si="245"/>
        <v>0</v>
      </c>
      <c r="P380" s="77">
        <f t="shared" si="246"/>
        <v>0</v>
      </c>
      <c r="Q380" s="77">
        <v>0</v>
      </c>
      <c r="R380" s="77">
        <v>0</v>
      </c>
      <c r="S380" s="77">
        <v>0</v>
      </c>
      <c r="T380" s="77">
        <f t="shared" si="248"/>
        <v>0</v>
      </c>
      <c r="U380" s="77">
        <f t="shared" si="249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74">
        <f t="shared" si="245"/>
        <v>0</v>
      </c>
      <c r="P381" s="74">
        <f t="shared" si="246"/>
        <v>0</v>
      </c>
      <c r="Q381" s="74">
        <f ca="1">IFERROR(__xludf.DUMMYFUNCTION("IMPORTRANGE(""https://docs.google.com/spreadsheets/d/1ItG2mGa2ceCfYo0BwxsXqNm01IGEUdYcSSLTEv9YCik/edit?usp=sharing"",""เบิกจ่ายกองทุน!AY67"")"),62500)</f>
        <v>62500</v>
      </c>
      <c r="R381" s="74">
        <f ca="1">IFERROR(__xludf.DUMMYFUNCTION("IMPORTRANGE(""https://docs.google.com/spreadsheets/d/1ItG2mGa2ceCfYo0BwxsXqNm01IGEUdYcSSLTEv9YCik/edit?usp=sharing"",""เบิกจ่ายกองทุน!AZ67"")"),0)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IFERROR(__xludf.DUMMYFUNCTION("IMPORTRANGE(""https://docs.google.com/spreadsheets/d/1ItG2mGa2ceCfYo0BwxsXqNm01IGEUdYcSSLTEv9YCik/edit?usp=sharing"",""เบิกจ่ายกองทุน!BA67"")"),0)</f>
        <v>0</v>
      </c>
      <c r="T381" s="74">
        <f t="shared" ca="1" si="248"/>
        <v>0</v>
      </c>
      <c r="U381" s="74">
        <f t="shared" ca="1" si="249"/>
        <v>0</v>
      </c>
    </row>
    <row r="382" spans="1:21" ht="18.75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3">
        <f t="shared" ref="L382:N382" si="254">L383+L384</f>
        <v>0</v>
      </c>
      <c r="M382" s="74">
        <f t="shared" si="254"/>
        <v>0</v>
      </c>
      <c r="N382" s="74">
        <f t="shared" si="254"/>
        <v>0</v>
      </c>
      <c r="O382" s="74">
        <f t="shared" si="245"/>
        <v>0</v>
      </c>
      <c r="P382" s="74">
        <f t="shared" si="246"/>
        <v>0</v>
      </c>
      <c r="Q382" s="74">
        <f t="shared" ref="Q382:S382" si="255">Q383+Q384</f>
        <v>0</v>
      </c>
      <c r="R382" s="74">
        <f t="shared" si="255"/>
        <v>0</v>
      </c>
      <c r="S382" s="74">
        <f t="shared" si="255"/>
        <v>0</v>
      </c>
      <c r="T382" s="74">
        <f t="shared" si="248"/>
        <v>0</v>
      </c>
      <c r="U382" s="74">
        <f t="shared" si="249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77">
        <f t="shared" si="245"/>
        <v>0</v>
      </c>
      <c r="P383" s="77">
        <f t="shared" si="246"/>
        <v>0</v>
      </c>
      <c r="Q383" s="77">
        <v>0</v>
      </c>
      <c r="R383" s="77">
        <v>0</v>
      </c>
      <c r="S383" s="77">
        <v>0</v>
      </c>
      <c r="T383" s="77">
        <f t="shared" si="248"/>
        <v>0</v>
      </c>
      <c r="U383" s="77">
        <f t="shared" si="249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74">
        <f t="shared" si="245"/>
        <v>0</v>
      </c>
      <c r="P384" s="74">
        <f t="shared" si="246"/>
        <v>0</v>
      </c>
      <c r="Q384" s="74">
        <v>0</v>
      </c>
      <c r="R384" s="74">
        <v>0</v>
      </c>
      <c r="S384" s="74">
        <v>0</v>
      </c>
      <c r="T384" s="74">
        <f t="shared" si="248"/>
        <v>0</v>
      </c>
      <c r="U384" s="74">
        <f t="shared" si="249"/>
        <v>0</v>
      </c>
    </row>
    <row r="385" spans="1:21" ht="19.5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v>0</v>
      </c>
      <c r="J386" s="293">
        <f ca="1">IFERROR(__xludf.DUMMYFUNCTION("IMPORTRANGE(""https://docs.google.com/spreadsheets/d/1w5rwWK1o49a35cNtocGL0gxDwhFSTZUQu90BiH9_zqM/edit?usp=sharing"",""RTK!H67"")"),0)</f>
        <v>0</v>
      </c>
      <c r="K386" s="74">
        <f t="shared" ref="K386:K389" si="256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IFERROR(__xludf.DUMMYFUNCTION("IMPORTRANGE(""https://docs.google.com/spreadsheets/d/1w5rwWK1o49a35cNtocGL0gxDwhFSTZUQu90BiH9_zqM/edit?usp=sharing"",""RTK!G67"")"),1000)</f>
        <v>1000</v>
      </c>
      <c r="J387" s="293">
        <f ca="1">IFERROR(__xludf.DUMMYFUNCTION("IMPORTRANGE(""https://docs.google.com/spreadsheets/d/1w5rwWK1o49a35cNtocGL0gxDwhFSTZUQu90BiH9_zqM/edit?usp=sharing"",""RTK!I67"")"),0)</f>
        <v>0</v>
      </c>
      <c r="K387" s="74">
        <f t="shared" ca="1" si="256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x14ac:dyDescent="0.25">
      <c r="A388" s="381"/>
      <c r="B388" s="381"/>
      <c r="C388" s="381"/>
      <c r="D388" s="381"/>
      <c r="E388" s="379" t="s">
        <v>155</v>
      </c>
      <c r="F388" s="381"/>
      <c r="G388" s="1033"/>
      <c r="H388" s="216" t="s">
        <v>34</v>
      </c>
      <c r="I388" s="321">
        <v>0</v>
      </c>
      <c r="J388" s="321">
        <f ca="1">IFERROR(__xludf.DUMMYFUNCTION("IMPORTRANGE(""https://docs.google.com/spreadsheets/d/1w5rwWK1o49a35cNtocGL0gxDwhFSTZUQu90BiH9_zqM/edit?usp=sharing"",""RTK!L67"")"),0)</f>
        <v>0</v>
      </c>
      <c r="K388" s="399">
        <f t="shared" si="256"/>
        <v>0</v>
      </c>
      <c r="L388" s="540"/>
      <c r="M388" s="72"/>
      <c r="N388" s="72"/>
      <c r="O388" s="72"/>
      <c r="P388" s="72"/>
      <c r="Q388" s="72"/>
      <c r="R388" s="72"/>
      <c r="S388" s="72"/>
      <c r="T388" s="72"/>
      <c r="U388" s="72"/>
    </row>
    <row r="389" spans="1:21" ht="18.75" x14ac:dyDescent="0.25">
      <c r="A389" s="381"/>
      <c r="B389" s="381"/>
      <c r="C389" s="381"/>
      <c r="D389" s="381"/>
      <c r="E389" s="381"/>
      <c r="F389" s="381"/>
      <c r="G389" s="1033"/>
      <c r="H389" s="216" t="s">
        <v>46</v>
      </c>
      <c r="I389" s="321">
        <f ca="1">IFERROR(__xludf.DUMMYFUNCTION("IMPORTRANGE(""https://docs.google.com/spreadsheets/d/1w5rwWK1o49a35cNtocGL0gxDwhFSTZUQu90BiH9_zqM/edit?usp=sharing"",""RTK!K67"")"),0)</f>
        <v>0</v>
      </c>
      <c r="J389" s="321">
        <f ca="1">IFERROR(__xludf.DUMMYFUNCTION("IMPORTRANGE(""https://docs.google.com/spreadsheets/d/1w5rwWK1o49a35cNtocGL0gxDwhFSTZUQu90BiH9_zqM/edit?usp=sharing"",""RTK!M67"")"),0)</f>
        <v>0</v>
      </c>
      <c r="K389" s="399">
        <f t="shared" ca="1" si="256"/>
        <v>0</v>
      </c>
      <c r="L389" s="540"/>
      <c r="M389" s="72"/>
      <c r="N389" s="72"/>
      <c r="O389" s="72"/>
      <c r="P389" s="72"/>
      <c r="Q389" s="72"/>
      <c r="R389" s="72"/>
      <c r="S389" s="72"/>
      <c r="T389" s="72"/>
      <c r="U389" s="72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7">I403</f>
        <v>0</v>
      </c>
      <c r="J392" s="1189">
        <f t="shared" si="257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1257">
        <f t="shared" ref="L393:N393" si="258">L394+L395</f>
        <v>0</v>
      </c>
      <c r="M393" s="264">
        <f t="shared" si="258"/>
        <v>0</v>
      </c>
      <c r="N393" s="264">
        <f t="shared" si="258"/>
        <v>0</v>
      </c>
      <c r="O393" s="264">
        <f t="shared" ref="O393:O401" si="259">IF(L393&gt;0,N393*100/L393,0)</f>
        <v>0</v>
      </c>
      <c r="P393" s="264">
        <f t="shared" ref="P393:P401" si="260">IF(M393&gt;0,N393*100/M393,0)</f>
        <v>0</v>
      </c>
      <c r="Q393" s="264">
        <f t="shared" ref="Q393:S393" si="261">Q394+Q395</f>
        <v>0</v>
      </c>
      <c r="R393" s="264">
        <f t="shared" si="261"/>
        <v>0</v>
      </c>
      <c r="S393" s="264">
        <f t="shared" si="261"/>
        <v>0</v>
      </c>
      <c r="T393" s="264">
        <f t="shared" ref="T393:T401" si="262">IF(Q393&gt;0,S393*100/Q393,0)</f>
        <v>0</v>
      </c>
      <c r="U393" s="264">
        <f t="shared" ref="U393:U401" si="263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6">
        <f t="shared" ref="L394:N395" si="264">L397+L400</f>
        <v>0</v>
      </c>
      <c r="M394" s="77">
        <f t="shared" si="264"/>
        <v>0</v>
      </c>
      <c r="N394" s="77">
        <f t="shared" si="264"/>
        <v>0</v>
      </c>
      <c r="O394" s="77">
        <f t="shared" si="259"/>
        <v>0</v>
      </c>
      <c r="P394" s="77">
        <f t="shared" si="260"/>
        <v>0</v>
      </c>
      <c r="Q394" s="77">
        <f t="shared" ref="Q394:S395" si="265">Q397+Q400</f>
        <v>0</v>
      </c>
      <c r="R394" s="77">
        <f t="shared" si="265"/>
        <v>0</v>
      </c>
      <c r="S394" s="77">
        <f t="shared" si="265"/>
        <v>0</v>
      </c>
      <c r="T394" s="77">
        <f t="shared" si="262"/>
        <v>0</v>
      </c>
      <c r="U394" s="77">
        <f t="shared" si="263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3">
        <f t="shared" si="264"/>
        <v>0</v>
      </c>
      <c r="M395" s="74">
        <f t="shared" si="264"/>
        <v>0</v>
      </c>
      <c r="N395" s="74">
        <f t="shared" si="264"/>
        <v>0</v>
      </c>
      <c r="O395" s="74">
        <f t="shared" si="259"/>
        <v>0</v>
      </c>
      <c r="P395" s="74">
        <f t="shared" si="260"/>
        <v>0</v>
      </c>
      <c r="Q395" s="74">
        <f t="shared" si="265"/>
        <v>0</v>
      </c>
      <c r="R395" s="74">
        <f t="shared" si="265"/>
        <v>0</v>
      </c>
      <c r="S395" s="74">
        <f t="shared" si="265"/>
        <v>0</v>
      </c>
      <c r="T395" s="74">
        <f t="shared" si="262"/>
        <v>0</v>
      </c>
      <c r="U395" s="74">
        <f t="shared" si="263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3">
        <f t="shared" ref="L396:N396" si="266">L397+L398</f>
        <v>0</v>
      </c>
      <c r="M396" s="74">
        <f t="shared" si="266"/>
        <v>0</v>
      </c>
      <c r="N396" s="74">
        <f t="shared" si="266"/>
        <v>0</v>
      </c>
      <c r="O396" s="74">
        <f t="shared" si="259"/>
        <v>0</v>
      </c>
      <c r="P396" s="74">
        <f t="shared" si="260"/>
        <v>0</v>
      </c>
      <c r="Q396" s="74">
        <f t="shared" ref="Q396:S396" si="267">Q397+Q398</f>
        <v>0</v>
      </c>
      <c r="R396" s="74">
        <f t="shared" si="267"/>
        <v>0</v>
      </c>
      <c r="S396" s="74">
        <f t="shared" si="267"/>
        <v>0</v>
      </c>
      <c r="T396" s="74">
        <f t="shared" si="262"/>
        <v>0</v>
      </c>
      <c r="U396" s="74">
        <f t="shared" si="263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77">
        <f t="shared" si="259"/>
        <v>0</v>
      </c>
      <c r="P397" s="77">
        <f t="shared" si="260"/>
        <v>0</v>
      </c>
      <c r="Q397" s="77">
        <v>0</v>
      </c>
      <c r="R397" s="77">
        <v>0</v>
      </c>
      <c r="S397" s="77">
        <v>0</v>
      </c>
      <c r="T397" s="77">
        <f t="shared" si="262"/>
        <v>0</v>
      </c>
      <c r="U397" s="77">
        <f t="shared" si="263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74">
        <f t="shared" si="259"/>
        <v>0</v>
      </c>
      <c r="P398" s="74">
        <f t="shared" si="260"/>
        <v>0</v>
      </c>
      <c r="Q398" s="74">
        <v>0</v>
      </c>
      <c r="R398" s="74">
        <v>0</v>
      </c>
      <c r="S398" s="74">
        <v>0</v>
      </c>
      <c r="T398" s="74">
        <f t="shared" si="262"/>
        <v>0</v>
      </c>
      <c r="U398" s="74">
        <f t="shared" si="263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3">
        <f t="shared" ref="L399:N399" si="268">L400+L401</f>
        <v>0</v>
      </c>
      <c r="M399" s="74">
        <f t="shared" si="268"/>
        <v>0</v>
      </c>
      <c r="N399" s="74">
        <f t="shared" si="268"/>
        <v>0</v>
      </c>
      <c r="O399" s="74">
        <f t="shared" si="259"/>
        <v>0</v>
      </c>
      <c r="P399" s="74">
        <f t="shared" si="260"/>
        <v>0</v>
      </c>
      <c r="Q399" s="74">
        <f t="shared" ref="Q399:S399" si="269">Q400+Q401</f>
        <v>0</v>
      </c>
      <c r="R399" s="74">
        <f t="shared" si="269"/>
        <v>0</v>
      </c>
      <c r="S399" s="74">
        <f t="shared" si="269"/>
        <v>0</v>
      </c>
      <c r="T399" s="74">
        <f t="shared" si="262"/>
        <v>0</v>
      </c>
      <c r="U399" s="74">
        <f t="shared" si="263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77">
        <f t="shared" si="259"/>
        <v>0</v>
      </c>
      <c r="P400" s="77">
        <f t="shared" si="260"/>
        <v>0</v>
      </c>
      <c r="Q400" s="77">
        <v>0</v>
      </c>
      <c r="R400" s="77">
        <v>0</v>
      </c>
      <c r="S400" s="77">
        <v>0</v>
      </c>
      <c r="T400" s="77">
        <f t="shared" si="262"/>
        <v>0</v>
      </c>
      <c r="U400" s="77">
        <f t="shared" si="263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74">
        <f t="shared" si="259"/>
        <v>0</v>
      </c>
      <c r="P401" s="74">
        <f t="shared" si="260"/>
        <v>0</v>
      </c>
      <c r="Q401" s="74">
        <v>0</v>
      </c>
      <c r="R401" s="74">
        <v>0</v>
      </c>
      <c r="S401" s="74">
        <v>0</v>
      </c>
      <c r="T401" s="74">
        <f t="shared" si="262"/>
        <v>0</v>
      </c>
      <c r="U401" s="74">
        <f t="shared" si="263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70">I424</f>
        <v>0</v>
      </c>
      <c r="J413" s="617">
        <f t="shared" si="270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1257">
        <f t="shared" ref="L414:N414" si="271">L415+L416</f>
        <v>0</v>
      </c>
      <c r="M414" s="264">
        <f t="shared" si="271"/>
        <v>0</v>
      </c>
      <c r="N414" s="264">
        <f t="shared" si="271"/>
        <v>0</v>
      </c>
      <c r="O414" s="264">
        <f t="shared" ref="O414:O422" si="272">IF(L414&gt;0,N414*100/L414,0)</f>
        <v>0</v>
      </c>
      <c r="P414" s="264">
        <f t="shared" ref="P414:P422" si="273">IF(M414&gt;0,N414*100/M414,0)</f>
        <v>0</v>
      </c>
      <c r="Q414" s="264">
        <f t="shared" ref="Q414:S414" ca="1" si="274">Q415+Q416</f>
        <v>0</v>
      </c>
      <c r="R414" s="264">
        <f t="shared" ca="1" si="274"/>
        <v>0</v>
      </c>
      <c r="S414" s="264">
        <f t="shared" ca="1" si="274"/>
        <v>0</v>
      </c>
      <c r="T414" s="264">
        <f t="shared" ref="T414:T422" ca="1" si="275">IF(Q414&gt;0,S414*100/Q414,0)</f>
        <v>0</v>
      </c>
      <c r="U414" s="264">
        <f t="shared" ref="U414:U422" ca="1" si="276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6">
        <f t="shared" ref="L415:N416" si="277">L418+L421</f>
        <v>0</v>
      </c>
      <c r="M415" s="77">
        <f t="shared" si="277"/>
        <v>0</v>
      </c>
      <c r="N415" s="77">
        <f t="shared" si="277"/>
        <v>0</v>
      </c>
      <c r="O415" s="77">
        <f t="shared" si="272"/>
        <v>0</v>
      </c>
      <c r="P415" s="77">
        <f t="shared" si="273"/>
        <v>0</v>
      </c>
      <c r="Q415" s="77">
        <f t="shared" ref="Q415:S416" si="278">Q418+Q421</f>
        <v>0</v>
      </c>
      <c r="R415" s="77">
        <f t="shared" si="278"/>
        <v>0</v>
      </c>
      <c r="S415" s="77">
        <f t="shared" si="278"/>
        <v>0</v>
      </c>
      <c r="T415" s="77">
        <f t="shared" si="275"/>
        <v>0</v>
      </c>
      <c r="U415" s="77">
        <f t="shared" si="276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3">
        <f t="shared" si="277"/>
        <v>0</v>
      </c>
      <c r="M416" s="74">
        <f t="shared" si="277"/>
        <v>0</v>
      </c>
      <c r="N416" s="74">
        <f t="shared" si="277"/>
        <v>0</v>
      </c>
      <c r="O416" s="74">
        <f t="shared" si="272"/>
        <v>0</v>
      </c>
      <c r="P416" s="74">
        <f t="shared" si="273"/>
        <v>0</v>
      </c>
      <c r="Q416" s="74">
        <f t="shared" ca="1" si="278"/>
        <v>0</v>
      </c>
      <c r="R416" s="74">
        <f t="shared" ca="1" si="278"/>
        <v>0</v>
      </c>
      <c r="S416" s="74">
        <f t="shared" ca="1" si="278"/>
        <v>0</v>
      </c>
      <c r="T416" s="74">
        <f t="shared" ca="1" si="275"/>
        <v>0</v>
      </c>
      <c r="U416" s="74">
        <f t="shared" ca="1" si="276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3">
        <f t="shared" ref="L417:N417" si="279">L418+L419</f>
        <v>0</v>
      </c>
      <c r="M417" s="74">
        <f t="shared" si="279"/>
        <v>0</v>
      </c>
      <c r="N417" s="74">
        <f t="shared" si="279"/>
        <v>0</v>
      </c>
      <c r="O417" s="74">
        <f t="shared" si="272"/>
        <v>0</v>
      </c>
      <c r="P417" s="74">
        <f t="shared" si="273"/>
        <v>0</v>
      </c>
      <c r="Q417" s="74">
        <f t="shared" ref="Q417:S417" ca="1" si="280">Q418+Q419</f>
        <v>0</v>
      </c>
      <c r="R417" s="74">
        <f t="shared" ca="1" si="280"/>
        <v>0</v>
      </c>
      <c r="S417" s="74">
        <f t="shared" ca="1" si="280"/>
        <v>0</v>
      </c>
      <c r="T417" s="74">
        <f t="shared" ca="1" si="275"/>
        <v>0</v>
      </c>
      <c r="U417" s="74">
        <f t="shared" ca="1" si="276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77">
        <f t="shared" si="272"/>
        <v>0</v>
      </c>
      <c r="P418" s="77">
        <f t="shared" si="273"/>
        <v>0</v>
      </c>
      <c r="Q418" s="77">
        <v>0</v>
      </c>
      <c r="R418" s="77">
        <v>0</v>
      </c>
      <c r="S418" s="77">
        <v>0</v>
      </c>
      <c r="T418" s="77">
        <f t="shared" si="275"/>
        <v>0</v>
      </c>
      <c r="U418" s="77">
        <f t="shared" si="276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74">
        <f t="shared" si="272"/>
        <v>0</v>
      </c>
      <c r="P419" s="74">
        <f t="shared" si="273"/>
        <v>0</v>
      </c>
      <c r="Q419" s="74">
        <f ca="1">IFERROR(__xludf.DUMMYFUNCTION("IMPORTRANGE(""https://docs.google.com/spreadsheets/d/1ItG2mGa2ceCfYo0BwxsXqNm01IGEUdYcSSLTEv9YCik/edit?usp=sharing"",""เบิกจ่ายกองทุน!BH67"")"),0)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IFERROR(__xludf.DUMMYFUNCTION("IMPORTRANGE(""https://docs.google.com/spreadsheets/d/1ItG2mGa2ceCfYo0BwxsXqNm01IGEUdYcSSLTEv9YCik/edit?usp=sharing"",""เบิกจ่ายกองทุน!BI67"")"),0)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IFERROR(__xludf.DUMMYFUNCTION("IMPORTRANGE(""https://docs.google.com/spreadsheets/d/1ItG2mGa2ceCfYo0BwxsXqNm01IGEUdYcSSLTEv9YCik/edit?usp=sharing"",""เบิกจ่ายกองทุน!BJ67"")"),0)</f>
        <v>0</v>
      </c>
      <c r="T419" s="74">
        <f t="shared" ca="1" si="275"/>
        <v>0</v>
      </c>
      <c r="U419" s="74">
        <f t="shared" ca="1" si="276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3">
        <f t="shared" ref="L420:N420" si="281">L421+L422</f>
        <v>0</v>
      </c>
      <c r="M420" s="74">
        <f t="shared" si="281"/>
        <v>0</v>
      </c>
      <c r="N420" s="74">
        <f t="shared" si="281"/>
        <v>0</v>
      </c>
      <c r="O420" s="74">
        <f t="shared" si="272"/>
        <v>0</v>
      </c>
      <c r="P420" s="74">
        <f t="shared" si="273"/>
        <v>0</v>
      </c>
      <c r="Q420" s="74">
        <f t="shared" ref="Q420:S420" si="282">Q421+Q422</f>
        <v>0</v>
      </c>
      <c r="R420" s="74">
        <f t="shared" si="282"/>
        <v>0</v>
      </c>
      <c r="S420" s="74">
        <f t="shared" si="282"/>
        <v>0</v>
      </c>
      <c r="T420" s="74">
        <f t="shared" si="275"/>
        <v>0</v>
      </c>
      <c r="U420" s="74">
        <f t="shared" si="276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77">
        <f t="shared" si="272"/>
        <v>0</v>
      </c>
      <c r="P421" s="77">
        <f t="shared" si="273"/>
        <v>0</v>
      </c>
      <c r="Q421" s="77">
        <v>0</v>
      </c>
      <c r="R421" s="77">
        <v>0</v>
      </c>
      <c r="S421" s="77">
        <v>0</v>
      </c>
      <c r="T421" s="77">
        <f t="shared" si="275"/>
        <v>0</v>
      </c>
      <c r="U421" s="77">
        <f t="shared" si="276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74">
        <f t="shared" si="272"/>
        <v>0</v>
      </c>
      <c r="P422" s="74">
        <f t="shared" si="273"/>
        <v>0</v>
      </c>
      <c r="Q422" s="74">
        <v>0</v>
      </c>
      <c r="R422" s="74">
        <v>0</v>
      </c>
      <c r="S422" s="74">
        <v>0</v>
      </c>
      <c r="T422" s="74">
        <f t="shared" si="275"/>
        <v>0</v>
      </c>
      <c r="U422" s="74">
        <f t="shared" si="276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3">I441</f>
        <v>0</v>
      </c>
      <c r="J424" s="622">
        <f t="shared" si="283"/>
        <v>0</v>
      </c>
      <c r="K424" s="264">
        <f t="shared" ref="K424:K426" ca="1" si="284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IFERROR(__xludf.DUMMYFUNCTION("IMPORTRANGE(""https://docs.google.com/spreadsheets/d/1eHaY18a8A9IcSdp1K8H6x8fbOy06t2VsZHhMHf-1x7Y/edit?usp=sharing"",""แผน!HJ67"")"),0)</f>
        <v>0</v>
      </c>
      <c r="J425" s="622">
        <f t="shared" ref="J425:J426" si="285">J427+J429+J431</f>
        <v>0</v>
      </c>
      <c r="K425" s="264">
        <f t="shared" ca="1" si="284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IFERROR(__xludf.DUMMYFUNCTION("IMPORTRANGE(""https://docs.google.com/spreadsheets/d/1eHaY18a8A9IcSdp1K8H6x8fbOy06t2VsZHhMHf-1x7Y/edit?usp=sharing"",""แผน!HK67"")"),0)</f>
        <v>0</v>
      </c>
      <c r="J426" s="622">
        <f t="shared" si="285"/>
        <v>0</v>
      </c>
      <c r="K426" s="264">
        <f t="shared" ca="1" si="284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IFERROR(__xludf.DUMMYFUNCTION("IMPORTRANGE(""https://docs.google.com/spreadsheets/d/1eHaY18a8A9IcSdp1K8H6x8fbOy06t2VsZHhMHf-1x7Y/edit?usp=sharing"",""แผน!HJ67"")"),0)</f>
        <v>0</v>
      </c>
      <c r="J433" s="622">
        <f t="shared" ref="J433:J434" si="286">J435+J437+J439</f>
        <v>0</v>
      </c>
      <c r="K433" s="264">
        <f t="shared" ref="K433:K434" ca="1" si="287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IFERROR(__xludf.DUMMYFUNCTION("IMPORTRANGE(""https://docs.google.com/spreadsheets/d/1eHaY18a8A9IcSdp1K8H6x8fbOy06t2VsZHhMHf-1x7Y/edit?usp=sharing"",""แผน!HK67"")"),0)</f>
        <v>0</v>
      </c>
      <c r="J434" s="622">
        <f t="shared" si="286"/>
        <v>0</v>
      </c>
      <c r="K434" s="264">
        <f t="shared" ca="1" si="287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IFERROR(__xludf.DUMMYFUNCTION("IMPORTRANGE(""https://docs.google.com/spreadsheets/d/1eHaY18a8A9IcSdp1K8H6x8fbOy06t2VsZHhMHf-1x7Y/edit?usp=sharing"",""แผน!HJ67"")"),0)</f>
        <v>0</v>
      </c>
      <c r="J441" s="622">
        <f t="shared" ref="J441:J442" si="288">J443+J445+J447+J453+J455</f>
        <v>0</v>
      </c>
      <c r="K441" s="264">
        <f t="shared" ref="K441:K442" ca="1" si="289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IFERROR(__xludf.DUMMYFUNCTION("IMPORTRANGE(""https://docs.google.com/spreadsheets/d/1eHaY18a8A9IcSdp1K8H6x8fbOy06t2VsZHhMHf-1x7Y/edit?usp=sharing"",""แผน!HK67"")"),0)</f>
        <v>0</v>
      </c>
      <c r="J442" s="622">
        <f t="shared" si="288"/>
        <v>0</v>
      </c>
      <c r="K442" s="264">
        <f t="shared" ca="1" si="289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90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90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1">I458</f>
        <v>0</v>
      </c>
      <c r="J457" s="622">
        <f t="shared" si="291"/>
        <v>0</v>
      </c>
      <c r="K457" s="264">
        <f t="shared" ref="K457:K459" ca="1" si="292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IFERROR(__xludf.DUMMYFUNCTION("IMPORTRANGE(""https://docs.google.com/spreadsheets/d/1eHaY18a8A9IcSdp1K8H6x8fbOy06t2VsZHhMHf-1x7Y/edit?usp=sharing"",""แผน!HL67"")"),0)</f>
        <v>0</v>
      </c>
      <c r="J458" s="622">
        <f t="shared" ref="J458:J459" si="293">J460+J468+J474</f>
        <v>0</v>
      </c>
      <c r="K458" s="264">
        <f t="shared" ca="1" si="292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IFERROR(__xludf.DUMMYFUNCTION("IMPORTRANGE(""https://docs.google.com/spreadsheets/d/1eHaY18a8A9IcSdp1K8H6x8fbOy06t2VsZHhMHf-1x7Y/edit?usp=sharing"",""แผน!HM67"")"),0)</f>
        <v>0</v>
      </c>
      <c r="J459" s="622">
        <f t="shared" si="293"/>
        <v>0</v>
      </c>
      <c r="K459" s="264">
        <f t="shared" ca="1" si="292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4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4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5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5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6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7">J479+J481</f>
        <v>0</v>
      </c>
      <c r="K477" s="264">
        <f t="shared" si="296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7"/>
        <v>0</v>
      </c>
      <c r="K478" s="264">
        <f t="shared" si="296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IFERROR(__xludf.DUMMYFUNCTION("IMPORTRANGE(""https://docs.google.com/spreadsheets/d/1eHaY18a8A9IcSdp1K8H6x8fbOy06t2VsZHhMHf-1x7Y/edit?usp=sharing"",""แผน!HN67"")"),0)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IFERROR(__xludf.DUMMYFUNCTION("IMPORTRANGE(""https://docs.google.com/spreadsheets/d/1eHaY18a8A9IcSdp1K8H6x8fbOy06t2VsZHhMHf-1x7Y/edit?usp=sharing"",""แผน!HO67"")"),0)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8">J481</f>
        <v>0</v>
      </c>
      <c r="J485" s="622">
        <f t="shared" ref="J485:J486" si="299">J487+J489+J491</f>
        <v>0</v>
      </c>
      <c r="K485" s="264">
        <f t="shared" ref="K485:K486" si="300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8"/>
        <v>0</v>
      </c>
      <c r="J486" s="622">
        <f t="shared" si="299"/>
        <v>0</v>
      </c>
      <c r="K486" s="264">
        <f t="shared" si="300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hidden="1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1">I504</f>
        <v>0</v>
      </c>
      <c r="J493" s="617">
        <f t="shared" ca="1" si="301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1257">
        <f t="shared" ref="L494:N494" si="302">L495+L496</f>
        <v>0</v>
      </c>
      <c r="M494" s="264">
        <f t="shared" si="302"/>
        <v>0</v>
      </c>
      <c r="N494" s="264">
        <f t="shared" si="302"/>
        <v>0</v>
      </c>
      <c r="O494" s="264">
        <f t="shared" ref="O494:O502" si="303">IF(L494&gt;0,N494*100/L494,0)</f>
        <v>0</v>
      </c>
      <c r="P494" s="264">
        <f t="shared" ref="P494:P502" si="304">IF(M494&gt;0,N494*100/M494,0)</f>
        <v>0</v>
      </c>
      <c r="Q494" s="264">
        <f t="shared" ref="Q494:S494" ca="1" si="305">Q495+Q496</f>
        <v>0</v>
      </c>
      <c r="R494" s="264">
        <f t="shared" ca="1" si="305"/>
        <v>0</v>
      </c>
      <c r="S494" s="264">
        <f t="shared" ca="1" si="305"/>
        <v>0</v>
      </c>
      <c r="T494" s="264">
        <f t="shared" ref="T494:T502" ca="1" si="306">IF(Q494&gt;0,S494*100/Q494,0)</f>
        <v>0</v>
      </c>
      <c r="U494" s="264">
        <f t="shared" ref="U494:U502" ca="1" si="307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6">
        <f t="shared" ref="L495:N496" si="308">L498+L501</f>
        <v>0</v>
      </c>
      <c r="M495" s="77">
        <f t="shared" si="308"/>
        <v>0</v>
      </c>
      <c r="N495" s="77">
        <f t="shared" si="308"/>
        <v>0</v>
      </c>
      <c r="O495" s="77">
        <f t="shared" si="303"/>
        <v>0</v>
      </c>
      <c r="P495" s="77">
        <f t="shared" si="304"/>
        <v>0</v>
      </c>
      <c r="Q495" s="77">
        <f t="shared" ref="Q495:S496" si="309">Q498+Q501</f>
        <v>0</v>
      </c>
      <c r="R495" s="77">
        <f t="shared" si="309"/>
        <v>0</v>
      </c>
      <c r="S495" s="77">
        <f t="shared" si="309"/>
        <v>0</v>
      </c>
      <c r="T495" s="77">
        <f t="shared" si="306"/>
        <v>0</v>
      </c>
      <c r="U495" s="77">
        <f t="shared" si="307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3">
        <f t="shared" si="308"/>
        <v>0</v>
      </c>
      <c r="M496" s="74">
        <f t="shared" si="308"/>
        <v>0</v>
      </c>
      <c r="N496" s="74">
        <f t="shared" si="308"/>
        <v>0</v>
      </c>
      <c r="O496" s="74">
        <f t="shared" si="303"/>
        <v>0</v>
      </c>
      <c r="P496" s="74">
        <f t="shared" si="304"/>
        <v>0</v>
      </c>
      <c r="Q496" s="74">
        <f t="shared" ca="1" si="309"/>
        <v>0</v>
      </c>
      <c r="R496" s="74">
        <f t="shared" ca="1" si="309"/>
        <v>0</v>
      </c>
      <c r="S496" s="74">
        <f t="shared" ca="1" si="309"/>
        <v>0</v>
      </c>
      <c r="T496" s="74">
        <f t="shared" ca="1" si="306"/>
        <v>0</v>
      </c>
      <c r="U496" s="74">
        <f t="shared" ca="1" si="307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3">
        <f t="shared" ref="L497:N497" si="310">L498+L499</f>
        <v>0</v>
      </c>
      <c r="M497" s="74">
        <f t="shared" si="310"/>
        <v>0</v>
      </c>
      <c r="N497" s="74">
        <f t="shared" si="310"/>
        <v>0</v>
      </c>
      <c r="O497" s="74">
        <f t="shared" si="303"/>
        <v>0</v>
      </c>
      <c r="P497" s="74">
        <f t="shared" si="304"/>
        <v>0</v>
      </c>
      <c r="Q497" s="74">
        <f t="shared" ref="Q497:S497" ca="1" si="311">Q498+Q499</f>
        <v>0</v>
      </c>
      <c r="R497" s="74">
        <f t="shared" ca="1" si="311"/>
        <v>0</v>
      </c>
      <c r="S497" s="74">
        <f t="shared" ca="1" si="311"/>
        <v>0</v>
      </c>
      <c r="T497" s="74">
        <f t="shared" ca="1" si="306"/>
        <v>0</v>
      </c>
      <c r="U497" s="74">
        <f t="shared" ca="1" si="307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77">
        <f t="shared" si="303"/>
        <v>0</v>
      </c>
      <c r="P498" s="77">
        <f t="shared" si="304"/>
        <v>0</v>
      </c>
      <c r="Q498" s="77">
        <v>0</v>
      </c>
      <c r="R498" s="77">
        <v>0</v>
      </c>
      <c r="S498" s="77">
        <v>0</v>
      </c>
      <c r="T498" s="77">
        <f t="shared" si="306"/>
        <v>0</v>
      </c>
      <c r="U498" s="77">
        <f t="shared" si="307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74">
        <f t="shared" si="303"/>
        <v>0</v>
      </c>
      <c r="P499" s="74">
        <f t="shared" si="304"/>
        <v>0</v>
      </c>
      <c r="Q499" s="74">
        <f ca="1">IFERROR(__xludf.DUMMYFUNCTION("IMPORTRANGE(""https://docs.google.com/spreadsheets/d/1ItG2mGa2ceCfYo0BwxsXqNm01IGEUdYcSSLTEv9YCik/edit?usp=sharing"",""เบิกจ่ายกองทุน!X67"")"),0)</f>
        <v>0</v>
      </c>
      <c r="R499" s="74">
        <f ca="1">IFERROR(__xludf.DUMMYFUNCTION("IMPORTRANGE(""https://docs.google.com/spreadsheets/d/1ItG2mGa2ceCfYo0BwxsXqNm01IGEUdYcSSLTEv9YCik/edit?usp=sharing"",""เบิกจ่ายกองทุน!Y67"")"),0)</f>
        <v>0</v>
      </c>
      <c r="S499" s="74">
        <f ca="1">IFERROR(__xludf.DUMMYFUNCTION("IMPORTRANGE(""https://docs.google.com/spreadsheets/d/1ItG2mGa2ceCfYo0BwxsXqNm01IGEUdYcSSLTEv9YCik/edit?usp=sharing"",""เบิกจ่ายกองทุน!Z67"")"),0)</f>
        <v>0</v>
      </c>
      <c r="T499" s="74">
        <f t="shared" ca="1" si="306"/>
        <v>0</v>
      </c>
      <c r="U499" s="74">
        <f t="shared" ca="1" si="307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3">
        <f t="shared" ref="L500:N500" si="312">L501+L502</f>
        <v>0</v>
      </c>
      <c r="M500" s="74">
        <f t="shared" si="312"/>
        <v>0</v>
      </c>
      <c r="N500" s="74">
        <f t="shared" si="312"/>
        <v>0</v>
      </c>
      <c r="O500" s="74">
        <f t="shared" si="303"/>
        <v>0</v>
      </c>
      <c r="P500" s="74">
        <f t="shared" si="304"/>
        <v>0</v>
      </c>
      <c r="Q500" s="74">
        <f t="shared" ref="Q500:S500" si="313">Q501+Q502</f>
        <v>0</v>
      </c>
      <c r="R500" s="74">
        <f t="shared" si="313"/>
        <v>0</v>
      </c>
      <c r="S500" s="74">
        <f t="shared" si="313"/>
        <v>0</v>
      </c>
      <c r="T500" s="74">
        <f t="shared" si="306"/>
        <v>0</v>
      </c>
      <c r="U500" s="74">
        <f t="shared" si="307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77">
        <f t="shared" si="303"/>
        <v>0</v>
      </c>
      <c r="P501" s="77">
        <f t="shared" si="304"/>
        <v>0</v>
      </c>
      <c r="Q501" s="77">
        <v>0</v>
      </c>
      <c r="R501" s="77">
        <v>0</v>
      </c>
      <c r="S501" s="77">
        <v>0</v>
      </c>
      <c r="T501" s="77">
        <f t="shared" si="306"/>
        <v>0</v>
      </c>
      <c r="U501" s="77">
        <f t="shared" si="307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74">
        <f t="shared" si="303"/>
        <v>0</v>
      </c>
      <c r="P502" s="74">
        <f t="shared" si="304"/>
        <v>0</v>
      </c>
      <c r="Q502" s="74">
        <v>0</v>
      </c>
      <c r="R502" s="74">
        <v>0</v>
      </c>
      <c r="S502" s="74">
        <v>0</v>
      </c>
      <c r="T502" s="74">
        <f t="shared" si="306"/>
        <v>0</v>
      </c>
      <c r="U502" s="74">
        <f t="shared" si="307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IFERROR(__xludf.DUMMYFUNCTION("IMPORTRANGE(""https://docs.google.com/spreadsheets/d/1eHaY18a8A9IcSdp1K8H6x8fbOy06t2VsZHhMHf-1x7Y/edit?usp=sharing"",""แผน!GX67"")"),0)</f>
        <v>0</v>
      </c>
      <c r="J504" s="622">
        <f ca="1">IF(AND(J505=I505,J506=I506,J507=I507,J508=I508),I504,0)</f>
        <v>0</v>
      </c>
      <c r="K504" s="264">
        <f t="shared" ref="K504:K510" ca="1" si="314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IFERROR(__xludf.DUMMYFUNCTION("IMPORTRANGE(""https://docs.google.com/spreadsheets/d/1eHaY18a8A9IcSdp1K8H6x8fbOy06t2VsZHhMHf-1x7Y/edit?usp=sharing"",""แผน!GY67"")"),0)</f>
        <v>0</v>
      </c>
      <c r="J505" s="294">
        <v>0</v>
      </c>
      <c r="K505" s="74">
        <f t="shared" ca="1" si="314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IFERROR(__xludf.DUMMYFUNCTION("IMPORTRANGE(""https://docs.google.com/spreadsheets/d/1eHaY18a8A9IcSdp1K8H6x8fbOy06t2VsZHhMHf-1x7Y/edit?usp=sharing"",""แผน!GZ67"")"),0)</f>
        <v>0</v>
      </c>
      <c r="J506" s="294">
        <v>0</v>
      </c>
      <c r="K506" s="74">
        <f t="shared" ca="1" si="314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IFERROR(__xludf.DUMMYFUNCTION("IMPORTRANGE(""https://docs.google.com/spreadsheets/d/1eHaY18a8A9IcSdp1K8H6x8fbOy06t2VsZHhMHf-1x7Y/edit?usp=sharing"",""แผน!HA67"")"),0)</f>
        <v>0</v>
      </c>
      <c r="J507" s="294">
        <v>0</v>
      </c>
      <c r="K507" s="74">
        <f t="shared" ca="1" si="314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IFERROR(__xludf.DUMMYFUNCTION("IMPORTRANGE(""https://docs.google.com/spreadsheets/d/1eHaY18a8A9IcSdp1K8H6x8fbOy06t2VsZHhMHf-1x7Y/edit?usp=sharing"",""แผน!HB67"")"),0)</f>
        <v>0</v>
      </c>
      <c r="J508" s="294">
        <v>0</v>
      </c>
      <c r="K508" s="74">
        <f t="shared" ca="1" si="314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4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IFERROR(__xludf.DUMMYFUNCTION("IMPORTRANGE(""https://docs.google.com/spreadsheets/d/1eHaY18a8A9IcSdp1K8H6x8fbOy06t2VsZHhMHf-1x7Y/edit?usp=sharing"",""แผน!HC67"")"),0)</f>
        <v>0</v>
      </c>
      <c r="J510" s="761">
        <v>0</v>
      </c>
      <c r="K510" s="182">
        <f t="shared" ca="1" si="314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9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309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987" t="s">
        <v>61</v>
      </c>
      <c r="I513" s="988">
        <f t="shared" ref="I513:J513" si="315">I525</f>
        <v>0</v>
      </c>
      <c r="J513" s="988">
        <f t="shared" si="315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7">
        <f t="shared" ref="L514:N514" ca="1" si="316">L515+L516</f>
        <v>0</v>
      </c>
      <c r="M514" s="264">
        <f t="shared" ca="1" si="316"/>
        <v>0</v>
      </c>
      <c r="N514" s="264">
        <f t="shared" ca="1" si="316"/>
        <v>0</v>
      </c>
      <c r="O514" s="264">
        <f t="shared" ref="O514:O522" ca="1" si="317">IF(L514&gt;0,N514*100/L514,0)</f>
        <v>0</v>
      </c>
      <c r="P514" s="264">
        <f t="shared" ref="P514:P522" ca="1" si="318">IF(M514&gt;0,N514*100/M514,0)</f>
        <v>0</v>
      </c>
      <c r="Q514" s="264">
        <f t="shared" ref="Q514:S514" si="319">Q515+Q516</f>
        <v>0</v>
      </c>
      <c r="R514" s="264">
        <f t="shared" si="319"/>
        <v>0</v>
      </c>
      <c r="S514" s="264">
        <f t="shared" si="319"/>
        <v>0</v>
      </c>
      <c r="T514" s="264">
        <f t="shared" ref="T514:T522" si="320">IF(Q514&gt;0,S514*100/Q514,0)</f>
        <v>0</v>
      </c>
      <c r="U514" s="264">
        <f t="shared" ref="U514:U522" si="321">IF(R514&gt;0,S514*100/R514,0)</f>
        <v>0</v>
      </c>
    </row>
    <row r="515" spans="1:21" ht="18.75" hidden="1" x14ac:dyDescent="0.25">
      <c r="A515" s="257"/>
      <c r="B515" s="258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6">
        <f t="shared" ref="L515:N516" si="322">L518+L521</f>
        <v>0</v>
      </c>
      <c r="M515" s="77">
        <f t="shared" si="322"/>
        <v>0</v>
      </c>
      <c r="N515" s="77">
        <f t="shared" si="322"/>
        <v>0</v>
      </c>
      <c r="O515" s="77">
        <f t="shared" si="317"/>
        <v>0</v>
      </c>
      <c r="P515" s="77">
        <f t="shared" si="318"/>
        <v>0</v>
      </c>
      <c r="Q515" s="77">
        <f t="shared" ref="Q515:S516" si="323">Q518+Q521</f>
        <v>0</v>
      </c>
      <c r="R515" s="77">
        <f t="shared" si="323"/>
        <v>0</v>
      </c>
      <c r="S515" s="77">
        <f t="shared" si="323"/>
        <v>0</v>
      </c>
      <c r="T515" s="77">
        <f t="shared" si="320"/>
        <v>0</v>
      </c>
      <c r="U515" s="77">
        <f t="shared" si="321"/>
        <v>0</v>
      </c>
    </row>
    <row r="516" spans="1:21" ht="18.75" hidden="1" x14ac:dyDescent="0.25">
      <c r="A516" s="257"/>
      <c r="B516" s="258"/>
      <c r="C516" s="258"/>
      <c r="D516" s="258"/>
      <c r="E516" s="265" t="s">
        <v>21</v>
      </c>
      <c r="F516" s="258"/>
      <c r="G516" s="261"/>
      <c r="H516" s="266" t="s">
        <v>14</v>
      </c>
      <c r="I516" s="263"/>
      <c r="J516" s="263"/>
      <c r="K516" s="87"/>
      <c r="L516" s="73">
        <f t="shared" ca="1" si="322"/>
        <v>0</v>
      </c>
      <c r="M516" s="74">
        <f t="shared" ca="1" si="322"/>
        <v>0</v>
      </c>
      <c r="N516" s="74">
        <f t="shared" ca="1" si="322"/>
        <v>0</v>
      </c>
      <c r="O516" s="74">
        <f t="shared" ca="1" si="317"/>
        <v>0</v>
      </c>
      <c r="P516" s="74">
        <f t="shared" ca="1" si="318"/>
        <v>0</v>
      </c>
      <c r="Q516" s="74">
        <f t="shared" si="323"/>
        <v>0</v>
      </c>
      <c r="R516" s="74">
        <f t="shared" si="323"/>
        <v>0</v>
      </c>
      <c r="S516" s="74">
        <f t="shared" si="323"/>
        <v>0</v>
      </c>
      <c r="T516" s="74">
        <f t="shared" si="320"/>
        <v>0</v>
      </c>
      <c r="U516" s="74">
        <f t="shared" si="321"/>
        <v>0</v>
      </c>
    </row>
    <row r="517" spans="1:21" ht="18.75" hidden="1" x14ac:dyDescent="0.25">
      <c r="A517" s="257"/>
      <c r="B517" s="258"/>
      <c r="C517" s="258"/>
      <c r="D517" s="991" t="s">
        <v>22</v>
      </c>
      <c r="E517" s="258"/>
      <c r="F517" s="258"/>
      <c r="G517" s="261"/>
      <c r="H517" s="273" t="s">
        <v>14</v>
      </c>
      <c r="I517" s="272"/>
      <c r="J517" s="272"/>
      <c r="K517" s="229"/>
      <c r="L517" s="73">
        <f t="shared" ref="L517:N517" ca="1" si="324">L518+L519</f>
        <v>0</v>
      </c>
      <c r="M517" s="74">
        <f t="shared" ca="1" si="324"/>
        <v>0</v>
      </c>
      <c r="N517" s="74">
        <f t="shared" ca="1" si="324"/>
        <v>0</v>
      </c>
      <c r="O517" s="74">
        <f t="shared" ca="1" si="317"/>
        <v>0</v>
      </c>
      <c r="P517" s="74">
        <f t="shared" ca="1" si="318"/>
        <v>0</v>
      </c>
      <c r="Q517" s="74">
        <f t="shared" ref="Q517:S517" si="325">Q518+Q519</f>
        <v>0</v>
      </c>
      <c r="R517" s="74">
        <f t="shared" si="325"/>
        <v>0</v>
      </c>
      <c r="S517" s="74">
        <f t="shared" si="325"/>
        <v>0</v>
      </c>
      <c r="T517" s="74">
        <f t="shared" si="320"/>
        <v>0</v>
      </c>
      <c r="U517" s="74">
        <f t="shared" si="321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77">
        <f t="shared" si="317"/>
        <v>0</v>
      </c>
      <c r="P518" s="77">
        <f t="shared" si="318"/>
        <v>0</v>
      </c>
      <c r="Q518" s="77">
        <v>0</v>
      </c>
      <c r="R518" s="77">
        <v>0</v>
      </c>
      <c r="S518" s="77">
        <v>0</v>
      </c>
      <c r="T518" s="77">
        <f t="shared" si="320"/>
        <v>0</v>
      </c>
      <c r="U518" s="77">
        <f t="shared" si="321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3">
        <f ca="1">IFERROR(__xludf.DUMMYFUNCTION("IMPORTRANGE(""https://docs.google.com/spreadsheets/d/1-uDff_7J0KD5mKrp0Vvzr7lt3OU09vwQwhkpOPPYv2Y/edit?usp=sharing"",""งบพรบ!FM67"")"),0)</f>
        <v>0</v>
      </c>
      <c r="M519" s="74">
        <f ca="1">IFERROR(__xludf.DUMMYFUNCTION("IMPORTRANGE(""https://docs.google.com/spreadsheets/d/1-uDff_7J0KD5mKrp0Vvzr7lt3OU09vwQwhkpOPPYv2Y/edit?usp=sharing"",""งบพรบ!FR67"")"),0)</f>
        <v>0</v>
      </c>
      <c r="N519" s="74">
        <f ca="1">IFERROR(__xludf.DUMMYFUNCTION("IMPORTRANGE(""https://docs.google.com/spreadsheets/d/1-uDff_7J0KD5mKrp0Vvzr7lt3OU09vwQwhkpOPPYv2Y/edit?usp=sharing"",""งบพรบ!FT67"")"),0)</f>
        <v>0</v>
      </c>
      <c r="O519" s="74">
        <f t="shared" ca="1" si="317"/>
        <v>0</v>
      </c>
      <c r="P519" s="74">
        <f t="shared" ca="1" si="318"/>
        <v>0</v>
      </c>
      <c r="Q519" s="74">
        <v>0</v>
      </c>
      <c r="R519" s="74">
        <v>0</v>
      </c>
      <c r="S519" s="74">
        <v>0</v>
      </c>
      <c r="T519" s="74">
        <f t="shared" si="320"/>
        <v>0</v>
      </c>
      <c r="U519" s="74">
        <f t="shared" si="321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3">
        <f t="shared" ref="L520:N520" ca="1" si="326">L521+L522</f>
        <v>0</v>
      </c>
      <c r="M520" s="74">
        <f t="shared" ca="1" si="326"/>
        <v>0</v>
      </c>
      <c r="N520" s="74">
        <f t="shared" ca="1" si="326"/>
        <v>0</v>
      </c>
      <c r="O520" s="74">
        <f t="shared" ca="1" si="317"/>
        <v>0</v>
      </c>
      <c r="P520" s="74">
        <f t="shared" ca="1" si="318"/>
        <v>0</v>
      </c>
      <c r="Q520" s="74">
        <f t="shared" ref="Q520:S520" si="327">Q521+Q522</f>
        <v>0</v>
      </c>
      <c r="R520" s="74">
        <f t="shared" si="327"/>
        <v>0</v>
      </c>
      <c r="S520" s="74">
        <f t="shared" si="327"/>
        <v>0</v>
      </c>
      <c r="T520" s="74">
        <f t="shared" si="320"/>
        <v>0</v>
      </c>
      <c r="U520" s="74">
        <f t="shared" si="321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77">
        <f t="shared" si="317"/>
        <v>0</v>
      </c>
      <c r="P521" s="77">
        <f t="shared" si="318"/>
        <v>0</v>
      </c>
      <c r="Q521" s="77">
        <v>0</v>
      </c>
      <c r="R521" s="77">
        <v>0</v>
      </c>
      <c r="S521" s="77">
        <v>0</v>
      </c>
      <c r="T521" s="77">
        <f t="shared" si="320"/>
        <v>0</v>
      </c>
      <c r="U521" s="77">
        <f t="shared" si="321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3">
        <f ca="1">IFERROR(__xludf.DUMMYFUNCTION("IMPORTRANGE(""https://docs.google.com/spreadsheets/d/1-uDff_7J0KD5mKrp0Vvzr7lt3OU09vwQwhkpOPPYv2Y/edit?usp=sharing"",""งบพรบ!FP67"")"),0)</f>
        <v>0</v>
      </c>
      <c r="M522" s="74">
        <f ca="1">IFERROR(__xludf.DUMMYFUNCTION("IMPORTRANGE(""https://docs.google.com/spreadsheets/d/1-uDff_7J0KD5mKrp0Vvzr7lt3OU09vwQwhkpOPPYv2Y/edit?usp=sharing"",""งบพรบ!FS67"")"),0)</f>
        <v>0</v>
      </c>
      <c r="N522" s="74">
        <f ca="1">IFERROR(__xludf.DUMMYFUNCTION("IMPORTRANGE(""https://docs.google.com/spreadsheets/d/1-uDff_7J0KD5mKrp0Vvzr7lt3OU09vwQwhkpOPPYv2Y/edit?usp=sharing"",""งบพรบ!FU67"")"),0)</f>
        <v>0</v>
      </c>
      <c r="O522" s="74">
        <f t="shared" ca="1" si="317"/>
        <v>0</v>
      </c>
      <c r="P522" s="74">
        <f t="shared" ca="1" si="318"/>
        <v>0</v>
      </c>
      <c r="Q522" s="74">
        <v>0</v>
      </c>
      <c r="R522" s="74">
        <v>0</v>
      </c>
      <c r="S522" s="74">
        <v>0</v>
      </c>
      <c r="T522" s="74">
        <f t="shared" si="320"/>
        <v>0</v>
      </c>
      <c r="U522" s="74">
        <f t="shared" si="321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8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8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9">I546</f>
        <v>0</v>
      </c>
      <c r="J534" s="1002">
        <f t="shared" si="329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1257">
        <f t="shared" ref="L535:N535" si="330">L536+L537</f>
        <v>0</v>
      </c>
      <c r="M535" s="264">
        <f t="shared" si="330"/>
        <v>0</v>
      </c>
      <c r="N535" s="264">
        <f t="shared" si="330"/>
        <v>0</v>
      </c>
      <c r="O535" s="264">
        <f t="shared" ref="O535:O543" si="331">IF(L535&gt;0,N535*100/L535,0)</f>
        <v>0</v>
      </c>
      <c r="P535" s="264">
        <f t="shared" ref="P535:P543" si="332">IF(M535&gt;0,N535*100/M535,0)</f>
        <v>0</v>
      </c>
      <c r="Q535" s="264">
        <f t="shared" ref="Q535:S535" si="333">Q536+Q537</f>
        <v>0</v>
      </c>
      <c r="R535" s="264">
        <f t="shared" si="333"/>
        <v>0</v>
      </c>
      <c r="S535" s="264">
        <f t="shared" si="333"/>
        <v>0</v>
      </c>
      <c r="T535" s="264">
        <f t="shared" ref="T535:T543" si="334">IF(Q535&gt;0,S535*100/Q535,0)</f>
        <v>0</v>
      </c>
      <c r="U535" s="264">
        <f t="shared" ref="U535:U543" si="335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6">
        <f t="shared" ref="L536:N537" si="336">L539+L542</f>
        <v>0</v>
      </c>
      <c r="M536" s="77">
        <f t="shared" si="336"/>
        <v>0</v>
      </c>
      <c r="N536" s="77">
        <f t="shared" si="336"/>
        <v>0</v>
      </c>
      <c r="O536" s="77">
        <f t="shared" si="331"/>
        <v>0</v>
      </c>
      <c r="P536" s="77">
        <f t="shared" si="332"/>
        <v>0</v>
      </c>
      <c r="Q536" s="77">
        <f t="shared" ref="Q536:S537" si="337">Q539+Q542</f>
        <v>0</v>
      </c>
      <c r="R536" s="77">
        <f t="shared" si="337"/>
        <v>0</v>
      </c>
      <c r="S536" s="77">
        <f t="shared" si="337"/>
        <v>0</v>
      </c>
      <c r="T536" s="77">
        <f t="shared" si="334"/>
        <v>0</v>
      </c>
      <c r="U536" s="77">
        <f t="shared" si="335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3">
        <f t="shared" si="336"/>
        <v>0</v>
      </c>
      <c r="M537" s="74">
        <f t="shared" si="336"/>
        <v>0</v>
      </c>
      <c r="N537" s="74">
        <f t="shared" si="336"/>
        <v>0</v>
      </c>
      <c r="O537" s="74">
        <f t="shared" si="331"/>
        <v>0</v>
      </c>
      <c r="P537" s="74">
        <f t="shared" si="332"/>
        <v>0</v>
      </c>
      <c r="Q537" s="74">
        <f t="shared" si="337"/>
        <v>0</v>
      </c>
      <c r="R537" s="74">
        <f t="shared" si="337"/>
        <v>0</v>
      </c>
      <c r="S537" s="74">
        <f t="shared" si="337"/>
        <v>0</v>
      </c>
      <c r="T537" s="74">
        <f t="shared" si="334"/>
        <v>0</v>
      </c>
      <c r="U537" s="74">
        <f t="shared" si="335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3">
        <f t="shared" ref="L538:N538" si="338">L539+L540</f>
        <v>0</v>
      </c>
      <c r="M538" s="74">
        <f t="shared" si="338"/>
        <v>0</v>
      </c>
      <c r="N538" s="74">
        <f t="shared" si="338"/>
        <v>0</v>
      </c>
      <c r="O538" s="74">
        <f t="shared" si="331"/>
        <v>0</v>
      </c>
      <c r="P538" s="74">
        <f t="shared" si="332"/>
        <v>0</v>
      </c>
      <c r="Q538" s="74">
        <f t="shared" ref="Q538:S538" si="339">Q539+Q540</f>
        <v>0</v>
      </c>
      <c r="R538" s="74">
        <f t="shared" si="339"/>
        <v>0</v>
      </c>
      <c r="S538" s="74">
        <f t="shared" si="339"/>
        <v>0</v>
      </c>
      <c r="T538" s="74">
        <f t="shared" si="334"/>
        <v>0</v>
      </c>
      <c r="U538" s="74">
        <f t="shared" si="335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77">
        <f t="shared" si="331"/>
        <v>0</v>
      </c>
      <c r="P539" s="77">
        <f t="shared" si="332"/>
        <v>0</v>
      </c>
      <c r="Q539" s="77">
        <v>0</v>
      </c>
      <c r="R539" s="77">
        <v>0</v>
      </c>
      <c r="S539" s="77">
        <v>0</v>
      </c>
      <c r="T539" s="77">
        <f t="shared" si="334"/>
        <v>0</v>
      </c>
      <c r="U539" s="77">
        <f t="shared" si="335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74">
        <f t="shared" si="331"/>
        <v>0</v>
      </c>
      <c r="P540" s="74">
        <f t="shared" si="332"/>
        <v>0</v>
      </c>
      <c r="Q540" s="74">
        <v>0</v>
      </c>
      <c r="R540" s="74">
        <v>0</v>
      </c>
      <c r="S540" s="74">
        <v>0</v>
      </c>
      <c r="T540" s="74">
        <f t="shared" si="334"/>
        <v>0</v>
      </c>
      <c r="U540" s="74">
        <f t="shared" si="335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3">
        <f t="shared" ref="L541:N541" si="340">L542+L543</f>
        <v>0</v>
      </c>
      <c r="M541" s="74">
        <f t="shared" si="340"/>
        <v>0</v>
      </c>
      <c r="N541" s="74">
        <f t="shared" si="340"/>
        <v>0</v>
      </c>
      <c r="O541" s="74">
        <f t="shared" si="331"/>
        <v>0</v>
      </c>
      <c r="P541" s="74">
        <f t="shared" si="332"/>
        <v>0</v>
      </c>
      <c r="Q541" s="74">
        <f t="shared" ref="Q541:S541" si="341">Q542+Q543</f>
        <v>0</v>
      </c>
      <c r="R541" s="74">
        <f t="shared" si="341"/>
        <v>0</v>
      </c>
      <c r="S541" s="74">
        <f t="shared" si="341"/>
        <v>0</v>
      </c>
      <c r="T541" s="74">
        <f t="shared" si="334"/>
        <v>0</v>
      </c>
      <c r="U541" s="74">
        <f t="shared" si="335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77">
        <f t="shared" si="331"/>
        <v>0</v>
      </c>
      <c r="P542" s="77">
        <f t="shared" si="332"/>
        <v>0</v>
      </c>
      <c r="Q542" s="77">
        <v>0</v>
      </c>
      <c r="R542" s="77">
        <v>0</v>
      </c>
      <c r="S542" s="77">
        <v>0</v>
      </c>
      <c r="T542" s="77">
        <f t="shared" si="334"/>
        <v>0</v>
      </c>
      <c r="U542" s="77">
        <f t="shared" si="335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74">
        <f t="shared" si="331"/>
        <v>0</v>
      </c>
      <c r="P543" s="74">
        <f t="shared" si="332"/>
        <v>0</v>
      </c>
      <c r="Q543" s="74">
        <v>0</v>
      </c>
      <c r="R543" s="74">
        <v>0</v>
      </c>
      <c r="S543" s="74">
        <v>0</v>
      </c>
      <c r="T543" s="74">
        <f t="shared" si="334"/>
        <v>0</v>
      </c>
      <c r="U543" s="74">
        <f t="shared" si="335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2">I567</f>
        <v>0</v>
      </c>
      <c r="J555" s="1002">
        <f t="shared" si="342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1257">
        <f t="shared" ref="L556:N556" si="343">L557+L558</f>
        <v>0</v>
      </c>
      <c r="M556" s="264">
        <f t="shared" si="343"/>
        <v>0</v>
      </c>
      <c r="N556" s="264">
        <f t="shared" si="343"/>
        <v>0</v>
      </c>
      <c r="O556" s="264">
        <f t="shared" ref="O556:O564" si="344">IF(L556&gt;0,N556*100/L556,0)</f>
        <v>0</v>
      </c>
      <c r="P556" s="264">
        <f t="shared" ref="P556:P564" si="345">IF(M556&gt;0,N556*100/M556,0)</f>
        <v>0</v>
      </c>
      <c r="Q556" s="264">
        <f t="shared" ref="Q556:S556" si="346">Q557+Q558</f>
        <v>0</v>
      </c>
      <c r="R556" s="264">
        <f t="shared" si="346"/>
        <v>0</v>
      </c>
      <c r="S556" s="264">
        <f t="shared" si="346"/>
        <v>0</v>
      </c>
      <c r="T556" s="264">
        <f t="shared" ref="T556:T564" si="347">IF(Q556&gt;0,S556*100/Q556,0)</f>
        <v>0</v>
      </c>
      <c r="U556" s="264">
        <f t="shared" ref="U556:U564" si="348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6">
        <f t="shared" ref="L557:N558" si="349">L560+L563</f>
        <v>0</v>
      </c>
      <c r="M557" s="77">
        <f t="shared" si="349"/>
        <v>0</v>
      </c>
      <c r="N557" s="77">
        <f t="shared" si="349"/>
        <v>0</v>
      </c>
      <c r="O557" s="77">
        <f t="shared" si="344"/>
        <v>0</v>
      </c>
      <c r="P557" s="77">
        <f t="shared" si="345"/>
        <v>0</v>
      </c>
      <c r="Q557" s="77">
        <f t="shared" ref="Q557:S558" si="350">Q560+Q563</f>
        <v>0</v>
      </c>
      <c r="R557" s="77">
        <f t="shared" si="350"/>
        <v>0</v>
      </c>
      <c r="S557" s="77">
        <f t="shared" si="350"/>
        <v>0</v>
      </c>
      <c r="T557" s="77">
        <f t="shared" si="347"/>
        <v>0</v>
      </c>
      <c r="U557" s="77">
        <f t="shared" si="348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3">
        <f t="shared" si="349"/>
        <v>0</v>
      </c>
      <c r="M558" s="74">
        <f t="shared" si="349"/>
        <v>0</v>
      </c>
      <c r="N558" s="74">
        <f t="shared" si="349"/>
        <v>0</v>
      </c>
      <c r="O558" s="74">
        <f t="shared" si="344"/>
        <v>0</v>
      </c>
      <c r="P558" s="74">
        <f t="shared" si="345"/>
        <v>0</v>
      </c>
      <c r="Q558" s="74">
        <f t="shared" si="350"/>
        <v>0</v>
      </c>
      <c r="R558" s="74">
        <f t="shared" si="350"/>
        <v>0</v>
      </c>
      <c r="S558" s="74">
        <f t="shared" si="350"/>
        <v>0</v>
      </c>
      <c r="T558" s="74">
        <f t="shared" si="347"/>
        <v>0</v>
      </c>
      <c r="U558" s="74">
        <f t="shared" si="348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3">
        <f t="shared" ref="L559:N559" si="351">L560+L561</f>
        <v>0</v>
      </c>
      <c r="M559" s="74">
        <f t="shared" si="351"/>
        <v>0</v>
      </c>
      <c r="N559" s="74">
        <f t="shared" si="351"/>
        <v>0</v>
      </c>
      <c r="O559" s="74">
        <f t="shared" si="344"/>
        <v>0</v>
      </c>
      <c r="P559" s="74">
        <f t="shared" si="345"/>
        <v>0</v>
      </c>
      <c r="Q559" s="74">
        <f t="shared" ref="Q559:S559" si="352">Q560+Q561</f>
        <v>0</v>
      </c>
      <c r="R559" s="74">
        <f t="shared" si="352"/>
        <v>0</v>
      </c>
      <c r="S559" s="74">
        <f t="shared" si="352"/>
        <v>0</v>
      </c>
      <c r="T559" s="74">
        <f t="shared" si="347"/>
        <v>0</v>
      </c>
      <c r="U559" s="74">
        <f t="shared" si="348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77">
        <f t="shared" si="344"/>
        <v>0</v>
      </c>
      <c r="P560" s="77">
        <f t="shared" si="345"/>
        <v>0</v>
      </c>
      <c r="Q560" s="77">
        <v>0</v>
      </c>
      <c r="R560" s="77">
        <v>0</v>
      </c>
      <c r="S560" s="77">
        <v>0</v>
      </c>
      <c r="T560" s="77">
        <f t="shared" si="347"/>
        <v>0</v>
      </c>
      <c r="U560" s="77">
        <f t="shared" si="348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74">
        <f t="shared" si="344"/>
        <v>0</v>
      </c>
      <c r="P561" s="74">
        <f t="shared" si="345"/>
        <v>0</v>
      </c>
      <c r="Q561" s="74">
        <v>0</v>
      </c>
      <c r="R561" s="74">
        <v>0</v>
      </c>
      <c r="S561" s="74">
        <v>0</v>
      </c>
      <c r="T561" s="74">
        <f t="shared" si="347"/>
        <v>0</v>
      </c>
      <c r="U561" s="74">
        <f t="shared" si="348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3">
        <f t="shared" ref="L562:N562" si="353">L563+L564</f>
        <v>0</v>
      </c>
      <c r="M562" s="74">
        <f t="shared" si="353"/>
        <v>0</v>
      </c>
      <c r="N562" s="74">
        <f t="shared" si="353"/>
        <v>0</v>
      </c>
      <c r="O562" s="74">
        <f t="shared" si="344"/>
        <v>0</v>
      </c>
      <c r="P562" s="74">
        <f t="shared" si="345"/>
        <v>0</v>
      </c>
      <c r="Q562" s="74">
        <f t="shared" ref="Q562:S562" si="354">Q563+Q564</f>
        <v>0</v>
      </c>
      <c r="R562" s="74">
        <f t="shared" si="354"/>
        <v>0</v>
      </c>
      <c r="S562" s="74">
        <f t="shared" si="354"/>
        <v>0</v>
      </c>
      <c r="T562" s="74">
        <f t="shared" si="347"/>
        <v>0</v>
      </c>
      <c r="U562" s="74">
        <f t="shared" si="348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77">
        <f t="shared" si="344"/>
        <v>0</v>
      </c>
      <c r="P563" s="77">
        <f t="shared" si="345"/>
        <v>0</v>
      </c>
      <c r="Q563" s="77">
        <v>0</v>
      </c>
      <c r="R563" s="77">
        <v>0</v>
      </c>
      <c r="S563" s="77">
        <v>0</v>
      </c>
      <c r="T563" s="77">
        <f t="shared" si="347"/>
        <v>0</v>
      </c>
      <c r="U563" s="77">
        <f t="shared" si="348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74">
        <f t="shared" si="344"/>
        <v>0</v>
      </c>
      <c r="P564" s="74">
        <f t="shared" si="345"/>
        <v>0</v>
      </c>
      <c r="Q564" s="74">
        <v>0</v>
      </c>
      <c r="R564" s="74">
        <v>0</v>
      </c>
      <c r="S564" s="74">
        <v>0</v>
      </c>
      <c r="T564" s="74">
        <f t="shared" si="347"/>
        <v>0</v>
      </c>
      <c r="U564" s="74">
        <f t="shared" si="348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5">I588</f>
        <v>0</v>
      </c>
      <c r="J576" s="1002">
        <f t="shared" si="355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1257">
        <f t="shared" ref="L577:N577" si="356">L578+L579</f>
        <v>0</v>
      </c>
      <c r="M577" s="264">
        <f t="shared" si="356"/>
        <v>0</v>
      </c>
      <c r="N577" s="264">
        <f t="shared" si="356"/>
        <v>0</v>
      </c>
      <c r="O577" s="264">
        <f t="shared" ref="O577:O585" si="357">IF(L577&gt;0,N577*100/L577,0)</f>
        <v>0</v>
      </c>
      <c r="P577" s="264">
        <f t="shared" ref="P577:P585" si="358">IF(M577&gt;0,N577*100/M577,0)</f>
        <v>0</v>
      </c>
      <c r="Q577" s="264">
        <f t="shared" ref="Q577:S577" si="359">Q578+Q579</f>
        <v>0</v>
      </c>
      <c r="R577" s="264">
        <f t="shared" si="359"/>
        <v>0</v>
      </c>
      <c r="S577" s="264">
        <f t="shared" si="359"/>
        <v>0</v>
      </c>
      <c r="T577" s="264">
        <f t="shared" ref="T577:T585" si="360">IF(Q577&gt;0,S577*100/Q577,0)</f>
        <v>0</v>
      </c>
      <c r="U577" s="264">
        <f t="shared" ref="U577:U585" si="361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6">
        <f t="shared" ref="L578:N579" si="362">L581+L584</f>
        <v>0</v>
      </c>
      <c r="M578" s="77">
        <f t="shared" si="362"/>
        <v>0</v>
      </c>
      <c r="N578" s="77">
        <f t="shared" si="362"/>
        <v>0</v>
      </c>
      <c r="O578" s="77">
        <f t="shared" si="357"/>
        <v>0</v>
      </c>
      <c r="P578" s="77">
        <f t="shared" si="358"/>
        <v>0</v>
      </c>
      <c r="Q578" s="77">
        <f t="shared" ref="Q578:S579" si="363">Q581+Q584</f>
        <v>0</v>
      </c>
      <c r="R578" s="77">
        <f t="shared" si="363"/>
        <v>0</v>
      </c>
      <c r="S578" s="77">
        <f t="shared" si="363"/>
        <v>0</v>
      </c>
      <c r="T578" s="77">
        <f t="shared" si="360"/>
        <v>0</v>
      </c>
      <c r="U578" s="77">
        <f t="shared" si="361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3">
        <f t="shared" si="362"/>
        <v>0</v>
      </c>
      <c r="M579" s="74">
        <f t="shared" si="362"/>
        <v>0</v>
      </c>
      <c r="N579" s="74">
        <f t="shared" si="362"/>
        <v>0</v>
      </c>
      <c r="O579" s="74">
        <f t="shared" si="357"/>
        <v>0</v>
      </c>
      <c r="P579" s="74">
        <f t="shared" si="358"/>
        <v>0</v>
      </c>
      <c r="Q579" s="74">
        <f t="shared" si="363"/>
        <v>0</v>
      </c>
      <c r="R579" s="74">
        <f t="shared" si="363"/>
        <v>0</v>
      </c>
      <c r="S579" s="74">
        <f t="shared" si="363"/>
        <v>0</v>
      </c>
      <c r="T579" s="74">
        <f t="shared" si="360"/>
        <v>0</v>
      </c>
      <c r="U579" s="74">
        <f t="shared" si="361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3">
        <f t="shared" ref="L580:N580" si="364">L581+L582</f>
        <v>0</v>
      </c>
      <c r="M580" s="74">
        <f t="shared" si="364"/>
        <v>0</v>
      </c>
      <c r="N580" s="74">
        <f t="shared" si="364"/>
        <v>0</v>
      </c>
      <c r="O580" s="74">
        <f t="shared" si="357"/>
        <v>0</v>
      </c>
      <c r="P580" s="74">
        <f t="shared" si="358"/>
        <v>0</v>
      </c>
      <c r="Q580" s="74">
        <f t="shared" ref="Q580:S580" si="365">Q581+Q582</f>
        <v>0</v>
      </c>
      <c r="R580" s="74">
        <f t="shared" si="365"/>
        <v>0</v>
      </c>
      <c r="S580" s="74">
        <f t="shared" si="365"/>
        <v>0</v>
      </c>
      <c r="T580" s="74">
        <f t="shared" si="360"/>
        <v>0</v>
      </c>
      <c r="U580" s="74">
        <f t="shared" si="361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77">
        <f t="shared" si="357"/>
        <v>0</v>
      </c>
      <c r="P581" s="77">
        <f t="shared" si="358"/>
        <v>0</v>
      </c>
      <c r="Q581" s="77">
        <v>0</v>
      </c>
      <c r="R581" s="77">
        <v>0</v>
      </c>
      <c r="S581" s="77">
        <v>0</v>
      </c>
      <c r="T581" s="77">
        <f t="shared" si="360"/>
        <v>0</v>
      </c>
      <c r="U581" s="77">
        <f t="shared" si="361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74">
        <f t="shared" si="357"/>
        <v>0</v>
      </c>
      <c r="P582" s="74">
        <f t="shared" si="358"/>
        <v>0</v>
      </c>
      <c r="Q582" s="74">
        <v>0</v>
      </c>
      <c r="R582" s="74">
        <v>0</v>
      </c>
      <c r="S582" s="74">
        <v>0</v>
      </c>
      <c r="T582" s="74">
        <f t="shared" si="360"/>
        <v>0</v>
      </c>
      <c r="U582" s="74">
        <f t="shared" si="361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3">
        <f t="shared" ref="L583:N583" si="366">L584+L585</f>
        <v>0</v>
      </c>
      <c r="M583" s="74">
        <f t="shared" si="366"/>
        <v>0</v>
      </c>
      <c r="N583" s="74">
        <f t="shared" si="366"/>
        <v>0</v>
      </c>
      <c r="O583" s="74">
        <f t="shared" si="357"/>
        <v>0</v>
      </c>
      <c r="P583" s="74">
        <f t="shared" si="358"/>
        <v>0</v>
      </c>
      <c r="Q583" s="74">
        <f t="shared" ref="Q583:S583" si="367">Q584+Q585</f>
        <v>0</v>
      </c>
      <c r="R583" s="74">
        <f t="shared" si="367"/>
        <v>0</v>
      </c>
      <c r="S583" s="74">
        <f t="shared" si="367"/>
        <v>0</v>
      </c>
      <c r="T583" s="74">
        <f t="shared" si="360"/>
        <v>0</v>
      </c>
      <c r="U583" s="74">
        <f t="shared" si="361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77">
        <f t="shared" si="357"/>
        <v>0</v>
      </c>
      <c r="P584" s="77">
        <f t="shared" si="358"/>
        <v>0</v>
      </c>
      <c r="Q584" s="77">
        <v>0</v>
      </c>
      <c r="R584" s="77">
        <v>0</v>
      </c>
      <c r="S584" s="77">
        <v>0</v>
      </c>
      <c r="T584" s="77">
        <f t="shared" si="360"/>
        <v>0</v>
      </c>
      <c r="U584" s="77">
        <f t="shared" si="361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74">
        <f t="shared" si="357"/>
        <v>0</v>
      </c>
      <c r="P585" s="74">
        <f t="shared" si="358"/>
        <v>0</v>
      </c>
      <c r="Q585" s="74">
        <v>0</v>
      </c>
      <c r="R585" s="74">
        <v>0</v>
      </c>
      <c r="S585" s="74">
        <v>0</v>
      </c>
      <c r="T585" s="74">
        <f t="shared" si="360"/>
        <v>0</v>
      </c>
      <c r="U585" s="74">
        <f t="shared" si="361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1257">
        <f t="shared" ref="L600:N600" si="368">L601+L602</f>
        <v>0</v>
      </c>
      <c r="M600" s="264">
        <f t="shared" si="368"/>
        <v>0</v>
      </c>
      <c r="N600" s="264">
        <f t="shared" si="368"/>
        <v>0</v>
      </c>
      <c r="O600" s="264">
        <f t="shared" ref="O600:O608" si="369">IF(L600&gt;0,N600*100/L600,0)</f>
        <v>0</v>
      </c>
      <c r="P600" s="264">
        <f t="shared" ref="P600:P608" si="370">IF(M600&gt;0,N600*100/M600,0)</f>
        <v>0</v>
      </c>
      <c r="Q600" s="264">
        <f t="shared" ref="Q600:S600" si="371">Q601+Q602</f>
        <v>0</v>
      </c>
      <c r="R600" s="264">
        <f t="shared" si="371"/>
        <v>0</v>
      </c>
      <c r="S600" s="264">
        <f t="shared" si="371"/>
        <v>0</v>
      </c>
      <c r="T600" s="264">
        <f t="shared" ref="T600:T608" si="372">IF(Q600&gt;0,S600*100/Q600,0)</f>
        <v>0</v>
      </c>
      <c r="U600" s="264">
        <f t="shared" ref="U600:U608" si="373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6">
        <f t="shared" ref="L601:N602" si="374">L604+L607</f>
        <v>0</v>
      </c>
      <c r="M601" s="77">
        <f t="shared" si="374"/>
        <v>0</v>
      </c>
      <c r="N601" s="77">
        <f t="shared" si="374"/>
        <v>0</v>
      </c>
      <c r="O601" s="77">
        <f t="shared" si="369"/>
        <v>0</v>
      </c>
      <c r="P601" s="77">
        <f t="shared" si="370"/>
        <v>0</v>
      </c>
      <c r="Q601" s="77">
        <f t="shared" ref="Q601:S602" si="375">Q604+Q607</f>
        <v>0</v>
      </c>
      <c r="R601" s="77">
        <f t="shared" si="375"/>
        <v>0</v>
      </c>
      <c r="S601" s="77">
        <f t="shared" si="375"/>
        <v>0</v>
      </c>
      <c r="T601" s="77">
        <f t="shared" si="372"/>
        <v>0</v>
      </c>
      <c r="U601" s="77">
        <f t="shared" si="373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3">
        <f t="shared" si="374"/>
        <v>0</v>
      </c>
      <c r="M602" s="74">
        <f t="shared" si="374"/>
        <v>0</v>
      </c>
      <c r="N602" s="74">
        <f t="shared" si="374"/>
        <v>0</v>
      </c>
      <c r="O602" s="74">
        <f t="shared" si="369"/>
        <v>0</v>
      </c>
      <c r="P602" s="74">
        <f t="shared" si="370"/>
        <v>0</v>
      </c>
      <c r="Q602" s="74">
        <f t="shared" si="375"/>
        <v>0</v>
      </c>
      <c r="R602" s="74">
        <f t="shared" si="375"/>
        <v>0</v>
      </c>
      <c r="S602" s="74">
        <f t="shared" si="375"/>
        <v>0</v>
      </c>
      <c r="T602" s="74">
        <f t="shared" si="372"/>
        <v>0</v>
      </c>
      <c r="U602" s="74">
        <f t="shared" si="373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3">
        <f t="shared" ref="L603:N603" si="376">L604+L605</f>
        <v>0</v>
      </c>
      <c r="M603" s="74">
        <f t="shared" si="376"/>
        <v>0</v>
      </c>
      <c r="N603" s="74">
        <f t="shared" si="376"/>
        <v>0</v>
      </c>
      <c r="O603" s="74">
        <f t="shared" si="369"/>
        <v>0</v>
      </c>
      <c r="P603" s="74">
        <f t="shared" si="370"/>
        <v>0</v>
      </c>
      <c r="Q603" s="74">
        <f t="shared" ref="Q603:S603" si="377">Q604+Q605</f>
        <v>0</v>
      </c>
      <c r="R603" s="74">
        <f t="shared" si="377"/>
        <v>0</v>
      </c>
      <c r="S603" s="74">
        <f t="shared" si="377"/>
        <v>0</v>
      </c>
      <c r="T603" s="74">
        <f t="shared" si="372"/>
        <v>0</v>
      </c>
      <c r="U603" s="74">
        <f t="shared" si="373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77">
        <f t="shared" si="369"/>
        <v>0</v>
      </c>
      <c r="P604" s="77">
        <f t="shared" si="370"/>
        <v>0</v>
      </c>
      <c r="Q604" s="77">
        <v>0</v>
      </c>
      <c r="R604" s="77">
        <v>0</v>
      </c>
      <c r="S604" s="77">
        <v>0</v>
      </c>
      <c r="T604" s="77">
        <f t="shared" si="372"/>
        <v>0</v>
      </c>
      <c r="U604" s="77">
        <f t="shared" si="373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74">
        <f t="shared" si="369"/>
        <v>0</v>
      </c>
      <c r="P605" s="74">
        <f t="shared" si="370"/>
        <v>0</v>
      </c>
      <c r="Q605" s="74">
        <v>0</v>
      </c>
      <c r="R605" s="74">
        <v>0</v>
      </c>
      <c r="S605" s="74">
        <v>0</v>
      </c>
      <c r="T605" s="74">
        <f t="shared" si="372"/>
        <v>0</v>
      </c>
      <c r="U605" s="74">
        <f t="shared" si="373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3">
        <f t="shared" ref="L606:N606" si="378">L607+L608</f>
        <v>0</v>
      </c>
      <c r="M606" s="74">
        <f t="shared" si="378"/>
        <v>0</v>
      </c>
      <c r="N606" s="74">
        <f t="shared" si="378"/>
        <v>0</v>
      </c>
      <c r="O606" s="74">
        <f t="shared" si="369"/>
        <v>0</v>
      </c>
      <c r="P606" s="74">
        <f t="shared" si="370"/>
        <v>0</v>
      </c>
      <c r="Q606" s="74">
        <f t="shared" ref="Q606:S606" si="379">Q607+Q608</f>
        <v>0</v>
      </c>
      <c r="R606" s="74">
        <f t="shared" si="379"/>
        <v>0</v>
      </c>
      <c r="S606" s="74">
        <f t="shared" si="379"/>
        <v>0</v>
      </c>
      <c r="T606" s="74">
        <f t="shared" si="372"/>
        <v>0</v>
      </c>
      <c r="U606" s="74">
        <f t="shared" si="373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77">
        <f t="shared" si="369"/>
        <v>0</v>
      </c>
      <c r="P607" s="77">
        <f t="shared" si="370"/>
        <v>0</v>
      </c>
      <c r="Q607" s="77">
        <v>0</v>
      </c>
      <c r="R607" s="77">
        <v>0</v>
      </c>
      <c r="S607" s="77">
        <v>0</v>
      </c>
      <c r="T607" s="77">
        <f t="shared" si="372"/>
        <v>0</v>
      </c>
      <c r="U607" s="77">
        <f t="shared" si="373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74">
        <f t="shared" si="369"/>
        <v>0</v>
      </c>
      <c r="P608" s="74">
        <f t="shared" si="370"/>
        <v>0</v>
      </c>
      <c r="Q608" s="74">
        <v>0</v>
      </c>
      <c r="R608" s="74">
        <v>0</v>
      </c>
      <c r="S608" s="74">
        <v>0</v>
      </c>
      <c r="T608" s="74">
        <f t="shared" si="372"/>
        <v>0</v>
      </c>
      <c r="U608" s="74">
        <f t="shared" si="373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hidden="1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740">
        <f t="shared" ref="I616:J616" ca="1" si="380">I627</f>
        <v>50</v>
      </c>
      <c r="J616" s="740">
        <f t="shared" si="380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1257">
        <f t="shared" ref="L617:N617" si="381">L618+L619</f>
        <v>0</v>
      </c>
      <c r="M617" s="264">
        <f t="shared" si="381"/>
        <v>0</v>
      </c>
      <c r="N617" s="264">
        <f t="shared" si="381"/>
        <v>0</v>
      </c>
      <c r="O617" s="264">
        <f t="shared" ref="O617:O625" si="382">IF(L617&gt;0,N617*100/L617,0)</f>
        <v>0</v>
      </c>
      <c r="P617" s="264">
        <f t="shared" ref="P617:P625" si="383">IF(M617&gt;0,N617*100/M617,0)</f>
        <v>0</v>
      </c>
      <c r="Q617" s="264">
        <f t="shared" ref="Q617:S617" ca="1" si="384">Q618+Q619</f>
        <v>7350</v>
      </c>
      <c r="R617" s="264">
        <f t="shared" ca="1" si="384"/>
        <v>7350</v>
      </c>
      <c r="S617" s="264">
        <f t="shared" ca="1" si="384"/>
        <v>0</v>
      </c>
      <c r="T617" s="264">
        <f t="shared" ref="T617:T625" ca="1" si="385">IF(Q617&gt;0,S617*100/Q617,0)</f>
        <v>0</v>
      </c>
      <c r="U617" s="264">
        <f t="shared" ref="U617:U625" ca="1" si="386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6">
        <f t="shared" ref="L618:N619" si="387">L621+L624</f>
        <v>0</v>
      </c>
      <c r="M618" s="77">
        <f t="shared" si="387"/>
        <v>0</v>
      </c>
      <c r="N618" s="77">
        <f t="shared" si="387"/>
        <v>0</v>
      </c>
      <c r="O618" s="77">
        <f t="shared" si="382"/>
        <v>0</v>
      </c>
      <c r="P618" s="77">
        <f t="shared" si="383"/>
        <v>0</v>
      </c>
      <c r="Q618" s="77">
        <f t="shared" ref="Q618:S619" si="388">Q621+Q624</f>
        <v>0</v>
      </c>
      <c r="R618" s="77">
        <f t="shared" si="388"/>
        <v>0</v>
      </c>
      <c r="S618" s="77">
        <f t="shared" si="388"/>
        <v>0</v>
      </c>
      <c r="T618" s="77">
        <f t="shared" si="385"/>
        <v>0</v>
      </c>
      <c r="U618" s="77">
        <f t="shared" si="386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3">
        <f t="shared" si="387"/>
        <v>0</v>
      </c>
      <c r="M619" s="74">
        <f t="shared" si="387"/>
        <v>0</v>
      </c>
      <c r="N619" s="74">
        <f t="shared" si="387"/>
        <v>0</v>
      </c>
      <c r="O619" s="74">
        <f t="shared" si="382"/>
        <v>0</v>
      </c>
      <c r="P619" s="74">
        <f t="shared" si="383"/>
        <v>0</v>
      </c>
      <c r="Q619" s="74">
        <f t="shared" ca="1" si="388"/>
        <v>7350</v>
      </c>
      <c r="R619" s="74">
        <f t="shared" ca="1" si="388"/>
        <v>7350</v>
      </c>
      <c r="S619" s="74">
        <f t="shared" ca="1" si="388"/>
        <v>0</v>
      </c>
      <c r="T619" s="74">
        <f t="shared" ca="1" si="385"/>
        <v>0</v>
      </c>
      <c r="U619" s="74">
        <f t="shared" ca="1" si="386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3">
        <f t="shared" ref="L620:N620" si="389">L621+L622</f>
        <v>0</v>
      </c>
      <c r="M620" s="74">
        <f t="shared" si="389"/>
        <v>0</v>
      </c>
      <c r="N620" s="74">
        <f t="shared" si="389"/>
        <v>0</v>
      </c>
      <c r="O620" s="74">
        <f t="shared" si="382"/>
        <v>0</v>
      </c>
      <c r="P620" s="74">
        <f t="shared" si="383"/>
        <v>0</v>
      </c>
      <c r="Q620" s="74">
        <f t="shared" ref="Q620:S620" ca="1" si="390">Q621+Q622</f>
        <v>7350</v>
      </c>
      <c r="R620" s="74">
        <f t="shared" ca="1" si="390"/>
        <v>7350</v>
      </c>
      <c r="S620" s="74">
        <f t="shared" ca="1" si="390"/>
        <v>0</v>
      </c>
      <c r="T620" s="74">
        <f t="shared" ca="1" si="385"/>
        <v>0</v>
      </c>
      <c r="U620" s="74">
        <f t="shared" ca="1" si="386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77">
        <f t="shared" si="382"/>
        <v>0</v>
      </c>
      <c r="P621" s="77">
        <f t="shared" si="383"/>
        <v>0</v>
      </c>
      <c r="Q621" s="77">
        <v>0</v>
      </c>
      <c r="R621" s="77">
        <v>0</v>
      </c>
      <c r="S621" s="77">
        <v>0</v>
      </c>
      <c r="T621" s="77">
        <f t="shared" si="385"/>
        <v>0</v>
      </c>
      <c r="U621" s="77">
        <f t="shared" si="386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74">
        <f t="shared" si="382"/>
        <v>0</v>
      </c>
      <c r="P622" s="74">
        <f t="shared" si="383"/>
        <v>0</v>
      </c>
      <c r="Q622" s="74">
        <f ca="1">IFERROR(__xludf.DUMMYFUNCTION("IMPORTRANGE(""https://docs.google.com/spreadsheets/d/1ItG2mGa2ceCfYo0BwxsXqNm01IGEUdYcSSLTEv9YCik/edit?usp=sharing"",""เบิกจ่ายกองทุน!F67"")"),7350)</f>
        <v>7350</v>
      </c>
      <c r="R622" s="74">
        <f ca="1">IFERROR(__xludf.DUMMYFUNCTION("IMPORTRANGE(""https://docs.google.com/spreadsheets/d/1ItG2mGa2ceCfYo0BwxsXqNm01IGEUdYcSSLTEv9YCik/edit?usp=sharing"",""เบิกจ่ายกองทุน!G67"")"),7350)</f>
        <v>7350</v>
      </c>
      <c r="S622" s="74">
        <f ca="1">IFERROR(__xludf.DUMMYFUNCTION("IMPORTRANGE(""https://docs.google.com/spreadsheets/d/1ItG2mGa2ceCfYo0BwxsXqNm01IGEUdYcSSLTEv9YCik/edit?usp=sharing"",""เบิกจ่ายกองทุน!H67"")"),0)</f>
        <v>0</v>
      </c>
      <c r="T622" s="74">
        <f t="shared" ca="1" si="385"/>
        <v>0</v>
      </c>
      <c r="U622" s="74">
        <f t="shared" ca="1" si="386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3">
        <f t="shared" ref="L623:N623" si="391">L624+L625</f>
        <v>0</v>
      </c>
      <c r="M623" s="74">
        <f t="shared" si="391"/>
        <v>0</v>
      </c>
      <c r="N623" s="74">
        <f t="shared" si="391"/>
        <v>0</v>
      </c>
      <c r="O623" s="74">
        <f t="shared" si="382"/>
        <v>0</v>
      </c>
      <c r="P623" s="74">
        <f t="shared" si="383"/>
        <v>0</v>
      </c>
      <c r="Q623" s="74">
        <f t="shared" ref="Q623:S623" si="392">Q624+Q625</f>
        <v>0</v>
      </c>
      <c r="R623" s="74">
        <f t="shared" si="392"/>
        <v>0</v>
      </c>
      <c r="S623" s="74">
        <f t="shared" si="392"/>
        <v>0</v>
      </c>
      <c r="T623" s="74">
        <f t="shared" si="385"/>
        <v>0</v>
      </c>
      <c r="U623" s="74">
        <f t="shared" si="386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77">
        <f t="shared" si="382"/>
        <v>0</v>
      </c>
      <c r="P624" s="77">
        <f t="shared" si="383"/>
        <v>0</v>
      </c>
      <c r="Q624" s="77">
        <v>0</v>
      </c>
      <c r="R624" s="77">
        <v>0</v>
      </c>
      <c r="S624" s="77">
        <v>0</v>
      </c>
      <c r="T624" s="77">
        <f t="shared" si="385"/>
        <v>0</v>
      </c>
      <c r="U624" s="77">
        <f t="shared" si="386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74">
        <f t="shared" si="382"/>
        <v>0</v>
      </c>
      <c r="P625" s="74">
        <f t="shared" si="383"/>
        <v>0</v>
      </c>
      <c r="Q625" s="74">
        <v>0</v>
      </c>
      <c r="R625" s="74">
        <v>0</v>
      </c>
      <c r="S625" s="74">
        <v>0</v>
      </c>
      <c r="T625" s="74">
        <f t="shared" si="385"/>
        <v>0</v>
      </c>
      <c r="U625" s="74">
        <f t="shared" si="386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IFERROR(__xludf.DUMMYFUNCTION("IMPORTRANGE(""https://docs.google.com/spreadsheets/d/1eHaY18a8A9IcSdp1K8H6x8fbOy06t2VsZHhMHf-1x7Y/edit?usp=sharing"",""แผน!ID67"")"),50)</f>
        <v>50</v>
      </c>
      <c r="J627" s="622">
        <f>J633</f>
        <v>0</v>
      </c>
      <c r="K627" s="26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IFERROR(__xludf.DUMMYFUNCTION("IMPORTRANGE(""https://docs.google.com/spreadsheets/d/1eHaY18a8A9IcSdp1K8H6x8fbOy06t2VsZHhMHf-1x7Y/edit?usp=sharing"",""แผน!IC67"")"),1)</f>
        <v>1</v>
      </c>
      <c r="J628" s="294">
        <v>0</v>
      </c>
      <c r="K628" s="74">
        <f t="shared" ref="K628:K629" ca="1" si="393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IFERROR(__xludf.DUMMYFUNCTION("IMPORTRANGE(""https://docs.google.com/spreadsheets/d/1eHaY18a8A9IcSdp1K8H6x8fbOy06t2VsZHhMHf-1x7Y/edit?usp=sharing"",""แผน!IC67"")"),1)</f>
        <v>1</v>
      </c>
      <c r="J629" s="294">
        <v>0</v>
      </c>
      <c r="K629" s="74">
        <f t="shared" ca="1" si="393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0</v>
      </c>
      <c r="K630" s="74">
        <f t="shared" ref="K630:K632" ca="1" si="394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t="shared" ca="1" si="394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t="shared" ca="1" si="394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IFERROR(__xludf.DUMMYFUNCTION("IMPORTRANGE(""https://docs.google.com/spreadsheets/d/1eHaY18a8A9IcSdp1K8H6x8fbOy06t2VsZHhMHf-1x7Y/edit?usp=sharing"",""แผน!IE67"")"),0)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1257">
        <f t="shared" ref="L643:N643" si="395">L644+L645</f>
        <v>0</v>
      </c>
      <c r="M643" s="264">
        <f t="shared" si="395"/>
        <v>0</v>
      </c>
      <c r="N643" s="264">
        <f t="shared" si="395"/>
        <v>0</v>
      </c>
      <c r="O643" s="264">
        <f t="shared" ref="O643:O651" si="396">IF(L643&gt;0,N643*100/L643,0)</f>
        <v>0</v>
      </c>
      <c r="P643" s="264">
        <f t="shared" ref="P643:P651" si="397">IF(M643&gt;0,N643*100/M643,0)</f>
        <v>0</v>
      </c>
      <c r="Q643" s="264">
        <f t="shared" ref="Q643:S643" ca="1" si="398">Q644+Q645</f>
        <v>6900</v>
      </c>
      <c r="R643" s="264">
        <f t="shared" ca="1" si="398"/>
        <v>6900</v>
      </c>
      <c r="S643" s="264">
        <f t="shared" ca="1" si="398"/>
        <v>0</v>
      </c>
      <c r="T643" s="264">
        <f t="shared" ref="T643:T651" ca="1" si="399">IF(Q643&gt;0,S643*100/Q643,0)</f>
        <v>0</v>
      </c>
      <c r="U643" s="264">
        <f t="shared" ref="U643:U651" ca="1" si="400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6">
        <f t="shared" ref="L644:N645" si="401">L647+L650</f>
        <v>0</v>
      </c>
      <c r="M644" s="77">
        <f t="shared" si="401"/>
        <v>0</v>
      </c>
      <c r="N644" s="77">
        <f t="shared" si="401"/>
        <v>0</v>
      </c>
      <c r="O644" s="77">
        <f t="shared" si="396"/>
        <v>0</v>
      </c>
      <c r="P644" s="77">
        <f t="shared" si="397"/>
        <v>0</v>
      </c>
      <c r="Q644" s="77">
        <f t="shared" ref="Q644:S645" si="402">Q647+Q650</f>
        <v>0</v>
      </c>
      <c r="R644" s="77">
        <f t="shared" si="402"/>
        <v>0</v>
      </c>
      <c r="S644" s="77">
        <f t="shared" si="402"/>
        <v>0</v>
      </c>
      <c r="T644" s="77">
        <f t="shared" si="399"/>
        <v>0</v>
      </c>
      <c r="U644" s="77">
        <f t="shared" si="400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3">
        <f t="shared" si="401"/>
        <v>0</v>
      </c>
      <c r="M645" s="74">
        <f t="shared" si="401"/>
        <v>0</v>
      </c>
      <c r="N645" s="74">
        <f t="shared" si="401"/>
        <v>0</v>
      </c>
      <c r="O645" s="74">
        <f t="shared" si="396"/>
        <v>0</v>
      </c>
      <c r="P645" s="74">
        <f t="shared" si="397"/>
        <v>0</v>
      </c>
      <c r="Q645" s="74">
        <f t="shared" ca="1" si="402"/>
        <v>6900</v>
      </c>
      <c r="R645" s="74">
        <f t="shared" ca="1" si="402"/>
        <v>6900</v>
      </c>
      <c r="S645" s="74">
        <f t="shared" ca="1" si="402"/>
        <v>0</v>
      </c>
      <c r="T645" s="74">
        <f t="shared" ca="1" si="399"/>
        <v>0</v>
      </c>
      <c r="U645" s="74">
        <f t="shared" ca="1" si="400"/>
        <v>0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3">
        <f t="shared" ref="L646:N646" si="403">L647+L648</f>
        <v>0</v>
      </c>
      <c r="M646" s="74">
        <f t="shared" si="403"/>
        <v>0</v>
      </c>
      <c r="N646" s="74">
        <f t="shared" si="403"/>
        <v>0</v>
      </c>
      <c r="O646" s="74">
        <f t="shared" si="396"/>
        <v>0</v>
      </c>
      <c r="P646" s="74">
        <f t="shared" si="397"/>
        <v>0</v>
      </c>
      <c r="Q646" s="74">
        <f t="shared" ref="Q646:S646" ca="1" si="404">Q647+Q648</f>
        <v>6900</v>
      </c>
      <c r="R646" s="74">
        <f t="shared" ca="1" si="404"/>
        <v>6900</v>
      </c>
      <c r="S646" s="74">
        <f t="shared" ca="1" si="404"/>
        <v>0</v>
      </c>
      <c r="T646" s="74">
        <f t="shared" ca="1" si="399"/>
        <v>0</v>
      </c>
      <c r="U646" s="74">
        <f t="shared" ca="1" si="400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77">
        <f t="shared" si="396"/>
        <v>0</v>
      </c>
      <c r="P647" s="77">
        <f t="shared" si="397"/>
        <v>0</v>
      </c>
      <c r="Q647" s="77">
        <v>0</v>
      </c>
      <c r="R647" s="77">
        <v>0</v>
      </c>
      <c r="S647" s="77">
        <v>0</v>
      </c>
      <c r="T647" s="77">
        <f t="shared" si="399"/>
        <v>0</v>
      </c>
      <c r="U647" s="77">
        <f t="shared" si="400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74">
        <f t="shared" si="396"/>
        <v>0</v>
      </c>
      <c r="P648" s="74">
        <f t="shared" si="397"/>
        <v>0</v>
      </c>
      <c r="Q648" s="74">
        <f ca="1">IFERROR(__xludf.DUMMYFUNCTION("IMPORTRANGE(""https://docs.google.com/spreadsheets/d/1ItG2mGa2ceCfYo0BwxsXqNm01IGEUdYcSSLTEv9YCik/edit?usp=sharing"",""เบิกจ่ายกองทุน!I67"")"),6900)</f>
        <v>6900</v>
      </c>
      <c r="R648" s="74">
        <f ca="1">IFERROR(__xludf.DUMMYFUNCTION("IMPORTRANGE(""https://docs.google.com/spreadsheets/d/1ItG2mGa2ceCfYo0BwxsXqNm01IGEUdYcSSLTEv9YCik/edit?usp=sharing"",""เบิกจ่ายกองทุน!J67"")"),6900)</f>
        <v>6900</v>
      </c>
      <c r="S648" s="74">
        <f ca="1">IFERROR(__xludf.DUMMYFUNCTION("IMPORTRANGE(""https://docs.google.com/spreadsheets/d/1ItG2mGa2ceCfYo0BwxsXqNm01IGEUdYcSSLTEv9YCik/edit?usp=sharing"",""เบิกจ่ายกองทุน!K67"")"),0)</f>
        <v>0</v>
      </c>
      <c r="T648" s="74">
        <f t="shared" ca="1" si="399"/>
        <v>0</v>
      </c>
      <c r="U648" s="74">
        <f t="shared" ca="1" si="400"/>
        <v>0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3">
        <f t="shared" ref="L649:N649" si="405">L650+L651</f>
        <v>0</v>
      </c>
      <c r="M649" s="74">
        <f t="shared" si="405"/>
        <v>0</v>
      </c>
      <c r="N649" s="74">
        <f t="shared" si="405"/>
        <v>0</v>
      </c>
      <c r="O649" s="74">
        <f t="shared" si="396"/>
        <v>0</v>
      </c>
      <c r="P649" s="74">
        <f t="shared" si="397"/>
        <v>0</v>
      </c>
      <c r="Q649" s="74">
        <f t="shared" ref="Q649:S649" si="406">Q650+Q651</f>
        <v>0</v>
      </c>
      <c r="R649" s="74">
        <f t="shared" si="406"/>
        <v>0</v>
      </c>
      <c r="S649" s="74">
        <f t="shared" si="406"/>
        <v>0</v>
      </c>
      <c r="T649" s="74">
        <f t="shared" si="399"/>
        <v>0</v>
      </c>
      <c r="U649" s="74">
        <f t="shared" si="400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77">
        <f t="shared" si="396"/>
        <v>0</v>
      </c>
      <c r="P650" s="77">
        <f t="shared" si="397"/>
        <v>0</v>
      </c>
      <c r="Q650" s="77">
        <v>0</v>
      </c>
      <c r="R650" s="77">
        <v>0</v>
      </c>
      <c r="S650" s="77">
        <v>0</v>
      </c>
      <c r="T650" s="77">
        <f t="shared" si="399"/>
        <v>0</v>
      </c>
      <c r="U650" s="77">
        <f t="shared" si="400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74">
        <f t="shared" si="396"/>
        <v>0</v>
      </c>
      <c r="P651" s="74">
        <f t="shared" si="397"/>
        <v>0</v>
      </c>
      <c r="Q651" s="74">
        <v>0</v>
      </c>
      <c r="R651" s="74">
        <v>0</v>
      </c>
      <c r="S651" s="74">
        <v>0</v>
      </c>
      <c r="T651" s="74">
        <f t="shared" si="399"/>
        <v>0</v>
      </c>
      <c r="U651" s="74">
        <f t="shared" si="400"/>
        <v>0</v>
      </c>
    </row>
    <row r="652" spans="1:21" ht="19.5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IFERROR(__xludf.DUMMYFUNCTION("IMPORTRANGE(""https://docs.google.com/spreadsheets/d/1eHaY18a8A9IcSdp1K8H6x8fbOy06t2VsZHhMHf-1x7Y/edit?usp=sharing"",""แผน!IF67"")"),11)</f>
        <v>11</v>
      </c>
      <c r="J653" s="293">
        <f ca="1">IFERROR(__xludf.DUMMYFUNCTION("IMPORTRANGE(""https://docs.google.com/spreadsheets/d/1tdoBKaGub7dwA3U6UFTqxio9LNnvDCQjHKmttSEBsFQ/edit?usp=sharing"",""จัดที่ดิน!AU67"")"),0)</f>
        <v>0</v>
      </c>
      <c r="K653" s="74">
        <f t="shared" ref="K653:K655" ca="1" si="407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hidden="1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IFERROR(__xludf.DUMMYFUNCTION("IMPORTRANGE(""https://docs.google.com/spreadsheets/d/1eHaY18a8A9IcSdp1K8H6x8fbOy06t2VsZHhMHf-1x7Y/edit?usp=sharing"",""แผน!IG67"")"),0)</f>
        <v>0</v>
      </c>
      <c r="J654" s="293">
        <f ca="1">IFERROR(__xludf.DUMMYFUNCTION("IMPORTRANGE(""https://docs.google.com/spreadsheets/d/1tdoBKaGub7dwA3U6UFTqxio9LNnvDCQjHKmttSEBsFQ/edit?usp=sharing"",""จัดที่ดิน!AW67"")"),0)</f>
        <v>0</v>
      </c>
      <c r="K654" s="74">
        <f t="shared" ca="1" si="407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hidden="1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IFERROR(__xludf.DUMMYFUNCTION("IMPORTRANGE(""https://docs.google.com/spreadsheets/d/1eHaY18a8A9IcSdp1K8H6x8fbOy06t2VsZHhMHf-1x7Y/edit?usp=sharing"",""แผน!IH67"")"),0)</f>
        <v>0</v>
      </c>
      <c r="J655" s="622">
        <f>J658+J661</f>
        <v>0</v>
      </c>
      <c r="K655" s="264">
        <f t="shared" ca="1" si="407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hidden="1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hidden="1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hidden="1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IFERROR(__xludf.DUMMYFUNCTION("IMPORTRANGE(""https://docs.google.com/spreadsheets/d/1eHaY18a8A9IcSdp1K8H6x8fbOy06t2VsZHhMHf-1x7Y/edit?usp=sharing"",""แผน!II67"")"),0)</f>
        <v>0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hidden="1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hidden="1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hidden="1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IFERROR(__xludf.DUMMYFUNCTION("IMPORTRANGE(""https://docs.google.com/spreadsheets/d/1eHaY18a8A9IcSdp1K8H6x8fbOy06t2VsZHhMHf-1x7Y/edit?usp=sharing"",""แผน!IJ67"")"),0)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hidden="1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IFERROR(__xludf.DUMMYFUNCTION("IMPORTRANGE(""https://docs.google.com/spreadsheets/d/1eHaY18a8A9IcSdp1K8H6x8fbOy06t2VsZHhMHf-1x7Y/edit?usp=sharing"",""แผน!IK67"")"),0)</f>
        <v>0</v>
      </c>
      <c r="J662" s="622">
        <f>J668+J671</f>
        <v>0</v>
      </c>
      <c r="K662" s="264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hidden="1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hidden="1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hidden="1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hidden="1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hidden="1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hidden="1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hidden="1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hidden="1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hidden="1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IFERROR(__xludf.DUMMYFUNCTION("IMPORTRANGE(""https://docs.google.com/spreadsheets/d/1tdoBKaGub7dwA3U6UFTqxio9LNnvDCQjHKmttSEBsFQ/edit?usp=sharing"",""จัดที่ดิน!AY67"")"),0)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IFERROR(__xludf.DUMMYFUNCTION("IMPORTRANGE(""https://docs.google.com/spreadsheets/d/1tdoBKaGub7dwA3U6UFTqxio9LNnvDCQjHKmttSEBsFQ/edit?usp=sharing"",""จัดที่ดิน!AZ67"")"),0)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IFERROR(__xludf.DUMMYFUNCTION("IMPORTRANGE(""https://docs.google.com/spreadsheets/d/1eHaY18a8A9IcSdp1K8H6x8fbOy06t2VsZHhMHf-1x7Y/edit?usp=sharing"",""แผน!IL67"")"),80)</f>
        <v>80</v>
      </c>
      <c r="J674" s="293">
        <f ca="1">IFERROR(__xludf.DUMMYFUNCTION("IMPORTRANGE(""https://docs.google.com/spreadsheets/d/1tdoBKaGub7dwA3U6UFTqxio9LNnvDCQjHKmttSEBsFQ/edit?usp=sharing"",""จัดที่ดิน!BA67"")"),0)</f>
        <v>0</v>
      </c>
      <c r="K674" s="74">
        <f t="shared" ref="K674:K677" ca="1" si="408">IF(I674&gt;0,J674*100/I674,0)</f>
        <v>0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hidden="1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IFERROR(__xludf.DUMMYFUNCTION("IMPORTRANGE(""https://docs.google.com/spreadsheets/d/1eHaY18a8A9IcSdp1K8H6x8fbOy06t2VsZHhMHf-1x7Y/edit?usp=sharing"",""แผน!IM67"")"),0)</f>
        <v>0</v>
      </c>
      <c r="J675" s="622">
        <f ca="1">J677+J680</f>
        <v>0</v>
      </c>
      <c r="K675" s="264">
        <f t="shared" ca="1" si="408"/>
        <v>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hidden="1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IFERROR(__xludf.DUMMYFUNCTION("IMPORTRANGE(""https://docs.google.com/spreadsheets/d/1eHaY18a8A9IcSdp1K8H6x8fbOy06t2VsZHhMHf-1x7Y/edit?usp=sharing"",""แผน!IN67"")"),0)</f>
        <v>0</v>
      </c>
      <c r="J676" s="622">
        <f ca="1">J679+J682</f>
        <v>0</v>
      </c>
      <c r="K676" s="264">
        <f t="shared" ca="1" si="408"/>
        <v>0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hidden="1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IFERROR(__xludf.DUMMYFUNCTION("IMPORTRANGE(""https://docs.google.com/spreadsheets/d/1eHaY18a8A9IcSdp1K8H6x8fbOy06t2VsZHhMHf-1x7Y/edit?usp=sharing"",""แผน!IO67"")"),0)</f>
        <v>0</v>
      </c>
      <c r="J677" s="293">
        <f ca="1">IFERROR(__xludf.DUMMYFUNCTION("IMPORTRANGE(""https://docs.google.com/spreadsheets/d/1tdoBKaGub7dwA3U6UFTqxio9LNnvDCQjHKmttSEBsFQ/edit?usp=sharing"",""จัดที่ดิน!BF67"")"),0)</f>
        <v>0</v>
      </c>
      <c r="K677" s="74">
        <f t="shared" ca="1" si="408"/>
        <v>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hidden="1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IFERROR(__xludf.DUMMYFUNCTION("IMPORTRANGE(""https://docs.google.com/spreadsheets/d/1tdoBKaGub7dwA3U6UFTqxio9LNnvDCQjHKmttSEBsFQ/edit?usp=sharing"",""จัดที่ดิน!BG67"")"),0)</f>
        <v>0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hidden="1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IFERROR(__xludf.DUMMYFUNCTION("IMPORTRANGE(""https://docs.google.com/spreadsheets/d/1eHaY18a8A9IcSdp1K8H6x8fbOy06t2VsZHhMHf-1x7Y/edit?usp=sharing"",""แผน!IP67"")"),0)</f>
        <v>0</v>
      </c>
      <c r="J679" s="293">
        <f ca="1">IFERROR(__xludf.DUMMYFUNCTION("IMPORTRANGE(""https://docs.google.com/spreadsheets/d/1tdoBKaGub7dwA3U6UFTqxio9LNnvDCQjHKmttSEBsFQ/edit?usp=sharing"",""จัดที่ดิน!BH67"")"),0)</f>
        <v>0</v>
      </c>
      <c r="K679" s="74">
        <f t="shared" ref="K679:K680" ca="1" si="409">IF(I679&gt;0,J679*100/I679,0)</f>
        <v>0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hidden="1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IFERROR(__xludf.DUMMYFUNCTION("IMPORTRANGE(""https://docs.google.com/spreadsheets/d/1eHaY18a8A9IcSdp1K8H6x8fbOy06t2VsZHhMHf-1x7Y/edit?usp=sharing"",""แผน!IQ67"")"),0)</f>
        <v>0</v>
      </c>
      <c r="J680" s="293">
        <f ca="1">IFERROR(__xludf.DUMMYFUNCTION("IMPORTRANGE(""https://docs.google.com/spreadsheets/d/1tdoBKaGub7dwA3U6UFTqxio9LNnvDCQjHKmttSEBsFQ/edit?usp=sharing"",""จัดที่ดิน!BK67"")"),0)</f>
        <v>0</v>
      </c>
      <c r="K680" s="74">
        <f t="shared" ca="1" si="409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hidden="1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IFERROR(__xludf.DUMMYFUNCTION("IMPORTRANGE(""https://docs.google.com/spreadsheets/d/1tdoBKaGub7dwA3U6UFTqxio9LNnvDCQjHKmttSEBsFQ/edit?usp=sharing"",""จัดที่ดิน!BL67"")"),0)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hidden="1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IFERROR(__xludf.DUMMYFUNCTION("IMPORTRANGE(""https://docs.google.com/spreadsheets/d/1eHaY18a8A9IcSdp1K8H6x8fbOy06t2VsZHhMHf-1x7Y/edit?usp=sharing"",""แผน!IR67"")"),0)</f>
        <v>0</v>
      </c>
      <c r="J682" s="293">
        <f ca="1">IFERROR(__xludf.DUMMYFUNCTION("IMPORTRANGE(""https://docs.google.com/spreadsheets/d/1tdoBKaGub7dwA3U6UFTqxio9LNnvDCQjHKmttSEBsFQ/edit?usp=sharing"",""จัดที่ดิน!BM67"")"),0)</f>
        <v>0</v>
      </c>
      <c r="K682" s="74">
        <f t="shared" ref="K682:K683" ca="1" si="410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hidden="1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IFERROR(__xludf.DUMMYFUNCTION("IMPORTRANGE(""https://docs.google.com/spreadsheets/d/1eHaY18a8A9IcSdp1K8H6x8fbOy06t2VsZHhMHf-1x7Y/edit?usp=sharing"",""แผน!IS67"")"),0)</f>
        <v>0</v>
      </c>
      <c r="J683" s="622">
        <f>J686+J689</f>
        <v>0</v>
      </c>
      <c r="K683" s="264">
        <f t="shared" ca="1" si="410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hidden="1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hidden="1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hidden="1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hidden="1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hidden="1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hidden="1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80" t="s">
        <v>35</v>
      </c>
      <c r="I690" s="781">
        <f t="shared" ref="I690:J690" ca="1" si="411">I708</f>
        <v>100</v>
      </c>
      <c r="J690" s="781">
        <f t="shared" ca="1" si="411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1257">
        <f t="shared" ref="L691:N691" si="412">L692+L693</f>
        <v>0</v>
      </c>
      <c r="M691" s="264">
        <f t="shared" si="412"/>
        <v>0</v>
      </c>
      <c r="N691" s="264">
        <f t="shared" si="412"/>
        <v>0</v>
      </c>
      <c r="O691" s="264">
        <f t="shared" ref="O691:O699" si="413">IF(L691&gt;0,N691*100/L691,0)</f>
        <v>0</v>
      </c>
      <c r="P691" s="264">
        <f t="shared" ref="P691:P699" si="414">IF(M691&gt;0,N691*100/M691,0)</f>
        <v>0</v>
      </c>
      <c r="Q691" s="264">
        <f t="shared" ref="Q691:S691" ca="1" si="415">Q692+Q693</f>
        <v>235670</v>
      </c>
      <c r="R691" s="264">
        <f t="shared" ca="1" si="415"/>
        <v>235670</v>
      </c>
      <c r="S691" s="264">
        <f t="shared" ca="1" si="415"/>
        <v>46500</v>
      </c>
      <c r="T691" s="264">
        <f t="shared" ref="T691:T699" ca="1" si="416">IF(Q691&gt;0,S691*100/Q691,0)</f>
        <v>19.730979759833666</v>
      </c>
      <c r="U691" s="264">
        <f t="shared" ref="U691:U699" ca="1" si="417">IF(R691&gt;0,S691*100/R691,0)</f>
        <v>19.730979759833666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6">
        <f t="shared" ref="L692:N693" si="418">L695+L698</f>
        <v>0</v>
      </c>
      <c r="M692" s="77">
        <f t="shared" si="418"/>
        <v>0</v>
      </c>
      <c r="N692" s="77">
        <f t="shared" si="418"/>
        <v>0</v>
      </c>
      <c r="O692" s="77">
        <f t="shared" si="413"/>
        <v>0</v>
      </c>
      <c r="P692" s="77">
        <f t="shared" si="414"/>
        <v>0</v>
      </c>
      <c r="Q692" s="77">
        <f t="shared" ref="Q692:S693" si="419">Q695+Q698</f>
        <v>0</v>
      </c>
      <c r="R692" s="77">
        <f t="shared" si="419"/>
        <v>0</v>
      </c>
      <c r="S692" s="77">
        <f t="shared" si="419"/>
        <v>0</v>
      </c>
      <c r="T692" s="77">
        <f t="shared" si="416"/>
        <v>0</v>
      </c>
      <c r="U692" s="77">
        <f t="shared" si="417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3">
        <f t="shared" si="418"/>
        <v>0</v>
      </c>
      <c r="M693" s="74">
        <f t="shared" si="418"/>
        <v>0</v>
      </c>
      <c r="N693" s="74">
        <f t="shared" si="418"/>
        <v>0</v>
      </c>
      <c r="O693" s="74">
        <f t="shared" si="413"/>
        <v>0</v>
      </c>
      <c r="P693" s="74">
        <f t="shared" si="414"/>
        <v>0</v>
      </c>
      <c r="Q693" s="74">
        <f t="shared" ca="1" si="419"/>
        <v>235670</v>
      </c>
      <c r="R693" s="74">
        <f t="shared" ca="1" si="419"/>
        <v>235670</v>
      </c>
      <c r="S693" s="74">
        <f t="shared" ca="1" si="419"/>
        <v>46500</v>
      </c>
      <c r="T693" s="74">
        <f t="shared" ca="1" si="416"/>
        <v>19.730979759833666</v>
      </c>
      <c r="U693" s="74">
        <f t="shared" ca="1" si="417"/>
        <v>19.730979759833666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3">
        <f t="shared" ref="L694:N694" si="420">L695+L696</f>
        <v>0</v>
      </c>
      <c r="M694" s="74">
        <f t="shared" si="420"/>
        <v>0</v>
      </c>
      <c r="N694" s="74">
        <f t="shared" si="420"/>
        <v>0</v>
      </c>
      <c r="O694" s="74">
        <f t="shared" si="413"/>
        <v>0</v>
      </c>
      <c r="P694" s="74">
        <f t="shared" si="414"/>
        <v>0</v>
      </c>
      <c r="Q694" s="74">
        <f t="shared" ref="Q694:S694" ca="1" si="421">Q695+Q696</f>
        <v>235670</v>
      </c>
      <c r="R694" s="74">
        <f t="shared" ca="1" si="421"/>
        <v>235670</v>
      </c>
      <c r="S694" s="74">
        <f t="shared" ca="1" si="421"/>
        <v>46500</v>
      </c>
      <c r="T694" s="74">
        <f t="shared" ca="1" si="416"/>
        <v>19.730979759833666</v>
      </c>
      <c r="U694" s="74">
        <f t="shared" ca="1" si="417"/>
        <v>19.730979759833666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77">
        <f t="shared" si="413"/>
        <v>0</v>
      </c>
      <c r="P695" s="77">
        <f t="shared" si="414"/>
        <v>0</v>
      </c>
      <c r="Q695" s="77">
        <v>0</v>
      </c>
      <c r="R695" s="77">
        <v>0</v>
      </c>
      <c r="S695" s="77">
        <v>0</v>
      </c>
      <c r="T695" s="77">
        <f t="shared" si="416"/>
        <v>0</v>
      </c>
      <c r="U695" s="77">
        <f t="shared" si="417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74">
        <f t="shared" si="413"/>
        <v>0</v>
      </c>
      <c r="P696" s="74">
        <f t="shared" si="414"/>
        <v>0</v>
      </c>
      <c r="Q696" s="74">
        <f ca="1">IFERROR(__xludf.DUMMYFUNCTION("IMPORTRANGE(""https://docs.google.com/spreadsheets/d/1ItG2mGa2ceCfYo0BwxsXqNm01IGEUdYcSSLTEv9YCik/edit?usp=sharing"",""เบิกจ่ายกองทุน!L67"")"),235670)</f>
        <v>235670</v>
      </c>
      <c r="R696" s="74">
        <f ca="1">IFERROR(__xludf.DUMMYFUNCTION("IMPORTRANGE(""https://docs.google.com/spreadsheets/d/1ItG2mGa2ceCfYo0BwxsXqNm01IGEUdYcSSLTEv9YCik/edit?usp=sharing"",""เบิกจ่ายกองทุน!M67"")"),235670)</f>
        <v>235670</v>
      </c>
      <c r="S696" s="74">
        <f ca="1">IFERROR(__xludf.DUMMYFUNCTION("IMPORTRANGE(""https://docs.google.com/spreadsheets/d/1ItG2mGa2ceCfYo0BwxsXqNm01IGEUdYcSSLTEv9YCik/edit?usp=sharing"",""เบิกจ่ายกองทุน!N67"")"),46500)</f>
        <v>46500</v>
      </c>
      <c r="T696" s="74">
        <f t="shared" ca="1" si="416"/>
        <v>19.730979759833666</v>
      </c>
      <c r="U696" s="74">
        <f t="shared" ca="1" si="417"/>
        <v>19.730979759833666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3">
        <f t="shared" ref="L697:N697" si="422">L698+L699</f>
        <v>0</v>
      </c>
      <c r="M697" s="74">
        <f t="shared" si="422"/>
        <v>0</v>
      </c>
      <c r="N697" s="74">
        <f t="shared" si="422"/>
        <v>0</v>
      </c>
      <c r="O697" s="74">
        <f t="shared" si="413"/>
        <v>0</v>
      </c>
      <c r="P697" s="74">
        <f t="shared" si="414"/>
        <v>0</v>
      </c>
      <c r="Q697" s="74">
        <f t="shared" ref="Q697:S697" si="423">Q698+Q699</f>
        <v>0</v>
      </c>
      <c r="R697" s="74">
        <f t="shared" si="423"/>
        <v>0</v>
      </c>
      <c r="S697" s="74">
        <f t="shared" si="423"/>
        <v>0</v>
      </c>
      <c r="T697" s="74">
        <f t="shared" si="416"/>
        <v>0</v>
      </c>
      <c r="U697" s="74">
        <f t="shared" si="417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77">
        <f t="shared" si="413"/>
        <v>0</v>
      </c>
      <c r="P698" s="77">
        <f t="shared" si="414"/>
        <v>0</v>
      </c>
      <c r="Q698" s="77">
        <v>0</v>
      </c>
      <c r="R698" s="77">
        <v>0</v>
      </c>
      <c r="S698" s="77">
        <v>0</v>
      </c>
      <c r="T698" s="77">
        <f t="shared" si="416"/>
        <v>0</v>
      </c>
      <c r="U698" s="77">
        <f t="shared" si="417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74">
        <f t="shared" si="413"/>
        <v>0</v>
      </c>
      <c r="P699" s="74">
        <f t="shared" si="414"/>
        <v>0</v>
      </c>
      <c r="Q699" s="74">
        <v>0</v>
      </c>
      <c r="R699" s="74">
        <v>0</v>
      </c>
      <c r="S699" s="74">
        <v>0</v>
      </c>
      <c r="T699" s="74">
        <f t="shared" si="416"/>
        <v>0</v>
      </c>
      <c r="U699" s="74">
        <f t="shared" si="417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IFERROR(__xludf.DUMMYFUNCTION("IMPORTRANGE(""https://docs.google.com/spreadsheets/d/1eHaY18a8A9IcSdp1K8H6x8fbOy06t2VsZHhMHf-1x7Y/edit?usp=sharing"",""แผน!LC67"")"),2)</f>
        <v>2</v>
      </c>
      <c r="J701" s="294">
        <v>0</v>
      </c>
      <c r="K701" s="768">
        <f t="shared" ref="K701:K711" ca="1" si="424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t="shared" ref="I702:J702" ca="1" si="425">I704+I706</f>
        <v>104</v>
      </c>
      <c r="J702" s="622">
        <f t="shared" ca="1" si="425"/>
        <v>0</v>
      </c>
      <c r="K702" s="264">
        <f t="shared" ca="1" si="424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0</v>
      </c>
      <c r="K703" s="264">
        <f t="shared" si="424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IFERROR(__xludf.DUMMYFUNCTION("IMPORTRANGE(""https://docs.google.com/spreadsheets/d/1eHaY18a8A9IcSdp1K8H6x8fbOy06t2VsZHhMHf-1x7Y/edit?usp=sharing"",""แผน!LJ67"")"),100)</f>
        <v>100</v>
      </c>
      <c r="J704" s="293">
        <f ca="1">IFERROR(__xludf.DUMMYFUNCTION("IMPORTRANGE(""https://docs.google.com/spreadsheets/d/1tdoBKaGub7dwA3U6UFTqxio9LNnvDCQjHKmttSEBsFQ/edit?usp=sharing"",""จัดที่ดิน!AP67"")"),0)</f>
        <v>0</v>
      </c>
      <c r="K704" s="74">
        <f t="shared" ca="1" si="424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IFERROR(__xludf.DUMMYFUNCTION("IMPORTRANGE(""https://docs.google.com/spreadsheets/d/1tdoBKaGub7dwA3U6UFTqxio9LNnvDCQjHKmttSEBsFQ/edit?usp=sharing"",""จัดที่ดิน!AQ67"")"),0)</f>
        <v>0</v>
      </c>
      <c r="K705" s="74">
        <f t="shared" si="424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IFERROR(__xludf.DUMMYFUNCTION("IMPORTRANGE(""https://docs.google.com/spreadsheets/d/1eHaY18a8A9IcSdp1K8H6x8fbOy06t2VsZHhMHf-1x7Y/edit?usp=sharing"",""แผน!LK67"")"),4)</f>
        <v>4</v>
      </c>
      <c r="J706" s="293">
        <f ca="1">IFERROR(__xludf.DUMMYFUNCTION("IMPORTRANGE(""https://docs.google.com/spreadsheets/d/1tdoBKaGub7dwA3U6UFTqxio9LNnvDCQjHKmttSEBsFQ/edit?usp=sharing"",""จัดที่ดิน!AR67"")"),0)</f>
        <v>0</v>
      </c>
      <c r="K706" s="768">
        <f t="shared" ca="1" si="424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IFERROR(__xludf.DUMMYFUNCTION("IMPORTRANGE(""https://docs.google.com/spreadsheets/d/1tdoBKaGub7dwA3U6UFTqxio9LNnvDCQjHKmttSEBsFQ/edit?usp=sharing"",""จัดที่ดิน!AS67"")"),0)</f>
        <v>0</v>
      </c>
      <c r="K707" s="74">
        <f t="shared" si="424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IFERROR(__xludf.DUMMYFUNCTION("IMPORTRANGE(""https://docs.google.com/spreadsheets/d/1eHaY18a8A9IcSdp1K8H6x8fbOy06t2VsZHhMHf-1x7Y/edit?usp=sharing"",""แผน!LJ67"")"),100)</f>
        <v>100</v>
      </c>
      <c r="J708" s="293">
        <f ca="1">IFERROR(__xludf.DUMMYFUNCTION("IMPORTRANGE(""https://docs.google.com/spreadsheets/d/1tdoBKaGub7dwA3U6UFTqxio9LNnvDCQjHKmttSEBsFQ/edit?usp=sharing"",""จัดที่ดิน!BN67"")"),0)</f>
        <v>0</v>
      </c>
      <c r="K708" s="74">
        <f t="shared" ca="1" si="424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IFERROR(__xludf.DUMMYFUNCTION("IMPORTRANGE(""https://docs.google.com/spreadsheets/d/1tdoBKaGub7dwA3U6UFTqxio9LNnvDCQjHKmttSEBsFQ/edit?usp=sharing"",""จัดที่ดิน!BO67"")"),0)</f>
        <v>0</v>
      </c>
      <c r="K709" s="74">
        <f t="shared" si="424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IFERROR(__xludf.DUMMYFUNCTION("IMPORTRANGE(""https://docs.google.com/spreadsheets/d/1eHaY18a8A9IcSdp1K8H6x8fbOy06t2VsZHhMHf-1x7Y/edit?usp=sharing"",""แผน!LK67"")"),4)</f>
        <v>4</v>
      </c>
      <c r="J710" s="293">
        <f ca="1">IFERROR(__xludf.DUMMYFUNCTION("IMPORTRANGE(""https://docs.google.com/spreadsheets/d/1tdoBKaGub7dwA3U6UFTqxio9LNnvDCQjHKmttSEBsFQ/edit?usp=sharing"",""จัดที่ดิน!BP67"")"),0)</f>
        <v>0</v>
      </c>
      <c r="K710" s="74">
        <f t="shared" ca="1" si="424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IFERROR(__xludf.DUMMYFUNCTION("IMPORTRANGE(""https://docs.google.com/spreadsheets/d/1tdoBKaGub7dwA3U6UFTqxio9LNnvDCQjHKmttSEBsFQ/edit?usp=sharing"",""จัดที่ดิน!BQ67"")"),0)</f>
        <v>0</v>
      </c>
      <c r="K711" s="74">
        <f t="shared" si="424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1257">
        <f t="shared" ref="L715:N715" si="426">L716+L717</f>
        <v>0</v>
      </c>
      <c r="M715" s="264">
        <f t="shared" si="426"/>
        <v>0</v>
      </c>
      <c r="N715" s="264">
        <f t="shared" si="426"/>
        <v>0</v>
      </c>
      <c r="O715" s="264">
        <f t="shared" ref="O715:O723" si="427">IF(L715&gt;0,N715*100/L715,0)</f>
        <v>0</v>
      </c>
      <c r="P715" s="264">
        <f t="shared" ref="P715:P723" si="428">IF(M715&gt;0,N715*100/M715,0)</f>
        <v>0</v>
      </c>
      <c r="Q715" s="264">
        <f t="shared" ref="Q715:S715" si="429">Q716+Q717</f>
        <v>0</v>
      </c>
      <c r="R715" s="264">
        <f t="shared" si="429"/>
        <v>0</v>
      </c>
      <c r="S715" s="264">
        <f t="shared" si="429"/>
        <v>0</v>
      </c>
      <c r="T715" s="264">
        <f t="shared" ref="T715:T723" si="430">IF(Q715&gt;0,S715*100/Q715,0)</f>
        <v>0</v>
      </c>
      <c r="U715" s="264">
        <f t="shared" ref="U715:U723" si="431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6">
        <f t="shared" ref="L716:N717" si="432">L719+L722</f>
        <v>0</v>
      </c>
      <c r="M716" s="77">
        <f t="shared" si="432"/>
        <v>0</v>
      </c>
      <c r="N716" s="77">
        <f t="shared" si="432"/>
        <v>0</v>
      </c>
      <c r="O716" s="77">
        <f t="shared" si="427"/>
        <v>0</v>
      </c>
      <c r="P716" s="77">
        <f t="shared" si="428"/>
        <v>0</v>
      </c>
      <c r="Q716" s="77">
        <f t="shared" ref="Q716:S717" si="433">Q719+Q722</f>
        <v>0</v>
      </c>
      <c r="R716" s="77">
        <f t="shared" si="433"/>
        <v>0</v>
      </c>
      <c r="S716" s="77">
        <f t="shared" si="433"/>
        <v>0</v>
      </c>
      <c r="T716" s="77">
        <f t="shared" si="430"/>
        <v>0</v>
      </c>
      <c r="U716" s="77">
        <f t="shared" si="431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3">
        <f t="shared" si="432"/>
        <v>0</v>
      </c>
      <c r="M717" s="74">
        <f t="shared" si="432"/>
        <v>0</v>
      </c>
      <c r="N717" s="74">
        <f t="shared" si="432"/>
        <v>0</v>
      </c>
      <c r="O717" s="74">
        <f t="shared" si="427"/>
        <v>0</v>
      </c>
      <c r="P717" s="74">
        <f t="shared" si="428"/>
        <v>0</v>
      </c>
      <c r="Q717" s="74">
        <f t="shared" si="433"/>
        <v>0</v>
      </c>
      <c r="R717" s="74">
        <f t="shared" si="433"/>
        <v>0</v>
      </c>
      <c r="S717" s="74">
        <f t="shared" si="433"/>
        <v>0</v>
      </c>
      <c r="T717" s="74">
        <f t="shared" si="430"/>
        <v>0</v>
      </c>
      <c r="U717" s="74">
        <f t="shared" si="431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3">
        <f t="shared" ref="L718:N718" si="434">L719+L720</f>
        <v>0</v>
      </c>
      <c r="M718" s="74">
        <f t="shared" si="434"/>
        <v>0</v>
      </c>
      <c r="N718" s="74">
        <f t="shared" si="434"/>
        <v>0</v>
      </c>
      <c r="O718" s="74">
        <f t="shared" si="427"/>
        <v>0</v>
      </c>
      <c r="P718" s="74">
        <f t="shared" si="428"/>
        <v>0</v>
      </c>
      <c r="Q718" s="74">
        <f t="shared" ref="Q718:S718" si="435">Q719+Q720</f>
        <v>0</v>
      </c>
      <c r="R718" s="74">
        <f t="shared" si="435"/>
        <v>0</v>
      </c>
      <c r="S718" s="74">
        <f t="shared" si="435"/>
        <v>0</v>
      </c>
      <c r="T718" s="74">
        <f t="shared" si="430"/>
        <v>0</v>
      </c>
      <c r="U718" s="74">
        <f t="shared" si="431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77">
        <f t="shared" si="427"/>
        <v>0</v>
      </c>
      <c r="P719" s="77">
        <f t="shared" si="428"/>
        <v>0</v>
      </c>
      <c r="Q719" s="77">
        <v>0</v>
      </c>
      <c r="R719" s="77">
        <v>0</v>
      </c>
      <c r="S719" s="77">
        <v>0</v>
      </c>
      <c r="T719" s="77">
        <f t="shared" si="430"/>
        <v>0</v>
      </c>
      <c r="U719" s="77">
        <f t="shared" si="431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74">
        <f t="shared" si="427"/>
        <v>0</v>
      </c>
      <c r="P720" s="74">
        <f t="shared" si="428"/>
        <v>0</v>
      </c>
      <c r="Q720" s="74">
        <v>0</v>
      </c>
      <c r="R720" s="74">
        <v>0</v>
      </c>
      <c r="S720" s="74">
        <v>0</v>
      </c>
      <c r="T720" s="74">
        <f t="shared" si="430"/>
        <v>0</v>
      </c>
      <c r="U720" s="74">
        <f t="shared" si="431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3">
        <f t="shared" ref="L721:N721" si="436">L722+L723</f>
        <v>0</v>
      </c>
      <c r="M721" s="74">
        <f t="shared" si="436"/>
        <v>0</v>
      </c>
      <c r="N721" s="74">
        <f t="shared" si="436"/>
        <v>0</v>
      </c>
      <c r="O721" s="74">
        <f t="shared" si="427"/>
        <v>0</v>
      </c>
      <c r="P721" s="74">
        <f t="shared" si="428"/>
        <v>0</v>
      </c>
      <c r="Q721" s="74">
        <f t="shared" ref="Q721:S721" si="437">Q722+Q723</f>
        <v>0</v>
      </c>
      <c r="R721" s="74">
        <f t="shared" si="437"/>
        <v>0</v>
      </c>
      <c r="S721" s="74">
        <f t="shared" si="437"/>
        <v>0</v>
      </c>
      <c r="T721" s="74">
        <f t="shared" si="430"/>
        <v>0</v>
      </c>
      <c r="U721" s="74">
        <f t="shared" si="431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77">
        <f t="shared" si="427"/>
        <v>0</v>
      </c>
      <c r="P722" s="77">
        <f t="shared" si="428"/>
        <v>0</v>
      </c>
      <c r="Q722" s="77">
        <v>0</v>
      </c>
      <c r="R722" s="77">
        <v>0</v>
      </c>
      <c r="S722" s="77">
        <v>0</v>
      </c>
      <c r="T722" s="77">
        <f t="shared" si="430"/>
        <v>0</v>
      </c>
      <c r="U722" s="77">
        <f t="shared" si="431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74">
        <f t="shared" si="427"/>
        <v>0</v>
      </c>
      <c r="P723" s="74">
        <f t="shared" si="428"/>
        <v>0</v>
      </c>
      <c r="Q723" s="74">
        <v>0</v>
      </c>
      <c r="R723" s="74">
        <v>0</v>
      </c>
      <c r="S723" s="74">
        <v>0</v>
      </c>
      <c r="T723" s="74">
        <f t="shared" si="430"/>
        <v>0</v>
      </c>
      <c r="U723" s="74">
        <f t="shared" si="431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IFERROR(__xludf.DUMMYFUNCTION("IMPORTRANGE(""https://docs.google.com/spreadsheets/d/1eHaY18a8A9IcSdp1K8H6x8fbOy06t2VsZHhMHf-1x7Y/edit?usp=sharing"",""แผน!GA67"")"),31)</f>
        <v>31</v>
      </c>
      <c r="J727" s="781">
        <f>J743+J747+J750</f>
        <v>0</v>
      </c>
      <c r="K727" s="766">
        <f t="shared" ref="K727:K728" ca="1" si="438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IFERROR(__xludf.DUMMYFUNCTION("IMPORTRANGE(""https://docs.google.com/spreadsheets/d/1eHaY18a8A9IcSdp1K8H6x8fbOy06t2VsZHhMHf-1x7Y/edit?usp=sharing"",""แผน!FZ67"")"),300)</f>
        <v>300</v>
      </c>
      <c r="J728" s="781">
        <f>J753+J756</f>
        <v>0</v>
      </c>
      <c r="K728" s="766">
        <f t="shared" ca="1" si="438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1257">
        <f t="shared" ref="L729:N729" si="439">L730+L731</f>
        <v>0</v>
      </c>
      <c r="M729" s="264">
        <f t="shared" si="439"/>
        <v>0</v>
      </c>
      <c r="N729" s="264">
        <f t="shared" si="439"/>
        <v>0</v>
      </c>
      <c r="O729" s="264">
        <f t="shared" ref="O729:O737" si="440">IF(L729&gt;0,N729*100/L729,0)</f>
        <v>0</v>
      </c>
      <c r="P729" s="264">
        <f t="shared" ref="P729:P737" si="441">IF(M729&gt;0,N729*100/M729,0)</f>
        <v>0</v>
      </c>
      <c r="Q729" s="264">
        <f t="shared" ref="Q729:S729" ca="1" si="442">Q730+Q731</f>
        <v>242546</v>
      </c>
      <c r="R729" s="264">
        <f t="shared" ca="1" si="442"/>
        <v>242546</v>
      </c>
      <c r="S729" s="264">
        <f t="shared" ca="1" si="442"/>
        <v>0</v>
      </c>
      <c r="T729" s="264">
        <f t="shared" ref="T729:T737" ca="1" si="443">IF(Q729&gt;0,S729*100/Q729,0)</f>
        <v>0</v>
      </c>
      <c r="U729" s="264">
        <f t="shared" ref="U729:U737" ca="1" si="444">IF(R729&gt;0,S729*100/R729,0)</f>
        <v>0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6">
        <f t="shared" ref="L730:N731" si="445">L733+L736</f>
        <v>0</v>
      </c>
      <c r="M730" s="77">
        <f t="shared" si="445"/>
        <v>0</v>
      </c>
      <c r="N730" s="77">
        <f t="shared" si="445"/>
        <v>0</v>
      </c>
      <c r="O730" s="77">
        <f t="shared" si="440"/>
        <v>0</v>
      </c>
      <c r="P730" s="77">
        <f t="shared" si="441"/>
        <v>0</v>
      </c>
      <c r="Q730" s="77">
        <f t="shared" ref="Q730:S731" si="446">Q733+Q736</f>
        <v>0</v>
      </c>
      <c r="R730" s="77">
        <f t="shared" si="446"/>
        <v>0</v>
      </c>
      <c r="S730" s="77">
        <f t="shared" si="446"/>
        <v>0</v>
      </c>
      <c r="T730" s="77">
        <f t="shared" si="443"/>
        <v>0</v>
      </c>
      <c r="U730" s="77">
        <f t="shared" si="444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3">
        <f t="shared" si="445"/>
        <v>0</v>
      </c>
      <c r="M731" s="74">
        <f t="shared" si="445"/>
        <v>0</v>
      </c>
      <c r="N731" s="74">
        <f t="shared" si="445"/>
        <v>0</v>
      </c>
      <c r="O731" s="74">
        <f t="shared" si="440"/>
        <v>0</v>
      </c>
      <c r="P731" s="74">
        <f t="shared" si="441"/>
        <v>0</v>
      </c>
      <c r="Q731" s="74">
        <f t="shared" ca="1" si="446"/>
        <v>242546</v>
      </c>
      <c r="R731" s="74">
        <f t="shared" ca="1" si="446"/>
        <v>242546</v>
      </c>
      <c r="S731" s="74">
        <f t="shared" ca="1" si="446"/>
        <v>0</v>
      </c>
      <c r="T731" s="74">
        <f t="shared" ca="1" si="443"/>
        <v>0</v>
      </c>
      <c r="U731" s="74">
        <f t="shared" ca="1" si="444"/>
        <v>0</v>
      </c>
    </row>
    <row r="732" spans="1:21" ht="18.75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3">
        <f t="shared" ref="L732:N732" si="447">L733+L734</f>
        <v>0</v>
      </c>
      <c r="M732" s="74">
        <f t="shared" si="447"/>
        <v>0</v>
      </c>
      <c r="N732" s="74">
        <f t="shared" si="447"/>
        <v>0</v>
      </c>
      <c r="O732" s="74">
        <f t="shared" si="440"/>
        <v>0</v>
      </c>
      <c r="P732" s="74">
        <f t="shared" si="441"/>
        <v>0</v>
      </c>
      <c r="Q732" s="74">
        <f t="shared" ref="Q732:S732" ca="1" si="448">Q733+Q734</f>
        <v>242546</v>
      </c>
      <c r="R732" s="74">
        <f t="shared" ca="1" si="448"/>
        <v>242546</v>
      </c>
      <c r="S732" s="74">
        <f t="shared" ca="1" si="448"/>
        <v>0</v>
      </c>
      <c r="T732" s="74">
        <f t="shared" ca="1" si="443"/>
        <v>0</v>
      </c>
      <c r="U732" s="74">
        <f t="shared" ca="1" si="444"/>
        <v>0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77">
        <f t="shared" si="440"/>
        <v>0</v>
      </c>
      <c r="P733" s="77">
        <f t="shared" si="441"/>
        <v>0</v>
      </c>
      <c r="Q733" s="77">
        <v>0</v>
      </c>
      <c r="R733" s="77">
        <v>0</v>
      </c>
      <c r="S733" s="77">
        <v>0</v>
      </c>
      <c r="T733" s="77">
        <f t="shared" si="443"/>
        <v>0</v>
      </c>
      <c r="U733" s="77">
        <f t="shared" si="444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74">
        <f t="shared" si="440"/>
        <v>0</v>
      </c>
      <c r="P734" s="74">
        <f t="shared" si="441"/>
        <v>0</v>
      </c>
      <c r="Q734" s="74">
        <f ca="1">IFERROR(__xludf.DUMMYFUNCTION("IMPORTRANGE(""https://docs.google.com/spreadsheets/d/1ItG2mGa2ceCfYo0BwxsXqNm01IGEUdYcSSLTEv9YCik/edit?usp=sharing"",""เบิกจ่ายกองทุน!O67"")"),242546)</f>
        <v>242546</v>
      </c>
      <c r="R734" s="74">
        <f ca="1">IFERROR(__xludf.DUMMYFUNCTION("IMPORTRANGE(""https://docs.google.com/spreadsheets/d/1ItG2mGa2ceCfYo0BwxsXqNm01IGEUdYcSSLTEv9YCik/edit?usp=sharing"",""เบิกจ่ายกองทุน!P67"")"),242546)</f>
        <v>242546</v>
      </c>
      <c r="S734" s="74">
        <f ca="1">IFERROR(__xludf.DUMMYFUNCTION("IMPORTRANGE(""https://docs.google.com/spreadsheets/d/1ItG2mGa2ceCfYo0BwxsXqNm01IGEUdYcSSLTEv9YCik/edit?usp=sharing"",""เบิกจ่ายกองทุน!Q67"")"),0)</f>
        <v>0</v>
      </c>
      <c r="T734" s="74">
        <f t="shared" ca="1" si="443"/>
        <v>0</v>
      </c>
      <c r="U734" s="74">
        <f t="shared" ca="1" si="444"/>
        <v>0</v>
      </c>
    </row>
    <row r="735" spans="1:21" ht="18.75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3">
        <f t="shared" ref="L735:N735" si="449">L736+L737</f>
        <v>0</v>
      </c>
      <c r="M735" s="74">
        <f t="shared" si="449"/>
        <v>0</v>
      </c>
      <c r="N735" s="74">
        <f t="shared" si="449"/>
        <v>0</v>
      </c>
      <c r="O735" s="74">
        <f t="shared" si="440"/>
        <v>0</v>
      </c>
      <c r="P735" s="74">
        <f t="shared" si="441"/>
        <v>0</v>
      </c>
      <c r="Q735" s="74">
        <f t="shared" ref="Q735:S735" si="450">Q736+Q737</f>
        <v>0</v>
      </c>
      <c r="R735" s="74">
        <f t="shared" si="450"/>
        <v>0</v>
      </c>
      <c r="S735" s="74">
        <f t="shared" si="450"/>
        <v>0</v>
      </c>
      <c r="T735" s="74">
        <f t="shared" si="443"/>
        <v>0</v>
      </c>
      <c r="U735" s="74">
        <f t="shared" si="444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77">
        <f t="shared" si="440"/>
        <v>0</v>
      </c>
      <c r="P736" s="77">
        <f t="shared" si="441"/>
        <v>0</v>
      </c>
      <c r="Q736" s="77">
        <v>0</v>
      </c>
      <c r="R736" s="77">
        <v>0</v>
      </c>
      <c r="S736" s="77">
        <v>0</v>
      </c>
      <c r="T736" s="77">
        <f t="shared" si="443"/>
        <v>0</v>
      </c>
      <c r="U736" s="77">
        <f t="shared" si="444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74">
        <f t="shared" si="440"/>
        <v>0</v>
      </c>
      <c r="P737" s="74">
        <f t="shared" si="441"/>
        <v>0</v>
      </c>
      <c r="Q737" s="74">
        <v>0</v>
      </c>
      <c r="R737" s="74">
        <v>0</v>
      </c>
      <c r="S737" s="74">
        <v>0</v>
      </c>
      <c r="T737" s="74">
        <f t="shared" si="443"/>
        <v>0</v>
      </c>
      <c r="U737" s="74">
        <f t="shared" si="444"/>
        <v>0</v>
      </c>
    </row>
    <row r="738" spans="1:21" ht="19.5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x14ac:dyDescent="0.25">
      <c r="A740" s="222"/>
      <c r="B740" s="223"/>
      <c r="C740" s="223"/>
      <c r="D740" s="223"/>
      <c r="E740" s="1032" t="s">
        <v>270</v>
      </c>
      <c r="F740" s="223"/>
      <c r="G740" s="227"/>
      <c r="H740" s="1033"/>
      <c r="I740" s="71"/>
      <c r="J740" s="71"/>
      <c r="K740" s="72"/>
      <c r="L740" s="540"/>
      <c r="M740" s="72"/>
      <c r="N740" s="72"/>
      <c r="O740" s="72"/>
      <c r="P740" s="72"/>
      <c r="Q740" s="72"/>
      <c r="R740" s="72"/>
      <c r="S740" s="72"/>
      <c r="T740" s="72"/>
      <c r="U740" s="72"/>
    </row>
    <row r="741" spans="1:21" ht="18.75" x14ac:dyDescent="0.25">
      <c r="A741" s="222"/>
      <c r="B741" s="223"/>
      <c r="C741" s="223"/>
      <c r="D741" s="223"/>
      <c r="E741" s="223"/>
      <c r="F741" s="1032" t="s">
        <v>271</v>
      </c>
      <c r="G741" s="227"/>
      <c r="H741" s="216" t="s">
        <v>46</v>
      </c>
      <c r="I741" s="321">
        <f ca="1">IFERROR(__xludf.DUMMYFUNCTION("IMPORTRANGE(""https://docs.google.com/spreadsheets/d/1eHaY18a8A9IcSdp1K8H6x8fbOy06t2VsZHhMHf-1x7Y/edit?usp=sharing"",""แผน!GB67"")"),240)</f>
        <v>240</v>
      </c>
      <c r="J741" s="884">
        <v>0</v>
      </c>
      <c r="K741" s="399">
        <f ca="1">IF(I741&gt;0,J741*100/I741,0)</f>
        <v>0</v>
      </c>
      <c r="L741" s="540"/>
      <c r="M741" s="72"/>
      <c r="N741" s="72"/>
      <c r="O741" s="72"/>
      <c r="P741" s="72"/>
      <c r="Q741" s="72"/>
      <c r="R741" s="72"/>
      <c r="S741" s="72"/>
      <c r="T741" s="72"/>
      <c r="U741" s="72"/>
    </row>
    <row r="742" spans="1:21" ht="18.75" x14ac:dyDescent="0.25">
      <c r="A742" s="222"/>
      <c r="B742" s="223"/>
      <c r="C742" s="223"/>
      <c r="D742" s="223"/>
      <c r="E742" s="223"/>
      <c r="F742" s="1032" t="s">
        <v>311</v>
      </c>
      <c r="G742" s="227"/>
      <c r="H742" s="216" t="s">
        <v>35</v>
      </c>
      <c r="I742" s="71"/>
      <c r="J742" s="884">
        <v>0</v>
      </c>
      <c r="K742" s="72"/>
      <c r="L742" s="540"/>
      <c r="M742" s="72"/>
      <c r="N742" s="72"/>
      <c r="O742" s="72"/>
      <c r="P742" s="72"/>
      <c r="Q742" s="72"/>
      <c r="R742" s="72"/>
      <c r="S742" s="72"/>
      <c r="T742" s="72"/>
      <c r="U742" s="72"/>
    </row>
    <row r="743" spans="1:21" ht="18.75" x14ac:dyDescent="0.25">
      <c r="A743" s="222"/>
      <c r="B743" s="223"/>
      <c r="C743" s="223"/>
      <c r="D743" s="223"/>
      <c r="E743" s="223"/>
      <c r="F743" s="1032" t="s">
        <v>312</v>
      </c>
      <c r="G743" s="227"/>
      <c r="H743" s="216" t="s">
        <v>35</v>
      </c>
      <c r="I743" s="321">
        <f ca="1">IFERROR(__xludf.DUMMYFUNCTION("IMPORTRANGE(""https://docs.google.com/spreadsheets/d/1eHaY18a8A9IcSdp1K8H6x8fbOy06t2VsZHhMHf-1x7Y/edit?usp=sharing"",""แผน!GC67"")"),24)</f>
        <v>24</v>
      </c>
      <c r="J743" s="884">
        <v>0</v>
      </c>
      <c r="K743" s="399">
        <f ca="1">IF(I743&gt;0,J743*100/I743,0)</f>
        <v>0</v>
      </c>
      <c r="L743" s="540"/>
      <c r="M743" s="72"/>
      <c r="N743" s="72"/>
      <c r="O743" s="72"/>
      <c r="P743" s="72"/>
      <c r="Q743" s="72"/>
      <c r="R743" s="72"/>
      <c r="S743" s="72"/>
      <c r="T743" s="72"/>
      <c r="U743" s="72"/>
    </row>
    <row r="744" spans="1:21" ht="18.75" x14ac:dyDescent="0.25">
      <c r="A744" s="222"/>
      <c r="B744" s="223"/>
      <c r="C744" s="223"/>
      <c r="D744" s="223"/>
      <c r="E744" s="1032" t="s">
        <v>274</v>
      </c>
      <c r="F744" s="223"/>
      <c r="G744" s="227"/>
      <c r="H744" s="1033"/>
      <c r="I744" s="71"/>
      <c r="J744" s="71"/>
      <c r="K744" s="72"/>
      <c r="L744" s="540"/>
      <c r="M744" s="72"/>
      <c r="N744" s="72"/>
      <c r="O744" s="72"/>
      <c r="P744" s="72"/>
      <c r="Q744" s="72"/>
      <c r="R744" s="72"/>
      <c r="S744" s="72"/>
      <c r="T744" s="72"/>
      <c r="U744" s="72"/>
    </row>
    <row r="745" spans="1:21" ht="18.75" x14ac:dyDescent="0.25">
      <c r="A745" s="222"/>
      <c r="B745" s="223"/>
      <c r="C745" s="223"/>
      <c r="D745" s="223"/>
      <c r="E745" s="223"/>
      <c r="F745" s="1032" t="s">
        <v>271</v>
      </c>
      <c r="G745" s="227"/>
      <c r="H745" s="216" t="s">
        <v>46</v>
      </c>
      <c r="I745" s="321">
        <f ca="1">IFERROR(__xludf.DUMMYFUNCTION("IMPORTRANGE(""https://docs.google.com/spreadsheets/d/1eHaY18a8A9IcSdp1K8H6x8fbOy06t2VsZHhMHf-1x7Y/edit?usp=sharing"",""แผน!GD67"")"),60)</f>
        <v>60</v>
      </c>
      <c r="J745" s="884">
        <v>0</v>
      </c>
      <c r="K745" s="399">
        <f ca="1">IF(I745&gt;0,J745*100/I745,0)</f>
        <v>0</v>
      </c>
      <c r="L745" s="540"/>
      <c r="M745" s="72"/>
      <c r="N745" s="72"/>
      <c r="O745" s="72"/>
      <c r="P745" s="72"/>
      <c r="Q745" s="72"/>
      <c r="R745" s="72"/>
      <c r="S745" s="72"/>
      <c r="T745" s="72"/>
      <c r="U745" s="72"/>
    </row>
    <row r="746" spans="1:21" ht="18.75" x14ac:dyDescent="0.25">
      <c r="A746" s="222"/>
      <c r="B746" s="223"/>
      <c r="C746" s="223"/>
      <c r="D746" s="223"/>
      <c r="E746" s="223"/>
      <c r="F746" s="1032" t="s">
        <v>313</v>
      </c>
      <c r="G746" s="227"/>
      <c r="H746" s="216" t="s">
        <v>35</v>
      </c>
      <c r="I746" s="71"/>
      <c r="J746" s="884">
        <v>0</v>
      </c>
      <c r="K746" s="72"/>
      <c r="L746" s="540"/>
      <c r="M746" s="72"/>
      <c r="N746" s="72"/>
      <c r="O746" s="72"/>
      <c r="P746" s="72"/>
      <c r="Q746" s="72"/>
      <c r="R746" s="72"/>
      <c r="S746" s="72"/>
      <c r="T746" s="72"/>
      <c r="U746" s="72"/>
    </row>
    <row r="747" spans="1:21" ht="18.75" x14ac:dyDescent="0.25">
      <c r="A747" s="222"/>
      <c r="B747" s="223"/>
      <c r="C747" s="223"/>
      <c r="D747" s="223"/>
      <c r="E747" s="223"/>
      <c r="F747" s="1032" t="s">
        <v>314</v>
      </c>
      <c r="G747" s="227"/>
      <c r="H747" s="216" t="s">
        <v>35</v>
      </c>
      <c r="I747" s="321">
        <f ca="1">IFERROR(__xludf.DUMMYFUNCTION("IMPORTRANGE(""https://docs.google.com/spreadsheets/d/1eHaY18a8A9IcSdp1K8H6x8fbOy06t2VsZHhMHf-1x7Y/edit?usp=sharing"",""แผน!GE67"")"),6)</f>
        <v>6</v>
      </c>
      <c r="J747" s="884">
        <v>0</v>
      </c>
      <c r="K747" s="399">
        <f ca="1">IF(I747&gt;0,J747*100/I747,0)</f>
        <v>0</v>
      </c>
      <c r="L747" s="540"/>
      <c r="M747" s="72"/>
      <c r="N747" s="72"/>
      <c r="O747" s="72"/>
      <c r="P747" s="72"/>
      <c r="Q747" s="72"/>
      <c r="R747" s="72"/>
      <c r="S747" s="72"/>
      <c r="T747" s="72"/>
      <c r="U747" s="72"/>
    </row>
    <row r="748" spans="1:21" ht="18.75" x14ac:dyDescent="0.25">
      <c r="A748" s="222"/>
      <c r="B748" s="223"/>
      <c r="C748" s="223"/>
      <c r="D748" s="223"/>
      <c r="E748" s="1032" t="s">
        <v>277</v>
      </c>
      <c r="F748" s="231"/>
      <c r="G748" s="227"/>
      <c r="H748" s="1033"/>
      <c r="I748" s="71"/>
      <c r="J748" s="71"/>
      <c r="K748" s="72"/>
      <c r="L748" s="540"/>
      <c r="M748" s="72"/>
      <c r="N748" s="72"/>
      <c r="O748" s="72"/>
      <c r="P748" s="72"/>
      <c r="Q748" s="72"/>
      <c r="R748" s="72"/>
      <c r="S748" s="72"/>
      <c r="T748" s="72"/>
      <c r="U748" s="72"/>
    </row>
    <row r="749" spans="1:21" ht="18.75" x14ac:dyDescent="0.25">
      <c r="A749" s="222"/>
      <c r="B749" s="223"/>
      <c r="C749" s="223"/>
      <c r="D749" s="223"/>
      <c r="E749" s="223"/>
      <c r="F749" s="1032" t="s">
        <v>315</v>
      </c>
      <c r="G749" s="227"/>
      <c r="H749" s="216" t="s">
        <v>35</v>
      </c>
      <c r="I749" s="71"/>
      <c r="J749" s="884">
        <v>0</v>
      </c>
      <c r="K749" s="72"/>
      <c r="L749" s="540"/>
      <c r="M749" s="72"/>
      <c r="N749" s="72"/>
      <c r="O749" s="72"/>
      <c r="P749" s="72"/>
      <c r="Q749" s="72"/>
      <c r="R749" s="72"/>
      <c r="S749" s="72"/>
      <c r="T749" s="72"/>
      <c r="U749" s="72"/>
    </row>
    <row r="750" spans="1:21" ht="18.75" x14ac:dyDescent="0.25">
      <c r="A750" s="222"/>
      <c r="B750" s="223"/>
      <c r="C750" s="223"/>
      <c r="D750" s="223"/>
      <c r="E750" s="223"/>
      <c r="F750" s="1032" t="s">
        <v>316</v>
      </c>
      <c r="G750" s="227"/>
      <c r="H750" s="216" t="s">
        <v>35</v>
      </c>
      <c r="I750" s="321">
        <f ca="1">IFERROR(__xludf.DUMMYFUNCTION("IMPORTRANGE(""https://docs.google.com/spreadsheets/d/1eHaY18a8A9IcSdp1K8H6x8fbOy06t2VsZHhMHf-1x7Y/edit?usp=sharing"",""แผน!GF67"")"),1)</f>
        <v>1</v>
      </c>
      <c r="J750" s="884">
        <v>0</v>
      </c>
      <c r="K750" s="399">
        <f ca="1">IF(I750&gt;0,J750*100/I750,0)</f>
        <v>0</v>
      </c>
      <c r="L750" s="540"/>
      <c r="M750" s="72"/>
      <c r="N750" s="72"/>
      <c r="O750" s="72"/>
      <c r="P750" s="72"/>
      <c r="Q750" s="72"/>
      <c r="R750" s="72"/>
      <c r="S750" s="72"/>
      <c r="T750" s="72"/>
      <c r="U750" s="72"/>
    </row>
    <row r="751" spans="1:21" ht="19.5" x14ac:dyDescent="0.3">
      <c r="A751" s="222"/>
      <c r="B751" s="223"/>
      <c r="C751" s="223"/>
      <c r="D751" s="1034" t="s">
        <v>50</v>
      </c>
      <c r="E751" s="223"/>
      <c r="F751" s="231"/>
      <c r="G751" s="227"/>
      <c r="H751" s="1033"/>
      <c r="I751" s="71"/>
      <c r="J751" s="71"/>
      <c r="K751" s="72"/>
      <c r="L751" s="540"/>
      <c r="M751" s="72"/>
      <c r="N751" s="72"/>
      <c r="O751" s="72"/>
      <c r="P751" s="72"/>
      <c r="Q751" s="72"/>
      <c r="R751" s="72"/>
      <c r="S751" s="72"/>
      <c r="T751" s="72"/>
      <c r="U751" s="72"/>
    </row>
    <row r="752" spans="1:21" ht="18.75" x14ac:dyDescent="0.25">
      <c r="A752" s="222"/>
      <c r="B752" s="223"/>
      <c r="C752" s="223"/>
      <c r="D752" s="223"/>
      <c r="E752" s="1032" t="s">
        <v>270</v>
      </c>
      <c r="F752" s="231"/>
      <c r="G752" s="227"/>
      <c r="H752" s="1033"/>
      <c r="I752" s="71"/>
      <c r="J752" s="71"/>
      <c r="K752" s="72"/>
      <c r="L752" s="540"/>
      <c r="M752" s="72"/>
      <c r="N752" s="72"/>
      <c r="O752" s="72"/>
      <c r="P752" s="72"/>
      <c r="Q752" s="72"/>
      <c r="R752" s="72"/>
      <c r="S752" s="72"/>
      <c r="T752" s="72"/>
      <c r="U752" s="72"/>
    </row>
    <row r="753" spans="1:21" ht="18.75" x14ac:dyDescent="0.25">
      <c r="A753" s="222"/>
      <c r="B753" s="223"/>
      <c r="C753" s="223"/>
      <c r="D753" s="223"/>
      <c r="E753" s="223"/>
      <c r="F753" s="395" t="s">
        <v>317</v>
      </c>
      <c r="G753" s="227"/>
      <c r="H753" s="216" t="s">
        <v>46</v>
      </c>
      <c r="I753" s="321">
        <f ca="1">IFERROR(__xludf.DUMMYFUNCTION("IMPORTRANGE(""https://docs.google.com/spreadsheets/d/1eHaY18a8A9IcSdp1K8H6x8fbOy06t2VsZHhMHf-1x7Y/edit?usp=sharing"",""แผน!GC67"")"),24)</f>
        <v>24</v>
      </c>
      <c r="J753" s="884">
        <v>0</v>
      </c>
      <c r="K753" s="399">
        <f ca="1">IF(I753&gt;0,J753*100/I753,0)</f>
        <v>0</v>
      </c>
      <c r="L753" s="540"/>
      <c r="M753" s="72"/>
      <c r="N753" s="72"/>
      <c r="O753" s="72"/>
      <c r="P753" s="72"/>
      <c r="Q753" s="72"/>
      <c r="R753" s="72"/>
      <c r="S753" s="72"/>
      <c r="T753" s="72"/>
      <c r="U753" s="72"/>
    </row>
    <row r="754" spans="1:21" ht="18.75" x14ac:dyDescent="0.25">
      <c r="A754" s="222"/>
      <c r="B754" s="223"/>
      <c r="C754" s="223"/>
      <c r="D754" s="223"/>
      <c r="E754" s="223"/>
      <c r="F754" s="395" t="s">
        <v>318</v>
      </c>
      <c r="G754" s="227"/>
      <c r="H754" s="216" t="s">
        <v>46</v>
      </c>
      <c r="I754" s="71"/>
      <c r="J754" s="884">
        <v>0</v>
      </c>
      <c r="K754" s="72"/>
      <c r="L754" s="540"/>
      <c r="M754" s="72"/>
      <c r="N754" s="72"/>
      <c r="O754" s="72"/>
      <c r="P754" s="72"/>
      <c r="Q754" s="72"/>
      <c r="R754" s="72"/>
      <c r="S754" s="72"/>
      <c r="T754" s="72"/>
      <c r="U754" s="72"/>
    </row>
    <row r="755" spans="1:21" ht="18.75" x14ac:dyDescent="0.25">
      <c r="A755" s="222"/>
      <c r="B755" s="223"/>
      <c r="C755" s="223"/>
      <c r="D755" s="223"/>
      <c r="E755" s="1032" t="s">
        <v>274</v>
      </c>
      <c r="F755" s="231"/>
      <c r="G755" s="227"/>
      <c r="H755" s="1033"/>
      <c r="I755" s="71"/>
      <c r="J755" s="71"/>
      <c r="K755" s="72"/>
      <c r="L755" s="540"/>
      <c r="M755" s="72"/>
      <c r="N755" s="72"/>
      <c r="O755" s="72"/>
      <c r="P755" s="72"/>
      <c r="Q755" s="72"/>
      <c r="R755" s="72"/>
      <c r="S755" s="72"/>
      <c r="T755" s="72"/>
      <c r="U755" s="72"/>
    </row>
    <row r="756" spans="1:21" ht="18.75" x14ac:dyDescent="0.25">
      <c r="A756" s="222"/>
      <c r="B756" s="223"/>
      <c r="C756" s="223"/>
      <c r="D756" s="223"/>
      <c r="E756" s="231"/>
      <c r="F756" s="395" t="s">
        <v>319</v>
      </c>
      <c r="G756" s="227"/>
      <c r="H756" s="216" t="s">
        <v>46</v>
      </c>
      <c r="I756" s="321">
        <f ca="1">IFERROR(__xludf.DUMMYFUNCTION("IMPORTRANGE(""https://docs.google.com/spreadsheets/d/1eHaY18a8A9IcSdp1K8H6x8fbOy06t2VsZHhMHf-1x7Y/edit?usp=sharing"",""แผน!GE67"")"),6)</f>
        <v>6</v>
      </c>
      <c r="J756" s="884">
        <v>0</v>
      </c>
      <c r="K756" s="399">
        <f ca="1">IF(I756&gt;0,J756*100/I756,0)</f>
        <v>0</v>
      </c>
      <c r="L756" s="540"/>
      <c r="M756" s="72"/>
      <c r="N756" s="72"/>
      <c r="O756" s="72"/>
      <c r="P756" s="72"/>
      <c r="Q756" s="72"/>
      <c r="R756" s="72"/>
      <c r="S756" s="72"/>
      <c r="T756" s="72"/>
      <c r="U756" s="72"/>
    </row>
    <row r="757" spans="1:21" ht="18.75" x14ac:dyDescent="0.25">
      <c r="A757" s="222"/>
      <c r="B757" s="223"/>
      <c r="C757" s="223"/>
      <c r="D757" s="223"/>
      <c r="E757" s="231"/>
      <c r="F757" s="395" t="s">
        <v>320</v>
      </c>
      <c r="G757" s="227"/>
      <c r="H757" s="216" t="s">
        <v>46</v>
      </c>
      <c r="I757" s="71"/>
      <c r="J757" s="884">
        <v>0</v>
      </c>
      <c r="K757" s="72"/>
      <c r="L757" s="540"/>
      <c r="M757" s="72"/>
      <c r="N757" s="72"/>
      <c r="O757" s="72"/>
      <c r="P757" s="72"/>
      <c r="Q757" s="72"/>
      <c r="R757" s="72"/>
      <c r="S757" s="72"/>
      <c r="T757" s="72"/>
      <c r="U757" s="72"/>
    </row>
    <row r="758" spans="1:21" ht="19.5" hidden="1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1">I772</f>
        <v>0</v>
      </c>
      <c r="J758" s="781">
        <f t="shared" si="451"/>
        <v>0</v>
      </c>
      <c r="K758" s="766">
        <f t="shared" ref="K758:K759" ca="1" si="452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hidden="1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3">I774</f>
        <v>0</v>
      </c>
      <c r="J759" s="781">
        <f t="shared" si="453"/>
        <v>0</v>
      </c>
      <c r="K759" s="766">
        <f t="shared" ca="1" si="452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hidden="1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1257">
        <f t="shared" ref="L760:N760" si="454">L761+L762</f>
        <v>0</v>
      </c>
      <c r="M760" s="264">
        <f t="shared" si="454"/>
        <v>0</v>
      </c>
      <c r="N760" s="264">
        <f t="shared" si="454"/>
        <v>0</v>
      </c>
      <c r="O760" s="264">
        <f t="shared" ref="O760:O768" si="455">IF(L760&gt;0,N760*100/L760,0)</f>
        <v>0</v>
      </c>
      <c r="P760" s="264">
        <f t="shared" ref="P760:P768" si="456">IF(M760&gt;0,N760*100/M760,0)</f>
        <v>0</v>
      </c>
      <c r="Q760" s="264">
        <f t="shared" ref="Q760:S760" ca="1" si="457">Q761+Q762</f>
        <v>0</v>
      </c>
      <c r="R760" s="264">
        <f t="shared" ca="1" si="457"/>
        <v>0</v>
      </c>
      <c r="S760" s="264">
        <f t="shared" ca="1" si="457"/>
        <v>0</v>
      </c>
      <c r="T760" s="264">
        <f t="shared" ref="T760:T768" ca="1" si="458">IF(Q760&gt;0,S760*100/Q760,0)</f>
        <v>0</v>
      </c>
      <c r="U760" s="264">
        <f t="shared" ref="U760:U768" ca="1" si="459">IF(R760&gt;0,S760*100/R760,0)</f>
        <v>0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6">
        <f t="shared" ref="L761:N762" si="460">L764+L767</f>
        <v>0</v>
      </c>
      <c r="M761" s="77">
        <f t="shared" si="460"/>
        <v>0</v>
      </c>
      <c r="N761" s="77">
        <f t="shared" si="460"/>
        <v>0</v>
      </c>
      <c r="O761" s="77">
        <f t="shared" si="455"/>
        <v>0</v>
      </c>
      <c r="P761" s="77">
        <f t="shared" si="456"/>
        <v>0</v>
      </c>
      <c r="Q761" s="77">
        <f t="shared" ref="Q761:S762" si="461">Q764+Q767</f>
        <v>0</v>
      </c>
      <c r="R761" s="77">
        <f t="shared" si="461"/>
        <v>0</v>
      </c>
      <c r="S761" s="77">
        <f t="shared" si="461"/>
        <v>0</v>
      </c>
      <c r="T761" s="77">
        <f t="shared" si="458"/>
        <v>0</v>
      </c>
      <c r="U761" s="77">
        <f t="shared" si="459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3">
        <f t="shared" si="460"/>
        <v>0</v>
      </c>
      <c r="M762" s="74">
        <f t="shared" si="460"/>
        <v>0</v>
      </c>
      <c r="N762" s="74">
        <f t="shared" si="460"/>
        <v>0</v>
      </c>
      <c r="O762" s="74">
        <f t="shared" si="455"/>
        <v>0</v>
      </c>
      <c r="P762" s="74">
        <f t="shared" si="456"/>
        <v>0</v>
      </c>
      <c r="Q762" s="74">
        <f t="shared" ca="1" si="461"/>
        <v>0</v>
      </c>
      <c r="R762" s="74">
        <f t="shared" ca="1" si="461"/>
        <v>0</v>
      </c>
      <c r="S762" s="74">
        <f t="shared" ca="1" si="461"/>
        <v>0</v>
      </c>
      <c r="T762" s="74">
        <f t="shared" ca="1" si="458"/>
        <v>0</v>
      </c>
      <c r="U762" s="74">
        <f t="shared" ca="1" si="459"/>
        <v>0</v>
      </c>
    </row>
    <row r="763" spans="1:21" ht="18.75" hidden="1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3">
        <f t="shared" ref="L763:N763" si="462">L764+L765</f>
        <v>0</v>
      </c>
      <c r="M763" s="74">
        <f t="shared" si="462"/>
        <v>0</v>
      </c>
      <c r="N763" s="74">
        <f t="shared" si="462"/>
        <v>0</v>
      </c>
      <c r="O763" s="74">
        <f t="shared" si="455"/>
        <v>0</v>
      </c>
      <c r="P763" s="74">
        <f t="shared" si="456"/>
        <v>0</v>
      </c>
      <c r="Q763" s="74">
        <f t="shared" ref="Q763:S763" ca="1" si="463">Q764+Q765</f>
        <v>0</v>
      </c>
      <c r="R763" s="74">
        <f t="shared" ca="1" si="463"/>
        <v>0</v>
      </c>
      <c r="S763" s="74">
        <f t="shared" ca="1" si="463"/>
        <v>0</v>
      </c>
      <c r="T763" s="74">
        <f t="shared" ca="1" si="458"/>
        <v>0</v>
      </c>
      <c r="U763" s="74">
        <f t="shared" ca="1" si="459"/>
        <v>0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77">
        <f t="shared" si="455"/>
        <v>0</v>
      </c>
      <c r="P764" s="77">
        <f t="shared" si="456"/>
        <v>0</v>
      </c>
      <c r="Q764" s="77">
        <v>0</v>
      </c>
      <c r="R764" s="77">
        <v>0</v>
      </c>
      <c r="S764" s="77">
        <v>0</v>
      </c>
      <c r="T764" s="77">
        <f t="shared" si="458"/>
        <v>0</v>
      </c>
      <c r="U764" s="77">
        <f t="shared" si="459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74">
        <f t="shared" si="455"/>
        <v>0</v>
      </c>
      <c r="P765" s="74">
        <f t="shared" si="456"/>
        <v>0</v>
      </c>
      <c r="Q765" s="74">
        <f ca="1">IFERROR(__xludf.DUMMYFUNCTION("IMPORTRANGE(""https://docs.google.com/spreadsheets/d/1ItG2mGa2ceCfYo0BwxsXqNm01IGEUdYcSSLTEv9YCik/edit?usp=sharing"",""เบิกจ่ายกองทุน!U67"")"),0)</f>
        <v>0</v>
      </c>
      <c r="R765" s="74">
        <f ca="1">IFERROR(__xludf.DUMMYFUNCTION("IMPORTRANGE(""https://docs.google.com/spreadsheets/d/1ItG2mGa2ceCfYo0BwxsXqNm01IGEUdYcSSLTEv9YCik/edit?usp=sharing"",""เบิกจ่ายกองทุน!V67"")"),0)</f>
        <v>0</v>
      </c>
      <c r="S765" s="74">
        <f ca="1">IFERROR(__xludf.DUMMYFUNCTION("IMPORTRANGE(""https://docs.google.com/spreadsheets/d/1ItG2mGa2ceCfYo0BwxsXqNm01IGEUdYcSSLTEv9YCik/edit?usp=sharing"",""เบิกจ่ายกองทุน!W67"")"),0)</f>
        <v>0</v>
      </c>
      <c r="T765" s="74">
        <f t="shared" ca="1" si="458"/>
        <v>0</v>
      </c>
      <c r="U765" s="74">
        <f t="shared" ca="1" si="459"/>
        <v>0</v>
      </c>
    </row>
    <row r="766" spans="1:21" ht="18.75" hidden="1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3">
        <f t="shared" ref="L766:N766" si="464">L767+L768</f>
        <v>0</v>
      </c>
      <c r="M766" s="74">
        <f t="shared" si="464"/>
        <v>0</v>
      </c>
      <c r="N766" s="74">
        <f t="shared" si="464"/>
        <v>0</v>
      </c>
      <c r="O766" s="74">
        <f t="shared" si="455"/>
        <v>0</v>
      </c>
      <c r="P766" s="74">
        <f t="shared" si="456"/>
        <v>0</v>
      </c>
      <c r="Q766" s="74">
        <f t="shared" ref="Q766:S766" si="465">Q767+Q768</f>
        <v>0</v>
      </c>
      <c r="R766" s="74">
        <f t="shared" si="465"/>
        <v>0</v>
      </c>
      <c r="S766" s="74">
        <f t="shared" si="465"/>
        <v>0</v>
      </c>
      <c r="T766" s="74">
        <f t="shared" si="458"/>
        <v>0</v>
      </c>
      <c r="U766" s="74">
        <f t="shared" si="459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77">
        <f t="shared" si="455"/>
        <v>0</v>
      </c>
      <c r="P767" s="77">
        <f t="shared" si="456"/>
        <v>0</v>
      </c>
      <c r="Q767" s="77">
        <v>0</v>
      </c>
      <c r="R767" s="77">
        <v>0</v>
      </c>
      <c r="S767" s="77">
        <v>0</v>
      </c>
      <c r="T767" s="77">
        <f t="shared" si="458"/>
        <v>0</v>
      </c>
      <c r="U767" s="77">
        <f t="shared" si="459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74">
        <f t="shared" si="455"/>
        <v>0</v>
      </c>
      <c r="P768" s="74">
        <f t="shared" si="456"/>
        <v>0</v>
      </c>
      <c r="Q768" s="74">
        <v>0</v>
      </c>
      <c r="R768" s="74">
        <v>0</v>
      </c>
      <c r="S768" s="74">
        <v>0</v>
      </c>
      <c r="T768" s="74">
        <f t="shared" si="458"/>
        <v>0</v>
      </c>
      <c r="U768" s="74">
        <f t="shared" si="459"/>
        <v>0</v>
      </c>
    </row>
    <row r="769" spans="1:21" ht="19.5" hidden="1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IFERROR(__xludf.DUMMYFUNCTION("IMPORTRANGE(""https://docs.google.com/spreadsheets/d/1eHaY18a8A9IcSdp1K8H6x8fbOy06t2VsZHhMHf-1x7Y/edit?usp=sharing"",""แผน!FI67"")"),0)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hidden="1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IFERROR(__xludf.DUMMYFUNCTION("IMPORTRANGE(""https://docs.google.com/spreadsheets/d/1eHaY18a8A9IcSdp1K8H6x8fbOy06t2VsZHhMHf-1x7Y/edit?usp=sharing"",""แผน!FQ67"")"),0)</f>
        <v>0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hidden="1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hidden="1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IFERROR(__xludf.DUMMYFUNCTION("IMPORTRANGE(""https://docs.google.com/spreadsheets/d/1eHaY18a8A9IcSdp1K8H6x8fbOy06t2VsZHhMHf-1x7Y/edit?usp=sharing"",""แผน!FR67"")"),0)</f>
        <v>0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hidden="1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IFERROR(__xludf.DUMMYFUNCTION("IMPORTRANGE(""https://docs.google.com/spreadsheets/d/1eHaY18a8A9IcSdp1K8H6x8fbOy06t2VsZHhMHf-1x7Y/edit?usp=sharing"",""แผน!FS67"")"),0)</f>
        <v>0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hidden="1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IFERROR(__xludf.DUMMYFUNCTION("IMPORTRANGE(""https://docs.google.com/spreadsheets/d/1eHaY18a8A9IcSdp1K8H6x8fbOy06t2VsZHhMHf-1x7Y/edit?usp=sharing"",""แผน!FT67"")"),0)</f>
        <v>0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IFERROR(__xludf.DUMMYFUNCTION("IMPORTRANGE(""https://docs.google.com/spreadsheets/d/10OvvATaaLtwErnr3qtWFcTmtbfpFEt5Bsqel9sXx0uE/edit?usp=sharing"",""งานกองทุน!D67"")"),1745140.27)</f>
        <v>1745140.27</v>
      </c>
      <c r="J778" s="293">
        <f ca="1">IFERROR(__xludf.DUMMYFUNCTION("IMPORTRANGE(""https://docs.google.com/spreadsheets/d/10OvvATaaLtwErnr3qtWFcTmtbfpFEt5Bsqel9sXx0uE/edit?usp=sharing"",""งานกองทุน!F67"")"),804856.16)</f>
        <v>804856.16</v>
      </c>
      <c r="K778" s="74">
        <f t="shared" ref="K778:K785" ca="1" si="466">IF(I778&gt;0,J778*100/I778,0)</f>
        <v>46.119854881350022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IFERROR(__xludf.DUMMYFUNCTION("IMPORTRANGE(""https://docs.google.com/spreadsheets/d/10OvvATaaLtwErnr3qtWFcTmtbfpFEt5Bsqel9sXx0uE/edit?usp=sharing"",""งานกองทุน!C67"")"),110)</f>
        <v>110</v>
      </c>
      <c r="J779" s="293">
        <f ca="1">IFERROR(__xludf.DUMMYFUNCTION("IMPORTRANGE(""https://docs.google.com/spreadsheets/d/10OvvATaaLtwErnr3qtWFcTmtbfpFEt5Bsqel9sXx0uE/edit?usp=sharing"",""งานกองทุน!E67"")"),51)</f>
        <v>51</v>
      </c>
      <c r="K779" s="74">
        <f t="shared" ca="1" si="466"/>
        <v>46.363636363636367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IFERROR(__xludf.DUMMYFUNCTION("IMPORTRANGE(""https://docs.google.com/spreadsheets/d/10OvvATaaLtwErnr3qtWFcTmtbfpFEt5Bsqel9sXx0uE/edit?usp=sharing"",""งานกองทุน!I67"")"),3504047.3)</f>
        <v>3504047.3</v>
      </c>
      <c r="J780" s="293">
        <f ca="1">IFERROR(__xludf.DUMMYFUNCTION("IMPORTRANGE(""https://docs.google.com/spreadsheets/d/10OvvATaaLtwErnr3qtWFcTmtbfpFEt5Bsqel9sXx0uE/edit?usp=sharing"",""งานกองทุน!K67"")"),233774.07)</f>
        <v>233774.07</v>
      </c>
      <c r="K780" s="74">
        <f t="shared" ca="1" si="466"/>
        <v>6.6715443595752832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IFERROR(__xludf.DUMMYFUNCTION("IMPORTRANGE(""https://docs.google.com/spreadsheets/d/10OvvATaaLtwErnr3qtWFcTmtbfpFEt5Bsqel9sXx0uE/edit?usp=sharing"",""งานกองทุน!H67"")"),173)</f>
        <v>173</v>
      </c>
      <c r="J781" s="293">
        <f ca="1">IFERROR(__xludf.DUMMYFUNCTION("IMPORTRANGE(""https://docs.google.com/spreadsheets/d/10OvvATaaLtwErnr3qtWFcTmtbfpFEt5Bsqel9sXx0uE/edit?usp=sharing"",""งานกองทุน!J67"")"),59)</f>
        <v>59</v>
      </c>
      <c r="K781" s="74">
        <f t="shared" ca="1" si="466"/>
        <v>34.104046242774565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IFERROR(__xludf.DUMMYFUNCTION("IMPORTRANGE(""https://docs.google.com/spreadsheets/d/10OvvATaaLtwErnr3qtWFcTmtbfpFEt5Bsqel9sXx0uE/edit?usp=sharing"",""งานกองทุน!N67"")"),127000.19)</f>
        <v>127000.19</v>
      </c>
      <c r="J782" s="293">
        <f ca="1">IFERROR(__xludf.DUMMYFUNCTION("IMPORTRANGE(""https://docs.google.com/spreadsheets/d/10OvvATaaLtwErnr3qtWFcTmtbfpFEt5Bsqel9sXx0uE/edit?usp=sharing"",""งานกองทุน!P67"")"),0)</f>
        <v>0</v>
      </c>
      <c r="K782" s="74">
        <f t="shared" ca="1" si="466"/>
        <v>0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IFERROR(__xludf.DUMMYFUNCTION("IMPORTRANGE(""https://docs.google.com/spreadsheets/d/10OvvATaaLtwErnr3qtWFcTmtbfpFEt5Bsqel9sXx0uE/edit?usp=sharing"",""งานกองทุน!M67"")"),10)</f>
        <v>10</v>
      </c>
      <c r="J783" s="293">
        <f ca="1">IFERROR(__xludf.DUMMYFUNCTION("IMPORTRANGE(""https://docs.google.com/spreadsheets/d/10OvvATaaLtwErnr3qtWFcTmtbfpFEt5Bsqel9sXx0uE/edit?usp=sharing"",""งานกองทุน!O67"")"),0)</f>
        <v>0</v>
      </c>
      <c r="K783" s="74">
        <f t="shared" ca="1" si="466"/>
        <v>0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IFERROR(__xludf.DUMMYFUNCTION("IMPORTRANGE(""https://docs.google.com/spreadsheets/d/10OvvATaaLtwErnr3qtWFcTmtbfpFEt5Bsqel9sXx0uE/edit?usp=sharing"",""งานกองทุน!S67"")"),2492000)</f>
        <v>2492000</v>
      </c>
      <c r="J784" s="293">
        <f ca="1">IFERROR(__xludf.DUMMYFUNCTION("IMPORTRANGE(""https://docs.google.com/spreadsheets/d/10OvvATaaLtwErnr3qtWFcTmtbfpFEt5Bsqel9sXx0uE/edit?usp=sharing"",""งานกองทุน!U67"")"),1210000)</f>
        <v>1210000</v>
      </c>
      <c r="K784" s="74">
        <f t="shared" ca="1" si="466"/>
        <v>48.555377207062598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IFERROR(__xludf.DUMMYFUNCTION("IMPORTRANGE(""https://docs.google.com/spreadsheets/d/10OvvATaaLtwErnr3qtWFcTmtbfpFEt5Bsqel9sXx0uE/edit?usp=sharing"",""งานกองทุน!R67"")"),89)</f>
        <v>89</v>
      </c>
      <c r="J785" s="786">
        <f ca="1">IFERROR(__xludf.DUMMYFUNCTION("IMPORTRANGE(""https://docs.google.com/spreadsheets/d/10OvvATaaLtwErnr3qtWFcTmtbfpFEt5Bsqel9sXx0uE/edit?usp=sharing"",""งานกองทุน!T67"")"),25)</f>
        <v>25</v>
      </c>
      <c r="K785" s="182">
        <f t="shared" ca="1" si="466"/>
        <v>28.089887640449437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2E9CB-95FB-4ED8-A91F-53555678C80D}">
  <sheetPr>
    <outlinePr summaryBelow="0" summaryRight="0"/>
    <pageSetUpPr fitToPage="1"/>
  </sheetPr>
  <dimension ref="A1:U797"/>
  <sheetViews>
    <sheetView view="pageBreakPreview" zoomScale="60" zoomScaleNormal="100" workbookViewId="0">
      <pane xSplit="8" ySplit="7" topLeftCell="I1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2.570312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352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9" t="s">
        <v>4</v>
      </c>
      <c r="B6" s="1385"/>
      <c r="C6" s="1385"/>
      <c r="D6" s="1385"/>
      <c r="E6" s="1385"/>
      <c r="F6" s="1385"/>
      <c r="G6" s="1386"/>
      <c r="H6" s="1284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17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8">
        <f t="shared" ref="L19:N19" ca="1" si="0">L20+L21</f>
        <v>2393790</v>
      </c>
      <c r="M19" s="59">
        <f t="shared" ca="1" si="0"/>
        <v>2413073</v>
      </c>
      <c r="N19" s="59">
        <f t="shared" ca="1" si="0"/>
        <v>1369688.0099999998</v>
      </c>
      <c r="O19" s="59">
        <f t="shared" ref="O19:O27" ca="1" si="1">IF(L19&gt;0,N19*100/L19,0)</f>
        <v>57.218386324614926</v>
      </c>
      <c r="P19" s="59">
        <f t="shared" ref="P19:P27" ca="1" si="2">IF(M19&gt;0,N19*100/M19,0)</f>
        <v>56.761151030242338</v>
      </c>
      <c r="Q19" s="59">
        <f t="shared" ref="Q19:S19" ca="1" si="3">Q20+Q21</f>
        <v>3508272.24</v>
      </c>
      <c r="R19" s="59">
        <f t="shared" ca="1" si="3"/>
        <v>3320772</v>
      </c>
      <c r="S19" s="59">
        <f t="shared" ca="1" si="3"/>
        <v>8340</v>
      </c>
      <c r="T19" s="59">
        <f t="shared" ref="T19:T27" ca="1" si="4">IF(Q19&gt;0,S19*100/Q19,0)</f>
        <v>0.23772385463449666</v>
      </c>
      <c r="U19" s="59">
        <f t="shared" ref="U19:U27" ca="1" si="5">IF(R19&gt;0,S19*100/R19,0)</f>
        <v>0.25114642016976774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2">
        <f t="shared" ref="L20:N21" si="6">L23+L26</f>
        <v>0</v>
      </c>
      <c r="M20" s="63">
        <f t="shared" si="6"/>
        <v>0</v>
      </c>
      <c r="N20" s="63">
        <f t="shared" si="6"/>
        <v>0</v>
      </c>
      <c r="O20" s="63">
        <f t="shared" si="1"/>
        <v>0</v>
      </c>
      <c r="P20" s="63">
        <f t="shared" si="2"/>
        <v>0</v>
      </c>
      <c r="Q20" s="63">
        <f t="shared" ref="Q20:S21" si="7">Q23+Q26</f>
        <v>0</v>
      </c>
      <c r="R20" s="63">
        <f t="shared" si="7"/>
        <v>0</v>
      </c>
      <c r="S20" s="63">
        <f t="shared" si="7"/>
        <v>0</v>
      </c>
      <c r="T20" s="63">
        <f t="shared" si="4"/>
        <v>0</v>
      </c>
      <c r="U20" s="6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4">
        <f t="shared" ca="1" si="6"/>
        <v>2393790</v>
      </c>
      <c r="M21" s="65">
        <f t="shared" ca="1" si="6"/>
        <v>2413073</v>
      </c>
      <c r="N21" s="65">
        <f t="shared" ca="1" si="6"/>
        <v>1369688.0099999998</v>
      </c>
      <c r="O21" s="65">
        <f t="shared" ca="1" si="1"/>
        <v>57.218386324614926</v>
      </c>
      <c r="P21" s="65">
        <f t="shared" ca="1" si="2"/>
        <v>56.761151030242338</v>
      </c>
      <c r="Q21" s="65">
        <f t="shared" ca="1" si="7"/>
        <v>3508272.24</v>
      </c>
      <c r="R21" s="65">
        <f t="shared" ca="1" si="7"/>
        <v>3320772</v>
      </c>
      <c r="S21" s="65">
        <f t="shared" ca="1" si="7"/>
        <v>8340</v>
      </c>
      <c r="T21" s="65">
        <f t="shared" ca="1" si="4"/>
        <v>0.23772385463449666</v>
      </c>
      <c r="U21" s="65">
        <f t="shared" ca="1" si="5"/>
        <v>0.25114642016976774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3">
        <f t="shared" ref="L22:N22" ca="1" si="8">L23+L24</f>
        <v>2393790</v>
      </c>
      <c r="M22" s="74">
        <f t="shared" ca="1" si="8"/>
        <v>2413073</v>
      </c>
      <c r="N22" s="74">
        <f t="shared" ca="1" si="8"/>
        <v>1369688.0099999998</v>
      </c>
      <c r="O22" s="74">
        <f t="shared" ca="1" si="1"/>
        <v>57.218386324614926</v>
      </c>
      <c r="P22" s="74">
        <f t="shared" ca="1" si="2"/>
        <v>56.761151030242338</v>
      </c>
      <c r="Q22" s="74">
        <f t="shared" ref="Q22:S22" ca="1" si="9">Q23+Q24</f>
        <v>3508272.24</v>
      </c>
      <c r="R22" s="74">
        <f t="shared" ca="1" si="9"/>
        <v>3320772</v>
      </c>
      <c r="S22" s="74">
        <f t="shared" ca="1" si="9"/>
        <v>8340</v>
      </c>
      <c r="T22" s="74">
        <f t="shared" ca="1" si="4"/>
        <v>0.23772385463449666</v>
      </c>
      <c r="U22" s="74">
        <f t="shared" ca="1" si="5"/>
        <v>0.25114642016976774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6">
        <f t="shared" ref="L23:N24" si="10">L49+L64+L77+L99+L130+L144+L162+L191+L178+L271+L287+L308+L325+L338+L361+L518</f>
        <v>0</v>
      </c>
      <c r="M23" s="77">
        <f t="shared" si="10"/>
        <v>0</v>
      </c>
      <c r="N23" s="77">
        <f t="shared" si="10"/>
        <v>0</v>
      </c>
      <c r="O23" s="77">
        <f t="shared" si="1"/>
        <v>0</v>
      </c>
      <c r="P23" s="77">
        <f t="shared" si="2"/>
        <v>0</v>
      </c>
      <c r="Q23" s="77">
        <f t="shared" ref="Q23:S24" si="11">Q77+Q99+Q122+Q144+Q162+Q178+Q191+Q271+Q287+Q308+Q338+Q380+Q397+Q418+Q498+Q604+Q621+Q647+Q695+Q719+Q733+Q764</f>
        <v>0</v>
      </c>
      <c r="R23" s="77">
        <f t="shared" si="11"/>
        <v>0</v>
      </c>
      <c r="S23" s="77">
        <f t="shared" si="11"/>
        <v>0</v>
      </c>
      <c r="T23" s="77">
        <f t="shared" si="4"/>
        <v>0</v>
      </c>
      <c r="U23" s="77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3">
        <f t="shared" ca="1" si="10"/>
        <v>2393790</v>
      </c>
      <c r="M24" s="74">
        <f t="shared" ca="1" si="10"/>
        <v>2413073</v>
      </c>
      <c r="N24" s="74">
        <f t="shared" ca="1" si="10"/>
        <v>1369688.0099999998</v>
      </c>
      <c r="O24" s="74">
        <f t="shared" ca="1" si="1"/>
        <v>57.218386324614926</v>
      </c>
      <c r="P24" s="74">
        <f t="shared" ca="1" si="2"/>
        <v>56.761151030242338</v>
      </c>
      <c r="Q24" s="74">
        <f t="shared" ca="1" si="11"/>
        <v>3508272.24</v>
      </c>
      <c r="R24" s="74">
        <f t="shared" ca="1" si="11"/>
        <v>3320772</v>
      </c>
      <c r="S24" s="74">
        <f t="shared" ca="1" si="11"/>
        <v>8340</v>
      </c>
      <c r="T24" s="74">
        <f t="shared" ca="1" si="4"/>
        <v>0.23772385463449666</v>
      </c>
      <c r="U24" s="74">
        <f t="shared" ca="1" si="5"/>
        <v>0.25114642016976774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3">
        <f t="shared" ref="L25:N25" ca="1" si="12">L26+L27</f>
        <v>0</v>
      </c>
      <c r="M25" s="74">
        <f t="shared" ca="1" si="12"/>
        <v>0</v>
      </c>
      <c r="N25" s="74">
        <f t="shared" ca="1" si="12"/>
        <v>0</v>
      </c>
      <c r="O25" s="74">
        <f t="shared" ca="1" si="1"/>
        <v>0</v>
      </c>
      <c r="P25" s="74">
        <f t="shared" ca="1" si="2"/>
        <v>0</v>
      </c>
      <c r="Q25" s="74">
        <f t="shared" ref="Q25:S25" si="13">Q26+Q27</f>
        <v>0</v>
      </c>
      <c r="R25" s="74">
        <f t="shared" si="13"/>
        <v>0</v>
      </c>
      <c r="S25" s="74">
        <f t="shared" si="13"/>
        <v>0</v>
      </c>
      <c r="T25" s="74">
        <f t="shared" si="4"/>
        <v>0</v>
      </c>
      <c r="U25" s="74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6">
        <f t="shared" ref="L26:N27" si="14">L52+L67+L80+L102+L133+L147+L165+L194+L181+L274+L290+L311+L328+L341+L364+L521</f>
        <v>0</v>
      </c>
      <c r="M26" s="77">
        <f t="shared" si="14"/>
        <v>0</v>
      </c>
      <c r="N26" s="77">
        <f t="shared" si="14"/>
        <v>0</v>
      </c>
      <c r="O26" s="77">
        <f t="shared" si="1"/>
        <v>0</v>
      </c>
      <c r="P26" s="77">
        <f t="shared" si="2"/>
        <v>0</v>
      </c>
      <c r="Q26" s="77">
        <f t="shared" ref="Q26:S27" si="15">Q80+Q102+Q125+Q147+Q165+Q181+Q194+Q274+Q290+Q311+Q341+Q383+Q400+Q421+Q501+Q607+Q624+Q650+Q698+Q722+Q736+Q767</f>
        <v>0</v>
      </c>
      <c r="R26" s="77">
        <f t="shared" si="15"/>
        <v>0</v>
      </c>
      <c r="S26" s="77">
        <f t="shared" si="15"/>
        <v>0</v>
      </c>
      <c r="T26" s="77">
        <f t="shared" si="4"/>
        <v>0</v>
      </c>
      <c r="U26" s="77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3">
        <f t="shared" ca="1" si="14"/>
        <v>0</v>
      </c>
      <c r="M27" s="74">
        <f t="shared" ca="1" si="14"/>
        <v>0</v>
      </c>
      <c r="N27" s="74">
        <f t="shared" ca="1" si="14"/>
        <v>0</v>
      </c>
      <c r="O27" s="74">
        <f t="shared" ca="1" si="1"/>
        <v>0</v>
      </c>
      <c r="P27" s="74">
        <f t="shared" ca="1" si="2"/>
        <v>0</v>
      </c>
      <c r="Q27" s="77">
        <f t="shared" si="15"/>
        <v>0</v>
      </c>
      <c r="R27" s="77">
        <f t="shared" si="15"/>
        <v>0</v>
      </c>
      <c r="S27" s="77">
        <f t="shared" si="15"/>
        <v>0</v>
      </c>
      <c r="T27" s="74">
        <f t="shared" si="4"/>
        <v>0</v>
      </c>
      <c r="U27" s="74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79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80">
        <f t="shared" ref="L41:N41" ca="1" si="16">L45+L60+L73+L95+L126+L140+L158+L174+L187+L267+L283+L304+L321+L334+L357</f>
        <v>2393790</v>
      </c>
      <c r="M41" s="1279">
        <f t="shared" ca="1" si="16"/>
        <v>2413073</v>
      </c>
      <c r="N41" s="1279">
        <f t="shared" ca="1" si="16"/>
        <v>1369688.0099999998</v>
      </c>
      <c r="O41" s="1279">
        <f ca="1">IF(L41&gt;0,N41*100/L41,0)</f>
        <v>57.218386324614926</v>
      </c>
      <c r="P41" s="1279">
        <f ca="1">IF(M41&gt;0,N41*100/M41,0)</f>
        <v>56.761151030242338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6">
        <f t="shared" ref="L45:N45" ca="1" si="17">L46+L47</f>
        <v>441000</v>
      </c>
      <c r="M45" s="1275">
        <f t="shared" ca="1" si="17"/>
        <v>446013</v>
      </c>
      <c r="N45" s="1275">
        <f t="shared" ca="1" si="17"/>
        <v>336639</v>
      </c>
      <c r="O45" s="1275">
        <f t="shared" ref="O45:O53" ca="1" si="18">IF(L45&gt;0,N45*100/L45,0)</f>
        <v>76.33537414965987</v>
      </c>
      <c r="P45" s="1275">
        <f t="shared" ref="P45:P53" ca="1" si="19">IF(M45&gt;0,N45*100/M45,0)</f>
        <v>75.47739639875968</v>
      </c>
      <c r="Q45" s="1275">
        <f t="shared" ref="Q45:S45" si="20">Q46+Q47</f>
        <v>0</v>
      </c>
      <c r="R45" s="1275">
        <f t="shared" si="20"/>
        <v>0</v>
      </c>
      <c r="S45" s="1275">
        <f t="shared" si="20"/>
        <v>0</v>
      </c>
      <c r="T45" s="1275">
        <f t="shared" ref="T45:T53" si="21">IF(Q45&gt;0,S45*100/Q45,0)</f>
        <v>0</v>
      </c>
      <c r="U45" s="1275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4">
        <f t="shared" ref="L46:N47" si="23">L49+L52</f>
        <v>0</v>
      </c>
      <c r="M46" s="1273">
        <f t="shared" si="23"/>
        <v>0</v>
      </c>
      <c r="N46" s="1273">
        <f t="shared" si="23"/>
        <v>0</v>
      </c>
      <c r="O46" s="1273">
        <f t="shared" si="18"/>
        <v>0</v>
      </c>
      <c r="P46" s="1273">
        <f t="shared" si="19"/>
        <v>0</v>
      </c>
      <c r="Q46" s="1273">
        <f t="shared" ref="Q46:S47" si="24">Q49+Q52</f>
        <v>0</v>
      </c>
      <c r="R46" s="1273">
        <f t="shared" si="24"/>
        <v>0</v>
      </c>
      <c r="S46" s="1273">
        <f t="shared" si="24"/>
        <v>0</v>
      </c>
      <c r="T46" s="1273">
        <f t="shared" si="21"/>
        <v>0</v>
      </c>
      <c r="U46" s="1273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2">
        <f t="shared" ca="1" si="23"/>
        <v>441000</v>
      </c>
      <c r="M47" s="1271">
        <f t="shared" ca="1" si="23"/>
        <v>446013</v>
      </c>
      <c r="N47" s="1271">
        <f t="shared" ca="1" si="23"/>
        <v>336639</v>
      </c>
      <c r="O47" s="1271">
        <f t="shared" ca="1" si="18"/>
        <v>76.33537414965987</v>
      </c>
      <c r="P47" s="1271">
        <f t="shared" ca="1" si="19"/>
        <v>75.47739639875968</v>
      </c>
      <c r="Q47" s="1271">
        <f t="shared" si="24"/>
        <v>0</v>
      </c>
      <c r="R47" s="1271">
        <f t="shared" si="24"/>
        <v>0</v>
      </c>
      <c r="S47" s="1271">
        <f t="shared" si="24"/>
        <v>0</v>
      </c>
      <c r="T47" s="1271">
        <f t="shared" si="21"/>
        <v>0</v>
      </c>
      <c r="U47" s="1271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3">
        <f t="shared" ref="L48:N48" ca="1" si="25">L49+L50</f>
        <v>441000</v>
      </c>
      <c r="M48" s="74">
        <f t="shared" ca="1" si="25"/>
        <v>446013</v>
      </c>
      <c r="N48" s="74">
        <f t="shared" ca="1" si="25"/>
        <v>336639</v>
      </c>
      <c r="O48" s="74">
        <f t="shared" ca="1" si="18"/>
        <v>76.33537414965987</v>
      </c>
      <c r="P48" s="74">
        <f t="shared" ca="1" si="19"/>
        <v>75.47739639875968</v>
      </c>
      <c r="Q48" s="74">
        <f t="shared" ref="Q48:S48" si="26">Q49+Q50</f>
        <v>0</v>
      </c>
      <c r="R48" s="74">
        <f t="shared" si="26"/>
        <v>0</v>
      </c>
      <c r="S48" s="74">
        <f t="shared" si="26"/>
        <v>0</v>
      </c>
      <c r="T48" s="74">
        <f t="shared" si="21"/>
        <v>0</v>
      </c>
      <c r="U48" s="74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77">
        <f t="shared" si="18"/>
        <v>0</v>
      </c>
      <c r="P49" s="77">
        <f t="shared" si="19"/>
        <v>0</v>
      </c>
      <c r="Q49" s="77">
        <v>0</v>
      </c>
      <c r="R49" s="77">
        <v>0</v>
      </c>
      <c r="S49" s="77">
        <v>0</v>
      </c>
      <c r="T49" s="77">
        <f t="shared" si="21"/>
        <v>0</v>
      </c>
      <c r="U49" s="77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3">
        <f ca="1">IFERROR(__xludf.DUMMYFUNCTION("IMPORTRANGE(""https://docs.google.com/spreadsheets/d/1-uDff_7J0KD5mKrp0Vvzr7lt3OU09vwQwhkpOPPYv2Y/edit?usp=sharing"",""งบพรบ!P68"")"),441000)</f>
        <v>441000</v>
      </c>
      <c r="M50" s="74">
        <f ca="1">IFERROR(__xludf.DUMMYFUNCTION("IMPORTRANGE(""https://docs.google.com/spreadsheets/d/1-uDff_7J0KD5mKrp0Vvzr7lt3OU09vwQwhkpOPPYv2Y/edit?usp=sharing"",""งบพรบ!V68"")"),446013)</f>
        <v>446013</v>
      </c>
      <c r="N50" s="74">
        <f ca="1">IFERROR(__xludf.DUMMYFUNCTION("IMPORTRANGE(""https://docs.google.com/spreadsheets/d/1-uDff_7J0KD5mKrp0Vvzr7lt3OU09vwQwhkpOPPYv2Y/edit?usp=sharing"",""งบพรบ!Y68"")"),336639)</f>
        <v>336639</v>
      </c>
      <c r="O50" s="74">
        <f t="shared" ca="1" si="18"/>
        <v>76.33537414965987</v>
      </c>
      <c r="P50" s="74">
        <f t="shared" ca="1" si="19"/>
        <v>75.47739639875968</v>
      </c>
      <c r="Q50" s="74">
        <v>0</v>
      </c>
      <c r="R50" s="74">
        <v>0</v>
      </c>
      <c r="S50" s="74">
        <v>0</v>
      </c>
      <c r="T50" s="74">
        <f t="shared" si="21"/>
        <v>0</v>
      </c>
      <c r="U50" s="74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3">
        <f t="shared" ref="L51:N51" ca="1" si="27">L52+L53</f>
        <v>0</v>
      </c>
      <c r="M51" s="74">
        <f t="shared" ca="1" si="27"/>
        <v>0</v>
      </c>
      <c r="N51" s="74">
        <f t="shared" ca="1" si="27"/>
        <v>0</v>
      </c>
      <c r="O51" s="74">
        <f t="shared" ca="1" si="18"/>
        <v>0</v>
      </c>
      <c r="P51" s="74">
        <f t="shared" ca="1" si="19"/>
        <v>0</v>
      </c>
      <c r="Q51" s="74">
        <f t="shared" ref="Q51:S51" si="28">Q52+Q53</f>
        <v>0</v>
      </c>
      <c r="R51" s="74">
        <f t="shared" si="28"/>
        <v>0</v>
      </c>
      <c r="S51" s="74">
        <f t="shared" si="28"/>
        <v>0</v>
      </c>
      <c r="T51" s="74">
        <f t="shared" si="21"/>
        <v>0</v>
      </c>
      <c r="U51" s="74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77">
        <f t="shared" si="18"/>
        <v>0</v>
      </c>
      <c r="P52" s="77">
        <f t="shared" si="19"/>
        <v>0</v>
      </c>
      <c r="Q52" s="77">
        <v>0</v>
      </c>
      <c r="R52" s="77">
        <v>0</v>
      </c>
      <c r="S52" s="77">
        <v>0</v>
      </c>
      <c r="T52" s="77">
        <f t="shared" si="21"/>
        <v>0</v>
      </c>
      <c r="U52" s="77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3">
        <f ca="1">IFERROR(__xludf.DUMMYFUNCTION("IMPORTRANGE(""https://docs.google.com/spreadsheets/d/1-uDff_7J0KD5mKrp0Vvzr7lt3OU09vwQwhkpOPPYv2Y/edit?usp=sharing"",""งบพรบ!S68"")"),0)</f>
        <v>0</v>
      </c>
      <c r="M53" s="74">
        <f ca="1">IFERROR(__xludf.DUMMYFUNCTION("IMPORTRANGE(""https://docs.google.com/spreadsheets/d/1-uDff_7J0KD5mKrp0Vvzr7lt3OU09vwQwhkpOPPYv2Y/edit?usp=sharing"",""งบพรบ!W68"")"),0)</f>
        <v>0</v>
      </c>
      <c r="N53" s="74">
        <f ca="1">IFERROR(__xludf.DUMMYFUNCTION("IMPORTRANGE(""https://docs.google.com/spreadsheets/d/1-uDff_7J0KD5mKrp0Vvzr7lt3OU09vwQwhkpOPPYv2Y/edit?usp=sharing"",""งบพรบ!Z68"")"),0)</f>
        <v>0</v>
      </c>
      <c r="O53" s="74">
        <f t="shared" ca="1" si="18"/>
        <v>0</v>
      </c>
      <c r="P53" s="74">
        <f t="shared" ca="1" si="19"/>
        <v>0</v>
      </c>
      <c r="Q53" s="74">
        <v>0</v>
      </c>
      <c r="R53" s="74">
        <v>0</v>
      </c>
      <c r="S53" s="74">
        <v>0</v>
      </c>
      <c r="T53" s="74">
        <f t="shared" si="21"/>
        <v>0</v>
      </c>
      <c r="U53" s="74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9">
        <f t="shared" ref="L60:N60" ca="1" si="29">L61+L62</f>
        <v>544900</v>
      </c>
      <c r="M60" s="1268">
        <f t="shared" ca="1" si="29"/>
        <v>544900</v>
      </c>
      <c r="N60" s="1268">
        <f t="shared" ca="1" si="29"/>
        <v>380049.16</v>
      </c>
      <c r="O60" s="1268">
        <f t="shared" ref="O60:O68" ca="1" si="30">IF(L60&gt;0,N60*100/L60,0)</f>
        <v>69.746588364837578</v>
      </c>
      <c r="P60" s="1268">
        <f t="shared" ref="P60:P68" ca="1" si="31">IF(M60&gt;0,N60*100/M60,0)</f>
        <v>69.746588364837578</v>
      </c>
      <c r="Q60" s="1268">
        <f t="shared" ref="Q60:S60" si="32">Q61+Q62</f>
        <v>0</v>
      </c>
      <c r="R60" s="1268">
        <f t="shared" si="32"/>
        <v>0</v>
      </c>
      <c r="S60" s="1268">
        <f t="shared" si="32"/>
        <v>0</v>
      </c>
      <c r="T60" s="1268">
        <f t="shared" ref="T60:T68" si="33">IF(Q60&gt;0,S60*100/Q60,0)</f>
        <v>0</v>
      </c>
      <c r="U60" s="1268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7">
        <f t="shared" ref="L61:N62" si="35">L64+L67</f>
        <v>0</v>
      </c>
      <c r="M61" s="1266">
        <f t="shared" si="35"/>
        <v>0</v>
      </c>
      <c r="N61" s="1266">
        <f t="shared" si="35"/>
        <v>0</v>
      </c>
      <c r="O61" s="1266">
        <f t="shared" si="30"/>
        <v>0</v>
      </c>
      <c r="P61" s="1266">
        <f t="shared" si="31"/>
        <v>0</v>
      </c>
      <c r="Q61" s="1266">
        <f t="shared" ref="Q61:S62" si="36">Q64+Q67</f>
        <v>0</v>
      </c>
      <c r="R61" s="1266">
        <f t="shared" si="36"/>
        <v>0</v>
      </c>
      <c r="S61" s="1266">
        <f t="shared" si="36"/>
        <v>0</v>
      </c>
      <c r="T61" s="1266">
        <f t="shared" si="33"/>
        <v>0</v>
      </c>
      <c r="U61" s="1266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5">
        <f t="shared" ca="1" si="35"/>
        <v>544900</v>
      </c>
      <c r="M62" s="1264">
        <f t="shared" ca="1" si="35"/>
        <v>544900</v>
      </c>
      <c r="N62" s="1264">
        <f t="shared" ca="1" si="35"/>
        <v>380049.16</v>
      </c>
      <c r="O62" s="1264">
        <f t="shared" ca="1" si="30"/>
        <v>69.746588364837578</v>
      </c>
      <c r="P62" s="1264">
        <f t="shared" ca="1" si="31"/>
        <v>69.746588364837578</v>
      </c>
      <c r="Q62" s="1264">
        <f t="shared" si="36"/>
        <v>0</v>
      </c>
      <c r="R62" s="1264">
        <f t="shared" si="36"/>
        <v>0</v>
      </c>
      <c r="S62" s="1264">
        <f t="shared" si="36"/>
        <v>0</v>
      </c>
      <c r="T62" s="1264">
        <f t="shared" si="33"/>
        <v>0</v>
      </c>
      <c r="U62" s="1264">
        <f t="shared" si="34"/>
        <v>0</v>
      </c>
    </row>
    <row r="63" spans="1:21" ht="18.75" x14ac:dyDescent="0.25">
      <c r="A63" s="847"/>
      <c r="B63" s="258"/>
      <c r="C63" s="258"/>
      <c r="D63" s="270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3">
        <f t="shared" ref="L63:N63" ca="1" si="37">L64+L65</f>
        <v>544900</v>
      </c>
      <c r="M63" s="74">
        <f t="shared" ca="1" si="37"/>
        <v>544900</v>
      </c>
      <c r="N63" s="74">
        <f t="shared" ca="1" si="37"/>
        <v>380049.16</v>
      </c>
      <c r="O63" s="74">
        <f t="shared" ca="1" si="30"/>
        <v>69.746588364837578</v>
      </c>
      <c r="P63" s="74">
        <f t="shared" ca="1" si="31"/>
        <v>69.746588364837578</v>
      </c>
      <c r="Q63" s="74">
        <f t="shared" ref="Q63:S63" si="38">Q64+Q65</f>
        <v>0</v>
      </c>
      <c r="R63" s="74">
        <f t="shared" si="38"/>
        <v>0</v>
      </c>
      <c r="S63" s="74">
        <f t="shared" si="38"/>
        <v>0</v>
      </c>
      <c r="T63" s="74">
        <f t="shared" si="33"/>
        <v>0</v>
      </c>
      <c r="U63" s="74">
        <f t="shared" si="34"/>
        <v>0</v>
      </c>
    </row>
    <row r="64" spans="1:21" ht="18.75" hidden="1" x14ac:dyDescent="0.25">
      <c r="A64" s="847"/>
      <c r="B64" s="258"/>
      <c r="C64" s="258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77">
        <f t="shared" si="30"/>
        <v>0</v>
      </c>
      <c r="P64" s="77">
        <f t="shared" si="31"/>
        <v>0</v>
      </c>
      <c r="Q64" s="77">
        <v>0</v>
      </c>
      <c r="R64" s="77">
        <v>0</v>
      </c>
      <c r="S64" s="77">
        <v>0</v>
      </c>
      <c r="T64" s="77">
        <f t="shared" si="33"/>
        <v>0</v>
      </c>
      <c r="U64" s="77">
        <f t="shared" si="34"/>
        <v>0</v>
      </c>
    </row>
    <row r="65" spans="1:21" ht="18.75" hidden="1" x14ac:dyDescent="0.25">
      <c r="A65" s="847"/>
      <c r="B65" s="258"/>
      <c r="C65" s="258"/>
      <c r="D65" s="258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3">
        <f ca="1">IFERROR(__xludf.DUMMYFUNCTION("IMPORTRANGE(""https://docs.google.com/spreadsheets/d/1-uDff_7J0KD5mKrp0Vvzr7lt3OU09vwQwhkpOPPYv2Y/edit?usp=sharing"",""งบพรบ!AC68"")"),544900)</f>
        <v>544900</v>
      </c>
      <c r="M65" s="74">
        <f ca="1">IFERROR(__xludf.DUMMYFUNCTION("IMPORTRANGE(""https://docs.google.com/spreadsheets/d/1-uDff_7J0KD5mKrp0Vvzr7lt3OU09vwQwhkpOPPYv2Y/edit?usp=sharing"",""งบพรบ!AH68"")"),544900)</f>
        <v>544900</v>
      </c>
      <c r="N65" s="74">
        <f ca="1">IFERROR(__xludf.DUMMYFUNCTION("IMPORTRANGE(""https://docs.google.com/spreadsheets/d/1-uDff_7J0KD5mKrp0Vvzr7lt3OU09vwQwhkpOPPYv2Y/edit?usp=sharing"",""งบพรบ!AJ68"")"),380049.16)</f>
        <v>380049.16</v>
      </c>
      <c r="O65" s="74">
        <f t="shared" ca="1" si="30"/>
        <v>69.746588364837578</v>
      </c>
      <c r="P65" s="74">
        <f t="shared" ca="1" si="31"/>
        <v>69.746588364837578</v>
      </c>
      <c r="Q65" s="74">
        <v>0</v>
      </c>
      <c r="R65" s="74">
        <v>0</v>
      </c>
      <c r="S65" s="74">
        <v>0</v>
      </c>
      <c r="T65" s="74">
        <f t="shared" si="33"/>
        <v>0</v>
      </c>
      <c r="U65" s="74">
        <f t="shared" si="34"/>
        <v>0</v>
      </c>
    </row>
    <row r="66" spans="1:21" ht="18.75" x14ac:dyDescent="0.25">
      <c r="A66" s="847"/>
      <c r="B66" s="258"/>
      <c r="C66" s="258"/>
      <c r="D66" s="270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3">
        <f t="shared" ref="L66:N66" ca="1" si="39">L67+L68</f>
        <v>0</v>
      </c>
      <c r="M66" s="74">
        <f t="shared" ca="1" si="39"/>
        <v>0</v>
      </c>
      <c r="N66" s="74">
        <f t="shared" ca="1" si="39"/>
        <v>0</v>
      </c>
      <c r="O66" s="74">
        <f t="shared" ca="1" si="30"/>
        <v>0</v>
      </c>
      <c r="P66" s="74">
        <f t="shared" ca="1" si="31"/>
        <v>0</v>
      </c>
      <c r="Q66" s="74">
        <f t="shared" ref="Q66:S66" si="40">Q67+Q68</f>
        <v>0</v>
      </c>
      <c r="R66" s="74">
        <f t="shared" si="40"/>
        <v>0</v>
      </c>
      <c r="S66" s="74">
        <f t="shared" si="40"/>
        <v>0</v>
      </c>
      <c r="T66" s="74">
        <f t="shared" si="33"/>
        <v>0</v>
      </c>
      <c r="U66" s="74">
        <f t="shared" si="34"/>
        <v>0</v>
      </c>
    </row>
    <row r="67" spans="1:21" ht="18.75" hidden="1" x14ac:dyDescent="0.25">
      <c r="A67" s="847"/>
      <c r="B67" s="258"/>
      <c r="C67" s="258"/>
      <c r="D67" s="258"/>
      <c r="E67" s="265" t="s">
        <v>20</v>
      </c>
      <c r="F67" s="258"/>
      <c r="G67" s="261"/>
      <c r="H67" s="840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77">
        <f t="shared" si="30"/>
        <v>0</v>
      </c>
      <c r="P67" s="77">
        <f t="shared" si="31"/>
        <v>0</v>
      </c>
      <c r="Q67" s="77">
        <v>0</v>
      </c>
      <c r="R67" s="77">
        <v>0</v>
      </c>
      <c r="S67" s="77">
        <v>0</v>
      </c>
      <c r="T67" s="77">
        <f t="shared" si="33"/>
        <v>0</v>
      </c>
      <c r="U67" s="77">
        <f t="shared" si="34"/>
        <v>0</v>
      </c>
    </row>
    <row r="68" spans="1:21" ht="18.75" hidden="1" x14ac:dyDescent="0.25">
      <c r="A68" s="848"/>
      <c r="B68" s="636"/>
      <c r="C68" s="636"/>
      <c r="D68" s="636"/>
      <c r="E68" s="849" t="s">
        <v>21</v>
      </c>
      <c r="F68" s="636"/>
      <c r="G68" s="637"/>
      <c r="H68" s="850" t="s">
        <v>14</v>
      </c>
      <c r="I68" s="631"/>
      <c r="J68" s="631"/>
      <c r="K68" s="98"/>
      <c r="L68" s="181">
        <f ca="1">IFERROR(__xludf.DUMMYFUNCTION("IMPORTRANGE(""https://docs.google.com/spreadsheets/d/1-uDff_7J0KD5mKrp0Vvzr7lt3OU09vwQwhkpOPPYv2Y/edit?usp=sharing"",""งบพรบ!AF68"")"),0)</f>
        <v>0</v>
      </c>
      <c r="M68" s="182">
        <f ca="1">IFERROR(__xludf.DUMMYFUNCTION("IMPORTRANGE(""https://docs.google.com/spreadsheets/d/1-uDff_7J0KD5mKrp0Vvzr7lt3OU09vwQwhkpOPPYv2Y/edit?usp=sharing"",""งบพรบ!AI68"")"),0)</f>
        <v>0</v>
      </c>
      <c r="N68" s="182">
        <f ca="1">IFERROR(__xludf.DUMMYFUNCTION("IMPORTRANGE(""https://docs.google.com/spreadsheets/d/1-uDff_7J0KD5mKrp0Vvzr7lt3OU09vwQwhkpOPPYv2Y/edit?usp=sharing"",""งบพรบ!AK68"")"),0)</f>
        <v>0</v>
      </c>
      <c r="O68" s="182">
        <f t="shared" ca="1" si="30"/>
        <v>0</v>
      </c>
      <c r="P68" s="182">
        <f t="shared" ca="1" si="31"/>
        <v>0</v>
      </c>
      <c r="Q68" s="182">
        <v>0</v>
      </c>
      <c r="R68" s="182">
        <v>0</v>
      </c>
      <c r="S68" s="182">
        <v>0</v>
      </c>
      <c r="T68" s="182">
        <f t="shared" si="33"/>
        <v>0</v>
      </c>
      <c r="U68" s="182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7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x14ac:dyDescent="0.3">
      <c r="A70" s="1099" t="s">
        <v>32</v>
      </c>
      <c r="B70" s="691"/>
      <c r="C70" s="693"/>
      <c r="D70" s="691"/>
      <c r="E70" s="691"/>
      <c r="F70" s="691"/>
      <c r="G70" s="1100"/>
      <c r="H70" s="1100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19.5" x14ac:dyDescent="0.3">
      <c r="A71" s="250"/>
      <c r="B71" s="251" t="s">
        <v>33</v>
      </c>
      <c r="C71" s="252"/>
      <c r="D71" s="253"/>
      <c r="E71" s="252"/>
      <c r="F71" s="252"/>
      <c r="G71" s="254"/>
      <c r="H71" s="1296" t="s">
        <v>34</v>
      </c>
      <c r="I71" s="256">
        <f t="shared" ref="I71:J72" ca="1" si="41">I83</f>
        <v>2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x14ac:dyDescent="0.3">
      <c r="A72" s="250"/>
      <c r="B72" s="252"/>
      <c r="C72" s="252"/>
      <c r="D72" s="253"/>
      <c r="E72" s="252"/>
      <c r="F72" s="252"/>
      <c r="G72" s="254"/>
      <c r="H72" s="1296" t="s">
        <v>35</v>
      </c>
      <c r="I72" s="256">
        <f t="shared" ca="1" si="41"/>
        <v>101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1257">
        <f t="shared" ref="L73:N73" ca="1" si="43">L74+L75</f>
        <v>461200</v>
      </c>
      <c r="M73" s="264">
        <f t="shared" ca="1" si="43"/>
        <v>461200</v>
      </c>
      <c r="N73" s="264">
        <f t="shared" ca="1" si="43"/>
        <v>203324.85</v>
      </c>
      <c r="O73" s="264">
        <f t="shared" ref="O73:O81" ca="1" si="44">IF(L73&gt;0,N73*100/L73,0)</f>
        <v>44.086047267996534</v>
      </c>
      <c r="P73" s="264">
        <f t="shared" ref="P73:P81" ca="1" si="45">IF(M73&gt;0,N73*100/M73,0)</f>
        <v>44.086047267996534</v>
      </c>
      <c r="Q73" s="264">
        <f t="shared" ref="Q73:S73" ca="1" si="46">Q74+Q75</f>
        <v>1000800</v>
      </c>
      <c r="R73" s="264">
        <f t="shared" ca="1" si="46"/>
        <v>1000800</v>
      </c>
      <c r="S73" s="264">
        <f t="shared" ca="1" si="46"/>
        <v>0</v>
      </c>
      <c r="T73" s="264">
        <f t="shared" ref="T73:T81" ca="1" si="47">IF(Q73&gt;0,S73*100/Q73,0)</f>
        <v>0</v>
      </c>
      <c r="U73" s="264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6">
        <f t="shared" ref="L74:N75" si="49">L77+L80</f>
        <v>0</v>
      </c>
      <c r="M74" s="77">
        <f t="shared" si="49"/>
        <v>0</v>
      </c>
      <c r="N74" s="77">
        <f t="shared" si="49"/>
        <v>0</v>
      </c>
      <c r="O74" s="77">
        <f t="shared" si="44"/>
        <v>0</v>
      </c>
      <c r="P74" s="77">
        <f t="shared" si="45"/>
        <v>0</v>
      </c>
      <c r="Q74" s="77">
        <f t="shared" ref="Q74:S75" si="50">Q77+Q80</f>
        <v>0</v>
      </c>
      <c r="R74" s="77">
        <f t="shared" si="50"/>
        <v>0</v>
      </c>
      <c r="S74" s="77">
        <f t="shared" si="50"/>
        <v>0</v>
      </c>
      <c r="T74" s="77">
        <f t="shared" si="47"/>
        <v>0</v>
      </c>
      <c r="U74" s="77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3">
        <f t="shared" ca="1" si="49"/>
        <v>461200</v>
      </c>
      <c r="M75" s="74">
        <f t="shared" ca="1" si="49"/>
        <v>461200</v>
      </c>
      <c r="N75" s="74">
        <f t="shared" ca="1" si="49"/>
        <v>203324.85</v>
      </c>
      <c r="O75" s="74">
        <f t="shared" ca="1" si="44"/>
        <v>44.086047267996534</v>
      </c>
      <c r="P75" s="74">
        <f t="shared" ca="1" si="45"/>
        <v>44.086047267996534</v>
      </c>
      <c r="Q75" s="74">
        <f t="shared" ca="1" si="50"/>
        <v>1000800</v>
      </c>
      <c r="R75" s="74">
        <f t="shared" ca="1" si="50"/>
        <v>1000800</v>
      </c>
      <c r="S75" s="74">
        <f t="shared" ca="1" si="50"/>
        <v>0</v>
      </c>
      <c r="T75" s="74">
        <f t="shared" ca="1" si="47"/>
        <v>0</v>
      </c>
      <c r="U75" s="74">
        <f t="shared" ca="1" si="48"/>
        <v>0</v>
      </c>
    </row>
    <row r="76" spans="1:21" ht="18.75" x14ac:dyDescent="0.25">
      <c r="A76" s="257"/>
      <c r="B76" s="258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3">
        <f t="shared" ref="L76:N76" ca="1" si="51">L77+L78</f>
        <v>461200</v>
      </c>
      <c r="M76" s="74">
        <f t="shared" ca="1" si="51"/>
        <v>461200</v>
      </c>
      <c r="N76" s="74">
        <f t="shared" ca="1" si="51"/>
        <v>203324.85</v>
      </c>
      <c r="O76" s="74">
        <f t="shared" ca="1" si="44"/>
        <v>44.086047267996534</v>
      </c>
      <c r="P76" s="74">
        <f t="shared" ca="1" si="45"/>
        <v>44.086047267996534</v>
      </c>
      <c r="Q76" s="74">
        <f t="shared" ref="Q76:S76" ca="1" si="52">Q77+Q78</f>
        <v>1000800</v>
      </c>
      <c r="R76" s="74">
        <f t="shared" ca="1" si="52"/>
        <v>1000800</v>
      </c>
      <c r="S76" s="74">
        <f t="shared" ca="1" si="52"/>
        <v>0</v>
      </c>
      <c r="T76" s="74">
        <f t="shared" ca="1" si="47"/>
        <v>0</v>
      </c>
      <c r="U76" s="74">
        <f t="shared" ca="1" si="48"/>
        <v>0</v>
      </c>
    </row>
    <row r="77" spans="1:21" ht="18.75" hidden="1" x14ac:dyDescent="0.25">
      <c r="A77" s="257"/>
      <c r="B77" s="258"/>
      <c r="C77" s="258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77">
        <f t="shared" si="44"/>
        <v>0</v>
      </c>
      <c r="P77" s="77">
        <f t="shared" si="45"/>
        <v>0</v>
      </c>
      <c r="Q77" s="77">
        <v>0</v>
      </c>
      <c r="R77" s="77">
        <v>0</v>
      </c>
      <c r="S77" s="77">
        <v>0</v>
      </c>
      <c r="T77" s="77">
        <f t="shared" si="47"/>
        <v>0</v>
      </c>
      <c r="U77" s="77">
        <f t="shared" si="48"/>
        <v>0</v>
      </c>
    </row>
    <row r="78" spans="1:21" ht="18.75" hidden="1" x14ac:dyDescent="0.25">
      <c r="A78" s="257"/>
      <c r="B78" s="258"/>
      <c r="C78" s="258"/>
      <c r="D78" s="258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3">
        <f ca="1">IFERROR(__xludf.DUMMYFUNCTION("IMPORTRANGE(""https://docs.google.com/spreadsheets/d/1-uDff_7J0KD5mKrp0Vvzr7lt3OU09vwQwhkpOPPYv2Y/edit?usp=sharing"",""งบพรบ!AM68"")"),461200)</f>
        <v>461200</v>
      </c>
      <c r="M78" s="74">
        <f ca="1">IFERROR(__xludf.DUMMYFUNCTION("IMPORTRANGE(""https://docs.google.com/spreadsheets/d/1-uDff_7J0KD5mKrp0Vvzr7lt3OU09vwQwhkpOPPYv2Y/edit?usp=sharing"",""งบพรบ!AR68"")"),461200)</f>
        <v>461200</v>
      </c>
      <c r="N78" s="74">
        <f ca="1">IFERROR(__xludf.DUMMYFUNCTION("IMPORTRANGE(""https://docs.google.com/spreadsheets/d/1-uDff_7J0KD5mKrp0Vvzr7lt3OU09vwQwhkpOPPYv2Y/edit?usp=sharing"",""งบพรบ!AT68"")"),203324.85)</f>
        <v>203324.85</v>
      </c>
      <c r="O78" s="74">
        <f t="shared" ca="1" si="44"/>
        <v>44.086047267996534</v>
      </c>
      <c r="P78" s="74">
        <f t="shared" ca="1" si="45"/>
        <v>44.086047267996534</v>
      </c>
      <c r="Q78" s="74">
        <f ca="1">IFERROR(__xludf.DUMMYFUNCTION("IMPORTRANGE(""https://docs.google.com/spreadsheets/d/1ItG2mGa2ceCfYo0BwxsXqNm01IGEUdYcSSLTEv9YCik/edit?usp=sharing"",""เบิกจ่ายกองทุน!AS68"")"),1000800)</f>
        <v>1000800</v>
      </c>
      <c r="R78" s="74">
        <f ca="1">IFERROR(__xludf.DUMMYFUNCTION("IMPORTRANGE(""https://docs.google.com/spreadsheets/d/1ItG2mGa2ceCfYo0BwxsXqNm01IGEUdYcSSLTEv9YCik/edit?usp=sharing"",""เบิกจ่ายกองทุน!AT68"")"),1000800)</f>
        <v>1000800</v>
      </c>
      <c r="S78" s="74">
        <f ca="1">IFERROR(__xludf.DUMMYFUNCTION("IMPORTRANGE(""https://docs.google.com/spreadsheets/d/1ItG2mGa2ceCfYo0BwxsXqNm01IGEUdYcSSLTEv9YCik/edit?usp=sharing"",""เบิกจ่ายกองทุน!AU68"")"),0)</f>
        <v>0</v>
      </c>
      <c r="T78" s="74">
        <f t="shared" ca="1" si="47"/>
        <v>0</v>
      </c>
      <c r="U78" s="74">
        <f t="shared" ca="1" si="48"/>
        <v>0</v>
      </c>
    </row>
    <row r="79" spans="1:21" ht="18.75" x14ac:dyDescent="0.25">
      <c r="A79" s="257"/>
      <c r="B79" s="258"/>
      <c r="C79" s="258"/>
      <c r="D79" s="270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3">
        <f t="shared" ref="L79:N79" ca="1" si="53">L80+L81</f>
        <v>0</v>
      </c>
      <c r="M79" s="74">
        <f t="shared" ca="1" si="53"/>
        <v>0</v>
      </c>
      <c r="N79" s="74">
        <f t="shared" ca="1" si="53"/>
        <v>0</v>
      </c>
      <c r="O79" s="74">
        <f t="shared" ca="1" si="44"/>
        <v>0</v>
      </c>
      <c r="P79" s="74">
        <f t="shared" ca="1" si="45"/>
        <v>0</v>
      </c>
      <c r="Q79" s="74">
        <f t="shared" ref="Q79:S79" si="54">Q80+Q81</f>
        <v>0</v>
      </c>
      <c r="R79" s="74">
        <f t="shared" si="54"/>
        <v>0</v>
      </c>
      <c r="S79" s="74">
        <f t="shared" si="54"/>
        <v>0</v>
      </c>
      <c r="T79" s="74">
        <f t="shared" si="47"/>
        <v>0</v>
      </c>
      <c r="U79" s="74">
        <f t="shared" si="48"/>
        <v>0</v>
      </c>
    </row>
    <row r="80" spans="1:21" ht="18.75" hidden="1" x14ac:dyDescent="0.25">
      <c r="A80" s="257"/>
      <c r="B80" s="258"/>
      <c r="C80" s="258"/>
      <c r="D80" s="258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77">
        <f t="shared" si="44"/>
        <v>0</v>
      </c>
      <c r="P80" s="77">
        <f t="shared" si="45"/>
        <v>0</v>
      </c>
      <c r="Q80" s="77">
        <v>0</v>
      </c>
      <c r="R80" s="74">
        <v>0</v>
      </c>
      <c r="S80" s="74">
        <v>0</v>
      </c>
      <c r="T80" s="77">
        <f t="shared" si="47"/>
        <v>0</v>
      </c>
      <c r="U80" s="77">
        <f t="shared" si="48"/>
        <v>0</v>
      </c>
    </row>
    <row r="81" spans="1:21" ht="18.75" hidden="1" x14ac:dyDescent="0.25">
      <c r="A81" s="257"/>
      <c r="B81" s="258"/>
      <c r="C81" s="258"/>
      <c r="D81" s="258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3">
        <f ca="1">IFERROR(__xludf.DUMMYFUNCTION("IMPORTRANGE(""https://docs.google.com/spreadsheets/d/1-uDff_7J0KD5mKrp0Vvzr7lt3OU09vwQwhkpOPPYv2Y/edit?usp=sharing"",""งบพรบ!AP68"")"),0)</f>
        <v>0</v>
      </c>
      <c r="M81" s="74">
        <f ca="1">IFERROR(__xludf.DUMMYFUNCTION("IMPORTRANGE(""https://docs.google.com/spreadsheets/d/1-uDff_7J0KD5mKrp0Vvzr7lt3OU09vwQwhkpOPPYv2Y/edit?usp=sharing"",""งบพรบ!AS68"")"),0)</f>
        <v>0</v>
      </c>
      <c r="N81" s="74">
        <f ca="1">IFERROR(__xludf.DUMMYFUNCTION("IMPORTRANGE(""https://docs.google.com/spreadsheets/d/1-uDff_7J0KD5mKrp0Vvzr7lt3OU09vwQwhkpOPPYv2Y/edit?usp=sharing"",""งบพรบ!AU68"")"),0)</f>
        <v>0</v>
      </c>
      <c r="O81" s="74">
        <f t="shared" ca="1" si="44"/>
        <v>0</v>
      </c>
      <c r="P81" s="74">
        <f t="shared" ca="1" si="45"/>
        <v>0</v>
      </c>
      <c r="Q81" s="74">
        <v>0</v>
      </c>
      <c r="R81" s="74">
        <v>0</v>
      </c>
      <c r="S81" s="74">
        <v>0</v>
      </c>
      <c r="T81" s="74">
        <f t="shared" si="47"/>
        <v>0</v>
      </c>
      <c r="U81" s="74">
        <f t="shared" si="48"/>
        <v>0</v>
      </c>
    </row>
    <row r="82" spans="1:21" ht="19.5" x14ac:dyDescent="0.3">
      <c r="A82" s="276"/>
      <c r="B82" s="277"/>
      <c r="C82" s="259" t="s">
        <v>18</v>
      </c>
      <c r="D82" s="1019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x14ac:dyDescent="0.3">
      <c r="A83" s="276"/>
      <c r="B83" s="277"/>
      <c r="C83" s="277"/>
      <c r="D83" s="767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2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101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IFERROR(__xludf.DUMMYFUNCTION("IMPORTRANGE(""https://docs.google.com/spreadsheets/d/1eHaY18a8A9IcSdp1K8H6x8fbOy06t2VsZHhMHf-1x7Y/edit?usp=sharing"",""แผน!H68"")"),1)</f>
        <v>1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IFERROR(__xludf.DUMMYFUNCTION("IMPORTRANGE(""https://docs.google.com/spreadsheets/d/1eHaY18a8A9IcSdp1K8H6x8fbOy06t2VsZHhMHf-1x7Y/edit?usp=sharing"",""แผน!I68"")"),50)</f>
        <v>50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IFERROR(__xludf.DUMMYFUNCTION("IMPORTRANGE(""https://docs.google.com/spreadsheets/d/1eHaY18a8A9IcSdp1K8H6x8fbOy06t2VsZHhMHf-1x7Y/edit?usp=sharing"",""แผน!F68"")"),0)</f>
        <v>0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IFERROR(__xludf.DUMMYFUNCTION("IMPORTRANGE(""https://docs.google.com/spreadsheets/d/1eHaY18a8A9IcSdp1K8H6x8fbOy06t2VsZHhMHf-1x7Y/edit?usp=sharing"",""แผน!G68"")"),0)</f>
        <v>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x14ac:dyDescent="0.25">
      <c r="A89" s="276"/>
      <c r="B89" s="277"/>
      <c r="C89" s="277"/>
      <c r="D89" s="277"/>
      <c r="E89" s="295" t="s">
        <v>42</v>
      </c>
      <c r="F89" s="296"/>
      <c r="G89" s="282"/>
      <c r="H89" s="299" t="s">
        <v>34</v>
      </c>
      <c r="I89" s="298">
        <f ca="1">IFERROR(__xludf.DUMMYFUNCTION("IMPORTRANGE(""https://docs.google.com/spreadsheets/d/1eHaY18a8A9IcSdp1K8H6x8fbOy06t2VsZHhMHf-1x7Y/edit?usp=sharing"",""แผน!D68"")"),1)</f>
        <v>1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x14ac:dyDescent="0.25">
      <c r="A90" s="276"/>
      <c r="B90" s="277"/>
      <c r="C90" s="277"/>
      <c r="D90" s="277"/>
      <c r="E90" s="296"/>
      <c r="F90" s="296"/>
      <c r="G90" s="282"/>
      <c r="H90" s="299" t="s">
        <v>35</v>
      </c>
      <c r="I90" s="298">
        <f ca="1">IFERROR(__xludf.DUMMYFUNCTION("IMPORTRANGE(""https://docs.google.com/spreadsheets/d/1eHaY18a8A9IcSdp1K8H6x8fbOy06t2VsZHhMHf-1x7Y/edit?usp=sharing"",""แผน!E68"")"),51)</f>
        <v>51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x14ac:dyDescent="0.25">
      <c r="A91" s="276"/>
      <c r="B91" s="277"/>
      <c r="C91" s="277"/>
      <c r="D91" s="767" t="s">
        <v>43</v>
      </c>
      <c r="E91" s="296"/>
      <c r="F91" s="296"/>
      <c r="G91" s="282"/>
      <c r="H91" s="1165" t="s">
        <v>34</v>
      </c>
      <c r="I91" s="298">
        <f ca="1">IFERROR(__xludf.DUMMYFUNCTION("IMPORTRANGE(""https://docs.google.com/spreadsheets/d/1eHaY18a8A9IcSdp1K8H6x8fbOy06t2VsZHhMHf-1x7Y/edit?usp=sharing"",""แผน!J68"")"),2)</f>
        <v>2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x14ac:dyDescent="0.3">
      <c r="A92" s="1099" t="s">
        <v>44</v>
      </c>
      <c r="B92" s="691"/>
      <c r="C92" s="693"/>
      <c r="D92" s="691"/>
      <c r="E92" s="691"/>
      <c r="F92" s="691"/>
      <c r="G92" s="1100"/>
      <c r="H92" s="1100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x14ac:dyDescent="0.3">
      <c r="A93" s="250"/>
      <c r="B93" s="251" t="s">
        <v>45</v>
      </c>
      <c r="C93" s="252"/>
      <c r="D93" s="253"/>
      <c r="E93" s="252"/>
      <c r="F93" s="252"/>
      <c r="G93" s="254"/>
      <c r="H93" s="1296" t="s">
        <v>46</v>
      </c>
      <c r="I93" s="256">
        <f t="shared" ref="I93:J94" ca="1" si="57">I109</f>
        <v>30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x14ac:dyDescent="0.3">
      <c r="A94" s="250"/>
      <c r="B94" s="252"/>
      <c r="C94" s="252"/>
      <c r="D94" s="253"/>
      <c r="E94" s="252"/>
      <c r="F94" s="252"/>
      <c r="G94" s="254"/>
      <c r="H94" s="1296" t="s">
        <v>35</v>
      </c>
      <c r="I94" s="256">
        <f t="shared" ca="1" si="57"/>
        <v>10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1257">
        <f t="shared" ref="L95:N95" ca="1" si="59">L96+L97</f>
        <v>0</v>
      </c>
      <c r="M95" s="264">
        <f t="shared" ca="1" si="59"/>
        <v>0</v>
      </c>
      <c r="N95" s="264">
        <f t="shared" ca="1" si="59"/>
        <v>0</v>
      </c>
      <c r="O95" s="264">
        <f t="shared" ref="O95:O103" ca="1" si="60">IF(L95&gt;0,N95*100/L95,0)</f>
        <v>0</v>
      </c>
      <c r="P95" s="264">
        <f t="shared" ref="P95:P103" ca="1" si="61">IF(M95&gt;0,N95*100/M95,0)</f>
        <v>0</v>
      </c>
      <c r="Q95" s="264">
        <f t="shared" ref="Q95:S95" ca="1" si="62">Q96+Q97</f>
        <v>84420</v>
      </c>
      <c r="R95" s="264">
        <f t="shared" ca="1" si="62"/>
        <v>84420</v>
      </c>
      <c r="S95" s="264">
        <f t="shared" ca="1" si="62"/>
        <v>0</v>
      </c>
      <c r="T95" s="264">
        <f t="shared" ref="T95:T103" ca="1" si="63">IF(Q95&gt;0,S95*100/Q95,0)</f>
        <v>0</v>
      </c>
      <c r="U95" s="264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6">
        <f t="shared" ref="L96:N97" si="65">L99+L102</f>
        <v>0</v>
      </c>
      <c r="M96" s="77">
        <f t="shared" si="65"/>
        <v>0</v>
      </c>
      <c r="N96" s="77">
        <f t="shared" si="65"/>
        <v>0</v>
      </c>
      <c r="O96" s="77">
        <f t="shared" si="60"/>
        <v>0</v>
      </c>
      <c r="P96" s="77">
        <f t="shared" si="61"/>
        <v>0</v>
      </c>
      <c r="Q96" s="77">
        <f t="shared" ref="Q96:S97" si="66">Q99+Q102</f>
        <v>0</v>
      </c>
      <c r="R96" s="77">
        <f t="shared" si="66"/>
        <v>0</v>
      </c>
      <c r="S96" s="77">
        <f t="shared" si="66"/>
        <v>0</v>
      </c>
      <c r="T96" s="77">
        <f t="shared" si="63"/>
        <v>0</v>
      </c>
      <c r="U96" s="77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3">
        <f t="shared" ca="1" si="65"/>
        <v>0</v>
      </c>
      <c r="M97" s="74">
        <f t="shared" ca="1" si="65"/>
        <v>0</v>
      </c>
      <c r="N97" s="74">
        <f t="shared" ca="1" si="65"/>
        <v>0</v>
      </c>
      <c r="O97" s="74">
        <f t="shared" ca="1" si="60"/>
        <v>0</v>
      </c>
      <c r="P97" s="74">
        <f t="shared" ca="1" si="61"/>
        <v>0</v>
      </c>
      <c r="Q97" s="74">
        <f t="shared" ca="1" si="66"/>
        <v>84420</v>
      </c>
      <c r="R97" s="74">
        <f t="shared" ca="1" si="66"/>
        <v>84420</v>
      </c>
      <c r="S97" s="74">
        <f t="shared" ca="1" si="66"/>
        <v>0</v>
      </c>
      <c r="T97" s="74">
        <f t="shared" ca="1" si="63"/>
        <v>0</v>
      </c>
      <c r="U97" s="74">
        <f t="shared" ca="1" si="64"/>
        <v>0</v>
      </c>
    </row>
    <row r="98" spans="1:21" ht="18.75" x14ac:dyDescent="0.25">
      <c r="A98" s="257"/>
      <c r="B98" s="258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3">
        <f t="shared" ref="L98:N98" ca="1" si="67">L99+L100</f>
        <v>0</v>
      </c>
      <c r="M98" s="74">
        <f t="shared" ca="1" si="67"/>
        <v>0</v>
      </c>
      <c r="N98" s="74">
        <f t="shared" ca="1" si="67"/>
        <v>0</v>
      </c>
      <c r="O98" s="74">
        <f t="shared" ca="1" si="60"/>
        <v>0</v>
      </c>
      <c r="P98" s="74">
        <f t="shared" ca="1" si="61"/>
        <v>0</v>
      </c>
      <c r="Q98" s="74">
        <f t="shared" ref="Q98:S98" ca="1" si="68">Q99+Q100</f>
        <v>84420</v>
      </c>
      <c r="R98" s="74">
        <f t="shared" ca="1" si="68"/>
        <v>84420</v>
      </c>
      <c r="S98" s="74">
        <f t="shared" ca="1" si="68"/>
        <v>0</v>
      </c>
      <c r="T98" s="74">
        <f t="shared" ca="1" si="63"/>
        <v>0</v>
      </c>
      <c r="U98" s="74">
        <f t="shared" ca="1" si="64"/>
        <v>0</v>
      </c>
    </row>
    <row r="99" spans="1:21" ht="18.75" hidden="1" x14ac:dyDescent="0.25">
      <c r="A99" s="257"/>
      <c r="B99" s="258"/>
      <c r="C99" s="258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77">
        <f t="shared" si="60"/>
        <v>0</v>
      </c>
      <c r="P99" s="77">
        <f t="shared" si="61"/>
        <v>0</v>
      </c>
      <c r="Q99" s="77">
        <v>0</v>
      </c>
      <c r="R99" s="77">
        <v>0</v>
      </c>
      <c r="S99" s="77">
        <v>0</v>
      </c>
      <c r="T99" s="77">
        <f t="shared" si="63"/>
        <v>0</v>
      </c>
      <c r="U99" s="77">
        <f t="shared" si="64"/>
        <v>0</v>
      </c>
    </row>
    <row r="100" spans="1:21" ht="18.75" hidden="1" x14ac:dyDescent="0.25">
      <c r="A100" s="257"/>
      <c r="B100" s="258"/>
      <c r="C100" s="258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3">
        <f ca="1">IFERROR(__xludf.DUMMYFUNCTION("IMPORTRANGE(""https://docs.google.com/spreadsheets/d/1-uDff_7J0KD5mKrp0Vvzr7lt3OU09vwQwhkpOPPYv2Y/edit?usp=sharing"",""งบพรบ!AW68"")"),0)</f>
        <v>0</v>
      </c>
      <c r="M100" s="74">
        <f ca="1">IFERROR(__xludf.DUMMYFUNCTION("IMPORTRANGE(""https://docs.google.com/spreadsheets/d/1-uDff_7J0KD5mKrp0Vvzr7lt3OU09vwQwhkpOPPYv2Y/edit?usp=sharing"",""งบพรบ!BB68"")"),0)</f>
        <v>0</v>
      </c>
      <c r="N100" s="74">
        <f ca="1">IFERROR(__xludf.DUMMYFUNCTION("IMPORTRANGE(""https://docs.google.com/spreadsheets/d/1-uDff_7J0KD5mKrp0Vvzr7lt3OU09vwQwhkpOPPYv2Y/edit?usp=sharing"",""งบพรบ!BD68"")"),0)</f>
        <v>0</v>
      </c>
      <c r="O100" s="74">
        <f t="shared" ca="1" si="60"/>
        <v>0</v>
      </c>
      <c r="P100" s="74">
        <f t="shared" ca="1" si="61"/>
        <v>0</v>
      </c>
      <c r="Q100" s="74">
        <f ca="1">IFERROR(__xludf.DUMMYFUNCTION("IMPORTRANGE(""https://docs.google.com/spreadsheets/d/1ItG2mGa2ceCfYo0BwxsXqNm01IGEUdYcSSLTEv9YCik/edit?usp=sharing"",""เบิกจ่ายกองทุน!AD68"")"),84420)</f>
        <v>84420</v>
      </c>
      <c r="R100" s="74">
        <f ca="1">IFERROR(__xludf.DUMMYFUNCTION("IMPORTRANGE(""https://docs.google.com/spreadsheets/d/1ItG2mGa2ceCfYo0BwxsXqNm01IGEUdYcSSLTEv9YCik/edit?usp=sharing"",""เบิกจ่ายกองทุน!AE68"")"),84420)</f>
        <v>84420</v>
      </c>
      <c r="S100" s="74">
        <f ca="1">IFERROR(__xludf.DUMMYFUNCTION("IMPORTRANGE(""https://docs.google.com/spreadsheets/d/1ItG2mGa2ceCfYo0BwxsXqNm01IGEUdYcSSLTEv9YCik/edit?usp=sharing"",""เบิกจ่ายกองทุน!AF68"")"),0)</f>
        <v>0</v>
      </c>
      <c r="T100" s="74">
        <f t="shared" ca="1" si="63"/>
        <v>0</v>
      </c>
      <c r="U100" s="74">
        <f t="shared" ca="1" si="64"/>
        <v>0</v>
      </c>
    </row>
    <row r="101" spans="1:21" ht="18.75" x14ac:dyDescent="0.25">
      <c r="A101" s="257"/>
      <c r="B101" s="258"/>
      <c r="C101" s="258"/>
      <c r="D101" s="270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3">
        <f t="shared" ref="L101:N101" ca="1" si="69">L102+L103</f>
        <v>0</v>
      </c>
      <c r="M101" s="74">
        <f t="shared" ca="1" si="69"/>
        <v>0</v>
      </c>
      <c r="N101" s="74">
        <f t="shared" ca="1" si="69"/>
        <v>0</v>
      </c>
      <c r="O101" s="74">
        <f t="shared" ca="1" si="60"/>
        <v>0</v>
      </c>
      <c r="P101" s="74">
        <f t="shared" ca="1" si="61"/>
        <v>0</v>
      </c>
      <c r="Q101" s="74">
        <f t="shared" ref="Q101:S101" si="70">Q102+Q103</f>
        <v>0</v>
      </c>
      <c r="R101" s="74">
        <f t="shared" si="70"/>
        <v>0</v>
      </c>
      <c r="S101" s="74">
        <f t="shared" si="70"/>
        <v>0</v>
      </c>
      <c r="T101" s="74">
        <f t="shared" si="63"/>
        <v>0</v>
      </c>
      <c r="U101" s="74">
        <f t="shared" si="64"/>
        <v>0</v>
      </c>
    </row>
    <row r="102" spans="1:21" ht="18.75" hidden="1" x14ac:dyDescent="0.25">
      <c r="A102" s="257"/>
      <c r="B102" s="258"/>
      <c r="C102" s="258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77">
        <f t="shared" si="60"/>
        <v>0</v>
      </c>
      <c r="P102" s="77">
        <f t="shared" si="61"/>
        <v>0</v>
      </c>
      <c r="Q102" s="77">
        <v>0</v>
      </c>
      <c r="R102" s="77">
        <v>0</v>
      </c>
      <c r="S102" s="77">
        <v>0</v>
      </c>
      <c r="T102" s="77">
        <f t="shared" si="63"/>
        <v>0</v>
      </c>
      <c r="U102" s="77">
        <f t="shared" si="64"/>
        <v>0</v>
      </c>
    </row>
    <row r="103" spans="1:21" ht="18.75" hidden="1" x14ac:dyDescent="0.25">
      <c r="A103" s="257"/>
      <c r="B103" s="258"/>
      <c r="C103" s="258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3">
        <f ca="1">IFERROR(__xludf.DUMMYFUNCTION("IMPORTRANGE(""https://docs.google.com/spreadsheets/d/1-uDff_7J0KD5mKrp0Vvzr7lt3OU09vwQwhkpOPPYv2Y/edit?usp=sharing"",""งบพรบ!AZ68"")"),0)</f>
        <v>0</v>
      </c>
      <c r="M103" s="74">
        <f ca="1">IFERROR(__xludf.DUMMYFUNCTION("IMPORTRANGE(""https://docs.google.com/spreadsheets/d/1-uDff_7J0KD5mKrp0Vvzr7lt3OU09vwQwhkpOPPYv2Y/edit?usp=sharing"",""งบพรบ!BC68"")"),0)</f>
        <v>0</v>
      </c>
      <c r="N103" s="74">
        <f ca="1">IFERROR(__xludf.DUMMYFUNCTION("IMPORTRANGE(""https://docs.google.com/spreadsheets/d/1-uDff_7J0KD5mKrp0Vvzr7lt3OU09vwQwhkpOPPYv2Y/edit?usp=sharing"",""งบพรบ!BE68"")"),0)</f>
        <v>0</v>
      </c>
      <c r="O103" s="74">
        <f t="shared" ca="1" si="60"/>
        <v>0</v>
      </c>
      <c r="P103" s="74">
        <f t="shared" ca="1" si="61"/>
        <v>0</v>
      </c>
      <c r="Q103" s="74">
        <v>0</v>
      </c>
      <c r="R103" s="74">
        <v>0</v>
      </c>
      <c r="S103" s="74">
        <v>0</v>
      </c>
      <c r="T103" s="74">
        <f t="shared" si="63"/>
        <v>0</v>
      </c>
      <c r="U103" s="74">
        <f t="shared" si="64"/>
        <v>0</v>
      </c>
    </row>
    <row r="104" spans="1:21" ht="19.5" x14ac:dyDescent="0.3">
      <c r="A104" s="276"/>
      <c r="B104" s="277"/>
      <c r="C104" s="259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IFERROR(__xludf.DUMMYFUNCTION("IMPORTRANGE(""https://docs.google.com/spreadsheets/d/1eHaY18a8A9IcSdp1K8H6x8fbOy06t2VsZHhMHf-1x7Y/edit?usp=sharing"",""แผน!N68"")"),30)</f>
        <v>30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IFERROR(__xludf.DUMMYFUNCTION("IMPORTRANGE(""https://docs.google.com/spreadsheets/d/1eHaY18a8A9IcSdp1K8H6x8fbOy06t2VsZHhMHf-1x7Y/edit?usp=sharing"",""แผน!O68"")"),10)</f>
        <v>10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5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8.75" x14ac:dyDescent="0.25">
      <c r="A114" s="890"/>
      <c r="B114" s="891"/>
      <c r="C114" s="891"/>
      <c r="D114" s="892" t="s">
        <v>50</v>
      </c>
      <c r="E114" s="893"/>
      <c r="F114" s="893"/>
      <c r="G114" s="894"/>
      <c r="H114" s="895" t="s">
        <v>46</v>
      </c>
      <c r="I114" s="896">
        <f ca="1">IFERROR(__xludf.DUMMYFUNCTION("IMPORTRANGE(""https://docs.google.com/spreadsheets/d/1eHaY18a8A9IcSdp1K8H6x8fbOy06t2VsZHhMHf-1x7Y/edit?usp=sharing"",""แผน!S68"")"),0)</f>
        <v>0</v>
      </c>
      <c r="J114" s="897">
        <v>0</v>
      </c>
      <c r="K114" s="898">
        <f t="shared" ref="K114:K115" ca="1" si="72">IF(I114&gt;0,J114*100/I114,0)</f>
        <v>0</v>
      </c>
      <c r="L114" s="450"/>
      <c r="M114" s="450"/>
      <c r="N114" s="450"/>
      <c r="O114" s="899"/>
      <c r="P114" s="899"/>
      <c r="Q114" s="450"/>
      <c r="R114" s="450"/>
      <c r="S114" s="450"/>
      <c r="T114" s="899"/>
      <c r="U114" s="899"/>
    </row>
    <row r="115" spans="1:21" ht="18.75" x14ac:dyDescent="0.25">
      <c r="A115" s="276"/>
      <c r="B115" s="277"/>
      <c r="C115" s="277"/>
      <c r="D115" s="296"/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IFERROR(__xludf.DUMMYFUNCTION("IMPORTRANGE(""https://docs.google.com/spreadsheets/d/1eHaY18a8A9IcSdp1K8H6x8fbOy06t2VsZHhMHf-1x7Y/edit?usp=sharing"",""แผน!R68"")"),10)</f>
        <v>10</v>
      </c>
      <c r="J115" s="294">
        <v>0</v>
      </c>
      <c r="K115" s="74">
        <f t="shared" ca="1" si="72"/>
        <v>0</v>
      </c>
      <c r="L115" s="87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243" t="s">
        <v>51</v>
      </c>
      <c r="B116" s="245"/>
      <c r="C116" s="300"/>
      <c r="D116" s="244"/>
      <c r="E116" s="244"/>
      <c r="F116" s="244"/>
      <c r="G116" s="244"/>
      <c r="H116" s="245"/>
      <c r="I116" s="301"/>
      <c r="J116" s="301"/>
      <c r="K116" s="302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50"/>
      <c r="B117" s="303" t="s">
        <v>52</v>
      </c>
      <c r="C117" s="304"/>
      <c r="D117" s="253"/>
      <c r="E117" s="252"/>
      <c r="F117" s="252"/>
      <c r="G117" s="254"/>
      <c r="H117" s="305" t="s">
        <v>35</v>
      </c>
      <c r="I117" s="256">
        <f t="shared" ref="I117:J117" ca="1" si="73">I128</f>
        <v>55</v>
      </c>
      <c r="J117" s="256">
        <f t="shared" si="73"/>
        <v>0</v>
      </c>
      <c r="K117" s="59">
        <f ca="1">IF(I117&gt;0,J117*100/I117,0)</f>
        <v>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69"/>
      <c r="C118" s="621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1257">
        <f t="shared" ref="L118:N118" ca="1" si="74">L119+L120</f>
        <v>0</v>
      </c>
      <c r="M118" s="264">
        <f t="shared" ca="1" si="74"/>
        <v>0</v>
      </c>
      <c r="N118" s="264">
        <f t="shared" ca="1" si="74"/>
        <v>0</v>
      </c>
      <c r="O118" s="264">
        <f t="shared" ref="O118:O126" ca="1" si="75">IF(L118&gt;0,N118*100/L118,0)</f>
        <v>0</v>
      </c>
      <c r="P118" s="264">
        <f t="shared" ref="P118:P126" ca="1" si="76">IF(M118&gt;0,N118*100/M118,0)</f>
        <v>0</v>
      </c>
      <c r="Q118" s="264">
        <f t="shared" ref="Q118:S118" ca="1" si="77">Q119+Q120</f>
        <v>310080</v>
      </c>
      <c r="R118" s="264">
        <f t="shared" ca="1" si="77"/>
        <v>310080</v>
      </c>
      <c r="S118" s="264">
        <f t="shared" ca="1" si="77"/>
        <v>0</v>
      </c>
      <c r="T118" s="264">
        <f t="shared" ref="T118:T126" ca="1" si="78">IF(Q118&gt;0,S118*100/Q118,0)</f>
        <v>0</v>
      </c>
      <c r="U118" s="264">
        <f t="shared" ref="U118:U126" ca="1" si="79">IF(R118&gt;0,S118*100/R118,0)</f>
        <v>0</v>
      </c>
    </row>
    <row r="119" spans="1:21" ht="18.75" hidden="1" x14ac:dyDescent="0.25">
      <c r="A119" s="257"/>
      <c r="B119" s="269"/>
      <c r="C119" s="269"/>
      <c r="D119" s="269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6">
        <f t="shared" ref="L119:N120" si="80">L122+L125</f>
        <v>0</v>
      </c>
      <c r="M119" s="77">
        <f t="shared" si="80"/>
        <v>0</v>
      </c>
      <c r="N119" s="77">
        <f t="shared" si="80"/>
        <v>0</v>
      </c>
      <c r="O119" s="77">
        <f t="shared" si="75"/>
        <v>0</v>
      </c>
      <c r="P119" s="77">
        <f t="shared" si="76"/>
        <v>0</v>
      </c>
      <c r="Q119" s="77">
        <f t="shared" ref="Q119:S120" si="81">Q122+Q125</f>
        <v>0</v>
      </c>
      <c r="R119" s="77">
        <f t="shared" si="81"/>
        <v>0</v>
      </c>
      <c r="S119" s="77">
        <f t="shared" si="81"/>
        <v>0</v>
      </c>
      <c r="T119" s="77">
        <f t="shared" si="78"/>
        <v>0</v>
      </c>
      <c r="U119" s="77">
        <f t="shared" si="79"/>
        <v>0</v>
      </c>
    </row>
    <row r="120" spans="1:21" ht="18.75" hidden="1" x14ac:dyDescent="0.25">
      <c r="A120" s="257"/>
      <c r="B120" s="269"/>
      <c r="C120" s="269"/>
      <c r="D120" s="269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3">
        <f t="shared" ca="1" si="80"/>
        <v>0</v>
      </c>
      <c r="M120" s="74">
        <f t="shared" ca="1" si="80"/>
        <v>0</v>
      </c>
      <c r="N120" s="74">
        <f t="shared" ca="1" si="80"/>
        <v>0</v>
      </c>
      <c r="O120" s="74">
        <f t="shared" ca="1" si="75"/>
        <v>0</v>
      </c>
      <c r="P120" s="74">
        <f t="shared" ca="1" si="76"/>
        <v>0</v>
      </c>
      <c r="Q120" s="74">
        <f t="shared" ca="1" si="81"/>
        <v>310080</v>
      </c>
      <c r="R120" s="74">
        <f t="shared" ca="1" si="81"/>
        <v>310080</v>
      </c>
      <c r="S120" s="74">
        <f t="shared" ca="1" si="81"/>
        <v>0</v>
      </c>
      <c r="T120" s="74">
        <f t="shared" ca="1" si="78"/>
        <v>0</v>
      </c>
      <c r="U120" s="74">
        <f t="shared" ca="1" si="79"/>
        <v>0</v>
      </c>
    </row>
    <row r="121" spans="1:21" ht="18.75" x14ac:dyDescent="0.25">
      <c r="A121" s="257"/>
      <c r="B121" s="269"/>
      <c r="C121" s="306"/>
      <c r="D121" s="967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3">
        <f t="shared" ref="L121:N121" ca="1" si="82">L122+L123</f>
        <v>0</v>
      </c>
      <c r="M121" s="74">
        <f t="shared" ca="1" si="82"/>
        <v>0</v>
      </c>
      <c r="N121" s="74">
        <f t="shared" ca="1" si="82"/>
        <v>0</v>
      </c>
      <c r="O121" s="74">
        <f t="shared" ca="1" si="75"/>
        <v>0</v>
      </c>
      <c r="P121" s="74">
        <f t="shared" ca="1" si="76"/>
        <v>0</v>
      </c>
      <c r="Q121" s="74">
        <f t="shared" ref="Q121:S121" ca="1" si="83">Q122+Q123</f>
        <v>310080</v>
      </c>
      <c r="R121" s="74">
        <f t="shared" ca="1" si="83"/>
        <v>310080</v>
      </c>
      <c r="S121" s="74">
        <f t="shared" ca="1" si="83"/>
        <v>0</v>
      </c>
      <c r="T121" s="74">
        <f t="shared" ca="1" si="78"/>
        <v>0</v>
      </c>
      <c r="U121" s="74">
        <f t="shared" ca="1" si="79"/>
        <v>0</v>
      </c>
    </row>
    <row r="122" spans="1:21" ht="18.75" hidden="1" x14ac:dyDescent="0.25">
      <c r="A122" s="257"/>
      <c r="B122" s="269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77">
        <f t="shared" si="75"/>
        <v>0</v>
      </c>
      <c r="P122" s="77">
        <f t="shared" si="76"/>
        <v>0</v>
      </c>
      <c r="Q122" s="77">
        <v>0</v>
      </c>
      <c r="R122" s="77">
        <v>0</v>
      </c>
      <c r="S122" s="77">
        <v>0</v>
      </c>
      <c r="T122" s="77">
        <f t="shared" si="78"/>
        <v>0</v>
      </c>
      <c r="U122" s="77">
        <f t="shared" si="79"/>
        <v>0</v>
      </c>
    </row>
    <row r="123" spans="1:21" ht="18.75" hidden="1" x14ac:dyDescent="0.25">
      <c r="A123" s="257"/>
      <c r="B123" s="269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3">
        <f ca="1">IFERROR(__xludf.DUMMYFUNCTION("IMPORTRANGE(""https://docs.google.com/spreadsheets/d/1-uDff_7J0KD5mKrp0Vvzr7lt3OU09vwQwhkpOPPYv2Y/edit?usp=sharing"",""งบพรบ!BG68"")"),0)</f>
        <v>0</v>
      </c>
      <c r="M123" s="74">
        <f ca="1">IFERROR(__xludf.DUMMYFUNCTION("IMPORTRANGE(""https://docs.google.com/spreadsheets/d/1-uDff_7J0KD5mKrp0Vvzr7lt3OU09vwQwhkpOPPYv2Y/edit?usp=sharing"",""งบพรบ!BL68"")"),0)</f>
        <v>0</v>
      </c>
      <c r="N123" s="74">
        <f ca="1">IFERROR(__xludf.DUMMYFUNCTION("IMPORTRANGE(""https://docs.google.com/spreadsheets/d/1-uDff_7J0KD5mKrp0Vvzr7lt3OU09vwQwhkpOPPYv2Y/edit?usp=sharing"",""งบพรบ!BN68"")"),0)</f>
        <v>0</v>
      </c>
      <c r="O123" s="74">
        <f t="shared" ca="1" si="75"/>
        <v>0</v>
      </c>
      <c r="P123" s="74">
        <f t="shared" ca="1" si="76"/>
        <v>0</v>
      </c>
      <c r="Q123" s="74">
        <f ca="1">IFERROR(__xludf.DUMMYFUNCTION("IMPORTRANGE(""https://docs.google.com/spreadsheets/d/1ItG2mGa2ceCfYo0BwxsXqNm01IGEUdYcSSLTEv9YCik/edit?usp=sharing"",""เบิกจ่ายกองทุน!R68"")"),310080)</f>
        <v>310080</v>
      </c>
      <c r="R123" s="74">
        <f ca="1">IFERROR(__xludf.DUMMYFUNCTION("IMPORTRANGE(""https://docs.google.com/spreadsheets/d/1ItG2mGa2ceCfYo0BwxsXqNm01IGEUdYcSSLTEv9YCik/edit?usp=sharing"",""เบิกจ่ายกองทุน!S68"")"),310080)</f>
        <v>310080</v>
      </c>
      <c r="S123" s="74">
        <f ca="1">IFERROR(__xludf.DUMMYFUNCTION("IMPORTRANGE(""https://docs.google.com/spreadsheets/d/1ItG2mGa2ceCfYo0BwxsXqNm01IGEUdYcSSLTEv9YCik/edit?usp=sharing"",""เบิกจ่ายกองทุน!T68"")"),0)</f>
        <v>0</v>
      </c>
      <c r="T123" s="74">
        <f t="shared" ca="1" si="78"/>
        <v>0</v>
      </c>
      <c r="U123" s="74">
        <f t="shared" ca="1" si="79"/>
        <v>0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3">
        <f t="shared" ref="L124:N124" ca="1" si="84">L125+L126</f>
        <v>0</v>
      </c>
      <c r="M124" s="74">
        <f t="shared" ca="1" si="84"/>
        <v>0</v>
      </c>
      <c r="N124" s="74">
        <f t="shared" ca="1" si="84"/>
        <v>0</v>
      </c>
      <c r="O124" s="74">
        <f t="shared" ca="1" si="75"/>
        <v>0</v>
      </c>
      <c r="P124" s="74">
        <f t="shared" ca="1" si="76"/>
        <v>0</v>
      </c>
      <c r="Q124" s="74">
        <f t="shared" ref="Q124:S124" si="85">Q125+Q126</f>
        <v>0</v>
      </c>
      <c r="R124" s="74">
        <f t="shared" si="85"/>
        <v>0</v>
      </c>
      <c r="S124" s="74">
        <f t="shared" si="85"/>
        <v>0</v>
      </c>
      <c r="T124" s="74">
        <f t="shared" si="78"/>
        <v>0</v>
      </c>
      <c r="U124" s="74">
        <f t="shared" si="79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77">
        <f t="shared" si="75"/>
        <v>0</v>
      </c>
      <c r="P125" s="77">
        <f t="shared" si="76"/>
        <v>0</v>
      </c>
      <c r="Q125" s="77">
        <v>0</v>
      </c>
      <c r="R125" s="77">
        <v>0</v>
      </c>
      <c r="S125" s="77">
        <v>0</v>
      </c>
      <c r="T125" s="77">
        <f t="shared" si="78"/>
        <v>0</v>
      </c>
      <c r="U125" s="77">
        <f t="shared" si="79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3">
        <f ca="1">IFERROR(__xludf.DUMMYFUNCTION("IMPORTRANGE(""https://docs.google.com/spreadsheets/d/1-uDff_7J0KD5mKrp0Vvzr7lt3OU09vwQwhkpOPPYv2Y/edit?usp=sharing"",""งบพรบ!BJ68"")"),0)</f>
        <v>0</v>
      </c>
      <c r="M126" s="74">
        <f ca="1">IFERROR(__xludf.DUMMYFUNCTION("IMPORTRANGE(""https://docs.google.com/spreadsheets/d/1-uDff_7J0KD5mKrp0Vvzr7lt3OU09vwQwhkpOPPYv2Y/edit?usp=sharing"",""งบพรบ!BM68"")"),0)</f>
        <v>0</v>
      </c>
      <c r="N126" s="74">
        <f ca="1">IFERROR(__xludf.DUMMYFUNCTION("IMPORTRANGE(""https://docs.google.com/spreadsheets/d/1-uDff_7J0KD5mKrp0Vvzr7lt3OU09vwQwhkpOPPYv2Y/edit?usp=sharing"",""งบพรบ!BO68"")"),0)</f>
        <v>0</v>
      </c>
      <c r="O126" s="74">
        <f t="shared" ca="1" si="75"/>
        <v>0</v>
      </c>
      <c r="P126" s="74">
        <f t="shared" ca="1" si="76"/>
        <v>0</v>
      </c>
      <c r="Q126" s="74">
        <v>0</v>
      </c>
      <c r="R126" s="74">
        <v>0</v>
      </c>
      <c r="S126" s="74">
        <v>0</v>
      </c>
      <c r="T126" s="74">
        <f t="shared" si="78"/>
        <v>0</v>
      </c>
      <c r="U126" s="74">
        <f t="shared" si="79"/>
        <v>0</v>
      </c>
    </row>
    <row r="127" spans="1:21" ht="19.5" x14ac:dyDescent="0.3">
      <c r="A127" s="276"/>
      <c r="B127" s="277"/>
      <c r="C127" s="309" t="s">
        <v>18</v>
      </c>
      <c r="D127" s="1019" t="s">
        <v>38</v>
      </c>
      <c r="E127" s="280"/>
      <c r="F127" s="280"/>
      <c r="G127" s="281"/>
      <c r="H127" s="310"/>
      <c r="I127" s="263"/>
      <c r="J127" s="263"/>
      <c r="K127" s="87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IFERROR(__xludf.DUMMYFUNCTION("IMPORTRANGE(""https://docs.google.com/spreadsheets/d/1eHaY18a8A9IcSdp1K8H6x8fbOy06t2VsZHhMHf-1x7Y/edit?usp=sharing"",""แผน!FF68"")"),55)</f>
        <v>55</v>
      </c>
      <c r="J128" s="294">
        <v>0</v>
      </c>
      <c r="K128" s="74">
        <f t="shared" ref="K128:K131" ca="1" si="86">IF(I128&gt;0,J128*100/I128,0)</f>
        <v>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IFERROR(__xludf.DUMMYFUNCTION("IMPORTRANGE(""https://docs.google.com/spreadsheets/d/1eHaY18a8A9IcSdp1K8H6x8fbOy06t2VsZHhMHf-1x7Y/edit?usp=sharing"",""แผน!FG68"")"),0)</f>
        <v>0</v>
      </c>
      <c r="J129" s="294">
        <v>0</v>
      </c>
      <c r="K129" s="74">
        <f t="shared" ca="1" si="86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29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IFERROR(__xludf.DUMMYFUNCTION("IMPORTRANGE(""https://docs.google.com/spreadsheets/d/1eHaY18a8A9IcSdp1K8H6x8fbOy06t2VsZHhMHf-1x7Y/edit?usp=sharing"",""แผน!FH68"")"),30)</f>
        <v>30</v>
      </c>
      <c r="J130" s="294">
        <v>0</v>
      </c>
      <c r="K130" s="74">
        <f t="shared" ca="1" si="86"/>
        <v>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96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IFERROR(__xludf.DUMMYFUNCTION("IMPORTRANGE(""https://docs.google.com/spreadsheets/d/1eHaY18a8A9IcSdp1K8H6x8fbOy06t2VsZHhMHf-1x7Y/edit?usp=sharing"",""แผน!FI68"")"),0)</f>
        <v>0</v>
      </c>
      <c r="J131" s="294">
        <v>0</v>
      </c>
      <c r="K131" s="74">
        <f t="shared" ca="1" si="86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311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311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hidden="1" x14ac:dyDescent="0.3">
      <c r="A135" s="1099" t="s">
        <v>58</v>
      </c>
      <c r="B135" s="691"/>
      <c r="C135" s="692"/>
      <c r="D135" s="691"/>
      <c r="E135" s="691"/>
      <c r="F135" s="691"/>
      <c r="G135" s="691"/>
      <c r="H135" s="691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hidden="1" x14ac:dyDescent="0.3">
      <c r="A136" s="250"/>
      <c r="B136" s="251" t="s">
        <v>59</v>
      </c>
      <c r="C136" s="304"/>
      <c r="D136" s="253"/>
      <c r="E136" s="252"/>
      <c r="F136" s="252"/>
      <c r="G136" s="252"/>
      <c r="H136" s="252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hidden="1" x14ac:dyDescent="0.3">
      <c r="A137" s="250"/>
      <c r="B137" s="252"/>
      <c r="C137" s="1112" t="s">
        <v>60</v>
      </c>
      <c r="D137" s="253"/>
      <c r="E137" s="252"/>
      <c r="F137" s="252"/>
      <c r="G137" s="254"/>
      <c r="H137" s="1296" t="s">
        <v>61</v>
      </c>
      <c r="I137" s="256">
        <f t="shared" ref="I137:J137" ca="1" si="87">I155</f>
        <v>0</v>
      </c>
      <c r="J137" s="256">
        <f t="shared" si="87"/>
        <v>0</v>
      </c>
      <c r="K137" s="59">
        <f t="shared" ref="K137:K139" ca="1" si="88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hidden="1" x14ac:dyDescent="0.3">
      <c r="A138" s="250"/>
      <c r="B138" s="252"/>
      <c r="C138" s="1112" t="s">
        <v>62</v>
      </c>
      <c r="D138" s="253"/>
      <c r="E138" s="252"/>
      <c r="F138" s="252"/>
      <c r="G138" s="254"/>
      <c r="H138" s="1296" t="s">
        <v>35</v>
      </c>
      <c r="I138" s="256">
        <f t="shared" ref="I138:J139" ca="1" si="89">I153</f>
        <v>0</v>
      </c>
      <c r="J138" s="256">
        <f t="shared" si="89"/>
        <v>0</v>
      </c>
      <c r="K138" s="59">
        <f t="shared" ca="1" si="88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hidden="1" x14ac:dyDescent="0.3">
      <c r="A139" s="250"/>
      <c r="B139" s="252"/>
      <c r="C139" s="304"/>
      <c r="D139" s="253"/>
      <c r="E139" s="252"/>
      <c r="F139" s="252"/>
      <c r="G139" s="254"/>
      <c r="H139" s="1296" t="s">
        <v>54</v>
      </c>
      <c r="I139" s="256">
        <f t="shared" ca="1" si="89"/>
        <v>0</v>
      </c>
      <c r="J139" s="256">
        <f t="shared" si="89"/>
        <v>0</v>
      </c>
      <c r="K139" s="59">
        <f t="shared" ca="1" si="88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hidden="1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1257">
        <f t="shared" ref="L140:N140" ca="1" si="90">L141+L142</f>
        <v>0</v>
      </c>
      <c r="M140" s="264">
        <f t="shared" ca="1" si="90"/>
        <v>0</v>
      </c>
      <c r="N140" s="264">
        <f t="shared" ca="1" si="90"/>
        <v>0</v>
      </c>
      <c r="O140" s="264">
        <f t="shared" ref="O140:O148" ca="1" si="91">IF(L140&gt;0,N140*100/L140,0)</f>
        <v>0</v>
      </c>
      <c r="P140" s="264">
        <f t="shared" ref="P140:P148" ca="1" si="92">IF(M140&gt;0,N140*100/M140,0)</f>
        <v>0</v>
      </c>
      <c r="Q140" s="264">
        <f t="shared" ref="Q140:S140" ca="1" si="93">Q141+Q142</f>
        <v>0</v>
      </c>
      <c r="R140" s="264">
        <f t="shared" ca="1" si="93"/>
        <v>0</v>
      </c>
      <c r="S140" s="264">
        <f t="shared" ca="1" si="93"/>
        <v>0</v>
      </c>
      <c r="T140" s="264">
        <f t="shared" ref="T140:T148" ca="1" si="94">IF(Q140&gt;0,S140*100/Q140,0)</f>
        <v>0</v>
      </c>
      <c r="U140" s="264">
        <f t="shared" ref="U140:U148" ca="1" si="95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6">
        <f t="shared" ref="L141:N142" si="96">L144+L147</f>
        <v>0</v>
      </c>
      <c r="M141" s="77">
        <f t="shared" si="96"/>
        <v>0</v>
      </c>
      <c r="N141" s="77">
        <f t="shared" si="96"/>
        <v>0</v>
      </c>
      <c r="O141" s="77">
        <f t="shared" si="91"/>
        <v>0</v>
      </c>
      <c r="P141" s="77">
        <f t="shared" si="92"/>
        <v>0</v>
      </c>
      <c r="Q141" s="77">
        <f t="shared" ref="Q141:S142" si="97">Q144+Q147</f>
        <v>0</v>
      </c>
      <c r="R141" s="77">
        <f t="shared" si="97"/>
        <v>0</v>
      </c>
      <c r="S141" s="77">
        <f t="shared" si="97"/>
        <v>0</v>
      </c>
      <c r="T141" s="77">
        <f t="shared" si="94"/>
        <v>0</v>
      </c>
      <c r="U141" s="77">
        <f t="shared" si="95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3">
        <f t="shared" ca="1" si="96"/>
        <v>0</v>
      </c>
      <c r="M142" s="74">
        <f t="shared" ca="1" si="96"/>
        <v>0</v>
      </c>
      <c r="N142" s="74">
        <f t="shared" ca="1" si="96"/>
        <v>0</v>
      </c>
      <c r="O142" s="74">
        <f t="shared" ca="1" si="91"/>
        <v>0</v>
      </c>
      <c r="P142" s="74">
        <f t="shared" ca="1" si="92"/>
        <v>0</v>
      </c>
      <c r="Q142" s="74">
        <f t="shared" ca="1" si="97"/>
        <v>0</v>
      </c>
      <c r="R142" s="74">
        <f t="shared" ca="1" si="97"/>
        <v>0</v>
      </c>
      <c r="S142" s="74">
        <f t="shared" ca="1" si="97"/>
        <v>0</v>
      </c>
      <c r="T142" s="74">
        <f t="shared" ca="1" si="94"/>
        <v>0</v>
      </c>
      <c r="U142" s="74">
        <f t="shared" ca="1" si="95"/>
        <v>0</v>
      </c>
    </row>
    <row r="143" spans="1:21" ht="18.75" hidden="1" x14ac:dyDescent="0.25">
      <c r="A143" s="257"/>
      <c r="B143" s="258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3">
        <f t="shared" ref="L143:N143" ca="1" si="98">L144+L145</f>
        <v>0</v>
      </c>
      <c r="M143" s="74">
        <f t="shared" ca="1" si="98"/>
        <v>0</v>
      </c>
      <c r="N143" s="74">
        <f t="shared" ca="1" si="98"/>
        <v>0</v>
      </c>
      <c r="O143" s="74">
        <f t="shared" ca="1" si="91"/>
        <v>0</v>
      </c>
      <c r="P143" s="74">
        <f t="shared" ca="1" si="92"/>
        <v>0</v>
      </c>
      <c r="Q143" s="74">
        <f t="shared" ref="Q143:S143" ca="1" si="99">Q144+Q145</f>
        <v>0</v>
      </c>
      <c r="R143" s="74">
        <f t="shared" ca="1" si="99"/>
        <v>0</v>
      </c>
      <c r="S143" s="74">
        <f t="shared" ca="1" si="99"/>
        <v>0</v>
      </c>
      <c r="T143" s="74">
        <f t="shared" ca="1" si="94"/>
        <v>0</v>
      </c>
      <c r="U143" s="74">
        <f t="shared" ca="1" si="95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77">
        <f t="shared" si="91"/>
        <v>0</v>
      </c>
      <c r="P144" s="77">
        <f t="shared" si="92"/>
        <v>0</v>
      </c>
      <c r="Q144" s="77">
        <v>0</v>
      </c>
      <c r="R144" s="77">
        <v>0</v>
      </c>
      <c r="S144" s="77">
        <v>0</v>
      </c>
      <c r="T144" s="77">
        <f t="shared" si="94"/>
        <v>0</v>
      </c>
      <c r="U144" s="77">
        <f t="shared" si="95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3">
        <f ca="1">IFERROR(__xludf.DUMMYFUNCTION("IMPORTRANGE(""https://docs.google.com/spreadsheets/d/1-uDff_7J0KD5mKrp0Vvzr7lt3OU09vwQwhkpOPPYv2Y/edit?usp=sharing"",""งบพรบ!BQ68"")"),0)</f>
        <v>0</v>
      </c>
      <c r="M145" s="74">
        <f ca="1">IFERROR(__xludf.DUMMYFUNCTION("IMPORTRANGE(""https://docs.google.com/spreadsheets/d/1-uDff_7J0KD5mKrp0Vvzr7lt3OU09vwQwhkpOPPYv2Y/edit?usp=sharing"",""งบพรบ!BV68"")"),0)</f>
        <v>0</v>
      </c>
      <c r="N145" s="74">
        <f ca="1">IFERROR(__xludf.DUMMYFUNCTION("IMPORTRANGE(""https://docs.google.com/spreadsheets/d/1-uDff_7J0KD5mKrp0Vvzr7lt3OU09vwQwhkpOPPYv2Y/edit?usp=sharing"",""งบพรบ!BX68"")"),0)</f>
        <v>0</v>
      </c>
      <c r="O145" s="74">
        <f t="shared" ca="1" si="91"/>
        <v>0</v>
      </c>
      <c r="P145" s="74">
        <f t="shared" ca="1" si="92"/>
        <v>0</v>
      </c>
      <c r="Q145" s="74">
        <f ca="1">IFERROR(__xludf.DUMMYFUNCTION("IMPORTRANGE(""https://docs.google.com/spreadsheets/d/1ItG2mGa2ceCfYo0BwxsXqNm01IGEUdYcSSLTEv9YCik/edit?usp=sharing"",""เบิกจ่ายกองทุน!BB68"")"),0)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IFERROR(__xludf.DUMMYFUNCTION("IMPORTRANGE(""https://docs.google.com/spreadsheets/d/1ItG2mGa2ceCfYo0BwxsXqNm01IGEUdYcSSLTEv9YCik/edit?usp=sharing"",""เบิกจ่ายกองทุน!BC68"")"),0)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IFERROR(__xludf.DUMMYFUNCTION("IMPORTRANGE(""https://docs.google.com/spreadsheets/d/1ItG2mGa2ceCfYo0BwxsXqNm01IGEUdYcSSLTEv9YCik/edit?usp=sharing"",""เบิกจ่ายกองทุน!BD68"")"),0)</f>
        <v>0</v>
      </c>
      <c r="T145" s="74">
        <f t="shared" ca="1" si="94"/>
        <v>0</v>
      </c>
      <c r="U145" s="74">
        <f t="shared" ca="1" si="95"/>
        <v>0</v>
      </c>
    </row>
    <row r="146" spans="1:21" ht="18.75" hidden="1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3">
        <f t="shared" ref="L146:N146" ca="1" si="100">L147+L148</f>
        <v>0</v>
      </c>
      <c r="M146" s="74">
        <f t="shared" ca="1" si="100"/>
        <v>0</v>
      </c>
      <c r="N146" s="74">
        <f t="shared" ca="1" si="100"/>
        <v>0</v>
      </c>
      <c r="O146" s="74">
        <f t="shared" ca="1" si="91"/>
        <v>0</v>
      </c>
      <c r="P146" s="74">
        <f t="shared" ca="1" si="92"/>
        <v>0</v>
      </c>
      <c r="Q146" s="74">
        <f t="shared" ref="Q146:S146" si="101">Q147+Q148</f>
        <v>0</v>
      </c>
      <c r="R146" s="74">
        <f t="shared" si="101"/>
        <v>0</v>
      </c>
      <c r="S146" s="74">
        <f t="shared" si="101"/>
        <v>0</v>
      </c>
      <c r="T146" s="74">
        <f t="shared" si="94"/>
        <v>0</v>
      </c>
      <c r="U146" s="74">
        <f t="shared" si="95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77">
        <f t="shared" si="91"/>
        <v>0</v>
      </c>
      <c r="P147" s="77">
        <f t="shared" si="92"/>
        <v>0</v>
      </c>
      <c r="Q147" s="77">
        <v>0</v>
      </c>
      <c r="R147" s="77">
        <v>0</v>
      </c>
      <c r="S147" s="77">
        <v>0</v>
      </c>
      <c r="T147" s="77">
        <f t="shared" si="94"/>
        <v>0</v>
      </c>
      <c r="U147" s="77">
        <f t="shared" si="95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3">
        <f ca="1">IFERROR(__xludf.DUMMYFUNCTION("IMPORTRANGE(""https://docs.google.com/spreadsheets/d/1-uDff_7J0KD5mKrp0Vvzr7lt3OU09vwQwhkpOPPYv2Y/edit?usp=sharing"",""งบพรบ!BT68"")"),0)</f>
        <v>0</v>
      </c>
      <c r="M148" s="74">
        <f ca="1">IFERROR(__xludf.DUMMYFUNCTION("IMPORTRANGE(""https://docs.google.com/spreadsheets/d/1-uDff_7J0KD5mKrp0Vvzr7lt3OU09vwQwhkpOPPYv2Y/edit?usp=sharing"",""งบพรบ!BW68"")"),0)</f>
        <v>0</v>
      </c>
      <c r="N148" s="74">
        <f ca="1">IFERROR(__xludf.DUMMYFUNCTION("IMPORTRANGE(""https://docs.google.com/spreadsheets/d/1-uDff_7J0KD5mKrp0Vvzr7lt3OU09vwQwhkpOPPYv2Y/edit?usp=sharing"",""งบพรบ!BY68"")"),0)</f>
        <v>0</v>
      </c>
      <c r="O148" s="74">
        <f t="shared" ca="1" si="91"/>
        <v>0</v>
      </c>
      <c r="P148" s="74">
        <f t="shared" ca="1" si="92"/>
        <v>0</v>
      </c>
      <c r="Q148" s="74">
        <v>0</v>
      </c>
      <c r="R148" s="74">
        <v>0</v>
      </c>
      <c r="S148" s="74">
        <v>0</v>
      </c>
      <c r="T148" s="74">
        <f t="shared" si="94"/>
        <v>0</v>
      </c>
      <c r="U148" s="74">
        <f t="shared" si="95"/>
        <v>0</v>
      </c>
    </row>
    <row r="149" spans="1:21" ht="19.5" hidden="1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hidden="1" x14ac:dyDescent="0.25">
      <c r="A150" s="257"/>
      <c r="B150" s="258"/>
      <c r="C150" s="258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hidden="1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IFERROR(__xludf.DUMMYFUNCTION("IMPORTRANGE(""https://docs.google.com/spreadsheets/d/1eHaY18a8A9IcSdp1K8H6x8fbOy06t2VsZHhMHf-1x7Y/edit?usp=sharing"",""แผน!U68"")"),0)</f>
        <v>0</v>
      </c>
      <c r="J151" s="294">
        <v>0</v>
      </c>
      <c r="K151" s="74">
        <f t="shared" ref="K151:K155" ca="1" si="102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hidden="1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IFERROR(__xludf.DUMMYFUNCTION("IMPORTRANGE(""https://docs.google.com/spreadsheets/d/1eHaY18a8A9IcSdp1K8H6x8fbOy06t2VsZHhMHf-1x7Y/edit?usp=sharing"",""แผน!V68"")"),0)</f>
        <v>0</v>
      </c>
      <c r="J152" s="294">
        <v>0</v>
      </c>
      <c r="K152" s="74">
        <f t="shared" ca="1" si="102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hidden="1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IFERROR(__xludf.DUMMYFUNCTION("IMPORTRANGE(""https://docs.google.com/spreadsheets/d/1eHaY18a8A9IcSdp1K8H6x8fbOy06t2VsZHhMHf-1x7Y/edit?usp=sharing"",""แผน!W68"")"),0)</f>
        <v>0</v>
      </c>
      <c r="J153" s="294">
        <v>0</v>
      </c>
      <c r="K153" s="74">
        <f t="shared" ca="1" si="102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hidden="1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IFERROR(__xludf.DUMMYFUNCTION("IMPORTRANGE(""https://docs.google.com/spreadsheets/d/1eHaY18a8A9IcSdp1K8H6x8fbOy06t2VsZHhMHf-1x7Y/edit?usp=sharing"",""แผน!X68"")"),0)</f>
        <v>0</v>
      </c>
      <c r="J154" s="294">
        <v>0</v>
      </c>
      <c r="K154" s="74">
        <f t="shared" ca="1" si="102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hidden="1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IFERROR(__xludf.DUMMYFUNCTION("IMPORTRANGE(""https://docs.google.com/spreadsheets/d/1eHaY18a8A9IcSdp1K8H6x8fbOy06t2VsZHhMHf-1x7Y/edit?usp=sharing"",""แผน!Y68"")"),0)</f>
        <v>0</v>
      </c>
      <c r="J155" s="294">
        <v>0</v>
      </c>
      <c r="K155" s="74">
        <f t="shared" ca="1" si="102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x14ac:dyDescent="0.3">
      <c r="A156" s="1099" t="s">
        <v>67</v>
      </c>
      <c r="B156" s="691"/>
      <c r="C156" s="692"/>
      <c r="D156" s="691"/>
      <c r="E156" s="691"/>
      <c r="F156" s="691"/>
      <c r="G156" s="691"/>
      <c r="H156" s="691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3">I168</f>
        <v>10</v>
      </c>
      <c r="J157" s="256">
        <f t="shared" si="103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1257">
        <f t="shared" ref="L158:N158" ca="1" si="104">L159+L160</f>
        <v>3000</v>
      </c>
      <c r="M158" s="264">
        <f t="shared" ca="1" si="104"/>
        <v>2250</v>
      </c>
      <c r="N158" s="264">
        <f t="shared" ca="1" si="104"/>
        <v>0</v>
      </c>
      <c r="O158" s="264">
        <f t="shared" ref="O158:O166" ca="1" si="105">IF(L158&gt;0,N158*100/L158,0)</f>
        <v>0</v>
      </c>
      <c r="P158" s="264">
        <f t="shared" ref="P158:P166" ca="1" si="106">IF(M158&gt;0,N158*100/M158,0)</f>
        <v>0</v>
      </c>
      <c r="Q158" s="264">
        <f t="shared" ref="Q158:S158" ca="1" si="107">Q159+Q160</f>
        <v>0</v>
      </c>
      <c r="R158" s="264">
        <f t="shared" ca="1" si="107"/>
        <v>0</v>
      </c>
      <c r="S158" s="264">
        <f t="shared" ca="1" si="107"/>
        <v>0</v>
      </c>
      <c r="T158" s="264">
        <f t="shared" ref="T158:T166" ca="1" si="108">IF(Q158&gt;0,S158*100/Q158,0)</f>
        <v>0</v>
      </c>
      <c r="U158" s="264">
        <f t="shared" ref="U158:U166" ca="1" si="109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6">
        <f t="shared" ref="L159:N160" si="110">L162+L165</f>
        <v>0</v>
      </c>
      <c r="M159" s="77">
        <f t="shared" si="110"/>
        <v>0</v>
      </c>
      <c r="N159" s="77">
        <f t="shared" si="110"/>
        <v>0</v>
      </c>
      <c r="O159" s="77">
        <f t="shared" si="105"/>
        <v>0</v>
      </c>
      <c r="P159" s="77">
        <f t="shared" si="106"/>
        <v>0</v>
      </c>
      <c r="Q159" s="77">
        <f t="shared" ref="Q159:S160" si="111">Q162+Q165</f>
        <v>0</v>
      </c>
      <c r="R159" s="77">
        <f t="shared" si="111"/>
        <v>0</v>
      </c>
      <c r="S159" s="77">
        <f t="shared" si="111"/>
        <v>0</v>
      </c>
      <c r="T159" s="77">
        <f t="shared" si="108"/>
        <v>0</v>
      </c>
      <c r="U159" s="77">
        <f t="shared" si="109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3">
        <f t="shared" ca="1" si="110"/>
        <v>3000</v>
      </c>
      <c r="M160" s="74">
        <f t="shared" ca="1" si="110"/>
        <v>2250</v>
      </c>
      <c r="N160" s="74">
        <f t="shared" ca="1" si="110"/>
        <v>0</v>
      </c>
      <c r="O160" s="74">
        <f t="shared" ca="1" si="105"/>
        <v>0</v>
      </c>
      <c r="P160" s="74">
        <f t="shared" ca="1" si="106"/>
        <v>0</v>
      </c>
      <c r="Q160" s="74">
        <f t="shared" ca="1" si="111"/>
        <v>0</v>
      </c>
      <c r="R160" s="74">
        <f t="shared" ca="1" si="111"/>
        <v>0</v>
      </c>
      <c r="S160" s="74">
        <f t="shared" ca="1" si="111"/>
        <v>0</v>
      </c>
      <c r="T160" s="74">
        <f t="shared" ca="1" si="108"/>
        <v>0</v>
      </c>
      <c r="U160" s="74">
        <f t="shared" ca="1" si="109"/>
        <v>0</v>
      </c>
    </row>
    <row r="161" spans="1:21" ht="18.75" x14ac:dyDescent="0.25">
      <c r="A161" s="257"/>
      <c r="B161" s="258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3">
        <f t="shared" ref="L161:N161" ca="1" si="112">L162+L163</f>
        <v>3000</v>
      </c>
      <c r="M161" s="74">
        <f t="shared" ca="1" si="112"/>
        <v>2250</v>
      </c>
      <c r="N161" s="74">
        <f t="shared" ca="1" si="112"/>
        <v>0</v>
      </c>
      <c r="O161" s="74">
        <f t="shared" ca="1" si="105"/>
        <v>0</v>
      </c>
      <c r="P161" s="74">
        <f t="shared" ca="1" si="106"/>
        <v>0</v>
      </c>
      <c r="Q161" s="74">
        <f t="shared" ref="Q161:S161" ca="1" si="113">Q162+Q163</f>
        <v>0</v>
      </c>
      <c r="R161" s="74">
        <f t="shared" ca="1" si="113"/>
        <v>0</v>
      </c>
      <c r="S161" s="74">
        <f t="shared" ca="1" si="113"/>
        <v>0</v>
      </c>
      <c r="T161" s="74">
        <f t="shared" ca="1" si="108"/>
        <v>0</v>
      </c>
      <c r="U161" s="74">
        <f t="shared" ca="1" si="109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77">
        <f t="shared" si="105"/>
        <v>0</v>
      </c>
      <c r="P162" s="77">
        <f t="shared" si="106"/>
        <v>0</v>
      </c>
      <c r="Q162" s="77">
        <v>0</v>
      </c>
      <c r="R162" s="77">
        <v>0</v>
      </c>
      <c r="S162" s="77">
        <v>0</v>
      </c>
      <c r="T162" s="77">
        <f t="shared" si="108"/>
        <v>0</v>
      </c>
      <c r="U162" s="77">
        <f t="shared" si="109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3">
        <f ca="1">IFERROR(__xludf.DUMMYFUNCTION("IMPORTRANGE(""https://docs.google.com/spreadsheets/d/1-uDff_7J0KD5mKrp0Vvzr7lt3OU09vwQwhkpOPPYv2Y/edit?usp=sharing"",""งบพรบ!CA68"")"),3000)</f>
        <v>3000</v>
      </c>
      <c r="M163" s="74">
        <f ca="1">IFERROR(__xludf.DUMMYFUNCTION("IMPORTRANGE(""https://docs.google.com/spreadsheets/d/1-uDff_7J0KD5mKrp0Vvzr7lt3OU09vwQwhkpOPPYv2Y/edit?usp=sharing"",""งบพรบ!CF68"")"),2250)</f>
        <v>2250</v>
      </c>
      <c r="N163" s="74">
        <f ca="1">IFERROR(__xludf.DUMMYFUNCTION("IMPORTRANGE(""https://docs.google.com/spreadsheets/d/1-uDff_7J0KD5mKrp0Vvzr7lt3OU09vwQwhkpOPPYv2Y/edit?usp=sharing"",""งบพรบ!CH68"")"),0)</f>
        <v>0</v>
      </c>
      <c r="O163" s="74">
        <f t="shared" ca="1" si="105"/>
        <v>0</v>
      </c>
      <c r="P163" s="74">
        <f t="shared" ca="1" si="106"/>
        <v>0</v>
      </c>
      <c r="Q163" s="74">
        <f ca="1">IFERROR(__xludf.DUMMYFUNCTION("IMPORTRANGE(""https://docs.google.com/spreadsheets/d/1ItG2mGa2ceCfYo0BwxsXqNm01IGEUdYcSSLTEv9YCik/edit?usp=sharing"",""เบิกจ่ายกองทุน!AG68"")"),0)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IFERROR(__xludf.DUMMYFUNCTION("IMPORTRANGE(""https://docs.google.com/spreadsheets/d/1ItG2mGa2ceCfYo0BwxsXqNm01IGEUdYcSSLTEv9YCik/edit?usp=sharing"",""เบิกจ่ายกองทุน!AH68"")"),0)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IFERROR(__xludf.DUMMYFUNCTION("IMPORTRANGE(""https://docs.google.com/spreadsheets/d/1ItG2mGa2ceCfYo0BwxsXqNm01IGEUdYcSSLTEv9YCik/edit?usp=sharing"",""เบิกจ่ายกองทุน!AI68"")"),0)</f>
        <v>0</v>
      </c>
      <c r="T163" s="74">
        <f t="shared" ca="1" si="108"/>
        <v>0</v>
      </c>
      <c r="U163" s="74">
        <f t="shared" ca="1" si="109"/>
        <v>0</v>
      </c>
    </row>
    <row r="164" spans="1:21" ht="18.75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3">
        <f t="shared" ref="L164:N164" ca="1" si="114">L165+L166</f>
        <v>0</v>
      </c>
      <c r="M164" s="74">
        <f t="shared" ca="1" si="114"/>
        <v>0</v>
      </c>
      <c r="N164" s="74">
        <f t="shared" ca="1" si="114"/>
        <v>0</v>
      </c>
      <c r="O164" s="74">
        <f t="shared" ca="1" si="105"/>
        <v>0</v>
      </c>
      <c r="P164" s="74">
        <f t="shared" ca="1" si="106"/>
        <v>0</v>
      </c>
      <c r="Q164" s="74">
        <f t="shared" ref="Q164:S164" si="115">Q165+Q166</f>
        <v>0</v>
      </c>
      <c r="R164" s="74">
        <f t="shared" si="115"/>
        <v>0</v>
      </c>
      <c r="S164" s="74">
        <f t="shared" si="115"/>
        <v>0</v>
      </c>
      <c r="T164" s="74">
        <f t="shared" si="108"/>
        <v>0</v>
      </c>
      <c r="U164" s="74">
        <f t="shared" si="109"/>
        <v>0</v>
      </c>
    </row>
    <row r="165" spans="1:21" ht="18.75" hidden="1" x14ac:dyDescent="0.25">
      <c r="A165" s="257"/>
      <c r="B165" s="258"/>
      <c r="C165" s="258"/>
      <c r="D165" s="258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77">
        <f t="shared" si="105"/>
        <v>0</v>
      </c>
      <c r="P165" s="77">
        <f t="shared" si="106"/>
        <v>0</v>
      </c>
      <c r="Q165" s="77">
        <v>0</v>
      </c>
      <c r="R165" s="77">
        <v>0</v>
      </c>
      <c r="S165" s="77">
        <v>0</v>
      </c>
      <c r="T165" s="77">
        <f t="shared" si="108"/>
        <v>0</v>
      </c>
      <c r="U165" s="77">
        <f t="shared" si="109"/>
        <v>0</v>
      </c>
    </row>
    <row r="166" spans="1:21" ht="18.75" hidden="1" x14ac:dyDescent="0.25">
      <c r="A166" s="257"/>
      <c r="B166" s="258"/>
      <c r="C166" s="258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3">
        <f ca="1">IFERROR(__xludf.DUMMYFUNCTION("IMPORTRANGE(""https://docs.google.com/spreadsheets/d/1-uDff_7J0KD5mKrp0Vvzr7lt3OU09vwQwhkpOPPYv2Y/edit?usp=sharing"",""งบพรบ!CD68"")"),0)</f>
        <v>0</v>
      </c>
      <c r="M166" s="74">
        <f ca="1">IFERROR(__xludf.DUMMYFUNCTION("IMPORTRANGE(""https://docs.google.com/spreadsheets/d/1-uDff_7J0KD5mKrp0Vvzr7lt3OU09vwQwhkpOPPYv2Y/edit?usp=sharing"",""งบพรบ!CG68"")"),0)</f>
        <v>0</v>
      </c>
      <c r="N166" s="74">
        <f ca="1">IFERROR(__xludf.DUMMYFUNCTION("IMPORTRANGE(""https://docs.google.com/spreadsheets/d/1-uDff_7J0KD5mKrp0Vvzr7lt3OU09vwQwhkpOPPYv2Y/edit?usp=sharing"",""งบพรบ!CI68"")"),0)</f>
        <v>0</v>
      </c>
      <c r="O166" s="74">
        <f t="shared" ca="1" si="105"/>
        <v>0</v>
      </c>
      <c r="P166" s="74">
        <f t="shared" ca="1" si="106"/>
        <v>0</v>
      </c>
      <c r="Q166" s="74">
        <v>0</v>
      </c>
      <c r="R166" s="74">
        <v>0</v>
      </c>
      <c r="S166" s="74">
        <v>0</v>
      </c>
      <c r="T166" s="74">
        <f t="shared" si="108"/>
        <v>0</v>
      </c>
      <c r="U166" s="74">
        <f t="shared" si="109"/>
        <v>0</v>
      </c>
    </row>
    <row r="167" spans="1:21" ht="19.5" x14ac:dyDescent="0.3">
      <c r="A167" s="276"/>
      <c r="B167" s="277"/>
      <c r="C167" s="259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IFERROR(__xludf.DUMMYFUNCTION("IMPORTRANGE(""https://docs.google.com/spreadsheets/d/1eHaY18a8A9IcSdp1K8H6x8fbOy06t2VsZHhMHf-1x7Y/edit?usp=sharing"",""แผน!Z68"")"),10)</f>
        <v>10</v>
      </c>
      <c r="J168" s="294">
        <v>0</v>
      </c>
      <c r="K168" s="74">
        <f t="shared" ref="K168:K170" ca="1" si="116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I168</f>
        <v>10</v>
      </c>
      <c r="J169" s="910">
        <v>0</v>
      </c>
      <c r="K169" s="77">
        <f t="shared" ca="1" si="116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I168</f>
        <v>10</v>
      </c>
      <c r="J170" s="999">
        <v>0</v>
      </c>
      <c r="K170" s="1000">
        <f t="shared" ca="1" si="116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6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302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303" t="s">
        <v>35</v>
      </c>
      <c r="I173" s="1126">
        <f t="shared" ref="I173:J173" ca="1" si="117">I184+I185</f>
        <v>7</v>
      </c>
      <c r="J173" s="1126">
        <f t="shared" si="117"/>
        <v>7</v>
      </c>
      <c r="K173" s="1127">
        <f ca="1">IF(I173&gt;0,J173*100/I173,0)</f>
        <v>100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1257">
        <f t="shared" ref="L174:N174" ca="1" si="118">L175+L176</f>
        <v>19590</v>
      </c>
      <c r="M174" s="264">
        <f t="shared" ca="1" si="118"/>
        <v>29930</v>
      </c>
      <c r="N174" s="264">
        <f t="shared" ca="1" si="118"/>
        <v>19590</v>
      </c>
      <c r="O174" s="264">
        <f t="shared" ref="O174:O182" ca="1" si="119">IF(L174&gt;0,N174*100/L174,0)</f>
        <v>100</v>
      </c>
      <c r="P174" s="264">
        <f t="shared" ref="P174:P182" ca="1" si="120">IF(M174&gt;0,N174*100/M174,0)</f>
        <v>65.452723020380887</v>
      </c>
      <c r="Q174" s="264">
        <f t="shared" ref="Q174:S174" ca="1" si="121">Q175+Q176</f>
        <v>0</v>
      </c>
      <c r="R174" s="264">
        <f t="shared" ca="1" si="121"/>
        <v>0</v>
      </c>
      <c r="S174" s="264">
        <f t="shared" ca="1" si="121"/>
        <v>0</v>
      </c>
      <c r="T174" s="264">
        <f t="shared" ref="T174:T182" ca="1" si="122">IF(Q174&gt;0,S174*100/Q174,0)</f>
        <v>0</v>
      </c>
      <c r="U174" s="264">
        <f t="shared" ref="U174:U182" ca="1" si="123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6">
        <f t="shared" ref="L175:N176" si="124">L178+L181</f>
        <v>0</v>
      </c>
      <c r="M175" s="77">
        <f t="shared" si="124"/>
        <v>0</v>
      </c>
      <c r="N175" s="77">
        <f t="shared" si="124"/>
        <v>0</v>
      </c>
      <c r="O175" s="77">
        <f t="shared" si="119"/>
        <v>0</v>
      </c>
      <c r="P175" s="77">
        <f t="shared" si="120"/>
        <v>0</v>
      </c>
      <c r="Q175" s="77">
        <f t="shared" ref="Q175:S176" si="125">Q178+Q181</f>
        <v>0</v>
      </c>
      <c r="R175" s="77">
        <f t="shared" si="125"/>
        <v>0</v>
      </c>
      <c r="S175" s="77">
        <f t="shared" si="125"/>
        <v>0</v>
      </c>
      <c r="T175" s="77">
        <f t="shared" si="122"/>
        <v>0</v>
      </c>
      <c r="U175" s="77">
        <f t="shared" si="123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3">
        <f t="shared" ca="1" si="124"/>
        <v>19590</v>
      </c>
      <c r="M176" s="74">
        <f t="shared" ca="1" si="124"/>
        <v>29930</v>
      </c>
      <c r="N176" s="74">
        <f t="shared" ca="1" si="124"/>
        <v>19590</v>
      </c>
      <c r="O176" s="74">
        <f t="shared" ca="1" si="119"/>
        <v>100</v>
      </c>
      <c r="P176" s="74">
        <f t="shared" ca="1" si="120"/>
        <v>65.452723020380887</v>
      </c>
      <c r="Q176" s="74">
        <f t="shared" ca="1" si="125"/>
        <v>0</v>
      </c>
      <c r="R176" s="74">
        <f t="shared" ca="1" si="125"/>
        <v>0</v>
      </c>
      <c r="S176" s="74">
        <f t="shared" ca="1" si="125"/>
        <v>0</v>
      </c>
      <c r="T176" s="74">
        <f t="shared" ca="1" si="122"/>
        <v>0</v>
      </c>
      <c r="U176" s="74">
        <f t="shared" ca="1" si="123"/>
        <v>0</v>
      </c>
    </row>
    <row r="177" spans="1:21" ht="18.75" x14ac:dyDescent="0.25">
      <c r="A177" s="257"/>
      <c r="B177" s="258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3">
        <f t="shared" ref="L177:N177" ca="1" si="126">L178+L179</f>
        <v>19590</v>
      </c>
      <c r="M177" s="74">
        <f t="shared" ca="1" si="126"/>
        <v>29930</v>
      </c>
      <c r="N177" s="74">
        <f t="shared" ca="1" si="126"/>
        <v>19590</v>
      </c>
      <c r="O177" s="74">
        <f t="shared" ca="1" si="119"/>
        <v>100</v>
      </c>
      <c r="P177" s="74">
        <f t="shared" ca="1" si="120"/>
        <v>65.452723020380887</v>
      </c>
      <c r="Q177" s="74">
        <f t="shared" ref="Q177:S177" ca="1" si="127">Q178+Q179</f>
        <v>0</v>
      </c>
      <c r="R177" s="74">
        <f t="shared" ca="1" si="127"/>
        <v>0</v>
      </c>
      <c r="S177" s="74">
        <f t="shared" ca="1" si="127"/>
        <v>0</v>
      </c>
      <c r="T177" s="74">
        <f t="shared" ca="1" si="122"/>
        <v>0</v>
      </c>
      <c r="U177" s="74">
        <f t="shared" ca="1" si="123"/>
        <v>0</v>
      </c>
    </row>
    <row r="178" spans="1:21" ht="18.75" hidden="1" x14ac:dyDescent="0.25">
      <c r="A178" s="257"/>
      <c r="B178" s="258"/>
      <c r="C178" s="258"/>
      <c r="D178" s="258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77">
        <f t="shared" si="119"/>
        <v>0</v>
      </c>
      <c r="P178" s="77">
        <f t="shared" si="120"/>
        <v>0</v>
      </c>
      <c r="Q178" s="77">
        <v>0</v>
      </c>
      <c r="R178" s="77">
        <v>0</v>
      </c>
      <c r="S178" s="77">
        <v>0</v>
      </c>
      <c r="T178" s="77">
        <f t="shared" si="122"/>
        <v>0</v>
      </c>
      <c r="U178" s="77">
        <f t="shared" si="123"/>
        <v>0</v>
      </c>
    </row>
    <row r="179" spans="1:21" ht="18.75" hidden="1" x14ac:dyDescent="0.25">
      <c r="A179" s="257"/>
      <c r="B179" s="258"/>
      <c r="C179" s="258"/>
      <c r="D179" s="258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3">
        <f ca="1">IFERROR(__xludf.DUMMYFUNCTION("IMPORTRANGE(""https://docs.google.com/spreadsheets/d/1-uDff_7J0KD5mKrp0Vvzr7lt3OU09vwQwhkpOPPYv2Y/edit?usp=sharing"",""งบพรบ!CK68"")"),19590)</f>
        <v>19590</v>
      </c>
      <c r="M179" s="74">
        <f ca="1">IFERROR(__xludf.DUMMYFUNCTION("IMPORTRANGE(""https://docs.google.com/spreadsheets/d/1-uDff_7J0KD5mKrp0Vvzr7lt3OU09vwQwhkpOPPYv2Y/edit?usp=sharing"",""งบพรบ!CP68"")"),29930)</f>
        <v>29930</v>
      </c>
      <c r="N179" s="74">
        <f ca="1">IFERROR(__xludf.DUMMYFUNCTION("IMPORTRANGE(""https://docs.google.com/spreadsheets/d/1-uDff_7J0KD5mKrp0Vvzr7lt3OU09vwQwhkpOPPYv2Y/edit?usp=sharing"",""งบพรบ!CR68"")"),19590)</f>
        <v>19590</v>
      </c>
      <c r="O179" s="74">
        <f t="shared" ca="1" si="119"/>
        <v>100</v>
      </c>
      <c r="P179" s="74">
        <f t="shared" ca="1" si="120"/>
        <v>65.452723020380887</v>
      </c>
      <c r="Q179" s="74">
        <f ca="1">IFERROR(__xludf.DUMMYFUNCTION("IMPORTRANGE(""https://docs.google.com/spreadsheets/d/1ItG2mGa2ceCfYo0BwxsXqNm01IGEUdYcSSLTEv9YCik/edit?usp=sharing"",""เบิกจ่ายกองทุน!BE68"")"),0)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IFERROR(__xludf.DUMMYFUNCTION("IMPORTRANGE(""https://docs.google.com/spreadsheets/d/1ItG2mGa2ceCfYo0BwxsXqNm01IGEUdYcSSLTEv9YCik/edit?usp=sharing"",""เบิกจ่ายกองทุน!BF68"")"),0)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IFERROR(__xludf.DUMMYFUNCTION("IMPORTRANGE(""https://docs.google.com/spreadsheets/d/1ItG2mGa2ceCfYo0BwxsXqNm01IGEUdYcSSLTEv9YCik/edit?usp=sharing"",""เบิกจ่ายกองทุน!BG68"")"),0)</f>
        <v>0</v>
      </c>
      <c r="T179" s="74">
        <f t="shared" ca="1" si="122"/>
        <v>0</v>
      </c>
      <c r="U179" s="74">
        <f t="shared" ca="1" si="123"/>
        <v>0</v>
      </c>
    </row>
    <row r="180" spans="1:21" ht="18.75" x14ac:dyDescent="0.25">
      <c r="A180" s="257"/>
      <c r="B180" s="258"/>
      <c r="C180" s="258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3">
        <f t="shared" ref="L180:N180" ca="1" si="128">L181+L182</f>
        <v>0</v>
      </c>
      <c r="M180" s="74">
        <f t="shared" ca="1" si="128"/>
        <v>0</v>
      </c>
      <c r="N180" s="74">
        <f t="shared" ca="1" si="128"/>
        <v>0</v>
      </c>
      <c r="O180" s="74">
        <f t="shared" ca="1" si="119"/>
        <v>0</v>
      </c>
      <c r="P180" s="74">
        <f t="shared" ca="1" si="120"/>
        <v>0</v>
      </c>
      <c r="Q180" s="74">
        <f t="shared" ref="Q180:S180" si="129">Q181+Q182</f>
        <v>0</v>
      </c>
      <c r="R180" s="74">
        <f t="shared" si="129"/>
        <v>0</v>
      </c>
      <c r="S180" s="74">
        <f t="shared" si="129"/>
        <v>0</v>
      </c>
      <c r="T180" s="74">
        <f t="shared" si="122"/>
        <v>0</v>
      </c>
      <c r="U180" s="74">
        <f t="shared" si="123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77">
        <f t="shared" si="119"/>
        <v>0</v>
      </c>
      <c r="P181" s="77">
        <f t="shared" si="120"/>
        <v>0</v>
      </c>
      <c r="Q181" s="77">
        <v>0</v>
      </c>
      <c r="R181" s="77">
        <v>0</v>
      </c>
      <c r="S181" s="77">
        <v>0</v>
      </c>
      <c r="T181" s="77">
        <f t="shared" si="122"/>
        <v>0</v>
      </c>
      <c r="U181" s="77">
        <f t="shared" si="123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3">
        <f ca="1">IFERROR(__xludf.DUMMYFUNCTION("IMPORTRANGE(""https://docs.google.com/spreadsheets/d/1-uDff_7J0KD5mKrp0Vvzr7lt3OU09vwQwhkpOPPYv2Y/edit?usp=sharing"",""งบพรบ!CN68"")"),0)</f>
        <v>0</v>
      </c>
      <c r="M182" s="74">
        <f ca="1">IFERROR(__xludf.DUMMYFUNCTION("IMPORTRANGE(""https://docs.google.com/spreadsheets/d/1-uDff_7J0KD5mKrp0Vvzr7lt3OU09vwQwhkpOPPYv2Y/edit?usp=sharing"",""งบพรบ!CQ68"")"),0)</f>
        <v>0</v>
      </c>
      <c r="N182" s="74">
        <f ca="1">IFERROR(__xludf.DUMMYFUNCTION("IMPORTRANGE(""https://docs.google.com/spreadsheets/d/1-uDff_7J0KD5mKrp0Vvzr7lt3OU09vwQwhkpOPPYv2Y/edit?usp=sharing"",""งบพรบ!CS68"")"),0)</f>
        <v>0</v>
      </c>
      <c r="O182" s="74">
        <f t="shared" ca="1" si="119"/>
        <v>0</v>
      </c>
      <c r="P182" s="74">
        <f t="shared" ca="1" si="120"/>
        <v>0</v>
      </c>
      <c r="Q182" s="74">
        <v>0</v>
      </c>
      <c r="R182" s="74">
        <v>0</v>
      </c>
      <c r="S182" s="74">
        <v>0</v>
      </c>
      <c r="T182" s="74">
        <f t="shared" si="122"/>
        <v>0</v>
      </c>
      <c r="U182" s="74">
        <f t="shared" si="123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551" t="s">
        <v>35</v>
      </c>
      <c r="I184" s="293">
        <f ca="1">IFERROR(__xludf.DUMMYFUNCTION("IMPORTRANGE(""https://docs.google.com/spreadsheets/d/1eHaY18a8A9IcSdp1K8H6x8fbOy06t2VsZHhMHf-1x7Y/edit?usp=sharing"",""แผน!AA68"")"),7)</f>
        <v>7</v>
      </c>
      <c r="J184" s="294">
        <v>7</v>
      </c>
      <c r="K184" s="74">
        <f t="shared" ref="K184:K186" ca="1" si="130">IF(I184&gt;0,J184*100/I184,0)</f>
        <v>100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921" t="s">
        <v>35</v>
      </c>
      <c r="I185" s="592">
        <v>0</v>
      </c>
      <c r="J185" s="592">
        <v>0</v>
      </c>
      <c r="K185" s="77">
        <f t="shared" si="130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303" t="s">
        <v>35</v>
      </c>
      <c r="I186" s="1126">
        <f t="shared" ref="I186:J186" ca="1" si="131">I231+I232</f>
        <v>0</v>
      </c>
      <c r="J186" s="1126">
        <f t="shared" si="131"/>
        <v>0</v>
      </c>
      <c r="K186" s="1127">
        <f t="shared" ca="1" si="130"/>
        <v>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1257">
        <f t="shared" ref="L187:N187" ca="1" si="132">L188+L189</f>
        <v>49500</v>
      </c>
      <c r="M187" s="264">
        <f t="shared" ca="1" si="132"/>
        <v>36860</v>
      </c>
      <c r="N187" s="264">
        <f t="shared" ca="1" si="132"/>
        <v>3360</v>
      </c>
      <c r="O187" s="264">
        <f t="shared" ref="O187:O195" ca="1" si="133">IF(L187&gt;0,N187*100/L187,0)</f>
        <v>6.7878787878787881</v>
      </c>
      <c r="P187" s="264">
        <f t="shared" ref="P187:P195" ca="1" si="134">IF(M187&gt;0,N187*100/M187,0)</f>
        <v>9.1155724362452517</v>
      </c>
      <c r="Q187" s="264">
        <f t="shared" ref="Q187:S187" ca="1" si="135">Q188+Q189</f>
        <v>56000</v>
      </c>
      <c r="R187" s="264">
        <f t="shared" ca="1" si="135"/>
        <v>56000</v>
      </c>
      <c r="S187" s="264">
        <f t="shared" ca="1" si="135"/>
        <v>0</v>
      </c>
      <c r="T187" s="264">
        <f t="shared" ref="T187:T195" ca="1" si="136">IF(Q187&gt;0,S187*100/Q187,0)</f>
        <v>0</v>
      </c>
      <c r="U187" s="264">
        <f t="shared" ref="U187:U195" ca="1" si="137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6">
        <f t="shared" ref="L188:N189" si="138">L191+L194</f>
        <v>0</v>
      </c>
      <c r="M188" s="77">
        <f t="shared" si="138"/>
        <v>0</v>
      </c>
      <c r="N188" s="77">
        <f t="shared" si="138"/>
        <v>0</v>
      </c>
      <c r="O188" s="77">
        <f t="shared" si="133"/>
        <v>0</v>
      </c>
      <c r="P188" s="77">
        <f t="shared" si="134"/>
        <v>0</v>
      </c>
      <c r="Q188" s="77">
        <f t="shared" ref="Q188:S189" si="139">Q191+Q194</f>
        <v>0</v>
      </c>
      <c r="R188" s="77">
        <f t="shared" si="139"/>
        <v>0</v>
      </c>
      <c r="S188" s="77">
        <f t="shared" si="139"/>
        <v>0</v>
      </c>
      <c r="T188" s="77">
        <f t="shared" si="136"/>
        <v>0</v>
      </c>
      <c r="U188" s="77">
        <f t="shared" si="137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3">
        <f t="shared" ca="1" si="138"/>
        <v>49500</v>
      </c>
      <c r="M189" s="74">
        <f t="shared" ca="1" si="138"/>
        <v>36860</v>
      </c>
      <c r="N189" s="74">
        <f t="shared" ca="1" si="138"/>
        <v>3360</v>
      </c>
      <c r="O189" s="74">
        <f t="shared" ca="1" si="133"/>
        <v>6.7878787878787881</v>
      </c>
      <c r="P189" s="74">
        <f t="shared" ca="1" si="134"/>
        <v>9.1155724362452517</v>
      </c>
      <c r="Q189" s="74">
        <f t="shared" ca="1" si="139"/>
        <v>56000</v>
      </c>
      <c r="R189" s="74">
        <f t="shared" ca="1" si="139"/>
        <v>56000</v>
      </c>
      <c r="S189" s="74">
        <f t="shared" ca="1" si="139"/>
        <v>0</v>
      </c>
      <c r="T189" s="74">
        <f t="shared" ca="1" si="136"/>
        <v>0</v>
      </c>
      <c r="U189" s="74">
        <f t="shared" ca="1" si="137"/>
        <v>0</v>
      </c>
    </row>
    <row r="190" spans="1:21" ht="18.75" x14ac:dyDescent="0.25">
      <c r="A190" s="257"/>
      <c r="B190" s="258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3">
        <f t="shared" ref="L190:N190" ca="1" si="140">L191+L192</f>
        <v>49500</v>
      </c>
      <c r="M190" s="74">
        <f t="shared" ca="1" si="140"/>
        <v>36860</v>
      </c>
      <c r="N190" s="74">
        <f t="shared" ca="1" si="140"/>
        <v>3360</v>
      </c>
      <c r="O190" s="74">
        <f t="shared" ca="1" si="133"/>
        <v>6.7878787878787881</v>
      </c>
      <c r="P190" s="74">
        <f t="shared" ca="1" si="134"/>
        <v>9.1155724362452517</v>
      </c>
      <c r="Q190" s="74">
        <f t="shared" ref="Q190:S190" ca="1" si="141">Q191+Q192</f>
        <v>56000</v>
      </c>
      <c r="R190" s="74">
        <f t="shared" ca="1" si="141"/>
        <v>56000</v>
      </c>
      <c r="S190" s="74">
        <f t="shared" ca="1" si="141"/>
        <v>0</v>
      </c>
      <c r="T190" s="74">
        <f t="shared" ca="1" si="136"/>
        <v>0</v>
      </c>
      <c r="U190" s="74">
        <f t="shared" ca="1" si="137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77">
        <f t="shared" si="133"/>
        <v>0</v>
      </c>
      <c r="P191" s="77">
        <f t="shared" si="134"/>
        <v>0</v>
      </c>
      <c r="Q191" s="77">
        <v>0</v>
      </c>
      <c r="R191" s="77">
        <v>0</v>
      </c>
      <c r="S191" s="77">
        <v>0</v>
      </c>
      <c r="T191" s="77">
        <f t="shared" si="136"/>
        <v>0</v>
      </c>
      <c r="U191" s="77">
        <f t="shared" si="137"/>
        <v>0</v>
      </c>
    </row>
    <row r="192" spans="1:21" ht="18.75" hidden="1" x14ac:dyDescent="0.25">
      <c r="A192" s="257"/>
      <c r="B192" s="258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3">
        <f ca="1">IFERROR(__xludf.DUMMYFUNCTION("IMPORTRANGE(""https://docs.google.com/spreadsheets/d/1-uDff_7J0KD5mKrp0Vvzr7lt3OU09vwQwhkpOPPYv2Y/edit?usp=sharing"",""งบพรบ!CU68"")"),49500)</f>
        <v>49500</v>
      </c>
      <c r="M192" s="74">
        <f ca="1">IFERROR(__xludf.DUMMYFUNCTION("IMPORTRANGE(""https://docs.google.com/spreadsheets/d/1-uDff_7J0KD5mKrp0Vvzr7lt3OU09vwQwhkpOPPYv2Y/edit?usp=sharing"",""งบพรบ!CZ68"")"),36860)</f>
        <v>36860</v>
      </c>
      <c r="N192" s="74">
        <f ca="1">IFERROR(__xludf.DUMMYFUNCTION("IMPORTRANGE(""https://docs.google.com/spreadsheets/d/1-uDff_7J0KD5mKrp0Vvzr7lt3OU09vwQwhkpOPPYv2Y/edit?usp=sharing"",""งบพรบ!DB68"")"),3360)</f>
        <v>3360</v>
      </c>
      <c r="O192" s="74">
        <f t="shared" ca="1" si="133"/>
        <v>6.7878787878787881</v>
      </c>
      <c r="P192" s="74">
        <f t="shared" ca="1" si="134"/>
        <v>9.1155724362452517</v>
      </c>
      <c r="Q192" s="74">
        <f ca="1">IFERROR(__xludf.DUMMYFUNCTION("IMPORTRANGE(""https://docs.google.com/spreadsheets/d/1ItG2mGa2ceCfYo0BwxsXqNm01IGEUdYcSSLTEv9YCik/edit?usp=sharing"",""เบิกจ่ายกองทุน!AV68"")"),56000)</f>
        <v>56000</v>
      </c>
      <c r="R192" s="74">
        <f ca="1">IFERROR(__xludf.DUMMYFUNCTION("IMPORTRANGE(""https://docs.google.com/spreadsheets/d/1ItG2mGa2ceCfYo0BwxsXqNm01IGEUdYcSSLTEv9YCik/edit?usp=sharing"",""เบิกจ่ายกองทุน!AW68"")"),56000)</f>
        <v>56000</v>
      </c>
      <c r="S192" s="74">
        <f ca="1">IFERROR(__xludf.DUMMYFUNCTION("IMPORTRANGE(""https://docs.google.com/spreadsheets/d/1ItG2mGa2ceCfYo0BwxsXqNm01IGEUdYcSSLTEv9YCik/edit?usp=sharing"",""เบิกจ่ายกองทุน!AX68"")"),0)</f>
        <v>0</v>
      </c>
      <c r="T192" s="74">
        <f t="shared" ca="1" si="136"/>
        <v>0</v>
      </c>
      <c r="U192" s="74">
        <f t="shared" ca="1" si="137"/>
        <v>0</v>
      </c>
    </row>
    <row r="193" spans="1:21" ht="18.75" x14ac:dyDescent="0.25">
      <c r="A193" s="257"/>
      <c r="B193" s="258"/>
      <c r="C193" s="258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3">
        <f t="shared" ref="L193:N193" ca="1" si="142">L194+L195</f>
        <v>0</v>
      </c>
      <c r="M193" s="74">
        <f t="shared" ca="1" si="142"/>
        <v>0</v>
      </c>
      <c r="N193" s="74">
        <f t="shared" ca="1" si="142"/>
        <v>0</v>
      </c>
      <c r="O193" s="74">
        <f t="shared" ca="1" si="133"/>
        <v>0</v>
      </c>
      <c r="P193" s="74">
        <f t="shared" ca="1" si="134"/>
        <v>0</v>
      </c>
      <c r="Q193" s="74">
        <f t="shared" ref="Q193:S193" si="143">Q194+Q195</f>
        <v>0</v>
      </c>
      <c r="R193" s="74">
        <f t="shared" si="143"/>
        <v>0</v>
      </c>
      <c r="S193" s="74">
        <f t="shared" si="143"/>
        <v>0</v>
      </c>
      <c r="T193" s="74">
        <f t="shared" si="136"/>
        <v>0</v>
      </c>
      <c r="U193" s="74">
        <f t="shared" si="137"/>
        <v>0</v>
      </c>
    </row>
    <row r="194" spans="1:21" ht="18.75" hidden="1" x14ac:dyDescent="0.25">
      <c r="A194" s="257"/>
      <c r="B194" s="258"/>
      <c r="C194" s="258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77">
        <f t="shared" si="133"/>
        <v>0</v>
      </c>
      <c r="P194" s="77">
        <f t="shared" si="134"/>
        <v>0</v>
      </c>
      <c r="Q194" s="77">
        <v>0</v>
      </c>
      <c r="R194" s="77">
        <v>0</v>
      </c>
      <c r="S194" s="77">
        <v>0</v>
      </c>
      <c r="T194" s="77">
        <f t="shared" si="136"/>
        <v>0</v>
      </c>
      <c r="U194" s="77">
        <f t="shared" si="137"/>
        <v>0</v>
      </c>
    </row>
    <row r="195" spans="1:21" ht="18.75" hidden="1" x14ac:dyDescent="0.25">
      <c r="A195" s="257"/>
      <c r="B195" s="258"/>
      <c r="C195" s="258"/>
      <c r="D195" s="258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3">
        <f ca="1">IFERROR(__xludf.DUMMYFUNCTION("IMPORTRANGE(""https://docs.google.com/spreadsheets/d/1-uDff_7J0KD5mKrp0Vvzr7lt3OU09vwQwhkpOPPYv2Y/edit?usp=sharing"",""งบพรบ!CX68"")"),0)</f>
        <v>0</v>
      </c>
      <c r="M195" s="74">
        <f ca="1">IFERROR(__xludf.DUMMYFUNCTION("IMPORTRANGE(""https://docs.google.com/spreadsheets/d/1-uDff_7J0KD5mKrp0Vvzr7lt3OU09vwQwhkpOPPYv2Y/edit?usp=sharing"",""งบพรบ!DA68"")"),0)</f>
        <v>0</v>
      </c>
      <c r="N195" s="74">
        <f ca="1">IFERROR(__xludf.DUMMYFUNCTION("IMPORTRANGE(""https://docs.google.com/spreadsheets/d/1-uDff_7J0KD5mKrp0Vvzr7lt3OU09vwQwhkpOPPYv2Y/edit?usp=sharing"",""งบพรบ!DC68"")"),0)</f>
        <v>0</v>
      </c>
      <c r="O195" s="74">
        <f t="shared" ca="1" si="133"/>
        <v>0</v>
      </c>
      <c r="P195" s="74">
        <f t="shared" ca="1" si="134"/>
        <v>0</v>
      </c>
      <c r="Q195" s="74">
        <v>0</v>
      </c>
      <c r="R195" s="74">
        <v>0</v>
      </c>
      <c r="S195" s="74">
        <v>0</v>
      </c>
      <c r="T195" s="74">
        <f t="shared" si="136"/>
        <v>0</v>
      </c>
      <c r="U195" s="74">
        <f t="shared" si="137"/>
        <v>0</v>
      </c>
    </row>
    <row r="196" spans="1:21" ht="19.5" x14ac:dyDescent="0.3">
      <c r="A196" s="553"/>
      <c r="B196" s="555"/>
      <c r="C196" s="1130" t="s">
        <v>78</v>
      </c>
      <c r="D196" s="554"/>
      <c r="E196" s="554"/>
      <c r="F196" s="554"/>
      <c r="G196" s="557"/>
      <c r="H196" s="558" t="s">
        <v>79</v>
      </c>
      <c r="I196" s="559">
        <f t="shared" ref="I196:J196" ca="1" si="144">I199</f>
        <v>4</v>
      </c>
      <c r="J196" s="559">
        <f t="shared" si="144"/>
        <v>0</v>
      </c>
      <c r="K196" s="560">
        <f ca="1">IF(I196&gt;0,J196*100/I196,0)</f>
        <v>0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58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1257">
        <f ca="1">IFERROR(__xludf.DUMMYFUNCTION("IMPORTRANGE(""https://docs.google.com/spreadsheets/d/1eHaY18a8A9IcSdp1K8H6x8fbOy06t2VsZHhMHf-1x7Y/edit?usp=sharing"",""แผน!AB68"")"),6000)</f>
        <v>6000</v>
      </c>
      <c r="M197" s="87"/>
      <c r="N197" s="923">
        <v>0</v>
      </c>
      <c r="O197" s="264">
        <f ca="1">IF(L197&gt;0,N197*100/L197,0)</f>
        <v>0</v>
      </c>
      <c r="P197" s="264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282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99" t="s">
        <v>79</v>
      </c>
      <c r="I199" s="293">
        <f ca="1">IFERROR(__xludf.DUMMYFUNCTION("IMPORTRANGE(""https://docs.google.com/spreadsheets/d/1eHaY18a8A9IcSdp1K8H6x8fbOy06t2VsZHhMHf-1x7Y/edit?usp=sharing"",""แผน!AE68"")"),4)</f>
        <v>4</v>
      </c>
      <c r="J199" s="294">
        <v>0</v>
      </c>
      <c r="K199" s="74">
        <f ca="1">IF(I199&gt;0,J199*100/I199,0)</f>
        <v>0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0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0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5">I210</f>
        <v>2</v>
      </c>
      <c r="J203" s="559">
        <f t="shared" si="145"/>
        <v>0</v>
      </c>
      <c r="K203" s="560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58"/>
      <c r="C204" s="259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1257">
        <f ca="1">L205+L206+L207+L208</f>
        <v>31000</v>
      </c>
      <c r="M204" s="87"/>
      <c r="N204" s="264">
        <f>N205+N206+N207+N208</f>
        <v>0</v>
      </c>
      <c r="O204" s="264">
        <f ca="1">IF(L204&gt;0,N204*100/L204,0)</f>
        <v>0</v>
      </c>
      <c r="P204" s="264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58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73">
        <f ca="1">IFERROR(__xludf.DUMMYFUNCTION("IMPORTRANGE(""https://docs.google.com/spreadsheets/d/1eHaY18a8A9IcSdp1K8H6x8fbOy06t2VsZHhMHf-1x7Y/edit?usp=sharing"",""แผน!AG68"")"),2000)</f>
        <v>2000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58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73">
        <f ca="1">IFERROR(__xludf.DUMMYFUNCTION("IMPORTRANGE(""https://docs.google.com/spreadsheets/d/1eHaY18a8A9IcSdp1K8H6x8fbOy06t2VsZHhMHf-1x7Y/edit?usp=sharing"",""แผน!AH68"")"),0)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58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73">
        <f ca="1">IFERROR(__xludf.DUMMYFUNCTION("IMPORTRANGE(""https://docs.google.com/spreadsheets/d/1eHaY18a8A9IcSdp1K8H6x8fbOy06t2VsZHhMHf-1x7Y/edit?usp=sharing"",""แผน!AI68"")"),16000)</f>
        <v>16000</v>
      </c>
      <c r="M207" s="87"/>
      <c r="N207" s="924">
        <v>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58"/>
      <c r="D208" s="267" t="s">
        <v>89</v>
      </c>
      <c r="E208" s="258"/>
      <c r="F208" s="258"/>
      <c r="G208" s="261"/>
      <c r="H208" s="292" t="s">
        <v>14</v>
      </c>
      <c r="I208" s="263"/>
      <c r="J208" s="263"/>
      <c r="K208" s="87"/>
      <c r="L208" s="73">
        <f ca="1">IFERROR(__xludf.DUMMYFUNCTION("IMPORTRANGE(""https://docs.google.com/spreadsheets/d/1eHaY18a8A9IcSdp1K8H6x8fbOy06t2VsZHhMHf-1x7Y/edit?usp=sharing"",""แผน!AJ68"")"),13000)</f>
        <v>13000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282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3" t="s">
        <v>85</v>
      </c>
      <c r="I210" s="293">
        <f ca="1">IFERROR(__xludf.DUMMYFUNCTION("IMPORTRANGE(""https://docs.google.com/spreadsheets/d/1eHaY18a8A9IcSdp1K8H6x8fbOy06t2VsZHhMHf-1x7Y/edit?usp=sharing"",""แผน!AK68"")"),2)</f>
        <v>2</v>
      </c>
      <c r="J210" s="294">
        <v>0</v>
      </c>
      <c r="K210" s="768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282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3" t="s">
        <v>85</v>
      </c>
      <c r="I212" s="293">
        <f ca="1">IFERROR(__xludf.DUMMYFUNCTION("IMPORTRANGE(""https://docs.google.com/spreadsheets/d/1eHaY18a8A9IcSdp1K8H6x8fbOy06t2VsZHhMHf-1x7Y/edit?usp=sharing"",""แผน!JX68"")"),2)</f>
        <v>2</v>
      </c>
      <c r="J212" s="294">
        <v>0</v>
      </c>
      <c r="K212" s="768">
        <f t="shared" ref="K212:K214" ca="1" si="146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IFERROR(__xludf.DUMMYFUNCTION("IMPORTRANGE(""https://docs.google.com/spreadsheets/d/1eHaY18a8A9IcSdp1K8H6x8fbOy06t2VsZHhMHf-1x7Y/edit?usp=sharing"",""แผน!JY68"")"),1)</f>
        <v>1</v>
      </c>
      <c r="J213" s="294">
        <v>0</v>
      </c>
      <c r="K213" s="768">
        <f t="shared" ca="1" si="146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hidden="1" x14ac:dyDescent="0.3">
      <c r="A214" s="553"/>
      <c r="B214" s="555"/>
      <c r="C214" s="1130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7">I221</f>
        <v>0</v>
      </c>
      <c r="J214" s="559">
        <f t="shared" si="147"/>
        <v>0</v>
      </c>
      <c r="K214" s="560">
        <f t="shared" ca="1" si="146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hidden="1" x14ac:dyDescent="0.3">
      <c r="A215" s="257"/>
      <c r="B215" s="258"/>
      <c r="C215" s="259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1257">
        <f ca="1">L216+L217+L218</f>
        <v>0</v>
      </c>
      <c r="M215" s="87"/>
      <c r="N215" s="264">
        <f>N216+N217+N218</f>
        <v>0</v>
      </c>
      <c r="O215" s="264">
        <f ca="1">IF(L215&gt;0,N215*100/L215,0)</f>
        <v>0</v>
      </c>
      <c r="P215" s="264">
        <f>IF(M215&gt;0,N215*100/M215,0)</f>
        <v>0</v>
      </c>
      <c r="Q215" s="87"/>
      <c r="R215" s="87"/>
      <c r="S215" s="87"/>
      <c r="T215" s="87"/>
      <c r="U215" s="87"/>
    </row>
    <row r="216" spans="1:21" ht="18.75" hidden="1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3">
        <f ca="1">IFERROR(__xludf.DUMMYFUNCTION("IMPORTRANGE(""https://docs.google.com/spreadsheets/d/1eHaY18a8A9IcSdp1K8H6x8fbOy06t2VsZHhMHf-1x7Y/edit?usp=sharing"",""แผน!AM68"")"),0)</f>
        <v>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hidden="1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3">
        <f ca="1">IFERROR(__xludf.DUMMYFUNCTION("IMPORTRANGE(""https://docs.google.com/spreadsheets/d/1eHaY18a8A9IcSdp1K8H6x8fbOy06t2VsZHhMHf-1x7Y/edit?usp=sharing"",""แผน!AN68"")"),0)</f>
        <v>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hidden="1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3">
        <f ca="1">IFERROR(__xludf.DUMMYFUNCTION("IMPORTRANGE(""https://docs.google.com/spreadsheets/d/1eHaY18a8A9IcSdp1K8H6x8fbOy06t2VsZHhMHf-1x7Y/edit?usp=sharing"",""แผน!AO68"")"),0)</f>
        <v>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hidden="1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282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hidden="1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3" t="s">
        <v>85</v>
      </c>
      <c r="I220" s="293">
        <f ca="1">IFERROR(__xludf.DUMMYFUNCTION("IMPORTRANGE(""https://docs.google.com/spreadsheets/d/1eHaY18a8A9IcSdp1K8H6x8fbOy06t2VsZHhMHf-1x7Y/edit?usp=sharing"",""แผน!AP68"")"),0)</f>
        <v>0</v>
      </c>
      <c r="J220" s="294">
        <v>0</v>
      </c>
      <c r="K220" s="74">
        <f t="shared" ref="K220:K222" ca="1" si="148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hidden="1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IFERROR(__xludf.DUMMYFUNCTION("IMPORTRANGE(""https://docs.google.com/spreadsheets/d/1eHaY18a8A9IcSdp1K8H6x8fbOy06t2VsZHhMHf-1x7Y/edit?usp=sharing"",""แผน!AP68"")"),0)</f>
        <v>0</v>
      </c>
      <c r="J221" s="294">
        <v>0</v>
      </c>
      <c r="K221" s="74">
        <f t="shared" ca="1" si="148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30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9">I230</f>
        <v>100000</v>
      </c>
      <c r="J222" s="559">
        <f t="shared" si="149"/>
        <v>0</v>
      </c>
      <c r="K222" s="560">
        <f t="shared" ca="1" si="148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58"/>
      <c r="C223" s="259" t="s">
        <v>18</v>
      </c>
      <c r="D223" s="112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1257">
        <f ca="1">L224+L225+L226</f>
        <v>12500</v>
      </c>
      <c r="M223" s="87"/>
      <c r="N223" s="264">
        <f>N224+N225+N226</f>
        <v>0</v>
      </c>
      <c r="O223" s="264">
        <f ca="1">IF(L223&gt;0,N223*100/L223,0)</f>
        <v>0</v>
      </c>
      <c r="P223" s="264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58"/>
      <c r="D224" s="398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3">
        <f ca="1">IFERROR(__xludf.DUMMYFUNCTION("IMPORTRANGE(""https://docs.google.com/spreadsheets/d/1eHaY18a8A9IcSdp1K8H6x8fbOy06t2VsZHhMHf-1x7Y/edit?usp=sharing"",""แผน!AR68"")"),11000)</f>
        <v>11000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3">
        <f ca="1">IFERROR(__xludf.DUMMYFUNCTION("IMPORTRANGE(""https://docs.google.com/spreadsheets/d/1eHaY18a8A9IcSdp1K8H6x8fbOy06t2VsZHhMHf-1x7Y/edit?usp=sharing"",""แผน!AS68"")"),1500)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3">
        <f ca="1">IFERROR(__xludf.DUMMYFUNCTION("IMPORTRANGE(""https://docs.google.com/spreadsheets/d/1eHaY18a8A9IcSdp1K8H6x8fbOy06t2VsZHhMHf-1x7Y/edit?usp=sharing"",""แผน!AT68"")"),0)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282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282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99" t="s">
        <v>99</v>
      </c>
      <c r="I229" s="293">
        <f ca="1">IFERROR(__xludf.DUMMYFUNCTION("IMPORTRANGE(""https://docs.google.com/spreadsheets/d/1eHaY18a8A9IcSdp1K8H6x8fbOy06t2VsZHhMHf-1x7Y/edit?usp=sharing"",""แผน!AV68"")"),100000)</f>
        <v>100000</v>
      </c>
      <c r="J229" s="294">
        <v>0</v>
      </c>
      <c r="K229" s="768">
        <f t="shared" ref="K229:K232" ca="1" si="150">IF(I229&gt;0,J229*100/I229,0)</f>
        <v>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99" t="s">
        <v>99</v>
      </c>
      <c r="I230" s="293">
        <f ca="1">IFERROR(__xludf.DUMMYFUNCTION("IMPORTRANGE(""https://docs.google.com/spreadsheets/d/1eHaY18a8A9IcSdp1K8H6x8fbOy06t2VsZHhMHf-1x7Y/edit?usp=sharing"",""แผน!AV68"")"),100000)</f>
        <v>100000</v>
      </c>
      <c r="J230" s="294">
        <v>0</v>
      </c>
      <c r="K230" s="768">
        <f t="shared" ca="1" si="150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99" t="s">
        <v>35</v>
      </c>
      <c r="I231" s="293">
        <f ca="1">IFERROR(__xludf.DUMMYFUNCTION("IMPORTRANGE(""https://docs.google.com/spreadsheets/d/1eHaY18a8A9IcSdp1K8H6x8fbOy06t2VsZHhMHf-1x7Y/edit?usp=sharing"",""แผน!AU68"")"),0)</f>
        <v>0</v>
      </c>
      <c r="J231" s="294">
        <v>0</v>
      </c>
      <c r="K231" s="768">
        <f t="shared" ca="1" si="150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553"/>
      <c r="B232" s="555"/>
      <c r="C232" s="1130" t="s">
        <v>105</v>
      </c>
      <c r="D232" s="554"/>
      <c r="E232" s="554"/>
      <c r="F232" s="554"/>
      <c r="G232" s="557"/>
      <c r="H232" s="558" t="s">
        <v>35</v>
      </c>
      <c r="I232" s="559">
        <f t="shared" ref="I232:J232" ca="1" si="151">I243+I254</f>
        <v>0</v>
      </c>
      <c r="J232" s="559">
        <f t="shared" si="151"/>
        <v>0</v>
      </c>
      <c r="K232" s="560">
        <f t="shared" ca="1" si="150"/>
        <v>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257"/>
      <c r="B233" s="258"/>
      <c r="C233" s="259" t="s">
        <v>18</v>
      </c>
      <c r="D233" s="260" t="s">
        <v>19</v>
      </c>
      <c r="E233" s="258"/>
      <c r="F233" s="258"/>
      <c r="G233" s="261"/>
      <c r="H233" s="633" t="s">
        <v>14</v>
      </c>
      <c r="I233" s="272"/>
      <c r="J233" s="272"/>
      <c r="K233" s="229"/>
      <c r="L233" s="1281">
        <f t="shared" ref="L233:L237" ca="1" si="152">L244+L255</f>
        <v>0</v>
      </c>
      <c r="M233" s="87"/>
      <c r="N233" s="1258">
        <f t="shared" ref="N233:N237" si="153">N244+N255</f>
        <v>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257"/>
      <c r="B234" s="269"/>
      <c r="C234" s="258"/>
      <c r="D234" s="267" t="s">
        <v>86</v>
      </c>
      <c r="E234" s="258"/>
      <c r="F234" s="258"/>
      <c r="G234" s="261"/>
      <c r="H234" s="271" t="s">
        <v>14</v>
      </c>
      <c r="I234" s="272"/>
      <c r="J234" s="272"/>
      <c r="K234" s="229"/>
      <c r="L234" s="76">
        <f t="shared" ca="1" si="152"/>
        <v>0</v>
      </c>
      <c r="M234" s="87"/>
      <c r="N234" s="77">
        <f t="shared" si="153"/>
        <v>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550"/>
      <c r="B235" s="269"/>
      <c r="C235" s="269"/>
      <c r="D235" s="267" t="s">
        <v>88</v>
      </c>
      <c r="E235" s="258"/>
      <c r="F235" s="258"/>
      <c r="G235" s="261"/>
      <c r="H235" s="271" t="s">
        <v>14</v>
      </c>
      <c r="I235" s="263"/>
      <c r="J235" s="263"/>
      <c r="K235" s="87"/>
      <c r="L235" s="76">
        <f t="shared" ca="1" si="152"/>
        <v>0</v>
      </c>
      <c r="M235" s="87"/>
      <c r="N235" s="77">
        <f t="shared" si="153"/>
        <v>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550"/>
      <c r="B236" s="269"/>
      <c r="C236" s="269"/>
      <c r="D236" s="267" t="s">
        <v>106</v>
      </c>
      <c r="E236" s="258"/>
      <c r="F236" s="258"/>
      <c r="G236" s="261"/>
      <c r="H236" s="271" t="s">
        <v>14</v>
      </c>
      <c r="I236" s="263"/>
      <c r="J236" s="263"/>
      <c r="K236" s="87"/>
      <c r="L236" s="76">
        <f t="shared" ca="1" si="152"/>
        <v>0</v>
      </c>
      <c r="M236" s="87"/>
      <c r="N236" s="77">
        <f t="shared" si="153"/>
        <v>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550"/>
      <c r="B237" s="269"/>
      <c r="C237" s="269"/>
      <c r="D237" s="267" t="s">
        <v>107</v>
      </c>
      <c r="E237" s="258"/>
      <c r="F237" s="258"/>
      <c r="G237" s="261"/>
      <c r="H237" s="271" t="s">
        <v>14</v>
      </c>
      <c r="I237" s="263"/>
      <c r="J237" s="263"/>
      <c r="K237" s="87"/>
      <c r="L237" s="76">
        <f t="shared" ca="1" si="152"/>
        <v>0</v>
      </c>
      <c r="M237" s="87"/>
      <c r="N237" s="77">
        <f t="shared" si="153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276"/>
      <c r="B238" s="277"/>
      <c r="C238" s="621" t="s">
        <v>18</v>
      </c>
      <c r="D238" s="1019" t="s">
        <v>38</v>
      </c>
      <c r="E238" s="280"/>
      <c r="F238" s="280"/>
      <c r="G238" s="281"/>
      <c r="H238" s="282"/>
      <c r="I238" s="272"/>
      <c r="J238" s="263"/>
      <c r="K238" s="87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276"/>
      <c r="B239" s="277"/>
      <c r="C239" s="277"/>
      <c r="D239" s="295" t="s">
        <v>108</v>
      </c>
      <c r="E239" s="296"/>
      <c r="F239" s="296"/>
      <c r="G239" s="282"/>
      <c r="H239" s="299" t="s">
        <v>35</v>
      </c>
      <c r="I239" s="293">
        <f t="shared" ref="I239:J239" ca="1" si="154">I250+I261</f>
        <v>0</v>
      </c>
      <c r="J239" s="293">
        <f t="shared" si="154"/>
        <v>0</v>
      </c>
      <c r="K239" s="74">
        <f ca="1">IF(I239&gt;0,J239*100/I239,0)</f>
        <v>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276"/>
      <c r="B240" s="277"/>
      <c r="C240" s="277"/>
      <c r="D240" s="1103" t="s">
        <v>43</v>
      </c>
      <c r="E240" s="296"/>
      <c r="F240" s="296"/>
      <c r="G240" s="282"/>
      <c r="H240" s="282"/>
      <c r="I240" s="263"/>
      <c r="J240" s="263"/>
      <c r="K240" s="87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276"/>
      <c r="B241" s="277"/>
      <c r="C241" s="277"/>
      <c r="D241" s="277"/>
      <c r="E241" s="767" t="s">
        <v>109</v>
      </c>
      <c r="F241" s="296"/>
      <c r="G241" s="282"/>
      <c r="H241" s="299" t="s">
        <v>35</v>
      </c>
      <c r="I241" s="293">
        <f t="shared" ref="I241:J242" si="155">I252+I263</f>
        <v>0</v>
      </c>
      <c r="J241" s="293">
        <f t="shared" si="155"/>
        <v>0</v>
      </c>
      <c r="K241" s="74">
        <f t="shared" ref="K241:K243" si="156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276"/>
      <c r="B242" s="277"/>
      <c r="C242" s="277"/>
      <c r="D242" s="277"/>
      <c r="E242" s="767" t="s">
        <v>110</v>
      </c>
      <c r="F242" s="296"/>
      <c r="G242" s="282"/>
      <c r="H242" s="299" t="s">
        <v>61</v>
      </c>
      <c r="I242" s="293">
        <f t="shared" si="155"/>
        <v>0</v>
      </c>
      <c r="J242" s="293">
        <f t="shared" si="155"/>
        <v>0</v>
      </c>
      <c r="K242" s="74">
        <f t="shared" si="156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hidden="1" x14ac:dyDescent="0.3">
      <c r="A243" s="553"/>
      <c r="B243" s="555"/>
      <c r="C243" s="927" t="s">
        <v>111</v>
      </c>
      <c r="D243" s="554"/>
      <c r="E243" s="554"/>
      <c r="F243" s="554"/>
      <c r="G243" s="557"/>
      <c r="H243" s="930" t="s">
        <v>35</v>
      </c>
      <c r="I243" s="931">
        <f t="shared" ref="I243:J243" ca="1" si="157">I250</f>
        <v>0</v>
      </c>
      <c r="J243" s="931">
        <f t="shared" si="157"/>
        <v>0</v>
      </c>
      <c r="K243" s="932">
        <f t="shared" ca="1" si="156"/>
        <v>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hidden="1" x14ac:dyDescent="0.3">
      <c r="A244" s="257"/>
      <c r="B244" s="258"/>
      <c r="C244" s="933" t="s">
        <v>18</v>
      </c>
      <c r="D244" s="934" t="s">
        <v>19</v>
      </c>
      <c r="E244" s="258"/>
      <c r="F244" s="258"/>
      <c r="G244" s="261"/>
      <c r="H244" s="703" t="s">
        <v>14</v>
      </c>
      <c r="I244" s="272"/>
      <c r="J244" s="272"/>
      <c r="K244" s="229"/>
      <c r="L244" s="1257">
        <f ca="1">L245+L246+L247+L248</f>
        <v>0</v>
      </c>
      <c r="M244" s="87"/>
      <c r="N244" s="264">
        <f>N245+N246+N247+N248</f>
        <v>0</v>
      </c>
      <c r="O244" s="264">
        <f ca="1">IF(L244&gt;0,N244*100/L244,0)</f>
        <v>0</v>
      </c>
      <c r="P244" s="264">
        <f>IF(M244&gt;0,N244*100/M244,0)</f>
        <v>0</v>
      </c>
      <c r="Q244" s="87"/>
      <c r="R244" s="87"/>
      <c r="S244" s="87"/>
      <c r="T244" s="87"/>
      <c r="U244" s="87"/>
    </row>
    <row r="245" spans="1:21" ht="18.75" hidden="1" x14ac:dyDescent="0.25">
      <c r="A245" s="257"/>
      <c r="B245" s="269"/>
      <c r="C245" s="258"/>
      <c r="D245" s="265" t="s">
        <v>86</v>
      </c>
      <c r="E245" s="258"/>
      <c r="F245" s="258"/>
      <c r="G245" s="261"/>
      <c r="H245" s="273" t="s">
        <v>14</v>
      </c>
      <c r="I245" s="272"/>
      <c r="J245" s="272"/>
      <c r="K245" s="229"/>
      <c r="L245" s="73">
        <f ca="1">IFERROR(__xludf.DUMMYFUNCTION("IMPORTRANGE(""https://docs.google.com/spreadsheets/d/1eHaY18a8A9IcSdp1K8H6x8fbOy06t2VsZHhMHf-1x7Y/edit?usp=sharing"",""แผน!AX68"")"),0)</f>
        <v>0</v>
      </c>
      <c r="M245" s="87"/>
      <c r="N245" s="924">
        <v>0</v>
      </c>
      <c r="O245" s="87"/>
      <c r="P245" s="87"/>
      <c r="Q245" s="87"/>
      <c r="R245" s="87"/>
      <c r="S245" s="87"/>
      <c r="T245" s="87"/>
      <c r="U245" s="87"/>
    </row>
    <row r="246" spans="1:21" ht="18.75" hidden="1" x14ac:dyDescent="0.25">
      <c r="A246" s="550"/>
      <c r="B246" s="269"/>
      <c r="C246" s="269"/>
      <c r="D246" s="265" t="s">
        <v>88</v>
      </c>
      <c r="E246" s="258"/>
      <c r="F246" s="258"/>
      <c r="G246" s="261"/>
      <c r="H246" s="273" t="s">
        <v>14</v>
      </c>
      <c r="I246" s="263"/>
      <c r="J246" s="263"/>
      <c r="K246" s="87"/>
      <c r="L246" s="73">
        <f ca="1">IFERROR(__xludf.DUMMYFUNCTION("IMPORTRANGE(""https://docs.google.com/spreadsheets/d/1eHaY18a8A9IcSdp1K8H6x8fbOy06t2VsZHhMHf-1x7Y/edit?usp=sharing"",""แผน!AY68"")"),0)</f>
        <v>0</v>
      </c>
      <c r="M246" s="87"/>
      <c r="N246" s="924">
        <v>0</v>
      </c>
      <c r="O246" s="87"/>
      <c r="P246" s="87"/>
      <c r="Q246" s="87"/>
      <c r="R246" s="87"/>
      <c r="S246" s="87"/>
      <c r="T246" s="87"/>
      <c r="U246" s="87"/>
    </row>
    <row r="247" spans="1:21" ht="18.75" hidden="1" x14ac:dyDescent="0.25">
      <c r="A247" s="550"/>
      <c r="B247" s="269"/>
      <c r="C247" s="269"/>
      <c r="D247" s="265" t="s">
        <v>106</v>
      </c>
      <c r="E247" s="258"/>
      <c r="F247" s="258"/>
      <c r="G247" s="261"/>
      <c r="H247" s="273" t="s">
        <v>14</v>
      </c>
      <c r="I247" s="263"/>
      <c r="J247" s="263"/>
      <c r="K247" s="87"/>
      <c r="L247" s="73">
        <f ca="1">IFERROR(__xludf.DUMMYFUNCTION("IMPORTRANGE(""https://docs.google.com/spreadsheets/d/1eHaY18a8A9IcSdp1K8H6x8fbOy06t2VsZHhMHf-1x7Y/edit?usp=sharing"",""แผน!AZ68"")"),0)</f>
        <v>0</v>
      </c>
      <c r="M247" s="87"/>
      <c r="N247" s="924">
        <v>0</v>
      </c>
      <c r="O247" s="87"/>
      <c r="P247" s="87"/>
      <c r="Q247" s="87"/>
      <c r="R247" s="87"/>
      <c r="S247" s="87"/>
      <c r="T247" s="87"/>
      <c r="U247" s="87"/>
    </row>
    <row r="248" spans="1:21" ht="18.75" hidden="1" x14ac:dyDescent="0.25">
      <c r="A248" s="550"/>
      <c r="B248" s="269"/>
      <c r="C248" s="269"/>
      <c r="D248" s="265" t="s">
        <v>107</v>
      </c>
      <c r="E248" s="258"/>
      <c r="F248" s="258"/>
      <c r="G248" s="261"/>
      <c r="H248" s="273" t="s">
        <v>14</v>
      </c>
      <c r="I248" s="263"/>
      <c r="J248" s="263"/>
      <c r="K248" s="87"/>
      <c r="L248" s="73">
        <f ca="1">IFERROR(__xludf.DUMMYFUNCTION("IMPORTRANGE(""https://docs.google.com/spreadsheets/d/1eHaY18a8A9IcSdp1K8H6x8fbOy06t2VsZHhMHf-1x7Y/edit?usp=sharing"",""แผน!BA68"")"),0)</f>
        <v>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hidden="1" x14ac:dyDescent="0.3">
      <c r="A249" s="276"/>
      <c r="B249" s="277"/>
      <c r="C249" s="939" t="s">
        <v>18</v>
      </c>
      <c r="D249" s="940" t="s">
        <v>38</v>
      </c>
      <c r="E249" s="280"/>
      <c r="F249" s="280"/>
      <c r="G249" s="281"/>
      <c r="H249" s="282"/>
      <c r="I249" s="272"/>
      <c r="J249" s="263"/>
      <c r="K249" s="87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hidden="1" x14ac:dyDescent="0.25">
      <c r="A250" s="276"/>
      <c r="B250" s="277"/>
      <c r="C250" s="277"/>
      <c r="D250" s="311" t="s">
        <v>108</v>
      </c>
      <c r="E250" s="296"/>
      <c r="F250" s="296"/>
      <c r="G250" s="282"/>
      <c r="H250" s="945" t="s">
        <v>35</v>
      </c>
      <c r="I250" s="592">
        <f ca="1">IFERROR(__xludf.DUMMYFUNCTION("IMPORTRANGE(""https://docs.google.com/spreadsheets/d/1eHaY18a8A9IcSdp1K8H6x8fbOy06t2VsZHhMHf-1x7Y/edit?usp=sharing"",""แผน!BG68"")"),0)</f>
        <v>0</v>
      </c>
      <c r="J250" s="910">
        <v>0</v>
      </c>
      <c r="K250" s="77">
        <f ca="1">IF(I250&gt;0,J250*100/I250,0)</f>
        <v>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hidden="1" x14ac:dyDescent="0.25">
      <c r="A251" s="276"/>
      <c r="B251" s="277"/>
      <c r="C251" s="277"/>
      <c r="D251" s="946" t="s">
        <v>43</v>
      </c>
      <c r="E251" s="296"/>
      <c r="F251" s="296"/>
      <c r="G251" s="282"/>
      <c r="H251" s="282"/>
      <c r="I251" s="263"/>
      <c r="J251" s="263"/>
      <c r="K251" s="87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hidden="1" x14ac:dyDescent="0.25">
      <c r="A252" s="276"/>
      <c r="B252" s="277"/>
      <c r="C252" s="277"/>
      <c r="D252" s="277"/>
      <c r="E252" s="947" t="s">
        <v>109</v>
      </c>
      <c r="F252" s="296"/>
      <c r="G252" s="282"/>
      <c r="H252" s="945" t="s">
        <v>35</v>
      </c>
      <c r="I252" s="592">
        <v>0</v>
      </c>
      <c r="J252" s="910">
        <v>0</v>
      </c>
      <c r="K252" s="77">
        <f t="shared" ref="K252:K254" si="158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hidden="1" x14ac:dyDescent="0.25">
      <c r="A253" s="276"/>
      <c r="B253" s="277"/>
      <c r="C253" s="277"/>
      <c r="D253" s="277"/>
      <c r="E253" s="947" t="s">
        <v>110</v>
      </c>
      <c r="F253" s="296"/>
      <c r="G253" s="282"/>
      <c r="H253" s="945" t="s">
        <v>61</v>
      </c>
      <c r="I253" s="592">
        <v>0</v>
      </c>
      <c r="J253" s="910">
        <v>0</v>
      </c>
      <c r="K253" s="77">
        <f t="shared" si="158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553"/>
      <c r="B254" s="555"/>
      <c r="C254" s="927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9">I261</f>
        <v>0</v>
      </c>
      <c r="J254" s="931">
        <f t="shared" si="159"/>
        <v>0</v>
      </c>
      <c r="K254" s="932">
        <f t="shared" ca="1" si="158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257"/>
      <c r="B255" s="258"/>
      <c r="C255" s="933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1257">
        <f ca="1">L256+L257+L258+L259</f>
        <v>0</v>
      </c>
      <c r="M255" s="87"/>
      <c r="N255" s="264">
        <f>N256+N257+N258+N259</f>
        <v>0</v>
      </c>
      <c r="O255" s="264">
        <f ca="1">IF(L255&gt;0,N255*100/L255,0)</f>
        <v>0</v>
      </c>
      <c r="P255" s="264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257"/>
      <c r="B256" s="269"/>
      <c r="C256" s="258"/>
      <c r="D256" s="265" t="s">
        <v>86</v>
      </c>
      <c r="E256" s="258"/>
      <c r="F256" s="258"/>
      <c r="G256" s="261"/>
      <c r="H256" s="273" t="s">
        <v>14</v>
      </c>
      <c r="I256" s="272"/>
      <c r="J256" s="272"/>
      <c r="K256" s="229"/>
      <c r="L256" s="73">
        <f ca="1">IFERROR(__xludf.DUMMYFUNCTION("IMPORTRANGE(""https://docs.google.com/spreadsheets/d/1eHaY18a8A9IcSdp1K8H6x8fbOy06t2VsZHhMHf-1x7Y/edit?usp=sharing"",""แผน!BB68"")"),0)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265" t="s">
        <v>88</v>
      </c>
      <c r="E257" s="258"/>
      <c r="F257" s="258"/>
      <c r="G257" s="261"/>
      <c r="H257" s="273" t="s">
        <v>14</v>
      </c>
      <c r="I257" s="263"/>
      <c r="J257" s="263"/>
      <c r="K257" s="87"/>
      <c r="L257" s="73">
        <f ca="1">IFERROR(__xludf.DUMMYFUNCTION("IMPORTRANGE(""https://docs.google.com/spreadsheets/d/1eHaY18a8A9IcSdp1K8H6x8fbOy06t2VsZHhMHf-1x7Y/edit?usp=sharing"",""แผน!BC68"")"),0)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265" t="s">
        <v>106</v>
      </c>
      <c r="E258" s="258"/>
      <c r="F258" s="258"/>
      <c r="G258" s="261"/>
      <c r="H258" s="273" t="s">
        <v>14</v>
      </c>
      <c r="I258" s="263"/>
      <c r="J258" s="263"/>
      <c r="K258" s="87"/>
      <c r="L258" s="73">
        <f ca="1">IFERROR(__xludf.DUMMYFUNCTION("IMPORTRANGE(""https://docs.google.com/spreadsheets/d/1eHaY18a8A9IcSdp1K8H6x8fbOy06t2VsZHhMHf-1x7Y/edit?usp=sharing"",""แผน!BD68"")"),0)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5" t="s">
        <v>107</v>
      </c>
      <c r="E259" s="258"/>
      <c r="F259" s="258"/>
      <c r="G259" s="261"/>
      <c r="H259" s="273" t="s">
        <v>14</v>
      </c>
      <c r="I259" s="263"/>
      <c r="J259" s="263"/>
      <c r="K259" s="87"/>
      <c r="L259" s="73">
        <f ca="1">IFERROR(__xludf.DUMMYFUNCTION("IMPORTRANGE(""https://docs.google.com/spreadsheets/d/1eHaY18a8A9IcSdp1K8H6x8fbOy06t2VsZHhMHf-1x7Y/edit?usp=sharing"",""แผน!BE68"")"),0)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945" t="s">
        <v>35</v>
      </c>
      <c r="I261" s="592">
        <f ca="1">IFERROR(__xludf.DUMMYFUNCTION("IMPORTRANGE(""https://docs.google.com/spreadsheets/d/1eHaY18a8A9IcSdp1K8H6x8fbOy06t2VsZHhMHf-1x7Y/edit?usp=sharing"",""แผน!BH68"")"),0)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282"/>
      <c r="I262" s="263"/>
      <c r="J262" s="263"/>
      <c r="K262" s="87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945" t="s">
        <v>35</v>
      </c>
      <c r="I263" s="263"/>
      <c r="J263" s="910">
        <v>0</v>
      </c>
      <c r="K263" s="77">
        <f t="shared" ref="K263:K264" si="160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945" t="s">
        <v>61</v>
      </c>
      <c r="I264" s="263"/>
      <c r="J264" s="910">
        <v>0</v>
      </c>
      <c r="K264" s="77">
        <f t="shared" si="160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363"/>
      <c r="I265" s="364"/>
      <c r="J265" s="364"/>
      <c r="K265" s="365"/>
      <c r="L265" s="1230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371" t="s">
        <v>35</v>
      </c>
      <c r="I266" s="1140">
        <f t="shared" ref="I266:J266" ca="1" si="161">I277</f>
        <v>22</v>
      </c>
      <c r="J266" s="1140">
        <f t="shared" si="161"/>
        <v>0</v>
      </c>
      <c r="K266" s="373">
        <f ca="1">IF(I266&gt;0,J266*100/I266,0)</f>
        <v>0</v>
      </c>
      <c r="L266" s="1231"/>
      <c r="M266" s="374"/>
      <c r="N266" s="374"/>
      <c r="O266" s="374"/>
      <c r="P266" s="374"/>
      <c r="Q266" s="374"/>
      <c r="R266" s="374"/>
      <c r="S266" s="374"/>
      <c r="T266" s="374"/>
      <c r="U266" s="374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1262">
        <f t="shared" ref="L267:N267" ca="1" si="162">L268+L269</f>
        <v>0</v>
      </c>
      <c r="M267" s="213">
        <f t="shared" ca="1" si="162"/>
        <v>5000</v>
      </c>
      <c r="N267" s="213">
        <f t="shared" ca="1" si="162"/>
        <v>0</v>
      </c>
      <c r="O267" s="213">
        <f t="shared" ref="O267:O275" ca="1" si="163">IF(L267&gt;0,N267*100/L267,0)</f>
        <v>0</v>
      </c>
      <c r="P267" s="213">
        <f t="shared" ref="P267:P275" ca="1" si="164">IF(M267&gt;0,N267*100/M267,0)</f>
        <v>0</v>
      </c>
      <c r="Q267" s="213">
        <f t="shared" ref="Q267:S267" ca="1" si="165">Q268+Q269</f>
        <v>50660</v>
      </c>
      <c r="R267" s="213">
        <f t="shared" ca="1" si="165"/>
        <v>50660</v>
      </c>
      <c r="S267" s="213">
        <f t="shared" ca="1" si="165"/>
        <v>0</v>
      </c>
      <c r="T267" s="213">
        <f t="shared" ref="T267:T275" ca="1" si="166">IF(Q267&gt;0,S267*100/Q267,0)</f>
        <v>0</v>
      </c>
      <c r="U267" s="213">
        <f t="shared" ref="U267:U275" ca="1" si="167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76">
        <f t="shared" ref="L268:N269" si="168">L271+L274</f>
        <v>0</v>
      </c>
      <c r="M268" s="77">
        <f t="shared" si="168"/>
        <v>0</v>
      </c>
      <c r="N268" s="77">
        <f t="shared" si="168"/>
        <v>0</v>
      </c>
      <c r="O268" s="77">
        <f t="shared" si="163"/>
        <v>0</v>
      </c>
      <c r="P268" s="77">
        <f t="shared" si="164"/>
        <v>0</v>
      </c>
      <c r="Q268" s="77">
        <f t="shared" ref="Q268:S269" si="169">Q271+Q274</f>
        <v>0</v>
      </c>
      <c r="R268" s="77">
        <f t="shared" si="169"/>
        <v>0</v>
      </c>
      <c r="S268" s="77">
        <f t="shared" si="169"/>
        <v>0</v>
      </c>
      <c r="T268" s="77">
        <f t="shared" si="166"/>
        <v>0</v>
      </c>
      <c r="U268" s="77">
        <f t="shared" si="167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261">
        <f t="shared" ca="1" si="168"/>
        <v>0</v>
      </c>
      <c r="M269" s="399">
        <f t="shared" ca="1" si="168"/>
        <v>5000</v>
      </c>
      <c r="N269" s="399">
        <f t="shared" ca="1" si="168"/>
        <v>0</v>
      </c>
      <c r="O269" s="399">
        <f t="shared" ca="1" si="163"/>
        <v>0</v>
      </c>
      <c r="P269" s="399">
        <f t="shared" ca="1" si="164"/>
        <v>0</v>
      </c>
      <c r="Q269" s="399">
        <f t="shared" ca="1" si="169"/>
        <v>50660</v>
      </c>
      <c r="R269" s="399">
        <f t="shared" ca="1" si="169"/>
        <v>50660</v>
      </c>
      <c r="S269" s="399">
        <f t="shared" ca="1" si="169"/>
        <v>0</v>
      </c>
      <c r="T269" s="399">
        <f t="shared" ca="1" si="166"/>
        <v>0</v>
      </c>
      <c r="U269" s="399">
        <f t="shared" ca="1" si="167"/>
        <v>0</v>
      </c>
    </row>
    <row r="270" spans="1:21" ht="18.75" x14ac:dyDescent="0.25">
      <c r="A270" s="209"/>
      <c r="B270" s="67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261">
        <f t="shared" ref="L270:N270" ca="1" si="170">L271+L272</f>
        <v>0</v>
      </c>
      <c r="M270" s="399">
        <f t="shared" ca="1" si="170"/>
        <v>5000</v>
      </c>
      <c r="N270" s="399">
        <f t="shared" ca="1" si="170"/>
        <v>0</v>
      </c>
      <c r="O270" s="399">
        <f t="shared" ca="1" si="163"/>
        <v>0</v>
      </c>
      <c r="P270" s="399">
        <f t="shared" ca="1" si="164"/>
        <v>0</v>
      </c>
      <c r="Q270" s="399">
        <f t="shared" ref="Q270:S270" ca="1" si="171">Q271+Q272</f>
        <v>50660</v>
      </c>
      <c r="R270" s="399">
        <f t="shared" ca="1" si="171"/>
        <v>50660</v>
      </c>
      <c r="S270" s="399">
        <f t="shared" ca="1" si="171"/>
        <v>0</v>
      </c>
      <c r="T270" s="399">
        <f t="shared" ca="1" si="166"/>
        <v>0</v>
      </c>
      <c r="U270" s="399">
        <f t="shared" ca="1" si="167"/>
        <v>0</v>
      </c>
    </row>
    <row r="271" spans="1:21" ht="18.75" hidden="1" x14ac:dyDescent="0.25">
      <c r="A271" s="880"/>
      <c r="B271" s="838"/>
      <c r="C271" s="838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77">
        <f t="shared" si="163"/>
        <v>0</v>
      </c>
      <c r="P271" s="77">
        <f t="shared" si="164"/>
        <v>0</v>
      </c>
      <c r="Q271" s="77">
        <v>0</v>
      </c>
      <c r="R271" s="77">
        <v>0</v>
      </c>
      <c r="S271" s="77">
        <v>0</v>
      </c>
      <c r="T271" s="77">
        <f t="shared" si="166"/>
        <v>0</v>
      </c>
      <c r="U271" s="77">
        <f t="shared" si="167"/>
        <v>0</v>
      </c>
    </row>
    <row r="272" spans="1:21" ht="18.75" hidden="1" x14ac:dyDescent="0.25">
      <c r="A272" s="209"/>
      <c r="B272" s="67"/>
      <c r="C272" s="67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261">
        <f ca="1">IFERROR(__xludf.DUMMYFUNCTION("IMPORTRANGE(""https://docs.google.com/spreadsheets/d/1-uDff_7J0KD5mKrp0Vvzr7lt3OU09vwQwhkpOPPYv2Y/edit?usp=sharing"",""งบพรบ!DE68"")"),0)</f>
        <v>0</v>
      </c>
      <c r="M272" s="399">
        <f ca="1">IFERROR(__xludf.DUMMYFUNCTION("IMPORTRANGE(""https://docs.google.com/spreadsheets/d/1-uDff_7J0KD5mKrp0Vvzr7lt3OU09vwQwhkpOPPYv2Y/edit?usp=sharing"",""งบพรบ!DJ68"")"),5000)</f>
        <v>5000</v>
      </c>
      <c r="N272" s="399">
        <f ca="1">IFERROR(__xludf.DUMMYFUNCTION("IMPORTRANGE(""https://docs.google.com/spreadsheets/d/1-uDff_7J0KD5mKrp0Vvzr7lt3OU09vwQwhkpOPPYv2Y/edit?usp=sharing"",""งบพรบ!DL68"")"),0)</f>
        <v>0</v>
      </c>
      <c r="O272" s="399">
        <f t="shared" ca="1" si="163"/>
        <v>0</v>
      </c>
      <c r="P272" s="399">
        <f t="shared" ca="1" si="164"/>
        <v>0</v>
      </c>
      <c r="Q272" s="399">
        <f ca="1">IFERROR(__xludf.DUMMYFUNCTION("IMPORTRANGE(""https://docs.google.com/spreadsheets/d/1ItG2mGa2ceCfYo0BwxsXqNm01IGEUdYcSSLTEv9YCik/edit?usp=sharing"",""เบิกจ่ายกองทุน!AJ68"")"),50660)</f>
        <v>50660</v>
      </c>
      <c r="R272" s="399">
        <f ca="1">IFERROR(__xludf.DUMMYFUNCTION("IMPORTRANGE(""https://docs.google.com/spreadsheets/d/1ItG2mGa2ceCfYo0BwxsXqNm01IGEUdYcSSLTEv9YCik/edit?usp=sharing"",""เบิกจ่ายกองทุน!AK68"")"),50660)</f>
        <v>50660</v>
      </c>
      <c r="S272" s="399">
        <f ca="1">IFERROR(__xludf.DUMMYFUNCTION("IMPORTRANGE(""https://docs.google.com/spreadsheets/d/1ItG2mGa2ceCfYo0BwxsXqNm01IGEUdYcSSLTEv9YCik/edit?usp=sharing"",""เบิกจ่ายกองทุน!AL68"")"),0)</f>
        <v>0</v>
      </c>
      <c r="T272" s="399">
        <f t="shared" ca="1" si="166"/>
        <v>0</v>
      </c>
      <c r="U272" s="399">
        <f t="shared" ca="1" si="167"/>
        <v>0</v>
      </c>
    </row>
    <row r="273" spans="1:21" ht="18.75" x14ac:dyDescent="0.25">
      <c r="A273" s="209"/>
      <c r="B273" s="67"/>
      <c r="C273" s="67"/>
      <c r="D273" s="836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261">
        <f t="shared" ref="L273:N273" ca="1" si="172">L274+L275</f>
        <v>0</v>
      </c>
      <c r="M273" s="399">
        <f t="shared" ca="1" si="172"/>
        <v>0</v>
      </c>
      <c r="N273" s="399">
        <f t="shared" ca="1" si="172"/>
        <v>0</v>
      </c>
      <c r="O273" s="399">
        <f t="shared" ca="1" si="163"/>
        <v>0</v>
      </c>
      <c r="P273" s="399">
        <f t="shared" ca="1" si="164"/>
        <v>0</v>
      </c>
      <c r="Q273" s="399">
        <f t="shared" ref="Q273:S273" si="173">Q274+Q275</f>
        <v>0</v>
      </c>
      <c r="R273" s="399">
        <f t="shared" si="173"/>
        <v>0</v>
      </c>
      <c r="S273" s="399">
        <f t="shared" si="173"/>
        <v>0</v>
      </c>
      <c r="T273" s="399">
        <f t="shared" si="166"/>
        <v>0</v>
      </c>
      <c r="U273" s="399">
        <f t="shared" si="167"/>
        <v>0</v>
      </c>
    </row>
    <row r="274" spans="1:21" ht="18.75" hidden="1" x14ac:dyDescent="0.25">
      <c r="A274" s="880"/>
      <c r="B274" s="838"/>
      <c r="C274" s="838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77">
        <f t="shared" si="163"/>
        <v>0</v>
      </c>
      <c r="P274" s="77">
        <f t="shared" si="164"/>
        <v>0</v>
      </c>
      <c r="Q274" s="77">
        <v>0</v>
      </c>
      <c r="R274" s="77">
        <v>0</v>
      </c>
      <c r="S274" s="77">
        <v>0</v>
      </c>
      <c r="T274" s="77">
        <f t="shared" si="166"/>
        <v>0</v>
      </c>
      <c r="U274" s="77">
        <f t="shared" si="167"/>
        <v>0</v>
      </c>
    </row>
    <row r="275" spans="1:21" ht="18.75" hidden="1" x14ac:dyDescent="0.25">
      <c r="A275" s="209"/>
      <c r="B275" s="67"/>
      <c r="C275" s="67"/>
      <c r="D275" s="67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261">
        <f ca="1">IFERROR(__xludf.DUMMYFUNCTION("IMPORTRANGE(""https://docs.google.com/spreadsheets/d/1-uDff_7J0KD5mKrp0Vvzr7lt3OU09vwQwhkpOPPYv2Y/edit?usp=sharing"",""งบพรบ!DH68"")"),0)</f>
        <v>0</v>
      </c>
      <c r="M275" s="399">
        <f ca="1">IFERROR(__xludf.DUMMYFUNCTION("IMPORTRANGE(""https://docs.google.com/spreadsheets/d/1-uDff_7J0KD5mKrp0Vvzr7lt3OU09vwQwhkpOPPYv2Y/edit?usp=sharing"",""งบพรบ!DK68"")"),0)</f>
        <v>0</v>
      </c>
      <c r="N275" s="399">
        <f ca="1">IFERROR(__xludf.DUMMYFUNCTION("IMPORTRANGE(""https://docs.google.com/spreadsheets/d/1-uDff_7J0KD5mKrp0Vvzr7lt3OU09vwQwhkpOPPYv2Y/edit?usp=sharing"",""งบพรบ!DM68"")"),0)</f>
        <v>0</v>
      </c>
      <c r="O275" s="399">
        <f t="shared" ca="1" si="163"/>
        <v>0</v>
      </c>
      <c r="P275" s="399">
        <f t="shared" ca="1" si="164"/>
        <v>0</v>
      </c>
      <c r="Q275" s="399">
        <v>0</v>
      </c>
      <c r="R275" s="399">
        <v>0</v>
      </c>
      <c r="S275" s="399">
        <v>0</v>
      </c>
      <c r="T275" s="399">
        <f t="shared" si="166"/>
        <v>0</v>
      </c>
      <c r="U275" s="399">
        <f t="shared" si="167"/>
        <v>0</v>
      </c>
    </row>
    <row r="276" spans="1:21" ht="19.5" x14ac:dyDescent="0.3">
      <c r="A276" s="222"/>
      <c r="B276" s="223"/>
      <c r="C276" s="440" t="s">
        <v>18</v>
      </c>
      <c r="D276" s="883" t="s">
        <v>38</v>
      </c>
      <c r="E276" s="225"/>
      <c r="F276" s="225"/>
      <c r="G276" s="226"/>
      <c r="H276" s="227"/>
      <c r="I276" s="219"/>
      <c r="J276" s="219"/>
      <c r="K276" s="220"/>
      <c r="L276" s="1235"/>
      <c r="M276" s="220"/>
      <c r="N276" s="220"/>
      <c r="O276" s="220"/>
      <c r="P276" s="220"/>
      <c r="Q276" s="220"/>
      <c r="R276" s="220"/>
      <c r="S276" s="220"/>
      <c r="T276" s="220"/>
      <c r="U276" s="220"/>
    </row>
    <row r="277" spans="1:21" ht="18.75" x14ac:dyDescent="0.25">
      <c r="A277" s="949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IFERROR(__xludf.DUMMYFUNCTION("IMPORTRANGE(""https://docs.google.com/spreadsheets/d/1eHaY18a8A9IcSdp1K8H6x8fbOy06t2VsZHhMHf-1x7Y/edit?usp=sharing"",""แผน!EC68"")"),22)</f>
        <v>22</v>
      </c>
      <c r="J277" s="908">
        <v>0</v>
      </c>
      <c r="K277" s="85">
        <f ca="1">IF(I277&gt;0,J277*100/I277,0)</f>
        <v>0</v>
      </c>
      <c r="L277" s="540"/>
      <c r="M277" s="72"/>
      <c r="N277" s="72"/>
      <c r="O277" s="72"/>
      <c r="P277" s="72"/>
      <c r="Q277" s="72"/>
      <c r="R277" s="72"/>
      <c r="S277" s="72"/>
      <c r="T277" s="72"/>
      <c r="U277" s="72"/>
    </row>
    <row r="278" spans="1:21" ht="18.75" hidden="1" x14ac:dyDescent="0.25">
      <c r="A278" s="1236"/>
      <c r="B278" s="996"/>
      <c r="C278" s="996"/>
      <c r="D278" s="1145" t="s">
        <v>116</v>
      </c>
      <c r="E278" s="1237"/>
      <c r="F278" s="1237"/>
      <c r="G278" s="1238"/>
      <c r="H278" s="1305" t="s">
        <v>35</v>
      </c>
      <c r="I278" s="779">
        <v>0</v>
      </c>
      <c r="J278" s="779">
        <v>0</v>
      </c>
      <c r="K278" s="1147">
        <v>0</v>
      </c>
      <c r="L278" s="1239"/>
      <c r="M278" s="1240"/>
      <c r="N278" s="1240"/>
      <c r="O278" s="1240"/>
      <c r="P278" s="1240"/>
      <c r="Q278" s="1240"/>
      <c r="R278" s="1240"/>
      <c r="S278" s="1240"/>
      <c r="T278" s="1240"/>
      <c r="U278" s="124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50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3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306" t="s">
        <v>35</v>
      </c>
      <c r="I281" s="1163">
        <f t="shared" ref="I281:J281" ca="1" si="174">I294</f>
        <v>0</v>
      </c>
      <c r="J281" s="1163">
        <f t="shared" si="174"/>
        <v>0</v>
      </c>
      <c r="K281" s="1164">
        <f t="shared" ref="K281:K282" ca="1" si="175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306" t="s">
        <v>46</v>
      </c>
      <c r="I282" s="1163">
        <f t="shared" ref="I282:J282" ca="1" si="176">I293</f>
        <v>0</v>
      </c>
      <c r="J282" s="1163">
        <f t="shared" si="176"/>
        <v>0</v>
      </c>
      <c r="K282" s="1164">
        <f t="shared" ca="1" si="175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1257">
        <f t="shared" ref="L283:N283" ca="1" si="177">L284+L285</f>
        <v>0</v>
      </c>
      <c r="M283" s="264">
        <f t="shared" ca="1" si="177"/>
        <v>0</v>
      </c>
      <c r="N283" s="264">
        <f t="shared" ca="1" si="177"/>
        <v>0</v>
      </c>
      <c r="O283" s="264">
        <f t="shared" ref="O283:O291" ca="1" si="178">IF(L283&gt;0,N283*100/L283,0)</f>
        <v>0</v>
      </c>
      <c r="P283" s="264">
        <f t="shared" ref="P283:P291" ca="1" si="179">IF(M283&gt;0,N283*100/M283,0)</f>
        <v>0</v>
      </c>
      <c r="Q283" s="264">
        <f t="shared" ref="Q283:S283" si="180">Q284+Q285</f>
        <v>0</v>
      </c>
      <c r="R283" s="264">
        <f t="shared" si="180"/>
        <v>0</v>
      </c>
      <c r="S283" s="264">
        <f t="shared" si="180"/>
        <v>0</v>
      </c>
      <c r="T283" s="264">
        <f t="shared" ref="T283:T291" si="181">IF(Q283&gt;0,S283*100/Q283,0)</f>
        <v>0</v>
      </c>
      <c r="U283" s="264">
        <f t="shared" ref="U283:U291" si="182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6">
        <f t="shared" ref="L284:N285" si="183">L287+L290</f>
        <v>0</v>
      </c>
      <c r="M284" s="77">
        <f t="shared" si="183"/>
        <v>0</v>
      </c>
      <c r="N284" s="77">
        <f t="shared" si="183"/>
        <v>0</v>
      </c>
      <c r="O284" s="77">
        <f t="shared" si="178"/>
        <v>0</v>
      </c>
      <c r="P284" s="77">
        <f t="shared" si="179"/>
        <v>0</v>
      </c>
      <c r="Q284" s="77">
        <f t="shared" ref="Q284:S285" si="184">Q287+Q290</f>
        <v>0</v>
      </c>
      <c r="R284" s="77">
        <f t="shared" si="184"/>
        <v>0</v>
      </c>
      <c r="S284" s="77">
        <f t="shared" si="184"/>
        <v>0</v>
      </c>
      <c r="T284" s="77">
        <f t="shared" si="181"/>
        <v>0</v>
      </c>
      <c r="U284" s="77">
        <f t="shared" si="182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3">
        <f t="shared" ca="1" si="183"/>
        <v>0</v>
      </c>
      <c r="M285" s="74">
        <f t="shared" ca="1" si="183"/>
        <v>0</v>
      </c>
      <c r="N285" s="74">
        <f t="shared" ca="1" si="183"/>
        <v>0</v>
      </c>
      <c r="O285" s="74">
        <f t="shared" ca="1" si="178"/>
        <v>0</v>
      </c>
      <c r="P285" s="74">
        <f t="shared" ca="1" si="179"/>
        <v>0</v>
      </c>
      <c r="Q285" s="74">
        <f t="shared" si="184"/>
        <v>0</v>
      </c>
      <c r="R285" s="74">
        <f t="shared" si="184"/>
        <v>0</v>
      </c>
      <c r="S285" s="74">
        <f t="shared" si="184"/>
        <v>0</v>
      </c>
      <c r="T285" s="74">
        <f t="shared" si="181"/>
        <v>0</v>
      </c>
      <c r="U285" s="74">
        <f t="shared" si="182"/>
        <v>0</v>
      </c>
    </row>
    <row r="286" spans="1:21" ht="18.75" hidden="1" x14ac:dyDescent="0.25">
      <c r="A286" s="257"/>
      <c r="B286" s="258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3">
        <f t="shared" ref="L286:N286" ca="1" si="185">L287+L288</f>
        <v>0</v>
      </c>
      <c r="M286" s="74">
        <f t="shared" ca="1" si="185"/>
        <v>0</v>
      </c>
      <c r="N286" s="74">
        <f t="shared" ca="1" si="185"/>
        <v>0</v>
      </c>
      <c r="O286" s="74">
        <f t="shared" ca="1" si="178"/>
        <v>0</v>
      </c>
      <c r="P286" s="74">
        <f t="shared" ca="1" si="179"/>
        <v>0</v>
      </c>
      <c r="Q286" s="74">
        <f t="shared" ref="Q286:S286" si="186">Q287+Q288</f>
        <v>0</v>
      </c>
      <c r="R286" s="74">
        <f t="shared" si="186"/>
        <v>0</v>
      </c>
      <c r="S286" s="74">
        <f t="shared" si="186"/>
        <v>0</v>
      </c>
      <c r="T286" s="74">
        <f t="shared" si="181"/>
        <v>0</v>
      </c>
      <c r="U286" s="74">
        <f t="shared" si="182"/>
        <v>0</v>
      </c>
    </row>
    <row r="287" spans="1:21" ht="18.75" hidden="1" x14ac:dyDescent="0.25">
      <c r="A287" s="257"/>
      <c r="B287" s="258"/>
      <c r="C287" s="258"/>
      <c r="D287" s="258"/>
      <c r="E287" s="26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77">
        <f t="shared" si="178"/>
        <v>0</v>
      </c>
      <c r="P287" s="77">
        <f t="shared" si="179"/>
        <v>0</v>
      </c>
      <c r="Q287" s="77">
        <v>0</v>
      </c>
      <c r="R287" s="77">
        <v>0</v>
      </c>
      <c r="S287" s="77">
        <v>0</v>
      </c>
      <c r="T287" s="77">
        <f t="shared" si="181"/>
        <v>0</v>
      </c>
      <c r="U287" s="77">
        <f t="shared" si="182"/>
        <v>0</v>
      </c>
    </row>
    <row r="288" spans="1:21" ht="18.75" hidden="1" x14ac:dyDescent="0.25">
      <c r="A288" s="257"/>
      <c r="B288" s="258"/>
      <c r="C288" s="258"/>
      <c r="D288" s="258"/>
      <c r="E288" s="267" t="s">
        <v>37</v>
      </c>
      <c r="F288" s="258"/>
      <c r="G288" s="261"/>
      <c r="H288" s="271" t="s">
        <v>14</v>
      </c>
      <c r="I288" s="272"/>
      <c r="J288" s="272"/>
      <c r="K288" s="229"/>
      <c r="L288" s="73">
        <f ca="1">IFERROR(__xludf.DUMMYFUNCTION("IMPORTRANGE(""https://docs.google.com/spreadsheets/d/1-uDff_7J0KD5mKrp0Vvzr7lt3OU09vwQwhkpOPPYv2Y/edit?usp=sharing"",""งบพรบ!DO68"")"),0)</f>
        <v>0</v>
      </c>
      <c r="M288" s="74">
        <f ca="1">IFERROR(__xludf.DUMMYFUNCTION("IMPORTRANGE(""https://docs.google.com/spreadsheets/d/1-uDff_7J0KD5mKrp0Vvzr7lt3OU09vwQwhkpOPPYv2Y/edit?usp=sharing"",""งบพรบ!DT68"")"),0)</f>
        <v>0</v>
      </c>
      <c r="N288" s="74">
        <f ca="1">IFERROR(__xludf.DUMMYFUNCTION("IMPORTRANGE(""https://docs.google.com/spreadsheets/d/1-uDff_7J0KD5mKrp0Vvzr7lt3OU09vwQwhkpOPPYv2Y/edit?usp=sharing"",""งบพรบ!DV68"")"),0)</f>
        <v>0</v>
      </c>
      <c r="O288" s="74">
        <f t="shared" ca="1" si="178"/>
        <v>0</v>
      </c>
      <c r="P288" s="74">
        <f t="shared" ca="1" si="179"/>
        <v>0</v>
      </c>
      <c r="Q288" s="74">
        <v>0</v>
      </c>
      <c r="R288" s="74">
        <v>0</v>
      </c>
      <c r="S288" s="74">
        <v>0</v>
      </c>
      <c r="T288" s="77">
        <f t="shared" si="181"/>
        <v>0</v>
      </c>
      <c r="U288" s="77">
        <f t="shared" si="182"/>
        <v>0</v>
      </c>
    </row>
    <row r="289" spans="1:21" ht="18.75" hidden="1" x14ac:dyDescent="0.25">
      <c r="A289" s="257"/>
      <c r="B289" s="258"/>
      <c r="C289" s="258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3">
        <f t="shared" ref="L289:N289" ca="1" si="187">L290+L291</f>
        <v>0</v>
      </c>
      <c r="M289" s="74">
        <f t="shared" ca="1" si="187"/>
        <v>0</v>
      </c>
      <c r="N289" s="74">
        <f t="shared" ca="1" si="187"/>
        <v>0</v>
      </c>
      <c r="O289" s="74">
        <f t="shared" ca="1" si="178"/>
        <v>0</v>
      </c>
      <c r="P289" s="74">
        <f t="shared" ca="1" si="179"/>
        <v>0</v>
      </c>
      <c r="Q289" s="74">
        <f t="shared" ref="Q289:S289" si="188">Q290+Q291</f>
        <v>0</v>
      </c>
      <c r="R289" s="74">
        <f t="shared" si="188"/>
        <v>0</v>
      </c>
      <c r="S289" s="74">
        <f t="shared" si="188"/>
        <v>0</v>
      </c>
      <c r="T289" s="74">
        <f t="shared" si="181"/>
        <v>0</v>
      </c>
      <c r="U289" s="74">
        <f t="shared" si="182"/>
        <v>0</v>
      </c>
    </row>
    <row r="290" spans="1:21" ht="18.75" hidden="1" x14ac:dyDescent="0.25">
      <c r="A290" s="257"/>
      <c r="B290" s="258"/>
      <c r="C290" s="258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77">
        <f t="shared" si="178"/>
        <v>0</v>
      </c>
      <c r="P290" s="77">
        <f t="shared" si="179"/>
        <v>0</v>
      </c>
      <c r="Q290" s="77">
        <v>0</v>
      </c>
      <c r="R290" s="77">
        <v>0</v>
      </c>
      <c r="S290" s="77">
        <v>0</v>
      </c>
      <c r="T290" s="77">
        <f t="shared" si="181"/>
        <v>0</v>
      </c>
      <c r="U290" s="77">
        <f t="shared" si="182"/>
        <v>0</v>
      </c>
    </row>
    <row r="291" spans="1:21" ht="18.75" hidden="1" x14ac:dyDescent="0.25">
      <c r="A291" s="257"/>
      <c r="B291" s="258"/>
      <c r="C291" s="258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3">
        <f ca="1">IFERROR(__xludf.DUMMYFUNCTION("IMPORTRANGE(""https://docs.google.com/spreadsheets/d/1-uDff_7J0KD5mKrp0Vvzr7lt3OU09vwQwhkpOPPYv2Y/edit?usp=sharing"",""งบพรบ!DR68"")"),0)</f>
        <v>0</v>
      </c>
      <c r="M291" s="74">
        <f ca="1">IFERROR(__xludf.DUMMYFUNCTION("IMPORTRANGE(""https://docs.google.com/spreadsheets/d/1-uDff_7J0KD5mKrp0Vvzr7lt3OU09vwQwhkpOPPYv2Y/edit?usp=sharing"",""งบพรบ!DU68"")"),0)</f>
        <v>0</v>
      </c>
      <c r="N291" s="74">
        <f ca="1">IFERROR(__xludf.DUMMYFUNCTION("IMPORTRANGE(""https://docs.google.com/spreadsheets/d/1-uDff_7J0KD5mKrp0Vvzr7lt3OU09vwQwhkpOPPYv2Y/edit?usp=sharing"",""งบพรบ!DW68"")"),0)</f>
        <v>0</v>
      </c>
      <c r="O291" s="74">
        <f t="shared" ca="1" si="178"/>
        <v>0</v>
      </c>
      <c r="P291" s="74">
        <f t="shared" ca="1" si="179"/>
        <v>0</v>
      </c>
      <c r="Q291" s="74">
        <v>0</v>
      </c>
      <c r="R291" s="74">
        <v>0</v>
      </c>
      <c r="S291" s="74">
        <v>0</v>
      </c>
      <c r="T291" s="74">
        <f t="shared" si="181"/>
        <v>0</v>
      </c>
      <c r="U291" s="74">
        <f t="shared" si="182"/>
        <v>0</v>
      </c>
    </row>
    <row r="292" spans="1:21" ht="19.5" hidden="1" x14ac:dyDescent="0.3">
      <c r="A292" s="276"/>
      <c r="B292" s="277"/>
      <c r="C292" s="259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IFERROR(__xludf.DUMMYFUNCTION("IMPORTRANGE(""https://docs.google.com/spreadsheets/d/1eHaY18a8A9IcSdp1K8H6x8fbOy06t2VsZHhMHf-1x7Y/edit?usp=sharing"",""แผน!EE68"")"),0)</f>
        <v>0</v>
      </c>
      <c r="J293" s="294">
        <v>0</v>
      </c>
      <c r="K293" s="768">
        <f t="shared" ref="K293:K294" ca="1" si="189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IFERROR(__xludf.DUMMYFUNCTION("IMPORTRANGE(""https://docs.google.com/spreadsheets/d/1eHaY18a8A9IcSdp1K8H6x8fbOy06t2VsZHhMHf-1x7Y/edit?usp=sharing"",""แผน!ED68"")"),0)</f>
        <v>0</v>
      </c>
      <c r="J294" s="622">
        <f>J297</f>
        <v>0</v>
      </c>
      <c r="K294" s="1105">
        <f t="shared" ca="1" si="189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96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IFERROR(__xludf.DUMMYFUNCTION("IMPORTRANGE(""https://docs.google.com/spreadsheets/d/1eHaY18a8A9IcSdp1K8H6x8fbOy06t2VsZHhMHf-1x7Y/edit?usp=sharing"",""แผน!ED68"")"),0)</f>
        <v>0</v>
      </c>
      <c r="J296" s="294">
        <v>0</v>
      </c>
      <c r="K296" s="768">
        <f t="shared" ref="K296:K297" ca="1" si="190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IFERROR(__xludf.DUMMYFUNCTION("IMPORTRANGE(""https://docs.google.com/spreadsheets/d/1eHaY18a8A9IcSdp1K8H6x8fbOy06t2VsZHhMHf-1x7Y/edit?usp=sharing"",""แผน!ED68"")"),0)</f>
        <v>0</v>
      </c>
      <c r="J297" s="294">
        <v>0</v>
      </c>
      <c r="K297" s="768">
        <f t="shared" ca="1" si="190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286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286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041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1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6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x14ac:dyDescent="0.3">
      <c r="A303" s="1179"/>
      <c r="B303" s="1180" t="s">
        <v>127</v>
      </c>
      <c r="C303" s="607"/>
      <c r="D303" s="607"/>
      <c r="E303" s="607"/>
      <c r="F303" s="607"/>
      <c r="G303" s="608"/>
      <c r="H303" s="1307" t="s">
        <v>35</v>
      </c>
      <c r="I303" s="617">
        <f t="shared" ref="I303:J303" ca="1" si="191">I315</f>
        <v>25</v>
      </c>
      <c r="J303" s="617">
        <f t="shared" si="191"/>
        <v>0</v>
      </c>
      <c r="K303" s="611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1257">
        <f t="shared" ref="L304:N304" ca="1" si="192">L305+L306</f>
        <v>203200</v>
      </c>
      <c r="M304" s="264">
        <f t="shared" ca="1" si="192"/>
        <v>203200</v>
      </c>
      <c r="N304" s="264">
        <f t="shared" ca="1" si="192"/>
        <v>45524</v>
      </c>
      <c r="O304" s="264">
        <f t="shared" ref="O304:O312" ca="1" si="193">IF(L304&gt;0,N304*100/L304,0)</f>
        <v>22.403543307086615</v>
      </c>
      <c r="P304" s="264">
        <f t="shared" ref="P304:P312" ca="1" si="194">IF(M304&gt;0,N304*100/M304,0)</f>
        <v>22.403543307086615</v>
      </c>
      <c r="Q304" s="264">
        <f t="shared" ref="Q304:S304" ca="1" si="195">Q305+Q306</f>
        <v>166057.24</v>
      </c>
      <c r="R304" s="264">
        <f t="shared" ca="1" si="195"/>
        <v>166057</v>
      </c>
      <c r="S304" s="264">
        <f t="shared" ca="1" si="195"/>
        <v>0</v>
      </c>
      <c r="T304" s="264">
        <f t="shared" ref="T304:T312" ca="1" si="196">IF(Q304&gt;0,S304*100/Q304,0)</f>
        <v>0</v>
      </c>
      <c r="U304" s="264">
        <f t="shared" ref="U304:U312" ca="1" si="197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6">
        <f t="shared" ref="L305:N306" si="198">L308+L311</f>
        <v>0</v>
      </c>
      <c r="M305" s="77">
        <f t="shared" si="198"/>
        <v>0</v>
      </c>
      <c r="N305" s="77">
        <f t="shared" si="198"/>
        <v>0</v>
      </c>
      <c r="O305" s="77">
        <f t="shared" si="193"/>
        <v>0</v>
      </c>
      <c r="P305" s="77">
        <f t="shared" si="194"/>
        <v>0</v>
      </c>
      <c r="Q305" s="77">
        <f t="shared" ref="Q305:S306" si="199">Q308+Q311</f>
        <v>0</v>
      </c>
      <c r="R305" s="77">
        <f t="shared" si="199"/>
        <v>0</v>
      </c>
      <c r="S305" s="77">
        <f t="shared" si="199"/>
        <v>0</v>
      </c>
      <c r="T305" s="77">
        <f t="shared" si="196"/>
        <v>0</v>
      </c>
      <c r="U305" s="77">
        <f t="shared" si="197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3">
        <f t="shared" ca="1" si="198"/>
        <v>203200</v>
      </c>
      <c r="M306" s="74">
        <f t="shared" ca="1" si="198"/>
        <v>203200</v>
      </c>
      <c r="N306" s="74">
        <f t="shared" ca="1" si="198"/>
        <v>45524</v>
      </c>
      <c r="O306" s="74">
        <f t="shared" ca="1" si="193"/>
        <v>22.403543307086615</v>
      </c>
      <c r="P306" s="74">
        <f t="shared" ca="1" si="194"/>
        <v>22.403543307086615</v>
      </c>
      <c r="Q306" s="74">
        <f t="shared" ca="1" si="199"/>
        <v>166057.24</v>
      </c>
      <c r="R306" s="74">
        <f t="shared" ca="1" si="199"/>
        <v>166057</v>
      </c>
      <c r="S306" s="74">
        <f t="shared" ca="1" si="199"/>
        <v>0</v>
      </c>
      <c r="T306" s="74">
        <f t="shared" ca="1" si="196"/>
        <v>0</v>
      </c>
      <c r="U306" s="74">
        <f t="shared" ca="1" si="197"/>
        <v>0</v>
      </c>
    </row>
    <row r="307" spans="1:21" ht="18.75" x14ac:dyDescent="0.25">
      <c r="A307" s="257"/>
      <c r="B307" s="258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3">
        <f t="shared" ref="L307:N307" ca="1" si="200">L308+L309</f>
        <v>203200</v>
      </c>
      <c r="M307" s="74">
        <f t="shared" ca="1" si="200"/>
        <v>203200</v>
      </c>
      <c r="N307" s="74">
        <f t="shared" ca="1" si="200"/>
        <v>45524</v>
      </c>
      <c r="O307" s="74">
        <f t="shared" ca="1" si="193"/>
        <v>22.403543307086615</v>
      </c>
      <c r="P307" s="74">
        <f t="shared" ca="1" si="194"/>
        <v>22.403543307086615</v>
      </c>
      <c r="Q307" s="74">
        <f t="shared" ref="Q307:S307" ca="1" si="201">Q308+Q309</f>
        <v>166057.24</v>
      </c>
      <c r="R307" s="74">
        <f t="shared" ca="1" si="201"/>
        <v>166057</v>
      </c>
      <c r="S307" s="74">
        <f t="shared" ca="1" si="201"/>
        <v>0</v>
      </c>
      <c r="T307" s="74">
        <f t="shared" ca="1" si="196"/>
        <v>0</v>
      </c>
      <c r="U307" s="74">
        <f t="shared" ca="1" si="197"/>
        <v>0</v>
      </c>
    </row>
    <row r="308" spans="1:21" ht="18.75" hidden="1" x14ac:dyDescent="0.25">
      <c r="A308" s="257"/>
      <c r="B308" s="258"/>
      <c r="C308" s="258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77">
        <f t="shared" si="193"/>
        <v>0</v>
      </c>
      <c r="P308" s="77">
        <f t="shared" si="194"/>
        <v>0</v>
      </c>
      <c r="Q308" s="77">
        <v>0</v>
      </c>
      <c r="R308" s="77">
        <v>0</v>
      </c>
      <c r="S308" s="77">
        <v>0</v>
      </c>
      <c r="T308" s="77">
        <f t="shared" si="196"/>
        <v>0</v>
      </c>
      <c r="U308" s="77">
        <f t="shared" si="197"/>
        <v>0</v>
      </c>
    </row>
    <row r="309" spans="1:21" ht="18.75" hidden="1" x14ac:dyDescent="0.25">
      <c r="A309" s="257"/>
      <c r="B309" s="258"/>
      <c r="C309" s="258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3">
        <f ca="1">IFERROR(__xludf.DUMMYFUNCTION("IMPORTRANGE(""https://docs.google.com/spreadsheets/d/1-uDff_7J0KD5mKrp0Vvzr7lt3OU09vwQwhkpOPPYv2Y/edit?usp=sharing"",""งบพรบ!DY68"")"),203200)</f>
        <v>203200</v>
      </c>
      <c r="M309" s="74">
        <f ca="1">IFERROR(__xludf.DUMMYFUNCTION("IMPORTRANGE(""https://docs.google.com/spreadsheets/d/1-uDff_7J0KD5mKrp0Vvzr7lt3OU09vwQwhkpOPPYv2Y/edit?usp=sharing"",""งบพรบ!ED68"")"),203200)</f>
        <v>203200</v>
      </c>
      <c r="N309" s="74">
        <f ca="1">IFERROR(__xludf.DUMMYFUNCTION("IMPORTRANGE(""https://docs.google.com/spreadsheets/d/1-uDff_7J0KD5mKrp0Vvzr7lt3OU09vwQwhkpOPPYv2Y/edit?usp=sharing"",""งบพรบ!EF68"")"),45524)</f>
        <v>45524</v>
      </c>
      <c r="O309" s="74">
        <f t="shared" ca="1" si="193"/>
        <v>22.403543307086615</v>
      </c>
      <c r="P309" s="74">
        <f t="shared" ca="1" si="194"/>
        <v>22.403543307086615</v>
      </c>
      <c r="Q309" s="74">
        <f ca="1">IFERROR(__xludf.DUMMYFUNCTION("IMPORTRANGE(""https://docs.google.com/spreadsheets/d/1ItG2mGa2ceCfYo0BwxsXqNm01IGEUdYcSSLTEv9YCik/edit?usp=sharing"",""เบิกจ่ายกองทุน!AP68"")"),166057.24)</f>
        <v>166057.24</v>
      </c>
      <c r="R309" s="74">
        <f ca="1">IFERROR(__xludf.DUMMYFUNCTION("IMPORTRANGE(""https://docs.google.com/spreadsheets/d/1ItG2mGa2ceCfYo0BwxsXqNm01IGEUdYcSSLTEv9YCik/edit?usp=sharing"",""เบิกจ่ายกองทุน!AQ68"")"),166057)</f>
        <v>166057</v>
      </c>
      <c r="S309" s="74">
        <f ca="1">IFERROR(__xludf.DUMMYFUNCTION("IMPORTRANGE(""https://docs.google.com/spreadsheets/d/1ItG2mGa2ceCfYo0BwxsXqNm01IGEUdYcSSLTEv9YCik/edit?usp=sharing"",""เบิกจ่ายกองทุน!AR68"")"),0)</f>
        <v>0</v>
      </c>
      <c r="T309" s="74">
        <f t="shared" ca="1" si="196"/>
        <v>0</v>
      </c>
      <c r="U309" s="74">
        <f t="shared" ca="1" si="197"/>
        <v>0</v>
      </c>
    </row>
    <row r="310" spans="1:21" ht="18.75" x14ac:dyDescent="0.25">
      <c r="A310" s="257"/>
      <c r="B310" s="258"/>
      <c r="C310" s="258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3">
        <f t="shared" ref="L310:N310" ca="1" si="202">L311+L312</f>
        <v>0</v>
      </c>
      <c r="M310" s="74">
        <f t="shared" ca="1" si="202"/>
        <v>0</v>
      </c>
      <c r="N310" s="74">
        <f t="shared" ca="1" si="202"/>
        <v>0</v>
      </c>
      <c r="O310" s="74">
        <f t="shared" ca="1" si="193"/>
        <v>0</v>
      </c>
      <c r="P310" s="74">
        <f t="shared" ca="1" si="194"/>
        <v>0</v>
      </c>
      <c r="Q310" s="74">
        <f t="shared" ref="Q310:S310" si="203">Q311+Q312</f>
        <v>0</v>
      </c>
      <c r="R310" s="74">
        <f t="shared" si="203"/>
        <v>0</v>
      </c>
      <c r="S310" s="74">
        <f t="shared" si="203"/>
        <v>0</v>
      </c>
      <c r="T310" s="74">
        <f t="shared" si="196"/>
        <v>0</v>
      </c>
      <c r="U310" s="74">
        <f t="shared" si="197"/>
        <v>0</v>
      </c>
    </row>
    <row r="311" spans="1:21" ht="18.75" hidden="1" x14ac:dyDescent="0.25">
      <c r="A311" s="257"/>
      <c r="B311" s="258"/>
      <c r="C311" s="258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77">
        <f t="shared" si="193"/>
        <v>0</v>
      </c>
      <c r="P311" s="77">
        <f t="shared" si="194"/>
        <v>0</v>
      </c>
      <c r="Q311" s="77">
        <v>0</v>
      </c>
      <c r="R311" s="77">
        <v>0</v>
      </c>
      <c r="S311" s="77">
        <v>0</v>
      </c>
      <c r="T311" s="77">
        <f t="shared" si="196"/>
        <v>0</v>
      </c>
      <c r="U311" s="77">
        <f t="shared" si="197"/>
        <v>0</v>
      </c>
    </row>
    <row r="312" spans="1:21" ht="18.75" hidden="1" x14ac:dyDescent="0.25">
      <c r="A312" s="257"/>
      <c r="B312" s="258"/>
      <c r="C312" s="258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3">
        <f ca="1">IFERROR(__xludf.DUMMYFUNCTION("IMPORTRANGE(""https://docs.google.com/spreadsheets/d/1-uDff_7J0KD5mKrp0Vvzr7lt3OU09vwQwhkpOPPYv2Y/edit?usp=sharing"",""งบพรบ!EB68"")"),0)</f>
        <v>0</v>
      </c>
      <c r="M312" s="74">
        <f ca="1">IFERROR(__xludf.DUMMYFUNCTION("IMPORTRANGE(""https://docs.google.com/spreadsheets/d/1-uDff_7J0KD5mKrp0Vvzr7lt3OU09vwQwhkpOPPYv2Y/edit?usp=sharing"",""งบพรบ!EE68"")"),0)</f>
        <v>0</v>
      </c>
      <c r="N312" s="74">
        <f ca="1">IFERROR(__xludf.DUMMYFUNCTION("IMPORTRANGE(""https://docs.google.com/spreadsheets/d/1-uDff_7J0KD5mKrp0Vvzr7lt3OU09vwQwhkpOPPYv2Y/edit?usp=sharing"",""งบพรบ!EG68"")"),0)</f>
        <v>0</v>
      </c>
      <c r="O312" s="74">
        <f t="shared" ca="1" si="193"/>
        <v>0</v>
      </c>
      <c r="P312" s="74">
        <f t="shared" ca="1" si="194"/>
        <v>0</v>
      </c>
      <c r="Q312" s="74">
        <v>0</v>
      </c>
      <c r="R312" s="74">
        <v>0</v>
      </c>
      <c r="S312" s="74">
        <v>0</v>
      </c>
      <c r="T312" s="74">
        <f t="shared" si="196"/>
        <v>0</v>
      </c>
      <c r="U312" s="74">
        <f t="shared" si="197"/>
        <v>0</v>
      </c>
    </row>
    <row r="313" spans="1:21" ht="19.5" x14ac:dyDescent="0.3">
      <c r="A313" s="276"/>
      <c r="B313" s="277"/>
      <c r="C313" s="259" t="s">
        <v>18</v>
      </c>
      <c r="D313" s="1019" t="s">
        <v>38</v>
      </c>
      <c r="E313" s="280"/>
      <c r="F313" s="280"/>
      <c r="G313" s="2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3"/>
      <c r="E314" s="285"/>
      <c r="F314" s="285"/>
      <c r="G314" s="286"/>
      <c r="H314" s="286"/>
      <c r="I314" s="287"/>
      <c r="J314" s="1252"/>
      <c r="K314" s="30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x14ac:dyDescent="0.25">
      <c r="A315" s="276"/>
      <c r="B315" s="277"/>
      <c r="C315" s="277"/>
      <c r="D315" s="295" t="s">
        <v>121</v>
      </c>
      <c r="E315" s="296"/>
      <c r="F315" s="296"/>
      <c r="G315" s="282"/>
      <c r="H315" s="299" t="s">
        <v>35</v>
      </c>
      <c r="I315" s="293">
        <f ca="1">IFERROR(__xludf.DUMMYFUNCTION("IMPORTRANGE(""https://docs.google.com/spreadsheets/d/1eHaY18a8A9IcSdp1K8H6x8fbOy06t2VsZHhMHf-1x7Y/edit?usp=sharing"",""แผน!EF68"")"),25)</f>
        <v>25</v>
      </c>
      <c r="J315" s="294">
        <v>0</v>
      </c>
      <c r="K315" s="74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308"/>
      <c r="I316" s="1252"/>
      <c r="J316" s="1252"/>
      <c r="K316" s="1255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308"/>
      <c r="I317" s="1252"/>
      <c r="J317" s="1252"/>
      <c r="K317" s="1255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491"/>
      <c r="B318" s="492"/>
      <c r="C318" s="492"/>
      <c r="D318" s="31"/>
      <c r="E318" s="21"/>
      <c r="F318" s="21"/>
      <c r="G318" s="24"/>
      <c r="H318" s="32"/>
      <c r="I318" s="494"/>
      <c r="J318" s="494"/>
      <c r="K318" s="33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5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1307" t="s">
        <v>133</v>
      </c>
      <c r="I320" s="617">
        <f t="shared" ref="I320:J320" ca="1" si="204">I331</f>
        <v>0</v>
      </c>
      <c r="J320" s="617">
        <f t="shared" si="204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1257">
        <f t="shared" ref="L321:N321" ca="1" si="205">L322+L323</f>
        <v>0</v>
      </c>
      <c r="M321" s="264">
        <f t="shared" ca="1" si="205"/>
        <v>0</v>
      </c>
      <c r="N321" s="264">
        <f t="shared" ca="1" si="205"/>
        <v>0</v>
      </c>
      <c r="O321" s="264">
        <f t="shared" ref="O321:O329" ca="1" si="206">IF(L321&gt;0,N321*100/L321,0)</f>
        <v>0</v>
      </c>
      <c r="P321" s="264">
        <f t="shared" ref="P321:P329" ca="1" si="207">IF(M321&gt;0,N321*100/M321,0)</f>
        <v>0</v>
      </c>
      <c r="Q321" s="264">
        <f t="shared" ref="Q321:S321" si="208">Q322+Q323</f>
        <v>0</v>
      </c>
      <c r="R321" s="264">
        <f t="shared" si="208"/>
        <v>0</v>
      </c>
      <c r="S321" s="264">
        <f t="shared" si="208"/>
        <v>0</v>
      </c>
      <c r="T321" s="264">
        <f t="shared" ref="T321:T329" si="209">IF(Q321&gt;0,S321*100/Q321,0)</f>
        <v>0</v>
      </c>
      <c r="U321" s="264">
        <f t="shared" ref="U321:U329" si="210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6">
        <f t="shared" ref="L322:N323" si="211">L325+L328</f>
        <v>0</v>
      </c>
      <c r="M322" s="77">
        <f t="shared" si="211"/>
        <v>0</v>
      </c>
      <c r="N322" s="77">
        <f t="shared" si="211"/>
        <v>0</v>
      </c>
      <c r="O322" s="77">
        <f t="shared" si="206"/>
        <v>0</v>
      </c>
      <c r="P322" s="77">
        <f t="shared" si="207"/>
        <v>0</v>
      </c>
      <c r="Q322" s="77">
        <f t="shared" ref="Q322:S323" si="212">Q325+Q328</f>
        <v>0</v>
      </c>
      <c r="R322" s="77">
        <f t="shared" si="212"/>
        <v>0</v>
      </c>
      <c r="S322" s="77">
        <f t="shared" si="212"/>
        <v>0</v>
      </c>
      <c r="T322" s="77">
        <f t="shared" si="209"/>
        <v>0</v>
      </c>
      <c r="U322" s="77">
        <f t="shared" si="210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3">
        <f t="shared" ca="1" si="211"/>
        <v>0</v>
      </c>
      <c r="M323" s="74">
        <f t="shared" ca="1" si="211"/>
        <v>0</v>
      </c>
      <c r="N323" s="74">
        <f t="shared" ca="1" si="211"/>
        <v>0</v>
      </c>
      <c r="O323" s="74">
        <f t="shared" ca="1" si="206"/>
        <v>0</v>
      </c>
      <c r="P323" s="74">
        <f t="shared" ca="1" si="207"/>
        <v>0</v>
      </c>
      <c r="Q323" s="74">
        <f t="shared" si="212"/>
        <v>0</v>
      </c>
      <c r="R323" s="74">
        <f t="shared" si="212"/>
        <v>0</v>
      </c>
      <c r="S323" s="74">
        <f t="shared" si="212"/>
        <v>0</v>
      </c>
      <c r="T323" s="74">
        <f t="shared" si="209"/>
        <v>0</v>
      </c>
      <c r="U323" s="74">
        <f t="shared" si="210"/>
        <v>0</v>
      </c>
    </row>
    <row r="324" spans="1:21" ht="18.75" hidden="1" x14ac:dyDescent="0.25">
      <c r="A324" s="257"/>
      <c r="B324" s="258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3">
        <f t="shared" ref="L324:N324" ca="1" si="213">L325+L326</f>
        <v>0</v>
      </c>
      <c r="M324" s="74">
        <f t="shared" ca="1" si="213"/>
        <v>0</v>
      </c>
      <c r="N324" s="74">
        <f t="shared" ca="1" si="213"/>
        <v>0</v>
      </c>
      <c r="O324" s="74">
        <f t="shared" ca="1" si="206"/>
        <v>0</v>
      </c>
      <c r="P324" s="74">
        <f t="shared" ca="1" si="207"/>
        <v>0</v>
      </c>
      <c r="Q324" s="74">
        <f t="shared" ref="Q324:S324" si="214">Q325+Q326</f>
        <v>0</v>
      </c>
      <c r="R324" s="74">
        <f t="shared" si="214"/>
        <v>0</v>
      </c>
      <c r="S324" s="74">
        <f t="shared" si="214"/>
        <v>0</v>
      </c>
      <c r="T324" s="74">
        <f t="shared" si="209"/>
        <v>0</v>
      </c>
      <c r="U324" s="74">
        <f t="shared" si="210"/>
        <v>0</v>
      </c>
    </row>
    <row r="325" spans="1:21" ht="18.75" hidden="1" x14ac:dyDescent="0.25">
      <c r="A325" s="257"/>
      <c r="B325" s="258"/>
      <c r="C325" s="258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77">
        <f t="shared" si="206"/>
        <v>0</v>
      </c>
      <c r="P325" s="77">
        <f t="shared" si="207"/>
        <v>0</v>
      </c>
      <c r="Q325" s="77">
        <v>0</v>
      </c>
      <c r="R325" s="77">
        <v>0</v>
      </c>
      <c r="S325" s="77">
        <v>0</v>
      </c>
      <c r="T325" s="77">
        <f t="shared" si="209"/>
        <v>0</v>
      </c>
      <c r="U325" s="77">
        <f t="shared" si="210"/>
        <v>0</v>
      </c>
    </row>
    <row r="326" spans="1:21" ht="18.75" hidden="1" x14ac:dyDescent="0.25">
      <c r="A326" s="257"/>
      <c r="B326" s="258"/>
      <c r="C326" s="258"/>
      <c r="D326" s="258"/>
      <c r="E326" s="267" t="s">
        <v>37</v>
      </c>
      <c r="F326" s="258"/>
      <c r="G326" s="261"/>
      <c r="H326" s="271" t="s">
        <v>14</v>
      </c>
      <c r="I326" s="272"/>
      <c r="J326" s="272"/>
      <c r="K326" s="229"/>
      <c r="L326" s="73">
        <f ca="1">IFERROR(__xludf.DUMMYFUNCTION("IMPORTRANGE(""https://docs.google.com/spreadsheets/d/1-uDff_7J0KD5mKrp0Vvzr7lt3OU09vwQwhkpOPPYv2Y/edit?usp=sharing"",""งบพรบ!EI68"")"),0)</f>
        <v>0</v>
      </c>
      <c r="M326" s="74">
        <f ca="1">IFERROR(__xludf.DUMMYFUNCTION("IMPORTRANGE(""https://docs.google.com/spreadsheets/d/1-uDff_7J0KD5mKrp0Vvzr7lt3OU09vwQwhkpOPPYv2Y/edit?usp=sharing"",""งบพรบ!EN68"")"),0)</f>
        <v>0</v>
      </c>
      <c r="N326" s="74">
        <f ca="1">IFERROR(__xludf.DUMMYFUNCTION("IMPORTRANGE(""https://docs.google.com/spreadsheets/d/1-uDff_7J0KD5mKrp0Vvzr7lt3OU09vwQwhkpOPPYv2Y/edit?usp=sharing"",""งบพรบ!EP68"")"),0)</f>
        <v>0</v>
      </c>
      <c r="O326" s="74">
        <f t="shared" ca="1" si="206"/>
        <v>0</v>
      </c>
      <c r="P326" s="74">
        <f t="shared" ca="1" si="207"/>
        <v>0</v>
      </c>
      <c r="Q326" s="74">
        <v>0</v>
      </c>
      <c r="R326" s="74">
        <v>0</v>
      </c>
      <c r="S326" s="74">
        <v>0</v>
      </c>
      <c r="T326" s="74">
        <f t="shared" si="209"/>
        <v>0</v>
      </c>
      <c r="U326" s="74">
        <f t="shared" si="210"/>
        <v>0</v>
      </c>
    </row>
    <row r="327" spans="1:21" ht="18.75" hidden="1" x14ac:dyDescent="0.25">
      <c r="A327" s="257"/>
      <c r="B327" s="258"/>
      <c r="C327" s="258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3">
        <f t="shared" ref="L327:N327" ca="1" si="215">L328+L329</f>
        <v>0</v>
      </c>
      <c r="M327" s="74">
        <f t="shared" ca="1" si="215"/>
        <v>0</v>
      </c>
      <c r="N327" s="74">
        <f t="shared" ca="1" si="215"/>
        <v>0</v>
      </c>
      <c r="O327" s="74">
        <f t="shared" ca="1" si="206"/>
        <v>0</v>
      </c>
      <c r="P327" s="74">
        <f t="shared" ca="1" si="207"/>
        <v>0</v>
      </c>
      <c r="Q327" s="74">
        <f t="shared" ref="Q327:S327" si="216">Q328+Q329</f>
        <v>0</v>
      </c>
      <c r="R327" s="74">
        <f t="shared" si="216"/>
        <v>0</v>
      </c>
      <c r="S327" s="74">
        <f t="shared" si="216"/>
        <v>0</v>
      </c>
      <c r="T327" s="74">
        <f t="shared" si="209"/>
        <v>0</v>
      </c>
      <c r="U327" s="74">
        <f t="shared" si="210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77">
        <f t="shared" si="206"/>
        <v>0</v>
      </c>
      <c r="P328" s="77">
        <f t="shared" si="207"/>
        <v>0</v>
      </c>
      <c r="Q328" s="77">
        <v>0</v>
      </c>
      <c r="R328" s="77">
        <v>0</v>
      </c>
      <c r="S328" s="77">
        <v>0</v>
      </c>
      <c r="T328" s="77">
        <f t="shared" si="209"/>
        <v>0</v>
      </c>
      <c r="U328" s="77">
        <f t="shared" si="210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3">
        <f ca="1">IFERROR(__xludf.DUMMYFUNCTION("IMPORTRANGE(""https://docs.google.com/spreadsheets/d/1-uDff_7J0KD5mKrp0Vvzr7lt3OU09vwQwhkpOPPYv2Y/edit?usp=sharing"",""งบพรบ!EL68"")"),0)</f>
        <v>0</v>
      </c>
      <c r="M329" s="74">
        <f ca="1">IFERROR(__xludf.DUMMYFUNCTION("IMPORTRANGE(""https://docs.google.com/spreadsheets/d/1-uDff_7J0KD5mKrp0Vvzr7lt3OU09vwQwhkpOPPYv2Y/edit?usp=sharing"",""งบพรบ!EO68"")"),0)</f>
        <v>0</v>
      </c>
      <c r="N329" s="74">
        <f ca="1">IFERROR(__xludf.DUMMYFUNCTION("IMPORTRANGE(""https://docs.google.com/spreadsheets/d/1-uDff_7J0KD5mKrp0Vvzr7lt3OU09vwQwhkpOPPYv2Y/edit?usp=sharing"",""งบพรบ!EQ68"")"),0)</f>
        <v>0</v>
      </c>
      <c r="O329" s="74">
        <f t="shared" ca="1" si="206"/>
        <v>0</v>
      </c>
      <c r="P329" s="74">
        <f t="shared" ca="1" si="207"/>
        <v>0</v>
      </c>
      <c r="Q329" s="74">
        <v>0</v>
      </c>
      <c r="R329" s="74">
        <v>0</v>
      </c>
      <c r="S329" s="74">
        <v>0</v>
      </c>
      <c r="T329" s="74">
        <f t="shared" si="209"/>
        <v>0</v>
      </c>
      <c r="U329" s="74">
        <f t="shared" si="210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282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92" t="s">
        <v>133</v>
      </c>
      <c r="I331" s="293">
        <f ca="1">IFERROR(__xludf.DUMMYFUNCTION("IMPORTRANGE(""https://docs.google.com/spreadsheets/d/1eHaY18a8A9IcSdp1K8H6x8fbOy06t2VsZHhMHf-1x7Y/edit?usp=sharing"",""แผน!EJ68"")"),0)</f>
        <v>0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5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1307" t="s">
        <v>35</v>
      </c>
      <c r="I333" s="534">
        <f ca="1">I345</f>
        <v>1400</v>
      </c>
      <c r="J333" s="535">
        <f ca="1">J345+J348+J349+J350+J354</f>
        <v>4686</v>
      </c>
      <c r="K333" s="536">
        <f ca="1">IF(I333&gt;0,J333*100/I333,0)</f>
        <v>334.71428571428572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1257">
        <f t="shared" ref="L334:N334" ca="1" si="217">L335+L336</f>
        <v>108000</v>
      </c>
      <c r="M334" s="264">
        <f t="shared" ca="1" si="217"/>
        <v>113000</v>
      </c>
      <c r="N334" s="264">
        <f t="shared" ca="1" si="217"/>
        <v>63140</v>
      </c>
      <c r="O334" s="264">
        <f t="shared" ref="O334:O342" ca="1" si="218">IF(L334&gt;0,N334*100/L334,0)</f>
        <v>58.462962962962962</v>
      </c>
      <c r="P334" s="264">
        <f t="shared" ref="P334:P342" ca="1" si="219">IF(M334&gt;0,N334*100/M334,0)</f>
        <v>55.876106194690266</v>
      </c>
      <c r="Q334" s="264">
        <f t="shared" ref="Q334:S334" si="220">Q335+Q336</f>
        <v>0</v>
      </c>
      <c r="R334" s="264">
        <f t="shared" si="220"/>
        <v>0</v>
      </c>
      <c r="S334" s="264">
        <f t="shared" si="220"/>
        <v>0</v>
      </c>
      <c r="T334" s="264">
        <f t="shared" ref="T334:T342" si="221">IF(Q334&gt;0,S334*100/Q334,0)</f>
        <v>0</v>
      </c>
      <c r="U334" s="264">
        <f t="shared" ref="U334:U342" si="222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6">
        <f t="shared" ref="L335:N336" si="223">L338+L341</f>
        <v>0</v>
      </c>
      <c r="M335" s="77">
        <f t="shared" si="223"/>
        <v>0</v>
      </c>
      <c r="N335" s="77">
        <f t="shared" si="223"/>
        <v>0</v>
      </c>
      <c r="O335" s="77">
        <f t="shared" si="218"/>
        <v>0</v>
      </c>
      <c r="P335" s="77">
        <f t="shared" si="219"/>
        <v>0</v>
      </c>
      <c r="Q335" s="77">
        <f t="shared" ref="Q335:S336" si="224">Q338+Q341</f>
        <v>0</v>
      </c>
      <c r="R335" s="77">
        <f t="shared" si="224"/>
        <v>0</v>
      </c>
      <c r="S335" s="77">
        <f t="shared" si="224"/>
        <v>0</v>
      </c>
      <c r="T335" s="77">
        <f t="shared" si="221"/>
        <v>0</v>
      </c>
      <c r="U335" s="77">
        <f t="shared" si="222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3">
        <f t="shared" ca="1" si="223"/>
        <v>108000</v>
      </c>
      <c r="M336" s="74">
        <f t="shared" ca="1" si="223"/>
        <v>113000</v>
      </c>
      <c r="N336" s="74">
        <f t="shared" ca="1" si="223"/>
        <v>63140</v>
      </c>
      <c r="O336" s="74">
        <f t="shared" ca="1" si="218"/>
        <v>58.462962962962962</v>
      </c>
      <c r="P336" s="74">
        <f t="shared" ca="1" si="219"/>
        <v>55.876106194690266</v>
      </c>
      <c r="Q336" s="74">
        <f t="shared" si="224"/>
        <v>0</v>
      </c>
      <c r="R336" s="74">
        <f t="shared" si="224"/>
        <v>0</v>
      </c>
      <c r="S336" s="74">
        <f t="shared" si="224"/>
        <v>0</v>
      </c>
      <c r="T336" s="74">
        <f t="shared" si="221"/>
        <v>0</v>
      </c>
      <c r="U336" s="74">
        <f t="shared" si="222"/>
        <v>0</v>
      </c>
    </row>
    <row r="337" spans="1:21" ht="18.75" x14ac:dyDescent="0.25">
      <c r="A337" s="257"/>
      <c r="B337" s="258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3">
        <f t="shared" ref="L337:N337" ca="1" si="225">L338+L339</f>
        <v>108000</v>
      </c>
      <c r="M337" s="74">
        <f t="shared" ca="1" si="225"/>
        <v>113000</v>
      </c>
      <c r="N337" s="74">
        <f t="shared" ca="1" si="225"/>
        <v>63140</v>
      </c>
      <c r="O337" s="74">
        <f t="shared" ca="1" si="218"/>
        <v>58.462962962962962</v>
      </c>
      <c r="P337" s="74">
        <f t="shared" ca="1" si="219"/>
        <v>55.876106194690266</v>
      </c>
      <c r="Q337" s="74">
        <f t="shared" ref="Q337:S337" si="226">Q338+Q339</f>
        <v>0</v>
      </c>
      <c r="R337" s="74">
        <f t="shared" si="226"/>
        <v>0</v>
      </c>
      <c r="S337" s="74">
        <f t="shared" si="226"/>
        <v>0</v>
      </c>
      <c r="T337" s="74">
        <f t="shared" si="221"/>
        <v>0</v>
      </c>
      <c r="U337" s="74">
        <f t="shared" si="222"/>
        <v>0</v>
      </c>
    </row>
    <row r="338" spans="1:21" ht="18.75" hidden="1" x14ac:dyDescent="0.25">
      <c r="A338" s="257"/>
      <c r="B338" s="258"/>
      <c r="C338" s="258"/>
      <c r="D338" s="258"/>
      <c r="E338" s="26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77">
        <f t="shared" si="218"/>
        <v>0</v>
      </c>
      <c r="P338" s="77">
        <f t="shared" si="219"/>
        <v>0</v>
      </c>
      <c r="Q338" s="77">
        <v>0</v>
      </c>
      <c r="R338" s="77">
        <v>0</v>
      </c>
      <c r="S338" s="77">
        <v>0</v>
      </c>
      <c r="T338" s="77">
        <f t="shared" si="221"/>
        <v>0</v>
      </c>
      <c r="U338" s="77">
        <f t="shared" si="222"/>
        <v>0</v>
      </c>
    </row>
    <row r="339" spans="1:21" ht="18.75" hidden="1" x14ac:dyDescent="0.25">
      <c r="A339" s="257"/>
      <c r="B339" s="258"/>
      <c r="C339" s="258"/>
      <c r="D339" s="258"/>
      <c r="E339" s="267" t="s">
        <v>37</v>
      </c>
      <c r="F339" s="258"/>
      <c r="G339" s="261"/>
      <c r="H339" s="271" t="s">
        <v>14</v>
      </c>
      <c r="I339" s="272"/>
      <c r="J339" s="272"/>
      <c r="K339" s="229"/>
      <c r="L339" s="73">
        <f ca="1">IFERROR(__xludf.DUMMYFUNCTION("IMPORTRANGE(""https://docs.google.com/spreadsheets/d/1-uDff_7J0KD5mKrp0Vvzr7lt3OU09vwQwhkpOPPYv2Y/edit?usp=sharing"",""งบพรบ!ES68"")"),108000)</f>
        <v>108000</v>
      </c>
      <c r="M339" s="74">
        <f ca="1">IFERROR(__xludf.DUMMYFUNCTION("IMPORTRANGE(""https://docs.google.com/spreadsheets/d/1-uDff_7J0KD5mKrp0Vvzr7lt3OU09vwQwhkpOPPYv2Y/edit?usp=sharing"",""งบพรบ!EX68"")"),113000)</f>
        <v>113000</v>
      </c>
      <c r="N339" s="74">
        <f ca="1">IFERROR(__xludf.DUMMYFUNCTION("IMPORTRANGE(""https://docs.google.com/spreadsheets/d/1-uDff_7J0KD5mKrp0Vvzr7lt3OU09vwQwhkpOPPYv2Y/edit?usp=sharing"",""งบพรบ!EZ68"")"),63140)</f>
        <v>63140</v>
      </c>
      <c r="O339" s="74">
        <f t="shared" ca="1" si="218"/>
        <v>58.462962962962962</v>
      </c>
      <c r="P339" s="74">
        <f t="shared" ca="1" si="219"/>
        <v>55.876106194690266</v>
      </c>
      <c r="Q339" s="74">
        <v>0</v>
      </c>
      <c r="R339" s="74">
        <v>0</v>
      </c>
      <c r="S339" s="74">
        <v>0</v>
      </c>
      <c r="T339" s="74">
        <f t="shared" si="221"/>
        <v>0</v>
      </c>
      <c r="U339" s="74">
        <f t="shared" si="222"/>
        <v>0</v>
      </c>
    </row>
    <row r="340" spans="1:21" ht="18.75" x14ac:dyDescent="0.25">
      <c r="A340" s="257"/>
      <c r="B340" s="258"/>
      <c r="C340" s="258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3">
        <f t="shared" ref="L340:N340" ca="1" si="227">L341+L342</f>
        <v>0</v>
      </c>
      <c r="M340" s="74">
        <f t="shared" ca="1" si="227"/>
        <v>0</v>
      </c>
      <c r="N340" s="74">
        <f t="shared" ca="1" si="227"/>
        <v>0</v>
      </c>
      <c r="O340" s="74">
        <f t="shared" ca="1" si="218"/>
        <v>0</v>
      </c>
      <c r="P340" s="74">
        <f t="shared" ca="1" si="219"/>
        <v>0</v>
      </c>
      <c r="Q340" s="74">
        <f t="shared" ref="Q340:S340" si="228">Q341+Q342</f>
        <v>0</v>
      </c>
      <c r="R340" s="74">
        <f t="shared" si="228"/>
        <v>0</v>
      </c>
      <c r="S340" s="74">
        <f t="shared" si="228"/>
        <v>0</v>
      </c>
      <c r="T340" s="74">
        <f t="shared" si="221"/>
        <v>0</v>
      </c>
      <c r="U340" s="74">
        <f t="shared" si="222"/>
        <v>0</v>
      </c>
    </row>
    <row r="341" spans="1:21" ht="18.75" hidden="1" x14ac:dyDescent="0.25">
      <c r="A341" s="257"/>
      <c r="B341" s="258"/>
      <c r="C341" s="258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77">
        <f t="shared" si="218"/>
        <v>0</v>
      </c>
      <c r="P341" s="77">
        <f t="shared" si="219"/>
        <v>0</v>
      </c>
      <c r="Q341" s="77">
        <v>0</v>
      </c>
      <c r="R341" s="77">
        <v>0</v>
      </c>
      <c r="S341" s="77">
        <v>0</v>
      </c>
      <c r="T341" s="77">
        <f t="shared" si="221"/>
        <v>0</v>
      </c>
      <c r="U341" s="77">
        <f t="shared" si="222"/>
        <v>0</v>
      </c>
    </row>
    <row r="342" spans="1:21" ht="18.75" hidden="1" x14ac:dyDescent="0.25">
      <c r="A342" s="257"/>
      <c r="B342" s="258"/>
      <c r="C342" s="258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3">
        <f ca="1">IFERROR(__xludf.DUMMYFUNCTION("IMPORTRANGE(""https://docs.google.com/spreadsheets/d/1-uDff_7J0KD5mKrp0Vvzr7lt3OU09vwQwhkpOPPYv2Y/edit?usp=sharing"",""งบพรบ!EV68"")"),0)</f>
        <v>0</v>
      </c>
      <c r="M342" s="74">
        <f ca="1">IFERROR(__xludf.DUMMYFUNCTION("IMPORTRANGE(""https://docs.google.com/spreadsheets/d/1-uDff_7J0KD5mKrp0Vvzr7lt3OU09vwQwhkpOPPYv2Y/edit?usp=sharing"",""งบพรบ!EY68"")"),0)</f>
        <v>0</v>
      </c>
      <c r="N342" s="74">
        <f ca="1">IFERROR(__xludf.DUMMYFUNCTION("IMPORTRANGE(""https://docs.google.com/spreadsheets/d/1-uDff_7J0KD5mKrp0Vvzr7lt3OU09vwQwhkpOPPYv2Y/edit?usp=sharing"",""งบพรบ!FA68"")"),0)</f>
        <v>0</v>
      </c>
      <c r="O342" s="74">
        <f t="shared" ca="1" si="218"/>
        <v>0</v>
      </c>
      <c r="P342" s="74">
        <f t="shared" ca="1" si="219"/>
        <v>0</v>
      </c>
      <c r="Q342" s="74">
        <v>0</v>
      </c>
      <c r="R342" s="74">
        <v>0</v>
      </c>
      <c r="S342" s="74">
        <v>0</v>
      </c>
      <c r="T342" s="74">
        <f t="shared" si="221"/>
        <v>0</v>
      </c>
      <c r="U342" s="74">
        <f t="shared" si="222"/>
        <v>0</v>
      </c>
    </row>
    <row r="343" spans="1:21" ht="19.5" x14ac:dyDescent="0.3">
      <c r="A343" s="276"/>
      <c r="B343" s="277"/>
      <c r="C343" s="259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1153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551" t="s">
        <v>35</v>
      </c>
      <c r="I345" s="293">
        <f ca="1">IFERROR(__xludf.DUMMYFUNCTION("IMPORTRANGE(""https://docs.google.com/spreadsheets/d/1eHaY18a8A9IcSdp1K8H6x8fbOy06t2VsZHhMHf-1x7Y/edit?usp=sharing"",""แผน!EK68"")"),1400)</f>
        <v>1400</v>
      </c>
      <c r="J345" s="293">
        <f ca="1">IFERROR(__xludf.DUMMYFUNCTION("IMPORTRANGE(""https://docs.google.com/spreadsheets/d/1awYsYK3VOup2i3Pq_Yjnu8DRu_mYwSBnCR2QPthd0rU/edit?usp=sharing"",""ศูนย์ยกเว้นโฉนด!D68"")"),1150)</f>
        <v>1150</v>
      </c>
      <c r="K345" s="74">
        <f ca="1">IF(I345&gt;0,J345*100/I345,0)</f>
        <v>82.142857142857139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IFERROR(__xludf.DUMMYFUNCTION("IMPORTRANGE(""https://docs.google.com/spreadsheets/d/1eHaY18a8A9IcSdp1K8H6x8fbOy06t2VsZHhMHf-1x7Y/edit?usp=sharing"",""แผน!EL68"")"),4)</f>
        <v>4</v>
      </c>
      <c r="J347" s="293">
        <f ca="1">IFERROR(__xludf.DUMMYFUNCTION("IMPORTRANGE(""https://docs.google.com/spreadsheets/d/1awYsYK3VOup2i3Pq_Yjnu8DRu_mYwSBnCR2QPthd0rU/edit?usp=sharing"",""ศูนย์รวม!E68"")"),5)</f>
        <v>5</v>
      </c>
      <c r="K347" s="74">
        <f ca="1">IF(I347&gt;0,J347*100/I347,0)</f>
        <v>125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IFERROR(__xludf.DUMMYFUNCTION("IMPORTRANGE(""https://docs.google.com/spreadsheets/d/1awYsYK3VOup2i3Pq_Yjnu8DRu_mYwSBnCR2QPthd0rU/edit?usp=sharing"",""ศูนย์ยกเว้นโฉนด!F68"")"),3)</f>
        <v>3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IFERROR(__xludf.DUMMYFUNCTION("IMPORTRANGE(""https://docs.google.com/spreadsheets/d/1awYsYK3VOup2i3Pq_Yjnu8DRu_mYwSBnCR2QPthd0rU/edit?usp=sharing"",""ศูนย์ยกเว้นโฉนด!G68"")"),0)</f>
        <v>0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IFERROR(__xludf.DUMMYFUNCTION("IMPORTRANGE(""https://docs.google.com/spreadsheets/d/1awYsYK3VOup2i3Pq_Yjnu8DRu_mYwSBnCR2QPthd0rU/edit?usp=sharing"",""ศูนย์ยกเว้นโฉนด!H68"")"),0)</f>
        <v>0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558" t="s">
        <v>35</v>
      </c>
      <c r="I352" s="559">
        <v>0</v>
      </c>
      <c r="J352" s="559">
        <f ca="1">J353+J354</f>
        <v>4647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IFERROR(__xludf.DUMMYFUNCTION("IMPORTRANGE(""https://docs.google.com/spreadsheets/d/1awYsYK3VOup2i3Pq_Yjnu8DRu_mYwSBnCR2QPthd0rU/edit?usp=sharing"",""โฉนดM3!G68"")"),1114)</f>
        <v>1114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IFERROR(__xludf.DUMMYFUNCTION("IMPORTRANGE(""https://docs.google.com/spreadsheets/d/1awYsYK3VOup2i3Pq_Yjnu8DRu_mYwSBnCR2QPthd0rU/edit?usp=sharing"",""โฉนดM3!H68"")"),3533)</f>
        <v>3533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08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1257">
        <f t="shared" ref="L357:N357" ca="1" si="229">L358+L359</f>
        <v>563400</v>
      </c>
      <c r="M357" s="264">
        <f t="shared" ca="1" si="229"/>
        <v>570720</v>
      </c>
      <c r="N357" s="264">
        <f t="shared" ca="1" si="229"/>
        <v>318061</v>
      </c>
      <c r="O357" s="264">
        <f t="shared" ref="O357:O365" ca="1" si="230">IF(L357&gt;0,N357*100/L357,0)</f>
        <v>56.453851615193472</v>
      </c>
      <c r="P357" s="264">
        <f t="shared" ref="P357:P365" ca="1" si="231">IF(M357&gt;0,N357*100/M357,0)</f>
        <v>55.729779927109618</v>
      </c>
      <c r="Q357" s="264">
        <f t="shared" ref="Q357:S357" si="232">Q358+Q359</f>
        <v>0</v>
      </c>
      <c r="R357" s="264">
        <f t="shared" si="232"/>
        <v>0</v>
      </c>
      <c r="S357" s="264">
        <f t="shared" si="232"/>
        <v>0</v>
      </c>
      <c r="T357" s="264">
        <f t="shared" ref="T357:T365" si="233">IF(Q357&gt;0,S357*100/Q357,0)</f>
        <v>0</v>
      </c>
      <c r="U357" s="264">
        <f t="shared" ref="U357:U365" si="234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6">
        <f t="shared" ref="L358:N359" si="235">L361+L364</f>
        <v>0</v>
      </c>
      <c r="M358" s="77">
        <f t="shared" si="235"/>
        <v>0</v>
      </c>
      <c r="N358" s="77">
        <f t="shared" si="235"/>
        <v>0</v>
      </c>
      <c r="O358" s="77">
        <f t="shared" si="230"/>
        <v>0</v>
      </c>
      <c r="P358" s="77">
        <f t="shared" si="231"/>
        <v>0</v>
      </c>
      <c r="Q358" s="77">
        <f t="shared" ref="Q358:S359" si="236">Q361+Q364</f>
        <v>0</v>
      </c>
      <c r="R358" s="77">
        <f t="shared" si="236"/>
        <v>0</v>
      </c>
      <c r="S358" s="77">
        <f t="shared" si="236"/>
        <v>0</v>
      </c>
      <c r="T358" s="77">
        <f t="shared" si="233"/>
        <v>0</v>
      </c>
      <c r="U358" s="77">
        <f t="shared" si="234"/>
        <v>0</v>
      </c>
    </row>
    <row r="359" spans="1:21" ht="18.75" hidden="1" x14ac:dyDescent="0.25">
      <c r="A359" s="257"/>
      <c r="B359" s="258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3">
        <f t="shared" ca="1" si="235"/>
        <v>563400</v>
      </c>
      <c r="M359" s="74">
        <f t="shared" ca="1" si="235"/>
        <v>570720</v>
      </c>
      <c r="N359" s="74">
        <f t="shared" ca="1" si="235"/>
        <v>318061</v>
      </c>
      <c r="O359" s="74">
        <f t="shared" ca="1" si="230"/>
        <v>56.453851615193472</v>
      </c>
      <c r="P359" s="74">
        <f t="shared" ca="1" si="231"/>
        <v>55.729779927109618</v>
      </c>
      <c r="Q359" s="74">
        <f t="shared" si="236"/>
        <v>0</v>
      </c>
      <c r="R359" s="74">
        <f t="shared" si="236"/>
        <v>0</v>
      </c>
      <c r="S359" s="74">
        <f t="shared" si="236"/>
        <v>0</v>
      </c>
      <c r="T359" s="74">
        <f t="shared" si="233"/>
        <v>0</v>
      </c>
      <c r="U359" s="74">
        <f t="shared" si="234"/>
        <v>0</v>
      </c>
    </row>
    <row r="360" spans="1:21" ht="18.75" x14ac:dyDescent="0.25">
      <c r="A360" s="257"/>
      <c r="B360" s="258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3">
        <f t="shared" ref="L360:N360" ca="1" si="237">L361+L362</f>
        <v>563400</v>
      </c>
      <c r="M360" s="74">
        <f t="shared" ca="1" si="237"/>
        <v>570720</v>
      </c>
      <c r="N360" s="74">
        <f t="shared" ca="1" si="237"/>
        <v>318061</v>
      </c>
      <c r="O360" s="74">
        <f t="shared" ca="1" si="230"/>
        <v>56.453851615193472</v>
      </c>
      <c r="P360" s="74">
        <f t="shared" ca="1" si="231"/>
        <v>55.729779927109618</v>
      </c>
      <c r="Q360" s="74">
        <f t="shared" ref="Q360:S360" si="238">Q361+Q362</f>
        <v>0</v>
      </c>
      <c r="R360" s="74">
        <f t="shared" si="238"/>
        <v>0</v>
      </c>
      <c r="S360" s="74">
        <f t="shared" si="238"/>
        <v>0</v>
      </c>
      <c r="T360" s="74">
        <f t="shared" si="233"/>
        <v>0</v>
      </c>
      <c r="U360" s="74">
        <f t="shared" si="234"/>
        <v>0</v>
      </c>
    </row>
    <row r="361" spans="1:21" ht="18.75" hidden="1" x14ac:dyDescent="0.25">
      <c r="A361" s="257"/>
      <c r="B361" s="258"/>
      <c r="C361" s="258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77">
        <f t="shared" si="230"/>
        <v>0</v>
      </c>
      <c r="P361" s="77">
        <f t="shared" si="231"/>
        <v>0</v>
      </c>
      <c r="Q361" s="77">
        <v>0</v>
      </c>
      <c r="R361" s="77">
        <v>0</v>
      </c>
      <c r="S361" s="77">
        <v>0</v>
      </c>
      <c r="T361" s="77">
        <f t="shared" si="233"/>
        <v>0</v>
      </c>
      <c r="U361" s="77">
        <f t="shared" si="234"/>
        <v>0</v>
      </c>
    </row>
    <row r="362" spans="1:21" ht="18.75" hidden="1" x14ac:dyDescent="0.25">
      <c r="A362" s="257"/>
      <c r="B362" s="258"/>
      <c r="C362" s="258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3">
        <f ca="1">IFERROR(__xludf.DUMMYFUNCTION("IMPORTRANGE(""https://docs.google.com/spreadsheets/d/1-uDff_7J0KD5mKrp0Vvzr7lt3OU09vwQwhkpOPPYv2Y/edit?usp=sharing"",""งบพรบ!FC68"")"),563400)</f>
        <v>563400</v>
      </c>
      <c r="M362" s="74">
        <f ca="1">IFERROR(__xludf.DUMMYFUNCTION("IMPORTRANGE(""https://docs.google.com/spreadsheets/d/1-uDff_7J0KD5mKrp0Vvzr7lt3OU09vwQwhkpOPPYv2Y/edit?usp=sharing"",""งบพรบ!FH68"")"),570720)</f>
        <v>570720</v>
      </c>
      <c r="N362" s="74">
        <f ca="1">IFERROR(__xludf.DUMMYFUNCTION("IMPORTRANGE(""https://docs.google.com/spreadsheets/d/1-uDff_7J0KD5mKrp0Vvzr7lt3OU09vwQwhkpOPPYv2Y/edit?usp=sharing"",""งบพรบ!FJ68"")"),318061)</f>
        <v>318061</v>
      </c>
      <c r="O362" s="74">
        <f t="shared" ca="1" si="230"/>
        <v>56.453851615193472</v>
      </c>
      <c r="P362" s="74">
        <f t="shared" ca="1" si="231"/>
        <v>55.729779927109618</v>
      </c>
      <c r="Q362" s="74">
        <v>0</v>
      </c>
      <c r="R362" s="74">
        <v>0</v>
      </c>
      <c r="S362" s="74">
        <v>0</v>
      </c>
      <c r="T362" s="74">
        <f t="shared" si="233"/>
        <v>0</v>
      </c>
      <c r="U362" s="74">
        <f t="shared" si="234"/>
        <v>0</v>
      </c>
    </row>
    <row r="363" spans="1:21" ht="18.75" x14ac:dyDescent="0.25">
      <c r="A363" s="257"/>
      <c r="B363" s="258"/>
      <c r="C363" s="258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3">
        <f t="shared" ref="L363:N363" ca="1" si="239">L364+L365</f>
        <v>0</v>
      </c>
      <c r="M363" s="74">
        <f t="shared" ca="1" si="239"/>
        <v>0</v>
      </c>
      <c r="N363" s="74">
        <f t="shared" ca="1" si="239"/>
        <v>0</v>
      </c>
      <c r="O363" s="74">
        <f t="shared" ca="1" si="230"/>
        <v>0</v>
      </c>
      <c r="P363" s="74">
        <f t="shared" ca="1" si="231"/>
        <v>0</v>
      </c>
      <c r="Q363" s="74">
        <f t="shared" ref="Q363:S363" si="240">Q364+Q365</f>
        <v>0</v>
      </c>
      <c r="R363" s="74">
        <f t="shared" si="240"/>
        <v>0</v>
      </c>
      <c r="S363" s="74">
        <f t="shared" si="240"/>
        <v>0</v>
      </c>
      <c r="T363" s="74">
        <f t="shared" si="233"/>
        <v>0</v>
      </c>
      <c r="U363" s="74">
        <f t="shared" si="234"/>
        <v>0</v>
      </c>
    </row>
    <row r="364" spans="1:21" ht="18.75" hidden="1" x14ac:dyDescent="0.25">
      <c r="A364" s="257"/>
      <c r="B364" s="258"/>
      <c r="C364" s="258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77">
        <f t="shared" si="230"/>
        <v>0</v>
      </c>
      <c r="P364" s="77">
        <f t="shared" si="231"/>
        <v>0</v>
      </c>
      <c r="Q364" s="77">
        <v>0</v>
      </c>
      <c r="R364" s="77">
        <v>0</v>
      </c>
      <c r="S364" s="77">
        <v>0</v>
      </c>
      <c r="T364" s="77">
        <f t="shared" si="233"/>
        <v>0</v>
      </c>
      <c r="U364" s="77">
        <f t="shared" si="234"/>
        <v>0</v>
      </c>
    </row>
    <row r="365" spans="1:21" ht="18.75" hidden="1" x14ac:dyDescent="0.25">
      <c r="A365" s="257"/>
      <c r="B365" s="258"/>
      <c r="C365" s="258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3">
        <f ca="1">IFERROR(__xludf.DUMMYFUNCTION("IMPORTRANGE(""https://docs.google.com/spreadsheets/d/1-uDff_7J0KD5mKrp0Vvzr7lt3OU09vwQwhkpOPPYv2Y/edit?usp=sharing"",""งบพรบ!FF68"")"),0)</f>
        <v>0</v>
      </c>
      <c r="M365" s="74">
        <f ca="1">IFERROR(__xludf.DUMMYFUNCTION("IMPORTRANGE(""https://docs.google.com/spreadsheets/d/1-uDff_7J0KD5mKrp0Vvzr7lt3OU09vwQwhkpOPPYv2Y/edit?usp=sharing"",""งบพรบ!FI68"")"),0)</f>
        <v>0</v>
      </c>
      <c r="N365" s="74">
        <f ca="1">IFERROR(__xludf.DUMMYFUNCTION("IMPORTRANGE(""https://docs.google.com/spreadsheets/d/1-uDff_7J0KD5mKrp0Vvzr7lt3OU09vwQwhkpOPPYv2Y/edit?usp=sharing"",""งบพรบ!FK68"")"),0)</f>
        <v>0</v>
      </c>
      <c r="O365" s="74">
        <f t="shared" ca="1" si="230"/>
        <v>0</v>
      </c>
      <c r="P365" s="74">
        <f t="shared" ca="1" si="231"/>
        <v>0</v>
      </c>
      <c r="Q365" s="74">
        <v>0</v>
      </c>
      <c r="R365" s="74">
        <v>0</v>
      </c>
      <c r="S365" s="74">
        <v>0</v>
      </c>
      <c r="T365" s="74">
        <f t="shared" si="233"/>
        <v>0</v>
      </c>
      <c r="U365" s="74">
        <f t="shared" si="234"/>
        <v>0</v>
      </c>
    </row>
    <row r="366" spans="1:21" ht="19.5" x14ac:dyDescent="0.3">
      <c r="A366" s="553"/>
      <c r="B366" s="555"/>
      <c r="C366" s="554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1">I372</f>
        <v>125</v>
      </c>
      <c r="J366" s="559">
        <f t="shared" ca="1" si="241"/>
        <v>44</v>
      </c>
      <c r="K366" s="560">
        <f ca="1">IF(I366&gt;0,J366*100/I366,0)</f>
        <v>35.200000000000003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259" t="s">
        <v>18</v>
      </c>
      <c r="D367" s="1019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96"/>
      <c r="C368" s="277"/>
      <c r="D368" s="296"/>
      <c r="E368" s="767" t="s">
        <v>150</v>
      </c>
      <c r="F368" s="296"/>
      <c r="G368" s="282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IFERROR(__xludf.DUMMYFUNCTION("IMPORTRANGE(""https://docs.google.com/spreadsheets/d/1tdoBKaGub7dwA3U6UFTqxio9LNnvDCQjHKmttSEBsFQ/edit?usp=sharing"",""จัดที่ดิน!AB68"")"),71)</f>
        <v>71</v>
      </c>
      <c r="K368" s="74">
        <f t="shared" ref="K368:K373" si="242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IFERROR(__xludf.DUMMYFUNCTION("IMPORTRANGE(""https://docs.google.com/spreadsheets/d/1eHaY18a8A9IcSdp1K8H6x8fbOy06t2VsZHhMHf-1x7Y/edit?usp=sharing"",""แผน!EW68"")"),1065)</f>
        <v>1065</v>
      </c>
      <c r="J369" s="1190">
        <f ca="1">IFERROR(__xludf.DUMMYFUNCTION("IMPORTRANGE(""https://docs.google.com/spreadsheets/d/1tdoBKaGub7dwA3U6UFTqxio9LNnvDCQjHKmttSEBsFQ/edit?usp=sharing"",""จัดที่ดิน!AC68"")"),663.449999999999)</f>
        <v>663.44999999999902</v>
      </c>
      <c r="K369" s="74">
        <f t="shared" ca="1" si="242"/>
        <v>62.295774647887228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99" t="s">
        <v>35</v>
      </c>
      <c r="I370" s="293">
        <f ca="1">IFERROR(__xludf.DUMMYFUNCTION("IMPORTRANGE(""https://docs.google.com/spreadsheets/d/1eHaY18a8A9IcSdp1K8H6x8fbOy06t2VsZHhMHf-1x7Y/edit?usp=sharing"",""แผน!EX68"")"),195)</f>
        <v>195</v>
      </c>
      <c r="J370" s="293">
        <f ca="1">IFERROR(__xludf.DUMMYFUNCTION("IMPORTRANGE(""https://docs.google.com/spreadsheets/d/1tdoBKaGub7dwA3U6UFTqxio9LNnvDCQjHKmttSEBsFQ/edit?usp=sharing"",""จัดที่ดิน!AD68"")"),107)</f>
        <v>107</v>
      </c>
      <c r="K370" s="74">
        <f t="shared" ca="1" si="242"/>
        <v>54.871794871794869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99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IFERROR(__xludf.DUMMYFUNCTION("IMPORTRANGE(""https://docs.google.com/spreadsheets/d/1tdoBKaGub7dwA3U6UFTqxio9LNnvDCQjHKmttSEBsFQ/edit?usp=sharing"",""จัดที่ดิน!AE68"")"),1457.42)</f>
        <v>1457.42</v>
      </c>
      <c r="K371" s="74">
        <f t="shared" si="242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99" t="s">
        <v>35</v>
      </c>
      <c r="I372" s="293">
        <f ca="1">IFERROR(__xludf.DUMMYFUNCTION("IMPORTRANGE(""https://docs.google.com/spreadsheets/d/1eHaY18a8A9IcSdp1K8H6x8fbOy06t2VsZHhMHf-1x7Y/edit?usp=sharing"",""แผน!EY68"")"),125)</f>
        <v>125</v>
      </c>
      <c r="J372" s="293">
        <f ca="1">IFERROR(__xludf.DUMMYFUNCTION("IMPORTRANGE(""https://docs.google.com/spreadsheets/d/1tdoBKaGub7dwA3U6UFTqxio9LNnvDCQjHKmttSEBsFQ/edit?usp=sharing"",""จัดที่ดิน!AF68"")"),44)</f>
        <v>44</v>
      </c>
      <c r="K372" s="74">
        <f t="shared" ca="1" si="242"/>
        <v>35.200000000000003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99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IFERROR(__xludf.DUMMYFUNCTION("IMPORTRANGE(""https://docs.google.com/spreadsheets/d/1tdoBKaGub7dwA3U6UFTqxio9LNnvDCQjHKmttSEBsFQ/edit?usp=sharing"",""จัดที่ดิน!AG68"")"),908.75)</f>
        <v>908.75</v>
      </c>
      <c r="K373" s="74">
        <f t="shared" si="242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37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3">I386</f>
        <v>3000</v>
      </c>
      <c r="J375" s="585">
        <f t="shared" si="243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1257">
        <f t="shared" ref="L376:N376" si="244">L377+L378</f>
        <v>0</v>
      </c>
      <c r="M376" s="264">
        <f t="shared" si="244"/>
        <v>0</v>
      </c>
      <c r="N376" s="264">
        <f t="shared" si="244"/>
        <v>0</v>
      </c>
      <c r="O376" s="264">
        <f t="shared" ref="O376:O384" si="245">IF(L376&gt;0,N376*100/L376,0)</f>
        <v>0</v>
      </c>
      <c r="P376" s="264">
        <f t="shared" ref="P376:P384" si="246">IF(M376&gt;0,N376*100/M376,0)</f>
        <v>0</v>
      </c>
      <c r="Q376" s="264">
        <f t="shared" ref="Q376:S376" ca="1" si="247">Q377+Q378</f>
        <v>187500</v>
      </c>
      <c r="R376" s="264">
        <f t="shared" ca="1" si="247"/>
        <v>0</v>
      </c>
      <c r="S376" s="264">
        <f t="shared" ca="1" si="247"/>
        <v>0</v>
      </c>
      <c r="T376" s="264">
        <f t="shared" ref="T376:T384" ca="1" si="248">IF(Q376&gt;0,S376*100/Q376,0)</f>
        <v>0</v>
      </c>
      <c r="U376" s="264">
        <f t="shared" ref="U376:U384" ca="1" si="249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6">
        <f t="shared" ref="L377:N378" si="250">L380+L383</f>
        <v>0</v>
      </c>
      <c r="M377" s="77">
        <f t="shared" si="250"/>
        <v>0</v>
      </c>
      <c r="N377" s="77">
        <f t="shared" si="250"/>
        <v>0</v>
      </c>
      <c r="O377" s="77">
        <f t="shared" si="245"/>
        <v>0</v>
      </c>
      <c r="P377" s="77">
        <f t="shared" si="246"/>
        <v>0</v>
      </c>
      <c r="Q377" s="77">
        <f t="shared" ref="Q377:S378" si="251">Q380+Q383</f>
        <v>0</v>
      </c>
      <c r="R377" s="77">
        <f t="shared" si="251"/>
        <v>0</v>
      </c>
      <c r="S377" s="77">
        <f t="shared" si="251"/>
        <v>0</v>
      </c>
      <c r="T377" s="77">
        <f t="shared" si="248"/>
        <v>0</v>
      </c>
      <c r="U377" s="77">
        <f t="shared" si="249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3">
        <f t="shared" si="250"/>
        <v>0</v>
      </c>
      <c r="M378" s="74">
        <f t="shared" si="250"/>
        <v>0</v>
      </c>
      <c r="N378" s="74">
        <f t="shared" si="250"/>
        <v>0</v>
      </c>
      <c r="O378" s="74">
        <f t="shared" si="245"/>
        <v>0</v>
      </c>
      <c r="P378" s="74">
        <f t="shared" si="246"/>
        <v>0</v>
      </c>
      <c r="Q378" s="74">
        <f t="shared" ca="1" si="251"/>
        <v>187500</v>
      </c>
      <c r="R378" s="74">
        <f t="shared" ca="1" si="251"/>
        <v>0</v>
      </c>
      <c r="S378" s="74">
        <f t="shared" ca="1" si="251"/>
        <v>0</v>
      </c>
      <c r="T378" s="74">
        <f t="shared" ca="1" si="248"/>
        <v>0</v>
      </c>
      <c r="U378" s="74">
        <f t="shared" ca="1" si="249"/>
        <v>0</v>
      </c>
    </row>
    <row r="379" spans="1:21" ht="18.75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3">
        <f t="shared" ref="L379:N379" si="252">L380+L381</f>
        <v>0</v>
      </c>
      <c r="M379" s="74">
        <f t="shared" si="252"/>
        <v>0</v>
      </c>
      <c r="N379" s="74">
        <f t="shared" si="252"/>
        <v>0</v>
      </c>
      <c r="O379" s="74">
        <f t="shared" si="245"/>
        <v>0</v>
      </c>
      <c r="P379" s="74">
        <f t="shared" si="246"/>
        <v>0</v>
      </c>
      <c r="Q379" s="74">
        <f t="shared" ref="Q379:S379" ca="1" si="253">Q380+Q381</f>
        <v>187500</v>
      </c>
      <c r="R379" s="74">
        <f t="shared" ca="1" si="253"/>
        <v>0</v>
      </c>
      <c r="S379" s="74">
        <f t="shared" ca="1" si="253"/>
        <v>0</v>
      </c>
      <c r="T379" s="74">
        <f t="shared" ca="1" si="248"/>
        <v>0</v>
      </c>
      <c r="U379" s="74">
        <f t="shared" ca="1" si="249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77">
        <f t="shared" si="245"/>
        <v>0</v>
      </c>
      <c r="P380" s="77">
        <f t="shared" si="246"/>
        <v>0</v>
      </c>
      <c r="Q380" s="77">
        <v>0</v>
      </c>
      <c r="R380" s="77">
        <v>0</v>
      </c>
      <c r="S380" s="77">
        <v>0</v>
      </c>
      <c r="T380" s="77">
        <f t="shared" si="248"/>
        <v>0</v>
      </c>
      <c r="U380" s="77">
        <f t="shared" si="249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74">
        <f t="shared" si="245"/>
        <v>0</v>
      </c>
      <c r="P381" s="74">
        <f t="shared" si="246"/>
        <v>0</v>
      </c>
      <c r="Q381" s="74">
        <f ca="1">IFERROR(__xludf.DUMMYFUNCTION("IMPORTRANGE(""https://docs.google.com/spreadsheets/d/1ItG2mGa2ceCfYo0BwxsXqNm01IGEUdYcSSLTEv9YCik/edit?usp=sharing"",""เบิกจ่ายกองทุน!AY68"")"),187500)</f>
        <v>187500</v>
      </c>
      <c r="R381" s="74">
        <f ca="1">IFERROR(__xludf.DUMMYFUNCTION("IMPORTRANGE(""https://docs.google.com/spreadsheets/d/1ItG2mGa2ceCfYo0BwxsXqNm01IGEUdYcSSLTEv9YCik/edit?usp=sharing"",""เบิกจ่ายกองทุน!AZ68"")"),0)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IFERROR(__xludf.DUMMYFUNCTION("IMPORTRANGE(""https://docs.google.com/spreadsheets/d/1ItG2mGa2ceCfYo0BwxsXqNm01IGEUdYcSSLTEv9YCik/edit?usp=sharing"",""เบิกจ่ายกองทุน!BA68"")"),0)</f>
        <v>0</v>
      </c>
      <c r="T381" s="74">
        <f t="shared" ca="1" si="248"/>
        <v>0</v>
      </c>
      <c r="U381" s="74">
        <f t="shared" ca="1" si="249"/>
        <v>0</v>
      </c>
    </row>
    <row r="382" spans="1:21" ht="18.75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3">
        <f t="shared" ref="L382:N382" si="254">L383+L384</f>
        <v>0</v>
      </c>
      <c r="M382" s="74">
        <f t="shared" si="254"/>
        <v>0</v>
      </c>
      <c r="N382" s="74">
        <f t="shared" si="254"/>
        <v>0</v>
      </c>
      <c r="O382" s="74">
        <f t="shared" si="245"/>
        <v>0</v>
      </c>
      <c r="P382" s="74">
        <f t="shared" si="246"/>
        <v>0</v>
      </c>
      <c r="Q382" s="74">
        <f t="shared" ref="Q382:S382" si="255">Q383+Q384</f>
        <v>0</v>
      </c>
      <c r="R382" s="74">
        <f t="shared" si="255"/>
        <v>0</v>
      </c>
      <c r="S382" s="74">
        <f t="shared" si="255"/>
        <v>0</v>
      </c>
      <c r="T382" s="74">
        <f t="shared" si="248"/>
        <v>0</v>
      </c>
      <c r="U382" s="74">
        <f t="shared" si="249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77">
        <f t="shared" si="245"/>
        <v>0</v>
      </c>
      <c r="P383" s="77">
        <f t="shared" si="246"/>
        <v>0</v>
      </c>
      <c r="Q383" s="77">
        <v>0</v>
      </c>
      <c r="R383" s="77">
        <v>0</v>
      </c>
      <c r="S383" s="77">
        <v>0</v>
      </c>
      <c r="T383" s="77">
        <f t="shared" si="248"/>
        <v>0</v>
      </c>
      <c r="U383" s="77">
        <f t="shared" si="249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74">
        <f t="shared" si="245"/>
        <v>0</v>
      </c>
      <c r="P384" s="74">
        <f t="shared" si="246"/>
        <v>0</v>
      </c>
      <c r="Q384" s="74">
        <v>0</v>
      </c>
      <c r="R384" s="74">
        <v>0</v>
      </c>
      <c r="S384" s="74">
        <v>0</v>
      </c>
      <c r="T384" s="74">
        <f t="shared" si="248"/>
        <v>0</v>
      </c>
      <c r="U384" s="74">
        <f t="shared" si="249"/>
        <v>0</v>
      </c>
    </row>
    <row r="385" spans="1:21" ht="19.5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f ca="1">IFERROR(__xludf.DUMMYFUNCTION("IMPORTRANGE(""https://docs.google.com/spreadsheets/d/1eHaY18a8A9IcSdp1K8H6x8fbOy06t2VsZHhMHf-1x7Y/edit?usp=sharing"",""แผน!JQ68"")"),3000)</f>
        <v>3000</v>
      </c>
      <c r="J386" s="293">
        <v>0</v>
      </c>
      <c r="K386" s="74">
        <f t="shared" ref="K386:K389" ca="1" si="256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IFERROR(__xludf.DUMMYFUNCTION("IMPORTRANGE(""https://docs.google.com/spreadsheets/d/1eHaY18a8A9IcSdp1K8H6x8fbOy06t2VsZHhMHf-1x7Y/edit?usp=sharing"",""แผน!JQ68"")"),3000)</f>
        <v>3000</v>
      </c>
      <c r="J387" s="293">
        <v>0</v>
      </c>
      <c r="K387" s="74">
        <f t="shared" ca="1" si="256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hidden="1" x14ac:dyDescent="0.25">
      <c r="A388" s="269"/>
      <c r="B388" s="269"/>
      <c r="C388" s="269"/>
      <c r="D388" s="269"/>
      <c r="E388" s="775" t="s">
        <v>155</v>
      </c>
      <c r="F388" s="269"/>
      <c r="G388" s="312"/>
      <c r="H388" s="266" t="s">
        <v>34</v>
      </c>
      <c r="I388" s="592">
        <v>0</v>
      </c>
      <c r="J388" s="592">
        <v>0</v>
      </c>
      <c r="K388" s="77">
        <f t="shared" si="256"/>
        <v>0</v>
      </c>
      <c r="L388" s="86"/>
      <c r="M388" s="87"/>
      <c r="N388" s="87"/>
      <c r="O388" s="87"/>
      <c r="P388" s="87"/>
      <c r="Q388" s="87"/>
      <c r="R388" s="87"/>
      <c r="S388" s="87"/>
      <c r="T388" s="87"/>
      <c r="U388" s="87"/>
    </row>
    <row r="389" spans="1:21" ht="18.75" hidden="1" x14ac:dyDescent="0.25">
      <c r="A389" s="269"/>
      <c r="B389" s="269"/>
      <c r="C389" s="269"/>
      <c r="D389" s="269"/>
      <c r="E389" s="269"/>
      <c r="F389" s="269"/>
      <c r="G389" s="312"/>
      <c r="H389" s="266" t="s">
        <v>46</v>
      </c>
      <c r="I389" s="592">
        <v>0</v>
      </c>
      <c r="J389" s="592">
        <v>0</v>
      </c>
      <c r="K389" s="77">
        <f t="shared" si="256"/>
        <v>0</v>
      </c>
      <c r="L389" s="86"/>
      <c r="M389" s="87"/>
      <c r="N389" s="87"/>
      <c r="O389" s="87"/>
      <c r="P389" s="87"/>
      <c r="Q389" s="87"/>
      <c r="R389" s="87"/>
      <c r="S389" s="87"/>
      <c r="T389" s="87"/>
      <c r="U389" s="87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7">I403</f>
        <v>0</v>
      </c>
      <c r="J392" s="1189">
        <f t="shared" si="257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1257">
        <f t="shared" ref="L393:N393" si="258">L394+L395</f>
        <v>0</v>
      </c>
      <c r="M393" s="264">
        <f t="shared" si="258"/>
        <v>0</v>
      </c>
      <c r="N393" s="264">
        <f t="shared" si="258"/>
        <v>0</v>
      </c>
      <c r="O393" s="264">
        <f t="shared" ref="O393:O401" si="259">IF(L393&gt;0,N393*100/L393,0)</f>
        <v>0</v>
      </c>
      <c r="P393" s="264">
        <f t="shared" ref="P393:P401" si="260">IF(M393&gt;0,N393*100/M393,0)</f>
        <v>0</v>
      </c>
      <c r="Q393" s="264">
        <f t="shared" ref="Q393:S393" si="261">Q394+Q395</f>
        <v>0</v>
      </c>
      <c r="R393" s="264">
        <f t="shared" si="261"/>
        <v>0</v>
      </c>
      <c r="S393" s="264">
        <f t="shared" si="261"/>
        <v>0</v>
      </c>
      <c r="T393" s="264">
        <f t="shared" ref="T393:T401" si="262">IF(Q393&gt;0,S393*100/Q393,0)</f>
        <v>0</v>
      </c>
      <c r="U393" s="264">
        <f t="shared" ref="U393:U401" si="263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6">
        <f t="shared" ref="L394:N395" si="264">L397+L400</f>
        <v>0</v>
      </c>
      <c r="M394" s="77">
        <f t="shared" si="264"/>
        <v>0</v>
      </c>
      <c r="N394" s="77">
        <f t="shared" si="264"/>
        <v>0</v>
      </c>
      <c r="O394" s="77">
        <f t="shared" si="259"/>
        <v>0</v>
      </c>
      <c r="P394" s="77">
        <f t="shared" si="260"/>
        <v>0</v>
      </c>
      <c r="Q394" s="77">
        <f t="shared" ref="Q394:S395" si="265">Q397+Q400</f>
        <v>0</v>
      </c>
      <c r="R394" s="77">
        <f t="shared" si="265"/>
        <v>0</v>
      </c>
      <c r="S394" s="77">
        <f t="shared" si="265"/>
        <v>0</v>
      </c>
      <c r="T394" s="77">
        <f t="shared" si="262"/>
        <v>0</v>
      </c>
      <c r="U394" s="77">
        <f t="shared" si="263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3">
        <f t="shared" si="264"/>
        <v>0</v>
      </c>
      <c r="M395" s="74">
        <f t="shared" si="264"/>
        <v>0</v>
      </c>
      <c r="N395" s="74">
        <f t="shared" si="264"/>
        <v>0</v>
      </c>
      <c r="O395" s="74">
        <f t="shared" si="259"/>
        <v>0</v>
      </c>
      <c r="P395" s="74">
        <f t="shared" si="260"/>
        <v>0</v>
      </c>
      <c r="Q395" s="74">
        <f t="shared" si="265"/>
        <v>0</v>
      </c>
      <c r="R395" s="74">
        <f t="shared" si="265"/>
        <v>0</v>
      </c>
      <c r="S395" s="74">
        <f t="shared" si="265"/>
        <v>0</v>
      </c>
      <c r="T395" s="74">
        <f t="shared" si="262"/>
        <v>0</v>
      </c>
      <c r="U395" s="74">
        <f t="shared" si="263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3">
        <f t="shared" ref="L396:N396" si="266">L397+L398</f>
        <v>0</v>
      </c>
      <c r="M396" s="74">
        <f t="shared" si="266"/>
        <v>0</v>
      </c>
      <c r="N396" s="74">
        <f t="shared" si="266"/>
        <v>0</v>
      </c>
      <c r="O396" s="74">
        <f t="shared" si="259"/>
        <v>0</v>
      </c>
      <c r="P396" s="74">
        <f t="shared" si="260"/>
        <v>0</v>
      </c>
      <c r="Q396" s="74">
        <f t="shared" ref="Q396:S396" si="267">Q397+Q398</f>
        <v>0</v>
      </c>
      <c r="R396" s="74">
        <f t="shared" si="267"/>
        <v>0</v>
      </c>
      <c r="S396" s="74">
        <f t="shared" si="267"/>
        <v>0</v>
      </c>
      <c r="T396" s="74">
        <f t="shared" si="262"/>
        <v>0</v>
      </c>
      <c r="U396" s="74">
        <f t="shared" si="263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77">
        <f t="shared" si="259"/>
        <v>0</v>
      </c>
      <c r="P397" s="77">
        <f t="shared" si="260"/>
        <v>0</v>
      </c>
      <c r="Q397" s="77">
        <v>0</v>
      </c>
      <c r="R397" s="77">
        <v>0</v>
      </c>
      <c r="S397" s="77">
        <v>0</v>
      </c>
      <c r="T397" s="77">
        <f t="shared" si="262"/>
        <v>0</v>
      </c>
      <c r="U397" s="77">
        <f t="shared" si="263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74">
        <f t="shared" si="259"/>
        <v>0</v>
      </c>
      <c r="P398" s="74">
        <f t="shared" si="260"/>
        <v>0</v>
      </c>
      <c r="Q398" s="74">
        <v>0</v>
      </c>
      <c r="R398" s="74">
        <v>0</v>
      </c>
      <c r="S398" s="74">
        <v>0</v>
      </c>
      <c r="T398" s="74">
        <f t="shared" si="262"/>
        <v>0</v>
      </c>
      <c r="U398" s="74">
        <f t="shared" si="263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3">
        <f t="shared" ref="L399:N399" si="268">L400+L401</f>
        <v>0</v>
      </c>
      <c r="M399" s="74">
        <f t="shared" si="268"/>
        <v>0</v>
      </c>
      <c r="N399" s="74">
        <f t="shared" si="268"/>
        <v>0</v>
      </c>
      <c r="O399" s="74">
        <f t="shared" si="259"/>
        <v>0</v>
      </c>
      <c r="P399" s="74">
        <f t="shared" si="260"/>
        <v>0</v>
      </c>
      <c r="Q399" s="74">
        <f t="shared" ref="Q399:S399" si="269">Q400+Q401</f>
        <v>0</v>
      </c>
      <c r="R399" s="74">
        <f t="shared" si="269"/>
        <v>0</v>
      </c>
      <c r="S399" s="74">
        <f t="shared" si="269"/>
        <v>0</v>
      </c>
      <c r="T399" s="74">
        <f t="shared" si="262"/>
        <v>0</v>
      </c>
      <c r="U399" s="74">
        <f t="shared" si="263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77">
        <f t="shared" si="259"/>
        <v>0</v>
      </c>
      <c r="P400" s="77">
        <f t="shared" si="260"/>
        <v>0</v>
      </c>
      <c r="Q400" s="77">
        <v>0</v>
      </c>
      <c r="R400" s="77">
        <v>0</v>
      </c>
      <c r="S400" s="77">
        <v>0</v>
      </c>
      <c r="T400" s="77">
        <f t="shared" si="262"/>
        <v>0</v>
      </c>
      <c r="U400" s="77">
        <f t="shared" si="263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74">
        <f t="shared" si="259"/>
        <v>0</v>
      </c>
      <c r="P401" s="74">
        <f t="shared" si="260"/>
        <v>0</v>
      </c>
      <c r="Q401" s="74">
        <v>0</v>
      </c>
      <c r="R401" s="74">
        <v>0</v>
      </c>
      <c r="S401" s="74">
        <v>0</v>
      </c>
      <c r="T401" s="74">
        <f t="shared" si="262"/>
        <v>0</v>
      </c>
      <c r="U401" s="74">
        <f t="shared" si="263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70">I424</f>
        <v>0</v>
      </c>
      <c r="J413" s="617">
        <f t="shared" si="270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1257">
        <f t="shared" ref="L414:N414" si="271">L415+L416</f>
        <v>0</v>
      </c>
      <c r="M414" s="264">
        <f t="shared" si="271"/>
        <v>0</v>
      </c>
      <c r="N414" s="264">
        <f t="shared" si="271"/>
        <v>0</v>
      </c>
      <c r="O414" s="264">
        <f t="shared" ref="O414:O422" si="272">IF(L414&gt;0,N414*100/L414,0)</f>
        <v>0</v>
      </c>
      <c r="P414" s="264">
        <f t="shared" ref="P414:P422" si="273">IF(M414&gt;0,N414*100/M414,0)</f>
        <v>0</v>
      </c>
      <c r="Q414" s="264">
        <f t="shared" ref="Q414:S414" ca="1" si="274">Q415+Q416</f>
        <v>0</v>
      </c>
      <c r="R414" s="264">
        <f t="shared" ca="1" si="274"/>
        <v>0</v>
      </c>
      <c r="S414" s="264">
        <f t="shared" ca="1" si="274"/>
        <v>0</v>
      </c>
      <c r="T414" s="264">
        <f t="shared" ref="T414:T422" ca="1" si="275">IF(Q414&gt;0,S414*100/Q414,0)</f>
        <v>0</v>
      </c>
      <c r="U414" s="264">
        <f t="shared" ref="U414:U422" ca="1" si="276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6">
        <f t="shared" ref="L415:N416" si="277">L418+L421</f>
        <v>0</v>
      </c>
      <c r="M415" s="77">
        <f t="shared" si="277"/>
        <v>0</v>
      </c>
      <c r="N415" s="77">
        <f t="shared" si="277"/>
        <v>0</v>
      </c>
      <c r="O415" s="77">
        <f t="shared" si="272"/>
        <v>0</v>
      </c>
      <c r="P415" s="77">
        <f t="shared" si="273"/>
        <v>0</v>
      </c>
      <c r="Q415" s="77">
        <f t="shared" ref="Q415:S416" si="278">Q418+Q421</f>
        <v>0</v>
      </c>
      <c r="R415" s="77">
        <f t="shared" si="278"/>
        <v>0</v>
      </c>
      <c r="S415" s="77">
        <f t="shared" si="278"/>
        <v>0</v>
      </c>
      <c r="T415" s="77">
        <f t="shared" si="275"/>
        <v>0</v>
      </c>
      <c r="U415" s="77">
        <f t="shared" si="276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3">
        <f t="shared" si="277"/>
        <v>0</v>
      </c>
      <c r="M416" s="74">
        <f t="shared" si="277"/>
        <v>0</v>
      </c>
      <c r="N416" s="74">
        <f t="shared" si="277"/>
        <v>0</v>
      </c>
      <c r="O416" s="74">
        <f t="shared" si="272"/>
        <v>0</v>
      </c>
      <c r="P416" s="74">
        <f t="shared" si="273"/>
        <v>0</v>
      </c>
      <c r="Q416" s="74">
        <f t="shared" ca="1" si="278"/>
        <v>0</v>
      </c>
      <c r="R416" s="74">
        <f t="shared" ca="1" si="278"/>
        <v>0</v>
      </c>
      <c r="S416" s="74">
        <f t="shared" ca="1" si="278"/>
        <v>0</v>
      </c>
      <c r="T416" s="74">
        <f t="shared" ca="1" si="275"/>
        <v>0</v>
      </c>
      <c r="U416" s="74">
        <f t="shared" ca="1" si="276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3">
        <f t="shared" ref="L417:N417" si="279">L418+L419</f>
        <v>0</v>
      </c>
      <c r="M417" s="74">
        <f t="shared" si="279"/>
        <v>0</v>
      </c>
      <c r="N417" s="74">
        <f t="shared" si="279"/>
        <v>0</v>
      </c>
      <c r="O417" s="74">
        <f t="shared" si="272"/>
        <v>0</v>
      </c>
      <c r="P417" s="74">
        <f t="shared" si="273"/>
        <v>0</v>
      </c>
      <c r="Q417" s="74">
        <f t="shared" ref="Q417:S417" ca="1" si="280">Q418+Q419</f>
        <v>0</v>
      </c>
      <c r="R417" s="74">
        <f t="shared" ca="1" si="280"/>
        <v>0</v>
      </c>
      <c r="S417" s="74">
        <f t="shared" ca="1" si="280"/>
        <v>0</v>
      </c>
      <c r="T417" s="74">
        <f t="shared" ca="1" si="275"/>
        <v>0</v>
      </c>
      <c r="U417" s="74">
        <f t="shared" ca="1" si="276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77">
        <f t="shared" si="272"/>
        <v>0</v>
      </c>
      <c r="P418" s="77">
        <f t="shared" si="273"/>
        <v>0</v>
      </c>
      <c r="Q418" s="77">
        <v>0</v>
      </c>
      <c r="R418" s="77">
        <v>0</v>
      </c>
      <c r="S418" s="77">
        <v>0</v>
      </c>
      <c r="T418" s="77">
        <f t="shared" si="275"/>
        <v>0</v>
      </c>
      <c r="U418" s="77">
        <f t="shared" si="276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74">
        <f t="shared" si="272"/>
        <v>0</v>
      </c>
      <c r="P419" s="74">
        <f t="shared" si="273"/>
        <v>0</v>
      </c>
      <c r="Q419" s="74">
        <f ca="1">IFERROR(__xludf.DUMMYFUNCTION("IMPORTRANGE(""https://docs.google.com/spreadsheets/d/1ItG2mGa2ceCfYo0BwxsXqNm01IGEUdYcSSLTEv9YCik/edit?usp=sharing"",""เบิกจ่ายกองทุน!BH68"")"),0)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IFERROR(__xludf.DUMMYFUNCTION("IMPORTRANGE(""https://docs.google.com/spreadsheets/d/1ItG2mGa2ceCfYo0BwxsXqNm01IGEUdYcSSLTEv9YCik/edit?usp=sharing"",""เบิกจ่ายกองทุน!BI68"")"),0)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IFERROR(__xludf.DUMMYFUNCTION("IMPORTRANGE(""https://docs.google.com/spreadsheets/d/1ItG2mGa2ceCfYo0BwxsXqNm01IGEUdYcSSLTEv9YCik/edit?usp=sharing"",""เบิกจ่ายกองทุน!BJ68"")"),0)</f>
        <v>0</v>
      </c>
      <c r="T419" s="74">
        <f t="shared" ca="1" si="275"/>
        <v>0</v>
      </c>
      <c r="U419" s="74">
        <f t="shared" ca="1" si="276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3">
        <f t="shared" ref="L420:N420" si="281">L421+L422</f>
        <v>0</v>
      </c>
      <c r="M420" s="74">
        <f t="shared" si="281"/>
        <v>0</v>
      </c>
      <c r="N420" s="74">
        <f t="shared" si="281"/>
        <v>0</v>
      </c>
      <c r="O420" s="74">
        <f t="shared" si="272"/>
        <v>0</v>
      </c>
      <c r="P420" s="74">
        <f t="shared" si="273"/>
        <v>0</v>
      </c>
      <c r="Q420" s="74">
        <f t="shared" ref="Q420:S420" si="282">Q421+Q422</f>
        <v>0</v>
      </c>
      <c r="R420" s="74">
        <f t="shared" si="282"/>
        <v>0</v>
      </c>
      <c r="S420" s="74">
        <f t="shared" si="282"/>
        <v>0</v>
      </c>
      <c r="T420" s="74">
        <f t="shared" si="275"/>
        <v>0</v>
      </c>
      <c r="U420" s="74">
        <f t="shared" si="276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77">
        <f t="shared" si="272"/>
        <v>0</v>
      </c>
      <c r="P421" s="77">
        <f t="shared" si="273"/>
        <v>0</v>
      </c>
      <c r="Q421" s="77">
        <v>0</v>
      </c>
      <c r="R421" s="77">
        <v>0</v>
      </c>
      <c r="S421" s="77">
        <v>0</v>
      </c>
      <c r="T421" s="77">
        <f t="shared" si="275"/>
        <v>0</v>
      </c>
      <c r="U421" s="77">
        <f t="shared" si="276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74">
        <f t="shared" si="272"/>
        <v>0</v>
      </c>
      <c r="P422" s="74">
        <f t="shared" si="273"/>
        <v>0</v>
      </c>
      <c r="Q422" s="74">
        <v>0</v>
      </c>
      <c r="R422" s="74">
        <v>0</v>
      </c>
      <c r="S422" s="74">
        <v>0</v>
      </c>
      <c r="T422" s="74">
        <f t="shared" si="275"/>
        <v>0</v>
      </c>
      <c r="U422" s="74">
        <f t="shared" si="276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3">I441</f>
        <v>0</v>
      </c>
      <c r="J424" s="622">
        <f t="shared" si="283"/>
        <v>0</v>
      </c>
      <c r="K424" s="264">
        <f t="shared" ref="K424:K426" ca="1" si="284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IFERROR(__xludf.DUMMYFUNCTION("IMPORTRANGE(""https://docs.google.com/spreadsheets/d/1eHaY18a8A9IcSdp1K8H6x8fbOy06t2VsZHhMHf-1x7Y/edit?usp=sharing"",""แผน!HJ68"")"),0)</f>
        <v>0</v>
      </c>
      <c r="J425" s="622">
        <f t="shared" ref="J425:J426" si="285">J427+J429+J431</f>
        <v>0</v>
      </c>
      <c r="K425" s="264">
        <f t="shared" ca="1" si="284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IFERROR(__xludf.DUMMYFUNCTION("IMPORTRANGE(""https://docs.google.com/spreadsheets/d/1eHaY18a8A9IcSdp1K8H6x8fbOy06t2VsZHhMHf-1x7Y/edit?usp=sharing"",""แผน!HK68"")"),0)</f>
        <v>0</v>
      </c>
      <c r="J426" s="622">
        <f t="shared" si="285"/>
        <v>0</v>
      </c>
      <c r="K426" s="264">
        <f t="shared" ca="1" si="284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IFERROR(__xludf.DUMMYFUNCTION("IMPORTRANGE(""https://docs.google.com/spreadsheets/d/1eHaY18a8A9IcSdp1K8H6x8fbOy06t2VsZHhMHf-1x7Y/edit?usp=sharing"",""แผน!HJ68"")"),0)</f>
        <v>0</v>
      </c>
      <c r="J433" s="622">
        <f t="shared" ref="J433:J434" si="286">J435+J437+J439</f>
        <v>0</v>
      </c>
      <c r="K433" s="264">
        <f t="shared" ref="K433:K434" ca="1" si="287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IFERROR(__xludf.DUMMYFUNCTION("IMPORTRANGE(""https://docs.google.com/spreadsheets/d/1eHaY18a8A9IcSdp1K8H6x8fbOy06t2VsZHhMHf-1x7Y/edit?usp=sharing"",""แผน!HK68"")"),0)</f>
        <v>0</v>
      </c>
      <c r="J434" s="622">
        <f t="shared" si="286"/>
        <v>0</v>
      </c>
      <c r="K434" s="264">
        <f t="shared" ca="1" si="287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IFERROR(__xludf.DUMMYFUNCTION("IMPORTRANGE(""https://docs.google.com/spreadsheets/d/1eHaY18a8A9IcSdp1K8H6x8fbOy06t2VsZHhMHf-1x7Y/edit?usp=sharing"",""แผน!HJ68"")"),0)</f>
        <v>0</v>
      </c>
      <c r="J441" s="622">
        <f t="shared" ref="J441:J442" si="288">J443+J445+J447+J453+J455</f>
        <v>0</v>
      </c>
      <c r="K441" s="264">
        <f t="shared" ref="K441:K442" ca="1" si="289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IFERROR(__xludf.DUMMYFUNCTION("IMPORTRANGE(""https://docs.google.com/spreadsheets/d/1eHaY18a8A9IcSdp1K8H6x8fbOy06t2VsZHhMHf-1x7Y/edit?usp=sharing"",""แผน!HK68"")"),0)</f>
        <v>0</v>
      </c>
      <c r="J442" s="622">
        <f t="shared" si="288"/>
        <v>0</v>
      </c>
      <c r="K442" s="264">
        <f t="shared" ca="1" si="289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90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90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1">I458</f>
        <v>0</v>
      </c>
      <c r="J457" s="622">
        <f t="shared" si="291"/>
        <v>0</v>
      </c>
      <c r="K457" s="264">
        <f t="shared" ref="K457:K459" ca="1" si="292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IFERROR(__xludf.DUMMYFUNCTION("IMPORTRANGE(""https://docs.google.com/spreadsheets/d/1eHaY18a8A9IcSdp1K8H6x8fbOy06t2VsZHhMHf-1x7Y/edit?usp=sharing"",""แผน!HL68"")"),0)</f>
        <v>0</v>
      </c>
      <c r="J458" s="622">
        <f t="shared" ref="J458:J459" si="293">J460+J468+J474</f>
        <v>0</v>
      </c>
      <c r="K458" s="264">
        <f t="shared" ca="1" si="292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IFERROR(__xludf.DUMMYFUNCTION("IMPORTRANGE(""https://docs.google.com/spreadsheets/d/1eHaY18a8A9IcSdp1K8H6x8fbOy06t2VsZHhMHf-1x7Y/edit?usp=sharing"",""แผน!HM68"")"),0)</f>
        <v>0</v>
      </c>
      <c r="J459" s="622">
        <f t="shared" si="293"/>
        <v>0</v>
      </c>
      <c r="K459" s="264">
        <f t="shared" ca="1" si="292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4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4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5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5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6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7">J479+J481</f>
        <v>0</v>
      </c>
      <c r="K477" s="264">
        <f t="shared" si="296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7"/>
        <v>0</v>
      </c>
      <c r="K478" s="264">
        <f t="shared" si="296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IFERROR(__xludf.DUMMYFUNCTION("IMPORTRANGE(""https://docs.google.com/spreadsheets/d/1eHaY18a8A9IcSdp1K8H6x8fbOy06t2VsZHhMHf-1x7Y/edit?usp=sharing"",""แผน!HN68"")"),0)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IFERROR(__xludf.DUMMYFUNCTION("IMPORTRANGE(""https://docs.google.com/spreadsheets/d/1eHaY18a8A9IcSdp1K8H6x8fbOy06t2VsZHhMHf-1x7Y/edit?usp=sharing"",""แผน!HO68"")"),0)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8">J481</f>
        <v>0</v>
      </c>
      <c r="J485" s="622">
        <f t="shared" ref="J485:J486" si="299">J487+J489+J491</f>
        <v>0</v>
      </c>
      <c r="K485" s="264">
        <f t="shared" ref="K485:K486" si="300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8"/>
        <v>0</v>
      </c>
      <c r="J486" s="622">
        <f t="shared" si="299"/>
        <v>0</v>
      </c>
      <c r="K486" s="264">
        <f t="shared" si="300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hidden="1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1">I504</f>
        <v>0</v>
      </c>
      <c r="J493" s="617">
        <f t="shared" ca="1" si="301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1257">
        <f t="shared" ref="L494:N494" si="302">L495+L496</f>
        <v>0</v>
      </c>
      <c r="M494" s="264">
        <f t="shared" si="302"/>
        <v>0</v>
      </c>
      <c r="N494" s="264">
        <f t="shared" si="302"/>
        <v>0</v>
      </c>
      <c r="O494" s="264">
        <f t="shared" ref="O494:O502" si="303">IF(L494&gt;0,N494*100/L494,0)</f>
        <v>0</v>
      </c>
      <c r="P494" s="264">
        <f t="shared" ref="P494:P502" si="304">IF(M494&gt;0,N494*100/M494,0)</f>
        <v>0</v>
      </c>
      <c r="Q494" s="264">
        <f t="shared" ref="Q494:S494" ca="1" si="305">Q495+Q496</f>
        <v>0</v>
      </c>
      <c r="R494" s="264">
        <f t="shared" ca="1" si="305"/>
        <v>0</v>
      </c>
      <c r="S494" s="264">
        <f t="shared" ca="1" si="305"/>
        <v>0</v>
      </c>
      <c r="T494" s="264">
        <f t="shared" ref="T494:T502" ca="1" si="306">IF(Q494&gt;0,S494*100/Q494,0)</f>
        <v>0</v>
      </c>
      <c r="U494" s="264">
        <f t="shared" ref="U494:U502" ca="1" si="307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6">
        <f t="shared" ref="L495:N496" si="308">L498+L501</f>
        <v>0</v>
      </c>
      <c r="M495" s="77">
        <f t="shared" si="308"/>
        <v>0</v>
      </c>
      <c r="N495" s="77">
        <f t="shared" si="308"/>
        <v>0</v>
      </c>
      <c r="O495" s="77">
        <f t="shared" si="303"/>
        <v>0</v>
      </c>
      <c r="P495" s="77">
        <f t="shared" si="304"/>
        <v>0</v>
      </c>
      <c r="Q495" s="77">
        <f t="shared" ref="Q495:S496" si="309">Q498+Q501</f>
        <v>0</v>
      </c>
      <c r="R495" s="77">
        <f t="shared" si="309"/>
        <v>0</v>
      </c>
      <c r="S495" s="77">
        <f t="shared" si="309"/>
        <v>0</v>
      </c>
      <c r="T495" s="77">
        <f t="shared" si="306"/>
        <v>0</v>
      </c>
      <c r="U495" s="77">
        <f t="shared" si="307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3">
        <f t="shared" si="308"/>
        <v>0</v>
      </c>
      <c r="M496" s="74">
        <f t="shared" si="308"/>
        <v>0</v>
      </c>
      <c r="N496" s="74">
        <f t="shared" si="308"/>
        <v>0</v>
      </c>
      <c r="O496" s="74">
        <f t="shared" si="303"/>
        <v>0</v>
      </c>
      <c r="P496" s="74">
        <f t="shared" si="304"/>
        <v>0</v>
      </c>
      <c r="Q496" s="74">
        <f t="shared" ca="1" si="309"/>
        <v>0</v>
      </c>
      <c r="R496" s="74">
        <f t="shared" ca="1" si="309"/>
        <v>0</v>
      </c>
      <c r="S496" s="74">
        <f t="shared" ca="1" si="309"/>
        <v>0</v>
      </c>
      <c r="T496" s="74">
        <f t="shared" ca="1" si="306"/>
        <v>0</v>
      </c>
      <c r="U496" s="74">
        <f t="shared" ca="1" si="307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3">
        <f t="shared" ref="L497:N497" si="310">L498+L499</f>
        <v>0</v>
      </c>
      <c r="M497" s="74">
        <f t="shared" si="310"/>
        <v>0</v>
      </c>
      <c r="N497" s="74">
        <f t="shared" si="310"/>
        <v>0</v>
      </c>
      <c r="O497" s="74">
        <f t="shared" si="303"/>
        <v>0</v>
      </c>
      <c r="P497" s="74">
        <f t="shared" si="304"/>
        <v>0</v>
      </c>
      <c r="Q497" s="74">
        <f t="shared" ref="Q497:S497" ca="1" si="311">Q498+Q499</f>
        <v>0</v>
      </c>
      <c r="R497" s="74">
        <f t="shared" ca="1" si="311"/>
        <v>0</v>
      </c>
      <c r="S497" s="74">
        <f t="shared" ca="1" si="311"/>
        <v>0</v>
      </c>
      <c r="T497" s="74">
        <f t="shared" ca="1" si="306"/>
        <v>0</v>
      </c>
      <c r="U497" s="74">
        <f t="shared" ca="1" si="307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77">
        <f t="shared" si="303"/>
        <v>0</v>
      </c>
      <c r="P498" s="77">
        <f t="shared" si="304"/>
        <v>0</v>
      </c>
      <c r="Q498" s="77">
        <v>0</v>
      </c>
      <c r="R498" s="77">
        <v>0</v>
      </c>
      <c r="S498" s="77">
        <v>0</v>
      </c>
      <c r="T498" s="77">
        <f t="shared" si="306"/>
        <v>0</v>
      </c>
      <c r="U498" s="77">
        <f t="shared" si="307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74">
        <f t="shared" si="303"/>
        <v>0</v>
      </c>
      <c r="P499" s="74">
        <f t="shared" si="304"/>
        <v>0</v>
      </c>
      <c r="Q499" s="74">
        <f ca="1">IFERROR(__xludf.DUMMYFUNCTION("IMPORTRANGE(""https://docs.google.com/spreadsheets/d/1ItG2mGa2ceCfYo0BwxsXqNm01IGEUdYcSSLTEv9YCik/edit?usp=sharing"",""เบิกจ่ายกองทุน!X68"")"),0)</f>
        <v>0</v>
      </c>
      <c r="R499" s="74">
        <f ca="1">IFERROR(__xludf.DUMMYFUNCTION("IMPORTRANGE(""https://docs.google.com/spreadsheets/d/1ItG2mGa2ceCfYo0BwxsXqNm01IGEUdYcSSLTEv9YCik/edit?usp=sharing"",""เบิกจ่ายกองทุน!Y68"")"),0)</f>
        <v>0</v>
      </c>
      <c r="S499" s="74">
        <f ca="1">IFERROR(__xludf.DUMMYFUNCTION("IMPORTRANGE(""https://docs.google.com/spreadsheets/d/1ItG2mGa2ceCfYo0BwxsXqNm01IGEUdYcSSLTEv9YCik/edit?usp=sharing"",""เบิกจ่ายกองทุน!Z68"")"),0)</f>
        <v>0</v>
      </c>
      <c r="T499" s="74">
        <f t="shared" ca="1" si="306"/>
        <v>0</v>
      </c>
      <c r="U499" s="74">
        <f t="shared" ca="1" si="307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3">
        <f t="shared" ref="L500:N500" si="312">L501+L502</f>
        <v>0</v>
      </c>
      <c r="M500" s="74">
        <f t="shared" si="312"/>
        <v>0</v>
      </c>
      <c r="N500" s="74">
        <f t="shared" si="312"/>
        <v>0</v>
      </c>
      <c r="O500" s="74">
        <f t="shared" si="303"/>
        <v>0</v>
      </c>
      <c r="P500" s="74">
        <f t="shared" si="304"/>
        <v>0</v>
      </c>
      <c r="Q500" s="74">
        <f t="shared" ref="Q500:S500" si="313">Q501+Q502</f>
        <v>0</v>
      </c>
      <c r="R500" s="74">
        <f t="shared" si="313"/>
        <v>0</v>
      </c>
      <c r="S500" s="74">
        <f t="shared" si="313"/>
        <v>0</v>
      </c>
      <c r="T500" s="74">
        <f t="shared" si="306"/>
        <v>0</v>
      </c>
      <c r="U500" s="74">
        <f t="shared" si="307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77">
        <f t="shared" si="303"/>
        <v>0</v>
      </c>
      <c r="P501" s="77">
        <f t="shared" si="304"/>
        <v>0</v>
      </c>
      <c r="Q501" s="77">
        <v>0</v>
      </c>
      <c r="R501" s="77">
        <v>0</v>
      </c>
      <c r="S501" s="77">
        <v>0</v>
      </c>
      <c r="T501" s="77">
        <f t="shared" si="306"/>
        <v>0</v>
      </c>
      <c r="U501" s="77">
        <f t="shared" si="307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74">
        <f t="shared" si="303"/>
        <v>0</v>
      </c>
      <c r="P502" s="74">
        <f t="shared" si="304"/>
        <v>0</v>
      </c>
      <c r="Q502" s="74">
        <v>0</v>
      </c>
      <c r="R502" s="74">
        <v>0</v>
      </c>
      <c r="S502" s="74">
        <v>0</v>
      </c>
      <c r="T502" s="74">
        <f t="shared" si="306"/>
        <v>0</v>
      </c>
      <c r="U502" s="74">
        <f t="shared" si="307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IFERROR(__xludf.DUMMYFUNCTION("IMPORTRANGE(""https://docs.google.com/spreadsheets/d/1eHaY18a8A9IcSdp1K8H6x8fbOy06t2VsZHhMHf-1x7Y/edit?usp=sharing"",""แผน!GX68"")"),0)</f>
        <v>0</v>
      </c>
      <c r="J504" s="622">
        <f ca="1">IF(AND(J505=I505,J506=I506,J507=I507,J508=I508),I504,0)</f>
        <v>0</v>
      </c>
      <c r="K504" s="264">
        <f t="shared" ref="K504:K510" ca="1" si="314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IFERROR(__xludf.DUMMYFUNCTION("IMPORTRANGE(""https://docs.google.com/spreadsheets/d/1eHaY18a8A9IcSdp1K8H6x8fbOy06t2VsZHhMHf-1x7Y/edit?usp=sharing"",""แผน!GY68"")"),0)</f>
        <v>0</v>
      </c>
      <c r="J505" s="294">
        <v>0</v>
      </c>
      <c r="K505" s="74">
        <f t="shared" ca="1" si="314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IFERROR(__xludf.DUMMYFUNCTION("IMPORTRANGE(""https://docs.google.com/spreadsheets/d/1eHaY18a8A9IcSdp1K8H6x8fbOy06t2VsZHhMHf-1x7Y/edit?usp=sharing"",""แผน!GZ68"")"),0)</f>
        <v>0</v>
      </c>
      <c r="J506" s="294">
        <v>0</v>
      </c>
      <c r="K506" s="74">
        <f t="shared" ca="1" si="314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IFERROR(__xludf.DUMMYFUNCTION("IMPORTRANGE(""https://docs.google.com/spreadsheets/d/1eHaY18a8A9IcSdp1K8H6x8fbOy06t2VsZHhMHf-1x7Y/edit?usp=sharing"",""แผน!HA68"")"),0)</f>
        <v>0</v>
      </c>
      <c r="J507" s="294">
        <v>0</v>
      </c>
      <c r="K507" s="74">
        <f t="shared" ca="1" si="314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IFERROR(__xludf.DUMMYFUNCTION("IMPORTRANGE(""https://docs.google.com/spreadsheets/d/1eHaY18a8A9IcSdp1K8H6x8fbOy06t2VsZHhMHf-1x7Y/edit?usp=sharing"",""แผน!HB68"")"),0)</f>
        <v>0</v>
      </c>
      <c r="J508" s="294">
        <v>0</v>
      </c>
      <c r="K508" s="74">
        <f t="shared" ca="1" si="314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4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IFERROR(__xludf.DUMMYFUNCTION("IMPORTRANGE(""https://docs.google.com/spreadsheets/d/1eHaY18a8A9IcSdp1K8H6x8fbOy06t2VsZHhMHf-1x7Y/edit?usp=sharing"",""แผน!HC68"")"),0)</f>
        <v>0</v>
      </c>
      <c r="J510" s="761">
        <v>0</v>
      </c>
      <c r="K510" s="182">
        <f t="shared" ca="1" si="314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9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309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987" t="s">
        <v>61</v>
      </c>
      <c r="I513" s="988">
        <f t="shared" ref="I513:J513" si="315">I525</f>
        <v>0</v>
      </c>
      <c r="J513" s="988">
        <f t="shared" si="315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7">
        <f t="shared" ref="L514:N514" ca="1" si="316">L515+L516</f>
        <v>0</v>
      </c>
      <c r="M514" s="264">
        <f t="shared" ca="1" si="316"/>
        <v>0</v>
      </c>
      <c r="N514" s="264">
        <f t="shared" ca="1" si="316"/>
        <v>0</v>
      </c>
      <c r="O514" s="264">
        <f t="shared" ref="O514:O522" ca="1" si="317">IF(L514&gt;0,N514*100/L514,0)</f>
        <v>0</v>
      </c>
      <c r="P514" s="264">
        <f t="shared" ref="P514:P522" ca="1" si="318">IF(M514&gt;0,N514*100/M514,0)</f>
        <v>0</v>
      </c>
      <c r="Q514" s="264">
        <f t="shared" ref="Q514:S514" si="319">Q515+Q516</f>
        <v>0</v>
      </c>
      <c r="R514" s="264">
        <f t="shared" si="319"/>
        <v>0</v>
      </c>
      <c r="S514" s="264">
        <f t="shared" si="319"/>
        <v>0</v>
      </c>
      <c r="T514" s="264">
        <f t="shared" ref="T514:T522" si="320">IF(Q514&gt;0,S514*100/Q514,0)</f>
        <v>0</v>
      </c>
      <c r="U514" s="264">
        <f t="shared" ref="U514:U522" si="321">IF(R514&gt;0,S514*100/R514,0)</f>
        <v>0</v>
      </c>
    </row>
    <row r="515" spans="1:21" ht="18.75" hidden="1" x14ac:dyDescent="0.25">
      <c r="A515" s="257"/>
      <c r="B515" s="258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6">
        <f t="shared" ref="L515:N516" si="322">L518+L521</f>
        <v>0</v>
      </c>
      <c r="M515" s="77">
        <f t="shared" si="322"/>
        <v>0</v>
      </c>
      <c r="N515" s="77">
        <f t="shared" si="322"/>
        <v>0</v>
      </c>
      <c r="O515" s="77">
        <f t="shared" si="317"/>
        <v>0</v>
      </c>
      <c r="P515" s="77">
        <f t="shared" si="318"/>
        <v>0</v>
      </c>
      <c r="Q515" s="77">
        <f t="shared" ref="Q515:S516" si="323">Q518+Q521</f>
        <v>0</v>
      </c>
      <c r="R515" s="77">
        <f t="shared" si="323"/>
        <v>0</v>
      </c>
      <c r="S515" s="77">
        <f t="shared" si="323"/>
        <v>0</v>
      </c>
      <c r="T515" s="77">
        <f t="shared" si="320"/>
        <v>0</v>
      </c>
      <c r="U515" s="77">
        <f t="shared" si="321"/>
        <v>0</v>
      </c>
    </row>
    <row r="516" spans="1:21" ht="18.75" hidden="1" x14ac:dyDescent="0.25">
      <c r="A516" s="257"/>
      <c r="B516" s="258"/>
      <c r="C516" s="258"/>
      <c r="D516" s="258"/>
      <c r="E516" s="265" t="s">
        <v>21</v>
      </c>
      <c r="F516" s="258"/>
      <c r="G516" s="261"/>
      <c r="H516" s="266" t="s">
        <v>14</v>
      </c>
      <c r="I516" s="263"/>
      <c r="J516" s="263"/>
      <c r="K516" s="87"/>
      <c r="L516" s="73">
        <f t="shared" ca="1" si="322"/>
        <v>0</v>
      </c>
      <c r="M516" s="74">
        <f t="shared" ca="1" si="322"/>
        <v>0</v>
      </c>
      <c r="N516" s="74">
        <f t="shared" ca="1" si="322"/>
        <v>0</v>
      </c>
      <c r="O516" s="74">
        <f t="shared" ca="1" si="317"/>
        <v>0</v>
      </c>
      <c r="P516" s="74">
        <f t="shared" ca="1" si="318"/>
        <v>0</v>
      </c>
      <c r="Q516" s="74">
        <f t="shared" si="323"/>
        <v>0</v>
      </c>
      <c r="R516" s="74">
        <f t="shared" si="323"/>
        <v>0</v>
      </c>
      <c r="S516" s="74">
        <f t="shared" si="323"/>
        <v>0</v>
      </c>
      <c r="T516" s="74">
        <f t="shared" si="320"/>
        <v>0</v>
      </c>
      <c r="U516" s="74">
        <f t="shared" si="321"/>
        <v>0</v>
      </c>
    </row>
    <row r="517" spans="1:21" ht="18.75" hidden="1" x14ac:dyDescent="0.25">
      <c r="A517" s="257"/>
      <c r="B517" s="258"/>
      <c r="C517" s="258"/>
      <c r="D517" s="991" t="s">
        <v>22</v>
      </c>
      <c r="E517" s="258"/>
      <c r="F517" s="258"/>
      <c r="G517" s="261"/>
      <c r="H517" s="273" t="s">
        <v>14</v>
      </c>
      <c r="I517" s="272"/>
      <c r="J517" s="272"/>
      <c r="K517" s="229"/>
      <c r="L517" s="73">
        <f t="shared" ref="L517:N517" ca="1" si="324">L518+L519</f>
        <v>0</v>
      </c>
      <c r="M517" s="74">
        <f t="shared" ca="1" si="324"/>
        <v>0</v>
      </c>
      <c r="N517" s="74">
        <f t="shared" ca="1" si="324"/>
        <v>0</v>
      </c>
      <c r="O517" s="74">
        <f t="shared" ca="1" si="317"/>
        <v>0</v>
      </c>
      <c r="P517" s="74">
        <f t="shared" ca="1" si="318"/>
        <v>0</v>
      </c>
      <c r="Q517" s="74">
        <f t="shared" ref="Q517:S517" si="325">Q518+Q519</f>
        <v>0</v>
      </c>
      <c r="R517" s="74">
        <f t="shared" si="325"/>
        <v>0</v>
      </c>
      <c r="S517" s="74">
        <f t="shared" si="325"/>
        <v>0</v>
      </c>
      <c r="T517" s="74">
        <f t="shared" si="320"/>
        <v>0</v>
      </c>
      <c r="U517" s="74">
        <f t="shared" si="321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77">
        <f t="shared" si="317"/>
        <v>0</v>
      </c>
      <c r="P518" s="77">
        <f t="shared" si="318"/>
        <v>0</v>
      </c>
      <c r="Q518" s="77">
        <v>0</v>
      </c>
      <c r="R518" s="77">
        <v>0</v>
      </c>
      <c r="S518" s="77">
        <v>0</v>
      </c>
      <c r="T518" s="77">
        <f t="shared" si="320"/>
        <v>0</v>
      </c>
      <c r="U518" s="77">
        <f t="shared" si="321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3">
        <f ca="1">IFERROR(__xludf.DUMMYFUNCTION("IMPORTRANGE(""https://docs.google.com/spreadsheets/d/1-uDff_7J0KD5mKrp0Vvzr7lt3OU09vwQwhkpOPPYv2Y/edit?usp=sharing"",""งบพรบ!FM68"")"),0)</f>
        <v>0</v>
      </c>
      <c r="M519" s="74">
        <f ca="1">IFERROR(__xludf.DUMMYFUNCTION("IMPORTRANGE(""https://docs.google.com/spreadsheets/d/1-uDff_7J0KD5mKrp0Vvzr7lt3OU09vwQwhkpOPPYv2Y/edit?usp=sharing"",""งบพรบ!FR68"")"),0)</f>
        <v>0</v>
      </c>
      <c r="N519" s="74">
        <f ca="1">IFERROR(__xludf.DUMMYFUNCTION("IMPORTRANGE(""https://docs.google.com/spreadsheets/d/1-uDff_7J0KD5mKrp0Vvzr7lt3OU09vwQwhkpOPPYv2Y/edit?usp=sharing"",""งบพรบ!FT68"")"),0)</f>
        <v>0</v>
      </c>
      <c r="O519" s="74">
        <f t="shared" ca="1" si="317"/>
        <v>0</v>
      </c>
      <c r="P519" s="74">
        <f t="shared" ca="1" si="318"/>
        <v>0</v>
      </c>
      <c r="Q519" s="74">
        <v>0</v>
      </c>
      <c r="R519" s="74">
        <v>0</v>
      </c>
      <c r="S519" s="74">
        <v>0</v>
      </c>
      <c r="T519" s="74">
        <f t="shared" si="320"/>
        <v>0</v>
      </c>
      <c r="U519" s="74">
        <f t="shared" si="321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3">
        <f t="shared" ref="L520:N520" ca="1" si="326">L521+L522</f>
        <v>0</v>
      </c>
      <c r="M520" s="74">
        <f t="shared" ca="1" si="326"/>
        <v>0</v>
      </c>
      <c r="N520" s="74">
        <f t="shared" ca="1" si="326"/>
        <v>0</v>
      </c>
      <c r="O520" s="74">
        <f t="shared" ca="1" si="317"/>
        <v>0</v>
      </c>
      <c r="P520" s="74">
        <f t="shared" ca="1" si="318"/>
        <v>0</v>
      </c>
      <c r="Q520" s="74">
        <f t="shared" ref="Q520:S520" si="327">Q521+Q522</f>
        <v>0</v>
      </c>
      <c r="R520" s="74">
        <f t="shared" si="327"/>
        <v>0</v>
      </c>
      <c r="S520" s="74">
        <f t="shared" si="327"/>
        <v>0</v>
      </c>
      <c r="T520" s="74">
        <f t="shared" si="320"/>
        <v>0</v>
      </c>
      <c r="U520" s="74">
        <f t="shared" si="321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77">
        <f t="shared" si="317"/>
        <v>0</v>
      </c>
      <c r="P521" s="77">
        <f t="shared" si="318"/>
        <v>0</v>
      </c>
      <c r="Q521" s="77">
        <v>0</v>
      </c>
      <c r="R521" s="77">
        <v>0</v>
      </c>
      <c r="S521" s="77">
        <v>0</v>
      </c>
      <c r="T521" s="77">
        <f t="shared" si="320"/>
        <v>0</v>
      </c>
      <c r="U521" s="77">
        <f t="shared" si="321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3">
        <f ca="1">IFERROR(__xludf.DUMMYFUNCTION("IMPORTRANGE(""https://docs.google.com/spreadsheets/d/1-uDff_7J0KD5mKrp0Vvzr7lt3OU09vwQwhkpOPPYv2Y/edit?usp=sharing"",""งบพรบ!FP68"")"),0)</f>
        <v>0</v>
      </c>
      <c r="M522" s="74">
        <f ca="1">IFERROR(__xludf.DUMMYFUNCTION("IMPORTRANGE(""https://docs.google.com/spreadsheets/d/1-uDff_7J0KD5mKrp0Vvzr7lt3OU09vwQwhkpOPPYv2Y/edit?usp=sharing"",""งบพรบ!FS68"")"),0)</f>
        <v>0</v>
      </c>
      <c r="N522" s="74">
        <f ca="1">IFERROR(__xludf.DUMMYFUNCTION("IMPORTRANGE(""https://docs.google.com/spreadsheets/d/1-uDff_7J0KD5mKrp0Vvzr7lt3OU09vwQwhkpOPPYv2Y/edit?usp=sharing"",""งบพรบ!FU68"")"),0)</f>
        <v>0</v>
      </c>
      <c r="O522" s="74">
        <f t="shared" ca="1" si="317"/>
        <v>0</v>
      </c>
      <c r="P522" s="74">
        <f t="shared" ca="1" si="318"/>
        <v>0</v>
      </c>
      <c r="Q522" s="74">
        <v>0</v>
      </c>
      <c r="R522" s="74">
        <v>0</v>
      </c>
      <c r="S522" s="74">
        <v>0</v>
      </c>
      <c r="T522" s="74">
        <f t="shared" si="320"/>
        <v>0</v>
      </c>
      <c r="U522" s="74">
        <f t="shared" si="321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8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8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9">I546</f>
        <v>0</v>
      </c>
      <c r="J534" s="1002">
        <f t="shared" si="329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1257">
        <f t="shared" ref="L535:N535" si="330">L536+L537</f>
        <v>0</v>
      </c>
      <c r="M535" s="264">
        <f t="shared" si="330"/>
        <v>0</v>
      </c>
      <c r="N535" s="264">
        <f t="shared" si="330"/>
        <v>0</v>
      </c>
      <c r="O535" s="264">
        <f t="shared" ref="O535:O543" si="331">IF(L535&gt;0,N535*100/L535,0)</f>
        <v>0</v>
      </c>
      <c r="P535" s="264">
        <f t="shared" ref="P535:P543" si="332">IF(M535&gt;0,N535*100/M535,0)</f>
        <v>0</v>
      </c>
      <c r="Q535" s="264">
        <f t="shared" ref="Q535:S535" si="333">Q536+Q537</f>
        <v>0</v>
      </c>
      <c r="R535" s="264">
        <f t="shared" si="333"/>
        <v>0</v>
      </c>
      <c r="S535" s="264">
        <f t="shared" si="333"/>
        <v>0</v>
      </c>
      <c r="T535" s="264">
        <f t="shared" ref="T535:T543" si="334">IF(Q535&gt;0,S535*100/Q535,0)</f>
        <v>0</v>
      </c>
      <c r="U535" s="264">
        <f t="shared" ref="U535:U543" si="335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6">
        <f t="shared" ref="L536:N537" si="336">L539+L542</f>
        <v>0</v>
      </c>
      <c r="M536" s="77">
        <f t="shared" si="336"/>
        <v>0</v>
      </c>
      <c r="N536" s="77">
        <f t="shared" si="336"/>
        <v>0</v>
      </c>
      <c r="O536" s="77">
        <f t="shared" si="331"/>
        <v>0</v>
      </c>
      <c r="P536" s="77">
        <f t="shared" si="332"/>
        <v>0</v>
      </c>
      <c r="Q536" s="77">
        <f t="shared" ref="Q536:S537" si="337">Q539+Q542</f>
        <v>0</v>
      </c>
      <c r="R536" s="77">
        <f t="shared" si="337"/>
        <v>0</v>
      </c>
      <c r="S536" s="77">
        <f t="shared" si="337"/>
        <v>0</v>
      </c>
      <c r="T536" s="77">
        <f t="shared" si="334"/>
        <v>0</v>
      </c>
      <c r="U536" s="77">
        <f t="shared" si="335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3">
        <f t="shared" si="336"/>
        <v>0</v>
      </c>
      <c r="M537" s="74">
        <f t="shared" si="336"/>
        <v>0</v>
      </c>
      <c r="N537" s="74">
        <f t="shared" si="336"/>
        <v>0</v>
      </c>
      <c r="O537" s="74">
        <f t="shared" si="331"/>
        <v>0</v>
      </c>
      <c r="P537" s="74">
        <f t="shared" si="332"/>
        <v>0</v>
      </c>
      <c r="Q537" s="74">
        <f t="shared" si="337"/>
        <v>0</v>
      </c>
      <c r="R537" s="74">
        <f t="shared" si="337"/>
        <v>0</v>
      </c>
      <c r="S537" s="74">
        <f t="shared" si="337"/>
        <v>0</v>
      </c>
      <c r="T537" s="74">
        <f t="shared" si="334"/>
        <v>0</v>
      </c>
      <c r="U537" s="74">
        <f t="shared" si="335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3">
        <f t="shared" ref="L538:N538" si="338">L539+L540</f>
        <v>0</v>
      </c>
      <c r="M538" s="74">
        <f t="shared" si="338"/>
        <v>0</v>
      </c>
      <c r="N538" s="74">
        <f t="shared" si="338"/>
        <v>0</v>
      </c>
      <c r="O538" s="74">
        <f t="shared" si="331"/>
        <v>0</v>
      </c>
      <c r="P538" s="74">
        <f t="shared" si="332"/>
        <v>0</v>
      </c>
      <c r="Q538" s="74">
        <f t="shared" ref="Q538:S538" si="339">Q539+Q540</f>
        <v>0</v>
      </c>
      <c r="R538" s="74">
        <f t="shared" si="339"/>
        <v>0</v>
      </c>
      <c r="S538" s="74">
        <f t="shared" si="339"/>
        <v>0</v>
      </c>
      <c r="T538" s="74">
        <f t="shared" si="334"/>
        <v>0</v>
      </c>
      <c r="U538" s="74">
        <f t="shared" si="335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77">
        <f t="shared" si="331"/>
        <v>0</v>
      </c>
      <c r="P539" s="77">
        <f t="shared" si="332"/>
        <v>0</v>
      </c>
      <c r="Q539" s="77">
        <v>0</v>
      </c>
      <c r="R539" s="77">
        <v>0</v>
      </c>
      <c r="S539" s="77">
        <v>0</v>
      </c>
      <c r="T539" s="77">
        <f t="shared" si="334"/>
        <v>0</v>
      </c>
      <c r="U539" s="77">
        <f t="shared" si="335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74">
        <f t="shared" si="331"/>
        <v>0</v>
      </c>
      <c r="P540" s="74">
        <f t="shared" si="332"/>
        <v>0</v>
      </c>
      <c r="Q540" s="74">
        <v>0</v>
      </c>
      <c r="R540" s="74">
        <v>0</v>
      </c>
      <c r="S540" s="74">
        <v>0</v>
      </c>
      <c r="T540" s="74">
        <f t="shared" si="334"/>
        <v>0</v>
      </c>
      <c r="U540" s="74">
        <f t="shared" si="335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3">
        <f t="shared" ref="L541:N541" si="340">L542+L543</f>
        <v>0</v>
      </c>
      <c r="M541" s="74">
        <f t="shared" si="340"/>
        <v>0</v>
      </c>
      <c r="N541" s="74">
        <f t="shared" si="340"/>
        <v>0</v>
      </c>
      <c r="O541" s="74">
        <f t="shared" si="331"/>
        <v>0</v>
      </c>
      <c r="P541" s="74">
        <f t="shared" si="332"/>
        <v>0</v>
      </c>
      <c r="Q541" s="74">
        <f t="shared" ref="Q541:S541" si="341">Q542+Q543</f>
        <v>0</v>
      </c>
      <c r="R541" s="74">
        <f t="shared" si="341"/>
        <v>0</v>
      </c>
      <c r="S541" s="74">
        <f t="shared" si="341"/>
        <v>0</v>
      </c>
      <c r="T541" s="74">
        <f t="shared" si="334"/>
        <v>0</v>
      </c>
      <c r="U541" s="74">
        <f t="shared" si="335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77">
        <f t="shared" si="331"/>
        <v>0</v>
      </c>
      <c r="P542" s="77">
        <f t="shared" si="332"/>
        <v>0</v>
      </c>
      <c r="Q542" s="77">
        <v>0</v>
      </c>
      <c r="R542" s="77">
        <v>0</v>
      </c>
      <c r="S542" s="77">
        <v>0</v>
      </c>
      <c r="T542" s="77">
        <f t="shared" si="334"/>
        <v>0</v>
      </c>
      <c r="U542" s="77">
        <f t="shared" si="335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74">
        <f t="shared" si="331"/>
        <v>0</v>
      </c>
      <c r="P543" s="74">
        <f t="shared" si="332"/>
        <v>0</v>
      </c>
      <c r="Q543" s="74">
        <v>0</v>
      </c>
      <c r="R543" s="74">
        <v>0</v>
      </c>
      <c r="S543" s="74">
        <v>0</v>
      </c>
      <c r="T543" s="74">
        <f t="shared" si="334"/>
        <v>0</v>
      </c>
      <c r="U543" s="74">
        <f t="shared" si="335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2">I567</f>
        <v>0</v>
      </c>
      <c r="J555" s="1002">
        <f t="shared" si="342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1257">
        <f t="shared" ref="L556:N556" si="343">L557+L558</f>
        <v>0</v>
      </c>
      <c r="M556" s="264">
        <f t="shared" si="343"/>
        <v>0</v>
      </c>
      <c r="N556" s="264">
        <f t="shared" si="343"/>
        <v>0</v>
      </c>
      <c r="O556" s="264">
        <f t="shared" ref="O556:O564" si="344">IF(L556&gt;0,N556*100/L556,0)</f>
        <v>0</v>
      </c>
      <c r="P556" s="264">
        <f t="shared" ref="P556:P564" si="345">IF(M556&gt;0,N556*100/M556,0)</f>
        <v>0</v>
      </c>
      <c r="Q556" s="264">
        <f t="shared" ref="Q556:S556" si="346">Q557+Q558</f>
        <v>0</v>
      </c>
      <c r="R556" s="264">
        <f t="shared" si="346"/>
        <v>0</v>
      </c>
      <c r="S556" s="264">
        <f t="shared" si="346"/>
        <v>0</v>
      </c>
      <c r="T556" s="264">
        <f t="shared" ref="T556:T564" si="347">IF(Q556&gt;0,S556*100/Q556,0)</f>
        <v>0</v>
      </c>
      <c r="U556" s="264">
        <f t="shared" ref="U556:U564" si="348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6">
        <f t="shared" ref="L557:N558" si="349">L560+L563</f>
        <v>0</v>
      </c>
      <c r="M557" s="77">
        <f t="shared" si="349"/>
        <v>0</v>
      </c>
      <c r="N557" s="77">
        <f t="shared" si="349"/>
        <v>0</v>
      </c>
      <c r="O557" s="77">
        <f t="shared" si="344"/>
        <v>0</v>
      </c>
      <c r="P557" s="77">
        <f t="shared" si="345"/>
        <v>0</v>
      </c>
      <c r="Q557" s="77">
        <f t="shared" ref="Q557:S558" si="350">Q560+Q563</f>
        <v>0</v>
      </c>
      <c r="R557" s="77">
        <f t="shared" si="350"/>
        <v>0</v>
      </c>
      <c r="S557" s="77">
        <f t="shared" si="350"/>
        <v>0</v>
      </c>
      <c r="T557" s="77">
        <f t="shared" si="347"/>
        <v>0</v>
      </c>
      <c r="U557" s="77">
        <f t="shared" si="348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3">
        <f t="shared" si="349"/>
        <v>0</v>
      </c>
      <c r="M558" s="74">
        <f t="shared" si="349"/>
        <v>0</v>
      </c>
      <c r="N558" s="74">
        <f t="shared" si="349"/>
        <v>0</v>
      </c>
      <c r="O558" s="74">
        <f t="shared" si="344"/>
        <v>0</v>
      </c>
      <c r="P558" s="74">
        <f t="shared" si="345"/>
        <v>0</v>
      </c>
      <c r="Q558" s="74">
        <f t="shared" si="350"/>
        <v>0</v>
      </c>
      <c r="R558" s="74">
        <f t="shared" si="350"/>
        <v>0</v>
      </c>
      <c r="S558" s="74">
        <f t="shared" si="350"/>
        <v>0</v>
      </c>
      <c r="T558" s="74">
        <f t="shared" si="347"/>
        <v>0</v>
      </c>
      <c r="U558" s="74">
        <f t="shared" si="348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3">
        <f t="shared" ref="L559:N559" si="351">L560+L561</f>
        <v>0</v>
      </c>
      <c r="M559" s="74">
        <f t="shared" si="351"/>
        <v>0</v>
      </c>
      <c r="N559" s="74">
        <f t="shared" si="351"/>
        <v>0</v>
      </c>
      <c r="O559" s="74">
        <f t="shared" si="344"/>
        <v>0</v>
      </c>
      <c r="P559" s="74">
        <f t="shared" si="345"/>
        <v>0</v>
      </c>
      <c r="Q559" s="74">
        <f t="shared" ref="Q559:S559" si="352">Q560+Q561</f>
        <v>0</v>
      </c>
      <c r="R559" s="74">
        <f t="shared" si="352"/>
        <v>0</v>
      </c>
      <c r="S559" s="74">
        <f t="shared" si="352"/>
        <v>0</v>
      </c>
      <c r="T559" s="74">
        <f t="shared" si="347"/>
        <v>0</v>
      </c>
      <c r="U559" s="74">
        <f t="shared" si="348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77">
        <f t="shared" si="344"/>
        <v>0</v>
      </c>
      <c r="P560" s="77">
        <f t="shared" si="345"/>
        <v>0</v>
      </c>
      <c r="Q560" s="77">
        <v>0</v>
      </c>
      <c r="R560" s="77">
        <v>0</v>
      </c>
      <c r="S560" s="77">
        <v>0</v>
      </c>
      <c r="T560" s="77">
        <f t="shared" si="347"/>
        <v>0</v>
      </c>
      <c r="U560" s="77">
        <f t="shared" si="348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74">
        <f t="shared" si="344"/>
        <v>0</v>
      </c>
      <c r="P561" s="74">
        <f t="shared" si="345"/>
        <v>0</v>
      </c>
      <c r="Q561" s="74">
        <v>0</v>
      </c>
      <c r="R561" s="74">
        <v>0</v>
      </c>
      <c r="S561" s="74">
        <v>0</v>
      </c>
      <c r="T561" s="74">
        <f t="shared" si="347"/>
        <v>0</v>
      </c>
      <c r="U561" s="74">
        <f t="shared" si="348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3">
        <f t="shared" ref="L562:N562" si="353">L563+L564</f>
        <v>0</v>
      </c>
      <c r="M562" s="74">
        <f t="shared" si="353"/>
        <v>0</v>
      </c>
      <c r="N562" s="74">
        <f t="shared" si="353"/>
        <v>0</v>
      </c>
      <c r="O562" s="74">
        <f t="shared" si="344"/>
        <v>0</v>
      </c>
      <c r="P562" s="74">
        <f t="shared" si="345"/>
        <v>0</v>
      </c>
      <c r="Q562" s="74">
        <f t="shared" ref="Q562:S562" si="354">Q563+Q564</f>
        <v>0</v>
      </c>
      <c r="R562" s="74">
        <f t="shared" si="354"/>
        <v>0</v>
      </c>
      <c r="S562" s="74">
        <f t="shared" si="354"/>
        <v>0</v>
      </c>
      <c r="T562" s="74">
        <f t="shared" si="347"/>
        <v>0</v>
      </c>
      <c r="U562" s="74">
        <f t="shared" si="348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77">
        <f t="shared" si="344"/>
        <v>0</v>
      </c>
      <c r="P563" s="77">
        <f t="shared" si="345"/>
        <v>0</v>
      </c>
      <c r="Q563" s="77">
        <v>0</v>
      </c>
      <c r="R563" s="77">
        <v>0</v>
      </c>
      <c r="S563" s="77">
        <v>0</v>
      </c>
      <c r="T563" s="77">
        <f t="shared" si="347"/>
        <v>0</v>
      </c>
      <c r="U563" s="77">
        <f t="shared" si="348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74">
        <f t="shared" si="344"/>
        <v>0</v>
      </c>
      <c r="P564" s="74">
        <f t="shared" si="345"/>
        <v>0</v>
      </c>
      <c r="Q564" s="74">
        <v>0</v>
      </c>
      <c r="R564" s="74">
        <v>0</v>
      </c>
      <c r="S564" s="74">
        <v>0</v>
      </c>
      <c r="T564" s="74">
        <f t="shared" si="347"/>
        <v>0</v>
      </c>
      <c r="U564" s="74">
        <f t="shared" si="348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5">I588</f>
        <v>0</v>
      </c>
      <c r="J576" s="1002">
        <f t="shared" si="355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1257">
        <f t="shared" ref="L577:N577" si="356">L578+L579</f>
        <v>0</v>
      </c>
      <c r="M577" s="264">
        <f t="shared" si="356"/>
        <v>0</v>
      </c>
      <c r="N577" s="264">
        <f t="shared" si="356"/>
        <v>0</v>
      </c>
      <c r="O577" s="264">
        <f t="shared" ref="O577:O585" si="357">IF(L577&gt;0,N577*100/L577,0)</f>
        <v>0</v>
      </c>
      <c r="P577" s="264">
        <f t="shared" ref="P577:P585" si="358">IF(M577&gt;0,N577*100/M577,0)</f>
        <v>0</v>
      </c>
      <c r="Q577" s="264">
        <f t="shared" ref="Q577:S577" si="359">Q578+Q579</f>
        <v>0</v>
      </c>
      <c r="R577" s="264">
        <f t="shared" si="359"/>
        <v>0</v>
      </c>
      <c r="S577" s="264">
        <f t="shared" si="359"/>
        <v>0</v>
      </c>
      <c r="T577" s="264">
        <f t="shared" ref="T577:T585" si="360">IF(Q577&gt;0,S577*100/Q577,0)</f>
        <v>0</v>
      </c>
      <c r="U577" s="264">
        <f t="shared" ref="U577:U585" si="361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6">
        <f t="shared" ref="L578:N579" si="362">L581+L584</f>
        <v>0</v>
      </c>
      <c r="M578" s="77">
        <f t="shared" si="362"/>
        <v>0</v>
      </c>
      <c r="N578" s="77">
        <f t="shared" si="362"/>
        <v>0</v>
      </c>
      <c r="O578" s="77">
        <f t="shared" si="357"/>
        <v>0</v>
      </c>
      <c r="P578" s="77">
        <f t="shared" si="358"/>
        <v>0</v>
      </c>
      <c r="Q578" s="77">
        <f t="shared" ref="Q578:S579" si="363">Q581+Q584</f>
        <v>0</v>
      </c>
      <c r="R578" s="77">
        <f t="shared" si="363"/>
        <v>0</v>
      </c>
      <c r="S578" s="77">
        <f t="shared" si="363"/>
        <v>0</v>
      </c>
      <c r="T578" s="77">
        <f t="shared" si="360"/>
        <v>0</v>
      </c>
      <c r="U578" s="77">
        <f t="shared" si="361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3">
        <f t="shared" si="362"/>
        <v>0</v>
      </c>
      <c r="M579" s="74">
        <f t="shared" si="362"/>
        <v>0</v>
      </c>
      <c r="N579" s="74">
        <f t="shared" si="362"/>
        <v>0</v>
      </c>
      <c r="O579" s="74">
        <f t="shared" si="357"/>
        <v>0</v>
      </c>
      <c r="P579" s="74">
        <f t="shared" si="358"/>
        <v>0</v>
      </c>
      <c r="Q579" s="74">
        <f t="shared" si="363"/>
        <v>0</v>
      </c>
      <c r="R579" s="74">
        <f t="shared" si="363"/>
        <v>0</v>
      </c>
      <c r="S579" s="74">
        <f t="shared" si="363"/>
        <v>0</v>
      </c>
      <c r="T579" s="74">
        <f t="shared" si="360"/>
        <v>0</v>
      </c>
      <c r="U579" s="74">
        <f t="shared" si="361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3">
        <f t="shared" ref="L580:N580" si="364">L581+L582</f>
        <v>0</v>
      </c>
      <c r="M580" s="74">
        <f t="shared" si="364"/>
        <v>0</v>
      </c>
      <c r="N580" s="74">
        <f t="shared" si="364"/>
        <v>0</v>
      </c>
      <c r="O580" s="74">
        <f t="shared" si="357"/>
        <v>0</v>
      </c>
      <c r="P580" s="74">
        <f t="shared" si="358"/>
        <v>0</v>
      </c>
      <c r="Q580" s="74">
        <f t="shared" ref="Q580:S580" si="365">Q581+Q582</f>
        <v>0</v>
      </c>
      <c r="R580" s="74">
        <f t="shared" si="365"/>
        <v>0</v>
      </c>
      <c r="S580" s="74">
        <f t="shared" si="365"/>
        <v>0</v>
      </c>
      <c r="T580" s="74">
        <f t="shared" si="360"/>
        <v>0</v>
      </c>
      <c r="U580" s="74">
        <f t="shared" si="361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77">
        <f t="shared" si="357"/>
        <v>0</v>
      </c>
      <c r="P581" s="77">
        <f t="shared" si="358"/>
        <v>0</v>
      </c>
      <c r="Q581" s="77">
        <v>0</v>
      </c>
      <c r="R581" s="77">
        <v>0</v>
      </c>
      <c r="S581" s="77">
        <v>0</v>
      </c>
      <c r="T581" s="77">
        <f t="shared" si="360"/>
        <v>0</v>
      </c>
      <c r="U581" s="77">
        <f t="shared" si="361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74">
        <f t="shared" si="357"/>
        <v>0</v>
      </c>
      <c r="P582" s="74">
        <f t="shared" si="358"/>
        <v>0</v>
      </c>
      <c r="Q582" s="74">
        <v>0</v>
      </c>
      <c r="R582" s="74">
        <v>0</v>
      </c>
      <c r="S582" s="74">
        <v>0</v>
      </c>
      <c r="T582" s="74">
        <f t="shared" si="360"/>
        <v>0</v>
      </c>
      <c r="U582" s="74">
        <f t="shared" si="361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3">
        <f t="shared" ref="L583:N583" si="366">L584+L585</f>
        <v>0</v>
      </c>
      <c r="M583" s="74">
        <f t="shared" si="366"/>
        <v>0</v>
      </c>
      <c r="N583" s="74">
        <f t="shared" si="366"/>
        <v>0</v>
      </c>
      <c r="O583" s="74">
        <f t="shared" si="357"/>
        <v>0</v>
      </c>
      <c r="P583" s="74">
        <f t="shared" si="358"/>
        <v>0</v>
      </c>
      <c r="Q583" s="74">
        <f t="shared" ref="Q583:S583" si="367">Q584+Q585</f>
        <v>0</v>
      </c>
      <c r="R583" s="74">
        <f t="shared" si="367"/>
        <v>0</v>
      </c>
      <c r="S583" s="74">
        <f t="shared" si="367"/>
        <v>0</v>
      </c>
      <c r="T583" s="74">
        <f t="shared" si="360"/>
        <v>0</v>
      </c>
      <c r="U583" s="74">
        <f t="shared" si="361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77">
        <f t="shared" si="357"/>
        <v>0</v>
      </c>
      <c r="P584" s="77">
        <f t="shared" si="358"/>
        <v>0</v>
      </c>
      <c r="Q584" s="77">
        <v>0</v>
      </c>
      <c r="R584" s="77">
        <v>0</v>
      </c>
      <c r="S584" s="77">
        <v>0</v>
      </c>
      <c r="T584" s="77">
        <f t="shared" si="360"/>
        <v>0</v>
      </c>
      <c r="U584" s="77">
        <f t="shared" si="361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74">
        <f t="shared" si="357"/>
        <v>0</v>
      </c>
      <c r="P585" s="74">
        <f t="shared" si="358"/>
        <v>0</v>
      </c>
      <c r="Q585" s="74">
        <v>0</v>
      </c>
      <c r="R585" s="74">
        <v>0</v>
      </c>
      <c r="S585" s="74">
        <v>0</v>
      </c>
      <c r="T585" s="74">
        <f t="shared" si="360"/>
        <v>0</v>
      </c>
      <c r="U585" s="74">
        <f t="shared" si="361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1257">
        <f t="shared" ref="L600:N600" si="368">L601+L602</f>
        <v>0</v>
      </c>
      <c r="M600" s="264">
        <f t="shared" si="368"/>
        <v>0</v>
      </c>
      <c r="N600" s="264">
        <f t="shared" si="368"/>
        <v>0</v>
      </c>
      <c r="O600" s="264">
        <f t="shared" ref="O600:O608" si="369">IF(L600&gt;0,N600*100/L600,0)</f>
        <v>0</v>
      </c>
      <c r="P600" s="264">
        <f t="shared" ref="P600:P608" si="370">IF(M600&gt;0,N600*100/M600,0)</f>
        <v>0</v>
      </c>
      <c r="Q600" s="264">
        <f t="shared" ref="Q600:S600" si="371">Q601+Q602</f>
        <v>0</v>
      </c>
      <c r="R600" s="264">
        <f t="shared" si="371"/>
        <v>0</v>
      </c>
      <c r="S600" s="264">
        <f t="shared" si="371"/>
        <v>0</v>
      </c>
      <c r="T600" s="264">
        <f t="shared" ref="T600:T608" si="372">IF(Q600&gt;0,S600*100/Q600,0)</f>
        <v>0</v>
      </c>
      <c r="U600" s="264">
        <f t="shared" ref="U600:U608" si="373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6">
        <f t="shared" ref="L601:N602" si="374">L604+L607</f>
        <v>0</v>
      </c>
      <c r="M601" s="77">
        <f t="shared" si="374"/>
        <v>0</v>
      </c>
      <c r="N601" s="77">
        <f t="shared" si="374"/>
        <v>0</v>
      </c>
      <c r="O601" s="77">
        <f t="shared" si="369"/>
        <v>0</v>
      </c>
      <c r="P601" s="77">
        <f t="shared" si="370"/>
        <v>0</v>
      </c>
      <c r="Q601" s="77">
        <f t="shared" ref="Q601:S602" si="375">Q604+Q607</f>
        <v>0</v>
      </c>
      <c r="R601" s="77">
        <f t="shared" si="375"/>
        <v>0</v>
      </c>
      <c r="S601" s="77">
        <f t="shared" si="375"/>
        <v>0</v>
      </c>
      <c r="T601" s="77">
        <f t="shared" si="372"/>
        <v>0</v>
      </c>
      <c r="U601" s="77">
        <f t="shared" si="373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3">
        <f t="shared" si="374"/>
        <v>0</v>
      </c>
      <c r="M602" s="74">
        <f t="shared" si="374"/>
        <v>0</v>
      </c>
      <c r="N602" s="74">
        <f t="shared" si="374"/>
        <v>0</v>
      </c>
      <c r="O602" s="74">
        <f t="shared" si="369"/>
        <v>0</v>
      </c>
      <c r="P602" s="74">
        <f t="shared" si="370"/>
        <v>0</v>
      </c>
      <c r="Q602" s="74">
        <f t="shared" si="375"/>
        <v>0</v>
      </c>
      <c r="R602" s="74">
        <f t="shared" si="375"/>
        <v>0</v>
      </c>
      <c r="S602" s="74">
        <f t="shared" si="375"/>
        <v>0</v>
      </c>
      <c r="T602" s="74">
        <f t="shared" si="372"/>
        <v>0</v>
      </c>
      <c r="U602" s="74">
        <f t="shared" si="373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3">
        <f t="shared" ref="L603:N603" si="376">L604+L605</f>
        <v>0</v>
      </c>
      <c r="M603" s="74">
        <f t="shared" si="376"/>
        <v>0</v>
      </c>
      <c r="N603" s="74">
        <f t="shared" si="376"/>
        <v>0</v>
      </c>
      <c r="O603" s="74">
        <f t="shared" si="369"/>
        <v>0</v>
      </c>
      <c r="P603" s="74">
        <f t="shared" si="370"/>
        <v>0</v>
      </c>
      <c r="Q603" s="74">
        <f t="shared" ref="Q603:S603" si="377">Q604+Q605</f>
        <v>0</v>
      </c>
      <c r="R603" s="74">
        <f t="shared" si="377"/>
        <v>0</v>
      </c>
      <c r="S603" s="74">
        <f t="shared" si="377"/>
        <v>0</v>
      </c>
      <c r="T603" s="74">
        <f t="shared" si="372"/>
        <v>0</v>
      </c>
      <c r="U603" s="74">
        <f t="shared" si="373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77">
        <f t="shared" si="369"/>
        <v>0</v>
      </c>
      <c r="P604" s="77">
        <f t="shared" si="370"/>
        <v>0</v>
      </c>
      <c r="Q604" s="77">
        <v>0</v>
      </c>
      <c r="R604" s="77">
        <v>0</v>
      </c>
      <c r="S604" s="77">
        <v>0</v>
      </c>
      <c r="T604" s="77">
        <f t="shared" si="372"/>
        <v>0</v>
      </c>
      <c r="U604" s="77">
        <f t="shared" si="373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74">
        <f t="shared" si="369"/>
        <v>0</v>
      </c>
      <c r="P605" s="74">
        <f t="shared" si="370"/>
        <v>0</v>
      </c>
      <c r="Q605" s="74">
        <v>0</v>
      </c>
      <c r="R605" s="74">
        <v>0</v>
      </c>
      <c r="S605" s="74">
        <v>0</v>
      </c>
      <c r="T605" s="74">
        <f t="shared" si="372"/>
        <v>0</v>
      </c>
      <c r="U605" s="74">
        <f t="shared" si="373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3">
        <f t="shared" ref="L606:N606" si="378">L607+L608</f>
        <v>0</v>
      </c>
      <c r="M606" s="74">
        <f t="shared" si="378"/>
        <v>0</v>
      </c>
      <c r="N606" s="74">
        <f t="shared" si="378"/>
        <v>0</v>
      </c>
      <c r="O606" s="74">
        <f t="shared" si="369"/>
        <v>0</v>
      </c>
      <c r="P606" s="74">
        <f t="shared" si="370"/>
        <v>0</v>
      </c>
      <c r="Q606" s="74">
        <f t="shared" ref="Q606:S606" si="379">Q607+Q608</f>
        <v>0</v>
      </c>
      <c r="R606" s="74">
        <f t="shared" si="379"/>
        <v>0</v>
      </c>
      <c r="S606" s="74">
        <f t="shared" si="379"/>
        <v>0</v>
      </c>
      <c r="T606" s="74">
        <f t="shared" si="372"/>
        <v>0</v>
      </c>
      <c r="U606" s="74">
        <f t="shared" si="373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77">
        <f t="shared" si="369"/>
        <v>0</v>
      </c>
      <c r="P607" s="77">
        <f t="shared" si="370"/>
        <v>0</v>
      </c>
      <c r="Q607" s="77">
        <v>0</v>
      </c>
      <c r="R607" s="77">
        <v>0</v>
      </c>
      <c r="S607" s="77">
        <v>0</v>
      </c>
      <c r="T607" s="77">
        <f t="shared" si="372"/>
        <v>0</v>
      </c>
      <c r="U607" s="77">
        <f t="shared" si="373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74">
        <f t="shared" si="369"/>
        <v>0</v>
      </c>
      <c r="P608" s="74">
        <f t="shared" si="370"/>
        <v>0</v>
      </c>
      <c r="Q608" s="74">
        <v>0</v>
      </c>
      <c r="R608" s="74">
        <v>0</v>
      </c>
      <c r="S608" s="74">
        <v>0</v>
      </c>
      <c r="T608" s="74">
        <f t="shared" si="372"/>
        <v>0</v>
      </c>
      <c r="U608" s="74">
        <f t="shared" si="373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hidden="1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740">
        <f t="shared" ref="I616:J616" ca="1" si="380">I627</f>
        <v>50</v>
      </c>
      <c r="J616" s="740">
        <f t="shared" si="380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1257">
        <f t="shared" ref="L617:N617" si="381">L618+L619</f>
        <v>0</v>
      </c>
      <c r="M617" s="264">
        <f t="shared" si="381"/>
        <v>0</v>
      </c>
      <c r="N617" s="264">
        <f t="shared" si="381"/>
        <v>0</v>
      </c>
      <c r="O617" s="264">
        <f t="shared" ref="O617:O625" si="382">IF(L617&gt;0,N617*100/L617,0)</f>
        <v>0</v>
      </c>
      <c r="P617" s="264">
        <f t="shared" ref="P617:P625" si="383">IF(M617&gt;0,N617*100/M617,0)</f>
        <v>0</v>
      </c>
      <c r="Q617" s="264">
        <f t="shared" ref="Q617:S617" ca="1" si="384">Q618+Q619</f>
        <v>6775</v>
      </c>
      <c r="R617" s="264">
        <f t="shared" ca="1" si="384"/>
        <v>6775</v>
      </c>
      <c r="S617" s="264">
        <f t="shared" ca="1" si="384"/>
        <v>0</v>
      </c>
      <c r="T617" s="264">
        <f t="shared" ref="T617:T625" ca="1" si="385">IF(Q617&gt;0,S617*100/Q617,0)</f>
        <v>0</v>
      </c>
      <c r="U617" s="264">
        <f t="shared" ref="U617:U625" ca="1" si="386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6">
        <f t="shared" ref="L618:N619" si="387">L621+L624</f>
        <v>0</v>
      </c>
      <c r="M618" s="77">
        <f t="shared" si="387"/>
        <v>0</v>
      </c>
      <c r="N618" s="77">
        <f t="shared" si="387"/>
        <v>0</v>
      </c>
      <c r="O618" s="77">
        <f t="shared" si="382"/>
        <v>0</v>
      </c>
      <c r="P618" s="77">
        <f t="shared" si="383"/>
        <v>0</v>
      </c>
      <c r="Q618" s="77">
        <f t="shared" ref="Q618:S619" si="388">Q621+Q624</f>
        <v>0</v>
      </c>
      <c r="R618" s="77">
        <f t="shared" si="388"/>
        <v>0</v>
      </c>
      <c r="S618" s="77">
        <f t="shared" si="388"/>
        <v>0</v>
      </c>
      <c r="T618" s="77">
        <f t="shared" si="385"/>
        <v>0</v>
      </c>
      <c r="U618" s="77">
        <f t="shared" si="386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3">
        <f t="shared" si="387"/>
        <v>0</v>
      </c>
      <c r="M619" s="74">
        <f t="shared" si="387"/>
        <v>0</v>
      </c>
      <c r="N619" s="74">
        <f t="shared" si="387"/>
        <v>0</v>
      </c>
      <c r="O619" s="74">
        <f t="shared" si="382"/>
        <v>0</v>
      </c>
      <c r="P619" s="74">
        <f t="shared" si="383"/>
        <v>0</v>
      </c>
      <c r="Q619" s="74">
        <f t="shared" ca="1" si="388"/>
        <v>6775</v>
      </c>
      <c r="R619" s="74">
        <f t="shared" ca="1" si="388"/>
        <v>6775</v>
      </c>
      <c r="S619" s="74">
        <f t="shared" ca="1" si="388"/>
        <v>0</v>
      </c>
      <c r="T619" s="74">
        <f t="shared" ca="1" si="385"/>
        <v>0</v>
      </c>
      <c r="U619" s="74">
        <f t="shared" ca="1" si="386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3">
        <f t="shared" ref="L620:N620" si="389">L621+L622</f>
        <v>0</v>
      </c>
      <c r="M620" s="74">
        <f t="shared" si="389"/>
        <v>0</v>
      </c>
      <c r="N620" s="74">
        <f t="shared" si="389"/>
        <v>0</v>
      </c>
      <c r="O620" s="74">
        <f t="shared" si="382"/>
        <v>0</v>
      </c>
      <c r="P620" s="74">
        <f t="shared" si="383"/>
        <v>0</v>
      </c>
      <c r="Q620" s="74">
        <f t="shared" ref="Q620:S620" ca="1" si="390">Q621+Q622</f>
        <v>6775</v>
      </c>
      <c r="R620" s="74">
        <f t="shared" ca="1" si="390"/>
        <v>6775</v>
      </c>
      <c r="S620" s="74">
        <f t="shared" ca="1" si="390"/>
        <v>0</v>
      </c>
      <c r="T620" s="74">
        <f t="shared" ca="1" si="385"/>
        <v>0</v>
      </c>
      <c r="U620" s="74">
        <f t="shared" ca="1" si="386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77">
        <f t="shared" si="382"/>
        <v>0</v>
      </c>
      <c r="P621" s="77">
        <f t="shared" si="383"/>
        <v>0</v>
      </c>
      <c r="Q621" s="77">
        <v>0</v>
      </c>
      <c r="R621" s="77">
        <v>0</v>
      </c>
      <c r="S621" s="77">
        <v>0</v>
      </c>
      <c r="T621" s="77">
        <f t="shared" si="385"/>
        <v>0</v>
      </c>
      <c r="U621" s="77">
        <f t="shared" si="386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74">
        <f t="shared" si="382"/>
        <v>0</v>
      </c>
      <c r="P622" s="74">
        <f t="shared" si="383"/>
        <v>0</v>
      </c>
      <c r="Q622" s="74">
        <f ca="1">IFERROR(__xludf.DUMMYFUNCTION("IMPORTRANGE(""https://docs.google.com/spreadsheets/d/1ItG2mGa2ceCfYo0BwxsXqNm01IGEUdYcSSLTEv9YCik/edit?usp=sharing"",""เบิกจ่ายกองทุน!F68"")"),6775)</f>
        <v>6775</v>
      </c>
      <c r="R622" s="74">
        <f ca="1">IFERROR(__xludf.DUMMYFUNCTION("IMPORTRANGE(""https://docs.google.com/spreadsheets/d/1ItG2mGa2ceCfYo0BwxsXqNm01IGEUdYcSSLTEv9YCik/edit?usp=sharing"",""เบิกจ่ายกองทุน!G68"")"),6775)</f>
        <v>6775</v>
      </c>
      <c r="S622" s="74">
        <f ca="1">IFERROR(__xludf.DUMMYFUNCTION("IMPORTRANGE(""https://docs.google.com/spreadsheets/d/1ItG2mGa2ceCfYo0BwxsXqNm01IGEUdYcSSLTEv9YCik/edit?usp=sharing"",""เบิกจ่ายกองทุน!H68"")"),0)</f>
        <v>0</v>
      </c>
      <c r="T622" s="74">
        <f t="shared" ca="1" si="385"/>
        <v>0</v>
      </c>
      <c r="U622" s="74">
        <f t="shared" ca="1" si="386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3">
        <f t="shared" ref="L623:N623" si="391">L624+L625</f>
        <v>0</v>
      </c>
      <c r="M623" s="74">
        <f t="shared" si="391"/>
        <v>0</v>
      </c>
      <c r="N623" s="74">
        <f t="shared" si="391"/>
        <v>0</v>
      </c>
      <c r="O623" s="74">
        <f t="shared" si="382"/>
        <v>0</v>
      </c>
      <c r="P623" s="74">
        <f t="shared" si="383"/>
        <v>0</v>
      </c>
      <c r="Q623" s="74">
        <f t="shared" ref="Q623:S623" si="392">Q624+Q625</f>
        <v>0</v>
      </c>
      <c r="R623" s="74">
        <f t="shared" si="392"/>
        <v>0</v>
      </c>
      <c r="S623" s="74">
        <f t="shared" si="392"/>
        <v>0</v>
      </c>
      <c r="T623" s="74">
        <f t="shared" si="385"/>
        <v>0</v>
      </c>
      <c r="U623" s="74">
        <f t="shared" si="386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77">
        <f t="shared" si="382"/>
        <v>0</v>
      </c>
      <c r="P624" s="77">
        <f t="shared" si="383"/>
        <v>0</v>
      </c>
      <c r="Q624" s="77">
        <v>0</v>
      </c>
      <c r="R624" s="77">
        <v>0</v>
      </c>
      <c r="S624" s="77">
        <v>0</v>
      </c>
      <c r="T624" s="77">
        <f t="shared" si="385"/>
        <v>0</v>
      </c>
      <c r="U624" s="77">
        <f t="shared" si="386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74">
        <f t="shared" si="382"/>
        <v>0</v>
      </c>
      <c r="P625" s="74">
        <f t="shared" si="383"/>
        <v>0</v>
      </c>
      <c r="Q625" s="74">
        <v>0</v>
      </c>
      <c r="R625" s="74">
        <v>0</v>
      </c>
      <c r="S625" s="74">
        <v>0</v>
      </c>
      <c r="T625" s="74">
        <f t="shared" si="385"/>
        <v>0</v>
      </c>
      <c r="U625" s="74">
        <f t="shared" si="386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IFERROR(__xludf.DUMMYFUNCTION("IMPORTRANGE(""https://docs.google.com/spreadsheets/d/1eHaY18a8A9IcSdp1K8H6x8fbOy06t2VsZHhMHf-1x7Y/edit?usp=sharing"",""แผน!ID68"")"),50)</f>
        <v>50</v>
      </c>
      <c r="J627" s="622">
        <f>J633</f>
        <v>0</v>
      </c>
      <c r="K627" s="26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IFERROR(__xludf.DUMMYFUNCTION("IMPORTRANGE(""https://docs.google.com/spreadsheets/d/1eHaY18a8A9IcSdp1K8H6x8fbOy06t2VsZHhMHf-1x7Y/edit?usp=sharing"",""แผน!IC68"")"),0)</f>
        <v>0</v>
      </c>
      <c r="J628" s="294">
        <v>0</v>
      </c>
      <c r="K628" s="74">
        <f t="shared" ref="K628:K629" ca="1" si="393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IFERROR(__xludf.DUMMYFUNCTION("IMPORTRANGE(""https://docs.google.com/spreadsheets/d/1eHaY18a8A9IcSdp1K8H6x8fbOy06t2VsZHhMHf-1x7Y/edit?usp=sharing"",""แผน!IC68"")"),0)</f>
        <v>0</v>
      </c>
      <c r="J629" s="294">
        <v>0</v>
      </c>
      <c r="K629" s="74">
        <f t="shared" ca="1" si="393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0</v>
      </c>
      <c r="K630" s="74">
        <f t="shared" ref="K630:K632" ca="1" si="394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t="shared" ca="1" si="394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t="shared" ca="1" si="394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IFERROR(__xludf.DUMMYFUNCTION("IMPORTRANGE(""https://docs.google.com/spreadsheets/d/1eHaY18a8A9IcSdp1K8H6x8fbOy06t2VsZHhMHf-1x7Y/edit?usp=sharing"",""แผน!IE68"")"),0)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1257">
        <f t="shared" ref="L643:N643" si="395">L644+L645</f>
        <v>0</v>
      </c>
      <c r="M643" s="264">
        <f t="shared" si="395"/>
        <v>0</v>
      </c>
      <c r="N643" s="264">
        <f t="shared" si="395"/>
        <v>0</v>
      </c>
      <c r="O643" s="264">
        <f t="shared" ref="O643:O651" si="396">IF(L643&gt;0,N643*100/L643,0)</f>
        <v>0</v>
      </c>
      <c r="P643" s="264">
        <f t="shared" ref="P643:P651" si="397">IF(M643&gt;0,N643*100/M643,0)</f>
        <v>0</v>
      </c>
      <c r="Q643" s="264">
        <f t="shared" ref="Q643:S643" ca="1" si="398">Q644+Q645</f>
        <v>36200</v>
      </c>
      <c r="R643" s="264">
        <f t="shared" ca="1" si="398"/>
        <v>36200</v>
      </c>
      <c r="S643" s="264">
        <f t="shared" ca="1" si="398"/>
        <v>0</v>
      </c>
      <c r="T643" s="264">
        <f t="shared" ref="T643:T651" ca="1" si="399">IF(Q643&gt;0,S643*100/Q643,0)</f>
        <v>0</v>
      </c>
      <c r="U643" s="264">
        <f t="shared" ref="U643:U651" ca="1" si="400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6">
        <f t="shared" ref="L644:N645" si="401">L647+L650</f>
        <v>0</v>
      </c>
      <c r="M644" s="77">
        <f t="shared" si="401"/>
        <v>0</v>
      </c>
      <c r="N644" s="77">
        <f t="shared" si="401"/>
        <v>0</v>
      </c>
      <c r="O644" s="77">
        <f t="shared" si="396"/>
        <v>0</v>
      </c>
      <c r="P644" s="77">
        <f t="shared" si="397"/>
        <v>0</v>
      </c>
      <c r="Q644" s="77">
        <f t="shared" ref="Q644:S645" si="402">Q647+Q650</f>
        <v>0</v>
      </c>
      <c r="R644" s="77">
        <f t="shared" si="402"/>
        <v>0</v>
      </c>
      <c r="S644" s="77">
        <f t="shared" si="402"/>
        <v>0</v>
      </c>
      <c r="T644" s="77">
        <f t="shared" si="399"/>
        <v>0</v>
      </c>
      <c r="U644" s="77">
        <f t="shared" si="400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3">
        <f t="shared" si="401"/>
        <v>0</v>
      </c>
      <c r="M645" s="74">
        <f t="shared" si="401"/>
        <v>0</v>
      </c>
      <c r="N645" s="74">
        <f t="shared" si="401"/>
        <v>0</v>
      </c>
      <c r="O645" s="74">
        <f t="shared" si="396"/>
        <v>0</v>
      </c>
      <c r="P645" s="74">
        <f t="shared" si="397"/>
        <v>0</v>
      </c>
      <c r="Q645" s="74">
        <f t="shared" ca="1" si="402"/>
        <v>36200</v>
      </c>
      <c r="R645" s="74">
        <f t="shared" ca="1" si="402"/>
        <v>36200</v>
      </c>
      <c r="S645" s="74">
        <f t="shared" ca="1" si="402"/>
        <v>0</v>
      </c>
      <c r="T645" s="74">
        <f t="shared" ca="1" si="399"/>
        <v>0</v>
      </c>
      <c r="U645" s="74">
        <f t="shared" ca="1" si="400"/>
        <v>0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3">
        <f t="shared" ref="L646:N646" si="403">L647+L648</f>
        <v>0</v>
      </c>
      <c r="M646" s="74">
        <f t="shared" si="403"/>
        <v>0</v>
      </c>
      <c r="N646" s="74">
        <f t="shared" si="403"/>
        <v>0</v>
      </c>
      <c r="O646" s="74">
        <f t="shared" si="396"/>
        <v>0</v>
      </c>
      <c r="P646" s="74">
        <f t="shared" si="397"/>
        <v>0</v>
      </c>
      <c r="Q646" s="74">
        <f t="shared" ref="Q646:S646" ca="1" si="404">Q647+Q648</f>
        <v>36200</v>
      </c>
      <c r="R646" s="74">
        <f t="shared" ca="1" si="404"/>
        <v>36200</v>
      </c>
      <c r="S646" s="74">
        <f t="shared" ca="1" si="404"/>
        <v>0</v>
      </c>
      <c r="T646" s="74">
        <f t="shared" ca="1" si="399"/>
        <v>0</v>
      </c>
      <c r="U646" s="74">
        <f t="shared" ca="1" si="400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77">
        <f t="shared" si="396"/>
        <v>0</v>
      </c>
      <c r="P647" s="77">
        <f t="shared" si="397"/>
        <v>0</v>
      </c>
      <c r="Q647" s="77">
        <v>0</v>
      </c>
      <c r="R647" s="77">
        <v>0</v>
      </c>
      <c r="S647" s="77">
        <v>0</v>
      </c>
      <c r="T647" s="77">
        <f t="shared" si="399"/>
        <v>0</v>
      </c>
      <c r="U647" s="77">
        <f t="shared" si="400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74">
        <f t="shared" si="396"/>
        <v>0</v>
      </c>
      <c r="P648" s="74">
        <f t="shared" si="397"/>
        <v>0</v>
      </c>
      <c r="Q648" s="74">
        <f ca="1">IFERROR(__xludf.DUMMYFUNCTION("IMPORTRANGE(""https://docs.google.com/spreadsheets/d/1ItG2mGa2ceCfYo0BwxsXqNm01IGEUdYcSSLTEv9YCik/edit?usp=sharing"",""เบิกจ่ายกองทุน!I68"")"),36200)</f>
        <v>36200</v>
      </c>
      <c r="R648" s="74">
        <f ca="1">IFERROR(__xludf.DUMMYFUNCTION("IMPORTRANGE(""https://docs.google.com/spreadsheets/d/1ItG2mGa2ceCfYo0BwxsXqNm01IGEUdYcSSLTEv9YCik/edit?usp=sharing"",""เบิกจ่ายกองทุน!J68"")"),36200)</f>
        <v>36200</v>
      </c>
      <c r="S648" s="74">
        <f ca="1">IFERROR(__xludf.DUMMYFUNCTION("IMPORTRANGE(""https://docs.google.com/spreadsheets/d/1ItG2mGa2ceCfYo0BwxsXqNm01IGEUdYcSSLTEv9YCik/edit?usp=sharing"",""เบิกจ่ายกองทุน!K68"")"),0)</f>
        <v>0</v>
      </c>
      <c r="T648" s="74">
        <f t="shared" ca="1" si="399"/>
        <v>0</v>
      </c>
      <c r="U648" s="74">
        <f t="shared" ca="1" si="400"/>
        <v>0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3">
        <f t="shared" ref="L649:N649" si="405">L650+L651</f>
        <v>0</v>
      </c>
      <c r="M649" s="74">
        <f t="shared" si="405"/>
        <v>0</v>
      </c>
      <c r="N649" s="74">
        <f t="shared" si="405"/>
        <v>0</v>
      </c>
      <c r="O649" s="74">
        <f t="shared" si="396"/>
        <v>0</v>
      </c>
      <c r="P649" s="74">
        <f t="shared" si="397"/>
        <v>0</v>
      </c>
      <c r="Q649" s="74">
        <f t="shared" ref="Q649:S649" si="406">Q650+Q651</f>
        <v>0</v>
      </c>
      <c r="R649" s="74">
        <f t="shared" si="406"/>
        <v>0</v>
      </c>
      <c r="S649" s="74">
        <f t="shared" si="406"/>
        <v>0</v>
      </c>
      <c r="T649" s="74">
        <f t="shared" si="399"/>
        <v>0</v>
      </c>
      <c r="U649" s="74">
        <f t="shared" si="400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77">
        <f t="shared" si="396"/>
        <v>0</v>
      </c>
      <c r="P650" s="77">
        <f t="shared" si="397"/>
        <v>0</v>
      </c>
      <c r="Q650" s="77">
        <v>0</v>
      </c>
      <c r="R650" s="77">
        <v>0</v>
      </c>
      <c r="S650" s="77">
        <v>0</v>
      </c>
      <c r="T650" s="77">
        <f t="shared" si="399"/>
        <v>0</v>
      </c>
      <c r="U650" s="77">
        <f t="shared" si="400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74">
        <f t="shared" si="396"/>
        <v>0</v>
      </c>
      <c r="P651" s="74">
        <f t="shared" si="397"/>
        <v>0</v>
      </c>
      <c r="Q651" s="74">
        <v>0</v>
      </c>
      <c r="R651" s="74">
        <v>0</v>
      </c>
      <c r="S651" s="74">
        <v>0</v>
      </c>
      <c r="T651" s="74">
        <f t="shared" si="399"/>
        <v>0</v>
      </c>
      <c r="U651" s="74">
        <f t="shared" si="400"/>
        <v>0</v>
      </c>
    </row>
    <row r="652" spans="1:21" ht="19.5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IFERROR(__xludf.DUMMYFUNCTION("IMPORTRANGE(""https://docs.google.com/spreadsheets/d/1eHaY18a8A9IcSdp1K8H6x8fbOy06t2VsZHhMHf-1x7Y/edit?usp=sharing"",""แผน!IF68"")"),0)</f>
        <v>0</v>
      </c>
      <c r="J653" s="293">
        <f ca="1">IFERROR(__xludf.DUMMYFUNCTION("IMPORTRANGE(""https://docs.google.com/spreadsheets/d/1tdoBKaGub7dwA3U6UFTqxio9LNnvDCQjHKmttSEBsFQ/edit?usp=sharing"",""จัดที่ดิน!AU68"")"),0)</f>
        <v>0</v>
      </c>
      <c r="K653" s="74">
        <f t="shared" ref="K653:K655" ca="1" si="407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hidden="1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IFERROR(__xludf.DUMMYFUNCTION("IMPORTRANGE(""https://docs.google.com/spreadsheets/d/1eHaY18a8A9IcSdp1K8H6x8fbOy06t2VsZHhMHf-1x7Y/edit?usp=sharing"",""แผน!IG68"")"),0)</f>
        <v>0</v>
      </c>
      <c r="J654" s="293">
        <f ca="1">IFERROR(__xludf.DUMMYFUNCTION("IMPORTRANGE(""https://docs.google.com/spreadsheets/d/1tdoBKaGub7dwA3U6UFTqxio9LNnvDCQjHKmttSEBsFQ/edit?usp=sharing"",""จัดที่ดิน!AW68"")"),0)</f>
        <v>0</v>
      </c>
      <c r="K654" s="74">
        <f t="shared" ca="1" si="407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IFERROR(__xludf.DUMMYFUNCTION("IMPORTRANGE(""https://docs.google.com/spreadsheets/d/1eHaY18a8A9IcSdp1K8H6x8fbOy06t2VsZHhMHf-1x7Y/edit?usp=sharing"",""แผน!IH68"")"),50)</f>
        <v>50</v>
      </c>
      <c r="J655" s="622">
        <f>J658+J661</f>
        <v>0</v>
      </c>
      <c r="K655" s="264">
        <f t="shared" ca="1" si="407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IFERROR(__xludf.DUMMYFUNCTION("IMPORTRANGE(""https://docs.google.com/spreadsheets/d/1eHaY18a8A9IcSdp1K8H6x8fbOy06t2VsZHhMHf-1x7Y/edit?usp=sharing"",""แผน!II68"")"),50)</f>
        <v>50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IFERROR(__xludf.DUMMYFUNCTION("IMPORTRANGE(""https://docs.google.com/spreadsheets/d/1eHaY18a8A9IcSdp1K8H6x8fbOy06t2VsZHhMHf-1x7Y/edit?usp=sharing"",""แผน!IJ68"")"),0)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IFERROR(__xludf.DUMMYFUNCTION("IMPORTRANGE(""https://docs.google.com/spreadsheets/d/1eHaY18a8A9IcSdp1K8H6x8fbOy06t2VsZHhMHf-1x7Y/edit?usp=sharing"",""แผน!IK68"")"),100)</f>
        <v>100</v>
      </c>
      <c r="J662" s="622">
        <f>J668+J671</f>
        <v>0</v>
      </c>
      <c r="K662" s="264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IFERROR(__xludf.DUMMYFUNCTION("IMPORTRANGE(""https://docs.google.com/spreadsheets/d/1tdoBKaGub7dwA3U6UFTqxio9LNnvDCQjHKmttSEBsFQ/edit?usp=sharing"",""จัดที่ดิน!AY68"")"),0)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IFERROR(__xludf.DUMMYFUNCTION("IMPORTRANGE(""https://docs.google.com/spreadsheets/d/1tdoBKaGub7dwA3U6UFTqxio9LNnvDCQjHKmttSEBsFQ/edit?usp=sharing"",""จัดที่ดิน!AZ68"")"),0)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IFERROR(__xludf.DUMMYFUNCTION("IMPORTRANGE(""https://docs.google.com/spreadsheets/d/1eHaY18a8A9IcSdp1K8H6x8fbOy06t2VsZHhMHf-1x7Y/edit?usp=sharing"",""แผน!IL68"")"),450)</f>
        <v>450</v>
      </c>
      <c r="J674" s="293">
        <f ca="1">IFERROR(__xludf.DUMMYFUNCTION("IMPORTRANGE(""https://docs.google.com/spreadsheets/d/1tdoBKaGub7dwA3U6UFTqxio9LNnvDCQjHKmttSEBsFQ/edit?usp=sharing"",""จัดที่ดิน!BA68"")"),0)</f>
        <v>0</v>
      </c>
      <c r="K674" s="74">
        <f t="shared" ref="K674:K677" ca="1" si="408">IF(I674&gt;0,J674*100/I674,0)</f>
        <v>0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IFERROR(__xludf.DUMMYFUNCTION("IMPORTRANGE(""https://docs.google.com/spreadsheets/d/1eHaY18a8A9IcSdp1K8H6x8fbOy06t2VsZHhMHf-1x7Y/edit?usp=sharing"",""แผน!IM68"")"),10)</f>
        <v>10</v>
      </c>
      <c r="J675" s="622">
        <f ca="1">J677+J680</f>
        <v>0</v>
      </c>
      <c r="K675" s="264">
        <f t="shared" ca="1" si="408"/>
        <v>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IFERROR(__xludf.DUMMYFUNCTION("IMPORTRANGE(""https://docs.google.com/spreadsheets/d/1eHaY18a8A9IcSdp1K8H6x8fbOy06t2VsZHhMHf-1x7Y/edit?usp=sharing"",""แผน!IN68"")"),150)</f>
        <v>150</v>
      </c>
      <c r="J676" s="622">
        <f ca="1">J679+J682</f>
        <v>0</v>
      </c>
      <c r="K676" s="264">
        <f t="shared" ca="1" si="408"/>
        <v>0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IFERROR(__xludf.DUMMYFUNCTION("IMPORTRANGE(""https://docs.google.com/spreadsheets/d/1eHaY18a8A9IcSdp1K8H6x8fbOy06t2VsZHhMHf-1x7Y/edit?usp=sharing"",""แผน!IO68"")"),10)</f>
        <v>10</v>
      </c>
      <c r="J677" s="293">
        <f ca="1">IFERROR(__xludf.DUMMYFUNCTION("IMPORTRANGE(""https://docs.google.com/spreadsheets/d/1tdoBKaGub7dwA3U6UFTqxio9LNnvDCQjHKmttSEBsFQ/edit?usp=sharing"",""จัดที่ดิน!BF68"")"),0)</f>
        <v>0</v>
      </c>
      <c r="K677" s="74">
        <f t="shared" ca="1" si="408"/>
        <v>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IFERROR(__xludf.DUMMYFUNCTION("IMPORTRANGE(""https://docs.google.com/spreadsheets/d/1tdoBKaGub7dwA3U6UFTqxio9LNnvDCQjHKmttSEBsFQ/edit?usp=sharing"",""จัดที่ดิน!BG68"")"),0)</f>
        <v>0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IFERROR(__xludf.DUMMYFUNCTION("IMPORTRANGE(""https://docs.google.com/spreadsheets/d/1eHaY18a8A9IcSdp1K8H6x8fbOy06t2VsZHhMHf-1x7Y/edit?usp=sharing"",""แผน!IP68"")"),150)</f>
        <v>150</v>
      </c>
      <c r="J679" s="293">
        <f ca="1">IFERROR(__xludf.DUMMYFUNCTION("IMPORTRANGE(""https://docs.google.com/spreadsheets/d/1tdoBKaGub7dwA3U6UFTqxio9LNnvDCQjHKmttSEBsFQ/edit?usp=sharing"",""จัดที่ดิน!BH68"")"),0)</f>
        <v>0</v>
      </c>
      <c r="K679" s="74">
        <f t="shared" ref="K679:K680" ca="1" si="409">IF(I679&gt;0,J679*100/I679,0)</f>
        <v>0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IFERROR(__xludf.DUMMYFUNCTION("IMPORTRANGE(""https://docs.google.com/spreadsheets/d/1eHaY18a8A9IcSdp1K8H6x8fbOy06t2VsZHhMHf-1x7Y/edit?usp=sharing"",""แผน!IQ68"")"),0)</f>
        <v>0</v>
      </c>
      <c r="J680" s="293">
        <f ca="1">IFERROR(__xludf.DUMMYFUNCTION("IMPORTRANGE(""https://docs.google.com/spreadsheets/d/1tdoBKaGub7dwA3U6UFTqxio9LNnvDCQjHKmttSEBsFQ/edit?usp=sharing"",""จัดที่ดิน!BK68"")"),0)</f>
        <v>0</v>
      </c>
      <c r="K680" s="74">
        <f t="shared" ca="1" si="409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IFERROR(__xludf.DUMMYFUNCTION("IMPORTRANGE(""https://docs.google.com/spreadsheets/d/1tdoBKaGub7dwA3U6UFTqxio9LNnvDCQjHKmttSEBsFQ/edit?usp=sharing"",""จัดที่ดิน!BL68"")"),0)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IFERROR(__xludf.DUMMYFUNCTION("IMPORTRANGE(""https://docs.google.com/spreadsheets/d/1eHaY18a8A9IcSdp1K8H6x8fbOy06t2VsZHhMHf-1x7Y/edit?usp=sharing"",""แผน!IR68"")"),0)</f>
        <v>0</v>
      </c>
      <c r="J682" s="293">
        <f ca="1">IFERROR(__xludf.DUMMYFUNCTION("IMPORTRANGE(""https://docs.google.com/spreadsheets/d/1tdoBKaGub7dwA3U6UFTqxio9LNnvDCQjHKmttSEBsFQ/edit?usp=sharing"",""จัดที่ดิน!BM68"")"),0)</f>
        <v>0</v>
      </c>
      <c r="K682" s="74">
        <f t="shared" ref="K682:K683" ca="1" si="410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IFERROR(__xludf.DUMMYFUNCTION("IMPORTRANGE(""https://docs.google.com/spreadsheets/d/1eHaY18a8A9IcSdp1K8H6x8fbOy06t2VsZHhMHf-1x7Y/edit?usp=sharing"",""แผน!IS68"")"),20)</f>
        <v>20</v>
      </c>
      <c r="J683" s="622">
        <f>J686+J689</f>
        <v>0</v>
      </c>
      <c r="K683" s="264">
        <f t="shared" ca="1" si="410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64" t="s">
        <v>35</v>
      </c>
      <c r="I690" s="765">
        <f t="shared" ref="I690:J690" ca="1" si="411">I708</f>
        <v>70</v>
      </c>
      <c r="J690" s="765">
        <f t="shared" ca="1" si="411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1257">
        <f t="shared" ref="L691:N691" si="412">L692+L693</f>
        <v>0</v>
      </c>
      <c r="M691" s="264">
        <f t="shared" si="412"/>
        <v>0</v>
      </c>
      <c r="N691" s="264">
        <f t="shared" si="412"/>
        <v>0</v>
      </c>
      <c r="O691" s="264">
        <f t="shared" ref="O691:O699" si="413">IF(L691&gt;0,N691*100/L691,0)</f>
        <v>0</v>
      </c>
      <c r="P691" s="264">
        <f t="shared" ref="P691:P699" si="414">IF(M691&gt;0,N691*100/M691,0)</f>
        <v>0</v>
      </c>
      <c r="Q691" s="264">
        <f t="shared" ref="Q691:S691" ca="1" si="415">Q692+Q693</f>
        <v>188210</v>
      </c>
      <c r="R691" s="264">
        <f t="shared" ca="1" si="415"/>
        <v>188210</v>
      </c>
      <c r="S691" s="264">
        <f t="shared" ca="1" si="415"/>
        <v>0</v>
      </c>
      <c r="T691" s="264">
        <f t="shared" ref="T691:T699" ca="1" si="416">IF(Q691&gt;0,S691*100/Q691,0)</f>
        <v>0</v>
      </c>
      <c r="U691" s="264">
        <f t="shared" ref="U691:U699" ca="1" si="417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6">
        <f t="shared" ref="L692:N693" si="418">L695+L698</f>
        <v>0</v>
      </c>
      <c r="M692" s="77">
        <f t="shared" si="418"/>
        <v>0</v>
      </c>
      <c r="N692" s="77">
        <f t="shared" si="418"/>
        <v>0</v>
      </c>
      <c r="O692" s="77">
        <f t="shared" si="413"/>
        <v>0</v>
      </c>
      <c r="P692" s="77">
        <f t="shared" si="414"/>
        <v>0</v>
      </c>
      <c r="Q692" s="77">
        <f t="shared" ref="Q692:S693" si="419">Q695+Q698</f>
        <v>0</v>
      </c>
      <c r="R692" s="77">
        <f t="shared" si="419"/>
        <v>0</v>
      </c>
      <c r="S692" s="77">
        <f t="shared" si="419"/>
        <v>0</v>
      </c>
      <c r="T692" s="77">
        <f t="shared" si="416"/>
        <v>0</v>
      </c>
      <c r="U692" s="77">
        <f t="shared" si="417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3">
        <f t="shared" si="418"/>
        <v>0</v>
      </c>
      <c r="M693" s="74">
        <f t="shared" si="418"/>
        <v>0</v>
      </c>
      <c r="N693" s="74">
        <f t="shared" si="418"/>
        <v>0</v>
      </c>
      <c r="O693" s="74">
        <f t="shared" si="413"/>
        <v>0</v>
      </c>
      <c r="P693" s="74">
        <f t="shared" si="414"/>
        <v>0</v>
      </c>
      <c r="Q693" s="74">
        <f t="shared" ca="1" si="419"/>
        <v>188210</v>
      </c>
      <c r="R693" s="74">
        <f t="shared" ca="1" si="419"/>
        <v>188210</v>
      </c>
      <c r="S693" s="74">
        <f t="shared" ca="1" si="419"/>
        <v>0</v>
      </c>
      <c r="T693" s="74">
        <f t="shared" ca="1" si="416"/>
        <v>0</v>
      </c>
      <c r="U693" s="74">
        <f t="shared" ca="1" si="417"/>
        <v>0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3">
        <f t="shared" ref="L694:N694" si="420">L695+L696</f>
        <v>0</v>
      </c>
      <c r="M694" s="74">
        <f t="shared" si="420"/>
        <v>0</v>
      </c>
      <c r="N694" s="74">
        <f t="shared" si="420"/>
        <v>0</v>
      </c>
      <c r="O694" s="74">
        <f t="shared" si="413"/>
        <v>0</v>
      </c>
      <c r="P694" s="74">
        <f t="shared" si="414"/>
        <v>0</v>
      </c>
      <c r="Q694" s="74">
        <f t="shared" ref="Q694:S694" ca="1" si="421">Q695+Q696</f>
        <v>188210</v>
      </c>
      <c r="R694" s="74">
        <f t="shared" ca="1" si="421"/>
        <v>188210</v>
      </c>
      <c r="S694" s="74">
        <f t="shared" ca="1" si="421"/>
        <v>0</v>
      </c>
      <c r="T694" s="74">
        <f t="shared" ca="1" si="416"/>
        <v>0</v>
      </c>
      <c r="U694" s="74">
        <f t="shared" ca="1" si="417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77">
        <f t="shared" si="413"/>
        <v>0</v>
      </c>
      <c r="P695" s="77">
        <f t="shared" si="414"/>
        <v>0</v>
      </c>
      <c r="Q695" s="77">
        <v>0</v>
      </c>
      <c r="R695" s="77">
        <v>0</v>
      </c>
      <c r="S695" s="77">
        <v>0</v>
      </c>
      <c r="T695" s="77">
        <f t="shared" si="416"/>
        <v>0</v>
      </c>
      <c r="U695" s="77">
        <f t="shared" si="417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74">
        <f t="shared" si="413"/>
        <v>0</v>
      </c>
      <c r="P696" s="74">
        <f t="shared" si="414"/>
        <v>0</v>
      </c>
      <c r="Q696" s="74">
        <f ca="1">IFERROR(__xludf.DUMMYFUNCTION("IMPORTRANGE(""https://docs.google.com/spreadsheets/d/1ItG2mGa2ceCfYo0BwxsXqNm01IGEUdYcSSLTEv9YCik/edit?usp=sharing"",""เบิกจ่ายกองทุน!L68"")"),188210)</f>
        <v>188210</v>
      </c>
      <c r="R696" s="74">
        <f ca="1">IFERROR(__xludf.DUMMYFUNCTION("IMPORTRANGE(""https://docs.google.com/spreadsheets/d/1ItG2mGa2ceCfYo0BwxsXqNm01IGEUdYcSSLTEv9YCik/edit?usp=sharing"",""เบิกจ่ายกองทุน!M68"")"),188210)</f>
        <v>188210</v>
      </c>
      <c r="S696" s="74">
        <f ca="1">IFERROR(__xludf.DUMMYFUNCTION("IMPORTRANGE(""https://docs.google.com/spreadsheets/d/1ItG2mGa2ceCfYo0BwxsXqNm01IGEUdYcSSLTEv9YCik/edit?usp=sharing"",""เบิกจ่ายกองทุน!N68"")"),0)</f>
        <v>0</v>
      </c>
      <c r="T696" s="74">
        <f t="shared" ca="1" si="416"/>
        <v>0</v>
      </c>
      <c r="U696" s="74">
        <f t="shared" ca="1" si="417"/>
        <v>0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3">
        <f t="shared" ref="L697:N697" si="422">L698+L699</f>
        <v>0</v>
      </c>
      <c r="M697" s="74">
        <f t="shared" si="422"/>
        <v>0</v>
      </c>
      <c r="N697" s="74">
        <f t="shared" si="422"/>
        <v>0</v>
      </c>
      <c r="O697" s="74">
        <f t="shared" si="413"/>
        <v>0</v>
      </c>
      <c r="P697" s="74">
        <f t="shared" si="414"/>
        <v>0</v>
      </c>
      <c r="Q697" s="74">
        <f t="shared" ref="Q697:S697" si="423">Q698+Q699</f>
        <v>0</v>
      </c>
      <c r="R697" s="74">
        <f t="shared" si="423"/>
        <v>0</v>
      </c>
      <c r="S697" s="74">
        <f t="shared" si="423"/>
        <v>0</v>
      </c>
      <c r="T697" s="74">
        <f t="shared" si="416"/>
        <v>0</v>
      </c>
      <c r="U697" s="74">
        <f t="shared" si="417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77">
        <f t="shared" si="413"/>
        <v>0</v>
      </c>
      <c r="P698" s="77">
        <f t="shared" si="414"/>
        <v>0</v>
      </c>
      <c r="Q698" s="77">
        <v>0</v>
      </c>
      <c r="R698" s="77">
        <v>0</v>
      </c>
      <c r="S698" s="77">
        <v>0</v>
      </c>
      <c r="T698" s="77">
        <f t="shared" si="416"/>
        <v>0</v>
      </c>
      <c r="U698" s="77">
        <f t="shared" si="417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74">
        <f t="shared" si="413"/>
        <v>0</v>
      </c>
      <c r="P699" s="74">
        <f t="shared" si="414"/>
        <v>0</v>
      </c>
      <c r="Q699" s="74">
        <v>0</v>
      </c>
      <c r="R699" s="74">
        <v>0</v>
      </c>
      <c r="S699" s="74">
        <v>0</v>
      </c>
      <c r="T699" s="74">
        <f t="shared" si="416"/>
        <v>0</v>
      </c>
      <c r="U699" s="74">
        <f t="shared" si="417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IFERROR(__xludf.DUMMYFUNCTION("IMPORTRANGE(""https://docs.google.com/spreadsheets/d/1eHaY18a8A9IcSdp1K8H6x8fbOy06t2VsZHhMHf-1x7Y/edit?usp=sharing"",""แผน!LC68"")"),0)</f>
        <v>0</v>
      </c>
      <c r="J701" s="294">
        <v>0</v>
      </c>
      <c r="K701" s="768">
        <f t="shared" ref="K701:K711" ca="1" si="424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t="shared" ref="I702:J702" ca="1" si="425">I704+I706</f>
        <v>70</v>
      </c>
      <c r="J702" s="622">
        <f t="shared" ca="1" si="425"/>
        <v>0</v>
      </c>
      <c r="K702" s="264">
        <f t="shared" ca="1" si="424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0</v>
      </c>
      <c r="K703" s="264">
        <f t="shared" si="424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IFERROR(__xludf.DUMMYFUNCTION("IMPORTRANGE(""https://docs.google.com/spreadsheets/d/1eHaY18a8A9IcSdp1K8H6x8fbOy06t2VsZHhMHf-1x7Y/edit?usp=sharing"",""แผน!LJ68"")"),70)</f>
        <v>70</v>
      </c>
      <c r="J704" s="293">
        <f ca="1">IFERROR(__xludf.DUMMYFUNCTION("IMPORTRANGE(""https://docs.google.com/spreadsheets/d/1tdoBKaGub7dwA3U6UFTqxio9LNnvDCQjHKmttSEBsFQ/edit?usp=sharing"",""จัดที่ดิน!AP68"")"),0)</f>
        <v>0</v>
      </c>
      <c r="K704" s="74">
        <f t="shared" ca="1" si="424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IFERROR(__xludf.DUMMYFUNCTION("IMPORTRANGE(""https://docs.google.com/spreadsheets/d/1tdoBKaGub7dwA3U6UFTqxio9LNnvDCQjHKmttSEBsFQ/edit?usp=sharing"",""จัดที่ดิน!AQ68"")"),0)</f>
        <v>0</v>
      </c>
      <c r="K705" s="74">
        <f t="shared" si="424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IFERROR(__xludf.DUMMYFUNCTION("IMPORTRANGE(""https://docs.google.com/spreadsheets/d/1eHaY18a8A9IcSdp1K8H6x8fbOy06t2VsZHhMHf-1x7Y/edit?usp=sharing"",""แผน!LK68"")"),0)</f>
        <v>0</v>
      </c>
      <c r="J706" s="293">
        <f ca="1">IFERROR(__xludf.DUMMYFUNCTION("IMPORTRANGE(""https://docs.google.com/spreadsheets/d/1tdoBKaGub7dwA3U6UFTqxio9LNnvDCQjHKmttSEBsFQ/edit?usp=sharing"",""จัดที่ดิน!AR68"")"),0)</f>
        <v>0</v>
      </c>
      <c r="K706" s="768">
        <f t="shared" ca="1" si="424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IFERROR(__xludf.DUMMYFUNCTION("IMPORTRANGE(""https://docs.google.com/spreadsheets/d/1tdoBKaGub7dwA3U6UFTqxio9LNnvDCQjHKmttSEBsFQ/edit?usp=sharing"",""จัดที่ดิน!AS68"")"),0)</f>
        <v>0</v>
      </c>
      <c r="K707" s="74">
        <f t="shared" si="424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IFERROR(__xludf.DUMMYFUNCTION("IMPORTRANGE(""https://docs.google.com/spreadsheets/d/1eHaY18a8A9IcSdp1K8H6x8fbOy06t2VsZHhMHf-1x7Y/edit?usp=sharing"",""แผน!LJ68"")"),70)</f>
        <v>70</v>
      </c>
      <c r="J708" s="293">
        <f ca="1">IFERROR(__xludf.DUMMYFUNCTION("IMPORTRANGE(""https://docs.google.com/spreadsheets/d/1tdoBKaGub7dwA3U6UFTqxio9LNnvDCQjHKmttSEBsFQ/edit?usp=sharing"",""จัดที่ดิน!BN68"")"),0)</f>
        <v>0</v>
      </c>
      <c r="K708" s="74">
        <f t="shared" ca="1" si="424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IFERROR(__xludf.DUMMYFUNCTION("IMPORTRANGE(""https://docs.google.com/spreadsheets/d/1tdoBKaGub7dwA3U6UFTqxio9LNnvDCQjHKmttSEBsFQ/edit?usp=sharing"",""จัดที่ดิน!BO68"")"),0)</f>
        <v>0</v>
      </c>
      <c r="K709" s="74">
        <f t="shared" si="424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IFERROR(__xludf.DUMMYFUNCTION("IMPORTRANGE(""https://docs.google.com/spreadsheets/d/1eHaY18a8A9IcSdp1K8H6x8fbOy06t2VsZHhMHf-1x7Y/edit?usp=sharing"",""แผน!LK68"")"),0)</f>
        <v>0</v>
      </c>
      <c r="J710" s="293">
        <f ca="1">IFERROR(__xludf.DUMMYFUNCTION("IMPORTRANGE(""https://docs.google.com/spreadsheets/d/1tdoBKaGub7dwA3U6UFTqxio9LNnvDCQjHKmttSEBsFQ/edit?usp=sharing"",""จัดที่ดิน!BP68"")"),0)</f>
        <v>0</v>
      </c>
      <c r="K710" s="74">
        <f t="shared" ca="1" si="424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IFERROR(__xludf.DUMMYFUNCTION("IMPORTRANGE(""https://docs.google.com/spreadsheets/d/1tdoBKaGub7dwA3U6UFTqxio9LNnvDCQjHKmttSEBsFQ/edit?usp=sharing"",""จัดที่ดิน!BQ68"")"),0)</f>
        <v>0</v>
      </c>
      <c r="K711" s="74">
        <f t="shared" si="424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1257">
        <f t="shared" ref="L715:N715" si="426">L716+L717</f>
        <v>0</v>
      </c>
      <c r="M715" s="264">
        <f t="shared" si="426"/>
        <v>0</v>
      </c>
      <c r="N715" s="264">
        <f t="shared" si="426"/>
        <v>0</v>
      </c>
      <c r="O715" s="264">
        <f t="shared" ref="O715:O723" si="427">IF(L715&gt;0,N715*100/L715,0)</f>
        <v>0</v>
      </c>
      <c r="P715" s="264">
        <f t="shared" ref="P715:P723" si="428">IF(M715&gt;0,N715*100/M715,0)</f>
        <v>0</v>
      </c>
      <c r="Q715" s="264">
        <f t="shared" ref="Q715:S715" si="429">Q716+Q717</f>
        <v>0</v>
      </c>
      <c r="R715" s="264">
        <f t="shared" si="429"/>
        <v>0</v>
      </c>
      <c r="S715" s="264">
        <f t="shared" si="429"/>
        <v>0</v>
      </c>
      <c r="T715" s="264">
        <f t="shared" ref="T715:T723" si="430">IF(Q715&gt;0,S715*100/Q715,0)</f>
        <v>0</v>
      </c>
      <c r="U715" s="264">
        <f t="shared" ref="U715:U723" si="431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6">
        <f t="shared" ref="L716:N717" si="432">L719+L722</f>
        <v>0</v>
      </c>
      <c r="M716" s="77">
        <f t="shared" si="432"/>
        <v>0</v>
      </c>
      <c r="N716" s="77">
        <f t="shared" si="432"/>
        <v>0</v>
      </c>
      <c r="O716" s="77">
        <f t="shared" si="427"/>
        <v>0</v>
      </c>
      <c r="P716" s="77">
        <f t="shared" si="428"/>
        <v>0</v>
      </c>
      <c r="Q716" s="77">
        <f t="shared" ref="Q716:S717" si="433">Q719+Q722</f>
        <v>0</v>
      </c>
      <c r="R716" s="77">
        <f t="shared" si="433"/>
        <v>0</v>
      </c>
      <c r="S716" s="77">
        <f t="shared" si="433"/>
        <v>0</v>
      </c>
      <c r="T716" s="77">
        <f t="shared" si="430"/>
        <v>0</v>
      </c>
      <c r="U716" s="77">
        <f t="shared" si="431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3">
        <f t="shared" si="432"/>
        <v>0</v>
      </c>
      <c r="M717" s="74">
        <f t="shared" si="432"/>
        <v>0</v>
      </c>
      <c r="N717" s="74">
        <f t="shared" si="432"/>
        <v>0</v>
      </c>
      <c r="O717" s="74">
        <f t="shared" si="427"/>
        <v>0</v>
      </c>
      <c r="P717" s="74">
        <f t="shared" si="428"/>
        <v>0</v>
      </c>
      <c r="Q717" s="74">
        <f t="shared" si="433"/>
        <v>0</v>
      </c>
      <c r="R717" s="74">
        <f t="shared" si="433"/>
        <v>0</v>
      </c>
      <c r="S717" s="74">
        <f t="shared" si="433"/>
        <v>0</v>
      </c>
      <c r="T717" s="74">
        <f t="shared" si="430"/>
        <v>0</v>
      </c>
      <c r="U717" s="74">
        <f t="shared" si="431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3">
        <f t="shared" ref="L718:N718" si="434">L719+L720</f>
        <v>0</v>
      </c>
      <c r="M718" s="74">
        <f t="shared" si="434"/>
        <v>0</v>
      </c>
      <c r="N718" s="74">
        <f t="shared" si="434"/>
        <v>0</v>
      </c>
      <c r="O718" s="74">
        <f t="shared" si="427"/>
        <v>0</v>
      </c>
      <c r="P718" s="74">
        <f t="shared" si="428"/>
        <v>0</v>
      </c>
      <c r="Q718" s="74">
        <f t="shared" ref="Q718:S718" si="435">Q719+Q720</f>
        <v>0</v>
      </c>
      <c r="R718" s="74">
        <f t="shared" si="435"/>
        <v>0</v>
      </c>
      <c r="S718" s="74">
        <f t="shared" si="435"/>
        <v>0</v>
      </c>
      <c r="T718" s="74">
        <f t="shared" si="430"/>
        <v>0</v>
      </c>
      <c r="U718" s="74">
        <f t="shared" si="431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77">
        <f t="shared" si="427"/>
        <v>0</v>
      </c>
      <c r="P719" s="77">
        <f t="shared" si="428"/>
        <v>0</v>
      </c>
      <c r="Q719" s="77">
        <v>0</v>
      </c>
      <c r="R719" s="77">
        <v>0</v>
      </c>
      <c r="S719" s="77">
        <v>0</v>
      </c>
      <c r="T719" s="77">
        <f t="shared" si="430"/>
        <v>0</v>
      </c>
      <c r="U719" s="77">
        <f t="shared" si="431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74">
        <f t="shared" si="427"/>
        <v>0</v>
      </c>
      <c r="P720" s="74">
        <f t="shared" si="428"/>
        <v>0</v>
      </c>
      <c r="Q720" s="74">
        <v>0</v>
      </c>
      <c r="R720" s="74">
        <v>0</v>
      </c>
      <c r="S720" s="74">
        <v>0</v>
      </c>
      <c r="T720" s="74">
        <f t="shared" si="430"/>
        <v>0</v>
      </c>
      <c r="U720" s="74">
        <f t="shared" si="431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3">
        <f t="shared" ref="L721:N721" si="436">L722+L723</f>
        <v>0</v>
      </c>
      <c r="M721" s="74">
        <f t="shared" si="436"/>
        <v>0</v>
      </c>
      <c r="N721" s="74">
        <f t="shared" si="436"/>
        <v>0</v>
      </c>
      <c r="O721" s="74">
        <f t="shared" si="427"/>
        <v>0</v>
      </c>
      <c r="P721" s="74">
        <f t="shared" si="428"/>
        <v>0</v>
      </c>
      <c r="Q721" s="74">
        <f t="shared" ref="Q721:S721" si="437">Q722+Q723</f>
        <v>0</v>
      </c>
      <c r="R721" s="74">
        <f t="shared" si="437"/>
        <v>0</v>
      </c>
      <c r="S721" s="74">
        <f t="shared" si="437"/>
        <v>0</v>
      </c>
      <c r="T721" s="74">
        <f t="shared" si="430"/>
        <v>0</v>
      </c>
      <c r="U721" s="74">
        <f t="shared" si="431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77">
        <f t="shared" si="427"/>
        <v>0</v>
      </c>
      <c r="P722" s="77">
        <f t="shared" si="428"/>
        <v>0</v>
      </c>
      <c r="Q722" s="77">
        <v>0</v>
      </c>
      <c r="R722" s="77">
        <v>0</v>
      </c>
      <c r="S722" s="77">
        <v>0</v>
      </c>
      <c r="T722" s="77">
        <f t="shared" si="430"/>
        <v>0</v>
      </c>
      <c r="U722" s="77">
        <f t="shared" si="431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74">
        <f t="shared" si="427"/>
        <v>0</v>
      </c>
      <c r="P723" s="74">
        <f t="shared" si="428"/>
        <v>0</v>
      </c>
      <c r="Q723" s="74">
        <v>0</v>
      </c>
      <c r="R723" s="74">
        <v>0</v>
      </c>
      <c r="S723" s="74">
        <v>0</v>
      </c>
      <c r="T723" s="74">
        <f t="shared" si="430"/>
        <v>0</v>
      </c>
      <c r="U723" s="74">
        <f t="shared" si="431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IFERROR(__xludf.DUMMYFUNCTION("IMPORTRANGE(""https://docs.google.com/spreadsheets/d/1eHaY18a8A9IcSdp1K8H6x8fbOy06t2VsZHhMHf-1x7Y/edit?usp=sharing"",""แผน!GA68"")"),128)</f>
        <v>128</v>
      </c>
      <c r="J727" s="781">
        <f>J743+J747+J750</f>
        <v>0</v>
      </c>
      <c r="K727" s="766">
        <f t="shared" ref="K727:K728" ca="1" si="438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IFERROR(__xludf.DUMMYFUNCTION("IMPORTRANGE(""https://docs.google.com/spreadsheets/d/1eHaY18a8A9IcSdp1K8H6x8fbOy06t2VsZHhMHf-1x7Y/edit?usp=sharing"",""แผน!FZ68"")"),1250)</f>
        <v>1250</v>
      </c>
      <c r="J728" s="781">
        <f>J753+J756</f>
        <v>0</v>
      </c>
      <c r="K728" s="766">
        <f t="shared" ca="1" si="438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1257">
        <f t="shared" ref="L729:N729" si="439">L730+L731</f>
        <v>0</v>
      </c>
      <c r="M729" s="264">
        <f t="shared" si="439"/>
        <v>0</v>
      </c>
      <c r="N729" s="264">
        <f t="shared" si="439"/>
        <v>0</v>
      </c>
      <c r="O729" s="264">
        <f t="shared" ref="O729:O737" si="440">IF(L729&gt;0,N729*100/L729,0)</f>
        <v>0</v>
      </c>
      <c r="P729" s="264">
        <f t="shared" ref="P729:P737" si="441">IF(M729&gt;0,N729*100/M729,0)</f>
        <v>0</v>
      </c>
      <c r="Q729" s="264">
        <f t="shared" ref="Q729:S729" ca="1" si="442">Q730+Q731</f>
        <v>1008470</v>
      </c>
      <c r="R729" s="264">
        <f t="shared" ca="1" si="442"/>
        <v>1008470</v>
      </c>
      <c r="S729" s="264">
        <f t="shared" ca="1" si="442"/>
        <v>8340</v>
      </c>
      <c r="T729" s="264">
        <f t="shared" ref="T729:T737" ca="1" si="443">IF(Q729&gt;0,S729*100/Q729,0)</f>
        <v>0.82699534939066111</v>
      </c>
      <c r="U729" s="264">
        <f t="shared" ref="U729:U737" ca="1" si="444">IF(R729&gt;0,S729*100/R729,0)</f>
        <v>0.82699534939066111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6">
        <f t="shared" ref="L730:N731" si="445">L733+L736</f>
        <v>0</v>
      </c>
      <c r="M730" s="77">
        <f t="shared" si="445"/>
        <v>0</v>
      </c>
      <c r="N730" s="77">
        <f t="shared" si="445"/>
        <v>0</v>
      </c>
      <c r="O730" s="77">
        <f t="shared" si="440"/>
        <v>0</v>
      </c>
      <c r="P730" s="77">
        <f t="shared" si="441"/>
        <v>0</v>
      </c>
      <c r="Q730" s="77">
        <f t="shared" ref="Q730:S731" si="446">Q733+Q736</f>
        <v>0</v>
      </c>
      <c r="R730" s="77">
        <f t="shared" si="446"/>
        <v>0</v>
      </c>
      <c r="S730" s="77">
        <f t="shared" si="446"/>
        <v>0</v>
      </c>
      <c r="T730" s="77">
        <f t="shared" si="443"/>
        <v>0</v>
      </c>
      <c r="U730" s="77">
        <f t="shared" si="444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3">
        <f t="shared" si="445"/>
        <v>0</v>
      </c>
      <c r="M731" s="74">
        <f t="shared" si="445"/>
        <v>0</v>
      </c>
      <c r="N731" s="74">
        <f t="shared" si="445"/>
        <v>0</v>
      </c>
      <c r="O731" s="74">
        <f t="shared" si="440"/>
        <v>0</v>
      </c>
      <c r="P731" s="74">
        <f t="shared" si="441"/>
        <v>0</v>
      </c>
      <c r="Q731" s="74">
        <f t="shared" ca="1" si="446"/>
        <v>1008470</v>
      </c>
      <c r="R731" s="74">
        <f t="shared" ca="1" si="446"/>
        <v>1008470</v>
      </c>
      <c r="S731" s="74">
        <f t="shared" ca="1" si="446"/>
        <v>8340</v>
      </c>
      <c r="T731" s="74">
        <f t="shared" ca="1" si="443"/>
        <v>0.82699534939066111</v>
      </c>
      <c r="U731" s="74">
        <f t="shared" ca="1" si="444"/>
        <v>0.82699534939066111</v>
      </c>
    </row>
    <row r="732" spans="1:21" ht="18.75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3">
        <f t="shared" ref="L732:N732" si="447">L733+L734</f>
        <v>0</v>
      </c>
      <c r="M732" s="74">
        <f t="shared" si="447"/>
        <v>0</v>
      </c>
      <c r="N732" s="74">
        <f t="shared" si="447"/>
        <v>0</v>
      </c>
      <c r="O732" s="74">
        <f t="shared" si="440"/>
        <v>0</v>
      </c>
      <c r="P732" s="74">
        <f t="shared" si="441"/>
        <v>0</v>
      </c>
      <c r="Q732" s="74">
        <f t="shared" ref="Q732:S732" ca="1" si="448">Q733+Q734</f>
        <v>1008470</v>
      </c>
      <c r="R732" s="74">
        <f t="shared" ca="1" si="448"/>
        <v>1008470</v>
      </c>
      <c r="S732" s="74">
        <f t="shared" ca="1" si="448"/>
        <v>8340</v>
      </c>
      <c r="T732" s="74">
        <f t="shared" ca="1" si="443"/>
        <v>0.82699534939066111</v>
      </c>
      <c r="U732" s="74">
        <f t="shared" ca="1" si="444"/>
        <v>0.82699534939066111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77">
        <f t="shared" si="440"/>
        <v>0</v>
      </c>
      <c r="P733" s="77">
        <f t="shared" si="441"/>
        <v>0</v>
      </c>
      <c r="Q733" s="77">
        <v>0</v>
      </c>
      <c r="R733" s="77">
        <v>0</v>
      </c>
      <c r="S733" s="77">
        <v>0</v>
      </c>
      <c r="T733" s="77">
        <f t="shared" si="443"/>
        <v>0</v>
      </c>
      <c r="U733" s="77">
        <f t="shared" si="444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74">
        <f t="shared" si="440"/>
        <v>0</v>
      </c>
      <c r="P734" s="74">
        <f t="shared" si="441"/>
        <v>0</v>
      </c>
      <c r="Q734" s="74">
        <f ca="1">IFERROR(__xludf.DUMMYFUNCTION("IMPORTRANGE(""https://docs.google.com/spreadsheets/d/1ItG2mGa2ceCfYo0BwxsXqNm01IGEUdYcSSLTEv9YCik/edit?usp=sharing"",""เบิกจ่ายกองทุน!O68"")"),1008470)</f>
        <v>1008470</v>
      </c>
      <c r="R734" s="74">
        <f ca="1">IFERROR(__xludf.DUMMYFUNCTION("IMPORTRANGE(""https://docs.google.com/spreadsheets/d/1ItG2mGa2ceCfYo0BwxsXqNm01IGEUdYcSSLTEv9YCik/edit?usp=sharing"",""เบิกจ่ายกองทุน!P68"")"),1008470)</f>
        <v>1008470</v>
      </c>
      <c r="S734" s="74">
        <f ca="1">IFERROR(__xludf.DUMMYFUNCTION("IMPORTRANGE(""https://docs.google.com/spreadsheets/d/1ItG2mGa2ceCfYo0BwxsXqNm01IGEUdYcSSLTEv9YCik/edit?usp=sharing"",""เบิกจ่ายกองทุน!Q68"")"),8340)</f>
        <v>8340</v>
      </c>
      <c r="T734" s="74">
        <f t="shared" ca="1" si="443"/>
        <v>0.82699534939066111</v>
      </c>
      <c r="U734" s="74">
        <f t="shared" ca="1" si="444"/>
        <v>0.82699534939066111</v>
      </c>
    </row>
    <row r="735" spans="1:21" ht="18.75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3">
        <f t="shared" ref="L735:N735" si="449">L736+L737</f>
        <v>0</v>
      </c>
      <c r="M735" s="74">
        <f t="shared" si="449"/>
        <v>0</v>
      </c>
      <c r="N735" s="74">
        <f t="shared" si="449"/>
        <v>0</v>
      </c>
      <c r="O735" s="74">
        <f t="shared" si="440"/>
        <v>0</v>
      </c>
      <c r="P735" s="74">
        <f t="shared" si="441"/>
        <v>0</v>
      </c>
      <c r="Q735" s="74">
        <f t="shared" ref="Q735:S735" si="450">Q736+Q737</f>
        <v>0</v>
      </c>
      <c r="R735" s="74">
        <f t="shared" si="450"/>
        <v>0</v>
      </c>
      <c r="S735" s="74">
        <f t="shared" si="450"/>
        <v>0</v>
      </c>
      <c r="T735" s="74">
        <f t="shared" si="443"/>
        <v>0</v>
      </c>
      <c r="U735" s="74">
        <f t="shared" si="444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77">
        <f t="shared" si="440"/>
        <v>0</v>
      </c>
      <c r="P736" s="77">
        <f t="shared" si="441"/>
        <v>0</v>
      </c>
      <c r="Q736" s="77">
        <v>0</v>
      </c>
      <c r="R736" s="77">
        <v>0</v>
      </c>
      <c r="S736" s="77">
        <v>0</v>
      </c>
      <c r="T736" s="77">
        <f t="shared" si="443"/>
        <v>0</v>
      </c>
      <c r="U736" s="77">
        <f t="shared" si="444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74">
        <f t="shared" si="440"/>
        <v>0</v>
      </c>
      <c r="P737" s="74">
        <f t="shared" si="441"/>
        <v>0</v>
      </c>
      <c r="Q737" s="74">
        <v>0</v>
      </c>
      <c r="R737" s="74">
        <v>0</v>
      </c>
      <c r="S737" s="74">
        <v>0</v>
      </c>
      <c r="T737" s="74">
        <f t="shared" si="443"/>
        <v>0</v>
      </c>
      <c r="U737" s="74">
        <f t="shared" si="444"/>
        <v>0</v>
      </c>
    </row>
    <row r="738" spans="1:21" ht="19.5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x14ac:dyDescent="0.25">
      <c r="A741" s="222"/>
      <c r="B741" s="223"/>
      <c r="C741" s="223"/>
      <c r="D741" s="223"/>
      <c r="E741" s="223"/>
      <c r="F741" s="1032" t="s">
        <v>271</v>
      </c>
      <c r="G741" s="227"/>
      <c r="H741" s="216" t="s">
        <v>46</v>
      </c>
      <c r="I741" s="321">
        <f ca="1">IFERROR(__xludf.DUMMYFUNCTION("IMPORTRANGE(""https://docs.google.com/spreadsheets/d/1eHaY18a8A9IcSdp1K8H6x8fbOy06t2VsZHhMHf-1x7Y/edit?usp=sharing"",""แผน!GB68"")"),1000)</f>
        <v>1000</v>
      </c>
      <c r="J741" s="884">
        <v>0</v>
      </c>
      <c r="K741" s="399">
        <f ca="1">IF(I741&gt;0,J741*100/I741,0)</f>
        <v>0</v>
      </c>
      <c r="L741" s="540"/>
      <c r="M741" s="72"/>
      <c r="N741" s="72"/>
      <c r="O741" s="72"/>
      <c r="P741" s="72"/>
      <c r="Q741" s="72"/>
      <c r="R741" s="72"/>
      <c r="S741" s="72"/>
      <c r="T741" s="72"/>
      <c r="U741" s="72"/>
    </row>
    <row r="742" spans="1:21" ht="18.75" x14ac:dyDescent="0.25">
      <c r="A742" s="222"/>
      <c r="B742" s="223"/>
      <c r="C742" s="223"/>
      <c r="D742" s="223"/>
      <c r="E742" s="223"/>
      <c r="F742" s="1032" t="s">
        <v>311</v>
      </c>
      <c r="G742" s="227"/>
      <c r="H742" s="216" t="s">
        <v>35</v>
      </c>
      <c r="I742" s="71"/>
      <c r="J742" s="884">
        <v>0</v>
      </c>
      <c r="K742" s="72"/>
      <c r="L742" s="540"/>
      <c r="M742" s="72"/>
      <c r="N742" s="72"/>
      <c r="O742" s="72"/>
      <c r="P742" s="72"/>
      <c r="Q742" s="72"/>
      <c r="R742" s="72"/>
      <c r="S742" s="72"/>
      <c r="T742" s="72"/>
      <c r="U742" s="72"/>
    </row>
    <row r="743" spans="1:21" ht="18.75" x14ac:dyDescent="0.25">
      <c r="A743" s="222"/>
      <c r="B743" s="223"/>
      <c r="C743" s="223"/>
      <c r="D743" s="223"/>
      <c r="E743" s="223"/>
      <c r="F743" s="1032" t="s">
        <v>312</v>
      </c>
      <c r="G743" s="227"/>
      <c r="H743" s="216" t="s">
        <v>35</v>
      </c>
      <c r="I743" s="321">
        <f ca="1">IFERROR(__xludf.DUMMYFUNCTION("IMPORTRANGE(""https://docs.google.com/spreadsheets/d/1eHaY18a8A9IcSdp1K8H6x8fbOy06t2VsZHhMHf-1x7Y/edit?usp=sharing"",""แผน!GC68"")"),100)</f>
        <v>100</v>
      </c>
      <c r="J743" s="884">
        <v>0</v>
      </c>
      <c r="K743" s="399">
        <f ca="1">IF(I743&gt;0,J743*100/I743,0)</f>
        <v>0</v>
      </c>
      <c r="L743" s="540"/>
      <c r="M743" s="72"/>
      <c r="N743" s="72"/>
      <c r="O743" s="72"/>
      <c r="P743" s="72"/>
      <c r="Q743" s="72"/>
      <c r="R743" s="72"/>
      <c r="S743" s="72"/>
      <c r="T743" s="72"/>
      <c r="U743" s="72"/>
    </row>
    <row r="744" spans="1:21" ht="18.75" x14ac:dyDescent="0.25">
      <c r="A744" s="222"/>
      <c r="B744" s="223"/>
      <c r="C744" s="223"/>
      <c r="D744" s="223"/>
      <c r="E744" s="1032" t="s">
        <v>274</v>
      </c>
      <c r="F744" s="223"/>
      <c r="G744" s="227"/>
      <c r="H744" s="1033"/>
      <c r="I744" s="71"/>
      <c r="J744" s="71"/>
      <c r="K744" s="72"/>
      <c r="L744" s="540"/>
      <c r="M744" s="72"/>
      <c r="N744" s="72"/>
      <c r="O744" s="72"/>
      <c r="P744" s="72"/>
      <c r="Q744" s="72"/>
      <c r="R744" s="72"/>
      <c r="S744" s="72"/>
      <c r="T744" s="72"/>
      <c r="U744" s="72"/>
    </row>
    <row r="745" spans="1:21" ht="18.75" x14ac:dyDescent="0.25">
      <c r="A745" s="222"/>
      <c r="B745" s="223"/>
      <c r="C745" s="223"/>
      <c r="D745" s="223"/>
      <c r="E745" s="223"/>
      <c r="F745" s="1032" t="s">
        <v>271</v>
      </c>
      <c r="G745" s="227"/>
      <c r="H745" s="216" t="s">
        <v>46</v>
      </c>
      <c r="I745" s="321">
        <f ca="1">IFERROR(__xludf.DUMMYFUNCTION("IMPORTRANGE(""https://docs.google.com/spreadsheets/d/1eHaY18a8A9IcSdp1K8H6x8fbOy06t2VsZHhMHf-1x7Y/edit?usp=sharing"",""แผน!GD68"")"),250)</f>
        <v>250</v>
      </c>
      <c r="J745" s="884">
        <v>0</v>
      </c>
      <c r="K745" s="399">
        <f ca="1">IF(I745&gt;0,J745*100/I745,0)</f>
        <v>0</v>
      </c>
      <c r="L745" s="540"/>
      <c r="M745" s="72"/>
      <c r="N745" s="72"/>
      <c r="O745" s="72"/>
      <c r="P745" s="72"/>
      <c r="Q745" s="72"/>
      <c r="R745" s="72"/>
      <c r="S745" s="72"/>
      <c r="T745" s="72"/>
      <c r="U745" s="72"/>
    </row>
    <row r="746" spans="1:21" ht="18.75" x14ac:dyDescent="0.25">
      <c r="A746" s="222"/>
      <c r="B746" s="223"/>
      <c r="C746" s="223"/>
      <c r="D746" s="223"/>
      <c r="E746" s="223"/>
      <c r="F746" s="1032" t="s">
        <v>313</v>
      </c>
      <c r="G746" s="227"/>
      <c r="H746" s="216" t="s">
        <v>35</v>
      </c>
      <c r="I746" s="71"/>
      <c r="J746" s="884">
        <v>0</v>
      </c>
      <c r="K746" s="72"/>
      <c r="L746" s="540"/>
      <c r="M746" s="72"/>
      <c r="N746" s="72"/>
      <c r="O746" s="72"/>
      <c r="P746" s="72"/>
      <c r="Q746" s="72"/>
      <c r="R746" s="72"/>
      <c r="S746" s="72"/>
      <c r="T746" s="72"/>
      <c r="U746" s="72"/>
    </row>
    <row r="747" spans="1:21" ht="18.75" x14ac:dyDescent="0.25">
      <c r="A747" s="222"/>
      <c r="B747" s="223"/>
      <c r="C747" s="223"/>
      <c r="D747" s="223"/>
      <c r="E747" s="223"/>
      <c r="F747" s="1032" t="s">
        <v>314</v>
      </c>
      <c r="G747" s="227"/>
      <c r="H747" s="216" t="s">
        <v>35</v>
      </c>
      <c r="I747" s="321">
        <f ca="1">IFERROR(__xludf.DUMMYFUNCTION("IMPORTRANGE(""https://docs.google.com/spreadsheets/d/1eHaY18a8A9IcSdp1K8H6x8fbOy06t2VsZHhMHf-1x7Y/edit?usp=sharing"",""แผน!GE68"")"),25)</f>
        <v>25</v>
      </c>
      <c r="J747" s="884">
        <v>0</v>
      </c>
      <c r="K747" s="399">
        <f ca="1">IF(I747&gt;0,J747*100/I747,0)</f>
        <v>0</v>
      </c>
      <c r="L747" s="540"/>
      <c r="M747" s="72"/>
      <c r="N747" s="72"/>
      <c r="O747" s="72"/>
      <c r="P747" s="72"/>
      <c r="Q747" s="72"/>
      <c r="R747" s="72"/>
      <c r="S747" s="72"/>
      <c r="T747" s="72"/>
      <c r="U747" s="72"/>
    </row>
    <row r="748" spans="1:21" ht="18.75" x14ac:dyDescent="0.25">
      <c r="A748" s="222"/>
      <c r="B748" s="223"/>
      <c r="C748" s="223"/>
      <c r="D748" s="223"/>
      <c r="E748" s="1032" t="s">
        <v>277</v>
      </c>
      <c r="F748" s="231"/>
      <c r="G748" s="227"/>
      <c r="H748" s="1033"/>
      <c r="I748" s="71"/>
      <c r="J748" s="71"/>
      <c r="K748" s="72"/>
      <c r="L748" s="540"/>
      <c r="M748" s="72"/>
      <c r="N748" s="72"/>
      <c r="O748" s="72"/>
      <c r="P748" s="72"/>
      <c r="Q748" s="72"/>
      <c r="R748" s="72"/>
      <c r="S748" s="72"/>
      <c r="T748" s="72"/>
      <c r="U748" s="72"/>
    </row>
    <row r="749" spans="1:21" ht="18.75" x14ac:dyDescent="0.25">
      <c r="A749" s="222"/>
      <c r="B749" s="223"/>
      <c r="C749" s="223"/>
      <c r="D749" s="223"/>
      <c r="E749" s="223"/>
      <c r="F749" s="1032" t="s">
        <v>315</v>
      </c>
      <c r="G749" s="227"/>
      <c r="H749" s="216" t="s">
        <v>35</v>
      </c>
      <c r="I749" s="71"/>
      <c r="J749" s="884">
        <v>0</v>
      </c>
      <c r="K749" s="72"/>
      <c r="L749" s="540"/>
      <c r="M749" s="72"/>
      <c r="N749" s="72"/>
      <c r="O749" s="72"/>
      <c r="P749" s="72"/>
      <c r="Q749" s="72"/>
      <c r="R749" s="72"/>
      <c r="S749" s="72"/>
      <c r="T749" s="72"/>
      <c r="U749" s="72"/>
    </row>
    <row r="750" spans="1:21" ht="18.75" x14ac:dyDescent="0.25">
      <c r="A750" s="222"/>
      <c r="B750" s="223"/>
      <c r="C750" s="223"/>
      <c r="D750" s="223"/>
      <c r="E750" s="223"/>
      <c r="F750" s="1032" t="s">
        <v>316</v>
      </c>
      <c r="G750" s="227"/>
      <c r="H750" s="216" t="s">
        <v>35</v>
      </c>
      <c r="I750" s="321">
        <f ca="1">IFERROR(__xludf.DUMMYFUNCTION("IMPORTRANGE(""https://docs.google.com/spreadsheets/d/1eHaY18a8A9IcSdp1K8H6x8fbOy06t2VsZHhMHf-1x7Y/edit?usp=sharing"",""แผน!GF68"")"),3)</f>
        <v>3</v>
      </c>
      <c r="J750" s="884">
        <v>0</v>
      </c>
      <c r="K750" s="399">
        <f ca="1">IF(I750&gt;0,J750*100/I750,0)</f>
        <v>0</v>
      </c>
      <c r="L750" s="540"/>
      <c r="M750" s="72"/>
      <c r="N750" s="72"/>
      <c r="O750" s="72"/>
      <c r="P750" s="72"/>
      <c r="Q750" s="72"/>
      <c r="R750" s="72"/>
      <c r="S750" s="72"/>
      <c r="T750" s="72"/>
      <c r="U750" s="72"/>
    </row>
    <row r="751" spans="1:21" ht="19.5" x14ac:dyDescent="0.3">
      <c r="A751" s="222"/>
      <c r="B751" s="223"/>
      <c r="C751" s="223"/>
      <c r="D751" s="1034" t="s">
        <v>50</v>
      </c>
      <c r="E751" s="223"/>
      <c r="F751" s="231"/>
      <c r="G751" s="227"/>
      <c r="H751" s="1033"/>
      <c r="I751" s="71"/>
      <c r="J751" s="71"/>
      <c r="K751" s="72"/>
      <c r="L751" s="540"/>
      <c r="M751" s="72"/>
      <c r="N751" s="72"/>
      <c r="O751" s="72"/>
      <c r="P751" s="72"/>
      <c r="Q751" s="72"/>
      <c r="R751" s="72"/>
      <c r="S751" s="72"/>
      <c r="T751" s="72"/>
      <c r="U751" s="72"/>
    </row>
    <row r="752" spans="1:21" ht="18.75" x14ac:dyDescent="0.25">
      <c r="A752" s="222"/>
      <c r="B752" s="223"/>
      <c r="C752" s="223"/>
      <c r="D752" s="223"/>
      <c r="E752" s="1032" t="s">
        <v>270</v>
      </c>
      <c r="F752" s="231"/>
      <c r="G752" s="227"/>
      <c r="H752" s="1033"/>
      <c r="I752" s="71"/>
      <c r="J752" s="71"/>
      <c r="K752" s="72"/>
      <c r="L752" s="540"/>
      <c r="M752" s="72"/>
      <c r="N752" s="72"/>
      <c r="O752" s="72"/>
      <c r="P752" s="72"/>
      <c r="Q752" s="72"/>
      <c r="R752" s="72"/>
      <c r="S752" s="72"/>
      <c r="T752" s="72"/>
      <c r="U752" s="72"/>
    </row>
    <row r="753" spans="1:21" ht="18.75" x14ac:dyDescent="0.25">
      <c r="A753" s="222"/>
      <c r="B753" s="223"/>
      <c r="C753" s="223"/>
      <c r="D753" s="223"/>
      <c r="E753" s="223"/>
      <c r="F753" s="395" t="s">
        <v>317</v>
      </c>
      <c r="G753" s="227"/>
      <c r="H753" s="216" t="s">
        <v>46</v>
      </c>
      <c r="I753" s="321">
        <f ca="1">IFERROR(__xludf.DUMMYFUNCTION("IMPORTRANGE(""https://docs.google.com/spreadsheets/d/1eHaY18a8A9IcSdp1K8H6x8fbOy06t2VsZHhMHf-1x7Y/edit?usp=sharing"",""แผน!GC68"")"),100)</f>
        <v>100</v>
      </c>
      <c r="J753" s="884">
        <v>0</v>
      </c>
      <c r="K753" s="399">
        <f ca="1">IF(I753&gt;0,J753*100/I753,0)</f>
        <v>0</v>
      </c>
      <c r="L753" s="540"/>
      <c r="M753" s="72"/>
      <c r="N753" s="72"/>
      <c r="O753" s="72"/>
      <c r="P753" s="72"/>
      <c r="Q753" s="72"/>
      <c r="R753" s="72"/>
      <c r="S753" s="72"/>
      <c r="T753" s="72"/>
      <c r="U753" s="72"/>
    </row>
    <row r="754" spans="1:21" ht="18.75" x14ac:dyDescent="0.25">
      <c r="A754" s="222"/>
      <c r="B754" s="223"/>
      <c r="C754" s="223"/>
      <c r="D754" s="223"/>
      <c r="E754" s="223"/>
      <c r="F754" s="395" t="s">
        <v>318</v>
      </c>
      <c r="G754" s="227"/>
      <c r="H754" s="216" t="s">
        <v>46</v>
      </c>
      <c r="I754" s="71"/>
      <c r="J754" s="884">
        <v>0</v>
      </c>
      <c r="K754" s="72"/>
      <c r="L754" s="540"/>
      <c r="M754" s="72"/>
      <c r="N754" s="72"/>
      <c r="O754" s="72"/>
      <c r="P754" s="72"/>
      <c r="Q754" s="72"/>
      <c r="R754" s="72"/>
      <c r="S754" s="72"/>
      <c r="T754" s="72"/>
      <c r="U754" s="72"/>
    </row>
    <row r="755" spans="1:21" ht="18.75" x14ac:dyDescent="0.25">
      <c r="A755" s="222"/>
      <c r="B755" s="223"/>
      <c r="C755" s="223"/>
      <c r="D755" s="223"/>
      <c r="E755" s="1032" t="s">
        <v>274</v>
      </c>
      <c r="F755" s="231"/>
      <c r="G755" s="227"/>
      <c r="H755" s="1033"/>
      <c r="I755" s="71"/>
      <c r="J755" s="71"/>
      <c r="K755" s="72"/>
      <c r="L755" s="540"/>
      <c r="M755" s="72"/>
      <c r="N755" s="72"/>
      <c r="O755" s="72"/>
      <c r="P755" s="72"/>
      <c r="Q755" s="72"/>
      <c r="R755" s="72"/>
      <c r="S755" s="72"/>
      <c r="T755" s="72"/>
      <c r="U755" s="72"/>
    </row>
    <row r="756" spans="1:21" ht="18.75" x14ac:dyDescent="0.25">
      <c r="A756" s="222"/>
      <c r="B756" s="223"/>
      <c r="C756" s="223"/>
      <c r="D756" s="223"/>
      <c r="E756" s="231"/>
      <c r="F756" s="395" t="s">
        <v>319</v>
      </c>
      <c r="G756" s="227"/>
      <c r="H756" s="216" t="s">
        <v>46</v>
      </c>
      <c r="I756" s="321">
        <f ca="1">IFERROR(__xludf.DUMMYFUNCTION("IMPORTRANGE(""https://docs.google.com/spreadsheets/d/1eHaY18a8A9IcSdp1K8H6x8fbOy06t2VsZHhMHf-1x7Y/edit?usp=sharing"",""แผน!GE68"")"),25)</f>
        <v>25</v>
      </c>
      <c r="J756" s="884">
        <v>0</v>
      </c>
      <c r="K756" s="399">
        <f ca="1">IF(I756&gt;0,J756*100/I756,0)</f>
        <v>0</v>
      </c>
      <c r="L756" s="540"/>
      <c r="M756" s="72"/>
      <c r="N756" s="72"/>
      <c r="O756" s="72"/>
      <c r="P756" s="72"/>
      <c r="Q756" s="72"/>
      <c r="R756" s="72"/>
      <c r="S756" s="72"/>
      <c r="T756" s="72"/>
      <c r="U756" s="72"/>
    </row>
    <row r="757" spans="1:21" ht="18.75" x14ac:dyDescent="0.25">
      <c r="A757" s="222"/>
      <c r="B757" s="223"/>
      <c r="C757" s="223"/>
      <c r="D757" s="223"/>
      <c r="E757" s="231"/>
      <c r="F757" s="395" t="s">
        <v>320</v>
      </c>
      <c r="G757" s="227"/>
      <c r="H757" s="216" t="s">
        <v>46</v>
      </c>
      <c r="I757" s="71"/>
      <c r="J757" s="884">
        <v>0</v>
      </c>
      <c r="K757" s="72"/>
      <c r="L757" s="540"/>
      <c r="M757" s="72"/>
      <c r="N757" s="72"/>
      <c r="O757" s="72"/>
      <c r="P757" s="72"/>
      <c r="Q757" s="72"/>
      <c r="R757" s="72"/>
      <c r="S757" s="72"/>
      <c r="T757" s="72"/>
      <c r="U757" s="72"/>
    </row>
    <row r="758" spans="1:21" ht="19.5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1">I772</f>
        <v>60</v>
      </c>
      <c r="J758" s="781">
        <f t="shared" si="451"/>
        <v>0</v>
      </c>
      <c r="K758" s="766">
        <f t="shared" ref="K758:K759" ca="1" si="452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3">I774</f>
        <v>105</v>
      </c>
      <c r="J759" s="781">
        <f t="shared" si="453"/>
        <v>0</v>
      </c>
      <c r="K759" s="766">
        <f t="shared" ca="1" si="452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1257">
        <f t="shared" ref="L760:N760" si="454">L761+L762</f>
        <v>0</v>
      </c>
      <c r="M760" s="264">
        <f t="shared" si="454"/>
        <v>0</v>
      </c>
      <c r="N760" s="264">
        <f t="shared" si="454"/>
        <v>0</v>
      </c>
      <c r="O760" s="264">
        <f t="shared" ref="O760:O768" si="455">IF(L760&gt;0,N760*100/L760,0)</f>
        <v>0</v>
      </c>
      <c r="P760" s="264">
        <f t="shared" ref="P760:P768" si="456">IF(M760&gt;0,N760*100/M760,0)</f>
        <v>0</v>
      </c>
      <c r="Q760" s="264">
        <f t="shared" ref="Q760:S760" ca="1" si="457">Q761+Q762</f>
        <v>413100</v>
      </c>
      <c r="R760" s="264">
        <f t="shared" ca="1" si="457"/>
        <v>413100</v>
      </c>
      <c r="S760" s="264">
        <f t="shared" ca="1" si="457"/>
        <v>0</v>
      </c>
      <c r="T760" s="264">
        <f t="shared" ref="T760:T768" ca="1" si="458">IF(Q760&gt;0,S760*100/Q760,0)</f>
        <v>0</v>
      </c>
      <c r="U760" s="264">
        <f t="shared" ref="U760:U768" ca="1" si="459">IF(R760&gt;0,S760*100/R760,0)</f>
        <v>0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6">
        <f t="shared" ref="L761:N762" si="460">L764+L767</f>
        <v>0</v>
      </c>
      <c r="M761" s="77">
        <f t="shared" si="460"/>
        <v>0</v>
      </c>
      <c r="N761" s="77">
        <f t="shared" si="460"/>
        <v>0</v>
      </c>
      <c r="O761" s="77">
        <f t="shared" si="455"/>
        <v>0</v>
      </c>
      <c r="P761" s="77">
        <f t="shared" si="456"/>
        <v>0</v>
      </c>
      <c r="Q761" s="77">
        <f t="shared" ref="Q761:S762" si="461">Q764+Q767</f>
        <v>0</v>
      </c>
      <c r="R761" s="77">
        <f t="shared" si="461"/>
        <v>0</v>
      </c>
      <c r="S761" s="77">
        <f t="shared" si="461"/>
        <v>0</v>
      </c>
      <c r="T761" s="77">
        <f t="shared" si="458"/>
        <v>0</v>
      </c>
      <c r="U761" s="77">
        <f t="shared" si="459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3">
        <f t="shared" si="460"/>
        <v>0</v>
      </c>
      <c r="M762" s="74">
        <f t="shared" si="460"/>
        <v>0</v>
      </c>
      <c r="N762" s="74">
        <f t="shared" si="460"/>
        <v>0</v>
      </c>
      <c r="O762" s="74">
        <f t="shared" si="455"/>
        <v>0</v>
      </c>
      <c r="P762" s="74">
        <f t="shared" si="456"/>
        <v>0</v>
      </c>
      <c r="Q762" s="74">
        <f t="shared" ca="1" si="461"/>
        <v>413100</v>
      </c>
      <c r="R762" s="74">
        <f t="shared" ca="1" si="461"/>
        <v>413100</v>
      </c>
      <c r="S762" s="74">
        <f t="shared" ca="1" si="461"/>
        <v>0</v>
      </c>
      <c r="T762" s="74">
        <f t="shared" ca="1" si="458"/>
        <v>0</v>
      </c>
      <c r="U762" s="74">
        <f t="shared" ca="1" si="459"/>
        <v>0</v>
      </c>
    </row>
    <row r="763" spans="1:21" ht="18.75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3">
        <f t="shared" ref="L763:N763" si="462">L764+L765</f>
        <v>0</v>
      </c>
      <c r="M763" s="74">
        <f t="shared" si="462"/>
        <v>0</v>
      </c>
      <c r="N763" s="74">
        <f t="shared" si="462"/>
        <v>0</v>
      </c>
      <c r="O763" s="74">
        <f t="shared" si="455"/>
        <v>0</v>
      </c>
      <c r="P763" s="74">
        <f t="shared" si="456"/>
        <v>0</v>
      </c>
      <c r="Q763" s="74">
        <f t="shared" ref="Q763:S763" ca="1" si="463">Q764+Q765</f>
        <v>413100</v>
      </c>
      <c r="R763" s="74">
        <f t="shared" ca="1" si="463"/>
        <v>413100</v>
      </c>
      <c r="S763" s="74">
        <f t="shared" ca="1" si="463"/>
        <v>0</v>
      </c>
      <c r="T763" s="74">
        <f t="shared" ca="1" si="458"/>
        <v>0</v>
      </c>
      <c r="U763" s="74">
        <f t="shared" ca="1" si="459"/>
        <v>0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77">
        <f t="shared" si="455"/>
        <v>0</v>
      </c>
      <c r="P764" s="77">
        <f t="shared" si="456"/>
        <v>0</v>
      </c>
      <c r="Q764" s="77">
        <v>0</v>
      </c>
      <c r="R764" s="77">
        <v>0</v>
      </c>
      <c r="S764" s="77">
        <v>0</v>
      </c>
      <c r="T764" s="77">
        <f t="shared" si="458"/>
        <v>0</v>
      </c>
      <c r="U764" s="77">
        <f t="shared" si="459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74">
        <f t="shared" si="455"/>
        <v>0</v>
      </c>
      <c r="P765" s="74">
        <f t="shared" si="456"/>
        <v>0</v>
      </c>
      <c r="Q765" s="74">
        <f ca="1">IFERROR(__xludf.DUMMYFUNCTION("IMPORTRANGE(""https://docs.google.com/spreadsheets/d/1ItG2mGa2ceCfYo0BwxsXqNm01IGEUdYcSSLTEv9YCik/edit?usp=sharing"",""เบิกจ่ายกองทุน!U68"")"),413100)</f>
        <v>413100</v>
      </c>
      <c r="R765" s="74">
        <f ca="1">IFERROR(__xludf.DUMMYFUNCTION("IMPORTRANGE(""https://docs.google.com/spreadsheets/d/1ItG2mGa2ceCfYo0BwxsXqNm01IGEUdYcSSLTEv9YCik/edit?usp=sharing"",""เบิกจ่ายกองทุน!V68"")"),413100)</f>
        <v>413100</v>
      </c>
      <c r="S765" s="74">
        <f ca="1">IFERROR(__xludf.DUMMYFUNCTION("IMPORTRANGE(""https://docs.google.com/spreadsheets/d/1ItG2mGa2ceCfYo0BwxsXqNm01IGEUdYcSSLTEv9YCik/edit?usp=sharing"",""เบิกจ่ายกองทุน!W68"")"),0)</f>
        <v>0</v>
      </c>
      <c r="T765" s="74">
        <f t="shared" ca="1" si="458"/>
        <v>0</v>
      </c>
      <c r="U765" s="74">
        <f t="shared" ca="1" si="459"/>
        <v>0</v>
      </c>
    </row>
    <row r="766" spans="1:21" ht="18.75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3">
        <f t="shared" ref="L766:N766" si="464">L767+L768</f>
        <v>0</v>
      </c>
      <c r="M766" s="74">
        <f t="shared" si="464"/>
        <v>0</v>
      </c>
      <c r="N766" s="74">
        <f t="shared" si="464"/>
        <v>0</v>
      </c>
      <c r="O766" s="74">
        <f t="shared" si="455"/>
        <v>0</v>
      </c>
      <c r="P766" s="74">
        <f t="shared" si="456"/>
        <v>0</v>
      </c>
      <c r="Q766" s="74">
        <f t="shared" ref="Q766:S766" si="465">Q767+Q768</f>
        <v>0</v>
      </c>
      <c r="R766" s="74">
        <f t="shared" si="465"/>
        <v>0</v>
      </c>
      <c r="S766" s="74">
        <f t="shared" si="465"/>
        <v>0</v>
      </c>
      <c r="T766" s="74">
        <f t="shared" si="458"/>
        <v>0</v>
      </c>
      <c r="U766" s="74">
        <f t="shared" si="459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77">
        <f t="shared" si="455"/>
        <v>0</v>
      </c>
      <c r="P767" s="77">
        <f t="shared" si="456"/>
        <v>0</v>
      </c>
      <c r="Q767" s="77">
        <v>0</v>
      </c>
      <c r="R767" s="77">
        <v>0</v>
      </c>
      <c r="S767" s="77">
        <v>0</v>
      </c>
      <c r="T767" s="77">
        <f t="shared" si="458"/>
        <v>0</v>
      </c>
      <c r="U767" s="77">
        <f t="shared" si="459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74">
        <f t="shared" si="455"/>
        <v>0</v>
      </c>
      <c r="P768" s="74">
        <f t="shared" si="456"/>
        <v>0</v>
      </c>
      <c r="Q768" s="74">
        <v>0</v>
      </c>
      <c r="R768" s="74">
        <v>0</v>
      </c>
      <c r="S768" s="74">
        <v>0</v>
      </c>
      <c r="T768" s="74">
        <f t="shared" si="458"/>
        <v>0</v>
      </c>
      <c r="U768" s="74">
        <f t="shared" si="459"/>
        <v>0</v>
      </c>
    </row>
    <row r="769" spans="1:21" ht="19.5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IFERROR(__xludf.DUMMYFUNCTION("IMPORTRANGE(""https://docs.google.com/spreadsheets/d/1eHaY18a8A9IcSdp1K8H6x8fbOy06t2VsZHhMHf-1x7Y/edit?usp=sharing"",""แผน!FI68"")"),0)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IFERROR(__xludf.DUMMYFUNCTION("IMPORTRANGE(""https://docs.google.com/spreadsheets/d/1eHaY18a8A9IcSdp1K8H6x8fbOy06t2VsZHhMHf-1x7Y/edit?usp=sharing"",""แผน!FQ68"")"),60)</f>
        <v>60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IFERROR(__xludf.DUMMYFUNCTION("IMPORTRANGE(""https://docs.google.com/spreadsheets/d/1eHaY18a8A9IcSdp1K8H6x8fbOy06t2VsZHhMHf-1x7Y/edit?usp=sharing"",""แผน!FR68"")"),105)</f>
        <v>105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IFERROR(__xludf.DUMMYFUNCTION("IMPORTRANGE(""https://docs.google.com/spreadsheets/d/1eHaY18a8A9IcSdp1K8H6x8fbOy06t2VsZHhMHf-1x7Y/edit?usp=sharing"",""แผน!FS68"")"),105)</f>
        <v>105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IFERROR(__xludf.DUMMYFUNCTION("IMPORTRANGE(""https://docs.google.com/spreadsheets/d/1eHaY18a8A9IcSdp1K8H6x8fbOy06t2VsZHhMHf-1x7Y/edit?usp=sharing"",""แผน!FT68"")"),60)</f>
        <v>60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IFERROR(__xludf.DUMMYFUNCTION("IMPORTRANGE(""https://docs.google.com/spreadsheets/d/10OvvATaaLtwErnr3qtWFcTmtbfpFEt5Bsqel9sXx0uE/edit?usp=sharing"",""งานกองทุน!D68"")"),11160000)</f>
        <v>11160000</v>
      </c>
      <c r="J778" s="293">
        <f ca="1">IFERROR(__xludf.DUMMYFUNCTION("IMPORTRANGE(""https://docs.google.com/spreadsheets/d/10OvvATaaLtwErnr3qtWFcTmtbfpFEt5Bsqel9sXx0uE/edit?usp=sharing"",""งานกองทุน!F68"")"),814050.4)</f>
        <v>814050.4</v>
      </c>
      <c r="K778" s="74">
        <f t="shared" ref="K778:K785" ca="1" si="466">IF(I778&gt;0,J778*100/I778,0)</f>
        <v>7.2943584229390677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IFERROR(__xludf.DUMMYFUNCTION("IMPORTRANGE(""https://docs.google.com/spreadsheets/d/10OvvATaaLtwErnr3qtWFcTmtbfpFEt5Bsqel9sXx0uE/edit?usp=sharing"",""งานกองทุน!C68"")"),337)</f>
        <v>337</v>
      </c>
      <c r="J779" s="293">
        <f ca="1">IFERROR(__xludf.DUMMYFUNCTION("IMPORTRANGE(""https://docs.google.com/spreadsheets/d/10OvvATaaLtwErnr3qtWFcTmtbfpFEt5Bsqel9sXx0uE/edit?usp=sharing"",""งานกองทุน!E68"")"),30)</f>
        <v>30</v>
      </c>
      <c r="K779" s="74">
        <f t="shared" ca="1" si="466"/>
        <v>8.9020771513353107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IFERROR(__xludf.DUMMYFUNCTION("IMPORTRANGE(""https://docs.google.com/spreadsheets/d/10OvvATaaLtwErnr3qtWFcTmtbfpFEt5Bsqel9sXx0uE/edit?usp=sharing"",""งานกองทุน!I68"")"),7578325.46)</f>
        <v>7578325.46</v>
      </c>
      <c r="J780" s="293">
        <f ca="1">IFERROR(__xludf.DUMMYFUNCTION("IMPORTRANGE(""https://docs.google.com/spreadsheets/d/10OvvATaaLtwErnr3qtWFcTmtbfpFEt5Bsqel9sXx0uE/edit?usp=sharing"",""งานกองทุน!K68"")"),177244.29)</f>
        <v>177244.29</v>
      </c>
      <c r="K780" s="74">
        <f t="shared" ca="1" si="466"/>
        <v>2.3388318558701755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IFERROR(__xludf.DUMMYFUNCTION("IMPORTRANGE(""https://docs.google.com/spreadsheets/d/10OvvATaaLtwErnr3qtWFcTmtbfpFEt5Bsqel9sXx0uE/edit?usp=sharing"",""งานกองทุน!H68"")"),328)</f>
        <v>328</v>
      </c>
      <c r="J781" s="293">
        <f ca="1">IFERROR(__xludf.DUMMYFUNCTION("IMPORTRANGE(""https://docs.google.com/spreadsheets/d/10OvvATaaLtwErnr3qtWFcTmtbfpFEt5Bsqel9sXx0uE/edit?usp=sharing"",""งานกองทุน!J68"")"),14)</f>
        <v>14</v>
      </c>
      <c r="K781" s="74">
        <f t="shared" ca="1" si="466"/>
        <v>4.2682926829268295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IFERROR(__xludf.DUMMYFUNCTION("IMPORTRANGE(""https://docs.google.com/spreadsheets/d/10OvvATaaLtwErnr3qtWFcTmtbfpFEt5Bsqel9sXx0uE/edit?usp=sharing"",""งานกองทุน!N68"")"),9330714.04)</f>
        <v>9330714.0399999991</v>
      </c>
      <c r="J782" s="293">
        <f ca="1">IFERROR(__xludf.DUMMYFUNCTION("IMPORTRANGE(""https://docs.google.com/spreadsheets/d/10OvvATaaLtwErnr3qtWFcTmtbfpFEt5Bsqel9sXx0uE/edit?usp=sharing"",""งานกองทุน!P68"")"),847368.59)</f>
        <v>847368.59</v>
      </c>
      <c r="K782" s="74">
        <f t="shared" ca="1" si="466"/>
        <v>9.0814977971396509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IFERROR(__xludf.DUMMYFUNCTION("IMPORTRANGE(""https://docs.google.com/spreadsheets/d/10OvvATaaLtwErnr3qtWFcTmtbfpFEt5Bsqel9sXx0uE/edit?usp=sharing"",""งานกองทุน!M68"")"),1124)</f>
        <v>1124</v>
      </c>
      <c r="J783" s="293">
        <f ca="1">IFERROR(__xludf.DUMMYFUNCTION("IMPORTRANGE(""https://docs.google.com/spreadsheets/d/10OvvATaaLtwErnr3qtWFcTmtbfpFEt5Bsqel9sXx0uE/edit?usp=sharing"",""งานกองทุน!O68"")"),173)</f>
        <v>173</v>
      </c>
      <c r="K783" s="74">
        <f t="shared" ca="1" si="466"/>
        <v>15.391459074733095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IFERROR(__xludf.DUMMYFUNCTION("IMPORTRANGE(""https://docs.google.com/spreadsheets/d/10OvvATaaLtwErnr3qtWFcTmtbfpFEt5Bsqel9sXx0uE/edit?usp=sharing"",""งานกองทุน!S68"")"),10920000)</f>
        <v>10920000</v>
      </c>
      <c r="J784" s="293">
        <f ca="1">IFERROR(__xludf.DUMMYFUNCTION("IMPORTRANGE(""https://docs.google.com/spreadsheets/d/10OvvATaaLtwErnr3qtWFcTmtbfpFEt5Bsqel9sXx0uE/edit?usp=sharing"",""งานกองทุน!U68"")"),720000)</f>
        <v>720000</v>
      </c>
      <c r="K784" s="74">
        <f t="shared" ca="1" si="466"/>
        <v>6.5934065934065931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IFERROR(__xludf.DUMMYFUNCTION("IMPORTRANGE(""https://docs.google.com/spreadsheets/d/10OvvATaaLtwErnr3qtWFcTmtbfpFEt5Bsqel9sXx0uE/edit?usp=sharing"",""งานกองทุน!R68"")"),390)</f>
        <v>390</v>
      </c>
      <c r="J785" s="786">
        <f ca="1">IFERROR(__xludf.DUMMYFUNCTION("IMPORTRANGE(""https://docs.google.com/spreadsheets/d/10OvvATaaLtwErnr3qtWFcTmtbfpFEt5Bsqel9sXx0uE/edit?usp=sharing"",""งานกองทุน!T68"")"),22)</f>
        <v>22</v>
      </c>
      <c r="K785" s="182">
        <f t="shared" ca="1" si="466"/>
        <v>5.6410256410256414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  <row r="789" spans="1:21" ht="12.75" x14ac:dyDescent="0.2">
      <c r="L789" s="289"/>
      <c r="M789" s="289"/>
      <c r="N789" s="289"/>
      <c r="O789" s="289"/>
      <c r="P789" s="289"/>
      <c r="Q789" s="289"/>
      <c r="R789" s="289"/>
      <c r="S789" s="289"/>
      <c r="T789" s="289"/>
      <c r="U789" s="289"/>
    </row>
    <row r="790" spans="1:21" ht="12.75" x14ac:dyDescent="0.2">
      <c r="L790" s="289"/>
      <c r="M790" s="289"/>
      <c r="N790" s="289"/>
      <c r="O790" s="289"/>
      <c r="P790" s="289"/>
      <c r="Q790" s="289"/>
      <c r="R790" s="289"/>
      <c r="S790" s="289"/>
      <c r="T790" s="289"/>
      <c r="U790" s="289"/>
    </row>
    <row r="791" spans="1:21" ht="12.75" x14ac:dyDescent="0.2">
      <c r="L791" s="289"/>
      <c r="M791" s="289"/>
      <c r="N791" s="289"/>
      <c r="O791" s="289"/>
      <c r="P791" s="289"/>
      <c r="Q791" s="289"/>
      <c r="R791" s="289"/>
      <c r="S791" s="289"/>
      <c r="T791" s="289"/>
      <c r="U791" s="289"/>
    </row>
    <row r="792" spans="1:21" ht="12.75" x14ac:dyDescent="0.2">
      <c r="L792" s="289"/>
      <c r="M792" s="289"/>
      <c r="N792" s="289"/>
      <c r="O792" s="289"/>
      <c r="P792" s="289"/>
      <c r="Q792" s="289"/>
      <c r="R792" s="289"/>
      <c r="S792" s="289"/>
      <c r="T792" s="289"/>
      <c r="U792" s="289"/>
    </row>
    <row r="793" spans="1:21" ht="12.75" x14ac:dyDescent="0.2">
      <c r="L793" s="289"/>
      <c r="M793" s="289"/>
      <c r="N793" s="289"/>
      <c r="O793" s="289"/>
      <c r="P793" s="289"/>
      <c r="Q793" s="289"/>
      <c r="R793" s="289"/>
      <c r="S793" s="289"/>
      <c r="T793" s="289"/>
      <c r="U793" s="289"/>
    </row>
    <row r="794" spans="1:21" ht="12.75" x14ac:dyDescent="0.2">
      <c r="L794" s="289"/>
      <c r="M794" s="289"/>
      <c r="N794" s="289"/>
      <c r="O794" s="289"/>
      <c r="P794" s="289"/>
      <c r="Q794" s="289"/>
      <c r="R794" s="289"/>
      <c r="S794" s="289"/>
      <c r="T794" s="289"/>
      <c r="U794" s="289"/>
    </row>
    <row r="795" spans="1:21" ht="12.75" x14ac:dyDescent="0.2">
      <c r="L795" s="289"/>
      <c r="M795" s="289"/>
      <c r="N795" s="289"/>
      <c r="O795" s="289"/>
      <c r="P795" s="289"/>
      <c r="Q795" s="289"/>
      <c r="R795" s="289"/>
      <c r="S795" s="289"/>
      <c r="T795" s="289"/>
      <c r="U795" s="289"/>
    </row>
    <row r="796" spans="1:21" ht="12.75" x14ac:dyDescent="0.2">
      <c r="L796" s="289"/>
      <c r="M796" s="289"/>
      <c r="N796" s="289"/>
      <c r="O796" s="289"/>
      <c r="P796" s="289"/>
      <c r="Q796" s="289"/>
      <c r="R796" s="289"/>
      <c r="S796" s="289"/>
      <c r="T796" s="289"/>
      <c r="U796" s="289"/>
    </row>
    <row r="797" spans="1:21" ht="12.75" x14ac:dyDescent="0.2">
      <c r="L797" s="289"/>
      <c r="M797" s="289"/>
      <c r="N797" s="289"/>
      <c r="O797" s="289"/>
      <c r="P797" s="289"/>
      <c r="Q797" s="289"/>
      <c r="R797" s="289"/>
      <c r="S797" s="289"/>
      <c r="T797" s="289"/>
      <c r="U797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B2594-303E-42EA-ABC7-32FC811CC34E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customWidth="1"/>
    <col min="10" max="10" width="16.85546875" bestFit="1" customWidth="1"/>
    <col min="11" max="11" width="15.140625" customWidth="1"/>
    <col min="12" max="14" width="21.28515625" bestFit="1" customWidth="1"/>
    <col min="15" max="15" width="10.8554687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353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9" t="s">
        <v>4</v>
      </c>
      <c r="B6" s="1385"/>
      <c r="C6" s="1385"/>
      <c r="D6" s="1385"/>
      <c r="E6" s="1385"/>
      <c r="F6" s="1385"/>
      <c r="G6" s="1386"/>
      <c r="H6" s="1284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9.5" hidden="1" x14ac:dyDescent="0.3">
      <c r="A10" s="1043"/>
      <c r="B10" s="285"/>
      <c r="C10" s="285"/>
      <c r="D10" s="285"/>
      <c r="E10" s="285"/>
      <c r="F10" s="285"/>
      <c r="G10" s="1035"/>
      <c r="H10" s="1035"/>
      <c r="I10" s="1035"/>
      <c r="J10" s="1035"/>
      <c r="K10" s="1035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8">
        <f t="shared" ref="L19:N19" ca="1" si="0">L20+L21</f>
        <v>2418079</v>
      </c>
      <c r="M19" s="59">
        <f t="shared" ca="1" si="0"/>
        <v>2388077.37</v>
      </c>
      <c r="N19" s="59">
        <f t="shared" ca="1" si="0"/>
        <v>1198644.72</v>
      </c>
      <c r="O19" s="59">
        <f t="shared" ref="O19:O27" ca="1" si="1">IF(L19&gt;0,N19*100/L19,0)</f>
        <v>49.570122398813275</v>
      </c>
      <c r="P19" s="59">
        <f t="shared" ref="P19:P27" ca="1" si="2">IF(M19&gt;0,N19*100/M19,0)</f>
        <v>50.19287628859361</v>
      </c>
      <c r="Q19" s="59">
        <f t="shared" ref="Q19:S19" ca="1" si="3">Q20+Q21</f>
        <v>2844695</v>
      </c>
      <c r="R19" s="59">
        <f t="shared" ca="1" si="3"/>
        <v>2844695</v>
      </c>
      <c r="S19" s="59">
        <f t="shared" ca="1" si="3"/>
        <v>43791.72</v>
      </c>
      <c r="T19" s="59">
        <f t="shared" ref="T19:T27" ca="1" si="4">IF(Q19&gt;0,S19*100/Q19,0)</f>
        <v>1.5394170552554842</v>
      </c>
      <c r="U19" s="59">
        <f t="shared" ref="U19:U27" ca="1" si="5">IF(R19&gt;0,S19*100/R19,0)</f>
        <v>1.5394170552554842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2">
        <f t="shared" ref="L20:N21" si="6">L23+L26</f>
        <v>0</v>
      </c>
      <c r="M20" s="63">
        <f t="shared" si="6"/>
        <v>0</v>
      </c>
      <c r="N20" s="63">
        <f t="shared" si="6"/>
        <v>0</v>
      </c>
      <c r="O20" s="63">
        <f t="shared" si="1"/>
        <v>0</v>
      </c>
      <c r="P20" s="63">
        <f t="shared" si="2"/>
        <v>0</v>
      </c>
      <c r="Q20" s="63">
        <f t="shared" ref="Q20:S21" si="7">Q23+Q26</f>
        <v>0</v>
      </c>
      <c r="R20" s="63">
        <f t="shared" si="7"/>
        <v>0</v>
      </c>
      <c r="S20" s="63">
        <f t="shared" si="7"/>
        <v>0</v>
      </c>
      <c r="T20" s="63">
        <f t="shared" si="4"/>
        <v>0</v>
      </c>
      <c r="U20" s="6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4">
        <f t="shared" ca="1" si="6"/>
        <v>2418079</v>
      </c>
      <c r="M21" s="65">
        <f t="shared" ca="1" si="6"/>
        <v>2388077.37</v>
      </c>
      <c r="N21" s="65">
        <f t="shared" ca="1" si="6"/>
        <v>1198644.72</v>
      </c>
      <c r="O21" s="65">
        <f t="shared" ca="1" si="1"/>
        <v>49.570122398813275</v>
      </c>
      <c r="P21" s="65">
        <f t="shared" ca="1" si="2"/>
        <v>50.19287628859361</v>
      </c>
      <c r="Q21" s="65">
        <f t="shared" ca="1" si="7"/>
        <v>2844695</v>
      </c>
      <c r="R21" s="65">
        <f t="shared" ca="1" si="7"/>
        <v>2844695</v>
      </c>
      <c r="S21" s="65">
        <f t="shared" ca="1" si="7"/>
        <v>43791.72</v>
      </c>
      <c r="T21" s="65">
        <f t="shared" ca="1" si="4"/>
        <v>1.5394170552554842</v>
      </c>
      <c r="U21" s="65">
        <f t="shared" ca="1" si="5"/>
        <v>1.5394170552554842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3">
        <f t="shared" ref="L22:N22" ca="1" si="8">L23+L24</f>
        <v>2418079</v>
      </c>
      <c r="M22" s="74">
        <f t="shared" ca="1" si="8"/>
        <v>2388077.37</v>
      </c>
      <c r="N22" s="74">
        <f t="shared" ca="1" si="8"/>
        <v>1198644.72</v>
      </c>
      <c r="O22" s="74">
        <f t="shared" ca="1" si="1"/>
        <v>49.570122398813275</v>
      </c>
      <c r="P22" s="74">
        <f t="shared" ca="1" si="2"/>
        <v>50.19287628859361</v>
      </c>
      <c r="Q22" s="74">
        <f t="shared" ref="Q22:S22" ca="1" si="9">Q23+Q24</f>
        <v>2844695</v>
      </c>
      <c r="R22" s="74">
        <f t="shared" ca="1" si="9"/>
        <v>2844695</v>
      </c>
      <c r="S22" s="74">
        <f t="shared" ca="1" si="9"/>
        <v>43791.72</v>
      </c>
      <c r="T22" s="74">
        <f t="shared" ca="1" si="4"/>
        <v>1.5394170552554842</v>
      </c>
      <c r="U22" s="74">
        <f t="shared" ca="1" si="5"/>
        <v>1.5394170552554842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6">
        <f t="shared" ref="L23:N24" si="10">L49+L64+L77+L99+L130+L144+L162+L191+L178+L271+L287+L308+L325+L338+L361+L518</f>
        <v>0</v>
      </c>
      <c r="M23" s="77">
        <f t="shared" si="10"/>
        <v>0</v>
      </c>
      <c r="N23" s="77">
        <f t="shared" si="10"/>
        <v>0</v>
      </c>
      <c r="O23" s="77">
        <f t="shared" si="1"/>
        <v>0</v>
      </c>
      <c r="P23" s="77">
        <f t="shared" si="2"/>
        <v>0</v>
      </c>
      <c r="Q23" s="77">
        <f t="shared" ref="Q23:S24" si="11">Q77+Q99+Q122+Q144+Q162+Q178+Q191+Q271+Q287+Q308+Q338+Q380+Q397+Q418+Q498+Q604+Q621+Q647+Q695+Q719+Q733+Q764</f>
        <v>0</v>
      </c>
      <c r="R23" s="77">
        <f t="shared" si="11"/>
        <v>0</v>
      </c>
      <c r="S23" s="77">
        <f t="shared" si="11"/>
        <v>0</v>
      </c>
      <c r="T23" s="77">
        <f t="shared" si="4"/>
        <v>0</v>
      </c>
      <c r="U23" s="77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3">
        <f t="shared" ca="1" si="10"/>
        <v>2418079</v>
      </c>
      <c r="M24" s="74">
        <f t="shared" ca="1" si="10"/>
        <v>2388077.37</v>
      </c>
      <c r="N24" s="74">
        <f t="shared" ca="1" si="10"/>
        <v>1198644.72</v>
      </c>
      <c r="O24" s="74">
        <f t="shared" ca="1" si="1"/>
        <v>49.570122398813275</v>
      </c>
      <c r="P24" s="74">
        <f t="shared" ca="1" si="2"/>
        <v>50.19287628859361</v>
      </c>
      <c r="Q24" s="74">
        <f t="shared" ca="1" si="11"/>
        <v>2844695</v>
      </c>
      <c r="R24" s="74">
        <f t="shared" ca="1" si="11"/>
        <v>2844695</v>
      </c>
      <c r="S24" s="74">
        <f t="shared" ca="1" si="11"/>
        <v>43791.72</v>
      </c>
      <c r="T24" s="74">
        <f t="shared" ca="1" si="4"/>
        <v>1.5394170552554842</v>
      </c>
      <c r="U24" s="74">
        <f t="shared" ca="1" si="5"/>
        <v>1.5394170552554842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3">
        <f t="shared" ref="L25:N25" ca="1" si="12">L26+L27</f>
        <v>0</v>
      </c>
      <c r="M25" s="74">
        <f t="shared" ca="1" si="12"/>
        <v>0</v>
      </c>
      <c r="N25" s="74">
        <f t="shared" ca="1" si="12"/>
        <v>0</v>
      </c>
      <c r="O25" s="74">
        <f t="shared" ca="1" si="1"/>
        <v>0</v>
      </c>
      <c r="P25" s="74">
        <f t="shared" ca="1" si="2"/>
        <v>0</v>
      </c>
      <c r="Q25" s="74">
        <f t="shared" ref="Q25:S25" si="13">Q26+Q27</f>
        <v>0</v>
      </c>
      <c r="R25" s="74">
        <f t="shared" si="13"/>
        <v>0</v>
      </c>
      <c r="S25" s="74">
        <f t="shared" si="13"/>
        <v>0</v>
      </c>
      <c r="T25" s="74">
        <f t="shared" si="4"/>
        <v>0</v>
      </c>
      <c r="U25" s="74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6">
        <f t="shared" ref="L26:N27" si="14">L52+L67+L80+L102+L133+L147+L165+L194+L181+L274+L290+L311+L328+L341+L364+L521</f>
        <v>0</v>
      </c>
      <c r="M26" s="77">
        <f t="shared" si="14"/>
        <v>0</v>
      </c>
      <c r="N26" s="77">
        <f t="shared" si="14"/>
        <v>0</v>
      </c>
      <c r="O26" s="77">
        <f t="shared" si="1"/>
        <v>0</v>
      </c>
      <c r="P26" s="77">
        <f t="shared" si="2"/>
        <v>0</v>
      </c>
      <c r="Q26" s="77">
        <f t="shared" ref="Q26:S27" si="15">Q80+Q102+Q125+Q147+Q165+Q181+Q194+Q274+Q290+Q311+Q341+Q383+Q400+Q421+Q501+Q607+Q624+Q650+Q698+Q722+Q736+Q767</f>
        <v>0</v>
      </c>
      <c r="R26" s="77">
        <f t="shared" si="15"/>
        <v>0</v>
      </c>
      <c r="S26" s="77">
        <f t="shared" si="15"/>
        <v>0</v>
      </c>
      <c r="T26" s="77">
        <f t="shared" si="4"/>
        <v>0</v>
      </c>
      <c r="U26" s="77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3">
        <f t="shared" ca="1" si="14"/>
        <v>0</v>
      </c>
      <c r="M27" s="74">
        <f t="shared" ca="1" si="14"/>
        <v>0</v>
      </c>
      <c r="N27" s="74">
        <f t="shared" ca="1" si="14"/>
        <v>0</v>
      </c>
      <c r="O27" s="74">
        <f t="shared" ca="1" si="1"/>
        <v>0</v>
      </c>
      <c r="P27" s="74">
        <f t="shared" ca="1" si="2"/>
        <v>0</v>
      </c>
      <c r="Q27" s="77">
        <f t="shared" si="15"/>
        <v>0</v>
      </c>
      <c r="R27" s="77">
        <f t="shared" si="15"/>
        <v>0</v>
      </c>
      <c r="S27" s="77">
        <f t="shared" si="15"/>
        <v>0</v>
      </c>
      <c r="T27" s="74">
        <f t="shared" si="4"/>
        <v>0</v>
      </c>
      <c r="U27" s="74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79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80">
        <f t="shared" ref="L41:N41" ca="1" si="16">L45+L60+L73+L95+L126+L140+L158+L174+L187+L267+L283+L304+L321+L334+L357</f>
        <v>2418079</v>
      </c>
      <c r="M41" s="1279">
        <f t="shared" ca="1" si="16"/>
        <v>2388077.37</v>
      </c>
      <c r="N41" s="1279">
        <f t="shared" ca="1" si="16"/>
        <v>1198644.72</v>
      </c>
      <c r="O41" s="1279">
        <f ca="1">IF(L41&gt;0,N41*100/L41,0)</f>
        <v>49.570122398813275</v>
      </c>
      <c r="P41" s="1279">
        <f ca="1">IF(M41&gt;0,N41*100/M41,0)</f>
        <v>50.19287628859361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6">
        <f t="shared" ref="L45:N45" ca="1" si="17">L46+L47</f>
        <v>276409</v>
      </c>
      <c r="M45" s="1275">
        <f t="shared" ca="1" si="17"/>
        <v>289317.37</v>
      </c>
      <c r="N45" s="1275">
        <f t="shared" ca="1" si="17"/>
        <v>238515</v>
      </c>
      <c r="O45" s="1275">
        <f t="shared" ref="O45:O53" ca="1" si="18">IF(L45&gt;0,N45*100/L45,0)</f>
        <v>86.2906055880959</v>
      </c>
      <c r="P45" s="1275">
        <f t="shared" ref="P45:P53" ca="1" si="19">IF(M45&gt;0,N45*100/M45,0)</f>
        <v>82.440608387944351</v>
      </c>
      <c r="Q45" s="1275">
        <f t="shared" ref="Q45:S45" si="20">Q46+Q47</f>
        <v>0</v>
      </c>
      <c r="R45" s="1275">
        <f t="shared" si="20"/>
        <v>0</v>
      </c>
      <c r="S45" s="1275">
        <f t="shared" si="20"/>
        <v>0</v>
      </c>
      <c r="T45" s="1275">
        <f t="shared" ref="T45:T53" si="21">IF(Q45&gt;0,S45*100/Q45,0)</f>
        <v>0</v>
      </c>
      <c r="U45" s="1275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4">
        <f t="shared" ref="L46:N47" si="23">L49+L52</f>
        <v>0</v>
      </c>
      <c r="M46" s="1273">
        <f t="shared" si="23"/>
        <v>0</v>
      </c>
      <c r="N46" s="1273">
        <f t="shared" si="23"/>
        <v>0</v>
      </c>
      <c r="O46" s="1273">
        <f t="shared" si="18"/>
        <v>0</v>
      </c>
      <c r="P46" s="1273">
        <f t="shared" si="19"/>
        <v>0</v>
      </c>
      <c r="Q46" s="1273">
        <f t="shared" ref="Q46:S47" si="24">Q49+Q52</f>
        <v>0</v>
      </c>
      <c r="R46" s="1273">
        <f t="shared" si="24"/>
        <v>0</v>
      </c>
      <c r="S46" s="1273">
        <f t="shared" si="24"/>
        <v>0</v>
      </c>
      <c r="T46" s="1273">
        <f t="shared" si="21"/>
        <v>0</v>
      </c>
      <c r="U46" s="1273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2">
        <f t="shared" ca="1" si="23"/>
        <v>276409</v>
      </c>
      <c r="M47" s="1271">
        <f t="shared" ca="1" si="23"/>
        <v>289317.37</v>
      </c>
      <c r="N47" s="1271">
        <f t="shared" ca="1" si="23"/>
        <v>238515</v>
      </c>
      <c r="O47" s="1271">
        <f t="shared" ca="1" si="18"/>
        <v>86.2906055880959</v>
      </c>
      <c r="P47" s="1271">
        <f t="shared" ca="1" si="19"/>
        <v>82.440608387944351</v>
      </c>
      <c r="Q47" s="1271">
        <f t="shared" si="24"/>
        <v>0</v>
      </c>
      <c r="R47" s="1271">
        <f t="shared" si="24"/>
        <v>0</v>
      </c>
      <c r="S47" s="1271">
        <f t="shared" si="24"/>
        <v>0</v>
      </c>
      <c r="T47" s="1271">
        <f t="shared" si="21"/>
        <v>0</v>
      </c>
      <c r="U47" s="1271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3">
        <f t="shared" ref="L48:N48" ca="1" si="25">L49+L50</f>
        <v>276409</v>
      </c>
      <c r="M48" s="74">
        <f t="shared" ca="1" si="25"/>
        <v>289317.37</v>
      </c>
      <c r="N48" s="74">
        <f t="shared" ca="1" si="25"/>
        <v>238515</v>
      </c>
      <c r="O48" s="74">
        <f t="shared" ca="1" si="18"/>
        <v>86.2906055880959</v>
      </c>
      <c r="P48" s="74">
        <f t="shared" ca="1" si="19"/>
        <v>82.440608387944351</v>
      </c>
      <c r="Q48" s="74">
        <f t="shared" ref="Q48:S48" si="26">Q49+Q50</f>
        <v>0</v>
      </c>
      <c r="R48" s="74">
        <f t="shared" si="26"/>
        <v>0</v>
      </c>
      <c r="S48" s="74">
        <f t="shared" si="26"/>
        <v>0</v>
      </c>
      <c r="T48" s="74">
        <f t="shared" si="21"/>
        <v>0</v>
      </c>
      <c r="U48" s="74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77">
        <f t="shared" si="18"/>
        <v>0</v>
      </c>
      <c r="P49" s="77">
        <f t="shared" si="19"/>
        <v>0</v>
      </c>
      <c r="Q49" s="77">
        <v>0</v>
      </c>
      <c r="R49" s="77">
        <v>0</v>
      </c>
      <c r="S49" s="77">
        <v>0</v>
      </c>
      <c r="T49" s="77">
        <f t="shared" si="21"/>
        <v>0</v>
      </c>
      <c r="U49" s="77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3">
        <f ca="1">IFERROR(__xludf.DUMMYFUNCTION("IMPORTRANGE(""https://docs.google.com/spreadsheets/d/1-uDff_7J0KD5mKrp0Vvzr7lt3OU09vwQwhkpOPPYv2Y/edit?usp=sharing"",""งบพรบ!P69"")"),276409)</f>
        <v>276409</v>
      </c>
      <c r="M50" s="74">
        <f ca="1">IFERROR(__xludf.DUMMYFUNCTION("IMPORTRANGE(""https://docs.google.com/spreadsheets/d/1-uDff_7J0KD5mKrp0Vvzr7lt3OU09vwQwhkpOPPYv2Y/edit?usp=sharing"",""งบพรบ!V69"")"),289317.37)</f>
        <v>289317.37</v>
      </c>
      <c r="N50" s="74">
        <f ca="1">IFERROR(__xludf.DUMMYFUNCTION("IMPORTRANGE(""https://docs.google.com/spreadsheets/d/1-uDff_7J0KD5mKrp0Vvzr7lt3OU09vwQwhkpOPPYv2Y/edit?usp=sharing"",""งบพรบ!Y69"")"),238515)</f>
        <v>238515</v>
      </c>
      <c r="O50" s="74">
        <f t="shared" ca="1" si="18"/>
        <v>86.2906055880959</v>
      </c>
      <c r="P50" s="74">
        <f t="shared" ca="1" si="19"/>
        <v>82.440608387944351</v>
      </c>
      <c r="Q50" s="74">
        <v>0</v>
      </c>
      <c r="R50" s="74">
        <v>0</v>
      </c>
      <c r="S50" s="74">
        <v>0</v>
      </c>
      <c r="T50" s="74">
        <f t="shared" si="21"/>
        <v>0</v>
      </c>
      <c r="U50" s="74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3">
        <f t="shared" ref="L51:N51" ca="1" si="27">L52+L53</f>
        <v>0</v>
      </c>
      <c r="M51" s="74">
        <f t="shared" ca="1" si="27"/>
        <v>0</v>
      </c>
      <c r="N51" s="74">
        <f t="shared" ca="1" si="27"/>
        <v>0</v>
      </c>
      <c r="O51" s="74">
        <f t="shared" ca="1" si="18"/>
        <v>0</v>
      </c>
      <c r="P51" s="74">
        <f t="shared" ca="1" si="19"/>
        <v>0</v>
      </c>
      <c r="Q51" s="74">
        <f t="shared" ref="Q51:S51" si="28">Q52+Q53</f>
        <v>0</v>
      </c>
      <c r="R51" s="74">
        <f t="shared" si="28"/>
        <v>0</v>
      </c>
      <c r="S51" s="74">
        <f t="shared" si="28"/>
        <v>0</v>
      </c>
      <c r="T51" s="74">
        <f t="shared" si="21"/>
        <v>0</v>
      </c>
      <c r="U51" s="74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77">
        <f t="shared" si="18"/>
        <v>0</v>
      </c>
      <c r="P52" s="77">
        <f t="shared" si="19"/>
        <v>0</v>
      </c>
      <c r="Q52" s="77">
        <v>0</v>
      </c>
      <c r="R52" s="77">
        <v>0</v>
      </c>
      <c r="S52" s="77">
        <v>0</v>
      </c>
      <c r="T52" s="77">
        <f t="shared" si="21"/>
        <v>0</v>
      </c>
      <c r="U52" s="77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3">
        <f ca="1">IFERROR(__xludf.DUMMYFUNCTION("IMPORTRANGE(""https://docs.google.com/spreadsheets/d/1-uDff_7J0KD5mKrp0Vvzr7lt3OU09vwQwhkpOPPYv2Y/edit?usp=sharing"",""งบพรบ!S69"")"),0)</f>
        <v>0</v>
      </c>
      <c r="M53" s="74">
        <f ca="1">IFERROR(__xludf.DUMMYFUNCTION("IMPORTRANGE(""https://docs.google.com/spreadsheets/d/1-uDff_7J0KD5mKrp0Vvzr7lt3OU09vwQwhkpOPPYv2Y/edit?usp=sharing"",""งบพรบ!W69"")"),0)</f>
        <v>0</v>
      </c>
      <c r="N53" s="74">
        <f ca="1">IFERROR(__xludf.DUMMYFUNCTION("IMPORTRANGE(""https://docs.google.com/spreadsheets/d/1-uDff_7J0KD5mKrp0Vvzr7lt3OU09vwQwhkpOPPYv2Y/edit?usp=sharing"",""งบพรบ!Z69"")"),0)</f>
        <v>0</v>
      </c>
      <c r="O53" s="74">
        <f t="shared" ca="1" si="18"/>
        <v>0</v>
      </c>
      <c r="P53" s="74">
        <f t="shared" ca="1" si="19"/>
        <v>0</v>
      </c>
      <c r="Q53" s="74">
        <v>0</v>
      </c>
      <c r="R53" s="74">
        <v>0</v>
      </c>
      <c r="S53" s="74">
        <v>0</v>
      </c>
      <c r="T53" s="74">
        <f t="shared" si="21"/>
        <v>0</v>
      </c>
      <c r="U53" s="74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9">
        <f t="shared" ref="L60:N60" ca="1" si="29">L61+L62</f>
        <v>558400</v>
      </c>
      <c r="M60" s="1268">
        <f t="shared" ca="1" si="29"/>
        <v>558400</v>
      </c>
      <c r="N60" s="1268">
        <f t="shared" ca="1" si="29"/>
        <v>309583.38</v>
      </c>
      <c r="O60" s="1268">
        <f t="shared" ref="O60:O68" ca="1" si="30">IF(L60&gt;0,N60*100/L60,0)</f>
        <v>55.441149713467048</v>
      </c>
      <c r="P60" s="1268">
        <f t="shared" ref="P60:P68" ca="1" si="31">IF(M60&gt;0,N60*100/M60,0)</f>
        <v>55.441149713467048</v>
      </c>
      <c r="Q60" s="1268">
        <f t="shared" ref="Q60:S60" si="32">Q61+Q62</f>
        <v>0</v>
      </c>
      <c r="R60" s="1268">
        <f t="shared" si="32"/>
        <v>0</v>
      </c>
      <c r="S60" s="1268">
        <f t="shared" si="32"/>
        <v>0</v>
      </c>
      <c r="T60" s="1268">
        <f t="shared" ref="T60:T68" si="33">IF(Q60&gt;0,S60*100/Q60,0)</f>
        <v>0</v>
      </c>
      <c r="U60" s="1268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7">
        <f t="shared" ref="L61:N62" si="35">L64+L67</f>
        <v>0</v>
      </c>
      <c r="M61" s="1266">
        <f t="shared" si="35"/>
        <v>0</v>
      </c>
      <c r="N61" s="1266">
        <f t="shared" si="35"/>
        <v>0</v>
      </c>
      <c r="O61" s="1266">
        <f t="shared" si="30"/>
        <v>0</v>
      </c>
      <c r="P61" s="1266">
        <f t="shared" si="31"/>
        <v>0</v>
      </c>
      <c r="Q61" s="1266">
        <f t="shared" ref="Q61:S62" si="36">Q64+Q67</f>
        <v>0</v>
      </c>
      <c r="R61" s="1266">
        <f t="shared" si="36"/>
        <v>0</v>
      </c>
      <c r="S61" s="1266">
        <f t="shared" si="36"/>
        <v>0</v>
      </c>
      <c r="T61" s="1266">
        <f t="shared" si="33"/>
        <v>0</v>
      </c>
      <c r="U61" s="1266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5">
        <f t="shared" ca="1" si="35"/>
        <v>558400</v>
      </c>
      <c r="M62" s="1264">
        <f t="shared" ca="1" si="35"/>
        <v>558400</v>
      </c>
      <c r="N62" s="1264">
        <f t="shared" ca="1" si="35"/>
        <v>309583.38</v>
      </c>
      <c r="O62" s="1264">
        <f t="shared" ca="1" si="30"/>
        <v>55.441149713467048</v>
      </c>
      <c r="P62" s="1264">
        <f t="shared" ca="1" si="31"/>
        <v>55.441149713467048</v>
      </c>
      <c r="Q62" s="1264">
        <f t="shared" si="36"/>
        <v>0</v>
      </c>
      <c r="R62" s="1264">
        <f t="shared" si="36"/>
        <v>0</v>
      </c>
      <c r="S62" s="1264">
        <f t="shared" si="36"/>
        <v>0</v>
      </c>
      <c r="T62" s="1264">
        <f t="shared" si="33"/>
        <v>0</v>
      </c>
      <c r="U62" s="1264">
        <f t="shared" si="34"/>
        <v>0</v>
      </c>
    </row>
    <row r="63" spans="1:21" ht="18.75" x14ac:dyDescent="0.25">
      <c r="A63" s="847"/>
      <c r="B63" s="258"/>
      <c r="C63" s="258"/>
      <c r="D63" s="270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3">
        <f t="shared" ref="L63:N63" ca="1" si="37">L64+L65</f>
        <v>558400</v>
      </c>
      <c r="M63" s="74">
        <f t="shared" ca="1" si="37"/>
        <v>558400</v>
      </c>
      <c r="N63" s="74">
        <f t="shared" ca="1" si="37"/>
        <v>309583.38</v>
      </c>
      <c r="O63" s="74">
        <f t="shared" ca="1" si="30"/>
        <v>55.441149713467048</v>
      </c>
      <c r="P63" s="74">
        <f t="shared" ca="1" si="31"/>
        <v>55.441149713467048</v>
      </c>
      <c r="Q63" s="74">
        <f t="shared" ref="Q63:S63" si="38">Q64+Q65</f>
        <v>0</v>
      </c>
      <c r="R63" s="74">
        <f t="shared" si="38"/>
        <v>0</v>
      </c>
      <c r="S63" s="74">
        <f t="shared" si="38"/>
        <v>0</v>
      </c>
      <c r="T63" s="74">
        <f t="shared" si="33"/>
        <v>0</v>
      </c>
      <c r="U63" s="74">
        <f t="shared" si="34"/>
        <v>0</v>
      </c>
    </row>
    <row r="64" spans="1:21" ht="18.75" hidden="1" x14ac:dyDescent="0.25">
      <c r="A64" s="847"/>
      <c r="B64" s="258"/>
      <c r="C64" s="258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77">
        <f t="shared" si="30"/>
        <v>0</v>
      </c>
      <c r="P64" s="77">
        <f t="shared" si="31"/>
        <v>0</v>
      </c>
      <c r="Q64" s="77">
        <v>0</v>
      </c>
      <c r="R64" s="77">
        <v>0</v>
      </c>
      <c r="S64" s="77">
        <v>0</v>
      </c>
      <c r="T64" s="77">
        <f t="shared" si="33"/>
        <v>0</v>
      </c>
      <c r="U64" s="77">
        <f t="shared" si="34"/>
        <v>0</v>
      </c>
    </row>
    <row r="65" spans="1:21" ht="18.75" hidden="1" x14ac:dyDescent="0.25">
      <c r="A65" s="847"/>
      <c r="B65" s="258"/>
      <c r="C65" s="258"/>
      <c r="D65" s="258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3">
        <f ca="1">IFERROR(__xludf.DUMMYFUNCTION("IMPORTRANGE(""https://docs.google.com/spreadsheets/d/1-uDff_7J0KD5mKrp0Vvzr7lt3OU09vwQwhkpOPPYv2Y/edit?usp=sharing"",""งบพรบ!AC69"")"),558400)</f>
        <v>558400</v>
      </c>
      <c r="M65" s="74">
        <f ca="1">IFERROR(__xludf.DUMMYFUNCTION("IMPORTRANGE(""https://docs.google.com/spreadsheets/d/1-uDff_7J0KD5mKrp0Vvzr7lt3OU09vwQwhkpOPPYv2Y/edit?usp=sharing"",""งบพรบ!AH69"")"),558400)</f>
        <v>558400</v>
      </c>
      <c r="N65" s="74">
        <f ca="1">IFERROR(__xludf.DUMMYFUNCTION("IMPORTRANGE(""https://docs.google.com/spreadsheets/d/1-uDff_7J0KD5mKrp0Vvzr7lt3OU09vwQwhkpOPPYv2Y/edit?usp=sharing"",""งบพรบ!AJ69"")"),309583.38)</f>
        <v>309583.38</v>
      </c>
      <c r="O65" s="74">
        <f t="shared" ca="1" si="30"/>
        <v>55.441149713467048</v>
      </c>
      <c r="P65" s="74">
        <f t="shared" ca="1" si="31"/>
        <v>55.441149713467048</v>
      </c>
      <c r="Q65" s="74">
        <v>0</v>
      </c>
      <c r="R65" s="74">
        <v>0</v>
      </c>
      <c r="S65" s="74">
        <v>0</v>
      </c>
      <c r="T65" s="74">
        <f t="shared" si="33"/>
        <v>0</v>
      </c>
      <c r="U65" s="74">
        <f t="shared" si="34"/>
        <v>0</v>
      </c>
    </row>
    <row r="66" spans="1:21" ht="18.75" x14ac:dyDescent="0.25">
      <c r="A66" s="847"/>
      <c r="B66" s="258"/>
      <c r="C66" s="258"/>
      <c r="D66" s="270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3">
        <f t="shared" ref="L66:N66" ca="1" si="39">L67+L68</f>
        <v>0</v>
      </c>
      <c r="M66" s="74">
        <f t="shared" ca="1" si="39"/>
        <v>0</v>
      </c>
      <c r="N66" s="74">
        <f t="shared" ca="1" si="39"/>
        <v>0</v>
      </c>
      <c r="O66" s="74">
        <f t="shared" ca="1" si="30"/>
        <v>0</v>
      </c>
      <c r="P66" s="74">
        <f t="shared" ca="1" si="31"/>
        <v>0</v>
      </c>
      <c r="Q66" s="74">
        <f t="shared" ref="Q66:S66" si="40">Q67+Q68</f>
        <v>0</v>
      </c>
      <c r="R66" s="74">
        <f t="shared" si="40"/>
        <v>0</v>
      </c>
      <c r="S66" s="74">
        <f t="shared" si="40"/>
        <v>0</v>
      </c>
      <c r="T66" s="74">
        <f t="shared" si="33"/>
        <v>0</v>
      </c>
      <c r="U66" s="74">
        <f t="shared" si="34"/>
        <v>0</v>
      </c>
    </row>
    <row r="67" spans="1:21" ht="18.75" hidden="1" x14ac:dyDescent="0.25">
      <c r="A67" s="847"/>
      <c r="B67" s="258"/>
      <c r="C67" s="258"/>
      <c r="D67" s="258"/>
      <c r="E67" s="265" t="s">
        <v>20</v>
      </c>
      <c r="F67" s="258"/>
      <c r="G67" s="261"/>
      <c r="H67" s="840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77">
        <f t="shared" si="30"/>
        <v>0</v>
      </c>
      <c r="P67" s="77">
        <f t="shared" si="31"/>
        <v>0</v>
      </c>
      <c r="Q67" s="77">
        <v>0</v>
      </c>
      <c r="R67" s="77">
        <v>0</v>
      </c>
      <c r="S67" s="77">
        <v>0</v>
      </c>
      <c r="T67" s="77">
        <f t="shared" si="33"/>
        <v>0</v>
      </c>
      <c r="U67" s="77">
        <f t="shared" si="34"/>
        <v>0</v>
      </c>
    </row>
    <row r="68" spans="1:21" ht="18.75" hidden="1" x14ac:dyDescent="0.25">
      <c r="A68" s="848"/>
      <c r="B68" s="636"/>
      <c r="C68" s="636"/>
      <c r="D68" s="636"/>
      <c r="E68" s="849" t="s">
        <v>21</v>
      </c>
      <c r="F68" s="636"/>
      <c r="G68" s="637"/>
      <c r="H68" s="850" t="s">
        <v>14</v>
      </c>
      <c r="I68" s="631"/>
      <c r="J68" s="631"/>
      <c r="K68" s="98"/>
      <c r="L68" s="181">
        <f ca="1">IFERROR(__xludf.DUMMYFUNCTION("IMPORTRANGE(""https://docs.google.com/spreadsheets/d/1-uDff_7J0KD5mKrp0Vvzr7lt3OU09vwQwhkpOPPYv2Y/edit?usp=sharing"",""งบพรบ!AF69"")"),0)</f>
        <v>0</v>
      </c>
      <c r="M68" s="182">
        <f ca="1">IFERROR(__xludf.DUMMYFUNCTION("IMPORTRANGE(""https://docs.google.com/spreadsheets/d/1-uDff_7J0KD5mKrp0Vvzr7lt3OU09vwQwhkpOPPYv2Y/edit?usp=sharing"",""งบพรบ!AI69"")"),0)</f>
        <v>0</v>
      </c>
      <c r="N68" s="182">
        <f ca="1">IFERROR(__xludf.DUMMYFUNCTION("IMPORTRANGE(""https://docs.google.com/spreadsheets/d/1-uDff_7J0KD5mKrp0Vvzr7lt3OU09vwQwhkpOPPYv2Y/edit?usp=sharing"",""งบพรบ!AK69"")"),0)</f>
        <v>0</v>
      </c>
      <c r="O68" s="182">
        <f t="shared" ca="1" si="30"/>
        <v>0</v>
      </c>
      <c r="P68" s="182">
        <f t="shared" ca="1" si="31"/>
        <v>0</v>
      </c>
      <c r="Q68" s="182">
        <v>0</v>
      </c>
      <c r="R68" s="182">
        <v>0</v>
      </c>
      <c r="S68" s="182">
        <v>0</v>
      </c>
      <c r="T68" s="182">
        <f t="shared" si="33"/>
        <v>0</v>
      </c>
      <c r="U68" s="182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7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x14ac:dyDescent="0.3">
      <c r="A70" s="1099" t="s">
        <v>32</v>
      </c>
      <c r="B70" s="691"/>
      <c r="C70" s="693"/>
      <c r="D70" s="691"/>
      <c r="E70" s="691"/>
      <c r="F70" s="691"/>
      <c r="G70" s="1100"/>
      <c r="H70" s="1100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19.5" x14ac:dyDescent="0.3">
      <c r="A71" s="250"/>
      <c r="B71" s="251" t="s">
        <v>33</v>
      </c>
      <c r="C71" s="252"/>
      <c r="D71" s="253"/>
      <c r="E71" s="252"/>
      <c r="F71" s="252"/>
      <c r="G71" s="254"/>
      <c r="H71" s="1296" t="s">
        <v>34</v>
      </c>
      <c r="I71" s="256">
        <f t="shared" ref="I71:J72" ca="1" si="41">I83</f>
        <v>1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x14ac:dyDescent="0.3">
      <c r="A72" s="250"/>
      <c r="B72" s="252"/>
      <c r="C72" s="252"/>
      <c r="D72" s="253"/>
      <c r="E72" s="252"/>
      <c r="F72" s="252"/>
      <c r="G72" s="254"/>
      <c r="H72" s="1296" t="s">
        <v>35</v>
      </c>
      <c r="I72" s="256">
        <f t="shared" ca="1" si="41"/>
        <v>69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1257">
        <f t="shared" ref="L73:N73" ca="1" si="43">L74+L75</f>
        <v>445100</v>
      </c>
      <c r="M73" s="264">
        <f t="shared" ca="1" si="43"/>
        <v>445100</v>
      </c>
      <c r="N73" s="264">
        <f t="shared" ca="1" si="43"/>
        <v>248522.36</v>
      </c>
      <c r="O73" s="264">
        <f t="shared" ref="O73:O81" ca="1" si="44">IF(L73&gt;0,N73*100/L73,0)</f>
        <v>55.835174118175694</v>
      </c>
      <c r="P73" s="264">
        <f t="shared" ref="P73:P81" ca="1" si="45">IF(M73&gt;0,N73*100/M73,0)</f>
        <v>55.835174118175694</v>
      </c>
      <c r="Q73" s="264">
        <f t="shared" ref="Q73:S73" ca="1" si="46">Q74+Q75</f>
        <v>585080</v>
      </c>
      <c r="R73" s="264">
        <f t="shared" ca="1" si="46"/>
        <v>585080</v>
      </c>
      <c r="S73" s="264">
        <f t="shared" ca="1" si="46"/>
        <v>0</v>
      </c>
      <c r="T73" s="264">
        <f t="shared" ref="T73:T81" ca="1" si="47">IF(Q73&gt;0,S73*100/Q73,0)</f>
        <v>0</v>
      </c>
      <c r="U73" s="264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6">
        <f t="shared" ref="L74:N75" si="49">L77+L80</f>
        <v>0</v>
      </c>
      <c r="M74" s="77">
        <f t="shared" si="49"/>
        <v>0</v>
      </c>
      <c r="N74" s="77">
        <f t="shared" si="49"/>
        <v>0</v>
      </c>
      <c r="O74" s="77">
        <f t="shared" si="44"/>
        <v>0</v>
      </c>
      <c r="P74" s="77">
        <f t="shared" si="45"/>
        <v>0</v>
      </c>
      <c r="Q74" s="77">
        <f t="shared" ref="Q74:S75" si="50">Q77+Q80</f>
        <v>0</v>
      </c>
      <c r="R74" s="77">
        <f t="shared" si="50"/>
        <v>0</v>
      </c>
      <c r="S74" s="77">
        <f t="shared" si="50"/>
        <v>0</v>
      </c>
      <c r="T74" s="77">
        <f t="shared" si="47"/>
        <v>0</v>
      </c>
      <c r="U74" s="77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3">
        <f t="shared" ca="1" si="49"/>
        <v>445100</v>
      </c>
      <c r="M75" s="74">
        <f t="shared" ca="1" si="49"/>
        <v>445100</v>
      </c>
      <c r="N75" s="74">
        <f t="shared" ca="1" si="49"/>
        <v>248522.36</v>
      </c>
      <c r="O75" s="74">
        <f t="shared" ca="1" si="44"/>
        <v>55.835174118175694</v>
      </c>
      <c r="P75" s="74">
        <f t="shared" ca="1" si="45"/>
        <v>55.835174118175694</v>
      </c>
      <c r="Q75" s="74">
        <f t="shared" ca="1" si="50"/>
        <v>585080</v>
      </c>
      <c r="R75" s="74">
        <f t="shared" ca="1" si="50"/>
        <v>585080</v>
      </c>
      <c r="S75" s="74">
        <f t="shared" ca="1" si="50"/>
        <v>0</v>
      </c>
      <c r="T75" s="74">
        <f t="shared" ca="1" si="47"/>
        <v>0</v>
      </c>
      <c r="U75" s="74">
        <f t="shared" ca="1" si="48"/>
        <v>0</v>
      </c>
    </row>
    <row r="76" spans="1:21" ht="18.75" x14ac:dyDescent="0.25">
      <c r="A76" s="257"/>
      <c r="B76" s="258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3">
        <f t="shared" ref="L76:N76" ca="1" si="51">L77+L78</f>
        <v>445100</v>
      </c>
      <c r="M76" s="74">
        <f t="shared" ca="1" si="51"/>
        <v>445100</v>
      </c>
      <c r="N76" s="74">
        <f t="shared" ca="1" si="51"/>
        <v>248522.36</v>
      </c>
      <c r="O76" s="74">
        <f t="shared" ca="1" si="44"/>
        <v>55.835174118175694</v>
      </c>
      <c r="P76" s="74">
        <f t="shared" ca="1" si="45"/>
        <v>55.835174118175694</v>
      </c>
      <c r="Q76" s="74">
        <f t="shared" ref="Q76:S76" ca="1" si="52">Q77+Q78</f>
        <v>585080</v>
      </c>
      <c r="R76" s="74">
        <f t="shared" ca="1" si="52"/>
        <v>585080</v>
      </c>
      <c r="S76" s="74">
        <f t="shared" ca="1" si="52"/>
        <v>0</v>
      </c>
      <c r="T76" s="74">
        <f t="shared" ca="1" si="47"/>
        <v>0</v>
      </c>
      <c r="U76" s="74">
        <f t="shared" ca="1" si="48"/>
        <v>0</v>
      </c>
    </row>
    <row r="77" spans="1:21" ht="18.75" hidden="1" x14ac:dyDescent="0.25">
      <c r="A77" s="257"/>
      <c r="B77" s="258"/>
      <c r="C77" s="258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77">
        <f t="shared" si="44"/>
        <v>0</v>
      </c>
      <c r="P77" s="77">
        <f t="shared" si="45"/>
        <v>0</v>
      </c>
      <c r="Q77" s="77">
        <v>0</v>
      </c>
      <c r="R77" s="77">
        <v>0</v>
      </c>
      <c r="S77" s="77">
        <v>0</v>
      </c>
      <c r="T77" s="77">
        <f t="shared" si="47"/>
        <v>0</v>
      </c>
      <c r="U77" s="77">
        <f t="shared" si="48"/>
        <v>0</v>
      </c>
    </row>
    <row r="78" spans="1:21" ht="18.75" hidden="1" x14ac:dyDescent="0.25">
      <c r="A78" s="257"/>
      <c r="B78" s="258"/>
      <c r="C78" s="258"/>
      <c r="D78" s="258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3">
        <f ca="1">IFERROR(__xludf.DUMMYFUNCTION("IMPORTRANGE(""https://docs.google.com/spreadsheets/d/1-uDff_7J0KD5mKrp0Vvzr7lt3OU09vwQwhkpOPPYv2Y/edit?usp=sharing"",""งบพรบ!AM69"")"),445100)</f>
        <v>445100</v>
      </c>
      <c r="M78" s="74">
        <f ca="1">IFERROR(__xludf.DUMMYFUNCTION("IMPORTRANGE(""https://docs.google.com/spreadsheets/d/1-uDff_7J0KD5mKrp0Vvzr7lt3OU09vwQwhkpOPPYv2Y/edit?usp=sharing"",""งบพรบ!AR69"")"),445100)</f>
        <v>445100</v>
      </c>
      <c r="N78" s="74">
        <f ca="1">IFERROR(__xludf.DUMMYFUNCTION("IMPORTRANGE(""https://docs.google.com/spreadsheets/d/1-uDff_7J0KD5mKrp0Vvzr7lt3OU09vwQwhkpOPPYv2Y/edit?usp=sharing"",""งบพรบ!AT69"")"),248522.36)</f>
        <v>248522.36</v>
      </c>
      <c r="O78" s="74">
        <f t="shared" ca="1" si="44"/>
        <v>55.835174118175694</v>
      </c>
      <c r="P78" s="74">
        <f t="shared" ca="1" si="45"/>
        <v>55.835174118175694</v>
      </c>
      <c r="Q78" s="74">
        <f ca="1">IFERROR(__xludf.DUMMYFUNCTION("IMPORTRANGE(""https://docs.google.com/spreadsheets/d/1ItG2mGa2ceCfYo0BwxsXqNm01IGEUdYcSSLTEv9YCik/edit?usp=sharing"",""เบิกจ่ายกองทุน!AS69"")"),585080)</f>
        <v>585080</v>
      </c>
      <c r="R78" s="74">
        <f ca="1">IFERROR(__xludf.DUMMYFUNCTION("IMPORTRANGE(""https://docs.google.com/spreadsheets/d/1ItG2mGa2ceCfYo0BwxsXqNm01IGEUdYcSSLTEv9YCik/edit?usp=sharing"",""เบิกจ่ายกองทุน!AT69"")"),585080)</f>
        <v>585080</v>
      </c>
      <c r="S78" s="74">
        <f ca="1">IFERROR(__xludf.DUMMYFUNCTION("IMPORTRANGE(""https://docs.google.com/spreadsheets/d/1ItG2mGa2ceCfYo0BwxsXqNm01IGEUdYcSSLTEv9YCik/edit?usp=sharing"",""เบิกจ่ายกองทุน!AU69"")"),0)</f>
        <v>0</v>
      </c>
      <c r="T78" s="74">
        <f t="shared" ca="1" si="47"/>
        <v>0</v>
      </c>
      <c r="U78" s="74">
        <f t="shared" ca="1" si="48"/>
        <v>0</v>
      </c>
    </row>
    <row r="79" spans="1:21" ht="18.75" x14ac:dyDescent="0.25">
      <c r="A79" s="257"/>
      <c r="B79" s="258"/>
      <c r="C79" s="258"/>
      <c r="D79" s="270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3">
        <f t="shared" ref="L79:N79" ca="1" si="53">L80+L81</f>
        <v>0</v>
      </c>
      <c r="M79" s="74">
        <f t="shared" ca="1" si="53"/>
        <v>0</v>
      </c>
      <c r="N79" s="74">
        <f t="shared" ca="1" si="53"/>
        <v>0</v>
      </c>
      <c r="O79" s="74">
        <f t="shared" ca="1" si="44"/>
        <v>0</v>
      </c>
      <c r="P79" s="74">
        <f t="shared" ca="1" si="45"/>
        <v>0</v>
      </c>
      <c r="Q79" s="74">
        <f t="shared" ref="Q79:S79" si="54">Q80+Q81</f>
        <v>0</v>
      </c>
      <c r="R79" s="74">
        <f t="shared" si="54"/>
        <v>0</v>
      </c>
      <c r="S79" s="74">
        <f t="shared" si="54"/>
        <v>0</v>
      </c>
      <c r="T79" s="74">
        <f t="shared" si="47"/>
        <v>0</v>
      </c>
      <c r="U79" s="74">
        <f t="shared" si="48"/>
        <v>0</v>
      </c>
    </row>
    <row r="80" spans="1:21" ht="18.75" hidden="1" x14ac:dyDescent="0.25">
      <c r="A80" s="257"/>
      <c r="B80" s="258"/>
      <c r="C80" s="258"/>
      <c r="D80" s="258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77">
        <f t="shared" si="44"/>
        <v>0</v>
      </c>
      <c r="P80" s="77">
        <f t="shared" si="45"/>
        <v>0</v>
      </c>
      <c r="Q80" s="77">
        <v>0</v>
      </c>
      <c r="R80" s="74">
        <v>0</v>
      </c>
      <c r="S80" s="74">
        <v>0</v>
      </c>
      <c r="T80" s="77">
        <f t="shared" si="47"/>
        <v>0</v>
      </c>
      <c r="U80" s="77">
        <f t="shared" si="48"/>
        <v>0</v>
      </c>
    </row>
    <row r="81" spans="1:21" ht="18.75" hidden="1" x14ac:dyDescent="0.25">
      <c r="A81" s="257"/>
      <c r="B81" s="258"/>
      <c r="C81" s="258"/>
      <c r="D81" s="258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3">
        <f ca="1">IFERROR(__xludf.DUMMYFUNCTION("IMPORTRANGE(""https://docs.google.com/spreadsheets/d/1-uDff_7J0KD5mKrp0Vvzr7lt3OU09vwQwhkpOPPYv2Y/edit?usp=sharing"",""งบพรบ!AP69"")"),0)</f>
        <v>0</v>
      </c>
      <c r="M81" s="74">
        <f ca="1">IFERROR(__xludf.DUMMYFUNCTION("IMPORTRANGE(""https://docs.google.com/spreadsheets/d/1-uDff_7J0KD5mKrp0Vvzr7lt3OU09vwQwhkpOPPYv2Y/edit?usp=sharing"",""งบพรบ!AS69"")"),0)</f>
        <v>0</v>
      </c>
      <c r="N81" s="74">
        <f ca="1">IFERROR(__xludf.DUMMYFUNCTION("IMPORTRANGE(""https://docs.google.com/spreadsheets/d/1-uDff_7J0KD5mKrp0Vvzr7lt3OU09vwQwhkpOPPYv2Y/edit?usp=sharing"",""งบพรบ!AU69"")"),0)</f>
        <v>0</v>
      </c>
      <c r="O81" s="74">
        <f t="shared" ca="1" si="44"/>
        <v>0</v>
      </c>
      <c r="P81" s="74">
        <f t="shared" ca="1" si="45"/>
        <v>0</v>
      </c>
      <c r="Q81" s="74">
        <v>0</v>
      </c>
      <c r="R81" s="74">
        <v>0</v>
      </c>
      <c r="S81" s="74">
        <v>0</v>
      </c>
      <c r="T81" s="74">
        <f t="shared" si="47"/>
        <v>0</v>
      </c>
      <c r="U81" s="74">
        <f t="shared" si="48"/>
        <v>0</v>
      </c>
    </row>
    <row r="82" spans="1:21" ht="19.5" x14ac:dyDescent="0.3">
      <c r="A82" s="276"/>
      <c r="B82" s="277"/>
      <c r="C82" s="259" t="s">
        <v>18</v>
      </c>
      <c r="D82" s="1019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x14ac:dyDescent="0.3">
      <c r="A83" s="276"/>
      <c r="B83" s="277"/>
      <c r="C83" s="277"/>
      <c r="D83" s="767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1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69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IFERROR(__xludf.DUMMYFUNCTION("IMPORTRANGE(""https://docs.google.com/spreadsheets/d/1eHaY18a8A9IcSdp1K8H6x8fbOy06t2VsZHhMHf-1x7Y/edit?usp=sharing"",""แผน!H69"")"),0)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IFERROR(__xludf.DUMMYFUNCTION("IMPORTRANGE(""https://docs.google.com/spreadsheets/d/1eHaY18a8A9IcSdp1K8H6x8fbOy06t2VsZHhMHf-1x7Y/edit?usp=sharing"",""แผน!I69"")"),0)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IFERROR(__xludf.DUMMYFUNCTION("IMPORTRANGE(""https://docs.google.com/spreadsheets/d/1eHaY18a8A9IcSdp1K8H6x8fbOy06t2VsZHhMHf-1x7Y/edit?usp=sharing"",""แผน!F69"")"),0)</f>
        <v>0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IFERROR(__xludf.DUMMYFUNCTION("IMPORTRANGE(""https://docs.google.com/spreadsheets/d/1eHaY18a8A9IcSdp1K8H6x8fbOy06t2VsZHhMHf-1x7Y/edit?usp=sharing"",""แผน!G69"")"),0)</f>
        <v>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x14ac:dyDescent="0.25">
      <c r="A89" s="276"/>
      <c r="B89" s="277"/>
      <c r="C89" s="277"/>
      <c r="D89" s="277"/>
      <c r="E89" s="295" t="s">
        <v>42</v>
      </c>
      <c r="F89" s="296"/>
      <c r="G89" s="282"/>
      <c r="H89" s="299" t="s">
        <v>34</v>
      </c>
      <c r="I89" s="298">
        <f ca="1">IFERROR(__xludf.DUMMYFUNCTION("IMPORTRANGE(""https://docs.google.com/spreadsheets/d/1eHaY18a8A9IcSdp1K8H6x8fbOy06t2VsZHhMHf-1x7Y/edit?usp=sharing"",""แผน!D69"")"),1)</f>
        <v>1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x14ac:dyDescent="0.25">
      <c r="A90" s="276"/>
      <c r="B90" s="277"/>
      <c r="C90" s="277"/>
      <c r="D90" s="277"/>
      <c r="E90" s="296"/>
      <c r="F90" s="296"/>
      <c r="G90" s="282"/>
      <c r="H90" s="299" t="s">
        <v>35</v>
      </c>
      <c r="I90" s="298">
        <f ca="1">IFERROR(__xludf.DUMMYFUNCTION("IMPORTRANGE(""https://docs.google.com/spreadsheets/d/1eHaY18a8A9IcSdp1K8H6x8fbOy06t2VsZHhMHf-1x7Y/edit?usp=sharing"",""แผน!E69"")"),69)</f>
        <v>69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x14ac:dyDescent="0.25">
      <c r="A91" s="276"/>
      <c r="B91" s="277"/>
      <c r="C91" s="277"/>
      <c r="D91" s="767" t="s">
        <v>43</v>
      </c>
      <c r="E91" s="296"/>
      <c r="F91" s="296"/>
      <c r="G91" s="282"/>
      <c r="H91" s="1165" t="s">
        <v>34</v>
      </c>
      <c r="I91" s="298">
        <f ca="1">IFERROR(__xludf.DUMMYFUNCTION("IMPORTRANGE(""https://docs.google.com/spreadsheets/d/1eHaY18a8A9IcSdp1K8H6x8fbOy06t2VsZHhMHf-1x7Y/edit?usp=sharing"",""แผน!J69"")"),1)</f>
        <v>1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hidden="1" x14ac:dyDescent="0.3">
      <c r="A92" s="1099" t="s">
        <v>44</v>
      </c>
      <c r="B92" s="691"/>
      <c r="C92" s="693"/>
      <c r="D92" s="691"/>
      <c r="E92" s="691"/>
      <c r="F92" s="691"/>
      <c r="G92" s="1100"/>
      <c r="H92" s="1100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hidden="1" x14ac:dyDescent="0.3">
      <c r="A93" s="250"/>
      <c r="B93" s="251" t="s">
        <v>45</v>
      </c>
      <c r="C93" s="252"/>
      <c r="D93" s="253"/>
      <c r="E93" s="252"/>
      <c r="F93" s="252"/>
      <c r="G93" s="254"/>
      <c r="H93" s="1296" t="s">
        <v>46</v>
      </c>
      <c r="I93" s="256">
        <f t="shared" ref="I93:J94" ca="1" si="57">I109</f>
        <v>0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hidden="1" x14ac:dyDescent="0.3">
      <c r="A94" s="250"/>
      <c r="B94" s="252"/>
      <c r="C94" s="252"/>
      <c r="D94" s="253"/>
      <c r="E94" s="252"/>
      <c r="F94" s="252"/>
      <c r="G94" s="254"/>
      <c r="H94" s="1296" t="s">
        <v>35</v>
      </c>
      <c r="I94" s="256">
        <f t="shared" ca="1" si="57"/>
        <v>0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hidden="1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1257">
        <f t="shared" ref="L95:N95" ca="1" si="59">L96+L97</f>
        <v>0</v>
      </c>
      <c r="M95" s="264">
        <f t="shared" ca="1" si="59"/>
        <v>0</v>
      </c>
      <c r="N95" s="264">
        <f t="shared" ca="1" si="59"/>
        <v>0</v>
      </c>
      <c r="O95" s="264">
        <f t="shared" ref="O95:O103" ca="1" si="60">IF(L95&gt;0,N95*100/L95,0)</f>
        <v>0</v>
      </c>
      <c r="P95" s="264">
        <f t="shared" ref="P95:P103" ca="1" si="61">IF(M95&gt;0,N95*100/M95,0)</f>
        <v>0</v>
      </c>
      <c r="Q95" s="264">
        <f t="shared" ref="Q95:S95" ca="1" si="62">Q96+Q97</f>
        <v>0</v>
      </c>
      <c r="R95" s="264">
        <f t="shared" ca="1" si="62"/>
        <v>0</v>
      </c>
      <c r="S95" s="264">
        <f t="shared" ca="1" si="62"/>
        <v>0</v>
      </c>
      <c r="T95" s="264">
        <f t="shared" ref="T95:T103" ca="1" si="63">IF(Q95&gt;0,S95*100/Q95,0)</f>
        <v>0</v>
      </c>
      <c r="U95" s="264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6">
        <f t="shared" ref="L96:N97" si="65">L99+L102</f>
        <v>0</v>
      </c>
      <c r="M96" s="77">
        <f t="shared" si="65"/>
        <v>0</v>
      </c>
      <c r="N96" s="77">
        <f t="shared" si="65"/>
        <v>0</v>
      </c>
      <c r="O96" s="77">
        <f t="shared" si="60"/>
        <v>0</v>
      </c>
      <c r="P96" s="77">
        <f t="shared" si="61"/>
        <v>0</v>
      </c>
      <c r="Q96" s="77">
        <f t="shared" ref="Q96:S97" si="66">Q99+Q102</f>
        <v>0</v>
      </c>
      <c r="R96" s="77">
        <f t="shared" si="66"/>
        <v>0</v>
      </c>
      <c r="S96" s="77">
        <f t="shared" si="66"/>
        <v>0</v>
      </c>
      <c r="T96" s="77">
        <f t="shared" si="63"/>
        <v>0</v>
      </c>
      <c r="U96" s="77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3">
        <f t="shared" ca="1" si="65"/>
        <v>0</v>
      </c>
      <c r="M97" s="74">
        <f t="shared" ca="1" si="65"/>
        <v>0</v>
      </c>
      <c r="N97" s="74">
        <f t="shared" ca="1" si="65"/>
        <v>0</v>
      </c>
      <c r="O97" s="74">
        <f t="shared" ca="1" si="60"/>
        <v>0</v>
      </c>
      <c r="P97" s="74">
        <f t="shared" ca="1" si="61"/>
        <v>0</v>
      </c>
      <c r="Q97" s="74">
        <f t="shared" ca="1" si="66"/>
        <v>0</v>
      </c>
      <c r="R97" s="74">
        <f t="shared" ca="1" si="66"/>
        <v>0</v>
      </c>
      <c r="S97" s="74">
        <f t="shared" ca="1" si="66"/>
        <v>0</v>
      </c>
      <c r="T97" s="74">
        <f t="shared" ca="1" si="63"/>
        <v>0</v>
      </c>
      <c r="U97" s="74">
        <f t="shared" ca="1" si="64"/>
        <v>0</v>
      </c>
    </row>
    <row r="98" spans="1:21" ht="18.75" hidden="1" x14ac:dyDescent="0.25">
      <c r="A98" s="257"/>
      <c r="B98" s="258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3">
        <f t="shared" ref="L98:N98" ca="1" si="67">L99+L100</f>
        <v>0</v>
      </c>
      <c r="M98" s="74">
        <f t="shared" ca="1" si="67"/>
        <v>0</v>
      </c>
      <c r="N98" s="74">
        <f t="shared" ca="1" si="67"/>
        <v>0</v>
      </c>
      <c r="O98" s="74">
        <f t="shared" ca="1" si="60"/>
        <v>0</v>
      </c>
      <c r="P98" s="74">
        <f t="shared" ca="1" si="61"/>
        <v>0</v>
      </c>
      <c r="Q98" s="74">
        <f t="shared" ref="Q98:S98" ca="1" si="68">Q99+Q100</f>
        <v>0</v>
      </c>
      <c r="R98" s="74">
        <f t="shared" ca="1" si="68"/>
        <v>0</v>
      </c>
      <c r="S98" s="74">
        <f t="shared" ca="1" si="68"/>
        <v>0</v>
      </c>
      <c r="T98" s="74">
        <f t="shared" ca="1" si="63"/>
        <v>0</v>
      </c>
      <c r="U98" s="74">
        <f t="shared" ca="1" si="64"/>
        <v>0</v>
      </c>
    </row>
    <row r="99" spans="1:21" ht="18.75" hidden="1" x14ac:dyDescent="0.25">
      <c r="A99" s="257"/>
      <c r="B99" s="258"/>
      <c r="C99" s="258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77">
        <f t="shared" si="60"/>
        <v>0</v>
      </c>
      <c r="P99" s="77">
        <f t="shared" si="61"/>
        <v>0</v>
      </c>
      <c r="Q99" s="77">
        <v>0</v>
      </c>
      <c r="R99" s="77">
        <v>0</v>
      </c>
      <c r="S99" s="77">
        <v>0</v>
      </c>
      <c r="T99" s="77">
        <f t="shared" si="63"/>
        <v>0</v>
      </c>
      <c r="U99" s="77">
        <f t="shared" si="64"/>
        <v>0</v>
      </c>
    </row>
    <row r="100" spans="1:21" ht="18.75" hidden="1" x14ac:dyDescent="0.25">
      <c r="A100" s="257"/>
      <c r="B100" s="258"/>
      <c r="C100" s="258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3">
        <f ca="1">IFERROR(__xludf.DUMMYFUNCTION("IMPORTRANGE(""https://docs.google.com/spreadsheets/d/1-uDff_7J0KD5mKrp0Vvzr7lt3OU09vwQwhkpOPPYv2Y/edit?usp=sharing"",""งบพรบ!AW69"")"),0)</f>
        <v>0</v>
      </c>
      <c r="M100" s="74">
        <f ca="1">IFERROR(__xludf.DUMMYFUNCTION("IMPORTRANGE(""https://docs.google.com/spreadsheets/d/1-uDff_7J0KD5mKrp0Vvzr7lt3OU09vwQwhkpOPPYv2Y/edit?usp=sharing"",""งบพรบ!BB69"")"),0)</f>
        <v>0</v>
      </c>
      <c r="N100" s="74">
        <f ca="1">IFERROR(__xludf.DUMMYFUNCTION("IMPORTRANGE(""https://docs.google.com/spreadsheets/d/1-uDff_7J0KD5mKrp0Vvzr7lt3OU09vwQwhkpOPPYv2Y/edit?usp=sharing"",""งบพรบ!BD69"")"),0)</f>
        <v>0</v>
      </c>
      <c r="O100" s="74">
        <f t="shared" ca="1" si="60"/>
        <v>0</v>
      </c>
      <c r="P100" s="74">
        <f t="shared" ca="1" si="61"/>
        <v>0</v>
      </c>
      <c r="Q100" s="74">
        <f ca="1">IFERROR(__xludf.DUMMYFUNCTION("IMPORTRANGE(""https://docs.google.com/spreadsheets/d/1ItG2mGa2ceCfYo0BwxsXqNm01IGEUdYcSSLTEv9YCik/edit?usp=sharing"",""เบิกจ่ายกองทุน!AD69"")"),0)</f>
        <v>0</v>
      </c>
      <c r="R100" s="74">
        <f ca="1">IFERROR(__xludf.DUMMYFUNCTION("IMPORTRANGE(""https://docs.google.com/spreadsheets/d/1ItG2mGa2ceCfYo0BwxsXqNm01IGEUdYcSSLTEv9YCik/edit?usp=sharing"",""เบิกจ่ายกองทุน!AE69"")"),0)</f>
        <v>0</v>
      </c>
      <c r="S100" s="74">
        <f ca="1">IFERROR(__xludf.DUMMYFUNCTION("IMPORTRANGE(""https://docs.google.com/spreadsheets/d/1ItG2mGa2ceCfYo0BwxsXqNm01IGEUdYcSSLTEv9YCik/edit?usp=sharing"",""เบิกจ่ายกองทุน!AF69"")"),0)</f>
        <v>0</v>
      </c>
      <c r="T100" s="74">
        <f t="shared" ca="1" si="63"/>
        <v>0</v>
      </c>
      <c r="U100" s="74">
        <f t="shared" ca="1" si="64"/>
        <v>0</v>
      </c>
    </row>
    <row r="101" spans="1:21" ht="18.75" hidden="1" x14ac:dyDescent="0.25">
      <c r="A101" s="257"/>
      <c r="B101" s="258"/>
      <c r="C101" s="258"/>
      <c r="D101" s="270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3">
        <f t="shared" ref="L101:N101" ca="1" si="69">L102+L103</f>
        <v>0</v>
      </c>
      <c r="M101" s="74">
        <f t="shared" ca="1" si="69"/>
        <v>0</v>
      </c>
      <c r="N101" s="74">
        <f t="shared" ca="1" si="69"/>
        <v>0</v>
      </c>
      <c r="O101" s="74">
        <f t="shared" ca="1" si="60"/>
        <v>0</v>
      </c>
      <c r="P101" s="74">
        <f t="shared" ca="1" si="61"/>
        <v>0</v>
      </c>
      <c r="Q101" s="74">
        <f t="shared" ref="Q101:S101" si="70">Q102+Q103</f>
        <v>0</v>
      </c>
      <c r="R101" s="74">
        <f t="shared" si="70"/>
        <v>0</v>
      </c>
      <c r="S101" s="74">
        <f t="shared" si="70"/>
        <v>0</v>
      </c>
      <c r="T101" s="74">
        <f t="shared" si="63"/>
        <v>0</v>
      </c>
      <c r="U101" s="74">
        <f t="shared" si="64"/>
        <v>0</v>
      </c>
    </row>
    <row r="102" spans="1:21" ht="18.75" hidden="1" x14ac:dyDescent="0.25">
      <c r="A102" s="257"/>
      <c r="B102" s="258"/>
      <c r="C102" s="258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77">
        <f t="shared" si="60"/>
        <v>0</v>
      </c>
      <c r="P102" s="77">
        <f t="shared" si="61"/>
        <v>0</v>
      </c>
      <c r="Q102" s="77">
        <v>0</v>
      </c>
      <c r="R102" s="77">
        <v>0</v>
      </c>
      <c r="S102" s="77">
        <v>0</v>
      </c>
      <c r="T102" s="77">
        <f t="shared" si="63"/>
        <v>0</v>
      </c>
      <c r="U102" s="77">
        <f t="shared" si="64"/>
        <v>0</v>
      </c>
    </row>
    <row r="103" spans="1:21" ht="18.75" hidden="1" x14ac:dyDescent="0.25">
      <c r="A103" s="257"/>
      <c r="B103" s="258"/>
      <c r="C103" s="258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3">
        <f ca="1">IFERROR(__xludf.DUMMYFUNCTION("IMPORTRANGE(""https://docs.google.com/spreadsheets/d/1-uDff_7J0KD5mKrp0Vvzr7lt3OU09vwQwhkpOPPYv2Y/edit?usp=sharing"",""งบพรบ!AZ69"")"),0)</f>
        <v>0</v>
      </c>
      <c r="M103" s="74">
        <f ca="1">IFERROR(__xludf.DUMMYFUNCTION("IMPORTRANGE(""https://docs.google.com/spreadsheets/d/1-uDff_7J0KD5mKrp0Vvzr7lt3OU09vwQwhkpOPPYv2Y/edit?usp=sharing"",""งบพรบ!BC69"")"),0)</f>
        <v>0</v>
      </c>
      <c r="N103" s="74">
        <f ca="1">IFERROR(__xludf.DUMMYFUNCTION("IMPORTRANGE(""https://docs.google.com/spreadsheets/d/1-uDff_7J0KD5mKrp0Vvzr7lt3OU09vwQwhkpOPPYv2Y/edit?usp=sharing"",""งบพรบ!BE69"")"),0)</f>
        <v>0</v>
      </c>
      <c r="O103" s="74">
        <f t="shared" ca="1" si="60"/>
        <v>0</v>
      </c>
      <c r="P103" s="74">
        <f t="shared" ca="1" si="61"/>
        <v>0</v>
      </c>
      <c r="Q103" s="74">
        <v>0</v>
      </c>
      <c r="R103" s="74">
        <v>0</v>
      </c>
      <c r="S103" s="74">
        <v>0</v>
      </c>
      <c r="T103" s="74">
        <f t="shared" si="63"/>
        <v>0</v>
      </c>
      <c r="U103" s="74">
        <f t="shared" si="64"/>
        <v>0</v>
      </c>
    </row>
    <row r="104" spans="1:21" ht="19.5" hidden="1" x14ac:dyDescent="0.3">
      <c r="A104" s="276"/>
      <c r="B104" s="277"/>
      <c r="C104" s="259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hidden="1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IFERROR(__xludf.DUMMYFUNCTION("IMPORTRANGE(""https://docs.google.com/spreadsheets/d/1eHaY18a8A9IcSdp1K8H6x8fbOy06t2VsZHhMHf-1x7Y/edit?usp=sharing"",""แผน!N69"")"),0)</f>
        <v>0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hidden="1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IFERROR(__xludf.DUMMYFUNCTION("IMPORTRANGE(""https://docs.google.com/spreadsheets/d/1eHaY18a8A9IcSdp1K8H6x8fbOy06t2VsZHhMHf-1x7Y/edit?usp=sharing"",""แผน!O69"")"),0)</f>
        <v>0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5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2.75" hidden="1" x14ac:dyDescent="0.2">
      <c r="A114" s="283"/>
      <c r="B114" s="284"/>
      <c r="C114" s="284"/>
      <c r="D114" s="285"/>
      <c r="E114" s="285"/>
      <c r="F114" s="285"/>
      <c r="G114" s="286"/>
      <c r="H114" s="286"/>
      <c r="I114" s="287">
        <v>0</v>
      </c>
      <c r="J114" s="287">
        <v>0</v>
      </c>
      <c r="K114" s="30"/>
      <c r="L114" s="29"/>
      <c r="M114" s="30"/>
      <c r="N114" s="30"/>
      <c r="O114" s="30"/>
      <c r="P114" s="30"/>
      <c r="Q114" s="30"/>
      <c r="R114" s="30"/>
      <c r="S114" s="30"/>
      <c r="T114" s="30"/>
      <c r="U114" s="30"/>
    </row>
    <row r="115" spans="1:21" ht="18.75" hidden="1" x14ac:dyDescent="0.25">
      <c r="A115" s="276"/>
      <c r="B115" s="277"/>
      <c r="C115" s="277"/>
      <c r="D115" s="295" t="s">
        <v>50</v>
      </c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IFERROR(__xludf.DUMMYFUNCTION("IMPORTRANGE(""https://docs.google.com/spreadsheets/d/1eHaY18a8A9IcSdp1K8H6x8fbOy06t2VsZHhMHf-1x7Y/edit?usp=sharing"",""แผน!R69"")"),0)</f>
        <v>0</v>
      </c>
      <c r="J115" s="294">
        <v>0</v>
      </c>
      <c r="K115" s="74">
        <f ca="1">IF(I115&gt;0,J115*100/I115,0)</f>
        <v>0</v>
      </c>
      <c r="L115" s="86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243" t="s">
        <v>51</v>
      </c>
      <c r="B116" s="245"/>
      <c r="C116" s="300"/>
      <c r="D116" s="244"/>
      <c r="E116" s="244"/>
      <c r="F116" s="244"/>
      <c r="G116" s="244"/>
      <c r="H116" s="245"/>
      <c r="I116" s="301"/>
      <c r="J116" s="301"/>
      <c r="K116" s="302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50"/>
      <c r="B117" s="303" t="s">
        <v>52</v>
      </c>
      <c r="C117" s="304"/>
      <c r="D117" s="253"/>
      <c r="E117" s="252"/>
      <c r="F117" s="252"/>
      <c r="G117" s="254"/>
      <c r="H117" s="305" t="s">
        <v>35</v>
      </c>
      <c r="I117" s="256">
        <f t="shared" ref="I117:J117" ca="1" si="72">I128</f>
        <v>20</v>
      </c>
      <c r="J117" s="256">
        <f t="shared" si="72"/>
        <v>20</v>
      </c>
      <c r="K117" s="59">
        <f ca="1">IF(I117&gt;0,J117*100/I117,0)</f>
        <v>100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69"/>
      <c r="C118" s="621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1257">
        <f t="shared" ref="L118:N118" ca="1" si="73">L119+L120</f>
        <v>0</v>
      </c>
      <c r="M118" s="264">
        <f t="shared" ca="1" si="73"/>
        <v>0</v>
      </c>
      <c r="N118" s="264">
        <f t="shared" ca="1" si="73"/>
        <v>0</v>
      </c>
      <c r="O118" s="264">
        <f t="shared" ref="O118:O126" ca="1" si="74">IF(L118&gt;0,N118*100/L118,0)</f>
        <v>0</v>
      </c>
      <c r="P118" s="264">
        <f t="shared" ref="P118:P126" ca="1" si="75">IF(M118&gt;0,N118*100/M118,0)</f>
        <v>0</v>
      </c>
      <c r="Q118" s="264">
        <f t="shared" ref="Q118:S118" ca="1" si="76">Q119+Q120</f>
        <v>209360</v>
      </c>
      <c r="R118" s="264">
        <f t="shared" ca="1" si="76"/>
        <v>209360</v>
      </c>
      <c r="S118" s="264">
        <f t="shared" ca="1" si="76"/>
        <v>31240</v>
      </c>
      <c r="T118" s="264">
        <f t="shared" ref="T118:T126" ca="1" si="77">IF(Q118&gt;0,S118*100/Q118,0)</f>
        <v>14.92166602980512</v>
      </c>
      <c r="U118" s="264">
        <f t="shared" ref="U118:U126" ca="1" si="78">IF(R118&gt;0,S118*100/R118,0)</f>
        <v>14.92166602980512</v>
      </c>
    </row>
    <row r="119" spans="1:21" ht="18.75" hidden="1" x14ac:dyDescent="0.25">
      <c r="A119" s="257"/>
      <c r="B119" s="269"/>
      <c r="C119" s="269"/>
      <c r="D119" s="269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6">
        <f t="shared" ref="L119:N120" si="79">L122+L125</f>
        <v>0</v>
      </c>
      <c r="M119" s="77">
        <f t="shared" si="79"/>
        <v>0</v>
      </c>
      <c r="N119" s="77">
        <f t="shared" si="79"/>
        <v>0</v>
      </c>
      <c r="O119" s="77">
        <f t="shared" si="74"/>
        <v>0</v>
      </c>
      <c r="P119" s="77">
        <f t="shared" si="75"/>
        <v>0</v>
      </c>
      <c r="Q119" s="77">
        <f t="shared" ref="Q119:S120" si="80">Q122+Q125</f>
        <v>0</v>
      </c>
      <c r="R119" s="77">
        <f t="shared" si="80"/>
        <v>0</v>
      </c>
      <c r="S119" s="77">
        <f t="shared" si="80"/>
        <v>0</v>
      </c>
      <c r="T119" s="77">
        <f t="shared" si="77"/>
        <v>0</v>
      </c>
      <c r="U119" s="77">
        <f t="shared" si="78"/>
        <v>0</v>
      </c>
    </row>
    <row r="120" spans="1:21" ht="18.75" hidden="1" x14ac:dyDescent="0.25">
      <c r="A120" s="257"/>
      <c r="B120" s="269"/>
      <c r="C120" s="269"/>
      <c r="D120" s="269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3">
        <f t="shared" ca="1" si="79"/>
        <v>0</v>
      </c>
      <c r="M120" s="74">
        <f t="shared" ca="1" si="79"/>
        <v>0</v>
      </c>
      <c r="N120" s="74">
        <f t="shared" ca="1" si="79"/>
        <v>0</v>
      </c>
      <c r="O120" s="74">
        <f t="shared" ca="1" si="74"/>
        <v>0</v>
      </c>
      <c r="P120" s="74">
        <f t="shared" ca="1" si="75"/>
        <v>0</v>
      </c>
      <c r="Q120" s="74">
        <f t="shared" ca="1" si="80"/>
        <v>209360</v>
      </c>
      <c r="R120" s="74">
        <f t="shared" ca="1" si="80"/>
        <v>209360</v>
      </c>
      <c r="S120" s="74">
        <f t="shared" ca="1" si="80"/>
        <v>31240</v>
      </c>
      <c r="T120" s="74">
        <f t="shared" ca="1" si="77"/>
        <v>14.92166602980512</v>
      </c>
      <c r="U120" s="74">
        <f t="shared" ca="1" si="78"/>
        <v>14.92166602980512</v>
      </c>
    </row>
    <row r="121" spans="1:21" ht="18.75" x14ac:dyDescent="0.25">
      <c r="A121" s="257"/>
      <c r="B121" s="269"/>
      <c r="C121" s="306"/>
      <c r="D121" s="967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3">
        <f t="shared" ref="L121:N121" ca="1" si="81">L122+L123</f>
        <v>0</v>
      </c>
      <c r="M121" s="74">
        <f t="shared" ca="1" si="81"/>
        <v>0</v>
      </c>
      <c r="N121" s="74">
        <f t="shared" ca="1" si="81"/>
        <v>0</v>
      </c>
      <c r="O121" s="74">
        <f t="shared" ca="1" si="74"/>
        <v>0</v>
      </c>
      <c r="P121" s="74">
        <f t="shared" ca="1" si="75"/>
        <v>0</v>
      </c>
      <c r="Q121" s="74">
        <f t="shared" ref="Q121:S121" ca="1" si="82">Q122+Q123</f>
        <v>209360</v>
      </c>
      <c r="R121" s="74">
        <f t="shared" ca="1" si="82"/>
        <v>209360</v>
      </c>
      <c r="S121" s="74">
        <f t="shared" ca="1" si="82"/>
        <v>31240</v>
      </c>
      <c r="T121" s="74">
        <f t="shared" ca="1" si="77"/>
        <v>14.92166602980512</v>
      </c>
      <c r="U121" s="74">
        <f t="shared" ca="1" si="78"/>
        <v>14.92166602980512</v>
      </c>
    </row>
    <row r="122" spans="1:21" ht="18.75" hidden="1" x14ac:dyDescent="0.25">
      <c r="A122" s="257"/>
      <c r="B122" s="269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77">
        <f t="shared" si="74"/>
        <v>0</v>
      </c>
      <c r="P122" s="77">
        <f t="shared" si="75"/>
        <v>0</v>
      </c>
      <c r="Q122" s="77">
        <v>0</v>
      </c>
      <c r="R122" s="77">
        <v>0</v>
      </c>
      <c r="S122" s="77">
        <v>0</v>
      </c>
      <c r="T122" s="77">
        <f t="shared" si="77"/>
        <v>0</v>
      </c>
      <c r="U122" s="77">
        <f t="shared" si="78"/>
        <v>0</v>
      </c>
    </row>
    <row r="123" spans="1:21" ht="18.75" hidden="1" x14ac:dyDescent="0.25">
      <c r="A123" s="257"/>
      <c r="B123" s="269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3">
        <f ca="1">IFERROR(__xludf.DUMMYFUNCTION("IMPORTRANGE(""https://docs.google.com/spreadsheets/d/1-uDff_7J0KD5mKrp0Vvzr7lt3OU09vwQwhkpOPPYv2Y/edit?usp=sharing"",""งบพรบ!BG69"")"),0)</f>
        <v>0</v>
      </c>
      <c r="M123" s="74">
        <f ca="1">IFERROR(__xludf.DUMMYFUNCTION("IMPORTRANGE(""https://docs.google.com/spreadsheets/d/1-uDff_7J0KD5mKrp0Vvzr7lt3OU09vwQwhkpOPPYv2Y/edit?usp=sharing"",""งบพรบ!BL69"")"),0)</f>
        <v>0</v>
      </c>
      <c r="N123" s="74">
        <f ca="1">IFERROR(__xludf.DUMMYFUNCTION("IMPORTRANGE(""https://docs.google.com/spreadsheets/d/1-uDff_7J0KD5mKrp0Vvzr7lt3OU09vwQwhkpOPPYv2Y/edit?usp=sharing"",""งบพรบ!BN69"")"),0)</f>
        <v>0</v>
      </c>
      <c r="O123" s="74">
        <f t="shared" ca="1" si="74"/>
        <v>0</v>
      </c>
      <c r="P123" s="74">
        <f t="shared" ca="1" si="75"/>
        <v>0</v>
      </c>
      <c r="Q123" s="74">
        <f ca="1">IFERROR(__xludf.DUMMYFUNCTION("IMPORTRANGE(""https://docs.google.com/spreadsheets/d/1ItG2mGa2ceCfYo0BwxsXqNm01IGEUdYcSSLTEv9YCik/edit?usp=sharing"",""เบิกจ่ายกองทุน!R69"")"),209360)</f>
        <v>209360</v>
      </c>
      <c r="R123" s="74">
        <f ca="1">IFERROR(__xludf.DUMMYFUNCTION("IMPORTRANGE(""https://docs.google.com/spreadsheets/d/1ItG2mGa2ceCfYo0BwxsXqNm01IGEUdYcSSLTEv9YCik/edit?usp=sharing"",""เบิกจ่ายกองทุน!S69"")"),209360)</f>
        <v>209360</v>
      </c>
      <c r="S123" s="74">
        <f ca="1">IFERROR(__xludf.DUMMYFUNCTION("IMPORTRANGE(""https://docs.google.com/spreadsheets/d/1ItG2mGa2ceCfYo0BwxsXqNm01IGEUdYcSSLTEv9YCik/edit?usp=sharing"",""เบิกจ่ายกองทุน!T69"")"),31240)</f>
        <v>31240</v>
      </c>
      <c r="T123" s="74">
        <f t="shared" ca="1" si="77"/>
        <v>14.92166602980512</v>
      </c>
      <c r="U123" s="74">
        <f t="shared" ca="1" si="78"/>
        <v>14.92166602980512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3">
        <f t="shared" ref="L124:N124" ca="1" si="83">L125+L126</f>
        <v>0</v>
      </c>
      <c r="M124" s="74">
        <f t="shared" ca="1" si="83"/>
        <v>0</v>
      </c>
      <c r="N124" s="74">
        <f t="shared" ca="1" si="83"/>
        <v>0</v>
      </c>
      <c r="O124" s="74">
        <f t="shared" ca="1" si="74"/>
        <v>0</v>
      </c>
      <c r="P124" s="74">
        <f t="shared" ca="1" si="75"/>
        <v>0</v>
      </c>
      <c r="Q124" s="74">
        <f t="shared" ref="Q124:S124" si="84">Q125+Q126</f>
        <v>0</v>
      </c>
      <c r="R124" s="74">
        <f t="shared" si="84"/>
        <v>0</v>
      </c>
      <c r="S124" s="74">
        <f t="shared" si="84"/>
        <v>0</v>
      </c>
      <c r="T124" s="74">
        <f t="shared" si="77"/>
        <v>0</v>
      </c>
      <c r="U124" s="74">
        <f t="shared" si="78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77">
        <f t="shared" si="74"/>
        <v>0</v>
      </c>
      <c r="P125" s="77">
        <f t="shared" si="75"/>
        <v>0</v>
      </c>
      <c r="Q125" s="77">
        <v>0</v>
      </c>
      <c r="R125" s="77">
        <v>0</v>
      </c>
      <c r="S125" s="77">
        <v>0</v>
      </c>
      <c r="T125" s="77">
        <f t="shared" si="77"/>
        <v>0</v>
      </c>
      <c r="U125" s="77">
        <f t="shared" si="78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3">
        <f ca="1">IFERROR(__xludf.DUMMYFUNCTION("IMPORTRANGE(""https://docs.google.com/spreadsheets/d/1-uDff_7J0KD5mKrp0Vvzr7lt3OU09vwQwhkpOPPYv2Y/edit?usp=sharing"",""งบพรบ!BJ69"")"),0)</f>
        <v>0</v>
      </c>
      <c r="M126" s="74">
        <f ca="1">IFERROR(__xludf.DUMMYFUNCTION("IMPORTRANGE(""https://docs.google.com/spreadsheets/d/1-uDff_7J0KD5mKrp0Vvzr7lt3OU09vwQwhkpOPPYv2Y/edit?usp=sharing"",""งบพรบ!BM69"")"),0)</f>
        <v>0</v>
      </c>
      <c r="N126" s="74">
        <f ca="1">IFERROR(__xludf.DUMMYFUNCTION("IMPORTRANGE(""https://docs.google.com/spreadsheets/d/1-uDff_7J0KD5mKrp0Vvzr7lt3OU09vwQwhkpOPPYv2Y/edit?usp=sharing"",""งบพรบ!BO69"")"),0)</f>
        <v>0</v>
      </c>
      <c r="O126" s="74">
        <f t="shared" ca="1" si="74"/>
        <v>0</v>
      </c>
      <c r="P126" s="74">
        <f t="shared" ca="1" si="75"/>
        <v>0</v>
      </c>
      <c r="Q126" s="74">
        <v>0</v>
      </c>
      <c r="R126" s="74">
        <v>0</v>
      </c>
      <c r="S126" s="74">
        <v>0</v>
      </c>
      <c r="T126" s="74">
        <f t="shared" si="77"/>
        <v>0</v>
      </c>
      <c r="U126" s="74">
        <f t="shared" si="78"/>
        <v>0</v>
      </c>
    </row>
    <row r="127" spans="1:21" ht="19.5" x14ac:dyDescent="0.3">
      <c r="A127" s="276"/>
      <c r="B127" s="277"/>
      <c r="C127" s="309" t="s">
        <v>18</v>
      </c>
      <c r="D127" s="1019" t="s">
        <v>38</v>
      </c>
      <c r="E127" s="280"/>
      <c r="F127" s="280"/>
      <c r="G127" s="281"/>
      <c r="H127" s="310"/>
      <c r="I127" s="263"/>
      <c r="J127" s="263"/>
      <c r="K127" s="87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IFERROR(__xludf.DUMMYFUNCTION("IMPORTRANGE(""https://docs.google.com/spreadsheets/d/1eHaY18a8A9IcSdp1K8H6x8fbOy06t2VsZHhMHf-1x7Y/edit?usp=sharing"",""แผน!FF69"")"),20)</f>
        <v>20</v>
      </c>
      <c r="J128" s="294">
        <v>20</v>
      </c>
      <c r="K128" s="74">
        <f t="shared" ref="K128:K131" ca="1" si="85">IF(I128&gt;0,J128*100/I128,0)</f>
        <v>100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IFERROR(__xludf.DUMMYFUNCTION("IMPORTRANGE(""https://docs.google.com/spreadsheets/d/1eHaY18a8A9IcSdp1K8H6x8fbOy06t2VsZHhMHf-1x7Y/edit?usp=sharing"",""แผน!FG69"")"),0)</f>
        <v>0</v>
      </c>
      <c r="J129" s="294">
        <v>0</v>
      </c>
      <c r="K129" s="74">
        <f t="shared" ca="1" si="85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29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IFERROR(__xludf.DUMMYFUNCTION("IMPORTRANGE(""https://docs.google.com/spreadsheets/d/1eHaY18a8A9IcSdp1K8H6x8fbOy06t2VsZHhMHf-1x7Y/edit?usp=sharing"",""แผน!FH69"")"),20)</f>
        <v>20</v>
      </c>
      <c r="J130" s="294">
        <v>20</v>
      </c>
      <c r="K130" s="74">
        <f t="shared" ca="1" si="85"/>
        <v>100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96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IFERROR(__xludf.DUMMYFUNCTION("IMPORTRANGE(""https://docs.google.com/spreadsheets/d/1eHaY18a8A9IcSdp1K8H6x8fbOy06t2VsZHhMHf-1x7Y/edit?usp=sharing"",""แผน!FI69"")"),0)</f>
        <v>0</v>
      </c>
      <c r="J131" s="294">
        <v>0</v>
      </c>
      <c r="K131" s="74">
        <f t="shared" ca="1" si="85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311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311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hidden="1" x14ac:dyDescent="0.3">
      <c r="A135" s="1099" t="s">
        <v>58</v>
      </c>
      <c r="B135" s="691"/>
      <c r="C135" s="692"/>
      <c r="D135" s="691"/>
      <c r="E135" s="691"/>
      <c r="F135" s="691"/>
      <c r="G135" s="691"/>
      <c r="H135" s="691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hidden="1" x14ac:dyDescent="0.3">
      <c r="A136" s="250"/>
      <c r="B136" s="251" t="s">
        <v>59</v>
      </c>
      <c r="C136" s="304"/>
      <c r="D136" s="253"/>
      <c r="E136" s="252"/>
      <c r="F136" s="252"/>
      <c r="G136" s="252"/>
      <c r="H136" s="252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hidden="1" x14ac:dyDescent="0.3">
      <c r="A137" s="250"/>
      <c r="B137" s="252"/>
      <c r="C137" s="1112" t="s">
        <v>60</v>
      </c>
      <c r="D137" s="253"/>
      <c r="E137" s="252"/>
      <c r="F137" s="252"/>
      <c r="G137" s="254"/>
      <c r="H137" s="1296" t="s">
        <v>61</v>
      </c>
      <c r="I137" s="256">
        <f t="shared" ref="I137:J137" ca="1" si="86">I155</f>
        <v>0</v>
      </c>
      <c r="J137" s="256">
        <f t="shared" si="86"/>
        <v>0</v>
      </c>
      <c r="K137" s="59">
        <f t="shared" ref="K137:K139" ca="1" si="87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hidden="1" x14ac:dyDescent="0.3">
      <c r="A138" s="250"/>
      <c r="B138" s="252"/>
      <c r="C138" s="1112" t="s">
        <v>62</v>
      </c>
      <c r="D138" s="253"/>
      <c r="E138" s="252"/>
      <c r="F138" s="252"/>
      <c r="G138" s="254"/>
      <c r="H138" s="1296" t="s">
        <v>35</v>
      </c>
      <c r="I138" s="256">
        <f t="shared" ref="I138:J139" ca="1" si="88">I153</f>
        <v>0</v>
      </c>
      <c r="J138" s="256">
        <f t="shared" si="88"/>
        <v>0</v>
      </c>
      <c r="K138" s="59">
        <f t="shared" ca="1" si="87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hidden="1" x14ac:dyDescent="0.3">
      <c r="A139" s="250"/>
      <c r="B139" s="252"/>
      <c r="C139" s="304"/>
      <c r="D139" s="253"/>
      <c r="E139" s="252"/>
      <c r="F139" s="252"/>
      <c r="G139" s="254"/>
      <c r="H139" s="1296" t="s">
        <v>54</v>
      </c>
      <c r="I139" s="256">
        <f t="shared" ca="1" si="88"/>
        <v>0</v>
      </c>
      <c r="J139" s="256">
        <f t="shared" si="88"/>
        <v>0</v>
      </c>
      <c r="K139" s="59">
        <f t="shared" ca="1" si="87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hidden="1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1257">
        <f t="shared" ref="L140:N140" ca="1" si="89">L141+L142</f>
        <v>0</v>
      </c>
      <c r="M140" s="264">
        <f t="shared" ca="1" si="89"/>
        <v>0</v>
      </c>
      <c r="N140" s="264">
        <f t="shared" ca="1" si="89"/>
        <v>0</v>
      </c>
      <c r="O140" s="264">
        <f t="shared" ref="O140:O148" ca="1" si="90">IF(L140&gt;0,N140*100/L140,0)</f>
        <v>0</v>
      </c>
      <c r="P140" s="264">
        <f t="shared" ref="P140:P148" ca="1" si="91">IF(M140&gt;0,N140*100/M140,0)</f>
        <v>0</v>
      </c>
      <c r="Q140" s="264">
        <f t="shared" ref="Q140:S140" ca="1" si="92">Q141+Q142</f>
        <v>0</v>
      </c>
      <c r="R140" s="264">
        <f t="shared" ca="1" si="92"/>
        <v>0</v>
      </c>
      <c r="S140" s="264">
        <f t="shared" ca="1" si="92"/>
        <v>0</v>
      </c>
      <c r="T140" s="264">
        <f t="shared" ref="T140:T148" ca="1" si="93">IF(Q140&gt;0,S140*100/Q140,0)</f>
        <v>0</v>
      </c>
      <c r="U140" s="264">
        <f t="shared" ref="U140:U148" ca="1" si="94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6">
        <f t="shared" ref="L141:N142" si="95">L144+L147</f>
        <v>0</v>
      </c>
      <c r="M141" s="77">
        <f t="shared" si="95"/>
        <v>0</v>
      </c>
      <c r="N141" s="77">
        <f t="shared" si="95"/>
        <v>0</v>
      </c>
      <c r="O141" s="77">
        <f t="shared" si="90"/>
        <v>0</v>
      </c>
      <c r="P141" s="77">
        <f t="shared" si="91"/>
        <v>0</v>
      </c>
      <c r="Q141" s="77">
        <f t="shared" ref="Q141:S142" si="96">Q144+Q147</f>
        <v>0</v>
      </c>
      <c r="R141" s="77">
        <f t="shared" si="96"/>
        <v>0</v>
      </c>
      <c r="S141" s="77">
        <f t="shared" si="96"/>
        <v>0</v>
      </c>
      <c r="T141" s="77">
        <f t="shared" si="93"/>
        <v>0</v>
      </c>
      <c r="U141" s="77">
        <f t="shared" si="94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3">
        <f t="shared" ca="1" si="95"/>
        <v>0</v>
      </c>
      <c r="M142" s="74">
        <f t="shared" ca="1" si="95"/>
        <v>0</v>
      </c>
      <c r="N142" s="74">
        <f t="shared" ca="1" si="95"/>
        <v>0</v>
      </c>
      <c r="O142" s="74">
        <f t="shared" ca="1" si="90"/>
        <v>0</v>
      </c>
      <c r="P142" s="74">
        <f t="shared" ca="1" si="91"/>
        <v>0</v>
      </c>
      <c r="Q142" s="74">
        <f t="shared" ca="1" si="96"/>
        <v>0</v>
      </c>
      <c r="R142" s="74">
        <f t="shared" ca="1" si="96"/>
        <v>0</v>
      </c>
      <c r="S142" s="74">
        <f t="shared" ca="1" si="96"/>
        <v>0</v>
      </c>
      <c r="T142" s="74">
        <f t="shared" ca="1" si="93"/>
        <v>0</v>
      </c>
      <c r="U142" s="74">
        <f t="shared" ca="1" si="94"/>
        <v>0</v>
      </c>
    </row>
    <row r="143" spans="1:21" ht="18.75" hidden="1" x14ac:dyDescent="0.25">
      <c r="A143" s="257"/>
      <c r="B143" s="258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3">
        <f t="shared" ref="L143:N143" ca="1" si="97">L144+L145</f>
        <v>0</v>
      </c>
      <c r="M143" s="74">
        <f t="shared" ca="1" si="97"/>
        <v>0</v>
      </c>
      <c r="N143" s="74">
        <f t="shared" ca="1" si="97"/>
        <v>0</v>
      </c>
      <c r="O143" s="74">
        <f t="shared" ca="1" si="90"/>
        <v>0</v>
      </c>
      <c r="P143" s="74">
        <f t="shared" ca="1" si="91"/>
        <v>0</v>
      </c>
      <c r="Q143" s="74">
        <f t="shared" ref="Q143:S143" ca="1" si="98">Q144+Q145</f>
        <v>0</v>
      </c>
      <c r="R143" s="74">
        <f t="shared" ca="1" si="98"/>
        <v>0</v>
      </c>
      <c r="S143" s="74">
        <f t="shared" ca="1" si="98"/>
        <v>0</v>
      </c>
      <c r="T143" s="74">
        <f t="shared" ca="1" si="93"/>
        <v>0</v>
      </c>
      <c r="U143" s="74">
        <f t="shared" ca="1" si="94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77">
        <f t="shared" si="90"/>
        <v>0</v>
      </c>
      <c r="P144" s="77">
        <f t="shared" si="91"/>
        <v>0</v>
      </c>
      <c r="Q144" s="77">
        <v>0</v>
      </c>
      <c r="R144" s="77">
        <v>0</v>
      </c>
      <c r="S144" s="77">
        <v>0</v>
      </c>
      <c r="T144" s="77">
        <f t="shared" si="93"/>
        <v>0</v>
      </c>
      <c r="U144" s="77">
        <f t="shared" si="94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3">
        <f ca="1">IFERROR(__xludf.DUMMYFUNCTION("IMPORTRANGE(""https://docs.google.com/spreadsheets/d/1-uDff_7J0KD5mKrp0Vvzr7lt3OU09vwQwhkpOPPYv2Y/edit?usp=sharing"",""งบพรบ!BQ69"")"),0)</f>
        <v>0</v>
      </c>
      <c r="M145" s="74">
        <f ca="1">IFERROR(__xludf.DUMMYFUNCTION("IMPORTRANGE(""https://docs.google.com/spreadsheets/d/1-uDff_7J0KD5mKrp0Vvzr7lt3OU09vwQwhkpOPPYv2Y/edit?usp=sharing"",""งบพรบ!BV69"")"),0)</f>
        <v>0</v>
      </c>
      <c r="N145" s="74">
        <f ca="1">IFERROR(__xludf.DUMMYFUNCTION("IMPORTRANGE(""https://docs.google.com/spreadsheets/d/1-uDff_7J0KD5mKrp0Vvzr7lt3OU09vwQwhkpOPPYv2Y/edit?usp=sharing"",""งบพรบ!BX69"")"),0)</f>
        <v>0</v>
      </c>
      <c r="O145" s="74">
        <f t="shared" ca="1" si="90"/>
        <v>0</v>
      </c>
      <c r="P145" s="74">
        <f t="shared" ca="1" si="91"/>
        <v>0</v>
      </c>
      <c r="Q145" s="74">
        <f ca="1">IFERROR(__xludf.DUMMYFUNCTION("IMPORTRANGE(""https://docs.google.com/spreadsheets/d/1ItG2mGa2ceCfYo0BwxsXqNm01IGEUdYcSSLTEv9YCik/edit?usp=sharing"",""เบิกจ่ายกองทุน!BB69"")"),0)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IFERROR(__xludf.DUMMYFUNCTION("IMPORTRANGE(""https://docs.google.com/spreadsheets/d/1ItG2mGa2ceCfYo0BwxsXqNm01IGEUdYcSSLTEv9YCik/edit?usp=sharing"",""เบิกจ่ายกองทุน!BC69"")"),0)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IFERROR(__xludf.DUMMYFUNCTION("IMPORTRANGE(""https://docs.google.com/spreadsheets/d/1ItG2mGa2ceCfYo0BwxsXqNm01IGEUdYcSSLTEv9YCik/edit?usp=sharing"",""เบิกจ่ายกองทุน!BD69"")"),0)</f>
        <v>0</v>
      </c>
      <c r="T145" s="74">
        <f t="shared" ca="1" si="93"/>
        <v>0</v>
      </c>
      <c r="U145" s="74">
        <f t="shared" ca="1" si="94"/>
        <v>0</v>
      </c>
    </row>
    <row r="146" spans="1:21" ht="18.75" hidden="1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3">
        <f t="shared" ref="L146:N146" ca="1" si="99">L147+L148</f>
        <v>0</v>
      </c>
      <c r="M146" s="74">
        <f t="shared" ca="1" si="99"/>
        <v>0</v>
      </c>
      <c r="N146" s="74">
        <f t="shared" ca="1" si="99"/>
        <v>0</v>
      </c>
      <c r="O146" s="74">
        <f t="shared" ca="1" si="90"/>
        <v>0</v>
      </c>
      <c r="P146" s="74">
        <f t="shared" ca="1" si="91"/>
        <v>0</v>
      </c>
      <c r="Q146" s="74">
        <f t="shared" ref="Q146:S146" si="100">Q147+Q148</f>
        <v>0</v>
      </c>
      <c r="R146" s="74">
        <f t="shared" si="100"/>
        <v>0</v>
      </c>
      <c r="S146" s="74">
        <f t="shared" si="100"/>
        <v>0</v>
      </c>
      <c r="T146" s="74">
        <f t="shared" si="93"/>
        <v>0</v>
      </c>
      <c r="U146" s="74">
        <f t="shared" si="94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77">
        <f t="shared" si="90"/>
        <v>0</v>
      </c>
      <c r="P147" s="77">
        <f t="shared" si="91"/>
        <v>0</v>
      </c>
      <c r="Q147" s="77">
        <v>0</v>
      </c>
      <c r="R147" s="77">
        <v>0</v>
      </c>
      <c r="S147" s="77">
        <v>0</v>
      </c>
      <c r="T147" s="77">
        <f t="shared" si="93"/>
        <v>0</v>
      </c>
      <c r="U147" s="77">
        <f t="shared" si="94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3">
        <f ca="1">IFERROR(__xludf.DUMMYFUNCTION("IMPORTRANGE(""https://docs.google.com/spreadsheets/d/1-uDff_7J0KD5mKrp0Vvzr7lt3OU09vwQwhkpOPPYv2Y/edit?usp=sharing"",""งบพรบ!BT69"")"),0)</f>
        <v>0</v>
      </c>
      <c r="M148" s="74">
        <f ca="1">IFERROR(__xludf.DUMMYFUNCTION("IMPORTRANGE(""https://docs.google.com/spreadsheets/d/1-uDff_7J0KD5mKrp0Vvzr7lt3OU09vwQwhkpOPPYv2Y/edit?usp=sharing"",""งบพรบ!BW69"")"),0)</f>
        <v>0</v>
      </c>
      <c r="N148" s="74">
        <f ca="1">IFERROR(__xludf.DUMMYFUNCTION("IMPORTRANGE(""https://docs.google.com/spreadsheets/d/1-uDff_7J0KD5mKrp0Vvzr7lt3OU09vwQwhkpOPPYv2Y/edit?usp=sharing"",""งบพรบ!BY69"")"),0)</f>
        <v>0</v>
      </c>
      <c r="O148" s="74">
        <f t="shared" ca="1" si="90"/>
        <v>0</v>
      </c>
      <c r="P148" s="74">
        <f t="shared" ca="1" si="91"/>
        <v>0</v>
      </c>
      <c r="Q148" s="74">
        <v>0</v>
      </c>
      <c r="R148" s="74">
        <v>0</v>
      </c>
      <c r="S148" s="74">
        <v>0</v>
      </c>
      <c r="T148" s="74">
        <f t="shared" si="93"/>
        <v>0</v>
      </c>
      <c r="U148" s="74">
        <f t="shared" si="94"/>
        <v>0</v>
      </c>
    </row>
    <row r="149" spans="1:21" ht="19.5" hidden="1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hidden="1" x14ac:dyDescent="0.25">
      <c r="A150" s="257"/>
      <c r="B150" s="258"/>
      <c r="C150" s="258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hidden="1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IFERROR(__xludf.DUMMYFUNCTION("IMPORTRANGE(""https://docs.google.com/spreadsheets/d/1eHaY18a8A9IcSdp1K8H6x8fbOy06t2VsZHhMHf-1x7Y/edit?usp=sharing"",""แผน!U69"")"),0)</f>
        <v>0</v>
      </c>
      <c r="J151" s="294">
        <v>0</v>
      </c>
      <c r="K151" s="74">
        <f t="shared" ref="K151:K155" ca="1" si="101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hidden="1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IFERROR(__xludf.DUMMYFUNCTION("IMPORTRANGE(""https://docs.google.com/spreadsheets/d/1eHaY18a8A9IcSdp1K8H6x8fbOy06t2VsZHhMHf-1x7Y/edit?usp=sharing"",""แผน!V69"")"),0)</f>
        <v>0</v>
      </c>
      <c r="J152" s="294">
        <v>0</v>
      </c>
      <c r="K152" s="74">
        <f t="shared" ca="1" si="101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hidden="1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IFERROR(__xludf.DUMMYFUNCTION("IMPORTRANGE(""https://docs.google.com/spreadsheets/d/1eHaY18a8A9IcSdp1K8H6x8fbOy06t2VsZHhMHf-1x7Y/edit?usp=sharing"",""แผน!W69"")"),0)</f>
        <v>0</v>
      </c>
      <c r="J153" s="294">
        <v>0</v>
      </c>
      <c r="K153" s="74">
        <f t="shared" ca="1" si="101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hidden="1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IFERROR(__xludf.DUMMYFUNCTION("IMPORTRANGE(""https://docs.google.com/spreadsheets/d/1eHaY18a8A9IcSdp1K8H6x8fbOy06t2VsZHhMHf-1x7Y/edit?usp=sharing"",""แผน!X69"")"),0)</f>
        <v>0</v>
      </c>
      <c r="J154" s="294">
        <v>0</v>
      </c>
      <c r="K154" s="74">
        <f t="shared" ca="1" si="101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hidden="1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IFERROR(__xludf.DUMMYFUNCTION("IMPORTRANGE(""https://docs.google.com/spreadsheets/d/1eHaY18a8A9IcSdp1K8H6x8fbOy06t2VsZHhMHf-1x7Y/edit?usp=sharing"",""แผน!Y69"")"),0)</f>
        <v>0</v>
      </c>
      <c r="J155" s="294">
        <v>0</v>
      </c>
      <c r="K155" s="74">
        <f t="shared" ca="1" si="101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hidden="1" x14ac:dyDescent="0.3">
      <c r="A156" s="1099" t="s">
        <v>67</v>
      </c>
      <c r="B156" s="691"/>
      <c r="C156" s="692"/>
      <c r="D156" s="691"/>
      <c r="E156" s="691"/>
      <c r="F156" s="691"/>
      <c r="G156" s="691"/>
      <c r="H156" s="691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hidden="1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2">I170</f>
        <v>0</v>
      </c>
      <c r="J157" s="256">
        <f t="shared" si="102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hidden="1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1257">
        <f t="shared" ref="L158:N158" ca="1" si="103">L159+L160</f>
        <v>0</v>
      </c>
      <c r="M158" s="264">
        <f t="shared" ca="1" si="103"/>
        <v>0</v>
      </c>
      <c r="N158" s="264">
        <f t="shared" ca="1" si="103"/>
        <v>0</v>
      </c>
      <c r="O158" s="264">
        <f t="shared" ref="O158:O166" ca="1" si="104">IF(L158&gt;0,N158*100/L158,0)</f>
        <v>0</v>
      </c>
      <c r="P158" s="264">
        <f t="shared" ref="P158:P166" ca="1" si="105">IF(M158&gt;0,N158*100/M158,0)</f>
        <v>0</v>
      </c>
      <c r="Q158" s="264">
        <f t="shared" ref="Q158:S158" ca="1" si="106">Q159+Q160</f>
        <v>0</v>
      </c>
      <c r="R158" s="264">
        <f t="shared" ca="1" si="106"/>
        <v>0</v>
      </c>
      <c r="S158" s="264">
        <f t="shared" ca="1" si="106"/>
        <v>0</v>
      </c>
      <c r="T158" s="264">
        <f t="shared" ref="T158:T166" ca="1" si="107">IF(Q158&gt;0,S158*100/Q158,0)</f>
        <v>0</v>
      </c>
      <c r="U158" s="264">
        <f t="shared" ref="U158:U166" ca="1" si="108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6">
        <f t="shared" ref="L159:N160" si="109">L162+L165</f>
        <v>0</v>
      </c>
      <c r="M159" s="77">
        <f t="shared" si="109"/>
        <v>0</v>
      </c>
      <c r="N159" s="77">
        <f t="shared" si="109"/>
        <v>0</v>
      </c>
      <c r="O159" s="77">
        <f t="shared" si="104"/>
        <v>0</v>
      </c>
      <c r="P159" s="77">
        <f t="shared" si="105"/>
        <v>0</v>
      </c>
      <c r="Q159" s="77">
        <f t="shared" ref="Q159:S160" si="110">Q162+Q165</f>
        <v>0</v>
      </c>
      <c r="R159" s="77">
        <f t="shared" si="110"/>
        <v>0</v>
      </c>
      <c r="S159" s="77">
        <f t="shared" si="110"/>
        <v>0</v>
      </c>
      <c r="T159" s="77">
        <f t="shared" si="107"/>
        <v>0</v>
      </c>
      <c r="U159" s="77">
        <f t="shared" si="108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3">
        <f t="shared" ca="1" si="109"/>
        <v>0</v>
      </c>
      <c r="M160" s="74">
        <f t="shared" ca="1" si="109"/>
        <v>0</v>
      </c>
      <c r="N160" s="74">
        <f t="shared" ca="1" si="109"/>
        <v>0</v>
      </c>
      <c r="O160" s="74">
        <f t="shared" ca="1" si="104"/>
        <v>0</v>
      </c>
      <c r="P160" s="74">
        <f t="shared" ca="1" si="105"/>
        <v>0</v>
      </c>
      <c r="Q160" s="74">
        <f t="shared" ca="1" si="110"/>
        <v>0</v>
      </c>
      <c r="R160" s="74">
        <f t="shared" ca="1" si="110"/>
        <v>0</v>
      </c>
      <c r="S160" s="74">
        <f t="shared" ca="1" si="110"/>
        <v>0</v>
      </c>
      <c r="T160" s="74">
        <f t="shared" ca="1" si="107"/>
        <v>0</v>
      </c>
      <c r="U160" s="74">
        <f t="shared" ca="1" si="108"/>
        <v>0</v>
      </c>
    </row>
    <row r="161" spans="1:21" ht="18.75" hidden="1" x14ac:dyDescent="0.25">
      <c r="A161" s="257"/>
      <c r="B161" s="258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3">
        <f t="shared" ref="L161:N161" ca="1" si="111">L162+L163</f>
        <v>0</v>
      </c>
      <c r="M161" s="74">
        <f t="shared" ca="1" si="111"/>
        <v>0</v>
      </c>
      <c r="N161" s="74">
        <f t="shared" ca="1" si="111"/>
        <v>0</v>
      </c>
      <c r="O161" s="74">
        <f t="shared" ca="1" si="104"/>
        <v>0</v>
      </c>
      <c r="P161" s="74">
        <f t="shared" ca="1" si="105"/>
        <v>0</v>
      </c>
      <c r="Q161" s="74">
        <f t="shared" ref="Q161:S161" ca="1" si="112">Q162+Q163</f>
        <v>0</v>
      </c>
      <c r="R161" s="74">
        <f t="shared" ca="1" si="112"/>
        <v>0</v>
      </c>
      <c r="S161" s="74">
        <f t="shared" ca="1" si="112"/>
        <v>0</v>
      </c>
      <c r="T161" s="74">
        <f t="shared" ca="1" si="107"/>
        <v>0</v>
      </c>
      <c r="U161" s="74">
        <f t="shared" ca="1" si="108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77">
        <f t="shared" si="104"/>
        <v>0</v>
      </c>
      <c r="P162" s="77">
        <f t="shared" si="105"/>
        <v>0</v>
      </c>
      <c r="Q162" s="77">
        <v>0</v>
      </c>
      <c r="R162" s="77">
        <v>0</v>
      </c>
      <c r="S162" s="77">
        <v>0</v>
      </c>
      <c r="T162" s="77">
        <f t="shared" si="107"/>
        <v>0</v>
      </c>
      <c r="U162" s="77">
        <f t="shared" si="108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3">
        <f ca="1">IFERROR(__xludf.DUMMYFUNCTION("IMPORTRANGE(""https://docs.google.com/spreadsheets/d/1-uDff_7J0KD5mKrp0Vvzr7lt3OU09vwQwhkpOPPYv2Y/edit?usp=sharing"",""งบพรบ!CA69"")"),0)</f>
        <v>0</v>
      </c>
      <c r="M163" s="74">
        <f ca="1">IFERROR(__xludf.DUMMYFUNCTION("IMPORTRANGE(""https://docs.google.com/spreadsheets/d/1-uDff_7J0KD5mKrp0Vvzr7lt3OU09vwQwhkpOPPYv2Y/edit?usp=sharing"",""งบพรบ!CF69"")"),0)</f>
        <v>0</v>
      </c>
      <c r="N163" s="74">
        <f ca="1">IFERROR(__xludf.DUMMYFUNCTION("IMPORTRANGE(""https://docs.google.com/spreadsheets/d/1-uDff_7J0KD5mKrp0Vvzr7lt3OU09vwQwhkpOPPYv2Y/edit?usp=sharing"",""งบพรบ!CH69"")"),0)</f>
        <v>0</v>
      </c>
      <c r="O163" s="74">
        <f t="shared" ca="1" si="104"/>
        <v>0</v>
      </c>
      <c r="P163" s="74">
        <f t="shared" ca="1" si="105"/>
        <v>0</v>
      </c>
      <c r="Q163" s="74">
        <f ca="1">IFERROR(__xludf.DUMMYFUNCTION("IMPORTRANGE(""https://docs.google.com/spreadsheets/d/1ItG2mGa2ceCfYo0BwxsXqNm01IGEUdYcSSLTEv9YCik/edit?usp=sharing"",""เบิกจ่ายกองทุน!AG69"")"),0)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IFERROR(__xludf.DUMMYFUNCTION("IMPORTRANGE(""https://docs.google.com/spreadsheets/d/1ItG2mGa2ceCfYo0BwxsXqNm01IGEUdYcSSLTEv9YCik/edit?usp=sharing"",""เบิกจ่ายกองทุน!AH69"")"),0)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IFERROR(__xludf.DUMMYFUNCTION("IMPORTRANGE(""https://docs.google.com/spreadsheets/d/1ItG2mGa2ceCfYo0BwxsXqNm01IGEUdYcSSLTEv9YCik/edit?usp=sharing"",""เบิกจ่ายกองทุน!AI69"")"),0)</f>
        <v>0</v>
      </c>
      <c r="T163" s="74">
        <f t="shared" ca="1" si="107"/>
        <v>0</v>
      </c>
      <c r="U163" s="74">
        <f t="shared" ca="1" si="108"/>
        <v>0</v>
      </c>
    </row>
    <row r="164" spans="1:21" ht="18.75" hidden="1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3">
        <f t="shared" ref="L164:N164" ca="1" si="113">L165+L166</f>
        <v>0</v>
      </c>
      <c r="M164" s="74">
        <f t="shared" ca="1" si="113"/>
        <v>0</v>
      </c>
      <c r="N164" s="74">
        <f t="shared" ca="1" si="113"/>
        <v>0</v>
      </c>
      <c r="O164" s="74">
        <f t="shared" ca="1" si="104"/>
        <v>0</v>
      </c>
      <c r="P164" s="74">
        <f t="shared" ca="1" si="105"/>
        <v>0</v>
      </c>
      <c r="Q164" s="74">
        <f t="shared" ref="Q164:S164" si="114">Q165+Q166</f>
        <v>0</v>
      </c>
      <c r="R164" s="74">
        <f t="shared" si="114"/>
        <v>0</v>
      </c>
      <c r="S164" s="74">
        <f t="shared" si="114"/>
        <v>0</v>
      </c>
      <c r="T164" s="74">
        <f t="shared" si="107"/>
        <v>0</v>
      </c>
      <c r="U164" s="74">
        <f t="shared" si="108"/>
        <v>0</v>
      </c>
    </row>
    <row r="165" spans="1:21" ht="18.75" hidden="1" x14ac:dyDescent="0.25">
      <c r="A165" s="257"/>
      <c r="B165" s="258"/>
      <c r="C165" s="258"/>
      <c r="D165" s="258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77">
        <f t="shared" si="104"/>
        <v>0</v>
      </c>
      <c r="P165" s="77">
        <f t="shared" si="105"/>
        <v>0</v>
      </c>
      <c r="Q165" s="77">
        <v>0</v>
      </c>
      <c r="R165" s="77">
        <v>0</v>
      </c>
      <c r="S165" s="77">
        <v>0</v>
      </c>
      <c r="T165" s="77">
        <f t="shared" si="107"/>
        <v>0</v>
      </c>
      <c r="U165" s="77">
        <f t="shared" si="108"/>
        <v>0</v>
      </c>
    </row>
    <row r="166" spans="1:21" ht="18.75" hidden="1" x14ac:dyDescent="0.25">
      <c r="A166" s="257"/>
      <c r="B166" s="258"/>
      <c r="C166" s="258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3">
        <f ca="1">IFERROR(__xludf.DUMMYFUNCTION("IMPORTRANGE(""https://docs.google.com/spreadsheets/d/1-uDff_7J0KD5mKrp0Vvzr7lt3OU09vwQwhkpOPPYv2Y/edit?usp=sharing"",""งบพรบ!CD69"")"),0)</f>
        <v>0</v>
      </c>
      <c r="M166" s="74">
        <f ca="1">IFERROR(__xludf.DUMMYFUNCTION("IMPORTRANGE(""https://docs.google.com/spreadsheets/d/1-uDff_7J0KD5mKrp0Vvzr7lt3OU09vwQwhkpOPPYv2Y/edit?usp=sharing"",""งบพรบ!CG69"")"),0)</f>
        <v>0</v>
      </c>
      <c r="N166" s="74">
        <f ca="1">IFERROR(__xludf.DUMMYFUNCTION("IMPORTRANGE(""https://docs.google.com/spreadsheets/d/1-uDff_7J0KD5mKrp0Vvzr7lt3OU09vwQwhkpOPPYv2Y/edit?usp=sharing"",""งบพรบ!CI69"")"),0)</f>
        <v>0</v>
      </c>
      <c r="O166" s="74">
        <f t="shared" ca="1" si="104"/>
        <v>0</v>
      </c>
      <c r="P166" s="74">
        <f t="shared" ca="1" si="105"/>
        <v>0</v>
      </c>
      <c r="Q166" s="74">
        <v>0</v>
      </c>
      <c r="R166" s="74">
        <v>0</v>
      </c>
      <c r="S166" s="74">
        <v>0</v>
      </c>
      <c r="T166" s="74">
        <f t="shared" si="107"/>
        <v>0</v>
      </c>
      <c r="U166" s="74">
        <f t="shared" si="108"/>
        <v>0</v>
      </c>
    </row>
    <row r="167" spans="1:21" ht="19.5" hidden="1" x14ac:dyDescent="0.3">
      <c r="A167" s="276"/>
      <c r="B167" s="277"/>
      <c r="C167" s="259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hidden="1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IFERROR(__xludf.DUMMYFUNCTION("IMPORTRANGE(""https://docs.google.com/spreadsheets/d/1eHaY18a8A9IcSdp1K8H6x8fbOy06t2VsZHhMHf-1x7Y/edit?usp=sharing"",""แผน!Z69"")"),0)</f>
        <v>0</v>
      </c>
      <c r="J168" s="294">
        <v>0</v>
      </c>
      <c r="K168" s="74">
        <f t="shared" ref="K168:K170" ca="1" si="115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IFERROR(__xludf.DUMMYFUNCTION("IMPORTRANGE(""https://docs.google.com/spreadsheets/d/1eHaY18a8A9IcSdp1K8H6x8fbOy06t2VsZHhMHf-1x7Y/edit?usp=sharing"",""แผน!Z69"")"),0)</f>
        <v>0</v>
      </c>
      <c r="J169" s="910">
        <v>0</v>
      </c>
      <c r="K169" s="77">
        <f t="shared" ca="1" si="115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IFERROR(__xludf.DUMMYFUNCTION("IMPORTRANGE(""https://docs.google.com/spreadsheets/d/1eHaY18a8A9IcSdp1K8H6x8fbOy06t2VsZHhMHf-1x7Y/edit?usp=sharing"",""แผน!Z69"")"),0)</f>
        <v>0</v>
      </c>
      <c r="J170" s="999">
        <v>0</v>
      </c>
      <c r="K170" s="1000">
        <f t="shared" ca="1" si="115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6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302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303" t="s">
        <v>35</v>
      </c>
      <c r="I173" s="1126">
        <f t="shared" ref="I173:J173" ca="1" si="116">I184+I185</f>
        <v>7</v>
      </c>
      <c r="J173" s="1126">
        <f t="shared" si="116"/>
        <v>7</v>
      </c>
      <c r="K173" s="1127">
        <f ca="1">IF(I173&gt;0,J173*100/I173,0)</f>
        <v>100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1257">
        <f t="shared" ref="L174:N174" ca="1" si="117">L175+L176</f>
        <v>19590</v>
      </c>
      <c r="M174" s="264">
        <f t="shared" ca="1" si="117"/>
        <v>30480</v>
      </c>
      <c r="N174" s="264">
        <f t="shared" ca="1" si="117"/>
        <v>17070</v>
      </c>
      <c r="O174" s="264">
        <f t="shared" ref="O174:O182" ca="1" si="118">IF(L174&gt;0,N174*100/L174,0)</f>
        <v>87.136294027565086</v>
      </c>
      <c r="P174" s="264">
        <f t="shared" ref="P174:P182" ca="1" si="119">IF(M174&gt;0,N174*100/M174,0)</f>
        <v>56.003937007874015</v>
      </c>
      <c r="Q174" s="264">
        <f t="shared" ref="Q174:S174" ca="1" si="120">Q175+Q176</f>
        <v>0</v>
      </c>
      <c r="R174" s="264">
        <f t="shared" ca="1" si="120"/>
        <v>0</v>
      </c>
      <c r="S174" s="264">
        <f t="shared" ca="1" si="120"/>
        <v>0</v>
      </c>
      <c r="T174" s="264">
        <f t="shared" ref="T174:T182" ca="1" si="121">IF(Q174&gt;0,S174*100/Q174,0)</f>
        <v>0</v>
      </c>
      <c r="U174" s="264">
        <f t="shared" ref="U174:U182" ca="1" si="122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6">
        <f t="shared" ref="L175:N176" si="123">L178+L181</f>
        <v>0</v>
      </c>
      <c r="M175" s="77">
        <f t="shared" si="123"/>
        <v>0</v>
      </c>
      <c r="N175" s="77">
        <f t="shared" si="123"/>
        <v>0</v>
      </c>
      <c r="O175" s="77">
        <f t="shared" si="118"/>
        <v>0</v>
      </c>
      <c r="P175" s="77">
        <f t="shared" si="119"/>
        <v>0</v>
      </c>
      <c r="Q175" s="77">
        <f t="shared" ref="Q175:S176" si="124">Q178+Q181</f>
        <v>0</v>
      </c>
      <c r="R175" s="77">
        <f t="shared" si="124"/>
        <v>0</v>
      </c>
      <c r="S175" s="77">
        <f t="shared" si="124"/>
        <v>0</v>
      </c>
      <c r="T175" s="77">
        <f t="shared" si="121"/>
        <v>0</v>
      </c>
      <c r="U175" s="77">
        <f t="shared" si="122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3">
        <f t="shared" ca="1" si="123"/>
        <v>19590</v>
      </c>
      <c r="M176" s="74">
        <f t="shared" ca="1" si="123"/>
        <v>30480</v>
      </c>
      <c r="N176" s="74">
        <f t="shared" ca="1" si="123"/>
        <v>17070</v>
      </c>
      <c r="O176" s="74">
        <f t="shared" ca="1" si="118"/>
        <v>87.136294027565086</v>
      </c>
      <c r="P176" s="74">
        <f t="shared" ca="1" si="119"/>
        <v>56.003937007874015</v>
      </c>
      <c r="Q176" s="74">
        <f t="shared" ca="1" si="124"/>
        <v>0</v>
      </c>
      <c r="R176" s="74">
        <f t="shared" ca="1" si="124"/>
        <v>0</v>
      </c>
      <c r="S176" s="74">
        <f t="shared" ca="1" si="124"/>
        <v>0</v>
      </c>
      <c r="T176" s="74">
        <f t="shared" ca="1" si="121"/>
        <v>0</v>
      </c>
      <c r="U176" s="74">
        <f t="shared" ca="1" si="122"/>
        <v>0</v>
      </c>
    </row>
    <row r="177" spans="1:21" ht="18.75" x14ac:dyDescent="0.25">
      <c r="A177" s="257"/>
      <c r="B177" s="258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3">
        <f t="shared" ref="L177:N177" ca="1" si="125">L178+L179</f>
        <v>19590</v>
      </c>
      <c r="M177" s="74">
        <f t="shared" ca="1" si="125"/>
        <v>30480</v>
      </c>
      <c r="N177" s="74">
        <f t="shared" ca="1" si="125"/>
        <v>17070</v>
      </c>
      <c r="O177" s="74">
        <f t="shared" ca="1" si="118"/>
        <v>87.136294027565086</v>
      </c>
      <c r="P177" s="74">
        <f t="shared" ca="1" si="119"/>
        <v>56.003937007874015</v>
      </c>
      <c r="Q177" s="74">
        <f t="shared" ref="Q177:S177" ca="1" si="126">Q178+Q179</f>
        <v>0</v>
      </c>
      <c r="R177" s="74">
        <f t="shared" ca="1" si="126"/>
        <v>0</v>
      </c>
      <c r="S177" s="74">
        <f t="shared" ca="1" si="126"/>
        <v>0</v>
      </c>
      <c r="T177" s="74">
        <f t="shared" ca="1" si="121"/>
        <v>0</v>
      </c>
      <c r="U177" s="74">
        <f t="shared" ca="1" si="122"/>
        <v>0</v>
      </c>
    </row>
    <row r="178" spans="1:21" ht="18.75" hidden="1" x14ac:dyDescent="0.25">
      <c r="A178" s="257"/>
      <c r="B178" s="258"/>
      <c r="C178" s="258"/>
      <c r="D178" s="258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77">
        <f t="shared" si="118"/>
        <v>0</v>
      </c>
      <c r="P178" s="77">
        <f t="shared" si="119"/>
        <v>0</v>
      </c>
      <c r="Q178" s="77">
        <v>0</v>
      </c>
      <c r="R178" s="77">
        <v>0</v>
      </c>
      <c r="S178" s="77">
        <v>0</v>
      </c>
      <c r="T178" s="77">
        <f t="shared" si="121"/>
        <v>0</v>
      </c>
      <c r="U178" s="77">
        <f t="shared" si="122"/>
        <v>0</v>
      </c>
    </row>
    <row r="179" spans="1:21" ht="18.75" hidden="1" x14ac:dyDescent="0.25">
      <c r="A179" s="257"/>
      <c r="B179" s="258"/>
      <c r="C179" s="258"/>
      <c r="D179" s="258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3">
        <f ca="1">IFERROR(__xludf.DUMMYFUNCTION("IMPORTRANGE(""https://docs.google.com/spreadsheets/d/1-uDff_7J0KD5mKrp0Vvzr7lt3OU09vwQwhkpOPPYv2Y/edit?usp=sharing"",""งบพรบ!CK69"")"),19590)</f>
        <v>19590</v>
      </c>
      <c r="M179" s="74">
        <f ca="1">IFERROR(__xludf.DUMMYFUNCTION("IMPORTRANGE(""https://docs.google.com/spreadsheets/d/1-uDff_7J0KD5mKrp0Vvzr7lt3OU09vwQwhkpOPPYv2Y/edit?usp=sharing"",""งบพรบ!CP69"")"),30480)</f>
        <v>30480</v>
      </c>
      <c r="N179" s="74">
        <f ca="1">IFERROR(__xludf.DUMMYFUNCTION("IMPORTRANGE(""https://docs.google.com/spreadsheets/d/1-uDff_7J0KD5mKrp0Vvzr7lt3OU09vwQwhkpOPPYv2Y/edit?usp=sharing"",""งบพรบ!CR69"")"),17070)</f>
        <v>17070</v>
      </c>
      <c r="O179" s="74">
        <f t="shared" ca="1" si="118"/>
        <v>87.136294027565086</v>
      </c>
      <c r="P179" s="74">
        <f t="shared" ca="1" si="119"/>
        <v>56.003937007874015</v>
      </c>
      <c r="Q179" s="74">
        <f ca="1">IFERROR(__xludf.DUMMYFUNCTION("IMPORTRANGE(""https://docs.google.com/spreadsheets/d/1ItG2mGa2ceCfYo0BwxsXqNm01IGEUdYcSSLTEv9YCik/edit?usp=sharing"",""เบิกจ่ายกองทุน!BE69"")"),0)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IFERROR(__xludf.DUMMYFUNCTION("IMPORTRANGE(""https://docs.google.com/spreadsheets/d/1ItG2mGa2ceCfYo0BwxsXqNm01IGEUdYcSSLTEv9YCik/edit?usp=sharing"",""เบิกจ่ายกองทุน!BF69"")"),0)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IFERROR(__xludf.DUMMYFUNCTION("IMPORTRANGE(""https://docs.google.com/spreadsheets/d/1ItG2mGa2ceCfYo0BwxsXqNm01IGEUdYcSSLTEv9YCik/edit?usp=sharing"",""เบิกจ่ายกองทุน!BG69"")"),0)</f>
        <v>0</v>
      </c>
      <c r="T179" s="74">
        <f t="shared" ca="1" si="121"/>
        <v>0</v>
      </c>
      <c r="U179" s="74">
        <f t="shared" ca="1" si="122"/>
        <v>0</v>
      </c>
    </row>
    <row r="180" spans="1:21" ht="18.75" x14ac:dyDescent="0.25">
      <c r="A180" s="257"/>
      <c r="B180" s="258"/>
      <c r="C180" s="258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3">
        <f t="shared" ref="L180:N180" ca="1" si="127">L181+L182</f>
        <v>0</v>
      </c>
      <c r="M180" s="74">
        <f t="shared" ca="1" si="127"/>
        <v>0</v>
      </c>
      <c r="N180" s="74">
        <f t="shared" ca="1" si="127"/>
        <v>0</v>
      </c>
      <c r="O180" s="74">
        <f t="shared" ca="1" si="118"/>
        <v>0</v>
      </c>
      <c r="P180" s="74">
        <f t="shared" ca="1" si="119"/>
        <v>0</v>
      </c>
      <c r="Q180" s="74">
        <f t="shared" ref="Q180:S180" si="128">Q181+Q182</f>
        <v>0</v>
      </c>
      <c r="R180" s="74">
        <f t="shared" si="128"/>
        <v>0</v>
      </c>
      <c r="S180" s="74">
        <f t="shared" si="128"/>
        <v>0</v>
      </c>
      <c r="T180" s="74">
        <f t="shared" si="121"/>
        <v>0</v>
      </c>
      <c r="U180" s="74">
        <f t="shared" si="122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77">
        <f t="shared" si="118"/>
        <v>0</v>
      </c>
      <c r="P181" s="77">
        <f t="shared" si="119"/>
        <v>0</v>
      </c>
      <c r="Q181" s="77">
        <v>0</v>
      </c>
      <c r="R181" s="77">
        <v>0</v>
      </c>
      <c r="S181" s="77">
        <v>0</v>
      </c>
      <c r="T181" s="77">
        <f t="shared" si="121"/>
        <v>0</v>
      </c>
      <c r="U181" s="77">
        <f t="shared" si="122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3">
        <f ca="1">IFERROR(__xludf.DUMMYFUNCTION("IMPORTRANGE(""https://docs.google.com/spreadsheets/d/1-uDff_7J0KD5mKrp0Vvzr7lt3OU09vwQwhkpOPPYv2Y/edit?usp=sharing"",""งบพรบ!CN69"")"),0)</f>
        <v>0</v>
      </c>
      <c r="M182" s="74">
        <f ca="1">IFERROR(__xludf.DUMMYFUNCTION("IMPORTRANGE(""https://docs.google.com/spreadsheets/d/1-uDff_7J0KD5mKrp0Vvzr7lt3OU09vwQwhkpOPPYv2Y/edit?usp=sharing"",""งบพรบ!CQ69"")"),0)</f>
        <v>0</v>
      </c>
      <c r="N182" s="74">
        <f ca="1">IFERROR(__xludf.DUMMYFUNCTION("IMPORTRANGE(""https://docs.google.com/spreadsheets/d/1-uDff_7J0KD5mKrp0Vvzr7lt3OU09vwQwhkpOPPYv2Y/edit?usp=sharing"",""งบพรบ!CS69"")"),0)</f>
        <v>0</v>
      </c>
      <c r="O182" s="74">
        <f t="shared" ca="1" si="118"/>
        <v>0</v>
      </c>
      <c r="P182" s="74">
        <f t="shared" ca="1" si="119"/>
        <v>0</v>
      </c>
      <c r="Q182" s="74">
        <v>0</v>
      </c>
      <c r="R182" s="74">
        <v>0</v>
      </c>
      <c r="S182" s="74">
        <v>0</v>
      </c>
      <c r="T182" s="74">
        <f t="shared" si="121"/>
        <v>0</v>
      </c>
      <c r="U182" s="74">
        <f t="shared" si="122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551" t="s">
        <v>35</v>
      </c>
      <c r="I184" s="293">
        <f ca="1">IFERROR(__xludf.DUMMYFUNCTION("IMPORTRANGE(""https://docs.google.com/spreadsheets/d/1eHaY18a8A9IcSdp1K8H6x8fbOy06t2VsZHhMHf-1x7Y/edit?usp=sharing"",""แผน!AA69"")"),7)</f>
        <v>7</v>
      </c>
      <c r="J184" s="294">
        <v>7</v>
      </c>
      <c r="K184" s="74">
        <f t="shared" ref="K184:K186" ca="1" si="129">IF(I184&gt;0,J184*100/I184,0)</f>
        <v>100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921" t="s">
        <v>35</v>
      </c>
      <c r="I185" s="592">
        <v>0</v>
      </c>
      <c r="J185" s="592">
        <v>0</v>
      </c>
      <c r="K185" s="77">
        <f t="shared" si="129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303" t="s">
        <v>35</v>
      </c>
      <c r="I186" s="1126">
        <f t="shared" ref="I186:J186" ca="1" si="130">I231+I232</f>
        <v>60</v>
      </c>
      <c r="J186" s="1126">
        <f t="shared" si="130"/>
        <v>0</v>
      </c>
      <c r="K186" s="1127">
        <f t="shared" ca="1" si="129"/>
        <v>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1257">
        <f t="shared" ref="L187:N187" ca="1" si="131">L188+L189</f>
        <v>269300</v>
      </c>
      <c r="M187" s="264">
        <f t="shared" ca="1" si="131"/>
        <v>205500</v>
      </c>
      <c r="N187" s="264">
        <f t="shared" ca="1" si="131"/>
        <v>3960</v>
      </c>
      <c r="O187" s="264">
        <f t="shared" ref="O187:O195" ca="1" si="132">IF(L187&gt;0,N187*100/L187,0)</f>
        <v>1.4704790196806536</v>
      </c>
      <c r="P187" s="264">
        <f t="shared" ref="P187:P195" ca="1" si="133">IF(M187&gt;0,N187*100/M187,0)</f>
        <v>1.9270072992700731</v>
      </c>
      <c r="Q187" s="264">
        <f t="shared" ref="Q187:S187" ca="1" si="134">Q188+Q189</f>
        <v>340200</v>
      </c>
      <c r="R187" s="264">
        <f t="shared" ca="1" si="134"/>
        <v>340200</v>
      </c>
      <c r="S187" s="264">
        <f t="shared" ca="1" si="134"/>
        <v>0</v>
      </c>
      <c r="T187" s="264">
        <f t="shared" ref="T187:T195" ca="1" si="135">IF(Q187&gt;0,S187*100/Q187,0)</f>
        <v>0</v>
      </c>
      <c r="U187" s="264">
        <f t="shared" ref="U187:U195" ca="1" si="136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6">
        <f t="shared" ref="L188:N189" si="137">L191+L194</f>
        <v>0</v>
      </c>
      <c r="M188" s="77">
        <f t="shared" si="137"/>
        <v>0</v>
      </c>
      <c r="N188" s="77">
        <f t="shared" si="137"/>
        <v>0</v>
      </c>
      <c r="O188" s="77">
        <f t="shared" si="132"/>
        <v>0</v>
      </c>
      <c r="P188" s="77">
        <f t="shared" si="133"/>
        <v>0</v>
      </c>
      <c r="Q188" s="77">
        <f t="shared" ref="Q188:S189" si="138">Q191+Q194</f>
        <v>0</v>
      </c>
      <c r="R188" s="77">
        <f t="shared" si="138"/>
        <v>0</v>
      </c>
      <c r="S188" s="77">
        <f t="shared" si="138"/>
        <v>0</v>
      </c>
      <c r="T188" s="77">
        <f t="shared" si="135"/>
        <v>0</v>
      </c>
      <c r="U188" s="77">
        <f t="shared" si="136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3">
        <f t="shared" ca="1" si="137"/>
        <v>269300</v>
      </c>
      <c r="M189" s="74">
        <f t="shared" ca="1" si="137"/>
        <v>205500</v>
      </c>
      <c r="N189" s="74">
        <f t="shared" ca="1" si="137"/>
        <v>3960</v>
      </c>
      <c r="O189" s="74">
        <f t="shared" ca="1" si="132"/>
        <v>1.4704790196806536</v>
      </c>
      <c r="P189" s="74">
        <f t="shared" ca="1" si="133"/>
        <v>1.9270072992700731</v>
      </c>
      <c r="Q189" s="74">
        <f t="shared" ca="1" si="138"/>
        <v>340200</v>
      </c>
      <c r="R189" s="74">
        <f t="shared" ca="1" si="138"/>
        <v>340200</v>
      </c>
      <c r="S189" s="74">
        <f t="shared" ca="1" si="138"/>
        <v>0</v>
      </c>
      <c r="T189" s="74">
        <f t="shared" ca="1" si="135"/>
        <v>0</v>
      </c>
      <c r="U189" s="74">
        <f t="shared" ca="1" si="136"/>
        <v>0</v>
      </c>
    </row>
    <row r="190" spans="1:21" ht="18.75" x14ac:dyDescent="0.25">
      <c r="A190" s="257"/>
      <c r="B190" s="258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3">
        <f t="shared" ref="L190:N190" ca="1" si="139">L191+L192</f>
        <v>269300</v>
      </c>
      <c r="M190" s="74">
        <f t="shared" ca="1" si="139"/>
        <v>205500</v>
      </c>
      <c r="N190" s="74">
        <f t="shared" ca="1" si="139"/>
        <v>3960</v>
      </c>
      <c r="O190" s="74">
        <f t="shared" ca="1" si="132"/>
        <v>1.4704790196806536</v>
      </c>
      <c r="P190" s="74">
        <f t="shared" ca="1" si="133"/>
        <v>1.9270072992700731</v>
      </c>
      <c r="Q190" s="74">
        <f t="shared" ref="Q190:S190" ca="1" si="140">Q191+Q192</f>
        <v>340200</v>
      </c>
      <c r="R190" s="74">
        <f t="shared" ca="1" si="140"/>
        <v>340200</v>
      </c>
      <c r="S190" s="74">
        <f t="shared" ca="1" si="140"/>
        <v>0</v>
      </c>
      <c r="T190" s="74">
        <f t="shared" ca="1" si="135"/>
        <v>0</v>
      </c>
      <c r="U190" s="74">
        <f t="shared" ca="1" si="136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77">
        <f t="shared" si="132"/>
        <v>0</v>
      </c>
      <c r="P191" s="77">
        <f t="shared" si="133"/>
        <v>0</v>
      </c>
      <c r="Q191" s="77">
        <v>0</v>
      </c>
      <c r="R191" s="77">
        <v>0</v>
      </c>
      <c r="S191" s="77">
        <v>0</v>
      </c>
      <c r="T191" s="77">
        <f t="shared" si="135"/>
        <v>0</v>
      </c>
      <c r="U191" s="77">
        <f t="shared" si="136"/>
        <v>0</v>
      </c>
    </row>
    <row r="192" spans="1:21" ht="18.75" hidden="1" x14ac:dyDescent="0.25">
      <c r="A192" s="257"/>
      <c r="B192" s="258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3">
        <f ca="1">IFERROR(__xludf.DUMMYFUNCTION("IMPORTRANGE(""https://docs.google.com/spreadsheets/d/1-uDff_7J0KD5mKrp0Vvzr7lt3OU09vwQwhkpOPPYv2Y/edit?usp=sharing"",""งบพรบ!CU69"")"),269300)</f>
        <v>269300</v>
      </c>
      <c r="M192" s="74">
        <f ca="1">IFERROR(__xludf.DUMMYFUNCTION("IMPORTRANGE(""https://docs.google.com/spreadsheets/d/1-uDff_7J0KD5mKrp0Vvzr7lt3OU09vwQwhkpOPPYv2Y/edit?usp=sharing"",""งบพรบ!CZ69"")"),205500)</f>
        <v>205500</v>
      </c>
      <c r="N192" s="74">
        <f ca="1">IFERROR(__xludf.DUMMYFUNCTION("IMPORTRANGE(""https://docs.google.com/spreadsheets/d/1-uDff_7J0KD5mKrp0Vvzr7lt3OU09vwQwhkpOPPYv2Y/edit?usp=sharing"",""งบพรบ!DB69"")"),3960)</f>
        <v>3960</v>
      </c>
      <c r="O192" s="74">
        <f t="shared" ca="1" si="132"/>
        <v>1.4704790196806536</v>
      </c>
      <c r="P192" s="74">
        <f t="shared" ca="1" si="133"/>
        <v>1.9270072992700731</v>
      </c>
      <c r="Q192" s="74">
        <f ca="1">IFERROR(__xludf.DUMMYFUNCTION("IMPORTRANGE(""https://docs.google.com/spreadsheets/d/1ItG2mGa2ceCfYo0BwxsXqNm01IGEUdYcSSLTEv9YCik/edit?usp=sharing"",""เบิกจ่ายกองทุน!AV69"")"),340200)</f>
        <v>340200</v>
      </c>
      <c r="R192" s="74">
        <f ca="1">IFERROR(__xludf.DUMMYFUNCTION("IMPORTRANGE(""https://docs.google.com/spreadsheets/d/1ItG2mGa2ceCfYo0BwxsXqNm01IGEUdYcSSLTEv9YCik/edit?usp=sharing"",""เบิกจ่ายกองทุน!AW69"")"),340200)</f>
        <v>340200</v>
      </c>
      <c r="S192" s="74">
        <f ca="1">IFERROR(__xludf.DUMMYFUNCTION("IMPORTRANGE(""https://docs.google.com/spreadsheets/d/1ItG2mGa2ceCfYo0BwxsXqNm01IGEUdYcSSLTEv9YCik/edit?usp=sharing"",""เบิกจ่ายกองทุน!AX69"")"),0)</f>
        <v>0</v>
      </c>
      <c r="T192" s="74">
        <f t="shared" ca="1" si="135"/>
        <v>0</v>
      </c>
      <c r="U192" s="74">
        <f t="shared" ca="1" si="136"/>
        <v>0</v>
      </c>
    </row>
    <row r="193" spans="1:21" ht="18.75" x14ac:dyDescent="0.25">
      <c r="A193" s="257"/>
      <c r="B193" s="258"/>
      <c r="C193" s="258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3">
        <f t="shared" ref="L193:N193" ca="1" si="141">L194+L195</f>
        <v>0</v>
      </c>
      <c r="M193" s="74">
        <f t="shared" ca="1" si="141"/>
        <v>0</v>
      </c>
      <c r="N193" s="74">
        <f t="shared" ca="1" si="141"/>
        <v>0</v>
      </c>
      <c r="O193" s="74">
        <f t="shared" ca="1" si="132"/>
        <v>0</v>
      </c>
      <c r="P193" s="74">
        <f t="shared" ca="1" si="133"/>
        <v>0</v>
      </c>
      <c r="Q193" s="74">
        <f t="shared" ref="Q193:S193" si="142">Q194+Q195</f>
        <v>0</v>
      </c>
      <c r="R193" s="74">
        <f t="shared" si="142"/>
        <v>0</v>
      </c>
      <c r="S193" s="74">
        <f t="shared" si="142"/>
        <v>0</v>
      </c>
      <c r="T193" s="74">
        <f t="shared" si="135"/>
        <v>0</v>
      </c>
      <c r="U193" s="74">
        <f t="shared" si="136"/>
        <v>0</v>
      </c>
    </row>
    <row r="194" spans="1:21" ht="18.75" hidden="1" x14ac:dyDescent="0.25">
      <c r="A194" s="257"/>
      <c r="B194" s="258"/>
      <c r="C194" s="258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77">
        <f t="shared" si="132"/>
        <v>0</v>
      </c>
      <c r="P194" s="77">
        <f t="shared" si="133"/>
        <v>0</v>
      </c>
      <c r="Q194" s="77">
        <v>0</v>
      </c>
      <c r="R194" s="77">
        <v>0</v>
      </c>
      <c r="S194" s="77">
        <v>0</v>
      </c>
      <c r="T194" s="77">
        <f t="shared" si="135"/>
        <v>0</v>
      </c>
      <c r="U194" s="77">
        <f t="shared" si="136"/>
        <v>0</v>
      </c>
    </row>
    <row r="195" spans="1:21" ht="18.75" hidden="1" x14ac:dyDescent="0.25">
      <c r="A195" s="257"/>
      <c r="B195" s="258"/>
      <c r="C195" s="258"/>
      <c r="D195" s="258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3">
        <f ca="1">IFERROR(__xludf.DUMMYFUNCTION("IMPORTRANGE(""https://docs.google.com/spreadsheets/d/1-uDff_7J0KD5mKrp0Vvzr7lt3OU09vwQwhkpOPPYv2Y/edit?usp=sharing"",""งบพรบ!CX69"")"),0)</f>
        <v>0</v>
      </c>
      <c r="M195" s="74">
        <f ca="1">IFERROR(__xludf.DUMMYFUNCTION("IMPORTRANGE(""https://docs.google.com/spreadsheets/d/1-uDff_7J0KD5mKrp0Vvzr7lt3OU09vwQwhkpOPPYv2Y/edit?usp=sharing"",""งบพรบ!DA69"")"),0)</f>
        <v>0</v>
      </c>
      <c r="N195" s="74">
        <f ca="1">IFERROR(__xludf.DUMMYFUNCTION("IMPORTRANGE(""https://docs.google.com/spreadsheets/d/1-uDff_7J0KD5mKrp0Vvzr7lt3OU09vwQwhkpOPPYv2Y/edit?usp=sharing"",""งบพรบ!DC69"")"),0)</f>
        <v>0</v>
      </c>
      <c r="O195" s="74">
        <f t="shared" ca="1" si="132"/>
        <v>0</v>
      </c>
      <c r="P195" s="74">
        <f t="shared" ca="1" si="133"/>
        <v>0</v>
      </c>
      <c r="Q195" s="74">
        <v>0</v>
      </c>
      <c r="R195" s="74">
        <v>0</v>
      </c>
      <c r="S195" s="74">
        <v>0</v>
      </c>
      <c r="T195" s="74">
        <f t="shared" si="135"/>
        <v>0</v>
      </c>
      <c r="U195" s="74">
        <f t="shared" si="136"/>
        <v>0</v>
      </c>
    </row>
    <row r="196" spans="1:21" ht="19.5" x14ac:dyDescent="0.3">
      <c r="A196" s="553"/>
      <c r="B196" s="555"/>
      <c r="C196" s="1130" t="s">
        <v>78</v>
      </c>
      <c r="D196" s="554"/>
      <c r="E196" s="554"/>
      <c r="F196" s="554"/>
      <c r="G196" s="557"/>
      <c r="H196" s="558" t="s">
        <v>79</v>
      </c>
      <c r="I196" s="559">
        <f t="shared" ref="I196:J196" ca="1" si="143">I199</f>
        <v>4</v>
      </c>
      <c r="J196" s="559">
        <f t="shared" si="143"/>
        <v>1</v>
      </c>
      <c r="K196" s="560">
        <f ca="1">IF(I196&gt;0,J196*100/I196,0)</f>
        <v>25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58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1257">
        <f ca="1">IFERROR(__xludf.DUMMYFUNCTION("IMPORTRANGE(""https://docs.google.com/spreadsheets/d/1eHaY18a8A9IcSdp1K8H6x8fbOy06t2VsZHhMHf-1x7Y/edit?usp=sharing"",""แผน!AB69"")"),6000)</f>
        <v>6000</v>
      </c>
      <c r="M197" s="87"/>
      <c r="N197" s="923">
        <v>0</v>
      </c>
      <c r="O197" s="264">
        <f ca="1">IF(L197&gt;0,N197*100/L197,0)</f>
        <v>0</v>
      </c>
      <c r="P197" s="264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282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99" t="s">
        <v>79</v>
      </c>
      <c r="I199" s="293">
        <f ca="1">IFERROR(__xludf.DUMMYFUNCTION("IMPORTRANGE(""https://docs.google.com/spreadsheets/d/1eHaY18a8A9IcSdp1K8H6x8fbOy06t2VsZHhMHf-1x7Y/edit?usp=sharing"",""แผน!AE69"")"),4)</f>
        <v>4</v>
      </c>
      <c r="J199" s="294">
        <v>1</v>
      </c>
      <c r="K199" s="74">
        <f ca="1">IF(I199&gt;0,J199*100/I199,0)</f>
        <v>25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0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0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4">I210</f>
        <v>3</v>
      </c>
      <c r="J203" s="559">
        <f t="shared" si="144"/>
        <v>0</v>
      </c>
      <c r="K203" s="560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58"/>
      <c r="C204" s="259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1257">
        <f ca="1">L205+L206+L207+L208</f>
        <v>39000</v>
      </c>
      <c r="M204" s="87"/>
      <c r="N204" s="264">
        <f>N205+N206+N207+N208</f>
        <v>0</v>
      </c>
      <c r="O204" s="264">
        <f ca="1">IF(L204&gt;0,N204*100/L204,0)</f>
        <v>0</v>
      </c>
      <c r="P204" s="264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58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73">
        <f ca="1">IFERROR(__xludf.DUMMYFUNCTION("IMPORTRANGE(""https://docs.google.com/spreadsheets/d/1eHaY18a8A9IcSdp1K8H6x8fbOy06t2VsZHhMHf-1x7Y/edit?usp=sharing"",""แผน!AG69"")"),3000)</f>
        <v>3000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58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73">
        <f ca="1">IFERROR(__xludf.DUMMYFUNCTION("IMPORTRANGE(""https://docs.google.com/spreadsheets/d/1eHaY18a8A9IcSdp1K8H6x8fbOy06t2VsZHhMHf-1x7Y/edit?usp=sharing"",""แผน!AH69"")"),0)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58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73">
        <f ca="1">IFERROR(__xludf.DUMMYFUNCTION("IMPORTRANGE(""https://docs.google.com/spreadsheets/d/1eHaY18a8A9IcSdp1K8H6x8fbOy06t2VsZHhMHf-1x7Y/edit?usp=sharing"",""แผน!AI69"")"),24000)</f>
        <v>24000</v>
      </c>
      <c r="M207" s="87"/>
      <c r="N207" s="924">
        <v>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904"/>
      <c r="B208" s="442"/>
      <c r="C208" s="444"/>
      <c r="D208" s="267" t="s">
        <v>89</v>
      </c>
      <c r="E208" s="444"/>
      <c r="F208" s="444"/>
      <c r="G208" s="445"/>
      <c r="H208" s="845" t="s">
        <v>14</v>
      </c>
      <c r="I208" s="846"/>
      <c r="J208" s="846"/>
      <c r="K208" s="450"/>
      <c r="L208" s="73">
        <f ca="1">IFERROR(__xludf.DUMMYFUNCTION("IMPORTRANGE(""https://docs.google.com/spreadsheets/d/1eHaY18a8A9IcSdp1K8H6x8fbOy06t2VsZHhMHf-1x7Y/edit?usp=sharing"",""แผน!AJ69"")"),12000)</f>
        <v>12000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282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3" t="s">
        <v>85</v>
      </c>
      <c r="I210" s="293">
        <f ca="1">IFERROR(__xludf.DUMMYFUNCTION("IMPORTRANGE(""https://docs.google.com/spreadsheets/d/1eHaY18a8A9IcSdp1K8H6x8fbOy06t2VsZHhMHf-1x7Y/edit?usp=sharing"",""แผน!AK69"")"),3)</f>
        <v>3</v>
      </c>
      <c r="J210" s="294">
        <v>0</v>
      </c>
      <c r="K210" s="768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282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3" t="s">
        <v>85</v>
      </c>
      <c r="I212" s="293">
        <f ca="1">IFERROR(__xludf.DUMMYFUNCTION("IMPORTRANGE(""https://docs.google.com/spreadsheets/d/1eHaY18a8A9IcSdp1K8H6x8fbOy06t2VsZHhMHf-1x7Y/edit?usp=sharing"",""แผน!JX69"")"),3)</f>
        <v>3</v>
      </c>
      <c r="J212" s="294">
        <v>0</v>
      </c>
      <c r="K212" s="768">
        <f t="shared" ref="K212:K214" ca="1" si="145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IFERROR(__xludf.DUMMYFUNCTION("IMPORTRANGE(""https://docs.google.com/spreadsheets/d/1eHaY18a8A9IcSdp1K8H6x8fbOy06t2VsZHhMHf-1x7Y/edit?usp=sharing"",""แผน!JY69"")"),0)</f>
        <v>0</v>
      </c>
      <c r="J213" s="294">
        <v>0</v>
      </c>
      <c r="K213" s="768">
        <f t="shared" ca="1" si="145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x14ac:dyDescent="0.3">
      <c r="A214" s="553"/>
      <c r="B214" s="555"/>
      <c r="C214" s="1130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6">I221</f>
        <v>6</v>
      </c>
      <c r="J214" s="559">
        <f t="shared" si="146"/>
        <v>0</v>
      </c>
      <c r="K214" s="560">
        <f t="shared" ca="1" si="145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x14ac:dyDescent="0.3">
      <c r="A215" s="257"/>
      <c r="B215" s="258"/>
      <c r="C215" s="259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1257">
        <f ca="1">L216+L217+L218</f>
        <v>84000</v>
      </c>
      <c r="M215" s="87"/>
      <c r="N215" s="264">
        <f>N216+N217+N218</f>
        <v>0</v>
      </c>
      <c r="O215" s="264">
        <f ca="1">IF(L215&gt;0,N215*100/L215,0)</f>
        <v>0</v>
      </c>
      <c r="P215" s="264">
        <f>IF(M215&gt;0,N215*100/M215,0)</f>
        <v>0</v>
      </c>
      <c r="Q215" s="87"/>
      <c r="R215" s="87"/>
      <c r="S215" s="87"/>
      <c r="T215" s="87"/>
      <c r="U215" s="87"/>
    </row>
    <row r="216" spans="1:21" ht="18.75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3">
        <f ca="1">IFERROR(__xludf.DUMMYFUNCTION("IMPORTRANGE(""https://docs.google.com/spreadsheets/d/1eHaY18a8A9IcSdp1K8H6x8fbOy06t2VsZHhMHf-1x7Y/edit?usp=sharing"",""แผน!AM69"")"),6000)</f>
        <v>6000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3">
        <f ca="1">IFERROR(__xludf.DUMMYFUNCTION("IMPORTRANGE(""https://docs.google.com/spreadsheets/d/1eHaY18a8A9IcSdp1K8H6x8fbOy06t2VsZHhMHf-1x7Y/edit?usp=sharing"",""แผน!AN69"")"),30000)</f>
        <v>30000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3">
        <f ca="1">IFERROR(__xludf.DUMMYFUNCTION("IMPORTRANGE(""https://docs.google.com/spreadsheets/d/1eHaY18a8A9IcSdp1K8H6x8fbOy06t2VsZHhMHf-1x7Y/edit?usp=sharing"",""แผน!AO69"")"),48000)</f>
        <v>48000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282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3" t="s">
        <v>85</v>
      </c>
      <c r="I220" s="293">
        <f ca="1">IFERROR(__xludf.DUMMYFUNCTION("IMPORTRANGE(""https://docs.google.com/spreadsheets/d/1eHaY18a8A9IcSdp1K8H6x8fbOy06t2VsZHhMHf-1x7Y/edit?usp=sharing"",""แผน!AP69"")"),6)</f>
        <v>6</v>
      </c>
      <c r="J220" s="294">
        <v>0</v>
      </c>
      <c r="K220" s="74">
        <f t="shared" ref="K220:K222" ca="1" si="147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IFERROR(__xludf.DUMMYFUNCTION("IMPORTRANGE(""https://docs.google.com/spreadsheets/d/1eHaY18a8A9IcSdp1K8H6x8fbOy06t2VsZHhMHf-1x7Y/edit?usp=sharing"",""แผน!AP69"")"),6)</f>
        <v>6</v>
      </c>
      <c r="J221" s="294">
        <v>0</v>
      </c>
      <c r="K221" s="74">
        <f t="shared" ca="1" si="147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30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8">I230</f>
        <v>40000</v>
      </c>
      <c r="J222" s="559">
        <f t="shared" si="148"/>
        <v>0</v>
      </c>
      <c r="K222" s="560">
        <f t="shared" ca="1" si="147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58"/>
      <c r="C223" s="259" t="s">
        <v>18</v>
      </c>
      <c r="D223" s="112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1257">
        <f ca="1">L224+L225+L226</f>
        <v>6500</v>
      </c>
      <c r="M223" s="87"/>
      <c r="N223" s="264">
        <f>N224+N225+N226</f>
        <v>0</v>
      </c>
      <c r="O223" s="264">
        <f ca="1">IF(L223&gt;0,N223*100/L223,0)</f>
        <v>0</v>
      </c>
      <c r="P223" s="264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58"/>
      <c r="D224" s="398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3">
        <f ca="1">IFERROR(__xludf.DUMMYFUNCTION("IMPORTRANGE(""https://docs.google.com/spreadsheets/d/1eHaY18a8A9IcSdp1K8H6x8fbOy06t2VsZHhMHf-1x7Y/edit?usp=sharing"",""แผน!AR69"")"),5000)</f>
        <v>5000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3">
        <f ca="1">IFERROR(__xludf.DUMMYFUNCTION("IMPORTRANGE(""https://docs.google.com/spreadsheets/d/1eHaY18a8A9IcSdp1K8H6x8fbOy06t2VsZHhMHf-1x7Y/edit?usp=sharing"",""แผน!AS69"")"),1500)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3">
        <f ca="1">IFERROR(__xludf.DUMMYFUNCTION("IMPORTRANGE(""https://docs.google.com/spreadsheets/d/1eHaY18a8A9IcSdp1K8H6x8fbOy06t2VsZHhMHf-1x7Y/edit?usp=sharing"",""แผน!AT69"")"),0)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282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282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99" t="s">
        <v>99</v>
      </c>
      <c r="I229" s="293">
        <f ca="1">IFERROR(__xludf.DUMMYFUNCTION("IMPORTRANGE(""https://docs.google.com/spreadsheets/d/1eHaY18a8A9IcSdp1K8H6x8fbOy06t2VsZHhMHf-1x7Y/edit?usp=sharing"",""แผน!AV69"")"),40000)</f>
        <v>40000</v>
      </c>
      <c r="J229" s="294">
        <v>0</v>
      </c>
      <c r="K229" s="768">
        <f t="shared" ref="K229:K232" ca="1" si="149">IF(I229&gt;0,J229*100/I229,0)</f>
        <v>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99" t="s">
        <v>99</v>
      </c>
      <c r="I230" s="293">
        <f ca="1">IFERROR(__xludf.DUMMYFUNCTION("IMPORTRANGE(""https://docs.google.com/spreadsheets/d/1eHaY18a8A9IcSdp1K8H6x8fbOy06t2VsZHhMHf-1x7Y/edit?usp=sharing"",""แผน!AV69"")"),40000)</f>
        <v>40000</v>
      </c>
      <c r="J230" s="294">
        <v>0</v>
      </c>
      <c r="K230" s="768">
        <f t="shared" ca="1" si="149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99" t="s">
        <v>35</v>
      </c>
      <c r="I231" s="293">
        <f ca="1">IFERROR(__xludf.DUMMYFUNCTION("IMPORTRANGE(""https://docs.google.com/spreadsheets/d/1eHaY18a8A9IcSdp1K8H6x8fbOy06t2VsZHhMHf-1x7Y/edit?usp=sharing"",""แผน!AU69"")"),0)</f>
        <v>0</v>
      </c>
      <c r="J231" s="294">
        <v>0</v>
      </c>
      <c r="K231" s="768">
        <f t="shared" ca="1" si="149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925"/>
      <c r="B232" s="926"/>
      <c r="C232" s="927" t="s">
        <v>105</v>
      </c>
      <c r="D232" s="928"/>
      <c r="E232" s="928"/>
      <c r="F232" s="928"/>
      <c r="G232" s="929"/>
      <c r="H232" s="930" t="s">
        <v>35</v>
      </c>
      <c r="I232" s="931">
        <f t="shared" ref="I232:J232" ca="1" si="150">I243+I254</f>
        <v>60</v>
      </c>
      <c r="J232" s="931">
        <f t="shared" si="150"/>
        <v>0</v>
      </c>
      <c r="K232" s="932">
        <f t="shared" ca="1" si="149"/>
        <v>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880"/>
      <c r="B233" s="838"/>
      <c r="C233" s="933" t="s">
        <v>18</v>
      </c>
      <c r="D233" s="934" t="s">
        <v>19</v>
      </c>
      <c r="E233" s="838"/>
      <c r="F233" s="838"/>
      <c r="G233" s="839"/>
      <c r="H233" s="703" t="s">
        <v>14</v>
      </c>
      <c r="I233" s="881"/>
      <c r="J233" s="881"/>
      <c r="K233" s="882"/>
      <c r="L233" s="1281">
        <f t="shared" ref="L233:L237" ca="1" si="151">L244+L255</f>
        <v>133800</v>
      </c>
      <c r="M233" s="87"/>
      <c r="N233" s="1258">
        <f t="shared" ref="N233:N237" si="152">N244+N255</f>
        <v>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880"/>
      <c r="B234" s="920"/>
      <c r="C234" s="838"/>
      <c r="D234" s="1134" t="s">
        <v>299</v>
      </c>
      <c r="E234" s="838"/>
      <c r="F234" s="838"/>
      <c r="G234" s="839"/>
      <c r="H234" s="273" t="s">
        <v>14</v>
      </c>
      <c r="I234" s="881"/>
      <c r="J234" s="881"/>
      <c r="K234" s="882"/>
      <c r="L234" s="76">
        <f t="shared" ca="1" si="151"/>
        <v>13000</v>
      </c>
      <c r="M234" s="87"/>
      <c r="N234" s="77">
        <f t="shared" si="152"/>
        <v>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919"/>
      <c r="B235" s="920"/>
      <c r="C235" s="920"/>
      <c r="D235" s="749" t="s">
        <v>87</v>
      </c>
      <c r="E235" s="838"/>
      <c r="F235" s="838"/>
      <c r="G235" s="839"/>
      <c r="H235" s="273" t="s">
        <v>14</v>
      </c>
      <c r="I235" s="841"/>
      <c r="J235" s="841"/>
      <c r="K235" s="842"/>
      <c r="L235" s="76">
        <f t="shared" ca="1" si="151"/>
        <v>5000</v>
      </c>
      <c r="M235" s="87"/>
      <c r="N235" s="77">
        <f t="shared" si="152"/>
        <v>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919"/>
      <c r="B236" s="920"/>
      <c r="C236" s="920"/>
      <c r="D236" s="749" t="s">
        <v>88</v>
      </c>
      <c r="E236" s="838"/>
      <c r="F236" s="838"/>
      <c r="G236" s="839"/>
      <c r="H236" s="273" t="s">
        <v>14</v>
      </c>
      <c r="I236" s="841"/>
      <c r="J236" s="841"/>
      <c r="K236" s="842"/>
      <c r="L236" s="76">
        <f t="shared" ca="1" si="151"/>
        <v>47800</v>
      </c>
      <c r="M236" s="87"/>
      <c r="N236" s="77">
        <f t="shared" si="152"/>
        <v>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919"/>
      <c r="B237" s="920"/>
      <c r="C237" s="920"/>
      <c r="D237" s="267" t="s">
        <v>89</v>
      </c>
      <c r="E237" s="838"/>
      <c r="F237" s="838"/>
      <c r="G237" s="839"/>
      <c r="H237" s="273" t="s">
        <v>14</v>
      </c>
      <c r="I237" s="841"/>
      <c r="J237" s="841"/>
      <c r="K237" s="842"/>
      <c r="L237" s="76">
        <f t="shared" ca="1" si="151"/>
        <v>68000</v>
      </c>
      <c r="M237" s="87"/>
      <c r="N237" s="77">
        <f t="shared" si="152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937"/>
      <c r="B238" s="938"/>
      <c r="C238" s="939" t="s">
        <v>18</v>
      </c>
      <c r="D238" s="940" t="s">
        <v>38</v>
      </c>
      <c r="E238" s="941"/>
      <c r="F238" s="941"/>
      <c r="G238" s="942"/>
      <c r="H238" s="943"/>
      <c r="I238" s="881"/>
      <c r="J238" s="841"/>
      <c r="K238" s="842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937"/>
      <c r="B239" s="938"/>
      <c r="C239" s="938"/>
      <c r="D239" s="311" t="s">
        <v>108</v>
      </c>
      <c r="E239" s="944"/>
      <c r="F239" s="944"/>
      <c r="G239" s="943"/>
      <c r="H239" s="945" t="s">
        <v>35</v>
      </c>
      <c r="I239" s="592">
        <f t="shared" ref="I239:J239" ca="1" si="153">I250+I261</f>
        <v>60</v>
      </c>
      <c r="J239" s="592">
        <f t="shared" si="153"/>
        <v>0</v>
      </c>
      <c r="K239" s="77">
        <f ca="1">IF(I239&gt;0,J239*100/I239,0)</f>
        <v>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937"/>
      <c r="B240" s="938"/>
      <c r="C240" s="938"/>
      <c r="D240" s="946" t="s">
        <v>43</v>
      </c>
      <c r="E240" s="944"/>
      <c r="F240" s="944"/>
      <c r="G240" s="943"/>
      <c r="H240" s="943"/>
      <c r="I240" s="841"/>
      <c r="J240" s="841"/>
      <c r="K240" s="842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937"/>
      <c r="B241" s="938"/>
      <c r="C241" s="938"/>
      <c r="D241" s="938"/>
      <c r="E241" s="947" t="s">
        <v>109</v>
      </c>
      <c r="F241" s="944"/>
      <c r="G241" s="943"/>
      <c r="H241" s="945" t="s">
        <v>35</v>
      </c>
      <c r="I241" s="592">
        <f t="shared" ref="I241:J242" ca="1" si="154">I252+I263</f>
        <v>60</v>
      </c>
      <c r="J241" s="592">
        <f t="shared" si="154"/>
        <v>0</v>
      </c>
      <c r="K241" s="77">
        <f t="shared" ref="K241:K243" ca="1" si="155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937"/>
      <c r="B242" s="938"/>
      <c r="C242" s="938"/>
      <c r="D242" s="938"/>
      <c r="E242" s="947" t="s">
        <v>110</v>
      </c>
      <c r="F242" s="944"/>
      <c r="G242" s="943"/>
      <c r="H242" s="945" t="s">
        <v>61</v>
      </c>
      <c r="I242" s="592">
        <f t="shared" ca="1" si="154"/>
        <v>2</v>
      </c>
      <c r="J242" s="592">
        <f t="shared" si="154"/>
        <v>0</v>
      </c>
      <c r="K242" s="77">
        <f t="shared" ca="1" si="155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x14ac:dyDescent="0.3">
      <c r="A243" s="382"/>
      <c r="B243" s="383"/>
      <c r="C243" s="384" t="s">
        <v>324</v>
      </c>
      <c r="D243" s="385"/>
      <c r="E243" s="385"/>
      <c r="F243" s="385"/>
      <c r="G243" s="386"/>
      <c r="H243" s="387" t="s">
        <v>35</v>
      </c>
      <c r="I243" s="388">
        <f t="shared" ref="I243:J243" ca="1" si="156">I250</f>
        <v>20</v>
      </c>
      <c r="J243" s="388">
        <f t="shared" si="156"/>
        <v>0</v>
      </c>
      <c r="K243" s="389">
        <f t="shared" ca="1" si="155"/>
        <v>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x14ac:dyDescent="0.3">
      <c r="A244" s="209"/>
      <c r="B244" s="67"/>
      <c r="C244" s="210" t="s">
        <v>18</v>
      </c>
      <c r="D244" s="879" t="s">
        <v>19</v>
      </c>
      <c r="E244" s="67"/>
      <c r="F244" s="67"/>
      <c r="G244" s="69"/>
      <c r="H244" s="394" t="s">
        <v>14</v>
      </c>
      <c r="I244" s="219"/>
      <c r="J244" s="219"/>
      <c r="K244" s="220"/>
      <c r="L244" s="1257">
        <f ca="1">L245+L246+L247+L248</f>
        <v>61600</v>
      </c>
      <c r="M244" s="87"/>
      <c r="N244" s="264">
        <f>N245+N246+N247+N248</f>
        <v>0</v>
      </c>
      <c r="O244" s="264">
        <f ca="1">IF(L244&gt;0,N244*100/L244,0)</f>
        <v>0</v>
      </c>
      <c r="P244" s="264">
        <f>IF(M244&gt;0,N244*100/M244,0)</f>
        <v>0</v>
      </c>
      <c r="Q244" s="87"/>
      <c r="R244" s="87"/>
      <c r="S244" s="87"/>
      <c r="T244" s="87"/>
      <c r="U244" s="87"/>
    </row>
    <row r="245" spans="1:21" ht="18.75" x14ac:dyDescent="0.25">
      <c r="A245" s="209"/>
      <c r="B245" s="381"/>
      <c r="C245" s="67"/>
      <c r="D245" s="1134" t="s">
        <v>299</v>
      </c>
      <c r="E245" s="67"/>
      <c r="F245" s="67"/>
      <c r="G245" s="69"/>
      <c r="H245" s="218" t="s">
        <v>14</v>
      </c>
      <c r="I245" s="219"/>
      <c r="J245" s="219"/>
      <c r="K245" s="220"/>
      <c r="L245" s="73">
        <f ca="1">IFERROR(__xludf.DUMMYFUNCTION("IMPORTRANGE(""https://docs.google.com/spreadsheets/d/1eHaY18a8A9IcSdp1K8H6x8fbOy06t2VsZHhMHf-1x7Y/edit?usp=sharing"",""แผน!AX69"")"),8000)</f>
        <v>8000</v>
      </c>
      <c r="M245" s="87"/>
      <c r="N245" s="924">
        <v>0</v>
      </c>
      <c r="O245" s="87"/>
      <c r="P245" s="87"/>
      <c r="Q245" s="87"/>
      <c r="R245" s="87"/>
      <c r="S245" s="87"/>
      <c r="T245" s="87"/>
      <c r="U245" s="87"/>
    </row>
    <row r="246" spans="1:21" ht="18.75" x14ac:dyDescent="0.25">
      <c r="A246" s="377"/>
      <c r="B246" s="381"/>
      <c r="C246" s="381"/>
      <c r="D246" s="749" t="s">
        <v>87</v>
      </c>
      <c r="E246" s="67"/>
      <c r="F246" s="67"/>
      <c r="G246" s="69"/>
      <c r="H246" s="218" t="s">
        <v>14</v>
      </c>
      <c r="I246" s="71"/>
      <c r="J246" s="71"/>
      <c r="K246" s="72"/>
      <c r="L246" s="73">
        <f ca="1">IFERROR(__xludf.DUMMYFUNCTION("IMPORTRANGE(""https://docs.google.com/spreadsheets/d/1eHaY18a8A9IcSdp1K8H6x8fbOy06t2VsZHhMHf-1x7Y/edit?usp=sharing"",""แผน!AY69"")"),2000)</f>
        <v>2000</v>
      </c>
      <c r="M246" s="87"/>
      <c r="N246" s="924">
        <v>0</v>
      </c>
      <c r="O246" s="87"/>
      <c r="P246" s="87"/>
      <c r="Q246" s="87"/>
      <c r="R246" s="87"/>
      <c r="S246" s="87"/>
      <c r="T246" s="87"/>
      <c r="U246" s="87"/>
    </row>
    <row r="247" spans="1:21" ht="18.75" x14ac:dyDescent="0.25">
      <c r="A247" s="377"/>
      <c r="B247" s="381"/>
      <c r="C247" s="381"/>
      <c r="D247" s="749" t="s">
        <v>88</v>
      </c>
      <c r="E247" s="67"/>
      <c r="F247" s="67"/>
      <c r="G247" s="69"/>
      <c r="H247" s="218" t="s">
        <v>14</v>
      </c>
      <c r="I247" s="71"/>
      <c r="J247" s="71"/>
      <c r="K247" s="72"/>
      <c r="L247" s="73">
        <f ca="1">IFERROR(__xludf.DUMMYFUNCTION("IMPORTRANGE(""https://docs.google.com/spreadsheets/d/1eHaY18a8A9IcSdp1K8H6x8fbOy06t2VsZHhMHf-1x7Y/edit?usp=sharing"",""แผน!AZ69"")"),16600)</f>
        <v>16600</v>
      </c>
      <c r="M247" s="87"/>
      <c r="N247" s="924">
        <v>0</v>
      </c>
      <c r="O247" s="87"/>
      <c r="P247" s="87"/>
      <c r="Q247" s="87"/>
      <c r="R247" s="87"/>
      <c r="S247" s="87"/>
      <c r="T247" s="87"/>
      <c r="U247" s="87"/>
    </row>
    <row r="248" spans="1:21" ht="18.75" x14ac:dyDescent="0.25">
      <c r="A248" s="377"/>
      <c r="B248" s="381"/>
      <c r="C248" s="381"/>
      <c r="D248" s="267" t="s">
        <v>89</v>
      </c>
      <c r="E248" s="67"/>
      <c r="F248" s="67"/>
      <c r="G248" s="69"/>
      <c r="H248" s="218" t="s">
        <v>14</v>
      </c>
      <c r="I248" s="71"/>
      <c r="J248" s="71"/>
      <c r="K248" s="72"/>
      <c r="L248" s="73">
        <f ca="1">IFERROR(__xludf.DUMMYFUNCTION("IMPORTRANGE(""https://docs.google.com/spreadsheets/d/1eHaY18a8A9IcSdp1K8H6x8fbOy06t2VsZHhMHf-1x7Y/edit?usp=sharing"",""แผน!BA69"")"),35000)</f>
        <v>35000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x14ac:dyDescent="0.3">
      <c r="A249" s="222"/>
      <c r="B249" s="223"/>
      <c r="C249" s="402" t="s">
        <v>18</v>
      </c>
      <c r="D249" s="883" t="s">
        <v>38</v>
      </c>
      <c r="E249" s="225"/>
      <c r="F249" s="225"/>
      <c r="G249" s="226"/>
      <c r="H249" s="227"/>
      <c r="I249" s="219"/>
      <c r="J249" s="71"/>
      <c r="K249" s="72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x14ac:dyDescent="0.25">
      <c r="A250" s="222"/>
      <c r="B250" s="223"/>
      <c r="C250" s="223"/>
      <c r="D250" s="395" t="s">
        <v>108</v>
      </c>
      <c r="E250" s="231"/>
      <c r="F250" s="231"/>
      <c r="G250" s="227"/>
      <c r="H250" s="401" t="s">
        <v>35</v>
      </c>
      <c r="I250" s="321">
        <f ca="1">IFERROR(__xludf.DUMMYFUNCTION("IMPORTRANGE(""https://docs.google.com/spreadsheets/d/1eHaY18a8A9IcSdp1K8H6x8fbOy06t2VsZHhMHf-1x7Y/edit?usp=sharing"",""แผน!BG69"")"),20)</f>
        <v>20</v>
      </c>
      <c r="J250" s="884">
        <v>0</v>
      </c>
      <c r="K250" s="399">
        <f ca="1">IF(I250&gt;0,J250*100/I250,0)</f>
        <v>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x14ac:dyDescent="0.25">
      <c r="A251" s="222"/>
      <c r="B251" s="223"/>
      <c r="C251" s="223"/>
      <c r="D251" s="412" t="s">
        <v>43</v>
      </c>
      <c r="E251" s="231"/>
      <c r="F251" s="231"/>
      <c r="G251" s="227"/>
      <c r="H251" s="227"/>
      <c r="I251" s="71"/>
      <c r="J251" s="71"/>
      <c r="K251" s="72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x14ac:dyDescent="0.25">
      <c r="A252" s="222"/>
      <c r="B252" s="223"/>
      <c r="C252" s="223"/>
      <c r="D252" s="223"/>
      <c r="E252" s="567" t="s">
        <v>109</v>
      </c>
      <c r="F252" s="231"/>
      <c r="G252" s="227"/>
      <c r="H252" s="401" t="s">
        <v>35</v>
      </c>
      <c r="I252" s="321">
        <f ca="1">IFERROR(__xludf.DUMMYFUNCTION("IMPORTRANGE(""https://docs.google.com/spreadsheets/d/1eHaY18a8A9IcSdp1K8H6x8fbOy06t2VsZHhMHf-1x7Y/edit?usp=sharing"",""แผน!KD69"")"),20)</f>
        <v>20</v>
      </c>
      <c r="J252" s="884">
        <v>0</v>
      </c>
      <c r="K252" s="399">
        <f t="shared" ref="K252:K254" ca="1" si="157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x14ac:dyDescent="0.25">
      <c r="A253" s="222"/>
      <c r="B253" s="223"/>
      <c r="C253" s="223"/>
      <c r="D253" s="223"/>
      <c r="E253" s="567" t="s">
        <v>110</v>
      </c>
      <c r="F253" s="231"/>
      <c r="G253" s="227"/>
      <c r="H253" s="401" t="s">
        <v>61</v>
      </c>
      <c r="I253" s="321">
        <f ca="1">IFERROR(__xludf.DUMMYFUNCTION("IMPORTRANGE(""https://docs.google.com/spreadsheets/d/1eHaY18a8A9IcSdp1K8H6x8fbOy06t2VsZHhMHf-1x7Y/edit?usp=sharing"",""แผน!KE69"")"),1)</f>
        <v>1</v>
      </c>
      <c r="J253" s="884">
        <v>0</v>
      </c>
      <c r="K253" s="399">
        <f t="shared" ca="1" si="157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x14ac:dyDescent="0.3">
      <c r="A254" s="382"/>
      <c r="B254" s="383"/>
      <c r="C254" s="384" t="s">
        <v>354</v>
      </c>
      <c r="D254" s="385"/>
      <c r="E254" s="385"/>
      <c r="F254" s="385"/>
      <c r="G254" s="386"/>
      <c r="H254" s="387" t="s">
        <v>35</v>
      </c>
      <c r="I254" s="388">
        <f t="shared" ref="I254:J254" ca="1" si="158">I261</f>
        <v>40</v>
      </c>
      <c r="J254" s="388">
        <f t="shared" si="158"/>
        <v>0</v>
      </c>
      <c r="K254" s="389">
        <f t="shared" ca="1" si="157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x14ac:dyDescent="0.3">
      <c r="A255" s="209"/>
      <c r="B255" s="67"/>
      <c r="C255" s="210" t="s">
        <v>18</v>
      </c>
      <c r="D255" s="922" t="s">
        <v>19</v>
      </c>
      <c r="E255" s="67"/>
      <c r="F255" s="67"/>
      <c r="G255" s="69"/>
      <c r="H255" s="394" t="s">
        <v>14</v>
      </c>
      <c r="I255" s="219"/>
      <c r="J255" s="219"/>
      <c r="K255" s="220"/>
      <c r="L255" s="1257">
        <f ca="1">L256+L257+L258+L259</f>
        <v>72200</v>
      </c>
      <c r="M255" s="87"/>
      <c r="N255" s="264">
        <f>N256+N257+N258+N259</f>
        <v>0</v>
      </c>
      <c r="O255" s="264">
        <f ca="1">IF(L255&gt;0,N255*100/L255,0)</f>
        <v>0</v>
      </c>
      <c r="P255" s="264">
        <f>IF(M255&gt;0,N255*100/M255,0)</f>
        <v>0</v>
      </c>
      <c r="Q255" s="87"/>
      <c r="R255" s="87"/>
      <c r="S255" s="87"/>
      <c r="T255" s="87"/>
      <c r="U255" s="87"/>
    </row>
    <row r="256" spans="1:21" ht="18.75" x14ac:dyDescent="0.25">
      <c r="A256" s="209"/>
      <c r="B256" s="381"/>
      <c r="C256" s="67"/>
      <c r="D256" s="1134" t="s">
        <v>299</v>
      </c>
      <c r="E256" s="67"/>
      <c r="F256" s="67"/>
      <c r="G256" s="69"/>
      <c r="H256" s="218" t="s">
        <v>14</v>
      </c>
      <c r="I256" s="219"/>
      <c r="J256" s="219"/>
      <c r="K256" s="220"/>
      <c r="L256" s="73">
        <f ca="1">IFERROR(__xludf.DUMMYFUNCTION("IMPORTRANGE(""https://docs.google.com/spreadsheets/d/1eHaY18a8A9IcSdp1K8H6x8fbOy06t2VsZHhMHf-1x7Y/edit?usp=sharing"",""แผน!BB69"")"),5000)</f>
        <v>5000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x14ac:dyDescent="0.25">
      <c r="A257" s="377"/>
      <c r="B257" s="381"/>
      <c r="C257" s="381"/>
      <c r="D257" s="749" t="s">
        <v>87</v>
      </c>
      <c r="E257" s="67"/>
      <c r="F257" s="67"/>
      <c r="G257" s="69"/>
      <c r="H257" s="218" t="s">
        <v>14</v>
      </c>
      <c r="I257" s="71"/>
      <c r="J257" s="71"/>
      <c r="K257" s="72"/>
      <c r="L257" s="73">
        <f ca="1">IFERROR(__xludf.DUMMYFUNCTION("IMPORTRANGE(""https://docs.google.com/spreadsheets/d/1eHaY18a8A9IcSdp1K8H6x8fbOy06t2VsZHhMHf-1x7Y/edit?usp=sharing"",""แผน!BC69"")"),3000)</f>
        <v>3000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x14ac:dyDescent="0.25">
      <c r="A258" s="377"/>
      <c r="B258" s="381"/>
      <c r="C258" s="381"/>
      <c r="D258" s="749" t="s">
        <v>88</v>
      </c>
      <c r="E258" s="67"/>
      <c r="F258" s="67"/>
      <c r="G258" s="69"/>
      <c r="H258" s="218" t="s">
        <v>14</v>
      </c>
      <c r="I258" s="71"/>
      <c r="J258" s="71"/>
      <c r="K258" s="72"/>
      <c r="L258" s="73">
        <f ca="1">IFERROR(__xludf.DUMMYFUNCTION("IMPORTRANGE(""https://docs.google.com/spreadsheets/d/1eHaY18a8A9IcSdp1K8H6x8fbOy06t2VsZHhMHf-1x7Y/edit?usp=sharing"",""แผน!BD69"")"),31200)</f>
        <v>31200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x14ac:dyDescent="0.25">
      <c r="A259" s="377"/>
      <c r="B259" s="381"/>
      <c r="C259" s="381"/>
      <c r="D259" s="267" t="s">
        <v>89</v>
      </c>
      <c r="E259" s="67"/>
      <c r="F259" s="67"/>
      <c r="G259" s="69"/>
      <c r="H259" s="218" t="s">
        <v>14</v>
      </c>
      <c r="I259" s="71"/>
      <c r="J259" s="71"/>
      <c r="K259" s="72"/>
      <c r="L259" s="73">
        <f ca="1">IFERROR(__xludf.DUMMYFUNCTION("IMPORTRANGE(""https://docs.google.com/spreadsheets/d/1eHaY18a8A9IcSdp1K8H6x8fbOy06t2VsZHhMHf-1x7Y/edit?usp=sharing"",""แผน!BE69"")"),33000)</f>
        <v>33000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x14ac:dyDescent="0.3">
      <c r="A260" s="222"/>
      <c r="B260" s="223"/>
      <c r="C260" s="402" t="s">
        <v>18</v>
      </c>
      <c r="D260" s="883" t="s">
        <v>38</v>
      </c>
      <c r="E260" s="225"/>
      <c r="F260" s="225"/>
      <c r="G260" s="226"/>
      <c r="H260" s="227"/>
      <c r="I260" s="219"/>
      <c r="J260" s="71"/>
      <c r="K260" s="72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x14ac:dyDescent="0.25">
      <c r="A261" s="222"/>
      <c r="B261" s="223"/>
      <c r="C261" s="223"/>
      <c r="D261" s="395" t="s">
        <v>108</v>
      </c>
      <c r="E261" s="231"/>
      <c r="F261" s="231"/>
      <c r="G261" s="227"/>
      <c r="H261" s="401" t="s">
        <v>35</v>
      </c>
      <c r="I261" s="321">
        <f ca="1">IFERROR(__xludf.DUMMYFUNCTION("IMPORTRANGE(""https://docs.google.com/spreadsheets/d/1eHaY18a8A9IcSdp1K8H6x8fbOy06t2VsZHhMHf-1x7Y/edit?usp=sharing"",""แผน!BH69"")"),40)</f>
        <v>40</v>
      </c>
      <c r="J261" s="884">
        <v>0</v>
      </c>
      <c r="K261" s="399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x14ac:dyDescent="0.25">
      <c r="A262" s="222"/>
      <c r="B262" s="223"/>
      <c r="C262" s="223"/>
      <c r="D262" s="412" t="s">
        <v>43</v>
      </c>
      <c r="E262" s="231"/>
      <c r="F262" s="231"/>
      <c r="G262" s="227"/>
      <c r="H262" s="227"/>
      <c r="I262" s="71"/>
      <c r="J262" s="71"/>
      <c r="K262" s="72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x14ac:dyDescent="0.25">
      <c r="A263" s="222"/>
      <c r="B263" s="223"/>
      <c r="C263" s="223"/>
      <c r="D263" s="223"/>
      <c r="E263" s="567" t="s">
        <v>109</v>
      </c>
      <c r="F263" s="231"/>
      <c r="G263" s="227"/>
      <c r="H263" s="401" t="s">
        <v>35</v>
      </c>
      <c r="I263" s="321">
        <f ca="1">IFERROR(__xludf.DUMMYFUNCTION("IMPORTRANGE(""https://docs.google.com/spreadsheets/d/1eHaY18a8A9IcSdp1K8H6x8fbOy06t2VsZHhMHf-1x7Y/edit?usp=sharing"",""แผน!KF69"")"),40)</f>
        <v>40</v>
      </c>
      <c r="J263" s="884">
        <v>0</v>
      </c>
      <c r="K263" s="399">
        <f t="shared" ref="K263:K264" ca="1" si="159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x14ac:dyDescent="0.25">
      <c r="A264" s="222"/>
      <c r="B264" s="223"/>
      <c r="C264" s="223"/>
      <c r="D264" s="223"/>
      <c r="E264" s="567" t="s">
        <v>110</v>
      </c>
      <c r="F264" s="231"/>
      <c r="G264" s="227"/>
      <c r="H264" s="401" t="s">
        <v>61</v>
      </c>
      <c r="I264" s="321">
        <f ca="1">IFERROR(__xludf.DUMMYFUNCTION("IMPORTRANGE(""https://docs.google.com/spreadsheets/d/1eHaY18a8A9IcSdp1K8H6x8fbOy06t2VsZHhMHf-1x7Y/edit?usp=sharing"",""แผน!KG69"")"),1)</f>
        <v>1</v>
      </c>
      <c r="J264" s="884">
        <v>0</v>
      </c>
      <c r="K264" s="399">
        <f t="shared" ca="1" si="159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363"/>
      <c r="I265" s="364"/>
      <c r="J265" s="364"/>
      <c r="K265" s="365"/>
      <c r="L265" s="1230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371" t="s">
        <v>35</v>
      </c>
      <c r="I266" s="1140">
        <f t="shared" ref="I266:J266" ca="1" si="160">I277</f>
        <v>22</v>
      </c>
      <c r="J266" s="1140">
        <f t="shared" si="160"/>
        <v>0</v>
      </c>
      <c r="K266" s="373">
        <f ca="1">IF(I266&gt;0,J266*100/I266,0)</f>
        <v>0</v>
      </c>
      <c r="L266" s="1231"/>
      <c r="M266" s="374"/>
      <c r="N266" s="374"/>
      <c r="O266" s="374"/>
      <c r="P266" s="374"/>
      <c r="Q266" s="374"/>
      <c r="R266" s="374"/>
      <c r="S266" s="374"/>
      <c r="T266" s="374"/>
      <c r="U266" s="374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1262">
        <f t="shared" ref="L267:N267" ca="1" si="161">L268+L269</f>
        <v>0</v>
      </c>
      <c r="M267" s="213">
        <f t="shared" ca="1" si="161"/>
        <v>5000</v>
      </c>
      <c r="N267" s="213">
        <f t="shared" ca="1" si="161"/>
        <v>0</v>
      </c>
      <c r="O267" s="213">
        <f t="shared" ref="O267:O275" ca="1" si="162">IF(L267&gt;0,N267*100/L267,0)</f>
        <v>0</v>
      </c>
      <c r="P267" s="213">
        <f t="shared" ref="P267:P275" ca="1" si="163">IF(M267&gt;0,N267*100/M267,0)</f>
        <v>0</v>
      </c>
      <c r="Q267" s="213">
        <f t="shared" ref="Q267:S267" ca="1" si="164">Q268+Q269</f>
        <v>50660</v>
      </c>
      <c r="R267" s="213">
        <f t="shared" ca="1" si="164"/>
        <v>50660</v>
      </c>
      <c r="S267" s="213">
        <f t="shared" ca="1" si="164"/>
        <v>0</v>
      </c>
      <c r="T267" s="213">
        <f t="shared" ref="T267:T275" ca="1" si="165">IF(Q267&gt;0,S267*100/Q267,0)</f>
        <v>0</v>
      </c>
      <c r="U267" s="213">
        <f t="shared" ref="U267:U275" ca="1" si="166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76">
        <f t="shared" ref="L268:N269" si="167">L271+L274</f>
        <v>0</v>
      </c>
      <c r="M268" s="77">
        <f t="shared" si="167"/>
        <v>0</v>
      </c>
      <c r="N268" s="77">
        <f t="shared" si="167"/>
        <v>0</v>
      </c>
      <c r="O268" s="77">
        <f t="shared" si="162"/>
        <v>0</v>
      </c>
      <c r="P268" s="77">
        <f t="shared" si="163"/>
        <v>0</v>
      </c>
      <c r="Q268" s="77">
        <f t="shared" ref="Q268:S269" si="168">Q271+Q274</f>
        <v>0</v>
      </c>
      <c r="R268" s="77">
        <f t="shared" si="168"/>
        <v>0</v>
      </c>
      <c r="S268" s="77">
        <f t="shared" si="168"/>
        <v>0</v>
      </c>
      <c r="T268" s="77">
        <f t="shared" si="165"/>
        <v>0</v>
      </c>
      <c r="U268" s="77">
        <f t="shared" si="166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261">
        <f t="shared" ca="1" si="167"/>
        <v>0</v>
      </c>
      <c r="M269" s="399">
        <f t="shared" ca="1" si="167"/>
        <v>5000</v>
      </c>
      <c r="N269" s="399">
        <f t="shared" ca="1" si="167"/>
        <v>0</v>
      </c>
      <c r="O269" s="399">
        <f t="shared" ca="1" si="162"/>
        <v>0</v>
      </c>
      <c r="P269" s="399">
        <f t="shared" ca="1" si="163"/>
        <v>0</v>
      </c>
      <c r="Q269" s="399">
        <f t="shared" ca="1" si="168"/>
        <v>50660</v>
      </c>
      <c r="R269" s="399">
        <f t="shared" ca="1" si="168"/>
        <v>50660</v>
      </c>
      <c r="S269" s="399">
        <f t="shared" ca="1" si="168"/>
        <v>0</v>
      </c>
      <c r="T269" s="399">
        <f t="shared" ca="1" si="165"/>
        <v>0</v>
      </c>
      <c r="U269" s="399">
        <f t="shared" ca="1" si="166"/>
        <v>0</v>
      </c>
    </row>
    <row r="270" spans="1:21" ht="18.75" x14ac:dyDescent="0.25">
      <c r="A270" s="209"/>
      <c r="B270" s="67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261">
        <f t="shared" ref="L270:N270" ca="1" si="169">L271+L272</f>
        <v>0</v>
      </c>
      <c r="M270" s="399">
        <f t="shared" ca="1" si="169"/>
        <v>5000</v>
      </c>
      <c r="N270" s="399">
        <f t="shared" ca="1" si="169"/>
        <v>0</v>
      </c>
      <c r="O270" s="399">
        <f t="shared" ca="1" si="162"/>
        <v>0</v>
      </c>
      <c r="P270" s="399">
        <f t="shared" ca="1" si="163"/>
        <v>0</v>
      </c>
      <c r="Q270" s="399">
        <f t="shared" ref="Q270:S270" ca="1" si="170">Q271+Q272</f>
        <v>50660</v>
      </c>
      <c r="R270" s="399">
        <f t="shared" ca="1" si="170"/>
        <v>50660</v>
      </c>
      <c r="S270" s="399">
        <f t="shared" ca="1" si="170"/>
        <v>0</v>
      </c>
      <c r="T270" s="399">
        <f t="shared" ca="1" si="165"/>
        <v>0</v>
      </c>
      <c r="U270" s="399">
        <f t="shared" ca="1" si="166"/>
        <v>0</v>
      </c>
    </row>
    <row r="271" spans="1:21" ht="18.75" hidden="1" x14ac:dyDescent="0.25">
      <c r="A271" s="880"/>
      <c r="B271" s="838"/>
      <c r="C271" s="838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77">
        <f t="shared" si="162"/>
        <v>0</v>
      </c>
      <c r="P271" s="77">
        <f t="shared" si="163"/>
        <v>0</v>
      </c>
      <c r="Q271" s="77">
        <v>0</v>
      </c>
      <c r="R271" s="77">
        <v>0</v>
      </c>
      <c r="S271" s="77">
        <v>0</v>
      </c>
      <c r="T271" s="77">
        <f t="shared" si="165"/>
        <v>0</v>
      </c>
      <c r="U271" s="77">
        <f t="shared" si="166"/>
        <v>0</v>
      </c>
    </row>
    <row r="272" spans="1:21" ht="18.75" hidden="1" x14ac:dyDescent="0.25">
      <c r="A272" s="209"/>
      <c r="B272" s="67"/>
      <c r="C272" s="67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261">
        <f ca="1">IFERROR(__xludf.DUMMYFUNCTION("IMPORTRANGE(""https://docs.google.com/spreadsheets/d/1-uDff_7J0KD5mKrp0Vvzr7lt3OU09vwQwhkpOPPYv2Y/edit?usp=sharing"",""งบพรบ!DE69"")"),0)</f>
        <v>0</v>
      </c>
      <c r="M272" s="399">
        <f ca="1">IFERROR(__xludf.DUMMYFUNCTION("IMPORTRANGE(""https://docs.google.com/spreadsheets/d/1-uDff_7J0KD5mKrp0Vvzr7lt3OU09vwQwhkpOPPYv2Y/edit?usp=sharing"",""งบพรบ!DJ69"")"),5000)</f>
        <v>5000</v>
      </c>
      <c r="N272" s="399">
        <f ca="1">IFERROR(__xludf.DUMMYFUNCTION("IMPORTRANGE(""https://docs.google.com/spreadsheets/d/1-uDff_7J0KD5mKrp0Vvzr7lt3OU09vwQwhkpOPPYv2Y/edit?usp=sharing"",""งบพรบ!DL69"")"),0)</f>
        <v>0</v>
      </c>
      <c r="O272" s="399">
        <f t="shared" ca="1" si="162"/>
        <v>0</v>
      </c>
      <c r="P272" s="399">
        <f t="shared" ca="1" si="163"/>
        <v>0</v>
      </c>
      <c r="Q272" s="399">
        <f ca="1">IFERROR(__xludf.DUMMYFUNCTION("IMPORTRANGE(""https://docs.google.com/spreadsheets/d/1ItG2mGa2ceCfYo0BwxsXqNm01IGEUdYcSSLTEv9YCik/edit?usp=sharing"",""เบิกจ่ายกองทุน!AJ69"")"),50660)</f>
        <v>50660</v>
      </c>
      <c r="R272" s="399">
        <f ca="1">IFERROR(__xludf.DUMMYFUNCTION("IMPORTRANGE(""https://docs.google.com/spreadsheets/d/1ItG2mGa2ceCfYo0BwxsXqNm01IGEUdYcSSLTEv9YCik/edit?usp=sharing"",""เบิกจ่ายกองทุน!AK69"")"),50660)</f>
        <v>50660</v>
      </c>
      <c r="S272" s="399">
        <f ca="1">IFERROR(__xludf.DUMMYFUNCTION("IMPORTRANGE(""https://docs.google.com/spreadsheets/d/1ItG2mGa2ceCfYo0BwxsXqNm01IGEUdYcSSLTEv9YCik/edit?usp=sharing"",""เบิกจ่ายกองทุน!AL69"")"),0)</f>
        <v>0</v>
      </c>
      <c r="T272" s="399">
        <f t="shared" ca="1" si="165"/>
        <v>0</v>
      </c>
      <c r="U272" s="399">
        <f t="shared" ca="1" si="166"/>
        <v>0</v>
      </c>
    </row>
    <row r="273" spans="1:21" ht="18.75" x14ac:dyDescent="0.25">
      <c r="A273" s="209"/>
      <c r="B273" s="67"/>
      <c r="C273" s="67"/>
      <c r="D273" s="836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261">
        <f t="shared" ref="L273:N273" ca="1" si="171">L274+L275</f>
        <v>0</v>
      </c>
      <c r="M273" s="399">
        <f t="shared" ca="1" si="171"/>
        <v>0</v>
      </c>
      <c r="N273" s="399">
        <f t="shared" ca="1" si="171"/>
        <v>0</v>
      </c>
      <c r="O273" s="399">
        <f t="shared" ca="1" si="162"/>
        <v>0</v>
      </c>
      <c r="P273" s="399">
        <f t="shared" ca="1" si="163"/>
        <v>0</v>
      </c>
      <c r="Q273" s="399">
        <f t="shared" ref="Q273:S273" si="172">Q274+Q275</f>
        <v>0</v>
      </c>
      <c r="R273" s="399">
        <f t="shared" si="172"/>
        <v>0</v>
      </c>
      <c r="S273" s="399">
        <f t="shared" si="172"/>
        <v>0</v>
      </c>
      <c r="T273" s="399">
        <f t="shared" si="165"/>
        <v>0</v>
      </c>
      <c r="U273" s="399">
        <f t="shared" si="166"/>
        <v>0</v>
      </c>
    </row>
    <row r="274" spans="1:21" ht="18.75" hidden="1" x14ac:dyDescent="0.25">
      <c r="A274" s="880"/>
      <c r="B274" s="838"/>
      <c r="C274" s="838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77">
        <f t="shared" si="162"/>
        <v>0</v>
      </c>
      <c r="P274" s="77">
        <f t="shared" si="163"/>
        <v>0</v>
      </c>
      <c r="Q274" s="77">
        <v>0</v>
      </c>
      <c r="R274" s="77">
        <v>0</v>
      </c>
      <c r="S274" s="77">
        <v>0</v>
      </c>
      <c r="T274" s="77">
        <f t="shared" si="165"/>
        <v>0</v>
      </c>
      <c r="U274" s="77">
        <f t="shared" si="166"/>
        <v>0</v>
      </c>
    </row>
    <row r="275" spans="1:21" ht="18.75" hidden="1" x14ac:dyDescent="0.25">
      <c r="A275" s="209"/>
      <c r="B275" s="67"/>
      <c r="C275" s="67"/>
      <c r="D275" s="67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261">
        <f ca="1">IFERROR(__xludf.DUMMYFUNCTION("IMPORTRANGE(""https://docs.google.com/spreadsheets/d/1-uDff_7J0KD5mKrp0Vvzr7lt3OU09vwQwhkpOPPYv2Y/edit?usp=sharing"",""งบพรบ!DH69"")"),0)</f>
        <v>0</v>
      </c>
      <c r="M275" s="399">
        <f ca="1">IFERROR(__xludf.DUMMYFUNCTION("IMPORTRANGE(""https://docs.google.com/spreadsheets/d/1-uDff_7J0KD5mKrp0Vvzr7lt3OU09vwQwhkpOPPYv2Y/edit?usp=sharing"",""งบพรบ!DK69"")"),0)</f>
        <v>0</v>
      </c>
      <c r="N275" s="399">
        <f ca="1">IFERROR(__xludf.DUMMYFUNCTION("IMPORTRANGE(""https://docs.google.com/spreadsheets/d/1-uDff_7J0KD5mKrp0Vvzr7lt3OU09vwQwhkpOPPYv2Y/edit?usp=sharing"",""งบพรบ!DM69"")"),0)</f>
        <v>0</v>
      </c>
      <c r="O275" s="399">
        <f t="shared" ca="1" si="162"/>
        <v>0</v>
      </c>
      <c r="P275" s="399">
        <f t="shared" ca="1" si="163"/>
        <v>0</v>
      </c>
      <c r="Q275" s="399">
        <v>0</v>
      </c>
      <c r="R275" s="399">
        <v>0</v>
      </c>
      <c r="S275" s="399">
        <v>0</v>
      </c>
      <c r="T275" s="399">
        <f t="shared" si="165"/>
        <v>0</v>
      </c>
      <c r="U275" s="399">
        <f t="shared" si="166"/>
        <v>0</v>
      </c>
    </row>
    <row r="276" spans="1:21" ht="19.5" x14ac:dyDescent="0.3">
      <c r="A276" s="222"/>
      <c r="B276" s="223"/>
      <c r="C276" s="440" t="s">
        <v>18</v>
      </c>
      <c r="D276" s="883" t="s">
        <v>38</v>
      </c>
      <c r="E276" s="225"/>
      <c r="F276" s="225"/>
      <c r="G276" s="226"/>
      <c r="H276" s="227"/>
      <c r="I276" s="219"/>
      <c r="J276" s="219"/>
      <c r="K276" s="220"/>
      <c r="L276" s="1235"/>
      <c r="M276" s="220"/>
      <c r="N276" s="220"/>
      <c r="O276" s="220"/>
      <c r="P276" s="220"/>
      <c r="Q276" s="220"/>
      <c r="R276" s="220"/>
      <c r="S276" s="220"/>
      <c r="T276" s="220"/>
      <c r="U276" s="220"/>
    </row>
    <row r="277" spans="1:21" ht="18.75" x14ac:dyDescent="0.25">
      <c r="A277" s="949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IFERROR(__xludf.DUMMYFUNCTION("IMPORTRANGE(""https://docs.google.com/spreadsheets/d/1eHaY18a8A9IcSdp1K8H6x8fbOy06t2VsZHhMHf-1x7Y/edit?usp=sharing"",""แผน!EC69"")"),22)</f>
        <v>22</v>
      </c>
      <c r="J277" s="908">
        <v>0</v>
      </c>
      <c r="K277" s="85">
        <f ca="1">IF(I277&gt;0,J277*100/I277,0)</f>
        <v>0</v>
      </c>
      <c r="L277" s="540"/>
      <c r="M277" s="72"/>
      <c r="N277" s="72"/>
      <c r="O277" s="72"/>
      <c r="P277" s="72"/>
      <c r="Q277" s="72"/>
      <c r="R277" s="72"/>
      <c r="S277" s="72"/>
      <c r="T277" s="72"/>
      <c r="U277" s="72"/>
    </row>
    <row r="278" spans="1:21" ht="18.75" hidden="1" x14ac:dyDescent="0.25">
      <c r="A278" s="1236"/>
      <c r="B278" s="996"/>
      <c r="C278" s="996"/>
      <c r="D278" s="1145" t="s">
        <v>116</v>
      </c>
      <c r="E278" s="1237"/>
      <c r="F278" s="1237"/>
      <c r="G278" s="1238"/>
      <c r="H278" s="1305" t="s">
        <v>35</v>
      </c>
      <c r="I278" s="779">
        <v>0</v>
      </c>
      <c r="J278" s="779">
        <v>0</v>
      </c>
      <c r="K278" s="1147">
        <v>0</v>
      </c>
      <c r="L278" s="1239"/>
      <c r="M278" s="1240"/>
      <c r="N278" s="1240"/>
      <c r="O278" s="1240"/>
      <c r="P278" s="1240"/>
      <c r="Q278" s="1240"/>
      <c r="R278" s="1240"/>
      <c r="S278" s="1240"/>
      <c r="T278" s="1240"/>
      <c r="U278" s="124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50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3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306" t="s">
        <v>35</v>
      </c>
      <c r="I281" s="1163">
        <f t="shared" ref="I281:J281" ca="1" si="173">I294</f>
        <v>0</v>
      </c>
      <c r="J281" s="1163">
        <f t="shared" si="173"/>
        <v>0</v>
      </c>
      <c r="K281" s="1164">
        <f t="shared" ref="K281:K282" ca="1" si="174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306" t="s">
        <v>46</v>
      </c>
      <c r="I282" s="1163">
        <f t="shared" ref="I282:J282" ca="1" si="175">I293</f>
        <v>0</v>
      </c>
      <c r="J282" s="1163">
        <f t="shared" si="175"/>
        <v>0</v>
      </c>
      <c r="K282" s="1164">
        <f t="shared" ca="1" si="174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1257">
        <f t="shared" ref="L283:N283" ca="1" si="176">L284+L285</f>
        <v>0</v>
      </c>
      <c r="M283" s="264">
        <f t="shared" ca="1" si="176"/>
        <v>0</v>
      </c>
      <c r="N283" s="264">
        <f t="shared" ca="1" si="176"/>
        <v>0</v>
      </c>
      <c r="O283" s="264">
        <f t="shared" ref="O283:O291" ca="1" si="177">IF(L283&gt;0,N283*100/L283,0)</f>
        <v>0</v>
      </c>
      <c r="P283" s="264">
        <f t="shared" ref="P283:P291" ca="1" si="178">IF(M283&gt;0,N283*100/M283,0)</f>
        <v>0</v>
      </c>
      <c r="Q283" s="264">
        <f t="shared" ref="Q283:S283" si="179">Q284+Q285</f>
        <v>0</v>
      </c>
      <c r="R283" s="264">
        <f t="shared" si="179"/>
        <v>0</v>
      </c>
      <c r="S283" s="264">
        <f t="shared" si="179"/>
        <v>0</v>
      </c>
      <c r="T283" s="264">
        <f t="shared" ref="T283:T291" si="180">IF(Q283&gt;0,S283*100/Q283,0)</f>
        <v>0</v>
      </c>
      <c r="U283" s="264">
        <f t="shared" ref="U283:U291" si="181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6">
        <f t="shared" ref="L284:N285" si="182">L287+L290</f>
        <v>0</v>
      </c>
      <c r="M284" s="77">
        <f t="shared" si="182"/>
        <v>0</v>
      </c>
      <c r="N284" s="77">
        <f t="shared" si="182"/>
        <v>0</v>
      </c>
      <c r="O284" s="77">
        <f t="shared" si="177"/>
        <v>0</v>
      </c>
      <c r="P284" s="77">
        <f t="shared" si="178"/>
        <v>0</v>
      </c>
      <c r="Q284" s="77">
        <f t="shared" ref="Q284:S285" si="183">Q287+Q290</f>
        <v>0</v>
      </c>
      <c r="R284" s="77">
        <f t="shared" si="183"/>
        <v>0</v>
      </c>
      <c r="S284" s="77">
        <f t="shared" si="183"/>
        <v>0</v>
      </c>
      <c r="T284" s="77">
        <f t="shared" si="180"/>
        <v>0</v>
      </c>
      <c r="U284" s="77">
        <f t="shared" si="181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3">
        <f t="shared" ca="1" si="182"/>
        <v>0</v>
      </c>
      <c r="M285" s="74">
        <f t="shared" ca="1" si="182"/>
        <v>0</v>
      </c>
      <c r="N285" s="74">
        <f t="shared" ca="1" si="182"/>
        <v>0</v>
      </c>
      <c r="O285" s="74">
        <f t="shared" ca="1" si="177"/>
        <v>0</v>
      </c>
      <c r="P285" s="74">
        <f t="shared" ca="1" si="178"/>
        <v>0</v>
      </c>
      <c r="Q285" s="74">
        <f t="shared" si="183"/>
        <v>0</v>
      </c>
      <c r="R285" s="74">
        <f t="shared" si="183"/>
        <v>0</v>
      </c>
      <c r="S285" s="74">
        <f t="shared" si="183"/>
        <v>0</v>
      </c>
      <c r="T285" s="74">
        <f t="shared" si="180"/>
        <v>0</v>
      </c>
      <c r="U285" s="74">
        <f t="shared" si="181"/>
        <v>0</v>
      </c>
    </row>
    <row r="286" spans="1:21" ht="18.75" hidden="1" x14ac:dyDescent="0.25">
      <c r="A286" s="257"/>
      <c r="B286" s="258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3">
        <f t="shared" ref="L286:N286" ca="1" si="184">L287+L288</f>
        <v>0</v>
      </c>
      <c r="M286" s="74">
        <f t="shared" ca="1" si="184"/>
        <v>0</v>
      </c>
      <c r="N286" s="74">
        <f t="shared" ca="1" si="184"/>
        <v>0</v>
      </c>
      <c r="O286" s="74">
        <f t="shared" ca="1" si="177"/>
        <v>0</v>
      </c>
      <c r="P286" s="74">
        <f t="shared" ca="1" si="178"/>
        <v>0</v>
      </c>
      <c r="Q286" s="74">
        <f t="shared" ref="Q286:S286" si="185">Q287+Q288</f>
        <v>0</v>
      </c>
      <c r="R286" s="74">
        <f t="shared" si="185"/>
        <v>0</v>
      </c>
      <c r="S286" s="74">
        <f t="shared" si="185"/>
        <v>0</v>
      </c>
      <c r="T286" s="74">
        <f t="shared" si="180"/>
        <v>0</v>
      </c>
      <c r="U286" s="74">
        <f t="shared" si="181"/>
        <v>0</v>
      </c>
    </row>
    <row r="287" spans="1:21" ht="18.75" hidden="1" x14ac:dyDescent="0.25">
      <c r="A287" s="257"/>
      <c r="B287" s="258"/>
      <c r="C287" s="258"/>
      <c r="D287" s="258"/>
      <c r="E287" s="26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77">
        <f t="shared" si="177"/>
        <v>0</v>
      </c>
      <c r="P287" s="77">
        <f t="shared" si="178"/>
        <v>0</v>
      </c>
      <c r="Q287" s="77">
        <v>0</v>
      </c>
      <c r="R287" s="77">
        <v>0</v>
      </c>
      <c r="S287" s="77">
        <v>0</v>
      </c>
      <c r="T287" s="77">
        <f t="shared" si="180"/>
        <v>0</v>
      </c>
      <c r="U287" s="77">
        <f t="shared" si="181"/>
        <v>0</v>
      </c>
    </row>
    <row r="288" spans="1:21" ht="18.75" hidden="1" x14ac:dyDescent="0.25">
      <c r="A288" s="257"/>
      <c r="B288" s="258"/>
      <c r="C288" s="258"/>
      <c r="D288" s="258"/>
      <c r="E288" s="267" t="s">
        <v>37</v>
      </c>
      <c r="F288" s="258"/>
      <c r="G288" s="261"/>
      <c r="H288" s="271" t="s">
        <v>14</v>
      </c>
      <c r="I288" s="272"/>
      <c r="J288" s="272"/>
      <c r="K288" s="229"/>
      <c r="L288" s="73">
        <f ca="1">IFERROR(__xludf.DUMMYFUNCTION("IMPORTRANGE(""https://docs.google.com/spreadsheets/d/1-uDff_7J0KD5mKrp0Vvzr7lt3OU09vwQwhkpOPPYv2Y/edit?usp=sharing"",""งบพรบ!DO69"")"),0)</f>
        <v>0</v>
      </c>
      <c r="M288" s="74">
        <f ca="1">IFERROR(__xludf.DUMMYFUNCTION("IMPORTRANGE(""https://docs.google.com/spreadsheets/d/1-uDff_7J0KD5mKrp0Vvzr7lt3OU09vwQwhkpOPPYv2Y/edit?usp=sharing"",""งบพรบ!DT69"")"),0)</f>
        <v>0</v>
      </c>
      <c r="N288" s="74">
        <f ca="1">IFERROR(__xludf.DUMMYFUNCTION("IMPORTRANGE(""https://docs.google.com/spreadsheets/d/1-uDff_7J0KD5mKrp0Vvzr7lt3OU09vwQwhkpOPPYv2Y/edit?usp=sharing"",""งบพรบ!DV69"")"),0)</f>
        <v>0</v>
      </c>
      <c r="O288" s="74">
        <f t="shared" ca="1" si="177"/>
        <v>0</v>
      </c>
      <c r="P288" s="74">
        <f t="shared" ca="1" si="178"/>
        <v>0</v>
      </c>
      <c r="Q288" s="74">
        <v>0</v>
      </c>
      <c r="R288" s="74">
        <v>0</v>
      </c>
      <c r="S288" s="74">
        <v>0</v>
      </c>
      <c r="T288" s="77">
        <f t="shared" si="180"/>
        <v>0</v>
      </c>
      <c r="U288" s="77">
        <f t="shared" si="181"/>
        <v>0</v>
      </c>
    </row>
    <row r="289" spans="1:21" ht="18.75" hidden="1" x14ac:dyDescent="0.25">
      <c r="A289" s="257"/>
      <c r="B289" s="258"/>
      <c r="C289" s="258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3">
        <f t="shared" ref="L289:N289" ca="1" si="186">L290+L291</f>
        <v>0</v>
      </c>
      <c r="M289" s="74">
        <f t="shared" ca="1" si="186"/>
        <v>0</v>
      </c>
      <c r="N289" s="74">
        <f t="shared" ca="1" si="186"/>
        <v>0</v>
      </c>
      <c r="O289" s="74">
        <f t="shared" ca="1" si="177"/>
        <v>0</v>
      </c>
      <c r="P289" s="74">
        <f t="shared" ca="1" si="178"/>
        <v>0</v>
      </c>
      <c r="Q289" s="74">
        <f t="shared" ref="Q289:S289" si="187">Q290+Q291</f>
        <v>0</v>
      </c>
      <c r="R289" s="74">
        <f t="shared" si="187"/>
        <v>0</v>
      </c>
      <c r="S289" s="74">
        <f t="shared" si="187"/>
        <v>0</v>
      </c>
      <c r="T289" s="74">
        <f t="shared" si="180"/>
        <v>0</v>
      </c>
      <c r="U289" s="74">
        <f t="shared" si="181"/>
        <v>0</v>
      </c>
    </row>
    <row r="290" spans="1:21" ht="18.75" hidden="1" x14ac:dyDescent="0.25">
      <c r="A290" s="257"/>
      <c r="B290" s="258"/>
      <c r="C290" s="258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77">
        <f t="shared" si="177"/>
        <v>0</v>
      </c>
      <c r="P290" s="77">
        <f t="shared" si="178"/>
        <v>0</v>
      </c>
      <c r="Q290" s="77">
        <v>0</v>
      </c>
      <c r="R290" s="77">
        <v>0</v>
      </c>
      <c r="S290" s="77">
        <v>0</v>
      </c>
      <c r="T290" s="77">
        <f t="shared" si="180"/>
        <v>0</v>
      </c>
      <c r="U290" s="77">
        <f t="shared" si="181"/>
        <v>0</v>
      </c>
    </row>
    <row r="291" spans="1:21" ht="18.75" hidden="1" x14ac:dyDescent="0.25">
      <c r="A291" s="257"/>
      <c r="B291" s="258"/>
      <c r="C291" s="258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3">
        <f ca="1">IFERROR(__xludf.DUMMYFUNCTION("IMPORTRANGE(""https://docs.google.com/spreadsheets/d/1-uDff_7J0KD5mKrp0Vvzr7lt3OU09vwQwhkpOPPYv2Y/edit?usp=sharing"",""งบพรบ!DR69"")"),0)</f>
        <v>0</v>
      </c>
      <c r="M291" s="74">
        <f ca="1">IFERROR(__xludf.DUMMYFUNCTION("IMPORTRANGE(""https://docs.google.com/spreadsheets/d/1-uDff_7J0KD5mKrp0Vvzr7lt3OU09vwQwhkpOPPYv2Y/edit?usp=sharing"",""งบพรบ!DU69"")"),0)</f>
        <v>0</v>
      </c>
      <c r="N291" s="74">
        <f ca="1">IFERROR(__xludf.DUMMYFUNCTION("IMPORTRANGE(""https://docs.google.com/spreadsheets/d/1-uDff_7J0KD5mKrp0Vvzr7lt3OU09vwQwhkpOPPYv2Y/edit?usp=sharing"",""งบพรบ!DW69"")"),0)</f>
        <v>0</v>
      </c>
      <c r="O291" s="74">
        <f t="shared" ca="1" si="177"/>
        <v>0</v>
      </c>
      <c r="P291" s="74">
        <f t="shared" ca="1" si="178"/>
        <v>0</v>
      </c>
      <c r="Q291" s="74">
        <v>0</v>
      </c>
      <c r="R291" s="74">
        <v>0</v>
      </c>
      <c r="S291" s="74">
        <v>0</v>
      </c>
      <c r="T291" s="74">
        <f t="shared" si="180"/>
        <v>0</v>
      </c>
      <c r="U291" s="74">
        <f t="shared" si="181"/>
        <v>0</v>
      </c>
    </row>
    <row r="292" spans="1:21" ht="19.5" hidden="1" x14ac:dyDescent="0.3">
      <c r="A292" s="276"/>
      <c r="B292" s="277"/>
      <c r="C292" s="259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IFERROR(__xludf.DUMMYFUNCTION("IMPORTRANGE(""https://docs.google.com/spreadsheets/d/1eHaY18a8A9IcSdp1K8H6x8fbOy06t2VsZHhMHf-1x7Y/edit?usp=sharing"",""แผน!EE69"")"),0)</f>
        <v>0</v>
      </c>
      <c r="J293" s="294">
        <v>0</v>
      </c>
      <c r="K293" s="768">
        <f t="shared" ref="K293:K294" ca="1" si="188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IFERROR(__xludf.DUMMYFUNCTION("IMPORTRANGE(""https://docs.google.com/spreadsheets/d/1eHaY18a8A9IcSdp1K8H6x8fbOy06t2VsZHhMHf-1x7Y/edit?usp=sharing"",""แผน!ED69"")"),0)</f>
        <v>0</v>
      </c>
      <c r="J294" s="622">
        <f>J297</f>
        <v>0</v>
      </c>
      <c r="K294" s="1105">
        <f t="shared" ca="1" si="188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96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IFERROR(__xludf.DUMMYFUNCTION("IMPORTRANGE(""https://docs.google.com/spreadsheets/d/1eHaY18a8A9IcSdp1K8H6x8fbOy06t2VsZHhMHf-1x7Y/edit?usp=sharing"",""แผน!ED69"")"),0)</f>
        <v>0</v>
      </c>
      <c r="J296" s="294">
        <v>0</v>
      </c>
      <c r="K296" s="768">
        <f t="shared" ref="K296:K297" ca="1" si="189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IFERROR(__xludf.DUMMYFUNCTION("IMPORTRANGE(""https://docs.google.com/spreadsheets/d/1eHaY18a8A9IcSdp1K8H6x8fbOy06t2VsZHhMHf-1x7Y/edit?usp=sharing"",""แผน!ED69"")"),0)</f>
        <v>0</v>
      </c>
      <c r="J297" s="294">
        <v>0</v>
      </c>
      <c r="K297" s="768">
        <f t="shared" ca="1" si="189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286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286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041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1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hidden="1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6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hidden="1" x14ac:dyDescent="0.3">
      <c r="A303" s="1179"/>
      <c r="B303" s="1180" t="s">
        <v>127</v>
      </c>
      <c r="C303" s="607"/>
      <c r="D303" s="607"/>
      <c r="E303" s="607"/>
      <c r="F303" s="607"/>
      <c r="G303" s="608"/>
      <c r="H303" s="1307" t="s">
        <v>35</v>
      </c>
      <c r="I303" s="617">
        <f t="shared" ref="I303:J303" ca="1" si="190">I315</f>
        <v>0</v>
      </c>
      <c r="J303" s="617">
        <f t="shared" si="190"/>
        <v>0</v>
      </c>
      <c r="K303" s="611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hidden="1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1257">
        <f t="shared" ref="L304:N304" ca="1" si="191">L305+L306</f>
        <v>0</v>
      </c>
      <c r="M304" s="264">
        <f t="shared" ca="1" si="191"/>
        <v>0</v>
      </c>
      <c r="N304" s="264">
        <f t="shared" ca="1" si="191"/>
        <v>0</v>
      </c>
      <c r="O304" s="264">
        <f t="shared" ref="O304:O312" ca="1" si="192">IF(L304&gt;0,N304*100/L304,0)</f>
        <v>0</v>
      </c>
      <c r="P304" s="264">
        <f t="shared" ref="P304:P312" ca="1" si="193">IF(M304&gt;0,N304*100/M304,0)</f>
        <v>0</v>
      </c>
      <c r="Q304" s="264">
        <f t="shared" ref="Q304:S304" ca="1" si="194">Q305+Q306</f>
        <v>0</v>
      </c>
      <c r="R304" s="264">
        <f t="shared" ca="1" si="194"/>
        <v>0</v>
      </c>
      <c r="S304" s="264">
        <f t="shared" ca="1" si="194"/>
        <v>0</v>
      </c>
      <c r="T304" s="264">
        <f t="shared" ref="T304:T312" ca="1" si="195">IF(Q304&gt;0,S304*100/Q304,0)</f>
        <v>0</v>
      </c>
      <c r="U304" s="264">
        <f t="shared" ref="U304:U312" ca="1" si="196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6">
        <f t="shared" ref="L305:N306" si="197">L308+L311</f>
        <v>0</v>
      </c>
      <c r="M305" s="77">
        <f t="shared" si="197"/>
        <v>0</v>
      </c>
      <c r="N305" s="77">
        <f t="shared" si="197"/>
        <v>0</v>
      </c>
      <c r="O305" s="77">
        <f t="shared" si="192"/>
        <v>0</v>
      </c>
      <c r="P305" s="77">
        <f t="shared" si="193"/>
        <v>0</v>
      </c>
      <c r="Q305" s="77">
        <f t="shared" ref="Q305:S306" si="198">Q308+Q311</f>
        <v>0</v>
      </c>
      <c r="R305" s="77">
        <f t="shared" si="198"/>
        <v>0</v>
      </c>
      <c r="S305" s="77">
        <f t="shared" si="198"/>
        <v>0</v>
      </c>
      <c r="T305" s="77">
        <f t="shared" si="195"/>
        <v>0</v>
      </c>
      <c r="U305" s="77">
        <f t="shared" si="196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3">
        <f t="shared" ca="1" si="197"/>
        <v>0</v>
      </c>
      <c r="M306" s="74">
        <f t="shared" ca="1" si="197"/>
        <v>0</v>
      </c>
      <c r="N306" s="74">
        <f t="shared" ca="1" si="197"/>
        <v>0</v>
      </c>
      <c r="O306" s="74">
        <f t="shared" ca="1" si="192"/>
        <v>0</v>
      </c>
      <c r="P306" s="74">
        <f t="shared" ca="1" si="193"/>
        <v>0</v>
      </c>
      <c r="Q306" s="74">
        <f t="shared" ca="1" si="198"/>
        <v>0</v>
      </c>
      <c r="R306" s="74">
        <f t="shared" ca="1" si="198"/>
        <v>0</v>
      </c>
      <c r="S306" s="74">
        <f t="shared" ca="1" si="198"/>
        <v>0</v>
      </c>
      <c r="T306" s="74">
        <f t="shared" ca="1" si="195"/>
        <v>0</v>
      </c>
      <c r="U306" s="74">
        <f t="shared" ca="1" si="196"/>
        <v>0</v>
      </c>
    </row>
    <row r="307" spans="1:21" ht="18.75" hidden="1" x14ac:dyDescent="0.25">
      <c r="A307" s="257"/>
      <c r="B307" s="258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3">
        <f t="shared" ref="L307:N307" ca="1" si="199">L308+L309</f>
        <v>0</v>
      </c>
      <c r="M307" s="74">
        <f t="shared" ca="1" si="199"/>
        <v>0</v>
      </c>
      <c r="N307" s="74">
        <f t="shared" ca="1" si="199"/>
        <v>0</v>
      </c>
      <c r="O307" s="74">
        <f t="shared" ca="1" si="192"/>
        <v>0</v>
      </c>
      <c r="P307" s="74">
        <f t="shared" ca="1" si="193"/>
        <v>0</v>
      </c>
      <c r="Q307" s="74">
        <f t="shared" ref="Q307:S307" ca="1" si="200">Q308+Q309</f>
        <v>0</v>
      </c>
      <c r="R307" s="74">
        <f t="shared" ca="1" si="200"/>
        <v>0</v>
      </c>
      <c r="S307" s="74">
        <f t="shared" ca="1" si="200"/>
        <v>0</v>
      </c>
      <c r="T307" s="74">
        <f t="shared" ca="1" si="195"/>
        <v>0</v>
      </c>
      <c r="U307" s="74">
        <f t="shared" ca="1" si="196"/>
        <v>0</v>
      </c>
    </row>
    <row r="308" spans="1:21" ht="18.75" hidden="1" x14ac:dyDescent="0.25">
      <c r="A308" s="257"/>
      <c r="B308" s="258"/>
      <c r="C308" s="258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77">
        <f t="shared" si="192"/>
        <v>0</v>
      </c>
      <c r="P308" s="77">
        <f t="shared" si="193"/>
        <v>0</v>
      </c>
      <c r="Q308" s="77">
        <v>0</v>
      </c>
      <c r="R308" s="77">
        <v>0</v>
      </c>
      <c r="S308" s="77">
        <v>0</v>
      </c>
      <c r="T308" s="77">
        <f t="shared" si="195"/>
        <v>0</v>
      </c>
      <c r="U308" s="77">
        <f t="shared" si="196"/>
        <v>0</v>
      </c>
    </row>
    <row r="309" spans="1:21" ht="18.75" hidden="1" x14ac:dyDescent="0.25">
      <c r="A309" s="257"/>
      <c r="B309" s="258"/>
      <c r="C309" s="258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3">
        <f ca="1">IFERROR(__xludf.DUMMYFUNCTION("IMPORTRANGE(""https://docs.google.com/spreadsheets/d/1-uDff_7J0KD5mKrp0Vvzr7lt3OU09vwQwhkpOPPYv2Y/edit?usp=sharing"",""งบพรบ!DY69"")"),0)</f>
        <v>0</v>
      </c>
      <c r="M309" s="74">
        <f ca="1">IFERROR(__xludf.DUMMYFUNCTION("IMPORTRANGE(""https://docs.google.com/spreadsheets/d/1-uDff_7J0KD5mKrp0Vvzr7lt3OU09vwQwhkpOPPYv2Y/edit?usp=sharing"",""งบพรบ!ED69"")"),0)</f>
        <v>0</v>
      </c>
      <c r="N309" s="74">
        <f ca="1">IFERROR(__xludf.DUMMYFUNCTION("IMPORTRANGE(""https://docs.google.com/spreadsheets/d/1-uDff_7J0KD5mKrp0Vvzr7lt3OU09vwQwhkpOPPYv2Y/edit?usp=sharing"",""งบพรบ!EF69"")"),0)</f>
        <v>0</v>
      </c>
      <c r="O309" s="74">
        <f t="shared" ca="1" si="192"/>
        <v>0</v>
      </c>
      <c r="P309" s="74">
        <f t="shared" ca="1" si="193"/>
        <v>0</v>
      </c>
      <c r="Q309" s="74">
        <f ca="1">IFERROR(__xludf.DUMMYFUNCTION("IMPORTRANGE(""https://docs.google.com/spreadsheets/d/1ItG2mGa2ceCfYo0BwxsXqNm01IGEUdYcSSLTEv9YCik/edit?usp=sharing"",""เบิกจ่ายกองทุน!AP69"")"),0)</f>
        <v>0</v>
      </c>
      <c r="R309" s="74">
        <f ca="1">IFERROR(__xludf.DUMMYFUNCTION("IMPORTRANGE(""https://docs.google.com/spreadsheets/d/1ItG2mGa2ceCfYo0BwxsXqNm01IGEUdYcSSLTEv9YCik/edit?usp=sharing"",""เบิกจ่ายกองทุน!AQ69"")"),0)</f>
        <v>0</v>
      </c>
      <c r="S309" s="74">
        <f ca="1">IFERROR(__xludf.DUMMYFUNCTION("IMPORTRANGE(""https://docs.google.com/spreadsheets/d/1ItG2mGa2ceCfYo0BwxsXqNm01IGEUdYcSSLTEv9YCik/edit?usp=sharing"",""เบิกจ่ายกองทุน!AR69"")"),0)</f>
        <v>0</v>
      </c>
      <c r="T309" s="74">
        <f t="shared" ca="1" si="195"/>
        <v>0</v>
      </c>
      <c r="U309" s="74">
        <f t="shared" ca="1" si="196"/>
        <v>0</v>
      </c>
    </row>
    <row r="310" spans="1:21" ht="18.75" hidden="1" x14ac:dyDescent="0.25">
      <c r="A310" s="257"/>
      <c r="B310" s="258"/>
      <c r="C310" s="258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3">
        <f t="shared" ref="L310:N310" ca="1" si="201">L311+L312</f>
        <v>0</v>
      </c>
      <c r="M310" s="74">
        <f t="shared" ca="1" si="201"/>
        <v>0</v>
      </c>
      <c r="N310" s="74">
        <f t="shared" ca="1" si="201"/>
        <v>0</v>
      </c>
      <c r="O310" s="74">
        <f t="shared" ca="1" si="192"/>
        <v>0</v>
      </c>
      <c r="P310" s="74">
        <f t="shared" ca="1" si="193"/>
        <v>0</v>
      </c>
      <c r="Q310" s="74">
        <f t="shared" ref="Q310:S310" si="202">Q311+Q312</f>
        <v>0</v>
      </c>
      <c r="R310" s="74">
        <f t="shared" si="202"/>
        <v>0</v>
      </c>
      <c r="S310" s="74">
        <f t="shared" si="202"/>
        <v>0</v>
      </c>
      <c r="T310" s="74">
        <f t="shared" si="195"/>
        <v>0</v>
      </c>
      <c r="U310" s="74">
        <f t="shared" si="196"/>
        <v>0</v>
      </c>
    </row>
    <row r="311" spans="1:21" ht="18.75" hidden="1" x14ac:dyDescent="0.25">
      <c r="A311" s="257"/>
      <c r="B311" s="258"/>
      <c r="C311" s="258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77">
        <f t="shared" si="192"/>
        <v>0</v>
      </c>
      <c r="P311" s="77">
        <f t="shared" si="193"/>
        <v>0</v>
      </c>
      <c r="Q311" s="77">
        <v>0</v>
      </c>
      <c r="R311" s="77">
        <v>0</v>
      </c>
      <c r="S311" s="77">
        <v>0</v>
      </c>
      <c r="T311" s="77">
        <f t="shared" si="195"/>
        <v>0</v>
      </c>
      <c r="U311" s="77">
        <f t="shared" si="196"/>
        <v>0</v>
      </c>
    </row>
    <row r="312" spans="1:21" ht="18.75" hidden="1" x14ac:dyDescent="0.25">
      <c r="A312" s="257"/>
      <c r="B312" s="258"/>
      <c r="C312" s="258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3">
        <f ca="1">IFERROR(__xludf.DUMMYFUNCTION("IMPORTRANGE(""https://docs.google.com/spreadsheets/d/1-uDff_7J0KD5mKrp0Vvzr7lt3OU09vwQwhkpOPPYv2Y/edit?usp=sharing"",""งบพรบ!EB69"")"),0)</f>
        <v>0</v>
      </c>
      <c r="M312" s="74">
        <f ca="1">IFERROR(__xludf.DUMMYFUNCTION("IMPORTRANGE(""https://docs.google.com/spreadsheets/d/1-uDff_7J0KD5mKrp0Vvzr7lt3OU09vwQwhkpOPPYv2Y/edit?usp=sharing"",""งบพรบ!EE69"")"),0)</f>
        <v>0</v>
      </c>
      <c r="N312" s="74">
        <f ca="1">IFERROR(__xludf.DUMMYFUNCTION("IMPORTRANGE(""https://docs.google.com/spreadsheets/d/1-uDff_7J0KD5mKrp0Vvzr7lt3OU09vwQwhkpOPPYv2Y/edit?usp=sharing"",""งบพรบ!EG69"")"),0)</f>
        <v>0</v>
      </c>
      <c r="O312" s="74">
        <f t="shared" ca="1" si="192"/>
        <v>0</v>
      </c>
      <c r="P312" s="74">
        <f t="shared" ca="1" si="193"/>
        <v>0</v>
      </c>
      <c r="Q312" s="74">
        <v>0</v>
      </c>
      <c r="R312" s="74">
        <v>0</v>
      </c>
      <c r="S312" s="74">
        <v>0</v>
      </c>
      <c r="T312" s="74">
        <f t="shared" si="195"/>
        <v>0</v>
      </c>
      <c r="U312" s="74">
        <f t="shared" si="196"/>
        <v>0</v>
      </c>
    </row>
    <row r="313" spans="1:21" ht="19.5" hidden="1" x14ac:dyDescent="0.3">
      <c r="A313" s="276"/>
      <c r="B313" s="277"/>
      <c r="C313" s="259" t="s">
        <v>18</v>
      </c>
      <c r="D313" s="1019" t="s">
        <v>38</v>
      </c>
      <c r="E313" s="280"/>
      <c r="F313" s="280"/>
      <c r="G313" s="2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3"/>
      <c r="E314" s="285"/>
      <c r="F314" s="285"/>
      <c r="G314" s="286"/>
      <c r="H314" s="286"/>
      <c r="I314" s="287"/>
      <c r="J314" s="1252"/>
      <c r="K314" s="30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hidden="1" x14ac:dyDescent="0.25">
      <c r="A315" s="276"/>
      <c r="B315" s="277"/>
      <c r="C315" s="277"/>
      <c r="D315" s="295" t="s">
        <v>121</v>
      </c>
      <c r="E315" s="296"/>
      <c r="F315" s="296"/>
      <c r="G315" s="282"/>
      <c r="H315" s="299" t="s">
        <v>35</v>
      </c>
      <c r="I315" s="293">
        <f ca="1">IFERROR(__xludf.DUMMYFUNCTION("IMPORTRANGE(""https://docs.google.com/spreadsheets/d/1eHaY18a8A9IcSdp1K8H6x8fbOy06t2VsZHhMHf-1x7Y/edit?usp=sharing"",""แผน!EF69"")"),0)</f>
        <v>0</v>
      </c>
      <c r="J315" s="294">
        <v>0</v>
      </c>
      <c r="K315" s="74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308"/>
      <c r="I316" s="1252"/>
      <c r="J316" s="1252"/>
      <c r="K316" s="1255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308"/>
      <c r="I317" s="1252"/>
      <c r="J317" s="1252"/>
      <c r="K317" s="1255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283"/>
      <c r="B318" s="284"/>
      <c r="C318" s="284"/>
      <c r="D318" s="812"/>
      <c r="E318" s="285"/>
      <c r="F318" s="285"/>
      <c r="G318" s="286"/>
      <c r="H318" s="813"/>
      <c r="I318" s="887"/>
      <c r="J318" s="887"/>
      <c r="K318" s="888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5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x14ac:dyDescent="0.3">
      <c r="A320" s="603"/>
      <c r="B320" s="1180" t="s">
        <v>132</v>
      </c>
      <c r="C320" s="605"/>
      <c r="D320" s="606"/>
      <c r="E320" s="607"/>
      <c r="F320" s="607"/>
      <c r="G320" s="608"/>
      <c r="H320" s="1307" t="s">
        <v>133</v>
      </c>
      <c r="I320" s="617">
        <f t="shared" ref="I320:J320" ca="1" si="203">I331</f>
        <v>1</v>
      </c>
      <c r="J320" s="617">
        <f t="shared" si="203"/>
        <v>1</v>
      </c>
      <c r="K320" s="611">
        <f ca="1">IF(I320&gt;0,J320*100/I320,0)</f>
        <v>100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1257">
        <f t="shared" ref="L321:N321" ca="1" si="204">L322+L323</f>
        <v>40000</v>
      </c>
      <c r="M321" s="264">
        <f t="shared" ca="1" si="204"/>
        <v>40000</v>
      </c>
      <c r="N321" s="264">
        <f t="shared" ca="1" si="204"/>
        <v>3800</v>
      </c>
      <c r="O321" s="264">
        <f t="shared" ref="O321:O329" ca="1" si="205">IF(L321&gt;0,N321*100/L321,0)</f>
        <v>9.5</v>
      </c>
      <c r="P321" s="264">
        <f t="shared" ref="P321:P329" ca="1" si="206">IF(M321&gt;0,N321*100/M321,0)</f>
        <v>9.5</v>
      </c>
      <c r="Q321" s="264">
        <f t="shared" ref="Q321:S321" si="207">Q322+Q323</f>
        <v>0</v>
      </c>
      <c r="R321" s="264">
        <f t="shared" si="207"/>
        <v>0</v>
      </c>
      <c r="S321" s="264">
        <f t="shared" si="207"/>
        <v>0</v>
      </c>
      <c r="T321" s="264">
        <f t="shared" ref="T321:T329" si="208">IF(Q321&gt;0,S321*100/Q321,0)</f>
        <v>0</v>
      </c>
      <c r="U321" s="264">
        <f t="shared" ref="U321:U329" si="209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6">
        <f t="shared" ref="L322:N323" si="210">L325+L328</f>
        <v>0</v>
      </c>
      <c r="M322" s="77">
        <f t="shared" si="210"/>
        <v>0</v>
      </c>
      <c r="N322" s="77">
        <f t="shared" si="210"/>
        <v>0</v>
      </c>
      <c r="O322" s="77">
        <f t="shared" si="205"/>
        <v>0</v>
      </c>
      <c r="P322" s="77">
        <f t="shared" si="206"/>
        <v>0</v>
      </c>
      <c r="Q322" s="77">
        <f t="shared" ref="Q322:S323" si="211">Q325+Q328</f>
        <v>0</v>
      </c>
      <c r="R322" s="77">
        <f t="shared" si="211"/>
        <v>0</v>
      </c>
      <c r="S322" s="77">
        <f t="shared" si="211"/>
        <v>0</v>
      </c>
      <c r="T322" s="77">
        <f t="shared" si="208"/>
        <v>0</v>
      </c>
      <c r="U322" s="77">
        <f t="shared" si="209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3">
        <f t="shared" ca="1" si="210"/>
        <v>40000</v>
      </c>
      <c r="M323" s="74">
        <f t="shared" ca="1" si="210"/>
        <v>40000</v>
      </c>
      <c r="N323" s="74">
        <f t="shared" ca="1" si="210"/>
        <v>3800</v>
      </c>
      <c r="O323" s="74">
        <f t="shared" ca="1" si="205"/>
        <v>9.5</v>
      </c>
      <c r="P323" s="74">
        <f t="shared" ca="1" si="206"/>
        <v>9.5</v>
      </c>
      <c r="Q323" s="74">
        <f t="shared" si="211"/>
        <v>0</v>
      </c>
      <c r="R323" s="74">
        <f t="shared" si="211"/>
        <v>0</v>
      </c>
      <c r="S323" s="74">
        <f t="shared" si="211"/>
        <v>0</v>
      </c>
      <c r="T323" s="74">
        <f t="shared" si="208"/>
        <v>0</v>
      </c>
      <c r="U323" s="74">
        <f t="shared" si="209"/>
        <v>0</v>
      </c>
    </row>
    <row r="324" spans="1:21" ht="18.75" x14ac:dyDescent="0.25">
      <c r="A324" s="257"/>
      <c r="B324" s="258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3">
        <f t="shared" ref="L324:N324" ca="1" si="212">L325+L326</f>
        <v>40000</v>
      </c>
      <c r="M324" s="74">
        <f t="shared" ca="1" si="212"/>
        <v>40000</v>
      </c>
      <c r="N324" s="74">
        <f t="shared" ca="1" si="212"/>
        <v>3800</v>
      </c>
      <c r="O324" s="74">
        <f t="shared" ca="1" si="205"/>
        <v>9.5</v>
      </c>
      <c r="P324" s="74">
        <f t="shared" ca="1" si="206"/>
        <v>9.5</v>
      </c>
      <c r="Q324" s="74">
        <f t="shared" ref="Q324:S324" si="213">Q325+Q326</f>
        <v>0</v>
      </c>
      <c r="R324" s="74">
        <f t="shared" si="213"/>
        <v>0</v>
      </c>
      <c r="S324" s="74">
        <f t="shared" si="213"/>
        <v>0</v>
      </c>
      <c r="T324" s="74">
        <f t="shared" si="208"/>
        <v>0</v>
      </c>
      <c r="U324" s="74">
        <f t="shared" si="209"/>
        <v>0</v>
      </c>
    </row>
    <row r="325" spans="1:21" ht="18.75" hidden="1" x14ac:dyDescent="0.25">
      <c r="A325" s="257"/>
      <c r="B325" s="258"/>
      <c r="C325" s="258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77">
        <f t="shared" si="205"/>
        <v>0</v>
      </c>
      <c r="P325" s="77">
        <f t="shared" si="206"/>
        <v>0</v>
      </c>
      <c r="Q325" s="77">
        <v>0</v>
      </c>
      <c r="R325" s="77">
        <v>0</v>
      </c>
      <c r="S325" s="77">
        <v>0</v>
      </c>
      <c r="T325" s="77">
        <f t="shared" si="208"/>
        <v>0</v>
      </c>
      <c r="U325" s="77">
        <f t="shared" si="209"/>
        <v>0</v>
      </c>
    </row>
    <row r="326" spans="1:21" ht="18.75" hidden="1" x14ac:dyDescent="0.25">
      <c r="A326" s="257"/>
      <c r="B326" s="258"/>
      <c r="C326" s="258"/>
      <c r="D326" s="258"/>
      <c r="E326" s="267" t="s">
        <v>37</v>
      </c>
      <c r="F326" s="258"/>
      <c r="G326" s="261"/>
      <c r="H326" s="271" t="s">
        <v>14</v>
      </c>
      <c r="I326" s="272"/>
      <c r="J326" s="272"/>
      <c r="K326" s="229"/>
      <c r="L326" s="73">
        <f ca="1">IFERROR(__xludf.DUMMYFUNCTION("IMPORTRANGE(""https://docs.google.com/spreadsheets/d/1-uDff_7J0KD5mKrp0Vvzr7lt3OU09vwQwhkpOPPYv2Y/edit?usp=sharing"",""งบพรบ!EI69"")"),40000)</f>
        <v>40000</v>
      </c>
      <c r="M326" s="74">
        <f ca="1">IFERROR(__xludf.DUMMYFUNCTION("IMPORTRANGE(""https://docs.google.com/spreadsheets/d/1-uDff_7J0KD5mKrp0Vvzr7lt3OU09vwQwhkpOPPYv2Y/edit?usp=sharing"",""งบพรบ!EN69"")"),40000)</f>
        <v>40000</v>
      </c>
      <c r="N326" s="74">
        <f ca="1">IFERROR(__xludf.DUMMYFUNCTION("IMPORTRANGE(""https://docs.google.com/spreadsheets/d/1-uDff_7J0KD5mKrp0Vvzr7lt3OU09vwQwhkpOPPYv2Y/edit?usp=sharing"",""งบพรบ!EP69"")"),3800)</f>
        <v>3800</v>
      </c>
      <c r="O326" s="74">
        <f t="shared" ca="1" si="205"/>
        <v>9.5</v>
      </c>
      <c r="P326" s="74">
        <f t="shared" ca="1" si="206"/>
        <v>9.5</v>
      </c>
      <c r="Q326" s="74">
        <v>0</v>
      </c>
      <c r="R326" s="74">
        <v>0</v>
      </c>
      <c r="S326" s="74">
        <v>0</v>
      </c>
      <c r="T326" s="74">
        <f t="shared" si="208"/>
        <v>0</v>
      </c>
      <c r="U326" s="74">
        <f t="shared" si="209"/>
        <v>0</v>
      </c>
    </row>
    <row r="327" spans="1:21" ht="18.75" x14ac:dyDescent="0.25">
      <c r="A327" s="257"/>
      <c r="B327" s="258"/>
      <c r="C327" s="258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3">
        <f t="shared" ref="L327:N327" ca="1" si="214">L328+L329</f>
        <v>0</v>
      </c>
      <c r="M327" s="74">
        <f t="shared" ca="1" si="214"/>
        <v>0</v>
      </c>
      <c r="N327" s="74">
        <f t="shared" ca="1" si="214"/>
        <v>0</v>
      </c>
      <c r="O327" s="74">
        <f t="shared" ca="1" si="205"/>
        <v>0</v>
      </c>
      <c r="P327" s="74">
        <f t="shared" ca="1" si="206"/>
        <v>0</v>
      </c>
      <c r="Q327" s="74">
        <f t="shared" ref="Q327:S327" si="215">Q328+Q329</f>
        <v>0</v>
      </c>
      <c r="R327" s="74">
        <f t="shared" si="215"/>
        <v>0</v>
      </c>
      <c r="S327" s="74">
        <f t="shared" si="215"/>
        <v>0</v>
      </c>
      <c r="T327" s="74">
        <f t="shared" si="208"/>
        <v>0</v>
      </c>
      <c r="U327" s="74">
        <f t="shared" si="209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77">
        <f t="shared" si="205"/>
        <v>0</v>
      </c>
      <c r="P328" s="77">
        <f t="shared" si="206"/>
        <v>0</v>
      </c>
      <c r="Q328" s="77">
        <v>0</v>
      </c>
      <c r="R328" s="77">
        <v>0</v>
      </c>
      <c r="S328" s="77">
        <v>0</v>
      </c>
      <c r="T328" s="77">
        <f t="shared" si="208"/>
        <v>0</v>
      </c>
      <c r="U328" s="77">
        <f t="shared" si="209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3">
        <f ca="1">IFERROR(__xludf.DUMMYFUNCTION("IMPORTRANGE(""https://docs.google.com/spreadsheets/d/1-uDff_7J0KD5mKrp0Vvzr7lt3OU09vwQwhkpOPPYv2Y/edit?usp=sharing"",""งบพรบ!EL69"")"),0)</f>
        <v>0</v>
      </c>
      <c r="M329" s="74">
        <f ca="1">IFERROR(__xludf.DUMMYFUNCTION("IMPORTRANGE(""https://docs.google.com/spreadsheets/d/1-uDff_7J0KD5mKrp0Vvzr7lt3OU09vwQwhkpOPPYv2Y/edit?usp=sharing"",""งบพรบ!EO69"")"),0)</f>
        <v>0</v>
      </c>
      <c r="N329" s="74">
        <f ca="1">IFERROR(__xludf.DUMMYFUNCTION("IMPORTRANGE(""https://docs.google.com/spreadsheets/d/1-uDff_7J0KD5mKrp0Vvzr7lt3OU09vwQwhkpOPPYv2Y/edit?usp=sharing"",""งบพรบ!EQ69"")"),0)</f>
        <v>0</v>
      </c>
      <c r="O329" s="74">
        <f t="shared" ca="1" si="205"/>
        <v>0</v>
      </c>
      <c r="P329" s="74">
        <f t="shared" ca="1" si="206"/>
        <v>0</v>
      </c>
      <c r="Q329" s="74">
        <v>0</v>
      </c>
      <c r="R329" s="74">
        <v>0</v>
      </c>
      <c r="S329" s="74">
        <v>0</v>
      </c>
      <c r="T329" s="74">
        <f t="shared" si="208"/>
        <v>0</v>
      </c>
      <c r="U329" s="74">
        <f t="shared" si="209"/>
        <v>0</v>
      </c>
    </row>
    <row r="330" spans="1:21" ht="19.5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282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x14ac:dyDescent="0.25">
      <c r="A331" s="276"/>
      <c r="B331" s="277"/>
      <c r="C331" s="277"/>
      <c r="D331" s="767" t="s">
        <v>134</v>
      </c>
      <c r="E331" s="296"/>
      <c r="F331" s="296"/>
      <c r="G331" s="282"/>
      <c r="H331" s="292" t="s">
        <v>133</v>
      </c>
      <c r="I331" s="293">
        <f ca="1">IFERROR(__xludf.DUMMYFUNCTION("IMPORTRANGE(""https://docs.google.com/spreadsheets/d/1eHaY18a8A9IcSdp1K8H6x8fbOy06t2VsZHhMHf-1x7Y/edit?usp=sharing"",""แผน!EJ69"")"),1)</f>
        <v>1</v>
      </c>
      <c r="J331" s="294">
        <v>1</v>
      </c>
      <c r="K331" s="74">
        <f ca="1">IF(I331&gt;0,J331*100/I331,0)</f>
        <v>100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5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1307" t="s">
        <v>35</v>
      </c>
      <c r="I333" s="534">
        <f ca="1">I345</f>
        <v>3540</v>
      </c>
      <c r="J333" s="535">
        <f ca="1">J345+J348+J349+J350+J354</f>
        <v>12254</v>
      </c>
      <c r="K333" s="536">
        <f ca="1">IF(I333&gt;0,J333*100/I333,0)</f>
        <v>346.15819209039546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1257">
        <f t="shared" ref="L334:N334" ca="1" si="216">L335+L336</f>
        <v>116000</v>
      </c>
      <c r="M334" s="264">
        <f t="shared" ca="1" si="216"/>
        <v>121000</v>
      </c>
      <c r="N334" s="264">
        <f t="shared" ca="1" si="216"/>
        <v>76000</v>
      </c>
      <c r="O334" s="264">
        <f t="shared" ref="O334:O342" ca="1" si="217">IF(L334&gt;0,N334*100/L334,0)</f>
        <v>65.517241379310349</v>
      </c>
      <c r="P334" s="264">
        <f t="shared" ref="P334:P342" ca="1" si="218">IF(M334&gt;0,N334*100/M334,0)</f>
        <v>62.809917355371901</v>
      </c>
      <c r="Q334" s="264">
        <f t="shared" ref="Q334:S334" si="219">Q335+Q336</f>
        <v>0</v>
      </c>
      <c r="R334" s="264">
        <f t="shared" si="219"/>
        <v>0</v>
      </c>
      <c r="S334" s="264">
        <f t="shared" si="219"/>
        <v>0</v>
      </c>
      <c r="T334" s="264">
        <f t="shared" ref="T334:T342" si="220">IF(Q334&gt;0,S334*100/Q334,0)</f>
        <v>0</v>
      </c>
      <c r="U334" s="264">
        <f t="shared" ref="U334:U342" si="221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6">
        <f t="shared" ref="L335:N336" si="222">L338+L341</f>
        <v>0</v>
      </c>
      <c r="M335" s="77">
        <f t="shared" si="222"/>
        <v>0</v>
      </c>
      <c r="N335" s="77">
        <f t="shared" si="222"/>
        <v>0</v>
      </c>
      <c r="O335" s="77">
        <f t="shared" si="217"/>
        <v>0</v>
      </c>
      <c r="P335" s="77">
        <f t="shared" si="218"/>
        <v>0</v>
      </c>
      <c r="Q335" s="77">
        <f t="shared" ref="Q335:S336" si="223">Q338+Q341</f>
        <v>0</v>
      </c>
      <c r="R335" s="77">
        <f t="shared" si="223"/>
        <v>0</v>
      </c>
      <c r="S335" s="77">
        <f t="shared" si="223"/>
        <v>0</v>
      </c>
      <c r="T335" s="77">
        <f t="shared" si="220"/>
        <v>0</v>
      </c>
      <c r="U335" s="77">
        <f t="shared" si="221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3">
        <f t="shared" ca="1" si="222"/>
        <v>116000</v>
      </c>
      <c r="M336" s="74">
        <f t="shared" ca="1" si="222"/>
        <v>121000</v>
      </c>
      <c r="N336" s="74">
        <f t="shared" ca="1" si="222"/>
        <v>76000</v>
      </c>
      <c r="O336" s="74">
        <f t="shared" ca="1" si="217"/>
        <v>65.517241379310349</v>
      </c>
      <c r="P336" s="74">
        <f t="shared" ca="1" si="218"/>
        <v>62.809917355371901</v>
      </c>
      <c r="Q336" s="74">
        <f t="shared" si="223"/>
        <v>0</v>
      </c>
      <c r="R336" s="74">
        <f t="shared" si="223"/>
        <v>0</v>
      </c>
      <c r="S336" s="74">
        <f t="shared" si="223"/>
        <v>0</v>
      </c>
      <c r="T336" s="74">
        <f t="shared" si="220"/>
        <v>0</v>
      </c>
      <c r="U336" s="74">
        <f t="shared" si="221"/>
        <v>0</v>
      </c>
    </row>
    <row r="337" spans="1:21" ht="18.75" x14ac:dyDescent="0.25">
      <c r="A337" s="257"/>
      <c r="B337" s="258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3">
        <f t="shared" ref="L337:N337" ca="1" si="224">L338+L339</f>
        <v>116000</v>
      </c>
      <c r="M337" s="74">
        <f t="shared" ca="1" si="224"/>
        <v>121000</v>
      </c>
      <c r="N337" s="74">
        <f t="shared" ca="1" si="224"/>
        <v>76000</v>
      </c>
      <c r="O337" s="74">
        <f t="shared" ca="1" si="217"/>
        <v>65.517241379310349</v>
      </c>
      <c r="P337" s="74">
        <f t="shared" ca="1" si="218"/>
        <v>62.809917355371901</v>
      </c>
      <c r="Q337" s="74">
        <f t="shared" ref="Q337:S337" si="225">Q338+Q339</f>
        <v>0</v>
      </c>
      <c r="R337" s="74">
        <f t="shared" si="225"/>
        <v>0</v>
      </c>
      <c r="S337" s="74">
        <f t="shared" si="225"/>
        <v>0</v>
      </c>
      <c r="T337" s="74">
        <f t="shared" si="220"/>
        <v>0</v>
      </c>
      <c r="U337" s="74">
        <f t="shared" si="221"/>
        <v>0</v>
      </c>
    </row>
    <row r="338" spans="1:21" ht="18.75" hidden="1" x14ac:dyDescent="0.25">
      <c r="A338" s="257"/>
      <c r="B338" s="258"/>
      <c r="C338" s="258"/>
      <c r="D338" s="258"/>
      <c r="E338" s="26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77">
        <f t="shared" si="217"/>
        <v>0</v>
      </c>
      <c r="P338" s="77">
        <f t="shared" si="218"/>
        <v>0</v>
      </c>
      <c r="Q338" s="77">
        <v>0</v>
      </c>
      <c r="R338" s="77">
        <v>0</v>
      </c>
      <c r="S338" s="77">
        <v>0</v>
      </c>
      <c r="T338" s="77">
        <f t="shared" si="220"/>
        <v>0</v>
      </c>
      <c r="U338" s="77">
        <f t="shared" si="221"/>
        <v>0</v>
      </c>
    </row>
    <row r="339" spans="1:21" ht="18.75" hidden="1" x14ac:dyDescent="0.25">
      <c r="A339" s="257"/>
      <c r="B339" s="258"/>
      <c r="C339" s="258"/>
      <c r="D339" s="258"/>
      <c r="E339" s="267" t="s">
        <v>37</v>
      </c>
      <c r="F339" s="258"/>
      <c r="G339" s="261"/>
      <c r="H339" s="271" t="s">
        <v>14</v>
      </c>
      <c r="I339" s="272"/>
      <c r="J339" s="272"/>
      <c r="K339" s="229"/>
      <c r="L339" s="73">
        <f ca="1">IFERROR(__xludf.DUMMYFUNCTION("IMPORTRANGE(""https://docs.google.com/spreadsheets/d/1-uDff_7J0KD5mKrp0Vvzr7lt3OU09vwQwhkpOPPYv2Y/edit?usp=sharing"",""งบพรบ!ES69"")"),116000)</f>
        <v>116000</v>
      </c>
      <c r="M339" s="74">
        <f ca="1">IFERROR(__xludf.DUMMYFUNCTION("IMPORTRANGE(""https://docs.google.com/spreadsheets/d/1-uDff_7J0KD5mKrp0Vvzr7lt3OU09vwQwhkpOPPYv2Y/edit?usp=sharing"",""งบพรบ!EX69"")"),121000)</f>
        <v>121000</v>
      </c>
      <c r="N339" s="74">
        <f ca="1">IFERROR(__xludf.DUMMYFUNCTION("IMPORTRANGE(""https://docs.google.com/spreadsheets/d/1-uDff_7J0KD5mKrp0Vvzr7lt3OU09vwQwhkpOPPYv2Y/edit?usp=sharing"",""งบพรบ!EZ69"")"),76000)</f>
        <v>76000</v>
      </c>
      <c r="O339" s="74">
        <f t="shared" ca="1" si="217"/>
        <v>65.517241379310349</v>
      </c>
      <c r="P339" s="74">
        <f t="shared" ca="1" si="218"/>
        <v>62.809917355371901</v>
      </c>
      <c r="Q339" s="74">
        <v>0</v>
      </c>
      <c r="R339" s="74">
        <v>0</v>
      </c>
      <c r="S339" s="74">
        <v>0</v>
      </c>
      <c r="T339" s="74">
        <f t="shared" si="220"/>
        <v>0</v>
      </c>
      <c r="U339" s="74">
        <f t="shared" si="221"/>
        <v>0</v>
      </c>
    </row>
    <row r="340" spans="1:21" ht="18.75" x14ac:dyDescent="0.25">
      <c r="A340" s="257"/>
      <c r="B340" s="258"/>
      <c r="C340" s="258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3">
        <f t="shared" ref="L340:N340" ca="1" si="226">L341+L342</f>
        <v>0</v>
      </c>
      <c r="M340" s="74">
        <f t="shared" ca="1" si="226"/>
        <v>0</v>
      </c>
      <c r="N340" s="74">
        <f t="shared" ca="1" si="226"/>
        <v>0</v>
      </c>
      <c r="O340" s="74">
        <f t="shared" ca="1" si="217"/>
        <v>0</v>
      </c>
      <c r="P340" s="74">
        <f t="shared" ca="1" si="218"/>
        <v>0</v>
      </c>
      <c r="Q340" s="74">
        <f t="shared" ref="Q340:S340" si="227">Q341+Q342</f>
        <v>0</v>
      </c>
      <c r="R340" s="74">
        <f t="shared" si="227"/>
        <v>0</v>
      </c>
      <c r="S340" s="74">
        <f t="shared" si="227"/>
        <v>0</v>
      </c>
      <c r="T340" s="74">
        <f t="shared" si="220"/>
        <v>0</v>
      </c>
      <c r="U340" s="74">
        <f t="shared" si="221"/>
        <v>0</v>
      </c>
    </row>
    <row r="341" spans="1:21" ht="18.75" hidden="1" x14ac:dyDescent="0.25">
      <c r="A341" s="257"/>
      <c r="B341" s="258"/>
      <c r="C341" s="258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77">
        <f t="shared" si="217"/>
        <v>0</v>
      </c>
      <c r="P341" s="77">
        <f t="shared" si="218"/>
        <v>0</v>
      </c>
      <c r="Q341" s="77">
        <v>0</v>
      </c>
      <c r="R341" s="77">
        <v>0</v>
      </c>
      <c r="S341" s="77">
        <v>0</v>
      </c>
      <c r="T341" s="77">
        <f t="shared" si="220"/>
        <v>0</v>
      </c>
      <c r="U341" s="77">
        <f t="shared" si="221"/>
        <v>0</v>
      </c>
    </row>
    <row r="342" spans="1:21" ht="18.75" hidden="1" x14ac:dyDescent="0.25">
      <c r="A342" s="257"/>
      <c r="B342" s="258"/>
      <c r="C342" s="258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3">
        <f ca="1">IFERROR(__xludf.DUMMYFUNCTION("IMPORTRANGE(""https://docs.google.com/spreadsheets/d/1-uDff_7J0KD5mKrp0Vvzr7lt3OU09vwQwhkpOPPYv2Y/edit?usp=sharing"",""งบพรบ!EV69"")"),0)</f>
        <v>0</v>
      </c>
      <c r="M342" s="74">
        <f ca="1">IFERROR(__xludf.DUMMYFUNCTION("IMPORTRANGE(""https://docs.google.com/spreadsheets/d/1-uDff_7J0KD5mKrp0Vvzr7lt3OU09vwQwhkpOPPYv2Y/edit?usp=sharing"",""งบพรบ!EY69"")"),0)</f>
        <v>0</v>
      </c>
      <c r="N342" s="74">
        <f ca="1">IFERROR(__xludf.DUMMYFUNCTION("IMPORTRANGE(""https://docs.google.com/spreadsheets/d/1-uDff_7J0KD5mKrp0Vvzr7lt3OU09vwQwhkpOPPYv2Y/edit?usp=sharing"",""งบพรบ!FA69"")"),0)</f>
        <v>0</v>
      </c>
      <c r="O342" s="74">
        <f t="shared" ca="1" si="217"/>
        <v>0</v>
      </c>
      <c r="P342" s="74">
        <f t="shared" ca="1" si="218"/>
        <v>0</v>
      </c>
      <c r="Q342" s="74">
        <v>0</v>
      </c>
      <c r="R342" s="74">
        <v>0</v>
      </c>
      <c r="S342" s="74">
        <v>0</v>
      </c>
      <c r="T342" s="74">
        <f t="shared" si="220"/>
        <v>0</v>
      </c>
      <c r="U342" s="74">
        <f t="shared" si="221"/>
        <v>0</v>
      </c>
    </row>
    <row r="343" spans="1:21" ht="19.5" x14ac:dyDescent="0.3">
      <c r="A343" s="276"/>
      <c r="B343" s="277"/>
      <c r="C343" s="259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5289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551" t="s">
        <v>35</v>
      </c>
      <c r="I345" s="293">
        <f ca="1">IFERROR(__xludf.DUMMYFUNCTION("IMPORTRANGE(""https://docs.google.com/spreadsheets/d/1eHaY18a8A9IcSdp1K8H6x8fbOy06t2VsZHhMHf-1x7Y/edit?usp=sharing"",""แผน!EK69"")"),3540)</f>
        <v>3540</v>
      </c>
      <c r="J345" s="293">
        <f ca="1">IFERROR(__xludf.DUMMYFUNCTION("IMPORTRANGE(""https://docs.google.com/spreadsheets/d/1awYsYK3VOup2i3Pq_Yjnu8DRu_mYwSBnCR2QPthd0rU/edit?usp=sharing"",""ศูนย์ยกเว้นโฉนด!D69"")"),4950)</f>
        <v>4950</v>
      </c>
      <c r="K345" s="74">
        <f ca="1">IF(I345&gt;0,J345*100/I345,0)</f>
        <v>139.83050847457628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IFERROR(__xludf.DUMMYFUNCTION("IMPORTRANGE(""https://docs.google.com/spreadsheets/d/1eHaY18a8A9IcSdp1K8H6x8fbOy06t2VsZHhMHf-1x7Y/edit?usp=sharing"",""แผน!EL69"")"),5)</f>
        <v>5</v>
      </c>
      <c r="J347" s="293">
        <f ca="1">IFERROR(__xludf.DUMMYFUNCTION("IMPORTRANGE(""https://docs.google.com/spreadsheets/d/1awYsYK3VOup2i3Pq_Yjnu8DRu_mYwSBnCR2QPthd0rU/edit?usp=sharing"",""ศูนย์รวม!E69"")"),5)</f>
        <v>5</v>
      </c>
      <c r="K347" s="74">
        <f ca="1">IF(I347&gt;0,J347*100/I347,0)</f>
        <v>100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IFERROR(__xludf.DUMMYFUNCTION("IMPORTRANGE(""https://docs.google.com/spreadsheets/d/1awYsYK3VOup2i3Pq_Yjnu8DRu_mYwSBnCR2QPthd0rU/edit?usp=sharing"",""ศูนย์ยกเว้นโฉนด!F69"")"),148)</f>
        <v>148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IFERROR(__xludf.DUMMYFUNCTION("IMPORTRANGE(""https://docs.google.com/spreadsheets/d/1awYsYK3VOup2i3Pq_Yjnu8DRu_mYwSBnCR2QPthd0rU/edit?usp=sharing"",""ศูนย์ยกเว้นโฉนด!G69"")"),191)</f>
        <v>191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IFERROR(__xludf.DUMMYFUNCTION("IMPORTRANGE(""https://docs.google.com/spreadsheets/d/1awYsYK3VOup2i3Pq_Yjnu8DRu_mYwSBnCR2QPthd0rU/edit?usp=sharing"",""ศูนย์ยกเว้นโฉนด!H69"")"),0)</f>
        <v>0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558" t="s">
        <v>35</v>
      </c>
      <c r="I352" s="559">
        <v>0</v>
      </c>
      <c r="J352" s="559">
        <f ca="1">J353+J354</f>
        <v>8269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IFERROR(__xludf.DUMMYFUNCTION("IMPORTRANGE(""https://docs.google.com/spreadsheets/d/1awYsYK3VOup2i3Pq_Yjnu8DRu_mYwSBnCR2QPthd0rU/edit?usp=sharing"",""โฉนดM3!G69"")"),1304)</f>
        <v>1304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IFERROR(__xludf.DUMMYFUNCTION("IMPORTRANGE(""https://docs.google.com/spreadsheets/d/1awYsYK3VOup2i3Pq_Yjnu8DRu_mYwSBnCR2QPthd0rU/edit?usp=sharing"",""โฉนดM3!H69"")"),6965)</f>
        <v>6965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08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1257">
        <f t="shared" ref="L357:N357" ca="1" si="228">L358+L359</f>
        <v>693280</v>
      </c>
      <c r="M357" s="264">
        <f t="shared" ca="1" si="228"/>
        <v>693280</v>
      </c>
      <c r="N357" s="264">
        <f t="shared" ca="1" si="228"/>
        <v>301193.98</v>
      </c>
      <c r="O357" s="264">
        <f t="shared" ref="O357:O365" ca="1" si="229">IF(L357&gt;0,N357*100/L357,0)</f>
        <v>43.444781329333026</v>
      </c>
      <c r="P357" s="264">
        <f t="shared" ref="P357:P365" ca="1" si="230">IF(M357&gt;0,N357*100/M357,0)</f>
        <v>43.444781329333026</v>
      </c>
      <c r="Q357" s="264">
        <f t="shared" ref="Q357:S357" si="231">Q358+Q359</f>
        <v>0</v>
      </c>
      <c r="R357" s="264">
        <f t="shared" si="231"/>
        <v>0</v>
      </c>
      <c r="S357" s="264">
        <f t="shared" si="231"/>
        <v>0</v>
      </c>
      <c r="T357" s="264">
        <f t="shared" ref="T357:T365" si="232">IF(Q357&gt;0,S357*100/Q357,0)</f>
        <v>0</v>
      </c>
      <c r="U357" s="264">
        <f t="shared" ref="U357:U365" si="233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6">
        <f t="shared" ref="L358:N359" si="234">L361+L364</f>
        <v>0</v>
      </c>
      <c r="M358" s="77">
        <f t="shared" si="234"/>
        <v>0</v>
      </c>
      <c r="N358" s="77">
        <f t="shared" si="234"/>
        <v>0</v>
      </c>
      <c r="O358" s="77">
        <f t="shared" si="229"/>
        <v>0</v>
      </c>
      <c r="P358" s="77">
        <f t="shared" si="230"/>
        <v>0</v>
      </c>
      <c r="Q358" s="77">
        <f t="shared" ref="Q358:S359" si="235">Q361+Q364</f>
        <v>0</v>
      </c>
      <c r="R358" s="77">
        <f t="shared" si="235"/>
        <v>0</v>
      </c>
      <c r="S358" s="77">
        <f t="shared" si="235"/>
        <v>0</v>
      </c>
      <c r="T358" s="77">
        <f t="shared" si="232"/>
        <v>0</v>
      </c>
      <c r="U358" s="77">
        <f t="shared" si="233"/>
        <v>0</v>
      </c>
    </row>
    <row r="359" spans="1:21" ht="18.75" hidden="1" x14ac:dyDescent="0.25">
      <c r="A359" s="257"/>
      <c r="B359" s="258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3">
        <f t="shared" ca="1" si="234"/>
        <v>693280</v>
      </c>
      <c r="M359" s="74">
        <f t="shared" ca="1" si="234"/>
        <v>693280</v>
      </c>
      <c r="N359" s="74">
        <f t="shared" ca="1" si="234"/>
        <v>301193.98</v>
      </c>
      <c r="O359" s="74">
        <f t="shared" ca="1" si="229"/>
        <v>43.444781329333026</v>
      </c>
      <c r="P359" s="74">
        <f t="shared" ca="1" si="230"/>
        <v>43.444781329333026</v>
      </c>
      <c r="Q359" s="74">
        <f t="shared" si="235"/>
        <v>0</v>
      </c>
      <c r="R359" s="74">
        <f t="shared" si="235"/>
        <v>0</v>
      </c>
      <c r="S359" s="74">
        <f t="shared" si="235"/>
        <v>0</v>
      </c>
      <c r="T359" s="74">
        <f t="shared" si="232"/>
        <v>0</v>
      </c>
      <c r="U359" s="74">
        <f t="shared" si="233"/>
        <v>0</v>
      </c>
    </row>
    <row r="360" spans="1:21" ht="18.75" x14ac:dyDescent="0.25">
      <c r="A360" s="257"/>
      <c r="B360" s="258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3">
        <f t="shared" ref="L360:N360" ca="1" si="236">L361+L362</f>
        <v>693280</v>
      </c>
      <c r="M360" s="74">
        <f t="shared" ca="1" si="236"/>
        <v>693280</v>
      </c>
      <c r="N360" s="74">
        <f t="shared" ca="1" si="236"/>
        <v>301193.98</v>
      </c>
      <c r="O360" s="74">
        <f t="shared" ca="1" si="229"/>
        <v>43.444781329333026</v>
      </c>
      <c r="P360" s="74">
        <f t="shared" ca="1" si="230"/>
        <v>43.444781329333026</v>
      </c>
      <c r="Q360" s="74">
        <f t="shared" ref="Q360:S360" si="237">Q361+Q362</f>
        <v>0</v>
      </c>
      <c r="R360" s="74">
        <f t="shared" si="237"/>
        <v>0</v>
      </c>
      <c r="S360" s="74">
        <f t="shared" si="237"/>
        <v>0</v>
      </c>
      <c r="T360" s="74">
        <f t="shared" si="232"/>
        <v>0</v>
      </c>
      <c r="U360" s="74">
        <f t="shared" si="233"/>
        <v>0</v>
      </c>
    </row>
    <row r="361" spans="1:21" ht="18.75" hidden="1" x14ac:dyDescent="0.25">
      <c r="A361" s="257"/>
      <c r="B361" s="258"/>
      <c r="C361" s="258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77">
        <f t="shared" si="229"/>
        <v>0</v>
      </c>
      <c r="P361" s="77">
        <f t="shared" si="230"/>
        <v>0</v>
      </c>
      <c r="Q361" s="77">
        <v>0</v>
      </c>
      <c r="R361" s="77">
        <v>0</v>
      </c>
      <c r="S361" s="77">
        <v>0</v>
      </c>
      <c r="T361" s="77">
        <f t="shared" si="232"/>
        <v>0</v>
      </c>
      <c r="U361" s="77">
        <f t="shared" si="233"/>
        <v>0</v>
      </c>
    </row>
    <row r="362" spans="1:21" ht="18.75" hidden="1" x14ac:dyDescent="0.25">
      <c r="A362" s="257"/>
      <c r="B362" s="258"/>
      <c r="C362" s="258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3">
        <f ca="1">IFERROR(__xludf.DUMMYFUNCTION("IMPORTRANGE(""https://docs.google.com/spreadsheets/d/1-uDff_7J0KD5mKrp0Vvzr7lt3OU09vwQwhkpOPPYv2Y/edit?usp=sharing"",""งบพรบ!FC69"")"),693280)</f>
        <v>693280</v>
      </c>
      <c r="M362" s="74">
        <f ca="1">IFERROR(__xludf.DUMMYFUNCTION("IMPORTRANGE(""https://docs.google.com/spreadsheets/d/1-uDff_7J0KD5mKrp0Vvzr7lt3OU09vwQwhkpOPPYv2Y/edit?usp=sharing"",""งบพรบ!FH69"")"),693280)</f>
        <v>693280</v>
      </c>
      <c r="N362" s="74">
        <f ca="1">IFERROR(__xludf.DUMMYFUNCTION("IMPORTRANGE(""https://docs.google.com/spreadsheets/d/1-uDff_7J0KD5mKrp0Vvzr7lt3OU09vwQwhkpOPPYv2Y/edit?usp=sharing"",""งบพรบ!FJ69"")"),301193.98)</f>
        <v>301193.98</v>
      </c>
      <c r="O362" s="74">
        <f t="shared" ca="1" si="229"/>
        <v>43.444781329333026</v>
      </c>
      <c r="P362" s="74">
        <f t="shared" ca="1" si="230"/>
        <v>43.444781329333026</v>
      </c>
      <c r="Q362" s="74">
        <v>0</v>
      </c>
      <c r="R362" s="74">
        <v>0</v>
      </c>
      <c r="S362" s="74">
        <v>0</v>
      </c>
      <c r="T362" s="74">
        <f t="shared" si="232"/>
        <v>0</v>
      </c>
      <c r="U362" s="74">
        <f t="shared" si="233"/>
        <v>0</v>
      </c>
    </row>
    <row r="363" spans="1:21" ht="18.75" x14ac:dyDescent="0.25">
      <c r="A363" s="257"/>
      <c r="B363" s="258"/>
      <c r="C363" s="258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3">
        <f t="shared" ref="L363:N363" ca="1" si="238">L364+L365</f>
        <v>0</v>
      </c>
      <c r="M363" s="74">
        <f t="shared" ca="1" si="238"/>
        <v>0</v>
      </c>
      <c r="N363" s="74">
        <f t="shared" ca="1" si="238"/>
        <v>0</v>
      </c>
      <c r="O363" s="74">
        <f t="shared" ca="1" si="229"/>
        <v>0</v>
      </c>
      <c r="P363" s="74">
        <f t="shared" ca="1" si="230"/>
        <v>0</v>
      </c>
      <c r="Q363" s="74">
        <f t="shared" ref="Q363:S363" si="239">Q364+Q365</f>
        <v>0</v>
      </c>
      <c r="R363" s="74">
        <f t="shared" si="239"/>
        <v>0</v>
      </c>
      <c r="S363" s="74">
        <f t="shared" si="239"/>
        <v>0</v>
      </c>
      <c r="T363" s="74">
        <f t="shared" si="232"/>
        <v>0</v>
      </c>
      <c r="U363" s="74">
        <f t="shared" si="233"/>
        <v>0</v>
      </c>
    </row>
    <row r="364" spans="1:21" ht="18.75" hidden="1" x14ac:dyDescent="0.25">
      <c r="A364" s="257"/>
      <c r="B364" s="258"/>
      <c r="C364" s="258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77">
        <f t="shared" si="229"/>
        <v>0</v>
      </c>
      <c r="P364" s="77">
        <f t="shared" si="230"/>
        <v>0</v>
      </c>
      <c r="Q364" s="77">
        <v>0</v>
      </c>
      <c r="R364" s="77">
        <v>0</v>
      </c>
      <c r="S364" s="77">
        <v>0</v>
      </c>
      <c r="T364" s="77">
        <f t="shared" si="232"/>
        <v>0</v>
      </c>
      <c r="U364" s="77">
        <f t="shared" si="233"/>
        <v>0</v>
      </c>
    </row>
    <row r="365" spans="1:21" ht="18.75" hidden="1" x14ac:dyDescent="0.25">
      <c r="A365" s="257"/>
      <c r="B365" s="258"/>
      <c r="C365" s="258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3">
        <f ca="1">IFERROR(__xludf.DUMMYFUNCTION("IMPORTRANGE(""https://docs.google.com/spreadsheets/d/1-uDff_7J0KD5mKrp0Vvzr7lt3OU09vwQwhkpOPPYv2Y/edit?usp=sharing"",""งบพรบ!FF69"")"),0)</f>
        <v>0</v>
      </c>
      <c r="M365" s="74">
        <f ca="1">IFERROR(__xludf.DUMMYFUNCTION("IMPORTRANGE(""https://docs.google.com/spreadsheets/d/1-uDff_7J0KD5mKrp0Vvzr7lt3OU09vwQwhkpOPPYv2Y/edit?usp=sharing"",""งบพรบ!FI69"")"),0)</f>
        <v>0</v>
      </c>
      <c r="N365" s="74">
        <f ca="1">IFERROR(__xludf.DUMMYFUNCTION("IMPORTRANGE(""https://docs.google.com/spreadsheets/d/1-uDff_7J0KD5mKrp0Vvzr7lt3OU09vwQwhkpOPPYv2Y/edit?usp=sharing"",""งบพรบ!FK69"")"),0)</f>
        <v>0</v>
      </c>
      <c r="O365" s="74">
        <f t="shared" ca="1" si="229"/>
        <v>0</v>
      </c>
      <c r="P365" s="74">
        <f t="shared" ca="1" si="230"/>
        <v>0</v>
      </c>
      <c r="Q365" s="74">
        <v>0</v>
      </c>
      <c r="R365" s="74">
        <v>0</v>
      </c>
      <c r="S365" s="74">
        <v>0</v>
      </c>
      <c r="T365" s="74">
        <f t="shared" si="232"/>
        <v>0</v>
      </c>
      <c r="U365" s="74">
        <f t="shared" si="233"/>
        <v>0</v>
      </c>
    </row>
    <row r="366" spans="1:21" ht="19.5" x14ac:dyDescent="0.3">
      <c r="A366" s="553"/>
      <c r="B366" s="555"/>
      <c r="C366" s="554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0">I372</f>
        <v>392</v>
      </c>
      <c r="J366" s="559">
        <f t="shared" ca="1" si="240"/>
        <v>3</v>
      </c>
      <c r="K366" s="560">
        <f ca="1">IF(I366&gt;0,J366*100/I366,0)</f>
        <v>0.76530612244897955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259" t="s">
        <v>18</v>
      </c>
      <c r="D367" s="1019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96"/>
      <c r="C368" s="277"/>
      <c r="D368" s="296"/>
      <c r="E368" s="767" t="s">
        <v>150</v>
      </c>
      <c r="F368" s="296"/>
      <c r="G368" s="282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IFERROR(__xludf.DUMMYFUNCTION("IMPORTRANGE(""https://docs.google.com/spreadsheets/d/1tdoBKaGub7dwA3U6UFTqxio9LNnvDCQjHKmttSEBsFQ/edit?usp=sharing"",""จัดที่ดิน!AB69"")"),118)</f>
        <v>118</v>
      </c>
      <c r="K368" s="74">
        <f t="shared" ref="K368:K373" si="241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IFERROR(__xludf.DUMMYFUNCTION("IMPORTRANGE(""https://docs.google.com/spreadsheets/d/1eHaY18a8A9IcSdp1K8H6x8fbOy06t2VsZHhMHf-1x7Y/edit?usp=sharing"",""แผน!EW69"")"),3880)</f>
        <v>3880</v>
      </c>
      <c r="J369" s="1190">
        <f ca="1">IFERROR(__xludf.DUMMYFUNCTION("IMPORTRANGE(""https://docs.google.com/spreadsheets/d/1tdoBKaGub7dwA3U6UFTqxio9LNnvDCQjHKmttSEBsFQ/edit?usp=sharing"",""จัดที่ดิน!AC69"")"),1832.71)</f>
        <v>1832.71</v>
      </c>
      <c r="K369" s="74">
        <f t="shared" ca="1" si="241"/>
        <v>47.23479381443299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99" t="s">
        <v>35</v>
      </c>
      <c r="I370" s="293">
        <f ca="1">IFERROR(__xludf.DUMMYFUNCTION("IMPORTRANGE(""https://docs.google.com/spreadsheets/d/1eHaY18a8A9IcSdp1K8H6x8fbOy06t2VsZHhMHf-1x7Y/edit?usp=sharing"",""แผน!EX69"")"),596)</f>
        <v>596</v>
      </c>
      <c r="J370" s="293">
        <f ca="1">IFERROR(__xludf.DUMMYFUNCTION("IMPORTRANGE(""https://docs.google.com/spreadsheets/d/1tdoBKaGub7dwA3U6UFTqxio9LNnvDCQjHKmttSEBsFQ/edit?usp=sharing"",""จัดที่ดิน!AD69"")"),114)</f>
        <v>114</v>
      </c>
      <c r="K370" s="74">
        <f t="shared" ca="1" si="241"/>
        <v>19.127516778523489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99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IFERROR(__xludf.DUMMYFUNCTION("IMPORTRANGE(""https://docs.google.com/spreadsheets/d/1tdoBKaGub7dwA3U6UFTqxio9LNnvDCQjHKmttSEBsFQ/edit?usp=sharing"",""จัดที่ดิน!AE69"")"),1941.31)</f>
        <v>1941.31</v>
      </c>
      <c r="K371" s="74">
        <f t="shared" si="241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99" t="s">
        <v>35</v>
      </c>
      <c r="I372" s="293">
        <f ca="1">IFERROR(__xludf.DUMMYFUNCTION("IMPORTRANGE(""https://docs.google.com/spreadsheets/d/1eHaY18a8A9IcSdp1K8H6x8fbOy06t2VsZHhMHf-1x7Y/edit?usp=sharing"",""แผน!EY69"")"),392)</f>
        <v>392</v>
      </c>
      <c r="J372" s="293">
        <f ca="1">IFERROR(__xludf.DUMMYFUNCTION("IMPORTRANGE(""https://docs.google.com/spreadsheets/d/1tdoBKaGub7dwA3U6UFTqxio9LNnvDCQjHKmttSEBsFQ/edit?usp=sharing"",""จัดที่ดิน!AF69"")"),3)</f>
        <v>3</v>
      </c>
      <c r="K372" s="74">
        <f t="shared" ca="1" si="241"/>
        <v>0.76530612244897955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99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IFERROR(__xludf.DUMMYFUNCTION("IMPORTRANGE(""https://docs.google.com/spreadsheets/d/1tdoBKaGub7dwA3U6UFTqxio9LNnvDCQjHKmttSEBsFQ/edit?usp=sharing"",""จัดที่ดิน!AG69"")"),31.9)</f>
        <v>31.9</v>
      </c>
      <c r="K373" s="74">
        <f t="shared" si="241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37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hidden="1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2">I386</f>
        <v>0</v>
      </c>
      <c r="J375" s="585">
        <f t="shared" si="242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hidden="1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1257">
        <f t="shared" ref="L376:N376" si="243">L377+L378</f>
        <v>0</v>
      </c>
      <c r="M376" s="264">
        <f t="shared" si="243"/>
        <v>0</v>
      </c>
      <c r="N376" s="264">
        <f t="shared" si="243"/>
        <v>0</v>
      </c>
      <c r="O376" s="264">
        <f t="shared" ref="O376:O384" si="244">IF(L376&gt;0,N376*100/L376,0)</f>
        <v>0</v>
      </c>
      <c r="P376" s="264">
        <f t="shared" ref="P376:P384" si="245">IF(M376&gt;0,N376*100/M376,0)</f>
        <v>0</v>
      </c>
      <c r="Q376" s="264">
        <f t="shared" ref="Q376:S376" ca="1" si="246">Q377+Q378</f>
        <v>0</v>
      </c>
      <c r="R376" s="264">
        <f t="shared" ca="1" si="246"/>
        <v>0</v>
      </c>
      <c r="S376" s="264">
        <f t="shared" ca="1" si="246"/>
        <v>0</v>
      </c>
      <c r="T376" s="264">
        <f t="shared" ref="T376:T384" ca="1" si="247">IF(Q376&gt;0,S376*100/Q376,0)</f>
        <v>0</v>
      </c>
      <c r="U376" s="264">
        <f t="shared" ref="U376:U384" ca="1" si="248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6">
        <f t="shared" ref="L377:N378" si="249">L380+L383</f>
        <v>0</v>
      </c>
      <c r="M377" s="77">
        <f t="shared" si="249"/>
        <v>0</v>
      </c>
      <c r="N377" s="77">
        <f t="shared" si="249"/>
        <v>0</v>
      </c>
      <c r="O377" s="77">
        <f t="shared" si="244"/>
        <v>0</v>
      </c>
      <c r="P377" s="77">
        <f t="shared" si="245"/>
        <v>0</v>
      </c>
      <c r="Q377" s="77">
        <f t="shared" ref="Q377:S378" si="250">Q380+Q383</f>
        <v>0</v>
      </c>
      <c r="R377" s="77">
        <f t="shared" si="250"/>
        <v>0</v>
      </c>
      <c r="S377" s="77">
        <f t="shared" si="250"/>
        <v>0</v>
      </c>
      <c r="T377" s="77">
        <f t="shared" si="247"/>
        <v>0</v>
      </c>
      <c r="U377" s="77">
        <f t="shared" si="248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3">
        <f t="shared" si="249"/>
        <v>0</v>
      </c>
      <c r="M378" s="74">
        <f t="shared" si="249"/>
        <v>0</v>
      </c>
      <c r="N378" s="74">
        <f t="shared" si="249"/>
        <v>0</v>
      </c>
      <c r="O378" s="74">
        <f t="shared" si="244"/>
        <v>0</v>
      </c>
      <c r="P378" s="74">
        <f t="shared" si="245"/>
        <v>0</v>
      </c>
      <c r="Q378" s="74">
        <f t="shared" ca="1" si="250"/>
        <v>0</v>
      </c>
      <c r="R378" s="74">
        <f t="shared" ca="1" si="250"/>
        <v>0</v>
      </c>
      <c r="S378" s="74">
        <f t="shared" ca="1" si="250"/>
        <v>0</v>
      </c>
      <c r="T378" s="74">
        <f t="shared" ca="1" si="247"/>
        <v>0</v>
      </c>
      <c r="U378" s="74">
        <f t="shared" ca="1" si="248"/>
        <v>0</v>
      </c>
    </row>
    <row r="379" spans="1:21" ht="18.75" hidden="1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3">
        <f t="shared" ref="L379:N379" si="251">L380+L381</f>
        <v>0</v>
      </c>
      <c r="M379" s="74">
        <f t="shared" si="251"/>
        <v>0</v>
      </c>
      <c r="N379" s="74">
        <f t="shared" si="251"/>
        <v>0</v>
      </c>
      <c r="O379" s="74">
        <f t="shared" si="244"/>
        <v>0</v>
      </c>
      <c r="P379" s="74">
        <f t="shared" si="245"/>
        <v>0</v>
      </c>
      <c r="Q379" s="74">
        <f t="shared" ref="Q379:S379" ca="1" si="252">Q380+Q381</f>
        <v>0</v>
      </c>
      <c r="R379" s="74">
        <f t="shared" ca="1" si="252"/>
        <v>0</v>
      </c>
      <c r="S379" s="74">
        <f t="shared" ca="1" si="252"/>
        <v>0</v>
      </c>
      <c r="T379" s="74">
        <f t="shared" ca="1" si="247"/>
        <v>0</v>
      </c>
      <c r="U379" s="74">
        <f t="shared" ca="1" si="248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77">
        <f t="shared" si="244"/>
        <v>0</v>
      </c>
      <c r="P380" s="77">
        <f t="shared" si="245"/>
        <v>0</v>
      </c>
      <c r="Q380" s="77">
        <v>0</v>
      </c>
      <c r="R380" s="77">
        <v>0</v>
      </c>
      <c r="S380" s="77">
        <v>0</v>
      </c>
      <c r="T380" s="77">
        <f t="shared" si="247"/>
        <v>0</v>
      </c>
      <c r="U380" s="77">
        <f t="shared" si="248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74">
        <f t="shared" si="244"/>
        <v>0</v>
      </c>
      <c r="P381" s="74">
        <f t="shared" si="245"/>
        <v>0</v>
      </c>
      <c r="Q381" s="74">
        <f ca="1">IFERROR(__xludf.DUMMYFUNCTION("IMPORTRANGE(""https://docs.google.com/spreadsheets/d/1ItG2mGa2ceCfYo0BwxsXqNm01IGEUdYcSSLTEv9YCik/edit?usp=sharing"",""เบิกจ่ายกองทุน!AY69"")"),0)</f>
        <v>0</v>
      </c>
      <c r="R381" s="74">
        <f ca="1">IFERROR(__xludf.DUMMYFUNCTION("IMPORTRANGE(""https://docs.google.com/spreadsheets/d/1ItG2mGa2ceCfYo0BwxsXqNm01IGEUdYcSSLTEv9YCik/edit?usp=sharing"",""เบิกจ่ายกองทุน!AZ69"")"),0)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IFERROR(__xludf.DUMMYFUNCTION("IMPORTRANGE(""https://docs.google.com/spreadsheets/d/1ItG2mGa2ceCfYo0BwxsXqNm01IGEUdYcSSLTEv9YCik/edit?usp=sharing"",""เบิกจ่ายกองทุน!BA69"")"),0)</f>
        <v>0</v>
      </c>
      <c r="T381" s="74">
        <f t="shared" ca="1" si="247"/>
        <v>0</v>
      </c>
      <c r="U381" s="74">
        <f t="shared" ca="1" si="248"/>
        <v>0</v>
      </c>
    </row>
    <row r="382" spans="1:21" ht="18.75" hidden="1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3">
        <f t="shared" ref="L382:N382" si="253">L383+L384</f>
        <v>0</v>
      </c>
      <c r="M382" s="74">
        <f t="shared" si="253"/>
        <v>0</v>
      </c>
      <c r="N382" s="74">
        <f t="shared" si="253"/>
        <v>0</v>
      </c>
      <c r="O382" s="74">
        <f t="shared" si="244"/>
        <v>0</v>
      </c>
      <c r="P382" s="74">
        <f t="shared" si="245"/>
        <v>0</v>
      </c>
      <c r="Q382" s="74">
        <f t="shared" ref="Q382:S382" si="254">Q383+Q384</f>
        <v>0</v>
      </c>
      <c r="R382" s="74">
        <f t="shared" si="254"/>
        <v>0</v>
      </c>
      <c r="S382" s="74">
        <f t="shared" si="254"/>
        <v>0</v>
      </c>
      <c r="T382" s="74">
        <f t="shared" si="247"/>
        <v>0</v>
      </c>
      <c r="U382" s="74">
        <f t="shared" si="248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77">
        <f t="shared" si="244"/>
        <v>0</v>
      </c>
      <c r="P383" s="77">
        <f t="shared" si="245"/>
        <v>0</v>
      </c>
      <c r="Q383" s="77">
        <v>0</v>
      </c>
      <c r="R383" s="77">
        <v>0</v>
      </c>
      <c r="S383" s="77">
        <v>0</v>
      </c>
      <c r="T383" s="77">
        <f t="shared" si="247"/>
        <v>0</v>
      </c>
      <c r="U383" s="77">
        <f t="shared" si="248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74">
        <f t="shared" si="244"/>
        <v>0</v>
      </c>
      <c r="P384" s="74">
        <f t="shared" si="245"/>
        <v>0</v>
      </c>
      <c r="Q384" s="74">
        <v>0</v>
      </c>
      <c r="R384" s="74">
        <v>0</v>
      </c>
      <c r="S384" s="74">
        <v>0</v>
      </c>
      <c r="T384" s="74">
        <f t="shared" si="247"/>
        <v>0</v>
      </c>
      <c r="U384" s="74">
        <f t="shared" si="248"/>
        <v>0</v>
      </c>
    </row>
    <row r="385" spans="1:21" ht="19.5" hidden="1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hidden="1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f ca="1">IFERROR(__xludf.DUMMYFUNCTION("IMPORTRANGE(""https://docs.google.com/spreadsheets/d/1eHaY18a8A9IcSdp1K8H6x8fbOy06t2VsZHhMHf-1x7Y/edit?usp=sharing"",""แผน!JQ69"")"),0)</f>
        <v>0</v>
      </c>
      <c r="J386" s="293">
        <v>0</v>
      </c>
      <c r="K386" s="74">
        <f t="shared" ref="K386:K389" ca="1" si="255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hidden="1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IFERROR(__xludf.DUMMYFUNCTION("IMPORTRANGE(""https://docs.google.com/spreadsheets/d/1eHaY18a8A9IcSdp1K8H6x8fbOy06t2VsZHhMHf-1x7Y/edit?usp=sharing"",""แผน!JQ69"")"),0)</f>
        <v>0</v>
      </c>
      <c r="J387" s="293">
        <v>0</v>
      </c>
      <c r="K387" s="74">
        <f t="shared" ca="1" si="255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hidden="1" x14ac:dyDescent="0.25">
      <c r="A388" s="269"/>
      <c r="B388" s="269"/>
      <c r="C388" s="269"/>
      <c r="D388" s="269"/>
      <c r="E388" s="775" t="s">
        <v>155</v>
      </c>
      <c r="F388" s="269"/>
      <c r="G388" s="312"/>
      <c r="H388" s="266" t="s">
        <v>34</v>
      </c>
      <c r="I388" s="592">
        <v>0</v>
      </c>
      <c r="J388" s="592">
        <v>0</v>
      </c>
      <c r="K388" s="77">
        <f t="shared" si="255"/>
        <v>0</v>
      </c>
      <c r="L388" s="86"/>
      <c r="M388" s="87"/>
      <c r="N388" s="87"/>
      <c r="O388" s="87"/>
      <c r="P388" s="87"/>
      <c r="Q388" s="87"/>
      <c r="R388" s="87"/>
      <c r="S388" s="87"/>
      <c r="T388" s="87"/>
      <c r="U388" s="87"/>
    </row>
    <row r="389" spans="1:21" ht="18.75" hidden="1" x14ac:dyDescent="0.25">
      <c r="A389" s="269"/>
      <c r="B389" s="269"/>
      <c r="C389" s="269"/>
      <c r="D389" s="269"/>
      <c r="E389" s="269"/>
      <c r="F389" s="269"/>
      <c r="G389" s="312"/>
      <c r="H389" s="266" t="s">
        <v>46</v>
      </c>
      <c r="I389" s="592">
        <v>0</v>
      </c>
      <c r="J389" s="592">
        <v>0</v>
      </c>
      <c r="K389" s="77">
        <f t="shared" si="255"/>
        <v>0</v>
      </c>
      <c r="L389" s="86"/>
      <c r="M389" s="87"/>
      <c r="N389" s="87"/>
      <c r="O389" s="87"/>
      <c r="P389" s="87"/>
      <c r="Q389" s="87"/>
      <c r="R389" s="87"/>
      <c r="S389" s="87"/>
      <c r="T389" s="87"/>
      <c r="U389" s="87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6">I403</f>
        <v>0</v>
      </c>
      <c r="J392" s="1189">
        <f t="shared" si="256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1257">
        <f t="shared" ref="L393:N393" si="257">L394+L395</f>
        <v>0</v>
      </c>
      <c r="M393" s="264">
        <f t="shared" si="257"/>
        <v>0</v>
      </c>
      <c r="N393" s="264">
        <f t="shared" si="257"/>
        <v>0</v>
      </c>
      <c r="O393" s="264">
        <f t="shared" ref="O393:O401" si="258">IF(L393&gt;0,N393*100/L393,0)</f>
        <v>0</v>
      </c>
      <c r="P393" s="264">
        <f t="shared" ref="P393:P401" si="259">IF(M393&gt;0,N393*100/M393,0)</f>
        <v>0</v>
      </c>
      <c r="Q393" s="264">
        <f t="shared" ref="Q393:S393" si="260">Q394+Q395</f>
        <v>0</v>
      </c>
      <c r="R393" s="264">
        <f t="shared" si="260"/>
        <v>0</v>
      </c>
      <c r="S393" s="264">
        <f t="shared" si="260"/>
        <v>0</v>
      </c>
      <c r="T393" s="264">
        <f t="shared" ref="T393:T401" si="261">IF(Q393&gt;0,S393*100/Q393,0)</f>
        <v>0</v>
      </c>
      <c r="U393" s="264">
        <f t="shared" ref="U393:U401" si="262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6">
        <f t="shared" ref="L394:N395" si="263">L397+L400</f>
        <v>0</v>
      </c>
      <c r="M394" s="77">
        <f t="shared" si="263"/>
        <v>0</v>
      </c>
      <c r="N394" s="77">
        <f t="shared" si="263"/>
        <v>0</v>
      </c>
      <c r="O394" s="77">
        <f t="shared" si="258"/>
        <v>0</v>
      </c>
      <c r="P394" s="77">
        <f t="shared" si="259"/>
        <v>0</v>
      </c>
      <c r="Q394" s="77">
        <f t="shared" ref="Q394:S395" si="264">Q397+Q400</f>
        <v>0</v>
      </c>
      <c r="R394" s="77">
        <f t="shared" si="264"/>
        <v>0</v>
      </c>
      <c r="S394" s="77">
        <f t="shared" si="264"/>
        <v>0</v>
      </c>
      <c r="T394" s="77">
        <f t="shared" si="261"/>
        <v>0</v>
      </c>
      <c r="U394" s="77">
        <f t="shared" si="262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3">
        <f t="shared" si="263"/>
        <v>0</v>
      </c>
      <c r="M395" s="74">
        <f t="shared" si="263"/>
        <v>0</v>
      </c>
      <c r="N395" s="74">
        <f t="shared" si="263"/>
        <v>0</v>
      </c>
      <c r="O395" s="74">
        <f t="shared" si="258"/>
        <v>0</v>
      </c>
      <c r="P395" s="74">
        <f t="shared" si="259"/>
        <v>0</v>
      </c>
      <c r="Q395" s="74">
        <f t="shared" si="264"/>
        <v>0</v>
      </c>
      <c r="R395" s="74">
        <f t="shared" si="264"/>
        <v>0</v>
      </c>
      <c r="S395" s="74">
        <f t="shared" si="264"/>
        <v>0</v>
      </c>
      <c r="T395" s="74">
        <f t="shared" si="261"/>
        <v>0</v>
      </c>
      <c r="U395" s="74">
        <f t="shared" si="262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3">
        <f t="shared" ref="L396:N396" si="265">L397+L398</f>
        <v>0</v>
      </c>
      <c r="M396" s="74">
        <f t="shared" si="265"/>
        <v>0</v>
      </c>
      <c r="N396" s="74">
        <f t="shared" si="265"/>
        <v>0</v>
      </c>
      <c r="O396" s="74">
        <f t="shared" si="258"/>
        <v>0</v>
      </c>
      <c r="P396" s="74">
        <f t="shared" si="259"/>
        <v>0</v>
      </c>
      <c r="Q396" s="74">
        <f t="shared" ref="Q396:S396" si="266">Q397+Q398</f>
        <v>0</v>
      </c>
      <c r="R396" s="74">
        <f t="shared" si="266"/>
        <v>0</v>
      </c>
      <c r="S396" s="74">
        <f t="shared" si="266"/>
        <v>0</v>
      </c>
      <c r="T396" s="74">
        <f t="shared" si="261"/>
        <v>0</v>
      </c>
      <c r="U396" s="74">
        <f t="shared" si="262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77">
        <f t="shared" si="258"/>
        <v>0</v>
      </c>
      <c r="P397" s="77">
        <f t="shared" si="259"/>
        <v>0</v>
      </c>
      <c r="Q397" s="77">
        <v>0</v>
      </c>
      <c r="R397" s="77">
        <v>0</v>
      </c>
      <c r="S397" s="77">
        <v>0</v>
      </c>
      <c r="T397" s="77">
        <f t="shared" si="261"/>
        <v>0</v>
      </c>
      <c r="U397" s="77">
        <f t="shared" si="262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74">
        <f t="shared" si="258"/>
        <v>0</v>
      </c>
      <c r="P398" s="74">
        <f t="shared" si="259"/>
        <v>0</v>
      </c>
      <c r="Q398" s="74">
        <v>0</v>
      </c>
      <c r="R398" s="74">
        <v>0</v>
      </c>
      <c r="S398" s="74">
        <v>0</v>
      </c>
      <c r="T398" s="74">
        <f t="shared" si="261"/>
        <v>0</v>
      </c>
      <c r="U398" s="74">
        <f t="shared" si="262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3">
        <f t="shared" ref="L399:N399" si="267">L400+L401</f>
        <v>0</v>
      </c>
      <c r="M399" s="74">
        <f t="shared" si="267"/>
        <v>0</v>
      </c>
      <c r="N399" s="74">
        <f t="shared" si="267"/>
        <v>0</v>
      </c>
      <c r="O399" s="74">
        <f t="shared" si="258"/>
        <v>0</v>
      </c>
      <c r="P399" s="74">
        <f t="shared" si="259"/>
        <v>0</v>
      </c>
      <c r="Q399" s="74">
        <f t="shared" ref="Q399:S399" si="268">Q400+Q401</f>
        <v>0</v>
      </c>
      <c r="R399" s="74">
        <f t="shared" si="268"/>
        <v>0</v>
      </c>
      <c r="S399" s="74">
        <f t="shared" si="268"/>
        <v>0</v>
      </c>
      <c r="T399" s="74">
        <f t="shared" si="261"/>
        <v>0</v>
      </c>
      <c r="U399" s="74">
        <f t="shared" si="262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77">
        <f t="shared" si="258"/>
        <v>0</v>
      </c>
      <c r="P400" s="77">
        <f t="shared" si="259"/>
        <v>0</v>
      </c>
      <c r="Q400" s="77">
        <v>0</v>
      </c>
      <c r="R400" s="77">
        <v>0</v>
      </c>
      <c r="S400" s="77">
        <v>0</v>
      </c>
      <c r="T400" s="77">
        <f t="shared" si="261"/>
        <v>0</v>
      </c>
      <c r="U400" s="77">
        <f t="shared" si="262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74">
        <f t="shared" si="258"/>
        <v>0</v>
      </c>
      <c r="P401" s="74">
        <f t="shared" si="259"/>
        <v>0</v>
      </c>
      <c r="Q401" s="74">
        <v>0</v>
      </c>
      <c r="R401" s="74">
        <v>0</v>
      </c>
      <c r="S401" s="74">
        <v>0</v>
      </c>
      <c r="T401" s="74">
        <f t="shared" si="261"/>
        <v>0</v>
      </c>
      <c r="U401" s="74">
        <f t="shared" si="262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69">I424</f>
        <v>0</v>
      </c>
      <c r="J413" s="617">
        <f t="shared" si="269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1257">
        <f t="shared" ref="L414:N414" si="270">L415+L416</f>
        <v>0</v>
      </c>
      <c r="M414" s="264">
        <f t="shared" si="270"/>
        <v>0</v>
      </c>
      <c r="N414" s="264">
        <f t="shared" si="270"/>
        <v>0</v>
      </c>
      <c r="O414" s="264">
        <f t="shared" ref="O414:O422" si="271">IF(L414&gt;0,N414*100/L414,0)</f>
        <v>0</v>
      </c>
      <c r="P414" s="264">
        <f t="shared" ref="P414:P422" si="272">IF(M414&gt;0,N414*100/M414,0)</f>
        <v>0</v>
      </c>
      <c r="Q414" s="264">
        <f t="shared" ref="Q414:S414" ca="1" si="273">Q415+Q416</f>
        <v>0</v>
      </c>
      <c r="R414" s="264">
        <f t="shared" ca="1" si="273"/>
        <v>0</v>
      </c>
      <c r="S414" s="264">
        <f t="shared" ca="1" si="273"/>
        <v>0</v>
      </c>
      <c r="T414" s="264">
        <f t="shared" ref="T414:T422" ca="1" si="274">IF(Q414&gt;0,S414*100/Q414,0)</f>
        <v>0</v>
      </c>
      <c r="U414" s="264">
        <f t="shared" ref="U414:U422" ca="1" si="275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6">
        <f t="shared" ref="L415:N416" si="276">L418+L421</f>
        <v>0</v>
      </c>
      <c r="M415" s="77">
        <f t="shared" si="276"/>
        <v>0</v>
      </c>
      <c r="N415" s="77">
        <f t="shared" si="276"/>
        <v>0</v>
      </c>
      <c r="O415" s="77">
        <f t="shared" si="271"/>
        <v>0</v>
      </c>
      <c r="P415" s="77">
        <f t="shared" si="272"/>
        <v>0</v>
      </c>
      <c r="Q415" s="77">
        <f t="shared" ref="Q415:S416" si="277">Q418+Q421</f>
        <v>0</v>
      </c>
      <c r="R415" s="77">
        <f t="shared" si="277"/>
        <v>0</v>
      </c>
      <c r="S415" s="77">
        <f t="shared" si="277"/>
        <v>0</v>
      </c>
      <c r="T415" s="77">
        <f t="shared" si="274"/>
        <v>0</v>
      </c>
      <c r="U415" s="77">
        <f t="shared" si="275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3">
        <f t="shared" si="276"/>
        <v>0</v>
      </c>
      <c r="M416" s="74">
        <f t="shared" si="276"/>
        <v>0</v>
      </c>
      <c r="N416" s="74">
        <f t="shared" si="276"/>
        <v>0</v>
      </c>
      <c r="O416" s="74">
        <f t="shared" si="271"/>
        <v>0</v>
      </c>
      <c r="P416" s="74">
        <f t="shared" si="272"/>
        <v>0</v>
      </c>
      <c r="Q416" s="74">
        <f t="shared" ca="1" si="277"/>
        <v>0</v>
      </c>
      <c r="R416" s="74">
        <f t="shared" ca="1" si="277"/>
        <v>0</v>
      </c>
      <c r="S416" s="74">
        <f t="shared" ca="1" si="277"/>
        <v>0</v>
      </c>
      <c r="T416" s="74">
        <f t="shared" ca="1" si="274"/>
        <v>0</v>
      </c>
      <c r="U416" s="74">
        <f t="shared" ca="1" si="275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3">
        <f t="shared" ref="L417:N417" si="278">L418+L419</f>
        <v>0</v>
      </c>
      <c r="M417" s="74">
        <f t="shared" si="278"/>
        <v>0</v>
      </c>
      <c r="N417" s="74">
        <f t="shared" si="278"/>
        <v>0</v>
      </c>
      <c r="O417" s="74">
        <f t="shared" si="271"/>
        <v>0</v>
      </c>
      <c r="P417" s="74">
        <f t="shared" si="272"/>
        <v>0</v>
      </c>
      <c r="Q417" s="74">
        <f t="shared" ref="Q417:S417" ca="1" si="279">Q418+Q419</f>
        <v>0</v>
      </c>
      <c r="R417" s="74">
        <f t="shared" ca="1" si="279"/>
        <v>0</v>
      </c>
      <c r="S417" s="74">
        <f t="shared" ca="1" si="279"/>
        <v>0</v>
      </c>
      <c r="T417" s="74">
        <f t="shared" ca="1" si="274"/>
        <v>0</v>
      </c>
      <c r="U417" s="74">
        <f t="shared" ca="1" si="275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77">
        <f t="shared" si="271"/>
        <v>0</v>
      </c>
      <c r="P418" s="77">
        <f t="shared" si="272"/>
        <v>0</v>
      </c>
      <c r="Q418" s="77">
        <v>0</v>
      </c>
      <c r="R418" s="77">
        <v>0</v>
      </c>
      <c r="S418" s="77">
        <v>0</v>
      </c>
      <c r="T418" s="77">
        <f t="shared" si="274"/>
        <v>0</v>
      </c>
      <c r="U418" s="77">
        <f t="shared" si="275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74">
        <f t="shared" si="271"/>
        <v>0</v>
      </c>
      <c r="P419" s="74">
        <f t="shared" si="272"/>
        <v>0</v>
      </c>
      <c r="Q419" s="74">
        <f ca="1">IFERROR(__xludf.DUMMYFUNCTION("IMPORTRANGE(""https://docs.google.com/spreadsheets/d/1ItG2mGa2ceCfYo0BwxsXqNm01IGEUdYcSSLTEv9YCik/edit?usp=sharing"",""เบิกจ่ายกองทุน!BH69"")"),0)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IFERROR(__xludf.DUMMYFUNCTION("IMPORTRANGE(""https://docs.google.com/spreadsheets/d/1ItG2mGa2ceCfYo0BwxsXqNm01IGEUdYcSSLTEv9YCik/edit?usp=sharing"",""เบิกจ่ายกองทุน!BI69"")"),0)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IFERROR(__xludf.DUMMYFUNCTION("IMPORTRANGE(""https://docs.google.com/spreadsheets/d/1ItG2mGa2ceCfYo0BwxsXqNm01IGEUdYcSSLTEv9YCik/edit?usp=sharing"",""เบิกจ่ายกองทุน!BJ69"")"),0)</f>
        <v>0</v>
      </c>
      <c r="T419" s="74">
        <f t="shared" ca="1" si="274"/>
        <v>0</v>
      </c>
      <c r="U419" s="74">
        <f t="shared" ca="1" si="275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3">
        <f t="shared" ref="L420:N420" si="280">L421+L422</f>
        <v>0</v>
      </c>
      <c r="M420" s="74">
        <f t="shared" si="280"/>
        <v>0</v>
      </c>
      <c r="N420" s="74">
        <f t="shared" si="280"/>
        <v>0</v>
      </c>
      <c r="O420" s="74">
        <f t="shared" si="271"/>
        <v>0</v>
      </c>
      <c r="P420" s="74">
        <f t="shared" si="272"/>
        <v>0</v>
      </c>
      <c r="Q420" s="74">
        <f t="shared" ref="Q420:S420" si="281">Q421+Q422</f>
        <v>0</v>
      </c>
      <c r="R420" s="74">
        <f t="shared" si="281"/>
        <v>0</v>
      </c>
      <c r="S420" s="74">
        <f t="shared" si="281"/>
        <v>0</v>
      </c>
      <c r="T420" s="74">
        <f t="shared" si="274"/>
        <v>0</v>
      </c>
      <c r="U420" s="74">
        <f t="shared" si="275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77">
        <f t="shared" si="271"/>
        <v>0</v>
      </c>
      <c r="P421" s="77">
        <f t="shared" si="272"/>
        <v>0</v>
      </c>
      <c r="Q421" s="77">
        <v>0</v>
      </c>
      <c r="R421" s="77">
        <v>0</v>
      </c>
      <c r="S421" s="77">
        <v>0</v>
      </c>
      <c r="T421" s="77">
        <f t="shared" si="274"/>
        <v>0</v>
      </c>
      <c r="U421" s="77">
        <f t="shared" si="275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74">
        <f t="shared" si="271"/>
        <v>0</v>
      </c>
      <c r="P422" s="74">
        <f t="shared" si="272"/>
        <v>0</v>
      </c>
      <c r="Q422" s="74">
        <v>0</v>
      </c>
      <c r="R422" s="74">
        <v>0</v>
      </c>
      <c r="S422" s="74">
        <v>0</v>
      </c>
      <c r="T422" s="74">
        <f t="shared" si="274"/>
        <v>0</v>
      </c>
      <c r="U422" s="74">
        <f t="shared" si="275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2">I441</f>
        <v>0</v>
      </c>
      <c r="J424" s="622">
        <f t="shared" si="282"/>
        <v>0</v>
      </c>
      <c r="K424" s="264">
        <f t="shared" ref="K424:K426" ca="1" si="283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IFERROR(__xludf.DUMMYFUNCTION("IMPORTRANGE(""https://docs.google.com/spreadsheets/d/1eHaY18a8A9IcSdp1K8H6x8fbOy06t2VsZHhMHf-1x7Y/edit?usp=sharing"",""แผน!HJ69"")"),0)</f>
        <v>0</v>
      </c>
      <c r="J425" s="622">
        <f t="shared" ref="J425:J426" si="284">J427+J429+J431</f>
        <v>0</v>
      </c>
      <c r="K425" s="264">
        <f t="shared" ca="1" si="283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IFERROR(__xludf.DUMMYFUNCTION("IMPORTRANGE(""https://docs.google.com/spreadsheets/d/1eHaY18a8A9IcSdp1K8H6x8fbOy06t2VsZHhMHf-1x7Y/edit?usp=sharing"",""แผน!HK69"")"),0)</f>
        <v>0</v>
      </c>
      <c r="J426" s="622">
        <f t="shared" si="284"/>
        <v>0</v>
      </c>
      <c r="K426" s="264">
        <f t="shared" ca="1" si="283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IFERROR(__xludf.DUMMYFUNCTION("IMPORTRANGE(""https://docs.google.com/spreadsheets/d/1eHaY18a8A9IcSdp1K8H6x8fbOy06t2VsZHhMHf-1x7Y/edit?usp=sharing"",""แผน!HJ69"")"),0)</f>
        <v>0</v>
      </c>
      <c r="J433" s="622">
        <f t="shared" ref="J433:J434" si="285">J435+J437+J439</f>
        <v>0</v>
      </c>
      <c r="K433" s="264">
        <f t="shared" ref="K433:K434" ca="1" si="286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IFERROR(__xludf.DUMMYFUNCTION("IMPORTRANGE(""https://docs.google.com/spreadsheets/d/1eHaY18a8A9IcSdp1K8H6x8fbOy06t2VsZHhMHf-1x7Y/edit?usp=sharing"",""แผน!HK69"")"),0)</f>
        <v>0</v>
      </c>
      <c r="J434" s="622">
        <f t="shared" si="285"/>
        <v>0</v>
      </c>
      <c r="K434" s="264">
        <f t="shared" ca="1" si="286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IFERROR(__xludf.DUMMYFUNCTION("IMPORTRANGE(""https://docs.google.com/spreadsheets/d/1eHaY18a8A9IcSdp1K8H6x8fbOy06t2VsZHhMHf-1x7Y/edit?usp=sharing"",""แผน!HJ69"")"),0)</f>
        <v>0</v>
      </c>
      <c r="J441" s="622">
        <f t="shared" ref="J441:J442" si="287">J443+J445+J447+J453+J455</f>
        <v>0</v>
      </c>
      <c r="K441" s="264">
        <f t="shared" ref="K441:K442" ca="1" si="288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IFERROR(__xludf.DUMMYFUNCTION("IMPORTRANGE(""https://docs.google.com/spreadsheets/d/1eHaY18a8A9IcSdp1K8H6x8fbOy06t2VsZHhMHf-1x7Y/edit?usp=sharing"",""แผน!HK69"")"),0)</f>
        <v>0</v>
      </c>
      <c r="J442" s="622">
        <f t="shared" si="287"/>
        <v>0</v>
      </c>
      <c r="K442" s="264">
        <f t="shared" ca="1" si="288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89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89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0">I458</f>
        <v>0</v>
      </c>
      <c r="J457" s="622">
        <f t="shared" si="290"/>
        <v>0</v>
      </c>
      <c r="K457" s="264">
        <f t="shared" ref="K457:K459" ca="1" si="291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IFERROR(__xludf.DUMMYFUNCTION("IMPORTRANGE(""https://docs.google.com/spreadsheets/d/1eHaY18a8A9IcSdp1K8H6x8fbOy06t2VsZHhMHf-1x7Y/edit?usp=sharing"",""แผน!HL69"")"),0)</f>
        <v>0</v>
      </c>
      <c r="J458" s="622">
        <f t="shared" ref="J458:J459" si="292">J460+J468+J474</f>
        <v>0</v>
      </c>
      <c r="K458" s="264">
        <f t="shared" ca="1" si="291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IFERROR(__xludf.DUMMYFUNCTION("IMPORTRANGE(""https://docs.google.com/spreadsheets/d/1eHaY18a8A9IcSdp1K8H6x8fbOy06t2VsZHhMHf-1x7Y/edit?usp=sharing"",""แผน!HM69"")"),0)</f>
        <v>0</v>
      </c>
      <c r="J459" s="622">
        <f t="shared" si="292"/>
        <v>0</v>
      </c>
      <c r="K459" s="264">
        <f t="shared" ca="1" si="291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3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3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4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4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5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6">J479+J481</f>
        <v>0</v>
      </c>
      <c r="K477" s="264">
        <f t="shared" si="295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6"/>
        <v>0</v>
      </c>
      <c r="K478" s="264">
        <f t="shared" si="295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IFERROR(__xludf.DUMMYFUNCTION("IMPORTRANGE(""https://docs.google.com/spreadsheets/d/1eHaY18a8A9IcSdp1K8H6x8fbOy06t2VsZHhMHf-1x7Y/edit?usp=sharing"",""แผน!HN69"")"),0)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IFERROR(__xludf.DUMMYFUNCTION("IMPORTRANGE(""https://docs.google.com/spreadsheets/d/1eHaY18a8A9IcSdp1K8H6x8fbOy06t2VsZHhMHf-1x7Y/edit?usp=sharing"",""แผน!HO69"")"),0)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7">J481</f>
        <v>0</v>
      </c>
      <c r="J485" s="622">
        <f t="shared" ref="J485:J486" si="298">J487+J489+J491</f>
        <v>0</v>
      </c>
      <c r="K485" s="264">
        <f t="shared" ref="K485:K486" si="299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7"/>
        <v>0</v>
      </c>
      <c r="J486" s="622">
        <f t="shared" si="298"/>
        <v>0</v>
      </c>
      <c r="K486" s="264">
        <f t="shared" si="299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0">I504</f>
        <v>80</v>
      </c>
      <c r="J493" s="617">
        <f t="shared" ca="1" si="300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1257">
        <f t="shared" ref="L494:N494" si="301">L495+L496</f>
        <v>0</v>
      </c>
      <c r="M494" s="264">
        <f t="shared" si="301"/>
        <v>0</v>
      </c>
      <c r="N494" s="264">
        <f t="shared" si="301"/>
        <v>0</v>
      </c>
      <c r="O494" s="264">
        <f t="shared" ref="O494:O502" si="302">IF(L494&gt;0,N494*100/L494,0)</f>
        <v>0</v>
      </c>
      <c r="P494" s="264">
        <f t="shared" ref="P494:P502" si="303">IF(M494&gt;0,N494*100/M494,0)</f>
        <v>0</v>
      </c>
      <c r="Q494" s="264">
        <f t="shared" ref="Q494:S494" ca="1" si="304">Q495+Q496</f>
        <v>1074460</v>
      </c>
      <c r="R494" s="264">
        <f t="shared" ca="1" si="304"/>
        <v>1074460</v>
      </c>
      <c r="S494" s="264">
        <f t="shared" ca="1" si="304"/>
        <v>12551.72</v>
      </c>
      <c r="T494" s="264">
        <f t="shared" ref="T494:T502" ca="1" si="305">IF(Q494&gt;0,S494*100/Q494,0)</f>
        <v>1.1681886715187164</v>
      </c>
      <c r="U494" s="264">
        <f t="shared" ref="U494:U502" ca="1" si="306">IF(R494&gt;0,S494*100/R494,0)</f>
        <v>1.1681886715187164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6">
        <f t="shared" ref="L495:N496" si="307">L498+L501</f>
        <v>0</v>
      </c>
      <c r="M495" s="77">
        <f t="shared" si="307"/>
        <v>0</v>
      </c>
      <c r="N495" s="77">
        <f t="shared" si="307"/>
        <v>0</v>
      </c>
      <c r="O495" s="77">
        <f t="shared" si="302"/>
        <v>0</v>
      </c>
      <c r="P495" s="77">
        <f t="shared" si="303"/>
        <v>0</v>
      </c>
      <c r="Q495" s="77">
        <f t="shared" ref="Q495:S496" si="308">Q498+Q501</f>
        <v>0</v>
      </c>
      <c r="R495" s="77">
        <f t="shared" si="308"/>
        <v>0</v>
      </c>
      <c r="S495" s="77">
        <f t="shared" si="308"/>
        <v>0</v>
      </c>
      <c r="T495" s="77">
        <f t="shared" si="305"/>
        <v>0</v>
      </c>
      <c r="U495" s="77">
        <f t="shared" si="306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3">
        <f t="shared" si="307"/>
        <v>0</v>
      </c>
      <c r="M496" s="74">
        <f t="shared" si="307"/>
        <v>0</v>
      </c>
      <c r="N496" s="74">
        <f t="shared" si="307"/>
        <v>0</v>
      </c>
      <c r="O496" s="74">
        <f t="shared" si="302"/>
        <v>0</v>
      </c>
      <c r="P496" s="74">
        <f t="shared" si="303"/>
        <v>0</v>
      </c>
      <c r="Q496" s="74">
        <f t="shared" ca="1" si="308"/>
        <v>1074460</v>
      </c>
      <c r="R496" s="74">
        <f t="shared" ca="1" si="308"/>
        <v>1074460</v>
      </c>
      <c r="S496" s="74">
        <f t="shared" ca="1" si="308"/>
        <v>12551.72</v>
      </c>
      <c r="T496" s="74">
        <f t="shared" ca="1" si="305"/>
        <v>1.1681886715187164</v>
      </c>
      <c r="U496" s="74">
        <f t="shared" ca="1" si="306"/>
        <v>1.1681886715187164</v>
      </c>
    </row>
    <row r="497" spans="1:21" ht="18.75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3">
        <f t="shared" ref="L497:N497" si="309">L498+L499</f>
        <v>0</v>
      </c>
      <c r="M497" s="74">
        <f t="shared" si="309"/>
        <v>0</v>
      </c>
      <c r="N497" s="74">
        <f t="shared" si="309"/>
        <v>0</v>
      </c>
      <c r="O497" s="74">
        <f t="shared" si="302"/>
        <v>0</v>
      </c>
      <c r="P497" s="74">
        <f t="shared" si="303"/>
        <v>0</v>
      </c>
      <c r="Q497" s="74">
        <f t="shared" ref="Q497:S497" ca="1" si="310">Q498+Q499</f>
        <v>1074460</v>
      </c>
      <c r="R497" s="74">
        <f t="shared" ca="1" si="310"/>
        <v>1074460</v>
      </c>
      <c r="S497" s="74">
        <f t="shared" ca="1" si="310"/>
        <v>12551.72</v>
      </c>
      <c r="T497" s="74">
        <f t="shared" ca="1" si="305"/>
        <v>1.1681886715187164</v>
      </c>
      <c r="U497" s="74">
        <f t="shared" ca="1" si="306"/>
        <v>1.1681886715187164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77">
        <f t="shared" si="302"/>
        <v>0</v>
      </c>
      <c r="P498" s="77">
        <f t="shared" si="303"/>
        <v>0</v>
      </c>
      <c r="Q498" s="77">
        <v>0</v>
      </c>
      <c r="R498" s="77">
        <v>0</v>
      </c>
      <c r="S498" s="77">
        <v>0</v>
      </c>
      <c r="T498" s="77">
        <f t="shared" si="305"/>
        <v>0</v>
      </c>
      <c r="U498" s="77">
        <f t="shared" si="306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74">
        <f t="shared" si="302"/>
        <v>0</v>
      </c>
      <c r="P499" s="74">
        <f t="shared" si="303"/>
        <v>0</v>
      </c>
      <c r="Q499" s="74">
        <f ca="1">IFERROR(__xludf.DUMMYFUNCTION("IMPORTRANGE(""https://docs.google.com/spreadsheets/d/1ItG2mGa2ceCfYo0BwxsXqNm01IGEUdYcSSLTEv9YCik/edit?usp=sharing"",""เบิกจ่ายกองทุน!X69"")"),1074460)</f>
        <v>1074460</v>
      </c>
      <c r="R499" s="74">
        <f ca="1">IFERROR(__xludf.DUMMYFUNCTION("IMPORTRANGE(""https://docs.google.com/spreadsheets/d/1ItG2mGa2ceCfYo0BwxsXqNm01IGEUdYcSSLTEv9YCik/edit?usp=sharing"",""เบิกจ่ายกองทุน!Y69"")"),1074460)</f>
        <v>1074460</v>
      </c>
      <c r="S499" s="74">
        <f ca="1">IFERROR(__xludf.DUMMYFUNCTION("IMPORTRANGE(""https://docs.google.com/spreadsheets/d/1ItG2mGa2ceCfYo0BwxsXqNm01IGEUdYcSSLTEv9YCik/edit?usp=sharing"",""เบิกจ่ายกองทุน!Z69"")"),12551.72)</f>
        <v>12551.72</v>
      </c>
      <c r="T499" s="74">
        <f t="shared" ca="1" si="305"/>
        <v>1.1681886715187164</v>
      </c>
      <c r="U499" s="74">
        <f t="shared" ca="1" si="306"/>
        <v>1.1681886715187164</v>
      </c>
    </row>
    <row r="500" spans="1:21" ht="18.75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3">
        <f t="shared" ref="L500:N500" si="311">L501+L502</f>
        <v>0</v>
      </c>
      <c r="M500" s="74">
        <f t="shared" si="311"/>
        <v>0</v>
      </c>
      <c r="N500" s="74">
        <f t="shared" si="311"/>
        <v>0</v>
      </c>
      <c r="O500" s="74">
        <f t="shared" si="302"/>
        <v>0</v>
      </c>
      <c r="P500" s="74">
        <f t="shared" si="303"/>
        <v>0</v>
      </c>
      <c r="Q500" s="74">
        <f t="shared" ref="Q500:S500" si="312">Q501+Q502</f>
        <v>0</v>
      </c>
      <c r="R500" s="74">
        <f t="shared" si="312"/>
        <v>0</v>
      </c>
      <c r="S500" s="74">
        <f t="shared" si="312"/>
        <v>0</v>
      </c>
      <c r="T500" s="74">
        <f t="shared" si="305"/>
        <v>0</v>
      </c>
      <c r="U500" s="74">
        <f t="shared" si="306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77">
        <f t="shared" si="302"/>
        <v>0</v>
      </c>
      <c r="P501" s="77">
        <f t="shared" si="303"/>
        <v>0</v>
      </c>
      <c r="Q501" s="77">
        <v>0</v>
      </c>
      <c r="R501" s="77">
        <v>0</v>
      </c>
      <c r="S501" s="77">
        <v>0</v>
      </c>
      <c r="T501" s="77">
        <f t="shared" si="305"/>
        <v>0</v>
      </c>
      <c r="U501" s="77">
        <f t="shared" si="306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74">
        <f t="shared" si="302"/>
        <v>0</v>
      </c>
      <c r="P502" s="74">
        <f t="shared" si="303"/>
        <v>0</v>
      </c>
      <c r="Q502" s="74">
        <v>0</v>
      </c>
      <c r="R502" s="74">
        <v>0</v>
      </c>
      <c r="S502" s="74">
        <v>0</v>
      </c>
      <c r="T502" s="74">
        <f t="shared" si="305"/>
        <v>0</v>
      </c>
      <c r="U502" s="74">
        <f t="shared" si="306"/>
        <v>0</v>
      </c>
    </row>
    <row r="503" spans="1:21" ht="19.5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IFERROR(__xludf.DUMMYFUNCTION("IMPORTRANGE(""https://docs.google.com/spreadsheets/d/1eHaY18a8A9IcSdp1K8H6x8fbOy06t2VsZHhMHf-1x7Y/edit?usp=sharing"",""แผน!GX69"")"),80)</f>
        <v>80</v>
      </c>
      <c r="J504" s="622">
        <f ca="1">IF(AND(J505=I504,J506=I504,J507=I504,J508=I504),I504,0)</f>
        <v>0</v>
      </c>
      <c r="K504" s="264">
        <f t="shared" ref="K504:K510" ca="1" si="313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IFERROR(__xludf.DUMMYFUNCTION("IMPORTRANGE(""https://docs.google.com/spreadsheets/d/1eHaY18a8A9IcSdp1K8H6x8fbOy06t2VsZHhMHf-1x7Y/edit?usp=sharing"",""แผน!GY69"")"),0)</f>
        <v>0</v>
      </c>
      <c r="J505" s="294">
        <v>0</v>
      </c>
      <c r="K505" s="74">
        <f t="shared" ca="1" si="313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IFERROR(__xludf.DUMMYFUNCTION("IMPORTRANGE(""https://docs.google.com/spreadsheets/d/1eHaY18a8A9IcSdp1K8H6x8fbOy06t2VsZHhMHf-1x7Y/edit?usp=sharing"",""แผน!GZ69"")"),0)</f>
        <v>0</v>
      </c>
      <c r="J506" s="294">
        <v>0</v>
      </c>
      <c r="K506" s="74">
        <f t="shared" ca="1" si="313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IFERROR(__xludf.DUMMYFUNCTION("IMPORTRANGE(""https://docs.google.com/spreadsheets/d/1eHaY18a8A9IcSdp1K8H6x8fbOy06t2VsZHhMHf-1x7Y/edit?usp=sharing"",""แผน!HA69"")"),0)</f>
        <v>0</v>
      </c>
      <c r="J507" s="294">
        <v>0</v>
      </c>
      <c r="K507" s="74">
        <f t="shared" ca="1" si="313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IFERROR(__xludf.DUMMYFUNCTION("IMPORTRANGE(""https://docs.google.com/spreadsheets/d/1eHaY18a8A9IcSdp1K8H6x8fbOy06t2VsZHhMHf-1x7Y/edit?usp=sharing"",""แผน!HB69"")"),0)</f>
        <v>0</v>
      </c>
      <c r="J508" s="294">
        <v>0</v>
      </c>
      <c r="K508" s="74">
        <f t="shared" ca="1" si="313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3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IFERROR(__xludf.DUMMYFUNCTION("IMPORTRANGE(""https://docs.google.com/spreadsheets/d/1eHaY18a8A9IcSdp1K8H6x8fbOy06t2VsZHhMHf-1x7Y/edit?usp=sharing"",""แผน!HC69"")"),0)</f>
        <v>0</v>
      </c>
      <c r="J510" s="761">
        <v>0</v>
      </c>
      <c r="K510" s="182">
        <f t="shared" ca="1" si="313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9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309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987" t="s">
        <v>61</v>
      </c>
      <c r="I513" s="988">
        <f t="shared" ref="I513:J513" si="314">I525</f>
        <v>0</v>
      </c>
      <c r="J513" s="988">
        <f t="shared" si="314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7">
        <f t="shared" ref="L514:N514" ca="1" si="315">L515+L516</f>
        <v>0</v>
      </c>
      <c r="M514" s="264">
        <f t="shared" ca="1" si="315"/>
        <v>0</v>
      </c>
      <c r="N514" s="264">
        <f t="shared" ca="1" si="315"/>
        <v>0</v>
      </c>
      <c r="O514" s="264">
        <f t="shared" ref="O514:O522" ca="1" si="316">IF(L514&gt;0,N514*100/L514,0)</f>
        <v>0</v>
      </c>
      <c r="P514" s="264">
        <f t="shared" ref="P514:P522" ca="1" si="317">IF(M514&gt;0,N514*100/M514,0)</f>
        <v>0</v>
      </c>
      <c r="Q514" s="264">
        <f t="shared" ref="Q514:S514" si="318">Q515+Q516</f>
        <v>0</v>
      </c>
      <c r="R514" s="264">
        <f t="shared" si="318"/>
        <v>0</v>
      </c>
      <c r="S514" s="264">
        <f t="shared" si="318"/>
        <v>0</v>
      </c>
      <c r="T514" s="264">
        <f t="shared" ref="T514:T522" si="319">IF(Q514&gt;0,S514*100/Q514,0)</f>
        <v>0</v>
      </c>
      <c r="U514" s="264">
        <f t="shared" ref="U514:U522" si="320">IF(R514&gt;0,S514*100/R514,0)</f>
        <v>0</v>
      </c>
    </row>
    <row r="515" spans="1:21" ht="18.75" hidden="1" x14ac:dyDescent="0.25">
      <c r="A515" s="257"/>
      <c r="B515" s="258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6">
        <f t="shared" ref="L515:N516" si="321">L518+L521</f>
        <v>0</v>
      </c>
      <c r="M515" s="77">
        <f t="shared" si="321"/>
        <v>0</v>
      </c>
      <c r="N515" s="77">
        <f t="shared" si="321"/>
        <v>0</v>
      </c>
      <c r="O515" s="77">
        <f t="shared" si="316"/>
        <v>0</v>
      </c>
      <c r="P515" s="77">
        <f t="shared" si="317"/>
        <v>0</v>
      </c>
      <c r="Q515" s="77">
        <f t="shared" ref="Q515:S516" si="322">Q518+Q521</f>
        <v>0</v>
      </c>
      <c r="R515" s="77">
        <f t="shared" si="322"/>
        <v>0</v>
      </c>
      <c r="S515" s="77">
        <f t="shared" si="322"/>
        <v>0</v>
      </c>
      <c r="T515" s="77">
        <f t="shared" si="319"/>
        <v>0</v>
      </c>
      <c r="U515" s="77">
        <f t="shared" si="320"/>
        <v>0</v>
      </c>
    </row>
    <row r="516" spans="1:21" ht="18.75" hidden="1" x14ac:dyDescent="0.25">
      <c r="A516" s="257"/>
      <c r="B516" s="258"/>
      <c r="C516" s="258"/>
      <c r="D516" s="258"/>
      <c r="E516" s="265" t="s">
        <v>21</v>
      </c>
      <c r="F516" s="258"/>
      <c r="G516" s="261"/>
      <c r="H516" s="266" t="s">
        <v>14</v>
      </c>
      <c r="I516" s="263"/>
      <c r="J516" s="263"/>
      <c r="K516" s="87"/>
      <c r="L516" s="73">
        <f t="shared" ca="1" si="321"/>
        <v>0</v>
      </c>
      <c r="M516" s="74">
        <f t="shared" ca="1" si="321"/>
        <v>0</v>
      </c>
      <c r="N516" s="74">
        <f t="shared" ca="1" si="321"/>
        <v>0</v>
      </c>
      <c r="O516" s="74">
        <f t="shared" ca="1" si="316"/>
        <v>0</v>
      </c>
      <c r="P516" s="74">
        <f t="shared" ca="1" si="317"/>
        <v>0</v>
      </c>
      <c r="Q516" s="74">
        <f t="shared" si="322"/>
        <v>0</v>
      </c>
      <c r="R516" s="74">
        <f t="shared" si="322"/>
        <v>0</v>
      </c>
      <c r="S516" s="74">
        <f t="shared" si="322"/>
        <v>0</v>
      </c>
      <c r="T516" s="74">
        <f t="shared" si="319"/>
        <v>0</v>
      </c>
      <c r="U516" s="74">
        <f t="shared" si="320"/>
        <v>0</v>
      </c>
    </row>
    <row r="517" spans="1:21" ht="18.75" hidden="1" x14ac:dyDescent="0.25">
      <c r="A517" s="257"/>
      <c r="B517" s="258"/>
      <c r="C517" s="258"/>
      <c r="D517" s="991" t="s">
        <v>22</v>
      </c>
      <c r="E517" s="258"/>
      <c r="F517" s="258"/>
      <c r="G517" s="261"/>
      <c r="H517" s="273" t="s">
        <v>14</v>
      </c>
      <c r="I517" s="272"/>
      <c r="J517" s="272"/>
      <c r="K517" s="229"/>
      <c r="L517" s="73">
        <f t="shared" ref="L517:N517" ca="1" si="323">L518+L519</f>
        <v>0</v>
      </c>
      <c r="M517" s="74">
        <f t="shared" ca="1" si="323"/>
        <v>0</v>
      </c>
      <c r="N517" s="74">
        <f t="shared" ca="1" si="323"/>
        <v>0</v>
      </c>
      <c r="O517" s="74">
        <f t="shared" ca="1" si="316"/>
        <v>0</v>
      </c>
      <c r="P517" s="74">
        <f t="shared" ca="1" si="317"/>
        <v>0</v>
      </c>
      <c r="Q517" s="74">
        <f t="shared" ref="Q517:S517" si="324">Q518+Q519</f>
        <v>0</v>
      </c>
      <c r="R517" s="74">
        <f t="shared" si="324"/>
        <v>0</v>
      </c>
      <c r="S517" s="74">
        <f t="shared" si="324"/>
        <v>0</v>
      </c>
      <c r="T517" s="74">
        <f t="shared" si="319"/>
        <v>0</v>
      </c>
      <c r="U517" s="74">
        <f t="shared" si="320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77">
        <f t="shared" si="316"/>
        <v>0</v>
      </c>
      <c r="P518" s="77">
        <f t="shared" si="317"/>
        <v>0</v>
      </c>
      <c r="Q518" s="77">
        <v>0</v>
      </c>
      <c r="R518" s="77">
        <v>0</v>
      </c>
      <c r="S518" s="77">
        <v>0</v>
      </c>
      <c r="T518" s="77">
        <f t="shared" si="319"/>
        <v>0</v>
      </c>
      <c r="U518" s="77">
        <f t="shared" si="320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3">
        <f ca="1">IFERROR(__xludf.DUMMYFUNCTION("IMPORTRANGE(""https://docs.google.com/spreadsheets/d/1-uDff_7J0KD5mKrp0Vvzr7lt3OU09vwQwhkpOPPYv2Y/edit?usp=sharing"",""งบพรบ!FM69"")"),0)</f>
        <v>0</v>
      </c>
      <c r="M519" s="74">
        <f ca="1">IFERROR(__xludf.DUMMYFUNCTION("IMPORTRANGE(""https://docs.google.com/spreadsheets/d/1-uDff_7J0KD5mKrp0Vvzr7lt3OU09vwQwhkpOPPYv2Y/edit?usp=sharing"",""งบพรบ!FR69"")"),0)</f>
        <v>0</v>
      </c>
      <c r="N519" s="74">
        <f ca="1">IFERROR(__xludf.DUMMYFUNCTION("IMPORTRANGE(""https://docs.google.com/spreadsheets/d/1-uDff_7J0KD5mKrp0Vvzr7lt3OU09vwQwhkpOPPYv2Y/edit?usp=sharing"",""งบพรบ!FT69"")"),0)</f>
        <v>0</v>
      </c>
      <c r="O519" s="74">
        <f t="shared" ca="1" si="316"/>
        <v>0</v>
      </c>
      <c r="P519" s="74">
        <f t="shared" ca="1" si="317"/>
        <v>0</v>
      </c>
      <c r="Q519" s="74">
        <v>0</v>
      </c>
      <c r="R519" s="74">
        <v>0</v>
      </c>
      <c r="S519" s="74">
        <v>0</v>
      </c>
      <c r="T519" s="74">
        <f t="shared" si="319"/>
        <v>0</v>
      </c>
      <c r="U519" s="74">
        <f t="shared" si="320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3">
        <f t="shared" ref="L520:N520" ca="1" si="325">L521+L522</f>
        <v>0</v>
      </c>
      <c r="M520" s="74">
        <f t="shared" ca="1" si="325"/>
        <v>0</v>
      </c>
      <c r="N520" s="74">
        <f t="shared" ca="1" si="325"/>
        <v>0</v>
      </c>
      <c r="O520" s="74">
        <f t="shared" ca="1" si="316"/>
        <v>0</v>
      </c>
      <c r="P520" s="74">
        <f t="shared" ca="1" si="317"/>
        <v>0</v>
      </c>
      <c r="Q520" s="74">
        <f t="shared" ref="Q520:S520" si="326">Q521+Q522</f>
        <v>0</v>
      </c>
      <c r="R520" s="74">
        <f t="shared" si="326"/>
        <v>0</v>
      </c>
      <c r="S520" s="74">
        <f t="shared" si="326"/>
        <v>0</v>
      </c>
      <c r="T520" s="74">
        <f t="shared" si="319"/>
        <v>0</v>
      </c>
      <c r="U520" s="74">
        <f t="shared" si="320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77">
        <f t="shared" si="316"/>
        <v>0</v>
      </c>
      <c r="P521" s="77">
        <f t="shared" si="317"/>
        <v>0</v>
      </c>
      <c r="Q521" s="77">
        <v>0</v>
      </c>
      <c r="R521" s="77">
        <v>0</v>
      </c>
      <c r="S521" s="77">
        <v>0</v>
      </c>
      <c r="T521" s="77">
        <f t="shared" si="319"/>
        <v>0</v>
      </c>
      <c r="U521" s="77">
        <f t="shared" si="320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3">
        <f ca="1">IFERROR(__xludf.DUMMYFUNCTION("IMPORTRANGE(""https://docs.google.com/spreadsheets/d/1-uDff_7J0KD5mKrp0Vvzr7lt3OU09vwQwhkpOPPYv2Y/edit?usp=sharing"",""งบพรบ!FP69"")"),0)</f>
        <v>0</v>
      </c>
      <c r="M522" s="74">
        <f ca="1">IFERROR(__xludf.DUMMYFUNCTION("IMPORTRANGE(""https://docs.google.com/spreadsheets/d/1-uDff_7J0KD5mKrp0Vvzr7lt3OU09vwQwhkpOPPYv2Y/edit?usp=sharing"",""งบพรบ!FS69"")"),0)</f>
        <v>0</v>
      </c>
      <c r="N522" s="74">
        <f ca="1">IFERROR(__xludf.DUMMYFUNCTION("IMPORTRANGE(""https://docs.google.com/spreadsheets/d/1-uDff_7J0KD5mKrp0Vvzr7lt3OU09vwQwhkpOPPYv2Y/edit?usp=sharing"",""งบพรบ!FU69"")"),0)</f>
        <v>0</v>
      </c>
      <c r="O522" s="74">
        <f t="shared" ca="1" si="316"/>
        <v>0</v>
      </c>
      <c r="P522" s="74">
        <f t="shared" ca="1" si="317"/>
        <v>0</v>
      </c>
      <c r="Q522" s="74">
        <v>0</v>
      </c>
      <c r="R522" s="74">
        <v>0</v>
      </c>
      <c r="S522" s="74">
        <v>0</v>
      </c>
      <c r="T522" s="74">
        <f t="shared" si="319"/>
        <v>0</v>
      </c>
      <c r="U522" s="74">
        <f t="shared" si="320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7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7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8">I546</f>
        <v>0</v>
      </c>
      <c r="J534" s="1002">
        <f t="shared" si="328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1257">
        <f t="shared" ref="L535:N535" si="329">L536+L537</f>
        <v>0</v>
      </c>
      <c r="M535" s="264">
        <f t="shared" si="329"/>
        <v>0</v>
      </c>
      <c r="N535" s="264">
        <f t="shared" si="329"/>
        <v>0</v>
      </c>
      <c r="O535" s="264">
        <f t="shared" ref="O535:O543" si="330">IF(L535&gt;0,N535*100/L535,0)</f>
        <v>0</v>
      </c>
      <c r="P535" s="264">
        <f t="shared" ref="P535:P543" si="331">IF(M535&gt;0,N535*100/M535,0)</f>
        <v>0</v>
      </c>
      <c r="Q535" s="264">
        <f t="shared" ref="Q535:S535" si="332">Q536+Q537</f>
        <v>0</v>
      </c>
      <c r="R535" s="264">
        <f t="shared" si="332"/>
        <v>0</v>
      </c>
      <c r="S535" s="264">
        <f t="shared" si="332"/>
        <v>0</v>
      </c>
      <c r="T535" s="264">
        <f t="shared" ref="T535:T543" si="333">IF(Q535&gt;0,S535*100/Q535,0)</f>
        <v>0</v>
      </c>
      <c r="U535" s="264">
        <f t="shared" ref="U535:U543" si="334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6">
        <f t="shared" ref="L536:N537" si="335">L539+L542</f>
        <v>0</v>
      </c>
      <c r="M536" s="77">
        <f t="shared" si="335"/>
        <v>0</v>
      </c>
      <c r="N536" s="77">
        <f t="shared" si="335"/>
        <v>0</v>
      </c>
      <c r="O536" s="77">
        <f t="shared" si="330"/>
        <v>0</v>
      </c>
      <c r="P536" s="77">
        <f t="shared" si="331"/>
        <v>0</v>
      </c>
      <c r="Q536" s="77">
        <f t="shared" ref="Q536:S537" si="336">Q539+Q542</f>
        <v>0</v>
      </c>
      <c r="R536" s="77">
        <f t="shared" si="336"/>
        <v>0</v>
      </c>
      <c r="S536" s="77">
        <f t="shared" si="336"/>
        <v>0</v>
      </c>
      <c r="T536" s="77">
        <f t="shared" si="333"/>
        <v>0</v>
      </c>
      <c r="U536" s="77">
        <f t="shared" si="334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3">
        <f t="shared" si="335"/>
        <v>0</v>
      </c>
      <c r="M537" s="74">
        <f t="shared" si="335"/>
        <v>0</v>
      </c>
      <c r="N537" s="74">
        <f t="shared" si="335"/>
        <v>0</v>
      </c>
      <c r="O537" s="74">
        <f t="shared" si="330"/>
        <v>0</v>
      </c>
      <c r="P537" s="74">
        <f t="shared" si="331"/>
        <v>0</v>
      </c>
      <c r="Q537" s="74">
        <f t="shared" si="336"/>
        <v>0</v>
      </c>
      <c r="R537" s="74">
        <f t="shared" si="336"/>
        <v>0</v>
      </c>
      <c r="S537" s="74">
        <f t="shared" si="336"/>
        <v>0</v>
      </c>
      <c r="T537" s="74">
        <f t="shared" si="333"/>
        <v>0</v>
      </c>
      <c r="U537" s="74">
        <f t="shared" si="334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3">
        <f t="shared" ref="L538:N538" si="337">L539+L540</f>
        <v>0</v>
      </c>
      <c r="M538" s="74">
        <f t="shared" si="337"/>
        <v>0</v>
      </c>
      <c r="N538" s="74">
        <f t="shared" si="337"/>
        <v>0</v>
      </c>
      <c r="O538" s="74">
        <f t="shared" si="330"/>
        <v>0</v>
      </c>
      <c r="P538" s="74">
        <f t="shared" si="331"/>
        <v>0</v>
      </c>
      <c r="Q538" s="74">
        <f t="shared" ref="Q538:S538" si="338">Q539+Q540</f>
        <v>0</v>
      </c>
      <c r="R538" s="74">
        <f t="shared" si="338"/>
        <v>0</v>
      </c>
      <c r="S538" s="74">
        <f t="shared" si="338"/>
        <v>0</v>
      </c>
      <c r="T538" s="74">
        <f t="shared" si="333"/>
        <v>0</v>
      </c>
      <c r="U538" s="74">
        <f t="shared" si="334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77">
        <f t="shared" si="330"/>
        <v>0</v>
      </c>
      <c r="P539" s="77">
        <f t="shared" si="331"/>
        <v>0</v>
      </c>
      <c r="Q539" s="77">
        <v>0</v>
      </c>
      <c r="R539" s="77">
        <v>0</v>
      </c>
      <c r="S539" s="77">
        <v>0</v>
      </c>
      <c r="T539" s="77">
        <f t="shared" si="333"/>
        <v>0</v>
      </c>
      <c r="U539" s="77">
        <f t="shared" si="334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74">
        <f t="shared" si="330"/>
        <v>0</v>
      </c>
      <c r="P540" s="74">
        <f t="shared" si="331"/>
        <v>0</v>
      </c>
      <c r="Q540" s="74">
        <v>0</v>
      </c>
      <c r="R540" s="74">
        <v>0</v>
      </c>
      <c r="S540" s="74">
        <v>0</v>
      </c>
      <c r="T540" s="74">
        <f t="shared" si="333"/>
        <v>0</v>
      </c>
      <c r="U540" s="74">
        <f t="shared" si="334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3">
        <f t="shared" ref="L541:N541" si="339">L542+L543</f>
        <v>0</v>
      </c>
      <c r="M541" s="74">
        <f t="shared" si="339"/>
        <v>0</v>
      </c>
      <c r="N541" s="74">
        <f t="shared" si="339"/>
        <v>0</v>
      </c>
      <c r="O541" s="74">
        <f t="shared" si="330"/>
        <v>0</v>
      </c>
      <c r="P541" s="74">
        <f t="shared" si="331"/>
        <v>0</v>
      </c>
      <c r="Q541" s="74">
        <f t="shared" ref="Q541:S541" si="340">Q542+Q543</f>
        <v>0</v>
      </c>
      <c r="R541" s="74">
        <f t="shared" si="340"/>
        <v>0</v>
      </c>
      <c r="S541" s="74">
        <f t="shared" si="340"/>
        <v>0</v>
      </c>
      <c r="T541" s="74">
        <f t="shared" si="333"/>
        <v>0</v>
      </c>
      <c r="U541" s="74">
        <f t="shared" si="334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77">
        <f t="shared" si="330"/>
        <v>0</v>
      </c>
      <c r="P542" s="77">
        <f t="shared" si="331"/>
        <v>0</v>
      </c>
      <c r="Q542" s="77">
        <v>0</v>
      </c>
      <c r="R542" s="77">
        <v>0</v>
      </c>
      <c r="S542" s="77">
        <v>0</v>
      </c>
      <c r="T542" s="77">
        <f t="shared" si="333"/>
        <v>0</v>
      </c>
      <c r="U542" s="77">
        <f t="shared" si="334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74">
        <f t="shared" si="330"/>
        <v>0</v>
      </c>
      <c r="P543" s="74">
        <f t="shared" si="331"/>
        <v>0</v>
      </c>
      <c r="Q543" s="74">
        <v>0</v>
      </c>
      <c r="R543" s="74">
        <v>0</v>
      </c>
      <c r="S543" s="74">
        <v>0</v>
      </c>
      <c r="T543" s="74">
        <f t="shared" si="333"/>
        <v>0</v>
      </c>
      <c r="U543" s="74">
        <f t="shared" si="334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1">I567</f>
        <v>0</v>
      </c>
      <c r="J555" s="1002">
        <f t="shared" si="341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1257">
        <f t="shared" ref="L556:N556" si="342">L557+L558</f>
        <v>0</v>
      </c>
      <c r="M556" s="264">
        <f t="shared" si="342"/>
        <v>0</v>
      </c>
      <c r="N556" s="264">
        <f t="shared" si="342"/>
        <v>0</v>
      </c>
      <c r="O556" s="264">
        <f t="shared" ref="O556:O564" si="343">IF(L556&gt;0,N556*100/L556,0)</f>
        <v>0</v>
      </c>
      <c r="P556" s="264">
        <f t="shared" ref="P556:P564" si="344">IF(M556&gt;0,N556*100/M556,0)</f>
        <v>0</v>
      </c>
      <c r="Q556" s="264">
        <f t="shared" ref="Q556:S556" si="345">Q557+Q558</f>
        <v>0</v>
      </c>
      <c r="R556" s="264">
        <f t="shared" si="345"/>
        <v>0</v>
      </c>
      <c r="S556" s="264">
        <f t="shared" si="345"/>
        <v>0</v>
      </c>
      <c r="T556" s="264">
        <f t="shared" ref="T556:T564" si="346">IF(Q556&gt;0,S556*100/Q556,0)</f>
        <v>0</v>
      </c>
      <c r="U556" s="264">
        <f t="shared" ref="U556:U564" si="347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6">
        <f t="shared" ref="L557:N558" si="348">L560+L563</f>
        <v>0</v>
      </c>
      <c r="M557" s="77">
        <f t="shared" si="348"/>
        <v>0</v>
      </c>
      <c r="N557" s="77">
        <f t="shared" si="348"/>
        <v>0</v>
      </c>
      <c r="O557" s="77">
        <f t="shared" si="343"/>
        <v>0</v>
      </c>
      <c r="P557" s="77">
        <f t="shared" si="344"/>
        <v>0</v>
      </c>
      <c r="Q557" s="77">
        <f t="shared" ref="Q557:S558" si="349">Q560+Q563</f>
        <v>0</v>
      </c>
      <c r="R557" s="77">
        <f t="shared" si="349"/>
        <v>0</v>
      </c>
      <c r="S557" s="77">
        <f t="shared" si="349"/>
        <v>0</v>
      </c>
      <c r="T557" s="77">
        <f t="shared" si="346"/>
        <v>0</v>
      </c>
      <c r="U557" s="77">
        <f t="shared" si="347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3">
        <f t="shared" si="348"/>
        <v>0</v>
      </c>
      <c r="M558" s="74">
        <f t="shared" si="348"/>
        <v>0</v>
      </c>
      <c r="N558" s="74">
        <f t="shared" si="348"/>
        <v>0</v>
      </c>
      <c r="O558" s="74">
        <f t="shared" si="343"/>
        <v>0</v>
      </c>
      <c r="P558" s="74">
        <f t="shared" si="344"/>
        <v>0</v>
      </c>
      <c r="Q558" s="74">
        <f t="shared" si="349"/>
        <v>0</v>
      </c>
      <c r="R558" s="74">
        <f t="shared" si="349"/>
        <v>0</v>
      </c>
      <c r="S558" s="74">
        <f t="shared" si="349"/>
        <v>0</v>
      </c>
      <c r="T558" s="74">
        <f t="shared" si="346"/>
        <v>0</v>
      </c>
      <c r="U558" s="74">
        <f t="shared" si="347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3">
        <f t="shared" ref="L559:N559" si="350">L560+L561</f>
        <v>0</v>
      </c>
      <c r="M559" s="74">
        <f t="shared" si="350"/>
        <v>0</v>
      </c>
      <c r="N559" s="74">
        <f t="shared" si="350"/>
        <v>0</v>
      </c>
      <c r="O559" s="74">
        <f t="shared" si="343"/>
        <v>0</v>
      </c>
      <c r="P559" s="74">
        <f t="shared" si="344"/>
        <v>0</v>
      </c>
      <c r="Q559" s="74">
        <f t="shared" ref="Q559:S559" si="351">Q560+Q561</f>
        <v>0</v>
      </c>
      <c r="R559" s="74">
        <f t="shared" si="351"/>
        <v>0</v>
      </c>
      <c r="S559" s="74">
        <f t="shared" si="351"/>
        <v>0</v>
      </c>
      <c r="T559" s="74">
        <f t="shared" si="346"/>
        <v>0</v>
      </c>
      <c r="U559" s="74">
        <f t="shared" si="347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77">
        <f t="shared" si="343"/>
        <v>0</v>
      </c>
      <c r="P560" s="77">
        <f t="shared" si="344"/>
        <v>0</v>
      </c>
      <c r="Q560" s="77">
        <v>0</v>
      </c>
      <c r="R560" s="77">
        <v>0</v>
      </c>
      <c r="S560" s="77">
        <v>0</v>
      </c>
      <c r="T560" s="77">
        <f t="shared" si="346"/>
        <v>0</v>
      </c>
      <c r="U560" s="77">
        <f t="shared" si="347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74">
        <f t="shared" si="343"/>
        <v>0</v>
      </c>
      <c r="P561" s="74">
        <f t="shared" si="344"/>
        <v>0</v>
      </c>
      <c r="Q561" s="74">
        <v>0</v>
      </c>
      <c r="R561" s="74">
        <v>0</v>
      </c>
      <c r="S561" s="74">
        <v>0</v>
      </c>
      <c r="T561" s="74">
        <f t="shared" si="346"/>
        <v>0</v>
      </c>
      <c r="U561" s="74">
        <f t="shared" si="347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3">
        <f t="shared" ref="L562:N562" si="352">L563+L564</f>
        <v>0</v>
      </c>
      <c r="M562" s="74">
        <f t="shared" si="352"/>
        <v>0</v>
      </c>
      <c r="N562" s="74">
        <f t="shared" si="352"/>
        <v>0</v>
      </c>
      <c r="O562" s="74">
        <f t="shared" si="343"/>
        <v>0</v>
      </c>
      <c r="P562" s="74">
        <f t="shared" si="344"/>
        <v>0</v>
      </c>
      <c r="Q562" s="74">
        <f t="shared" ref="Q562:S562" si="353">Q563+Q564</f>
        <v>0</v>
      </c>
      <c r="R562" s="74">
        <f t="shared" si="353"/>
        <v>0</v>
      </c>
      <c r="S562" s="74">
        <f t="shared" si="353"/>
        <v>0</v>
      </c>
      <c r="T562" s="74">
        <f t="shared" si="346"/>
        <v>0</v>
      </c>
      <c r="U562" s="74">
        <f t="shared" si="347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77">
        <f t="shared" si="343"/>
        <v>0</v>
      </c>
      <c r="P563" s="77">
        <f t="shared" si="344"/>
        <v>0</v>
      </c>
      <c r="Q563" s="77">
        <v>0</v>
      </c>
      <c r="R563" s="77">
        <v>0</v>
      </c>
      <c r="S563" s="77">
        <v>0</v>
      </c>
      <c r="T563" s="77">
        <f t="shared" si="346"/>
        <v>0</v>
      </c>
      <c r="U563" s="77">
        <f t="shared" si="347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74">
        <f t="shared" si="343"/>
        <v>0</v>
      </c>
      <c r="P564" s="74">
        <f t="shared" si="344"/>
        <v>0</v>
      </c>
      <c r="Q564" s="74">
        <v>0</v>
      </c>
      <c r="R564" s="74">
        <v>0</v>
      </c>
      <c r="S564" s="74">
        <v>0</v>
      </c>
      <c r="T564" s="74">
        <f t="shared" si="346"/>
        <v>0</v>
      </c>
      <c r="U564" s="74">
        <f t="shared" si="347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4">I588</f>
        <v>0</v>
      </c>
      <c r="J576" s="1002">
        <f t="shared" si="354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1257">
        <f t="shared" ref="L577:N577" si="355">L578+L579</f>
        <v>0</v>
      </c>
      <c r="M577" s="264">
        <f t="shared" si="355"/>
        <v>0</v>
      </c>
      <c r="N577" s="264">
        <f t="shared" si="355"/>
        <v>0</v>
      </c>
      <c r="O577" s="264">
        <f t="shared" ref="O577:O585" si="356">IF(L577&gt;0,N577*100/L577,0)</f>
        <v>0</v>
      </c>
      <c r="P577" s="264">
        <f t="shared" ref="P577:P585" si="357">IF(M577&gt;0,N577*100/M577,0)</f>
        <v>0</v>
      </c>
      <c r="Q577" s="264">
        <f t="shared" ref="Q577:S577" si="358">Q578+Q579</f>
        <v>0</v>
      </c>
      <c r="R577" s="264">
        <f t="shared" si="358"/>
        <v>0</v>
      </c>
      <c r="S577" s="264">
        <f t="shared" si="358"/>
        <v>0</v>
      </c>
      <c r="T577" s="264">
        <f t="shared" ref="T577:T585" si="359">IF(Q577&gt;0,S577*100/Q577,0)</f>
        <v>0</v>
      </c>
      <c r="U577" s="264">
        <f t="shared" ref="U577:U585" si="360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6">
        <f t="shared" ref="L578:N579" si="361">L581+L584</f>
        <v>0</v>
      </c>
      <c r="M578" s="77">
        <f t="shared" si="361"/>
        <v>0</v>
      </c>
      <c r="N578" s="77">
        <f t="shared" si="361"/>
        <v>0</v>
      </c>
      <c r="O578" s="77">
        <f t="shared" si="356"/>
        <v>0</v>
      </c>
      <c r="P578" s="77">
        <f t="shared" si="357"/>
        <v>0</v>
      </c>
      <c r="Q578" s="77">
        <f t="shared" ref="Q578:S579" si="362">Q581+Q584</f>
        <v>0</v>
      </c>
      <c r="R578" s="77">
        <f t="shared" si="362"/>
        <v>0</v>
      </c>
      <c r="S578" s="77">
        <f t="shared" si="362"/>
        <v>0</v>
      </c>
      <c r="T578" s="77">
        <f t="shared" si="359"/>
        <v>0</v>
      </c>
      <c r="U578" s="77">
        <f t="shared" si="360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3">
        <f t="shared" si="361"/>
        <v>0</v>
      </c>
      <c r="M579" s="74">
        <f t="shared" si="361"/>
        <v>0</v>
      </c>
      <c r="N579" s="74">
        <f t="shared" si="361"/>
        <v>0</v>
      </c>
      <c r="O579" s="74">
        <f t="shared" si="356"/>
        <v>0</v>
      </c>
      <c r="P579" s="74">
        <f t="shared" si="357"/>
        <v>0</v>
      </c>
      <c r="Q579" s="74">
        <f t="shared" si="362"/>
        <v>0</v>
      </c>
      <c r="R579" s="74">
        <f t="shared" si="362"/>
        <v>0</v>
      </c>
      <c r="S579" s="74">
        <f t="shared" si="362"/>
        <v>0</v>
      </c>
      <c r="T579" s="74">
        <f t="shared" si="359"/>
        <v>0</v>
      </c>
      <c r="U579" s="74">
        <f t="shared" si="360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3">
        <f t="shared" ref="L580:N580" si="363">L581+L582</f>
        <v>0</v>
      </c>
      <c r="M580" s="74">
        <f t="shared" si="363"/>
        <v>0</v>
      </c>
      <c r="N580" s="74">
        <f t="shared" si="363"/>
        <v>0</v>
      </c>
      <c r="O580" s="74">
        <f t="shared" si="356"/>
        <v>0</v>
      </c>
      <c r="P580" s="74">
        <f t="shared" si="357"/>
        <v>0</v>
      </c>
      <c r="Q580" s="74">
        <f t="shared" ref="Q580:S580" si="364">Q581+Q582</f>
        <v>0</v>
      </c>
      <c r="R580" s="74">
        <f t="shared" si="364"/>
        <v>0</v>
      </c>
      <c r="S580" s="74">
        <f t="shared" si="364"/>
        <v>0</v>
      </c>
      <c r="T580" s="74">
        <f t="shared" si="359"/>
        <v>0</v>
      </c>
      <c r="U580" s="74">
        <f t="shared" si="360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77">
        <f t="shared" si="356"/>
        <v>0</v>
      </c>
      <c r="P581" s="77">
        <f t="shared" si="357"/>
        <v>0</v>
      </c>
      <c r="Q581" s="77">
        <v>0</v>
      </c>
      <c r="R581" s="77">
        <v>0</v>
      </c>
      <c r="S581" s="77">
        <v>0</v>
      </c>
      <c r="T581" s="77">
        <f t="shared" si="359"/>
        <v>0</v>
      </c>
      <c r="U581" s="77">
        <f t="shared" si="360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74">
        <f t="shared" si="356"/>
        <v>0</v>
      </c>
      <c r="P582" s="74">
        <f t="shared" si="357"/>
        <v>0</v>
      </c>
      <c r="Q582" s="74">
        <v>0</v>
      </c>
      <c r="R582" s="74">
        <v>0</v>
      </c>
      <c r="S582" s="74">
        <v>0</v>
      </c>
      <c r="T582" s="74">
        <f t="shared" si="359"/>
        <v>0</v>
      </c>
      <c r="U582" s="74">
        <f t="shared" si="360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3">
        <f t="shared" ref="L583:N583" si="365">L584+L585</f>
        <v>0</v>
      </c>
      <c r="M583" s="74">
        <f t="shared" si="365"/>
        <v>0</v>
      </c>
      <c r="N583" s="74">
        <f t="shared" si="365"/>
        <v>0</v>
      </c>
      <c r="O583" s="74">
        <f t="shared" si="356"/>
        <v>0</v>
      </c>
      <c r="P583" s="74">
        <f t="shared" si="357"/>
        <v>0</v>
      </c>
      <c r="Q583" s="74">
        <f t="shared" ref="Q583:S583" si="366">Q584+Q585</f>
        <v>0</v>
      </c>
      <c r="R583" s="74">
        <f t="shared" si="366"/>
        <v>0</v>
      </c>
      <c r="S583" s="74">
        <f t="shared" si="366"/>
        <v>0</v>
      </c>
      <c r="T583" s="74">
        <f t="shared" si="359"/>
        <v>0</v>
      </c>
      <c r="U583" s="74">
        <f t="shared" si="360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77">
        <f t="shared" si="356"/>
        <v>0</v>
      </c>
      <c r="P584" s="77">
        <f t="shared" si="357"/>
        <v>0</v>
      </c>
      <c r="Q584" s="77">
        <v>0</v>
      </c>
      <c r="R584" s="77">
        <v>0</v>
      </c>
      <c r="S584" s="77">
        <v>0</v>
      </c>
      <c r="T584" s="77">
        <f t="shared" si="359"/>
        <v>0</v>
      </c>
      <c r="U584" s="77">
        <f t="shared" si="360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74">
        <f t="shared" si="356"/>
        <v>0</v>
      </c>
      <c r="P585" s="74">
        <f t="shared" si="357"/>
        <v>0</v>
      </c>
      <c r="Q585" s="74">
        <v>0</v>
      </c>
      <c r="R585" s="74">
        <v>0</v>
      </c>
      <c r="S585" s="74">
        <v>0</v>
      </c>
      <c r="T585" s="74">
        <f t="shared" si="359"/>
        <v>0</v>
      </c>
      <c r="U585" s="74">
        <f t="shared" si="360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1257">
        <f t="shared" ref="L600:N600" si="367">L601+L602</f>
        <v>0</v>
      </c>
      <c r="M600" s="264">
        <f t="shared" si="367"/>
        <v>0</v>
      </c>
      <c r="N600" s="264">
        <f t="shared" si="367"/>
        <v>0</v>
      </c>
      <c r="O600" s="264">
        <f t="shared" ref="O600:O608" si="368">IF(L600&gt;0,N600*100/L600,0)</f>
        <v>0</v>
      </c>
      <c r="P600" s="264">
        <f t="shared" ref="P600:P608" si="369">IF(M600&gt;0,N600*100/M600,0)</f>
        <v>0</v>
      </c>
      <c r="Q600" s="264">
        <f t="shared" ref="Q600:S600" si="370">Q601+Q602</f>
        <v>0</v>
      </c>
      <c r="R600" s="264">
        <f t="shared" si="370"/>
        <v>0</v>
      </c>
      <c r="S600" s="264">
        <f t="shared" si="370"/>
        <v>0</v>
      </c>
      <c r="T600" s="264">
        <f t="shared" ref="T600:T608" si="371">IF(Q600&gt;0,S600*100/Q600,0)</f>
        <v>0</v>
      </c>
      <c r="U600" s="264">
        <f t="shared" ref="U600:U608" si="372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6">
        <f t="shared" ref="L601:N602" si="373">L604+L607</f>
        <v>0</v>
      </c>
      <c r="M601" s="77">
        <f t="shared" si="373"/>
        <v>0</v>
      </c>
      <c r="N601" s="77">
        <f t="shared" si="373"/>
        <v>0</v>
      </c>
      <c r="O601" s="77">
        <f t="shared" si="368"/>
        <v>0</v>
      </c>
      <c r="P601" s="77">
        <f t="shared" si="369"/>
        <v>0</v>
      </c>
      <c r="Q601" s="77">
        <f t="shared" ref="Q601:S602" si="374">Q604+Q607</f>
        <v>0</v>
      </c>
      <c r="R601" s="77">
        <f t="shared" si="374"/>
        <v>0</v>
      </c>
      <c r="S601" s="77">
        <f t="shared" si="374"/>
        <v>0</v>
      </c>
      <c r="T601" s="77">
        <f t="shared" si="371"/>
        <v>0</v>
      </c>
      <c r="U601" s="77">
        <f t="shared" si="372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3">
        <f t="shared" si="373"/>
        <v>0</v>
      </c>
      <c r="M602" s="74">
        <f t="shared" si="373"/>
        <v>0</v>
      </c>
      <c r="N602" s="74">
        <f t="shared" si="373"/>
        <v>0</v>
      </c>
      <c r="O602" s="74">
        <f t="shared" si="368"/>
        <v>0</v>
      </c>
      <c r="P602" s="74">
        <f t="shared" si="369"/>
        <v>0</v>
      </c>
      <c r="Q602" s="74">
        <f t="shared" si="374"/>
        <v>0</v>
      </c>
      <c r="R602" s="74">
        <f t="shared" si="374"/>
        <v>0</v>
      </c>
      <c r="S602" s="74">
        <f t="shared" si="374"/>
        <v>0</v>
      </c>
      <c r="T602" s="74">
        <f t="shared" si="371"/>
        <v>0</v>
      </c>
      <c r="U602" s="74">
        <f t="shared" si="372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3">
        <f t="shared" ref="L603:N603" si="375">L604+L605</f>
        <v>0</v>
      </c>
      <c r="M603" s="74">
        <f t="shared" si="375"/>
        <v>0</v>
      </c>
      <c r="N603" s="74">
        <f t="shared" si="375"/>
        <v>0</v>
      </c>
      <c r="O603" s="74">
        <f t="shared" si="368"/>
        <v>0</v>
      </c>
      <c r="P603" s="74">
        <f t="shared" si="369"/>
        <v>0</v>
      </c>
      <c r="Q603" s="74">
        <f t="shared" ref="Q603:S603" si="376">Q604+Q605</f>
        <v>0</v>
      </c>
      <c r="R603" s="74">
        <f t="shared" si="376"/>
        <v>0</v>
      </c>
      <c r="S603" s="74">
        <f t="shared" si="376"/>
        <v>0</v>
      </c>
      <c r="T603" s="74">
        <f t="shared" si="371"/>
        <v>0</v>
      </c>
      <c r="U603" s="74">
        <f t="shared" si="372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77">
        <f t="shared" si="368"/>
        <v>0</v>
      </c>
      <c r="P604" s="77">
        <f t="shared" si="369"/>
        <v>0</v>
      </c>
      <c r="Q604" s="77">
        <v>0</v>
      </c>
      <c r="R604" s="77">
        <v>0</v>
      </c>
      <c r="S604" s="77">
        <v>0</v>
      </c>
      <c r="T604" s="77">
        <f t="shared" si="371"/>
        <v>0</v>
      </c>
      <c r="U604" s="77">
        <f t="shared" si="372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74">
        <f t="shared" si="368"/>
        <v>0</v>
      </c>
      <c r="P605" s="74">
        <f t="shared" si="369"/>
        <v>0</v>
      </c>
      <c r="Q605" s="74">
        <v>0</v>
      </c>
      <c r="R605" s="74">
        <v>0</v>
      </c>
      <c r="S605" s="74">
        <v>0</v>
      </c>
      <c r="T605" s="74">
        <f t="shared" si="371"/>
        <v>0</v>
      </c>
      <c r="U605" s="74">
        <f t="shared" si="372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3">
        <f t="shared" ref="L606:N606" si="377">L607+L608</f>
        <v>0</v>
      </c>
      <c r="M606" s="74">
        <f t="shared" si="377"/>
        <v>0</v>
      </c>
      <c r="N606" s="74">
        <f t="shared" si="377"/>
        <v>0</v>
      </c>
      <c r="O606" s="74">
        <f t="shared" si="368"/>
        <v>0</v>
      </c>
      <c r="P606" s="74">
        <f t="shared" si="369"/>
        <v>0</v>
      </c>
      <c r="Q606" s="74">
        <f t="shared" ref="Q606:S606" si="378">Q607+Q608</f>
        <v>0</v>
      </c>
      <c r="R606" s="74">
        <f t="shared" si="378"/>
        <v>0</v>
      </c>
      <c r="S606" s="74">
        <f t="shared" si="378"/>
        <v>0</v>
      </c>
      <c r="T606" s="74">
        <f t="shared" si="371"/>
        <v>0</v>
      </c>
      <c r="U606" s="74">
        <f t="shared" si="372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77">
        <f t="shared" si="368"/>
        <v>0</v>
      </c>
      <c r="P607" s="77">
        <f t="shared" si="369"/>
        <v>0</v>
      </c>
      <c r="Q607" s="77">
        <v>0</v>
      </c>
      <c r="R607" s="77">
        <v>0</v>
      </c>
      <c r="S607" s="77">
        <v>0</v>
      </c>
      <c r="T607" s="77">
        <f t="shared" si="371"/>
        <v>0</v>
      </c>
      <c r="U607" s="77">
        <f t="shared" si="372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74">
        <f t="shared" si="368"/>
        <v>0</v>
      </c>
      <c r="P608" s="74">
        <f t="shared" si="369"/>
        <v>0</v>
      </c>
      <c r="Q608" s="74">
        <v>0</v>
      </c>
      <c r="R608" s="74">
        <v>0</v>
      </c>
      <c r="S608" s="74">
        <v>0</v>
      </c>
      <c r="T608" s="74">
        <f t="shared" si="371"/>
        <v>0</v>
      </c>
      <c r="U608" s="74">
        <f t="shared" si="372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hidden="1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740">
        <f t="shared" ref="I616:J616" ca="1" si="379">I627</f>
        <v>100</v>
      </c>
      <c r="J616" s="740">
        <f t="shared" si="379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1257">
        <f t="shared" ref="L617:N617" si="380">L618+L619</f>
        <v>0</v>
      </c>
      <c r="M617" s="264">
        <f t="shared" si="380"/>
        <v>0</v>
      </c>
      <c r="N617" s="264">
        <f t="shared" si="380"/>
        <v>0</v>
      </c>
      <c r="O617" s="264">
        <f t="shared" ref="O617:O625" si="381">IF(L617&gt;0,N617*100/L617,0)</f>
        <v>0</v>
      </c>
      <c r="P617" s="264">
        <f t="shared" ref="P617:P625" si="382">IF(M617&gt;0,N617*100/M617,0)</f>
        <v>0</v>
      </c>
      <c r="Q617" s="264">
        <f t="shared" ref="Q617:S617" ca="1" si="383">Q618+Q619</f>
        <v>11725</v>
      </c>
      <c r="R617" s="264">
        <f t="shared" ca="1" si="383"/>
        <v>11725</v>
      </c>
      <c r="S617" s="264">
        <f t="shared" ca="1" si="383"/>
        <v>0</v>
      </c>
      <c r="T617" s="264">
        <f t="shared" ref="T617:T625" ca="1" si="384">IF(Q617&gt;0,S617*100/Q617,0)</f>
        <v>0</v>
      </c>
      <c r="U617" s="264">
        <f t="shared" ref="U617:U625" ca="1" si="385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6">
        <f t="shared" ref="L618:N619" si="386">L621+L624</f>
        <v>0</v>
      </c>
      <c r="M618" s="77">
        <f t="shared" si="386"/>
        <v>0</v>
      </c>
      <c r="N618" s="77">
        <f t="shared" si="386"/>
        <v>0</v>
      </c>
      <c r="O618" s="77">
        <f t="shared" si="381"/>
        <v>0</v>
      </c>
      <c r="P618" s="77">
        <f t="shared" si="382"/>
        <v>0</v>
      </c>
      <c r="Q618" s="77">
        <f t="shared" ref="Q618:S619" si="387">Q621+Q624</f>
        <v>0</v>
      </c>
      <c r="R618" s="77">
        <f t="shared" si="387"/>
        <v>0</v>
      </c>
      <c r="S618" s="77">
        <f t="shared" si="387"/>
        <v>0</v>
      </c>
      <c r="T618" s="77">
        <f t="shared" si="384"/>
        <v>0</v>
      </c>
      <c r="U618" s="77">
        <f t="shared" si="385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3">
        <f t="shared" si="386"/>
        <v>0</v>
      </c>
      <c r="M619" s="74">
        <f t="shared" si="386"/>
        <v>0</v>
      </c>
      <c r="N619" s="74">
        <f t="shared" si="386"/>
        <v>0</v>
      </c>
      <c r="O619" s="74">
        <f t="shared" si="381"/>
        <v>0</v>
      </c>
      <c r="P619" s="74">
        <f t="shared" si="382"/>
        <v>0</v>
      </c>
      <c r="Q619" s="74">
        <f t="shared" ca="1" si="387"/>
        <v>11725</v>
      </c>
      <c r="R619" s="74">
        <f t="shared" ca="1" si="387"/>
        <v>11725</v>
      </c>
      <c r="S619" s="74">
        <f t="shared" ca="1" si="387"/>
        <v>0</v>
      </c>
      <c r="T619" s="74">
        <f t="shared" ca="1" si="384"/>
        <v>0</v>
      </c>
      <c r="U619" s="74">
        <f t="shared" ca="1" si="385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3">
        <f t="shared" ref="L620:N620" si="388">L621+L622</f>
        <v>0</v>
      </c>
      <c r="M620" s="74">
        <f t="shared" si="388"/>
        <v>0</v>
      </c>
      <c r="N620" s="74">
        <f t="shared" si="388"/>
        <v>0</v>
      </c>
      <c r="O620" s="74">
        <f t="shared" si="381"/>
        <v>0</v>
      </c>
      <c r="P620" s="74">
        <f t="shared" si="382"/>
        <v>0</v>
      </c>
      <c r="Q620" s="74">
        <f t="shared" ref="Q620:S620" ca="1" si="389">Q621+Q622</f>
        <v>11725</v>
      </c>
      <c r="R620" s="74">
        <f t="shared" ca="1" si="389"/>
        <v>11725</v>
      </c>
      <c r="S620" s="74">
        <f t="shared" ca="1" si="389"/>
        <v>0</v>
      </c>
      <c r="T620" s="74">
        <f t="shared" ca="1" si="384"/>
        <v>0</v>
      </c>
      <c r="U620" s="74">
        <f t="shared" ca="1" si="385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77">
        <f t="shared" si="381"/>
        <v>0</v>
      </c>
      <c r="P621" s="77">
        <f t="shared" si="382"/>
        <v>0</v>
      </c>
      <c r="Q621" s="77">
        <v>0</v>
      </c>
      <c r="R621" s="77">
        <v>0</v>
      </c>
      <c r="S621" s="77">
        <v>0</v>
      </c>
      <c r="T621" s="77">
        <f t="shared" si="384"/>
        <v>0</v>
      </c>
      <c r="U621" s="77">
        <f t="shared" si="385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74">
        <f t="shared" si="381"/>
        <v>0</v>
      </c>
      <c r="P622" s="74">
        <f t="shared" si="382"/>
        <v>0</v>
      </c>
      <c r="Q622" s="74">
        <f ca="1">IFERROR(__xludf.DUMMYFUNCTION("IMPORTRANGE(""https://docs.google.com/spreadsheets/d/1ItG2mGa2ceCfYo0BwxsXqNm01IGEUdYcSSLTEv9YCik/edit?usp=sharing"",""เบิกจ่ายกองทุน!F69"")"),11725)</f>
        <v>11725</v>
      </c>
      <c r="R622" s="74">
        <f ca="1">IFERROR(__xludf.DUMMYFUNCTION("IMPORTRANGE(""https://docs.google.com/spreadsheets/d/1ItG2mGa2ceCfYo0BwxsXqNm01IGEUdYcSSLTEv9YCik/edit?usp=sharing"",""เบิกจ่ายกองทุน!G69"")"),11725)</f>
        <v>11725</v>
      </c>
      <c r="S622" s="74">
        <f ca="1">IFERROR(__xludf.DUMMYFUNCTION("IMPORTRANGE(""https://docs.google.com/spreadsheets/d/1ItG2mGa2ceCfYo0BwxsXqNm01IGEUdYcSSLTEv9YCik/edit?usp=sharing"",""เบิกจ่ายกองทุน!H69"")"),0)</f>
        <v>0</v>
      </c>
      <c r="T622" s="74">
        <f t="shared" ca="1" si="384"/>
        <v>0</v>
      </c>
      <c r="U622" s="74">
        <f t="shared" ca="1" si="385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3">
        <f t="shared" ref="L623:N623" si="390">L624+L625</f>
        <v>0</v>
      </c>
      <c r="M623" s="74">
        <f t="shared" si="390"/>
        <v>0</v>
      </c>
      <c r="N623" s="74">
        <f t="shared" si="390"/>
        <v>0</v>
      </c>
      <c r="O623" s="74">
        <f t="shared" si="381"/>
        <v>0</v>
      </c>
      <c r="P623" s="74">
        <f t="shared" si="382"/>
        <v>0</v>
      </c>
      <c r="Q623" s="74">
        <f t="shared" ref="Q623:S623" si="391">Q624+Q625</f>
        <v>0</v>
      </c>
      <c r="R623" s="74">
        <f t="shared" si="391"/>
        <v>0</v>
      </c>
      <c r="S623" s="74">
        <f t="shared" si="391"/>
        <v>0</v>
      </c>
      <c r="T623" s="74">
        <f t="shared" si="384"/>
        <v>0</v>
      </c>
      <c r="U623" s="74">
        <f t="shared" si="385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77">
        <f t="shared" si="381"/>
        <v>0</v>
      </c>
      <c r="P624" s="77">
        <f t="shared" si="382"/>
        <v>0</v>
      </c>
      <c r="Q624" s="77">
        <v>0</v>
      </c>
      <c r="R624" s="77">
        <v>0</v>
      </c>
      <c r="S624" s="77">
        <v>0</v>
      </c>
      <c r="T624" s="77">
        <f t="shared" si="384"/>
        <v>0</v>
      </c>
      <c r="U624" s="77">
        <f t="shared" si="385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74">
        <f t="shared" si="381"/>
        <v>0</v>
      </c>
      <c r="P625" s="74">
        <f t="shared" si="382"/>
        <v>0</v>
      </c>
      <c r="Q625" s="74">
        <v>0</v>
      </c>
      <c r="R625" s="74">
        <v>0</v>
      </c>
      <c r="S625" s="74">
        <v>0</v>
      </c>
      <c r="T625" s="74">
        <f t="shared" si="384"/>
        <v>0</v>
      </c>
      <c r="U625" s="74">
        <f t="shared" si="385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IFERROR(__xludf.DUMMYFUNCTION("IMPORTRANGE(""https://docs.google.com/spreadsheets/d/1eHaY18a8A9IcSdp1K8H6x8fbOy06t2VsZHhMHf-1x7Y/edit?usp=sharing"",""แผน!ID69"")"),100)</f>
        <v>100</v>
      </c>
      <c r="J627" s="622">
        <f>J633</f>
        <v>0</v>
      </c>
      <c r="K627" s="26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IFERROR(__xludf.DUMMYFUNCTION("IMPORTRANGE(""https://docs.google.com/spreadsheets/d/1eHaY18a8A9IcSdp1K8H6x8fbOy06t2VsZHhMHf-1x7Y/edit?usp=sharing"",""แผน!IC69"")"),0)</f>
        <v>0</v>
      </c>
      <c r="J628" s="294">
        <v>0</v>
      </c>
      <c r="K628" s="74">
        <f t="shared" ref="K628:K629" ca="1" si="392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IFERROR(__xludf.DUMMYFUNCTION("IMPORTRANGE(""https://docs.google.com/spreadsheets/d/1eHaY18a8A9IcSdp1K8H6x8fbOy06t2VsZHhMHf-1x7Y/edit?usp=sharing"",""แผน!IC69"")"),0)</f>
        <v>0</v>
      </c>
      <c r="J629" s="294">
        <v>0</v>
      </c>
      <c r="K629" s="74">
        <f t="shared" ca="1" si="392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0</v>
      </c>
      <c r="K630" s="74">
        <f t="shared" ref="K630:K632" ca="1" si="393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t="shared" ca="1" si="393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t="shared" ca="1" si="393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IFERROR(__xludf.DUMMYFUNCTION("IMPORTRANGE(""https://docs.google.com/spreadsheets/d/1eHaY18a8A9IcSdp1K8H6x8fbOy06t2VsZHhMHf-1x7Y/edit?usp=sharing"",""แผน!IE69"")"),0)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hidden="1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hidden="1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1257">
        <f t="shared" ref="L643:N643" si="394">L644+L645</f>
        <v>0</v>
      </c>
      <c r="M643" s="264">
        <f t="shared" si="394"/>
        <v>0</v>
      </c>
      <c r="N643" s="264">
        <f t="shared" si="394"/>
        <v>0</v>
      </c>
      <c r="O643" s="264">
        <f t="shared" ref="O643:O651" si="395">IF(L643&gt;0,N643*100/L643,0)</f>
        <v>0</v>
      </c>
      <c r="P643" s="264">
        <f t="shared" ref="P643:P651" si="396">IF(M643&gt;0,N643*100/M643,0)</f>
        <v>0</v>
      </c>
      <c r="Q643" s="264">
        <f t="shared" ref="Q643:S643" ca="1" si="397">Q644+Q645</f>
        <v>0</v>
      </c>
      <c r="R643" s="264">
        <f t="shared" ca="1" si="397"/>
        <v>0</v>
      </c>
      <c r="S643" s="264">
        <f t="shared" ca="1" si="397"/>
        <v>0</v>
      </c>
      <c r="T643" s="264">
        <f t="shared" ref="T643:T651" ca="1" si="398">IF(Q643&gt;0,S643*100/Q643,0)</f>
        <v>0</v>
      </c>
      <c r="U643" s="264">
        <f t="shared" ref="U643:U651" ca="1" si="399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6">
        <f t="shared" ref="L644:N645" si="400">L647+L650</f>
        <v>0</v>
      </c>
      <c r="M644" s="77">
        <f t="shared" si="400"/>
        <v>0</v>
      </c>
      <c r="N644" s="77">
        <f t="shared" si="400"/>
        <v>0</v>
      </c>
      <c r="O644" s="77">
        <f t="shared" si="395"/>
        <v>0</v>
      </c>
      <c r="P644" s="77">
        <f t="shared" si="396"/>
        <v>0</v>
      </c>
      <c r="Q644" s="77">
        <f t="shared" ref="Q644:S645" si="401">Q647+Q650</f>
        <v>0</v>
      </c>
      <c r="R644" s="77">
        <f t="shared" si="401"/>
        <v>0</v>
      </c>
      <c r="S644" s="77">
        <f t="shared" si="401"/>
        <v>0</v>
      </c>
      <c r="T644" s="77">
        <f t="shared" si="398"/>
        <v>0</v>
      </c>
      <c r="U644" s="77">
        <f t="shared" si="399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3">
        <f t="shared" si="400"/>
        <v>0</v>
      </c>
      <c r="M645" s="74">
        <f t="shared" si="400"/>
        <v>0</v>
      </c>
      <c r="N645" s="74">
        <f t="shared" si="400"/>
        <v>0</v>
      </c>
      <c r="O645" s="74">
        <f t="shared" si="395"/>
        <v>0</v>
      </c>
      <c r="P645" s="74">
        <f t="shared" si="396"/>
        <v>0</v>
      </c>
      <c r="Q645" s="74">
        <f t="shared" ca="1" si="401"/>
        <v>0</v>
      </c>
      <c r="R645" s="74">
        <f t="shared" ca="1" si="401"/>
        <v>0</v>
      </c>
      <c r="S645" s="74">
        <f t="shared" ca="1" si="401"/>
        <v>0</v>
      </c>
      <c r="T645" s="74">
        <f t="shared" ca="1" si="398"/>
        <v>0</v>
      </c>
      <c r="U645" s="74">
        <f t="shared" ca="1" si="399"/>
        <v>0</v>
      </c>
    </row>
    <row r="646" spans="1:21" ht="18.75" hidden="1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3">
        <f t="shared" ref="L646:N646" si="402">L647+L648</f>
        <v>0</v>
      </c>
      <c r="M646" s="74">
        <f t="shared" si="402"/>
        <v>0</v>
      </c>
      <c r="N646" s="74">
        <f t="shared" si="402"/>
        <v>0</v>
      </c>
      <c r="O646" s="74">
        <f t="shared" si="395"/>
        <v>0</v>
      </c>
      <c r="P646" s="74">
        <f t="shared" si="396"/>
        <v>0</v>
      </c>
      <c r="Q646" s="74">
        <f t="shared" ref="Q646:S646" ca="1" si="403">Q647+Q648</f>
        <v>0</v>
      </c>
      <c r="R646" s="74">
        <f t="shared" ca="1" si="403"/>
        <v>0</v>
      </c>
      <c r="S646" s="74">
        <f t="shared" ca="1" si="403"/>
        <v>0</v>
      </c>
      <c r="T646" s="74">
        <f t="shared" ca="1" si="398"/>
        <v>0</v>
      </c>
      <c r="U646" s="74">
        <f t="shared" ca="1" si="399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77">
        <f t="shared" si="395"/>
        <v>0</v>
      </c>
      <c r="P647" s="77">
        <f t="shared" si="396"/>
        <v>0</v>
      </c>
      <c r="Q647" s="77">
        <v>0</v>
      </c>
      <c r="R647" s="77">
        <v>0</v>
      </c>
      <c r="S647" s="77">
        <v>0</v>
      </c>
      <c r="T647" s="77">
        <f t="shared" si="398"/>
        <v>0</v>
      </c>
      <c r="U647" s="77">
        <f t="shared" si="399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74">
        <f t="shared" si="395"/>
        <v>0</v>
      </c>
      <c r="P648" s="74">
        <f t="shared" si="396"/>
        <v>0</v>
      </c>
      <c r="Q648" s="74">
        <f ca="1">IFERROR(__xludf.DUMMYFUNCTION("IMPORTRANGE(""https://docs.google.com/spreadsheets/d/1ItG2mGa2ceCfYo0BwxsXqNm01IGEUdYcSSLTEv9YCik/edit?usp=sharing"",""เบิกจ่ายกองทุน!I69"")"),0)</f>
        <v>0</v>
      </c>
      <c r="R648" s="74">
        <f ca="1">IFERROR(__xludf.DUMMYFUNCTION("IMPORTRANGE(""https://docs.google.com/spreadsheets/d/1ItG2mGa2ceCfYo0BwxsXqNm01IGEUdYcSSLTEv9YCik/edit?usp=sharing"",""เบิกจ่ายกองทุน!J69"")"),0)</f>
        <v>0</v>
      </c>
      <c r="S648" s="74">
        <f ca="1">IFERROR(__xludf.DUMMYFUNCTION("IMPORTRANGE(""https://docs.google.com/spreadsheets/d/1ItG2mGa2ceCfYo0BwxsXqNm01IGEUdYcSSLTEv9YCik/edit?usp=sharing"",""เบิกจ่ายกองทุน!K69"")"),0)</f>
        <v>0</v>
      </c>
      <c r="T648" s="74">
        <f t="shared" ca="1" si="398"/>
        <v>0</v>
      </c>
      <c r="U648" s="74">
        <f t="shared" ca="1" si="399"/>
        <v>0</v>
      </c>
    </row>
    <row r="649" spans="1:21" ht="18.75" hidden="1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3">
        <f t="shared" ref="L649:N649" si="404">L650+L651</f>
        <v>0</v>
      </c>
      <c r="M649" s="74">
        <f t="shared" si="404"/>
        <v>0</v>
      </c>
      <c r="N649" s="74">
        <f t="shared" si="404"/>
        <v>0</v>
      </c>
      <c r="O649" s="74">
        <f t="shared" si="395"/>
        <v>0</v>
      </c>
      <c r="P649" s="74">
        <f t="shared" si="396"/>
        <v>0</v>
      </c>
      <c r="Q649" s="74">
        <f t="shared" ref="Q649:S649" si="405">Q650+Q651</f>
        <v>0</v>
      </c>
      <c r="R649" s="74">
        <f t="shared" si="405"/>
        <v>0</v>
      </c>
      <c r="S649" s="74">
        <f t="shared" si="405"/>
        <v>0</v>
      </c>
      <c r="T649" s="74">
        <f t="shared" si="398"/>
        <v>0</v>
      </c>
      <c r="U649" s="74">
        <f t="shared" si="399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77">
        <f t="shared" si="395"/>
        <v>0</v>
      </c>
      <c r="P650" s="77">
        <f t="shared" si="396"/>
        <v>0</v>
      </c>
      <c r="Q650" s="77">
        <v>0</v>
      </c>
      <c r="R650" s="77">
        <v>0</v>
      </c>
      <c r="S650" s="77">
        <v>0</v>
      </c>
      <c r="T650" s="77">
        <f t="shared" si="398"/>
        <v>0</v>
      </c>
      <c r="U650" s="77">
        <f t="shared" si="399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74">
        <f t="shared" si="395"/>
        <v>0</v>
      </c>
      <c r="P651" s="74">
        <f t="shared" si="396"/>
        <v>0</v>
      </c>
      <c r="Q651" s="74">
        <v>0</v>
      </c>
      <c r="R651" s="74">
        <v>0</v>
      </c>
      <c r="S651" s="74">
        <v>0</v>
      </c>
      <c r="T651" s="74">
        <f t="shared" si="398"/>
        <v>0</v>
      </c>
      <c r="U651" s="74">
        <f t="shared" si="399"/>
        <v>0</v>
      </c>
    </row>
    <row r="652" spans="1:21" ht="19.5" hidden="1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IFERROR(__xludf.DUMMYFUNCTION("IMPORTRANGE(""https://docs.google.com/spreadsheets/d/1eHaY18a8A9IcSdp1K8H6x8fbOy06t2VsZHhMHf-1x7Y/edit?usp=sharing"",""แผน!IF69"")"),0)</f>
        <v>0</v>
      </c>
      <c r="J653" s="293">
        <f ca="1">IFERROR(__xludf.DUMMYFUNCTION("IMPORTRANGE(""https://docs.google.com/spreadsheets/d/1tdoBKaGub7dwA3U6UFTqxio9LNnvDCQjHKmttSEBsFQ/edit?usp=sharing"",""จัดที่ดิน!AU69"")"),0)</f>
        <v>0</v>
      </c>
      <c r="K653" s="74">
        <f t="shared" ref="K653:K655" ca="1" si="406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hidden="1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IFERROR(__xludf.DUMMYFUNCTION("IMPORTRANGE(""https://docs.google.com/spreadsheets/d/1eHaY18a8A9IcSdp1K8H6x8fbOy06t2VsZHhMHf-1x7Y/edit?usp=sharing"",""แผน!IG69"")"),0)</f>
        <v>0</v>
      </c>
      <c r="J654" s="293">
        <f ca="1">IFERROR(__xludf.DUMMYFUNCTION("IMPORTRANGE(""https://docs.google.com/spreadsheets/d/1tdoBKaGub7dwA3U6UFTqxio9LNnvDCQjHKmttSEBsFQ/edit?usp=sharing"",""จัดที่ดิน!AW69"")"),0)</f>
        <v>0</v>
      </c>
      <c r="K654" s="74">
        <f t="shared" ca="1" si="406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hidden="1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IFERROR(__xludf.DUMMYFUNCTION("IMPORTRANGE(""https://docs.google.com/spreadsheets/d/1eHaY18a8A9IcSdp1K8H6x8fbOy06t2VsZHhMHf-1x7Y/edit?usp=sharing"",""แผน!IH69"")"),0)</f>
        <v>0</v>
      </c>
      <c r="J655" s="622">
        <f>J658+J661</f>
        <v>0</v>
      </c>
      <c r="K655" s="264">
        <f t="shared" ca="1" si="406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hidden="1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hidden="1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hidden="1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IFERROR(__xludf.DUMMYFUNCTION("IMPORTRANGE(""https://docs.google.com/spreadsheets/d/1eHaY18a8A9IcSdp1K8H6x8fbOy06t2VsZHhMHf-1x7Y/edit?usp=sharing"",""แผน!II69"")"),0)</f>
        <v>0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hidden="1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hidden="1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hidden="1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IFERROR(__xludf.DUMMYFUNCTION("IMPORTRANGE(""https://docs.google.com/spreadsheets/d/1eHaY18a8A9IcSdp1K8H6x8fbOy06t2VsZHhMHf-1x7Y/edit?usp=sharing"",""แผน!IJ69"")"),0)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hidden="1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IFERROR(__xludf.DUMMYFUNCTION("IMPORTRANGE(""https://docs.google.com/spreadsheets/d/1eHaY18a8A9IcSdp1K8H6x8fbOy06t2VsZHhMHf-1x7Y/edit?usp=sharing"",""แผน!IK69"")"),0)</f>
        <v>0</v>
      </c>
      <c r="J662" s="622">
        <f>J668+J671</f>
        <v>0</v>
      </c>
      <c r="K662" s="264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hidden="1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hidden="1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hidden="1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hidden="1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hidden="1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hidden="1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hidden="1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hidden="1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hidden="1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hidden="1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IFERROR(__xludf.DUMMYFUNCTION("IMPORTRANGE(""https://docs.google.com/spreadsheets/d/1tdoBKaGub7dwA3U6UFTqxio9LNnvDCQjHKmttSEBsFQ/edit?usp=sharing"",""จัดที่ดิน!AY69"")"),0)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hidden="1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IFERROR(__xludf.DUMMYFUNCTION("IMPORTRANGE(""https://docs.google.com/spreadsheets/d/1tdoBKaGub7dwA3U6UFTqxio9LNnvDCQjHKmttSEBsFQ/edit?usp=sharing"",""จัดที่ดิน!AZ69"")"),0)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hidden="1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IFERROR(__xludf.DUMMYFUNCTION("IMPORTRANGE(""https://docs.google.com/spreadsheets/d/1eHaY18a8A9IcSdp1K8H6x8fbOy06t2VsZHhMHf-1x7Y/edit?usp=sharing"",""แผน!IL69"")"),0)</f>
        <v>0</v>
      </c>
      <c r="J674" s="293">
        <f ca="1">IFERROR(__xludf.DUMMYFUNCTION("IMPORTRANGE(""https://docs.google.com/spreadsheets/d/1tdoBKaGub7dwA3U6UFTqxio9LNnvDCQjHKmttSEBsFQ/edit?usp=sharing"",""จัดที่ดิน!BA69"")"),0)</f>
        <v>0</v>
      </c>
      <c r="K674" s="74">
        <f t="shared" ref="K674:K677" ca="1" si="407">IF(I674&gt;0,J674*100/I674,0)</f>
        <v>0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hidden="1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IFERROR(__xludf.DUMMYFUNCTION("IMPORTRANGE(""https://docs.google.com/spreadsheets/d/1eHaY18a8A9IcSdp1K8H6x8fbOy06t2VsZHhMHf-1x7Y/edit?usp=sharing"",""แผน!IM69"")"),0)</f>
        <v>0</v>
      </c>
      <c r="J675" s="622">
        <f ca="1">J677+J680</f>
        <v>0</v>
      </c>
      <c r="K675" s="264">
        <f t="shared" ca="1" si="407"/>
        <v>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hidden="1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IFERROR(__xludf.DUMMYFUNCTION("IMPORTRANGE(""https://docs.google.com/spreadsheets/d/1eHaY18a8A9IcSdp1K8H6x8fbOy06t2VsZHhMHf-1x7Y/edit?usp=sharing"",""แผน!IN69"")"),0)</f>
        <v>0</v>
      </c>
      <c r="J676" s="622">
        <f ca="1">J679+J682</f>
        <v>0</v>
      </c>
      <c r="K676" s="264">
        <f t="shared" ca="1" si="407"/>
        <v>0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hidden="1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IFERROR(__xludf.DUMMYFUNCTION("IMPORTRANGE(""https://docs.google.com/spreadsheets/d/1eHaY18a8A9IcSdp1K8H6x8fbOy06t2VsZHhMHf-1x7Y/edit?usp=sharing"",""แผน!IO69"")"),0)</f>
        <v>0</v>
      </c>
      <c r="J677" s="293">
        <f ca="1">IFERROR(__xludf.DUMMYFUNCTION("IMPORTRANGE(""https://docs.google.com/spreadsheets/d/1tdoBKaGub7dwA3U6UFTqxio9LNnvDCQjHKmttSEBsFQ/edit?usp=sharing"",""จัดที่ดิน!BF69"")"),0)</f>
        <v>0</v>
      </c>
      <c r="K677" s="74">
        <f t="shared" ca="1" si="407"/>
        <v>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hidden="1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IFERROR(__xludf.DUMMYFUNCTION("IMPORTRANGE(""https://docs.google.com/spreadsheets/d/1tdoBKaGub7dwA3U6UFTqxio9LNnvDCQjHKmttSEBsFQ/edit?usp=sharing"",""จัดที่ดิน!BG69"")"),0)</f>
        <v>0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hidden="1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IFERROR(__xludf.DUMMYFUNCTION("IMPORTRANGE(""https://docs.google.com/spreadsheets/d/1eHaY18a8A9IcSdp1K8H6x8fbOy06t2VsZHhMHf-1x7Y/edit?usp=sharing"",""แผน!IP69"")"),0)</f>
        <v>0</v>
      </c>
      <c r="J679" s="293">
        <f ca="1">IFERROR(__xludf.DUMMYFUNCTION("IMPORTRANGE(""https://docs.google.com/spreadsheets/d/1tdoBKaGub7dwA3U6UFTqxio9LNnvDCQjHKmttSEBsFQ/edit?usp=sharing"",""จัดที่ดิน!BH69"")"),0)</f>
        <v>0</v>
      </c>
      <c r="K679" s="74">
        <f t="shared" ref="K679:K680" ca="1" si="408">IF(I679&gt;0,J679*100/I679,0)</f>
        <v>0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hidden="1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IFERROR(__xludf.DUMMYFUNCTION("IMPORTRANGE(""https://docs.google.com/spreadsheets/d/1eHaY18a8A9IcSdp1K8H6x8fbOy06t2VsZHhMHf-1x7Y/edit?usp=sharing"",""แผน!IQ69"")"),0)</f>
        <v>0</v>
      </c>
      <c r="J680" s="293">
        <f ca="1">IFERROR(__xludf.DUMMYFUNCTION("IMPORTRANGE(""https://docs.google.com/spreadsheets/d/1tdoBKaGub7dwA3U6UFTqxio9LNnvDCQjHKmttSEBsFQ/edit?usp=sharing"",""จัดที่ดิน!BK69"")"),0)</f>
        <v>0</v>
      </c>
      <c r="K680" s="74">
        <f t="shared" ca="1" si="408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hidden="1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IFERROR(__xludf.DUMMYFUNCTION("IMPORTRANGE(""https://docs.google.com/spreadsheets/d/1tdoBKaGub7dwA3U6UFTqxio9LNnvDCQjHKmttSEBsFQ/edit?usp=sharing"",""จัดที่ดิน!BL69"")"),0)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hidden="1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IFERROR(__xludf.DUMMYFUNCTION("IMPORTRANGE(""https://docs.google.com/spreadsheets/d/1eHaY18a8A9IcSdp1K8H6x8fbOy06t2VsZHhMHf-1x7Y/edit?usp=sharing"",""แผน!IR69"")"),0)</f>
        <v>0</v>
      </c>
      <c r="J682" s="293">
        <f ca="1">IFERROR(__xludf.DUMMYFUNCTION("IMPORTRANGE(""https://docs.google.com/spreadsheets/d/1tdoBKaGub7dwA3U6UFTqxio9LNnvDCQjHKmttSEBsFQ/edit?usp=sharing"",""จัดที่ดิน!BM69"")"),0)</f>
        <v>0</v>
      </c>
      <c r="K682" s="74">
        <f t="shared" ref="K682:K683" ca="1" si="409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hidden="1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IFERROR(__xludf.DUMMYFUNCTION("IMPORTRANGE(""https://docs.google.com/spreadsheets/d/1eHaY18a8A9IcSdp1K8H6x8fbOy06t2VsZHhMHf-1x7Y/edit?usp=sharing"",""แผน!IS69"")"),0)</f>
        <v>0</v>
      </c>
      <c r="J683" s="622">
        <f>J686+J689</f>
        <v>0</v>
      </c>
      <c r="K683" s="264">
        <f t="shared" ca="1" si="409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hidden="1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hidden="1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hidden="1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hidden="1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hidden="1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hidden="1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64" t="s">
        <v>35</v>
      </c>
      <c r="I690" s="765">
        <f t="shared" ref="I690:J690" ca="1" si="410">I708</f>
        <v>60</v>
      </c>
      <c r="J690" s="765">
        <f t="shared" ca="1" si="410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1257">
        <f t="shared" ref="L691:N691" si="411">L692+L693</f>
        <v>0</v>
      </c>
      <c r="M691" s="264">
        <f t="shared" si="411"/>
        <v>0</v>
      </c>
      <c r="N691" s="264">
        <f t="shared" si="411"/>
        <v>0</v>
      </c>
      <c r="O691" s="264">
        <f t="shared" ref="O691:O699" si="412">IF(L691&gt;0,N691*100/L691,0)</f>
        <v>0</v>
      </c>
      <c r="P691" s="264">
        <f t="shared" ref="P691:P699" si="413">IF(M691&gt;0,N691*100/M691,0)</f>
        <v>0</v>
      </c>
      <c r="Q691" s="264">
        <f t="shared" ref="Q691:S691" ca="1" si="414">Q692+Q693</f>
        <v>181480</v>
      </c>
      <c r="R691" s="264">
        <f t="shared" ca="1" si="414"/>
        <v>181480</v>
      </c>
      <c r="S691" s="264">
        <f t="shared" ca="1" si="414"/>
        <v>0</v>
      </c>
      <c r="T691" s="264">
        <f t="shared" ref="T691:T699" ca="1" si="415">IF(Q691&gt;0,S691*100/Q691,0)</f>
        <v>0</v>
      </c>
      <c r="U691" s="264">
        <f t="shared" ref="U691:U699" ca="1" si="416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6">
        <f t="shared" ref="L692:N693" si="417">L695+L698</f>
        <v>0</v>
      </c>
      <c r="M692" s="77">
        <f t="shared" si="417"/>
        <v>0</v>
      </c>
      <c r="N692" s="77">
        <f t="shared" si="417"/>
        <v>0</v>
      </c>
      <c r="O692" s="77">
        <f t="shared" si="412"/>
        <v>0</v>
      </c>
      <c r="P692" s="77">
        <f t="shared" si="413"/>
        <v>0</v>
      </c>
      <c r="Q692" s="77">
        <f t="shared" ref="Q692:S693" si="418">Q695+Q698</f>
        <v>0</v>
      </c>
      <c r="R692" s="77">
        <f t="shared" si="418"/>
        <v>0</v>
      </c>
      <c r="S692" s="77">
        <f t="shared" si="418"/>
        <v>0</v>
      </c>
      <c r="T692" s="77">
        <f t="shared" si="415"/>
        <v>0</v>
      </c>
      <c r="U692" s="77">
        <f t="shared" si="416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3">
        <f t="shared" si="417"/>
        <v>0</v>
      </c>
      <c r="M693" s="74">
        <f t="shared" si="417"/>
        <v>0</v>
      </c>
      <c r="N693" s="74">
        <f t="shared" si="417"/>
        <v>0</v>
      </c>
      <c r="O693" s="74">
        <f t="shared" si="412"/>
        <v>0</v>
      </c>
      <c r="P693" s="74">
        <f t="shared" si="413"/>
        <v>0</v>
      </c>
      <c r="Q693" s="74">
        <f t="shared" ca="1" si="418"/>
        <v>181480</v>
      </c>
      <c r="R693" s="74">
        <f t="shared" ca="1" si="418"/>
        <v>181480</v>
      </c>
      <c r="S693" s="74">
        <f t="shared" ca="1" si="418"/>
        <v>0</v>
      </c>
      <c r="T693" s="74">
        <f t="shared" ca="1" si="415"/>
        <v>0</v>
      </c>
      <c r="U693" s="74">
        <f t="shared" ca="1" si="416"/>
        <v>0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3">
        <f t="shared" ref="L694:N694" si="419">L695+L696</f>
        <v>0</v>
      </c>
      <c r="M694" s="74">
        <f t="shared" si="419"/>
        <v>0</v>
      </c>
      <c r="N694" s="74">
        <f t="shared" si="419"/>
        <v>0</v>
      </c>
      <c r="O694" s="74">
        <f t="shared" si="412"/>
        <v>0</v>
      </c>
      <c r="P694" s="74">
        <f t="shared" si="413"/>
        <v>0</v>
      </c>
      <c r="Q694" s="74">
        <f t="shared" ref="Q694:S694" ca="1" si="420">Q695+Q696</f>
        <v>181480</v>
      </c>
      <c r="R694" s="74">
        <f t="shared" ca="1" si="420"/>
        <v>181480</v>
      </c>
      <c r="S694" s="74">
        <f t="shared" ca="1" si="420"/>
        <v>0</v>
      </c>
      <c r="T694" s="74">
        <f t="shared" ca="1" si="415"/>
        <v>0</v>
      </c>
      <c r="U694" s="74">
        <f t="shared" ca="1" si="416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77">
        <f t="shared" si="412"/>
        <v>0</v>
      </c>
      <c r="P695" s="77">
        <f t="shared" si="413"/>
        <v>0</v>
      </c>
      <c r="Q695" s="77">
        <v>0</v>
      </c>
      <c r="R695" s="77">
        <v>0</v>
      </c>
      <c r="S695" s="77">
        <v>0</v>
      </c>
      <c r="T695" s="77">
        <f t="shared" si="415"/>
        <v>0</v>
      </c>
      <c r="U695" s="77">
        <f t="shared" si="416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74">
        <f t="shared" si="412"/>
        <v>0</v>
      </c>
      <c r="P696" s="74">
        <f t="shared" si="413"/>
        <v>0</v>
      </c>
      <c r="Q696" s="74">
        <f ca="1">IFERROR(__xludf.DUMMYFUNCTION("IMPORTRANGE(""https://docs.google.com/spreadsheets/d/1ItG2mGa2ceCfYo0BwxsXqNm01IGEUdYcSSLTEv9YCik/edit?usp=sharing"",""เบิกจ่ายกองทุน!L69"")"),181480)</f>
        <v>181480</v>
      </c>
      <c r="R696" s="74">
        <f ca="1">IFERROR(__xludf.DUMMYFUNCTION("IMPORTRANGE(""https://docs.google.com/spreadsheets/d/1ItG2mGa2ceCfYo0BwxsXqNm01IGEUdYcSSLTEv9YCik/edit?usp=sharing"",""เบิกจ่ายกองทุน!M69"")"),181480)</f>
        <v>181480</v>
      </c>
      <c r="S696" s="74">
        <f ca="1">IFERROR(__xludf.DUMMYFUNCTION("IMPORTRANGE(""https://docs.google.com/spreadsheets/d/1ItG2mGa2ceCfYo0BwxsXqNm01IGEUdYcSSLTEv9YCik/edit?usp=sharing"",""เบิกจ่ายกองทุน!N69"")"),0)</f>
        <v>0</v>
      </c>
      <c r="T696" s="74">
        <f t="shared" ca="1" si="415"/>
        <v>0</v>
      </c>
      <c r="U696" s="74">
        <f t="shared" ca="1" si="416"/>
        <v>0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3">
        <f t="shared" ref="L697:N697" si="421">L698+L699</f>
        <v>0</v>
      </c>
      <c r="M697" s="74">
        <f t="shared" si="421"/>
        <v>0</v>
      </c>
      <c r="N697" s="74">
        <f t="shared" si="421"/>
        <v>0</v>
      </c>
      <c r="O697" s="74">
        <f t="shared" si="412"/>
        <v>0</v>
      </c>
      <c r="P697" s="74">
        <f t="shared" si="413"/>
        <v>0</v>
      </c>
      <c r="Q697" s="74">
        <f t="shared" ref="Q697:S697" si="422">Q698+Q699</f>
        <v>0</v>
      </c>
      <c r="R697" s="74">
        <f t="shared" si="422"/>
        <v>0</v>
      </c>
      <c r="S697" s="74">
        <f t="shared" si="422"/>
        <v>0</v>
      </c>
      <c r="T697" s="74">
        <f t="shared" si="415"/>
        <v>0</v>
      </c>
      <c r="U697" s="74">
        <f t="shared" si="416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77">
        <f t="shared" si="412"/>
        <v>0</v>
      </c>
      <c r="P698" s="77">
        <f t="shared" si="413"/>
        <v>0</v>
      </c>
      <c r="Q698" s="77">
        <v>0</v>
      </c>
      <c r="R698" s="77">
        <v>0</v>
      </c>
      <c r="S698" s="77">
        <v>0</v>
      </c>
      <c r="T698" s="77">
        <f t="shared" si="415"/>
        <v>0</v>
      </c>
      <c r="U698" s="77">
        <f t="shared" si="416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74">
        <f t="shared" si="412"/>
        <v>0</v>
      </c>
      <c r="P699" s="74">
        <f t="shared" si="413"/>
        <v>0</v>
      </c>
      <c r="Q699" s="74">
        <v>0</v>
      </c>
      <c r="R699" s="74">
        <v>0</v>
      </c>
      <c r="S699" s="74">
        <v>0</v>
      </c>
      <c r="T699" s="74">
        <f t="shared" si="415"/>
        <v>0</v>
      </c>
      <c r="U699" s="74">
        <f t="shared" si="416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IFERROR(__xludf.DUMMYFUNCTION("IMPORTRANGE(""https://docs.google.com/spreadsheets/d/1eHaY18a8A9IcSdp1K8H6x8fbOy06t2VsZHhMHf-1x7Y/edit?usp=sharing"",""แผน!LC69"")"),0)</f>
        <v>0</v>
      </c>
      <c r="J701" s="294">
        <v>0</v>
      </c>
      <c r="K701" s="768">
        <f t="shared" ref="K701:K711" ca="1" si="423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t="shared" ref="I702:J702" ca="1" si="424">I704+I706</f>
        <v>64</v>
      </c>
      <c r="J702" s="622">
        <f t="shared" ca="1" si="424"/>
        <v>0</v>
      </c>
      <c r="K702" s="264">
        <f t="shared" ca="1" si="423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0</v>
      </c>
      <c r="K703" s="264">
        <f t="shared" si="423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IFERROR(__xludf.DUMMYFUNCTION("IMPORTRANGE(""https://docs.google.com/spreadsheets/d/1eHaY18a8A9IcSdp1K8H6x8fbOy06t2VsZHhMHf-1x7Y/edit?usp=sharing"",""แผน!LJ69"")"),60)</f>
        <v>60</v>
      </c>
      <c r="J704" s="293">
        <f ca="1">IFERROR(__xludf.DUMMYFUNCTION("IMPORTRANGE(""https://docs.google.com/spreadsheets/d/1tdoBKaGub7dwA3U6UFTqxio9LNnvDCQjHKmttSEBsFQ/edit?usp=sharing"",""จัดที่ดิน!AP69"")"),0)</f>
        <v>0</v>
      </c>
      <c r="K704" s="74">
        <f t="shared" ca="1" si="423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IFERROR(__xludf.DUMMYFUNCTION("IMPORTRANGE(""https://docs.google.com/spreadsheets/d/1tdoBKaGub7dwA3U6UFTqxio9LNnvDCQjHKmttSEBsFQ/edit?usp=sharing"",""จัดที่ดิน!AQ69"")"),0)</f>
        <v>0</v>
      </c>
      <c r="K705" s="74">
        <f t="shared" si="423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IFERROR(__xludf.DUMMYFUNCTION("IMPORTRANGE(""https://docs.google.com/spreadsheets/d/1eHaY18a8A9IcSdp1K8H6x8fbOy06t2VsZHhMHf-1x7Y/edit?usp=sharing"",""แผน!LK69"")"),4)</f>
        <v>4</v>
      </c>
      <c r="J706" s="293">
        <f ca="1">IFERROR(__xludf.DUMMYFUNCTION("IMPORTRANGE(""https://docs.google.com/spreadsheets/d/1tdoBKaGub7dwA3U6UFTqxio9LNnvDCQjHKmttSEBsFQ/edit?usp=sharing"",""จัดที่ดิน!AR69"")"),0)</f>
        <v>0</v>
      </c>
      <c r="K706" s="768">
        <f t="shared" ca="1" si="423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IFERROR(__xludf.DUMMYFUNCTION("IMPORTRANGE(""https://docs.google.com/spreadsheets/d/1tdoBKaGub7dwA3U6UFTqxio9LNnvDCQjHKmttSEBsFQ/edit?usp=sharing"",""จัดที่ดิน!AS69"")"),0)</f>
        <v>0</v>
      </c>
      <c r="K707" s="74">
        <f t="shared" si="423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IFERROR(__xludf.DUMMYFUNCTION("IMPORTRANGE(""https://docs.google.com/spreadsheets/d/1eHaY18a8A9IcSdp1K8H6x8fbOy06t2VsZHhMHf-1x7Y/edit?usp=sharing"",""แผน!LJ69"")"),60)</f>
        <v>60</v>
      </c>
      <c r="J708" s="293">
        <f ca="1">IFERROR(__xludf.DUMMYFUNCTION("IMPORTRANGE(""https://docs.google.com/spreadsheets/d/1tdoBKaGub7dwA3U6UFTqxio9LNnvDCQjHKmttSEBsFQ/edit?usp=sharing"",""จัดที่ดิน!BN69"")"),0)</f>
        <v>0</v>
      </c>
      <c r="K708" s="74">
        <f t="shared" ca="1" si="423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IFERROR(__xludf.DUMMYFUNCTION("IMPORTRANGE(""https://docs.google.com/spreadsheets/d/1tdoBKaGub7dwA3U6UFTqxio9LNnvDCQjHKmttSEBsFQ/edit?usp=sharing"",""จัดที่ดิน!BO69"")"),0)</f>
        <v>0</v>
      </c>
      <c r="K709" s="74">
        <f t="shared" si="423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IFERROR(__xludf.DUMMYFUNCTION("IMPORTRANGE(""https://docs.google.com/spreadsheets/d/1eHaY18a8A9IcSdp1K8H6x8fbOy06t2VsZHhMHf-1x7Y/edit?usp=sharing"",""แผน!LK69"")"),4)</f>
        <v>4</v>
      </c>
      <c r="J710" s="293">
        <f ca="1">IFERROR(__xludf.DUMMYFUNCTION("IMPORTRANGE(""https://docs.google.com/spreadsheets/d/1tdoBKaGub7dwA3U6UFTqxio9LNnvDCQjHKmttSEBsFQ/edit?usp=sharing"",""จัดที่ดิน!BP69"")"),0)</f>
        <v>0</v>
      </c>
      <c r="K710" s="74">
        <f t="shared" ca="1" si="423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IFERROR(__xludf.DUMMYFUNCTION("IMPORTRANGE(""https://docs.google.com/spreadsheets/d/1tdoBKaGub7dwA3U6UFTqxio9LNnvDCQjHKmttSEBsFQ/edit?usp=sharing"",""จัดที่ดิน!BQ69"")"),0)</f>
        <v>0</v>
      </c>
      <c r="K711" s="74">
        <f t="shared" si="423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1257">
        <f t="shared" ref="L715:N715" si="425">L716+L717</f>
        <v>0</v>
      </c>
      <c r="M715" s="264">
        <f t="shared" si="425"/>
        <v>0</v>
      </c>
      <c r="N715" s="264">
        <f t="shared" si="425"/>
        <v>0</v>
      </c>
      <c r="O715" s="264">
        <f t="shared" ref="O715:O723" si="426">IF(L715&gt;0,N715*100/L715,0)</f>
        <v>0</v>
      </c>
      <c r="P715" s="264">
        <f t="shared" ref="P715:P723" si="427">IF(M715&gt;0,N715*100/M715,0)</f>
        <v>0</v>
      </c>
      <c r="Q715" s="264">
        <f t="shared" ref="Q715:S715" si="428">Q716+Q717</f>
        <v>0</v>
      </c>
      <c r="R715" s="264">
        <f t="shared" si="428"/>
        <v>0</v>
      </c>
      <c r="S715" s="264">
        <f t="shared" si="428"/>
        <v>0</v>
      </c>
      <c r="T715" s="264">
        <f t="shared" ref="T715:T723" si="429">IF(Q715&gt;0,S715*100/Q715,0)</f>
        <v>0</v>
      </c>
      <c r="U715" s="264">
        <f t="shared" ref="U715:U723" si="430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6">
        <f t="shared" ref="L716:N717" si="431">L719+L722</f>
        <v>0</v>
      </c>
      <c r="M716" s="77">
        <f t="shared" si="431"/>
        <v>0</v>
      </c>
      <c r="N716" s="77">
        <f t="shared" si="431"/>
        <v>0</v>
      </c>
      <c r="O716" s="77">
        <f t="shared" si="426"/>
        <v>0</v>
      </c>
      <c r="P716" s="77">
        <f t="shared" si="427"/>
        <v>0</v>
      </c>
      <c r="Q716" s="77">
        <f t="shared" ref="Q716:S717" si="432">Q719+Q722</f>
        <v>0</v>
      </c>
      <c r="R716" s="77">
        <f t="shared" si="432"/>
        <v>0</v>
      </c>
      <c r="S716" s="77">
        <f t="shared" si="432"/>
        <v>0</v>
      </c>
      <c r="T716" s="77">
        <f t="shared" si="429"/>
        <v>0</v>
      </c>
      <c r="U716" s="77">
        <f t="shared" si="430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3">
        <f t="shared" si="431"/>
        <v>0</v>
      </c>
      <c r="M717" s="74">
        <f t="shared" si="431"/>
        <v>0</v>
      </c>
      <c r="N717" s="74">
        <f t="shared" si="431"/>
        <v>0</v>
      </c>
      <c r="O717" s="74">
        <f t="shared" si="426"/>
        <v>0</v>
      </c>
      <c r="P717" s="74">
        <f t="shared" si="427"/>
        <v>0</v>
      </c>
      <c r="Q717" s="74">
        <f t="shared" si="432"/>
        <v>0</v>
      </c>
      <c r="R717" s="74">
        <f t="shared" si="432"/>
        <v>0</v>
      </c>
      <c r="S717" s="74">
        <f t="shared" si="432"/>
        <v>0</v>
      </c>
      <c r="T717" s="74">
        <f t="shared" si="429"/>
        <v>0</v>
      </c>
      <c r="U717" s="74">
        <f t="shared" si="430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3">
        <f t="shared" ref="L718:N718" si="433">L719+L720</f>
        <v>0</v>
      </c>
      <c r="M718" s="74">
        <f t="shared" si="433"/>
        <v>0</v>
      </c>
      <c r="N718" s="74">
        <f t="shared" si="433"/>
        <v>0</v>
      </c>
      <c r="O718" s="74">
        <f t="shared" si="426"/>
        <v>0</v>
      </c>
      <c r="P718" s="74">
        <f t="shared" si="427"/>
        <v>0</v>
      </c>
      <c r="Q718" s="74">
        <f t="shared" ref="Q718:S718" si="434">Q719+Q720</f>
        <v>0</v>
      </c>
      <c r="R718" s="74">
        <f t="shared" si="434"/>
        <v>0</v>
      </c>
      <c r="S718" s="74">
        <f t="shared" si="434"/>
        <v>0</v>
      </c>
      <c r="T718" s="74">
        <f t="shared" si="429"/>
        <v>0</v>
      </c>
      <c r="U718" s="74">
        <f t="shared" si="430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77">
        <f t="shared" si="426"/>
        <v>0</v>
      </c>
      <c r="P719" s="77">
        <f t="shared" si="427"/>
        <v>0</v>
      </c>
      <c r="Q719" s="77">
        <v>0</v>
      </c>
      <c r="R719" s="77">
        <v>0</v>
      </c>
      <c r="S719" s="77">
        <v>0</v>
      </c>
      <c r="T719" s="77">
        <f t="shared" si="429"/>
        <v>0</v>
      </c>
      <c r="U719" s="77">
        <f t="shared" si="430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74">
        <f t="shared" si="426"/>
        <v>0</v>
      </c>
      <c r="P720" s="74">
        <f t="shared" si="427"/>
        <v>0</v>
      </c>
      <c r="Q720" s="74">
        <v>0</v>
      </c>
      <c r="R720" s="74">
        <v>0</v>
      </c>
      <c r="S720" s="74">
        <v>0</v>
      </c>
      <c r="T720" s="74">
        <f t="shared" si="429"/>
        <v>0</v>
      </c>
      <c r="U720" s="74">
        <f t="shared" si="430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3">
        <f t="shared" ref="L721:N721" si="435">L722+L723</f>
        <v>0</v>
      </c>
      <c r="M721" s="74">
        <f t="shared" si="435"/>
        <v>0</v>
      </c>
      <c r="N721" s="74">
        <f t="shared" si="435"/>
        <v>0</v>
      </c>
      <c r="O721" s="74">
        <f t="shared" si="426"/>
        <v>0</v>
      </c>
      <c r="P721" s="74">
        <f t="shared" si="427"/>
        <v>0</v>
      </c>
      <c r="Q721" s="74">
        <f t="shared" ref="Q721:S721" si="436">Q722+Q723</f>
        <v>0</v>
      </c>
      <c r="R721" s="74">
        <f t="shared" si="436"/>
        <v>0</v>
      </c>
      <c r="S721" s="74">
        <f t="shared" si="436"/>
        <v>0</v>
      </c>
      <c r="T721" s="74">
        <f t="shared" si="429"/>
        <v>0</v>
      </c>
      <c r="U721" s="74">
        <f t="shared" si="430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77">
        <f t="shared" si="426"/>
        <v>0</v>
      </c>
      <c r="P722" s="77">
        <f t="shared" si="427"/>
        <v>0</v>
      </c>
      <c r="Q722" s="77">
        <v>0</v>
      </c>
      <c r="R722" s="77">
        <v>0</v>
      </c>
      <c r="S722" s="77">
        <v>0</v>
      </c>
      <c r="T722" s="77">
        <f t="shared" si="429"/>
        <v>0</v>
      </c>
      <c r="U722" s="77">
        <f t="shared" si="430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74">
        <f t="shared" si="426"/>
        <v>0</v>
      </c>
      <c r="P723" s="74">
        <f t="shared" si="427"/>
        <v>0</v>
      </c>
      <c r="Q723" s="74">
        <v>0</v>
      </c>
      <c r="R723" s="74">
        <v>0</v>
      </c>
      <c r="S723" s="74">
        <v>0</v>
      </c>
      <c r="T723" s="74">
        <f t="shared" si="429"/>
        <v>0</v>
      </c>
      <c r="U723" s="74">
        <f t="shared" si="430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IFERROR(__xludf.DUMMYFUNCTION("IMPORTRANGE(""https://docs.google.com/spreadsheets/d/1eHaY18a8A9IcSdp1K8H6x8fbOy06t2VsZHhMHf-1x7Y/edit?usp=sharing"",""แผน!GA69"")"),52)</f>
        <v>52</v>
      </c>
      <c r="J727" s="781">
        <f>J743+J747+J750</f>
        <v>0</v>
      </c>
      <c r="K727" s="766">
        <f t="shared" ref="K727:K728" ca="1" si="437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IFERROR(__xludf.DUMMYFUNCTION("IMPORTRANGE(""https://docs.google.com/spreadsheets/d/1eHaY18a8A9IcSdp1K8H6x8fbOy06t2VsZHhMHf-1x7Y/edit?usp=sharing"",""แผน!FZ69"")"),500)</f>
        <v>500</v>
      </c>
      <c r="J728" s="781">
        <f>J753+J756</f>
        <v>0</v>
      </c>
      <c r="K728" s="766">
        <f t="shared" ca="1" si="437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1257">
        <f t="shared" ref="L729:N729" si="438">L730+L731</f>
        <v>0</v>
      </c>
      <c r="M729" s="264">
        <f t="shared" si="438"/>
        <v>0</v>
      </c>
      <c r="N729" s="264">
        <f t="shared" si="438"/>
        <v>0</v>
      </c>
      <c r="O729" s="264">
        <f t="shared" ref="O729:O737" si="439">IF(L729&gt;0,N729*100/L729,0)</f>
        <v>0</v>
      </c>
      <c r="P729" s="264">
        <f t="shared" ref="P729:P737" si="440">IF(M729&gt;0,N729*100/M729,0)</f>
        <v>0</v>
      </c>
      <c r="Q729" s="264">
        <f t="shared" ref="Q729:S729" ca="1" si="441">Q730+Q731</f>
        <v>391730</v>
      </c>
      <c r="R729" s="264">
        <f t="shared" ca="1" si="441"/>
        <v>391730</v>
      </c>
      <c r="S729" s="264">
        <f t="shared" ca="1" si="441"/>
        <v>0</v>
      </c>
      <c r="T729" s="264">
        <f t="shared" ref="T729:T737" ca="1" si="442">IF(Q729&gt;0,S729*100/Q729,0)</f>
        <v>0</v>
      </c>
      <c r="U729" s="264">
        <f t="shared" ref="U729:U737" ca="1" si="443">IF(R729&gt;0,S729*100/R729,0)</f>
        <v>0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6">
        <f t="shared" ref="L730:N731" si="444">L733+L736</f>
        <v>0</v>
      </c>
      <c r="M730" s="77">
        <f t="shared" si="444"/>
        <v>0</v>
      </c>
      <c r="N730" s="77">
        <f t="shared" si="444"/>
        <v>0</v>
      </c>
      <c r="O730" s="77">
        <f t="shared" si="439"/>
        <v>0</v>
      </c>
      <c r="P730" s="77">
        <f t="shared" si="440"/>
        <v>0</v>
      </c>
      <c r="Q730" s="77">
        <f t="shared" ref="Q730:S731" si="445">Q733+Q736</f>
        <v>0</v>
      </c>
      <c r="R730" s="77">
        <f t="shared" si="445"/>
        <v>0</v>
      </c>
      <c r="S730" s="77">
        <f t="shared" si="445"/>
        <v>0</v>
      </c>
      <c r="T730" s="77">
        <f t="shared" si="442"/>
        <v>0</v>
      </c>
      <c r="U730" s="77">
        <f t="shared" si="443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3">
        <f t="shared" si="444"/>
        <v>0</v>
      </c>
      <c r="M731" s="74">
        <f t="shared" si="444"/>
        <v>0</v>
      </c>
      <c r="N731" s="74">
        <f t="shared" si="444"/>
        <v>0</v>
      </c>
      <c r="O731" s="74">
        <f t="shared" si="439"/>
        <v>0</v>
      </c>
      <c r="P731" s="74">
        <f t="shared" si="440"/>
        <v>0</v>
      </c>
      <c r="Q731" s="74">
        <f t="shared" ca="1" si="445"/>
        <v>391730</v>
      </c>
      <c r="R731" s="74">
        <f t="shared" ca="1" si="445"/>
        <v>391730</v>
      </c>
      <c r="S731" s="74">
        <f t="shared" ca="1" si="445"/>
        <v>0</v>
      </c>
      <c r="T731" s="74">
        <f t="shared" ca="1" si="442"/>
        <v>0</v>
      </c>
      <c r="U731" s="74">
        <f t="shared" ca="1" si="443"/>
        <v>0</v>
      </c>
    </row>
    <row r="732" spans="1:21" ht="18.75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3">
        <f t="shared" ref="L732:N732" si="446">L733+L734</f>
        <v>0</v>
      </c>
      <c r="M732" s="74">
        <f t="shared" si="446"/>
        <v>0</v>
      </c>
      <c r="N732" s="74">
        <f t="shared" si="446"/>
        <v>0</v>
      </c>
      <c r="O732" s="74">
        <f t="shared" si="439"/>
        <v>0</v>
      </c>
      <c r="P732" s="74">
        <f t="shared" si="440"/>
        <v>0</v>
      </c>
      <c r="Q732" s="74">
        <f t="shared" ref="Q732:S732" ca="1" si="447">Q733+Q734</f>
        <v>391730</v>
      </c>
      <c r="R732" s="74">
        <f t="shared" ca="1" si="447"/>
        <v>391730</v>
      </c>
      <c r="S732" s="74">
        <f t="shared" ca="1" si="447"/>
        <v>0</v>
      </c>
      <c r="T732" s="74">
        <f t="shared" ca="1" si="442"/>
        <v>0</v>
      </c>
      <c r="U732" s="74">
        <f t="shared" ca="1" si="443"/>
        <v>0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77">
        <f t="shared" si="439"/>
        <v>0</v>
      </c>
      <c r="P733" s="77">
        <f t="shared" si="440"/>
        <v>0</v>
      </c>
      <c r="Q733" s="77">
        <v>0</v>
      </c>
      <c r="R733" s="77">
        <v>0</v>
      </c>
      <c r="S733" s="77">
        <v>0</v>
      </c>
      <c r="T733" s="77">
        <f t="shared" si="442"/>
        <v>0</v>
      </c>
      <c r="U733" s="77">
        <f t="shared" si="443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74">
        <f t="shared" si="439"/>
        <v>0</v>
      </c>
      <c r="P734" s="74">
        <f t="shared" si="440"/>
        <v>0</v>
      </c>
      <c r="Q734" s="74">
        <f ca="1">IFERROR(__xludf.DUMMYFUNCTION("IMPORTRANGE(""https://docs.google.com/spreadsheets/d/1ItG2mGa2ceCfYo0BwxsXqNm01IGEUdYcSSLTEv9YCik/edit?usp=sharing"",""เบิกจ่ายกองทุน!O69"")"),391730)</f>
        <v>391730</v>
      </c>
      <c r="R734" s="74">
        <f ca="1">IFERROR(__xludf.DUMMYFUNCTION("IMPORTRANGE(""https://docs.google.com/spreadsheets/d/1ItG2mGa2ceCfYo0BwxsXqNm01IGEUdYcSSLTEv9YCik/edit?usp=sharing"",""เบิกจ่ายกองทุน!P69"")"),391730)</f>
        <v>391730</v>
      </c>
      <c r="S734" s="74">
        <f ca="1">IFERROR(__xludf.DUMMYFUNCTION("IMPORTRANGE(""https://docs.google.com/spreadsheets/d/1ItG2mGa2ceCfYo0BwxsXqNm01IGEUdYcSSLTEv9YCik/edit?usp=sharing"",""เบิกจ่ายกองทุน!Q69"")"),0)</f>
        <v>0</v>
      </c>
      <c r="T734" s="74">
        <f t="shared" ca="1" si="442"/>
        <v>0</v>
      </c>
      <c r="U734" s="74">
        <f t="shared" ca="1" si="443"/>
        <v>0</v>
      </c>
    </row>
    <row r="735" spans="1:21" ht="18.75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3">
        <f t="shared" ref="L735:N735" si="448">L736+L737</f>
        <v>0</v>
      </c>
      <c r="M735" s="74">
        <f t="shared" si="448"/>
        <v>0</v>
      </c>
      <c r="N735" s="74">
        <f t="shared" si="448"/>
        <v>0</v>
      </c>
      <c r="O735" s="74">
        <f t="shared" si="439"/>
        <v>0</v>
      </c>
      <c r="P735" s="74">
        <f t="shared" si="440"/>
        <v>0</v>
      </c>
      <c r="Q735" s="74">
        <f t="shared" ref="Q735:S735" si="449">Q736+Q737</f>
        <v>0</v>
      </c>
      <c r="R735" s="74">
        <f t="shared" si="449"/>
        <v>0</v>
      </c>
      <c r="S735" s="74">
        <f t="shared" si="449"/>
        <v>0</v>
      </c>
      <c r="T735" s="74">
        <f t="shared" si="442"/>
        <v>0</v>
      </c>
      <c r="U735" s="74">
        <f t="shared" si="443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77">
        <f t="shared" si="439"/>
        <v>0</v>
      </c>
      <c r="P736" s="77">
        <f t="shared" si="440"/>
        <v>0</v>
      </c>
      <c r="Q736" s="77">
        <v>0</v>
      </c>
      <c r="R736" s="77">
        <v>0</v>
      </c>
      <c r="S736" s="77">
        <v>0</v>
      </c>
      <c r="T736" s="77">
        <f t="shared" si="442"/>
        <v>0</v>
      </c>
      <c r="U736" s="77">
        <f t="shared" si="443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74">
        <f t="shared" si="439"/>
        <v>0</v>
      </c>
      <c r="P737" s="74">
        <f t="shared" si="440"/>
        <v>0</v>
      </c>
      <c r="Q737" s="74">
        <v>0</v>
      </c>
      <c r="R737" s="74">
        <v>0</v>
      </c>
      <c r="S737" s="74">
        <v>0</v>
      </c>
      <c r="T737" s="74">
        <f t="shared" si="442"/>
        <v>0</v>
      </c>
      <c r="U737" s="74">
        <f t="shared" si="443"/>
        <v>0</v>
      </c>
    </row>
    <row r="738" spans="1:21" ht="19.5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x14ac:dyDescent="0.25">
      <c r="A741" s="222"/>
      <c r="B741" s="223"/>
      <c r="C741" s="223"/>
      <c r="D741" s="223"/>
      <c r="E741" s="223"/>
      <c r="F741" s="1032" t="s">
        <v>271</v>
      </c>
      <c r="G741" s="227"/>
      <c r="H741" s="216" t="s">
        <v>46</v>
      </c>
      <c r="I741" s="321">
        <f ca="1">IFERROR(__xludf.DUMMYFUNCTION("IMPORTRANGE(""https://docs.google.com/spreadsheets/d/1eHaY18a8A9IcSdp1K8H6x8fbOy06t2VsZHhMHf-1x7Y/edit?usp=sharing"",""แผน!GB69"")"),400)</f>
        <v>400</v>
      </c>
      <c r="J741" s="884">
        <v>0</v>
      </c>
      <c r="K741" s="399">
        <f ca="1">IF(I741&gt;0,J741*100/I741,0)</f>
        <v>0</v>
      </c>
      <c r="L741" s="540"/>
      <c r="M741" s="72"/>
      <c r="N741" s="72"/>
      <c r="O741" s="72"/>
      <c r="P741" s="72"/>
      <c r="Q741" s="72"/>
      <c r="R741" s="72"/>
      <c r="S741" s="72"/>
      <c r="T741" s="72"/>
      <c r="U741" s="72"/>
    </row>
    <row r="742" spans="1:21" ht="18.75" x14ac:dyDescent="0.25">
      <c r="A742" s="222"/>
      <c r="B742" s="223"/>
      <c r="C742" s="223"/>
      <c r="D742" s="223"/>
      <c r="E742" s="223"/>
      <c r="F742" s="1032" t="s">
        <v>311</v>
      </c>
      <c r="G742" s="227"/>
      <c r="H742" s="216" t="s">
        <v>35</v>
      </c>
      <c r="I742" s="71"/>
      <c r="J742" s="884">
        <v>0</v>
      </c>
      <c r="K742" s="72"/>
      <c r="L742" s="540"/>
      <c r="M742" s="72"/>
      <c r="N742" s="72"/>
      <c r="O742" s="72"/>
      <c r="P742" s="72"/>
      <c r="Q742" s="72"/>
      <c r="R742" s="72"/>
      <c r="S742" s="72"/>
      <c r="T742" s="72"/>
      <c r="U742" s="72"/>
    </row>
    <row r="743" spans="1:21" ht="18.75" x14ac:dyDescent="0.25">
      <c r="A743" s="222"/>
      <c r="B743" s="223"/>
      <c r="C743" s="223"/>
      <c r="D743" s="223"/>
      <c r="E743" s="223"/>
      <c r="F743" s="1032" t="s">
        <v>312</v>
      </c>
      <c r="G743" s="227"/>
      <c r="H743" s="216" t="s">
        <v>35</v>
      </c>
      <c r="I743" s="321">
        <f ca="1">IFERROR(__xludf.DUMMYFUNCTION("IMPORTRANGE(""https://docs.google.com/spreadsheets/d/1eHaY18a8A9IcSdp1K8H6x8fbOy06t2VsZHhMHf-1x7Y/edit?usp=sharing"",""แผน!GC69"")"),40)</f>
        <v>40</v>
      </c>
      <c r="J743" s="884">
        <v>0</v>
      </c>
      <c r="K743" s="399">
        <f ca="1">IF(I743&gt;0,J743*100/I743,0)</f>
        <v>0</v>
      </c>
      <c r="L743" s="540"/>
      <c r="M743" s="72"/>
      <c r="N743" s="72"/>
      <c r="O743" s="72"/>
      <c r="P743" s="72"/>
      <c r="Q743" s="72"/>
      <c r="R743" s="72"/>
      <c r="S743" s="72"/>
      <c r="T743" s="72"/>
      <c r="U743" s="72"/>
    </row>
    <row r="744" spans="1:21" ht="18.75" x14ac:dyDescent="0.25">
      <c r="A744" s="222"/>
      <c r="B744" s="223"/>
      <c r="C744" s="223"/>
      <c r="D744" s="223"/>
      <c r="E744" s="1032" t="s">
        <v>274</v>
      </c>
      <c r="F744" s="223"/>
      <c r="G744" s="227"/>
      <c r="H744" s="1033"/>
      <c r="I744" s="71"/>
      <c r="J744" s="71"/>
      <c r="K744" s="72"/>
      <c r="L744" s="540"/>
      <c r="M744" s="72"/>
      <c r="N744" s="72"/>
      <c r="O744" s="72"/>
      <c r="P744" s="72"/>
      <c r="Q744" s="72"/>
      <c r="R744" s="72"/>
      <c r="S744" s="72"/>
      <c r="T744" s="72"/>
      <c r="U744" s="72"/>
    </row>
    <row r="745" spans="1:21" ht="18.75" x14ac:dyDescent="0.25">
      <c r="A745" s="222"/>
      <c r="B745" s="223"/>
      <c r="C745" s="223"/>
      <c r="D745" s="223"/>
      <c r="E745" s="223"/>
      <c r="F745" s="1032" t="s">
        <v>271</v>
      </c>
      <c r="G745" s="227"/>
      <c r="H745" s="216" t="s">
        <v>46</v>
      </c>
      <c r="I745" s="321">
        <f ca="1">IFERROR(__xludf.DUMMYFUNCTION("IMPORTRANGE(""https://docs.google.com/spreadsheets/d/1eHaY18a8A9IcSdp1K8H6x8fbOy06t2VsZHhMHf-1x7Y/edit?usp=sharing"",""แผน!GD69"")"),100)</f>
        <v>100</v>
      </c>
      <c r="J745" s="884">
        <v>0</v>
      </c>
      <c r="K745" s="399">
        <f ca="1">IF(I745&gt;0,J745*100/I745,0)</f>
        <v>0</v>
      </c>
      <c r="L745" s="540"/>
      <c r="M745" s="72"/>
      <c r="N745" s="72"/>
      <c r="O745" s="72"/>
      <c r="P745" s="72"/>
      <c r="Q745" s="72"/>
      <c r="R745" s="72"/>
      <c r="S745" s="72"/>
      <c r="T745" s="72"/>
      <c r="U745" s="72"/>
    </row>
    <row r="746" spans="1:21" ht="18.75" x14ac:dyDescent="0.25">
      <c r="A746" s="222"/>
      <c r="B746" s="223"/>
      <c r="C746" s="223"/>
      <c r="D746" s="223"/>
      <c r="E746" s="223"/>
      <c r="F746" s="1032" t="s">
        <v>313</v>
      </c>
      <c r="G746" s="227"/>
      <c r="H746" s="216" t="s">
        <v>35</v>
      </c>
      <c r="I746" s="71"/>
      <c r="J746" s="884">
        <v>0</v>
      </c>
      <c r="K746" s="72"/>
      <c r="L746" s="540"/>
      <c r="M746" s="72"/>
      <c r="N746" s="72"/>
      <c r="O746" s="72"/>
      <c r="P746" s="72"/>
      <c r="Q746" s="72"/>
      <c r="R746" s="72"/>
      <c r="S746" s="72"/>
      <c r="T746" s="72"/>
      <c r="U746" s="72"/>
    </row>
    <row r="747" spans="1:21" ht="18.75" x14ac:dyDescent="0.25">
      <c r="A747" s="222"/>
      <c r="B747" s="223"/>
      <c r="C747" s="223"/>
      <c r="D747" s="223"/>
      <c r="E747" s="223"/>
      <c r="F747" s="1032" t="s">
        <v>314</v>
      </c>
      <c r="G747" s="227"/>
      <c r="H747" s="216" t="s">
        <v>35</v>
      </c>
      <c r="I747" s="321">
        <f ca="1">IFERROR(__xludf.DUMMYFUNCTION("IMPORTRANGE(""https://docs.google.com/spreadsheets/d/1eHaY18a8A9IcSdp1K8H6x8fbOy06t2VsZHhMHf-1x7Y/edit?usp=sharing"",""แผน!GE69"")"),10)</f>
        <v>10</v>
      </c>
      <c r="J747" s="884">
        <v>0</v>
      </c>
      <c r="K747" s="399">
        <f ca="1">IF(I747&gt;0,J747*100/I747,0)</f>
        <v>0</v>
      </c>
      <c r="L747" s="540"/>
      <c r="M747" s="72"/>
      <c r="N747" s="72"/>
      <c r="O747" s="72"/>
      <c r="P747" s="72"/>
      <c r="Q747" s="72"/>
      <c r="R747" s="72"/>
      <c r="S747" s="72"/>
      <c r="T747" s="72"/>
      <c r="U747" s="72"/>
    </row>
    <row r="748" spans="1:21" ht="18.75" x14ac:dyDescent="0.25">
      <c r="A748" s="222"/>
      <c r="B748" s="223"/>
      <c r="C748" s="223"/>
      <c r="D748" s="223"/>
      <c r="E748" s="1032" t="s">
        <v>277</v>
      </c>
      <c r="F748" s="231"/>
      <c r="G748" s="227"/>
      <c r="H748" s="1033"/>
      <c r="I748" s="71"/>
      <c r="J748" s="71"/>
      <c r="K748" s="72"/>
      <c r="L748" s="540"/>
      <c r="M748" s="72"/>
      <c r="N748" s="72"/>
      <c r="O748" s="72"/>
      <c r="P748" s="72"/>
      <c r="Q748" s="72"/>
      <c r="R748" s="72"/>
      <c r="S748" s="72"/>
      <c r="T748" s="72"/>
      <c r="U748" s="72"/>
    </row>
    <row r="749" spans="1:21" ht="18.75" x14ac:dyDescent="0.25">
      <c r="A749" s="222"/>
      <c r="B749" s="223"/>
      <c r="C749" s="223"/>
      <c r="D749" s="223"/>
      <c r="E749" s="223"/>
      <c r="F749" s="1032" t="s">
        <v>315</v>
      </c>
      <c r="G749" s="227"/>
      <c r="H749" s="216" t="s">
        <v>35</v>
      </c>
      <c r="I749" s="71"/>
      <c r="J749" s="884">
        <v>0</v>
      </c>
      <c r="K749" s="72"/>
      <c r="L749" s="540"/>
      <c r="M749" s="72"/>
      <c r="N749" s="72"/>
      <c r="O749" s="72"/>
      <c r="P749" s="72"/>
      <c r="Q749" s="72"/>
      <c r="R749" s="72"/>
      <c r="S749" s="72"/>
      <c r="T749" s="72"/>
      <c r="U749" s="72"/>
    </row>
    <row r="750" spans="1:21" ht="18.75" x14ac:dyDescent="0.25">
      <c r="A750" s="222"/>
      <c r="B750" s="223"/>
      <c r="C750" s="223"/>
      <c r="D750" s="223"/>
      <c r="E750" s="223"/>
      <c r="F750" s="1032" t="s">
        <v>316</v>
      </c>
      <c r="G750" s="227"/>
      <c r="H750" s="216" t="s">
        <v>35</v>
      </c>
      <c r="I750" s="321">
        <f ca="1">IFERROR(__xludf.DUMMYFUNCTION("IMPORTRANGE(""https://docs.google.com/spreadsheets/d/1eHaY18a8A9IcSdp1K8H6x8fbOy06t2VsZHhMHf-1x7Y/edit?usp=sharing"",""แผน!GF69"")"),2)</f>
        <v>2</v>
      </c>
      <c r="J750" s="884">
        <v>0</v>
      </c>
      <c r="K750" s="399">
        <f ca="1">IF(I750&gt;0,J750*100/I750,0)</f>
        <v>0</v>
      </c>
      <c r="L750" s="540"/>
      <c r="M750" s="72"/>
      <c r="N750" s="72"/>
      <c r="O750" s="72"/>
      <c r="P750" s="72"/>
      <c r="Q750" s="72"/>
      <c r="R750" s="72"/>
      <c r="S750" s="72"/>
      <c r="T750" s="72"/>
      <c r="U750" s="72"/>
    </row>
    <row r="751" spans="1:21" ht="19.5" x14ac:dyDescent="0.3">
      <c r="A751" s="222"/>
      <c r="B751" s="223"/>
      <c r="C751" s="223"/>
      <c r="D751" s="1034" t="s">
        <v>50</v>
      </c>
      <c r="E751" s="223"/>
      <c r="F751" s="231"/>
      <c r="G751" s="227"/>
      <c r="H751" s="1033"/>
      <c r="I751" s="71"/>
      <c r="J751" s="71"/>
      <c r="K751" s="72"/>
      <c r="L751" s="540"/>
      <c r="M751" s="72"/>
      <c r="N751" s="72"/>
      <c r="O751" s="72"/>
      <c r="P751" s="72"/>
      <c r="Q751" s="72"/>
      <c r="R751" s="72"/>
      <c r="S751" s="72"/>
      <c r="T751" s="72"/>
      <c r="U751" s="72"/>
    </row>
    <row r="752" spans="1:21" ht="18.75" x14ac:dyDescent="0.25">
      <c r="A752" s="222"/>
      <c r="B752" s="223"/>
      <c r="C752" s="223"/>
      <c r="D752" s="223"/>
      <c r="E752" s="1032" t="s">
        <v>270</v>
      </c>
      <c r="F752" s="231"/>
      <c r="G752" s="227"/>
      <c r="H752" s="1033"/>
      <c r="I752" s="71"/>
      <c r="J752" s="71"/>
      <c r="K752" s="72"/>
      <c r="L752" s="540"/>
      <c r="M752" s="72"/>
      <c r="N752" s="72"/>
      <c r="O752" s="72"/>
      <c r="P752" s="72"/>
      <c r="Q752" s="72"/>
      <c r="R752" s="72"/>
      <c r="S752" s="72"/>
      <c r="T752" s="72"/>
      <c r="U752" s="72"/>
    </row>
    <row r="753" spans="1:21" ht="18.75" x14ac:dyDescent="0.25">
      <c r="A753" s="222"/>
      <c r="B753" s="223"/>
      <c r="C753" s="223"/>
      <c r="D753" s="223"/>
      <c r="E753" s="223"/>
      <c r="F753" s="395" t="s">
        <v>317</v>
      </c>
      <c r="G753" s="227"/>
      <c r="H753" s="216" t="s">
        <v>46</v>
      </c>
      <c r="I753" s="321">
        <f ca="1">IFERROR(__xludf.DUMMYFUNCTION("IMPORTRANGE(""https://docs.google.com/spreadsheets/d/1eHaY18a8A9IcSdp1K8H6x8fbOy06t2VsZHhMHf-1x7Y/edit?usp=sharing"",""แผน!GC69"")"),40)</f>
        <v>40</v>
      </c>
      <c r="J753" s="884">
        <v>0</v>
      </c>
      <c r="K753" s="399">
        <f ca="1">IF(I753&gt;0,J753*100/I753,0)</f>
        <v>0</v>
      </c>
      <c r="L753" s="540"/>
      <c r="M753" s="72"/>
      <c r="N753" s="72"/>
      <c r="O753" s="72"/>
      <c r="P753" s="72"/>
      <c r="Q753" s="72"/>
      <c r="R753" s="72"/>
      <c r="S753" s="72"/>
      <c r="T753" s="72"/>
      <c r="U753" s="72"/>
    </row>
    <row r="754" spans="1:21" ht="18.75" x14ac:dyDescent="0.25">
      <c r="A754" s="222"/>
      <c r="B754" s="223"/>
      <c r="C754" s="223"/>
      <c r="D754" s="223"/>
      <c r="E754" s="223"/>
      <c r="F754" s="395" t="s">
        <v>318</v>
      </c>
      <c r="G754" s="227"/>
      <c r="H754" s="216" t="s">
        <v>46</v>
      </c>
      <c r="I754" s="71"/>
      <c r="J754" s="884">
        <v>0</v>
      </c>
      <c r="K754" s="72"/>
      <c r="L754" s="540"/>
      <c r="M754" s="72"/>
      <c r="N754" s="72"/>
      <c r="O754" s="72"/>
      <c r="P754" s="72"/>
      <c r="Q754" s="72"/>
      <c r="R754" s="72"/>
      <c r="S754" s="72"/>
      <c r="T754" s="72"/>
      <c r="U754" s="72"/>
    </row>
    <row r="755" spans="1:21" ht="18.75" x14ac:dyDescent="0.25">
      <c r="A755" s="222"/>
      <c r="B755" s="223"/>
      <c r="C755" s="223"/>
      <c r="D755" s="223"/>
      <c r="E755" s="1032" t="s">
        <v>274</v>
      </c>
      <c r="F755" s="231"/>
      <c r="G755" s="227"/>
      <c r="H755" s="1033"/>
      <c r="I755" s="71"/>
      <c r="J755" s="71"/>
      <c r="K755" s="72"/>
      <c r="L755" s="540"/>
      <c r="M755" s="72"/>
      <c r="N755" s="72"/>
      <c r="O755" s="72"/>
      <c r="P755" s="72"/>
      <c r="Q755" s="72"/>
      <c r="R755" s="72"/>
      <c r="S755" s="72"/>
      <c r="T755" s="72"/>
      <c r="U755" s="72"/>
    </row>
    <row r="756" spans="1:21" ht="18.75" x14ac:dyDescent="0.25">
      <c r="A756" s="222"/>
      <c r="B756" s="223"/>
      <c r="C756" s="223"/>
      <c r="D756" s="223"/>
      <c r="E756" s="231"/>
      <c r="F756" s="395" t="s">
        <v>319</v>
      </c>
      <c r="G756" s="227"/>
      <c r="H756" s="216" t="s">
        <v>46</v>
      </c>
      <c r="I756" s="321">
        <f ca="1">IFERROR(__xludf.DUMMYFUNCTION("IMPORTRANGE(""https://docs.google.com/spreadsheets/d/1eHaY18a8A9IcSdp1K8H6x8fbOy06t2VsZHhMHf-1x7Y/edit?usp=sharing"",""แผน!GE69"")"),10)</f>
        <v>10</v>
      </c>
      <c r="J756" s="884">
        <v>0</v>
      </c>
      <c r="K756" s="399">
        <f ca="1">IF(I756&gt;0,J756*100/I756,0)</f>
        <v>0</v>
      </c>
      <c r="L756" s="540"/>
      <c r="M756" s="72"/>
      <c r="N756" s="72"/>
      <c r="O756" s="72"/>
      <c r="P756" s="72"/>
      <c r="Q756" s="72"/>
      <c r="R756" s="72"/>
      <c r="S756" s="72"/>
      <c r="T756" s="72"/>
      <c r="U756" s="72"/>
    </row>
    <row r="757" spans="1:21" ht="18.75" x14ac:dyDescent="0.25">
      <c r="A757" s="222"/>
      <c r="B757" s="223"/>
      <c r="C757" s="223"/>
      <c r="D757" s="223"/>
      <c r="E757" s="231"/>
      <c r="F757" s="395" t="s">
        <v>320</v>
      </c>
      <c r="G757" s="227"/>
      <c r="H757" s="216" t="s">
        <v>46</v>
      </c>
      <c r="I757" s="71"/>
      <c r="J757" s="884">
        <v>0</v>
      </c>
      <c r="K757" s="72"/>
      <c r="L757" s="540"/>
      <c r="M757" s="72"/>
      <c r="N757" s="72"/>
      <c r="O757" s="72"/>
      <c r="P757" s="72"/>
      <c r="Q757" s="72"/>
      <c r="R757" s="72"/>
      <c r="S757" s="72"/>
      <c r="T757" s="72"/>
      <c r="U757" s="72"/>
    </row>
    <row r="758" spans="1:21" ht="19.5" hidden="1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0">I772</f>
        <v>0</v>
      </c>
      <c r="J758" s="781">
        <f t="shared" si="450"/>
        <v>0</v>
      </c>
      <c r="K758" s="766">
        <f t="shared" ref="K758:K759" ca="1" si="451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hidden="1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2">I774</f>
        <v>0</v>
      </c>
      <c r="J759" s="781">
        <f t="shared" si="452"/>
        <v>0</v>
      </c>
      <c r="K759" s="766">
        <f t="shared" ca="1" si="451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hidden="1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1257">
        <f t="shared" ref="L760:N760" si="453">L761+L762</f>
        <v>0</v>
      </c>
      <c r="M760" s="264">
        <f t="shared" si="453"/>
        <v>0</v>
      </c>
      <c r="N760" s="264">
        <f t="shared" si="453"/>
        <v>0</v>
      </c>
      <c r="O760" s="264">
        <f t="shared" ref="O760:O768" si="454">IF(L760&gt;0,N760*100/L760,0)</f>
        <v>0</v>
      </c>
      <c r="P760" s="264">
        <f t="shared" ref="P760:P768" si="455">IF(M760&gt;0,N760*100/M760,0)</f>
        <v>0</v>
      </c>
      <c r="Q760" s="264">
        <f t="shared" ref="Q760:S760" ca="1" si="456">Q761+Q762</f>
        <v>0</v>
      </c>
      <c r="R760" s="264">
        <f t="shared" ca="1" si="456"/>
        <v>0</v>
      </c>
      <c r="S760" s="264">
        <f t="shared" ca="1" si="456"/>
        <v>0</v>
      </c>
      <c r="T760" s="264">
        <f t="shared" ref="T760:T768" ca="1" si="457">IF(Q760&gt;0,S760*100/Q760,0)</f>
        <v>0</v>
      </c>
      <c r="U760" s="264">
        <f t="shared" ref="U760:U768" ca="1" si="458">IF(R760&gt;0,S760*100/R760,0)</f>
        <v>0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6">
        <f t="shared" ref="L761:N762" si="459">L764+L767</f>
        <v>0</v>
      </c>
      <c r="M761" s="77">
        <f t="shared" si="459"/>
        <v>0</v>
      </c>
      <c r="N761" s="77">
        <f t="shared" si="459"/>
        <v>0</v>
      </c>
      <c r="O761" s="77">
        <f t="shared" si="454"/>
        <v>0</v>
      </c>
      <c r="P761" s="77">
        <f t="shared" si="455"/>
        <v>0</v>
      </c>
      <c r="Q761" s="77">
        <f t="shared" ref="Q761:S762" si="460">Q764+Q767</f>
        <v>0</v>
      </c>
      <c r="R761" s="77">
        <f t="shared" si="460"/>
        <v>0</v>
      </c>
      <c r="S761" s="77">
        <f t="shared" si="460"/>
        <v>0</v>
      </c>
      <c r="T761" s="77">
        <f t="shared" si="457"/>
        <v>0</v>
      </c>
      <c r="U761" s="77">
        <f t="shared" si="458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3">
        <f t="shared" si="459"/>
        <v>0</v>
      </c>
      <c r="M762" s="74">
        <f t="shared" si="459"/>
        <v>0</v>
      </c>
      <c r="N762" s="74">
        <f t="shared" si="459"/>
        <v>0</v>
      </c>
      <c r="O762" s="74">
        <f t="shared" si="454"/>
        <v>0</v>
      </c>
      <c r="P762" s="74">
        <f t="shared" si="455"/>
        <v>0</v>
      </c>
      <c r="Q762" s="74">
        <f t="shared" ca="1" si="460"/>
        <v>0</v>
      </c>
      <c r="R762" s="74">
        <f t="shared" ca="1" si="460"/>
        <v>0</v>
      </c>
      <c r="S762" s="74">
        <f t="shared" ca="1" si="460"/>
        <v>0</v>
      </c>
      <c r="T762" s="74">
        <f t="shared" ca="1" si="457"/>
        <v>0</v>
      </c>
      <c r="U762" s="74">
        <f t="shared" ca="1" si="458"/>
        <v>0</v>
      </c>
    </row>
    <row r="763" spans="1:21" ht="18.75" hidden="1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3">
        <f t="shared" ref="L763:N763" si="461">L764+L765</f>
        <v>0</v>
      </c>
      <c r="M763" s="74">
        <f t="shared" si="461"/>
        <v>0</v>
      </c>
      <c r="N763" s="74">
        <f t="shared" si="461"/>
        <v>0</v>
      </c>
      <c r="O763" s="74">
        <f t="shared" si="454"/>
        <v>0</v>
      </c>
      <c r="P763" s="74">
        <f t="shared" si="455"/>
        <v>0</v>
      </c>
      <c r="Q763" s="74">
        <f t="shared" ref="Q763:S763" ca="1" si="462">Q764+Q765</f>
        <v>0</v>
      </c>
      <c r="R763" s="74">
        <f t="shared" ca="1" si="462"/>
        <v>0</v>
      </c>
      <c r="S763" s="74">
        <f t="shared" ca="1" si="462"/>
        <v>0</v>
      </c>
      <c r="T763" s="74">
        <f t="shared" ca="1" si="457"/>
        <v>0</v>
      </c>
      <c r="U763" s="74">
        <f t="shared" ca="1" si="458"/>
        <v>0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77">
        <f t="shared" si="454"/>
        <v>0</v>
      </c>
      <c r="P764" s="77">
        <f t="shared" si="455"/>
        <v>0</v>
      </c>
      <c r="Q764" s="77">
        <v>0</v>
      </c>
      <c r="R764" s="77">
        <v>0</v>
      </c>
      <c r="S764" s="77">
        <v>0</v>
      </c>
      <c r="T764" s="77">
        <f t="shared" si="457"/>
        <v>0</v>
      </c>
      <c r="U764" s="77">
        <f t="shared" si="458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74">
        <f t="shared" si="454"/>
        <v>0</v>
      </c>
      <c r="P765" s="74">
        <f t="shared" si="455"/>
        <v>0</v>
      </c>
      <c r="Q765" s="74">
        <f ca="1">IFERROR(__xludf.DUMMYFUNCTION("IMPORTRANGE(""https://docs.google.com/spreadsheets/d/1ItG2mGa2ceCfYo0BwxsXqNm01IGEUdYcSSLTEv9YCik/edit?usp=sharing"",""เบิกจ่ายกองทุน!U69"")"),0)</f>
        <v>0</v>
      </c>
      <c r="R765" s="74">
        <f ca="1">IFERROR(__xludf.DUMMYFUNCTION("IMPORTRANGE(""https://docs.google.com/spreadsheets/d/1ItG2mGa2ceCfYo0BwxsXqNm01IGEUdYcSSLTEv9YCik/edit?usp=sharing"",""เบิกจ่ายกองทุน!V69"")"),0)</f>
        <v>0</v>
      </c>
      <c r="S765" s="74">
        <f ca="1">IFERROR(__xludf.DUMMYFUNCTION("IMPORTRANGE(""https://docs.google.com/spreadsheets/d/1ItG2mGa2ceCfYo0BwxsXqNm01IGEUdYcSSLTEv9YCik/edit?usp=sharing"",""เบิกจ่ายกองทุน!W69"")"),0)</f>
        <v>0</v>
      </c>
      <c r="T765" s="74">
        <f t="shared" ca="1" si="457"/>
        <v>0</v>
      </c>
      <c r="U765" s="74">
        <f t="shared" ca="1" si="458"/>
        <v>0</v>
      </c>
    </row>
    <row r="766" spans="1:21" ht="18.75" hidden="1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3">
        <f t="shared" ref="L766:N766" si="463">L767+L768</f>
        <v>0</v>
      </c>
      <c r="M766" s="74">
        <f t="shared" si="463"/>
        <v>0</v>
      </c>
      <c r="N766" s="74">
        <f t="shared" si="463"/>
        <v>0</v>
      </c>
      <c r="O766" s="74">
        <f t="shared" si="454"/>
        <v>0</v>
      </c>
      <c r="P766" s="74">
        <f t="shared" si="455"/>
        <v>0</v>
      </c>
      <c r="Q766" s="74">
        <f t="shared" ref="Q766:S766" si="464">Q767+Q768</f>
        <v>0</v>
      </c>
      <c r="R766" s="74">
        <f t="shared" si="464"/>
        <v>0</v>
      </c>
      <c r="S766" s="74">
        <f t="shared" si="464"/>
        <v>0</v>
      </c>
      <c r="T766" s="74">
        <f t="shared" si="457"/>
        <v>0</v>
      </c>
      <c r="U766" s="74">
        <f t="shared" si="458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77">
        <f t="shared" si="454"/>
        <v>0</v>
      </c>
      <c r="P767" s="77">
        <f t="shared" si="455"/>
        <v>0</v>
      </c>
      <c r="Q767" s="77">
        <v>0</v>
      </c>
      <c r="R767" s="77">
        <v>0</v>
      </c>
      <c r="S767" s="77">
        <v>0</v>
      </c>
      <c r="T767" s="77">
        <f t="shared" si="457"/>
        <v>0</v>
      </c>
      <c r="U767" s="77">
        <f t="shared" si="458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74">
        <f t="shared" si="454"/>
        <v>0</v>
      </c>
      <c r="P768" s="74">
        <f t="shared" si="455"/>
        <v>0</v>
      </c>
      <c r="Q768" s="74">
        <v>0</v>
      </c>
      <c r="R768" s="74">
        <v>0</v>
      </c>
      <c r="S768" s="74">
        <v>0</v>
      </c>
      <c r="T768" s="74">
        <f t="shared" si="457"/>
        <v>0</v>
      </c>
      <c r="U768" s="74">
        <f t="shared" si="458"/>
        <v>0</v>
      </c>
    </row>
    <row r="769" spans="1:21" ht="19.5" hidden="1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IFERROR(__xludf.DUMMYFUNCTION("IMPORTRANGE(""https://docs.google.com/spreadsheets/d/1eHaY18a8A9IcSdp1K8H6x8fbOy06t2VsZHhMHf-1x7Y/edit?usp=sharing"",""แผน!FI69"")"),0)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hidden="1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IFERROR(__xludf.DUMMYFUNCTION("IMPORTRANGE(""https://docs.google.com/spreadsheets/d/1eHaY18a8A9IcSdp1K8H6x8fbOy06t2VsZHhMHf-1x7Y/edit?usp=sharing"",""แผน!FQ69"")"),0)</f>
        <v>0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hidden="1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hidden="1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IFERROR(__xludf.DUMMYFUNCTION("IMPORTRANGE(""https://docs.google.com/spreadsheets/d/1eHaY18a8A9IcSdp1K8H6x8fbOy06t2VsZHhMHf-1x7Y/edit?usp=sharing"",""แผน!FR69"")"),0)</f>
        <v>0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hidden="1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IFERROR(__xludf.DUMMYFUNCTION("IMPORTRANGE(""https://docs.google.com/spreadsheets/d/1eHaY18a8A9IcSdp1K8H6x8fbOy06t2VsZHhMHf-1x7Y/edit?usp=sharing"",""แผน!FS69"")"),0)</f>
        <v>0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hidden="1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IFERROR(__xludf.DUMMYFUNCTION("IMPORTRANGE(""https://docs.google.com/spreadsheets/d/1eHaY18a8A9IcSdp1K8H6x8fbOy06t2VsZHhMHf-1x7Y/edit?usp=sharing"",""แผน!FT69"")"),0)</f>
        <v>0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IFERROR(__xludf.DUMMYFUNCTION("IMPORTRANGE(""https://docs.google.com/spreadsheets/d/10OvvATaaLtwErnr3qtWFcTmtbfpFEt5Bsqel9sXx0uE/edit?usp=sharing"",""งานกองทุน!D69"")"),8611220.44)</f>
        <v>8611220.4399999995</v>
      </c>
      <c r="J778" s="293">
        <f ca="1">IFERROR(__xludf.DUMMYFUNCTION("IMPORTRANGE(""https://docs.google.com/spreadsheets/d/10OvvATaaLtwErnr3qtWFcTmtbfpFEt5Bsqel9sXx0uE/edit?usp=sharing"",""งานกองทุน!F69"")"),2861504.39)</f>
        <v>2861504.39</v>
      </c>
      <c r="K778" s="74">
        <f t="shared" ref="K778:K785" ca="1" si="465">IF(I778&gt;0,J778*100/I778,0)</f>
        <v>33.229951665248514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IFERROR(__xludf.DUMMYFUNCTION("IMPORTRANGE(""https://docs.google.com/spreadsheets/d/10OvvATaaLtwErnr3qtWFcTmtbfpFEt5Bsqel9sXx0uE/edit?usp=sharing"",""งานกองทุน!C69"")"),590)</f>
        <v>590</v>
      </c>
      <c r="J779" s="293">
        <f ca="1">IFERROR(__xludf.DUMMYFUNCTION("IMPORTRANGE(""https://docs.google.com/spreadsheets/d/10OvvATaaLtwErnr3qtWFcTmtbfpFEt5Bsqel9sXx0uE/edit?usp=sharing"",""งานกองทุน!E69"")"),176)</f>
        <v>176</v>
      </c>
      <c r="K779" s="74">
        <f t="shared" ca="1" si="465"/>
        <v>29.83050847457627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IFERROR(__xludf.DUMMYFUNCTION("IMPORTRANGE(""https://docs.google.com/spreadsheets/d/10OvvATaaLtwErnr3qtWFcTmtbfpFEt5Bsqel9sXx0uE/edit?usp=sharing"",""งานกองทุน!I69"")"),5203811.49)</f>
        <v>5203811.49</v>
      </c>
      <c r="J780" s="293">
        <f ca="1">IFERROR(__xludf.DUMMYFUNCTION("IMPORTRANGE(""https://docs.google.com/spreadsheets/d/10OvvATaaLtwErnr3qtWFcTmtbfpFEt5Bsqel9sXx0uE/edit?usp=sharing"",""งานกองทุน!K69"")"),511645.47)</f>
        <v>511645.47</v>
      </c>
      <c r="K780" s="74">
        <f t="shared" ca="1" si="465"/>
        <v>9.8321292188084239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IFERROR(__xludf.DUMMYFUNCTION("IMPORTRANGE(""https://docs.google.com/spreadsheets/d/10OvvATaaLtwErnr3qtWFcTmtbfpFEt5Bsqel9sXx0uE/edit?usp=sharing"",""งานกองทุน!H69"")"),208)</f>
        <v>208</v>
      </c>
      <c r="J781" s="293">
        <f ca="1">IFERROR(__xludf.DUMMYFUNCTION("IMPORTRANGE(""https://docs.google.com/spreadsheets/d/10OvvATaaLtwErnr3qtWFcTmtbfpFEt5Bsqel9sXx0uE/edit?usp=sharing"",""งานกองทุน!J69"")"),58)</f>
        <v>58</v>
      </c>
      <c r="K781" s="74">
        <f t="shared" ca="1" si="465"/>
        <v>27.884615384615383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IFERROR(__xludf.DUMMYFUNCTION("IMPORTRANGE(""https://docs.google.com/spreadsheets/d/10OvvATaaLtwErnr3qtWFcTmtbfpFEt5Bsqel9sXx0uE/edit?usp=sharing"",""งานกองทุน!N69"")"),63028)</f>
        <v>63028</v>
      </c>
      <c r="J782" s="293">
        <f ca="1">IFERROR(__xludf.DUMMYFUNCTION("IMPORTRANGE(""https://docs.google.com/spreadsheets/d/10OvvATaaLtwErnr3qtWFcTmtbfpFEt5Bsqel9sXx0uE/edit?usp=sharing"",""งานกองทุน!P69"")"),4428)</f>
        <v>4428</v>
      </c>
      <c r="K782" s="74">
        <f t="shared" ca="1" si="465"/>
        <v>7.025449006790633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IFERROR(__xludf.DUMMYFUNCTION("IMPORTRANGE(""https://docs.google.com/spreadsheets/d/10OvvATaaLtwErnr3qtWFcTmtbfpFEt5Bsqel9sXx0uE/edit?usp=sharing"",""งานกองทุน!M69"")"),42)</f>
        <v>42</v>
      </c>
      <c r="J783" s="293">
        <f ca="1">IFERROR(__xludf.DUMMYFUNCTION("IMPORTRANGE(""https://docs.google.com/spreadsheets/d/10OvvATaaLtwErnr3qtWFcTmtbfpFEt5Bsqel9sXx0uE/edit?usp=sharing"",""งานกองทุน!O69"")"),2)</f>
        <v>2</v>
      </c>
      <c r="K783" s="74">
        <f t="shared" ca="1" si="465"/>
        <v>4.7619047619047619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IFERROR(__xludf.DUMMYFUNCTION("IMPORTRANGE(""https://docs.google.com/spreadsheets/d/10OvvATaaLtwErnr3qtWFcTmtbfpFEt5Bsqel9sXx0uE/edit?usp=sharing"",""งานกองทุน!S69"")"),12488000)</f>
        <v>12488000</v>
      </c>
      <c r="J784" s="293">
        <f ca="1">IFERROR(__xludf.DUMMYFUNCTION("IMPORTRANGE(""https://docs.google.com/spreadsheets/d/10OvvATaaLtwErnr3qtWFcTmtbfpFEt5Bsqel9sXx0uE/edit?usp=sharing"",""งานกองทุน!U69"")"),7110000)</f>
        <v>7110000</v>
      </c>
      <c r="K784" s="74">
        <f t="shared" ca="1" si="465"/>
        <v>56.934657270980139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IFERROR(__xludf.DUMMYFUNCTION("IMPORTRANGE(""https://docs.google.com/spreadsheets/d/10OvvATaaLtwErnr3qtWFcTmtbfpFEt5Bsqel9sXx0uE/edit?usp=sharing"",""งานกองทุน!R69"")"),446)</f>
        <v>446</v>
      </c>
      <c r="J785" s="786">
        <f ca="1">IFERROR(__xludf.DUMMYFUNCTION("IMPORTRANGE(""https://docs.google.com/spreadsheets/d/10OvvATaaLtwErnr3qtWFcTmtbfpFEt5Bsqel9sXx0uE/edit?usp=sharing"",""งานกองทุน!T69"")"),165)</f>
        <v>165</v>
      </c>
      <c r="K785" s="182">
        <f t="shared" ca="1" si="465"/>
        <v>36.995515695067262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F05E0-CD50-422C-9141-F7FE2E471F74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5" width="3.28515625" customWidth="1"/>
    <col min="6" max="6" width="61.42578125" customWidth="1"/>
    <col min="8" max="8" width="9.42578125" customWidth="1"/>
    <col min="9" max="9" width="18.7109375" bestFit="1" customWidth="1"/>
    <col min="10" max="11" width="15.140625" customWidth="1"/>
    <col min="12" max="13" width="21.28515625" bestFit="1" customWidth="1"/>
    <col min="14" max="14" width="18.7109375" bestFit="1" customWidth="1"/>
    <col min="15" max="15" width="12.5703125" bestFit="1" customWidth="1"/>
    <col min="16" max="16" width="12" bestFit="1" customWidth="1"/>
    <col min="17" max="17" width="21.28515625" bestFit="1" customWidth="1"/>
    <col min="18" max="18" width="18.710937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355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4" t="s">
        <v>4</v>
      </c>
      <c r="B6" s="1385"/>
      <c r="C6" s="1385"/>
      <c r="D6" s="1385"/>
      <c r="E6" s="1385"/>
      <c r="F6" s="1385"/>
      <c r="G6" s="1386"/>
      <c r="H6" s="1037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8">
        <f t="shared" ref="L19:N19" ca="1" si="0">L20+L21</f>
        <v>1591512</v>
      </c>
      <c r="M19" s="59">
        <f t="shared" ca="1" si="0"/>
        <v>1590394</v>
      </c>
      <c r="N19" s="59">
        <f t="shared" ca="1" si="0"/>
        <v>924230</v>
      </c>
      <c r="O19" s="59">
        <f t="shared" ref="O19:O27" ca="1" si="1">IF(L19&gt;0,N19*100/L19,0)</f>
        <v>58.072449343768696</v>
      </c>
      <c r="P19" s="59">
        <f t="shared" ref="P19:P27" ca="1" si="2">IF(M19&gt;0,N19*100/M19,0)</f>
        <v>58.113272560132899</v>
      </c>
      <c r="Q19" s="59">
        <f t="shared" ref="Q19:S19" ca="1" si="3">Q20+Q21</f>
        <v>1011655.39</v>
      </c>
      <c r="R19" s="59">
        <f t="shared" ca="1" si="3"/>
        <v>886655</v>
      </c>
      <c r="S19" s="59">
        <f t="shared" ca="1" si="3"/>
        <v>20719</v>
      </c>
      <c r="T19" s="59">
        <f t="shared" ref="T19:T27" ca="1" si="4">IF(Q19&gt;0,S19*100/Q19,0)</f>
        <v>2.0480294183971086</v>
      </c>
      <c r="U19" s="59">
        <f t="shared" ref="U19:U27" ca="1" si="5">IF(R19&gt;0,S19*100/R19,0)</f>
        <v>2.3367600701512989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2">
        <f t="shared" ref="L20:N21" si="6">L23+L26</f>
        <v>0</v>
      </c>
      <c r="M20" s="63">
        <f t="shared" si="6"/>
        <v>0</v>
      </c>
      <c r="N20" s="63">
        <f t="shared" si="6"/>
        <v>0</v>
      </c>
      <c r="O20" s="63">
        <f t="shared" si="1"/>
        <v>0</v>
      </c>
      <c r="P20" s="63">
        <f t="shared" si="2"/>
        <v>0</v>
      </c>
      <c r="Q20" s="63">
        <f t="shared" ref="Q20:S21" si="7">Q23+Q26</f>
        <v>0</v>
      </c>
      <c r="R20" s="63">
        <f t="shared" si="7"/>
        <v>0</v>
      </c>
      <c r="S20" s="63">
        <f t="shared" si="7"/>
        <v>0</v>
      </c>
      <c r="T20" s="63">
        <f t="shared" si="4"/>
        <v>0</v>
      </c>
      <c r="U20" s="6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4">
        <f t="shared" ca="1" si="6"/>
        <v>1591512</v>
      </c>
      <c r="M21" s="65">
        <f t="shared" ca="1" si="6"/>
        <v>1590394</v>
      </c>
      <c r="N21" s="65">
        <f t="shared" ca="1" si="6"/>
        <v>924230</v>
      </c>
      <c r="O21" s="65">
        <f t="shared" ca="1" si="1"/>
        <v>58.072449343768696</v>
      </c>
      <c r="P21" s="65">
        <f t="shared" ca="1" si="2"/>
        <v>58.113272560132899</v>
      </c>
      <c r="Q21" s="65">
        <f t="shared" ca="1" si="7"/>
        <v>1011655.39</v>
      </c>
      <c r="R21" s="65">
        <f t="shared" ca="1" si="7"/>
        <v>886655</v>
      </c>
      <c r="S21" s="65">
        <f t="shared" ca="1" si="7"/>
        <v>20719</v>
      </c>
      <c r="T21" s="65">
        <f t="shared" ca="1" si="4"/>
        <v>2.0480294183971086</v>
      </c>
      <c r="U21" s="65">
        <f t="shared" ca="1" si="5"/>
        <v>2.3367600701512989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3">
        <f t="shared" ref="L22:N22" ca="1" si="8">L23+L24</f>
        <v>1591512</v>
      </c>
      <c r="M22" s="74">
        <f t="shared" ca="1" si="8"/>
        <v>1590394</v>
      </c>
      <c r="N22" s="74">
        <f t="shared" ca="1" si="8"/>
        <v>924230</v>
      </c>
      <c r="O22" s="74">
        <f t="shared" ca="1" si="1"/>
        <v>58.072449343768696</v>
      </c>
      <c r="P22" s="74">
        <f t="shared" ca="1" si="2"/>
        <v>58.113272560132899</v>
      </c>
      <c r="Q22" s="74">
        <f t="shared" ref="Q22:S22" ca="1" si="9">Q23+Q24</f>
        <v>1011655.39</v>
      </c>
      <c r="R22" s="74">
        <f t="shared" ca="1" si="9"/>
        <v>886655</v>
      </c>
      <c r="S22" s="74">
        <f t="shared" ca="1" si="9"/>
        <v>20719</v>
      </c>
      <c r="T22" s="74">
        <f t="shared" ca="1" si="4"/>
        <v>2.0480294183971086</v>
      </c>
      <c r="U22" s="74">
        <f t="shared" ca="1" si="5"/>
        <v>2.3367600701512989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6">
        <f t="shared" ref="L23:N24" si="10">L49+L64+L77+L99+L130+L144+L162+L191+L178+L271+L287+L308+L325+L338+L361+L518</f>
        <v>0</v>
      </c>
      <c r="M23" s="77">
        <f t="shared" si="10"/>
        <v>0</v>
      </c>
      <c r="N23" s="77">
        <f t="shared" si="10"/>
        <v>0</v>
      </c>
      <c r="O23" s="77">
        <f t="shared" si="1"/>
        <v>0</v>
      </c>
      <c r="P23" s="77">
        <f t="shared" si="2"/>
        <v>0</v>
      </c>
      <c r="Q23" s="77">
        <f t="shared" ref="Q23:S24" si="11">Q77+Q99+Q122+Q144+Q162+Q178+Q191+Q271+Q287+Q308+Q338+Q380+Q397+Q418+Q498+Q604+Q621+Q647+Q695+Q719+Q733+Q764</f>
        <v>0</v>
      </c>
      <c r="R23" s="77">
        <f t="shared" si="11"/>
        <v>0</v>
      </c>
      <c r="S23" s="77">
        <f t="shared" si="11"/>
        <v>0</v>
      </c>
      <c r="T23" s="77">
        <f t="shared" si="4"/>
        <v>0</v>
      </c>
      <c r="U23" s="77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3">
        <f t="shared" ca="1" si="10"/>
        <v>1591512</v>
      </c>
      <c r="M24" s="74">
        <f t="shared" ca="1" si="10"/>
        <v>1590394</v>
      </c>
      <c r="N24" s="74">
        <f t="shared" ca="1" si="10"/>
        <v>924230</v>
      </c>
      <c r="O24" s="74">
        <f t="shared" ca="1" si="1"/>
        <v>58.072449343768696</v>
      </c>
      <c r="P24" s="74">
        <f t="shared" ca="1" si="2"/>
        <v>58.113272560132899</v>
      </c>
      <c r="Q24" s="74">
        <f t="shared" ca="1" si="11"/>
        <v>1011655.39</v>
      </c>
      <c r="R24" s="74">
        <f t="shared" ca="1" si="11"/>
        <v>886655</v>
      </c>
      <c r="S24" s="74">
        <f t="shared" ca="1" si="11"/>
        <v>20719</v>
      </c>
      <c r="T24" s="74">
        <f t="shared" ca="1" si="4"/>
        <v>2.0480294183971086</v>
      </c>
      <c r="U24" s="74">
        <f t="shared" ca="1" si="5"/>
        <v>2.3367600701512989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3">
        <f t="shared" ref="L25:N25" ca="1" si="12">L26+L27</f>
        <v>0</v>
      </c>
      <c r="M25" s="74">
        <f t="shared" ca="1" si="12"/>
        <v>0</v>
      </c>
      <c r="N25" s="74">
        <f t="shared" ca="1" si="12"/>
        <v>0</v>
      </c>
      <c r="O25" s="74">
        <f t="shared" ca="1" si="1"/>
        <v>0</v>
      </c>
      <c r="P25" s="74">
        <f t="shared" ca="1" si="2"/>
        <v>0</v>
      </c>
      <c r="Q25" s="74">
        <f t="shared" ref="Q25:S25" si="13">Q26+Q27</f>
        <v>0</v>
      </c>
      <c r="R25" s="74">
        <f t="shared" si="13"/>
        <v>0</v>
      </c>
      <c r="S25" s="74">
        <f t="shared" si="13"/>
        <v>0</v>
      </c>
      <c r="T25" s="74">
        <f t="shared" si="4"/>
        <v>0</v>
      </c>
      <c r="U25" s="74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6">
        <f t="shared" ref="L26:N27" si="14">L52+L67+L80+L102+L133+L147+L165+L194+L181+L274+L290+L311+L328+L341+L364+L521</f>
        <v>0</v>
      </c>
      <c r="M26" s="77">
        <f t="shared" si="14"/>
        <v>0</v>
      </c>
      <c r="N26" s="77">
        <f t="shared" si="14"/>
        <v>0</v>
      </c>
      <c r="O26" s="77">
        <f t="shared" si="1"/>
        <v>0</v>
      </c>
      <c r="P26" s="77">
        <f t="shared" si="2"/>
        <v>0</v>
      </c>
      <c r="Q26" s="77">
        <f t="shared" ref="Q26:S27" si="15">Q80+Q102+Q125+Q147+Q165+Q181+Q194+Q274+Q290+Q311+Q341+Q383+Q400+Q421+Q501+Q607+Q624+Q650+Q698+Q722+Q736+Q767</f>
        <v>0</v>
      </c>
      <c r="R26" s="77">
        <f t="shared" si="15"/>
        <v>0</v>
      </c>
      <c r="S26" s="77">
        <f t="shared" si="15"/>
        <v>0</v>
      </c>
      <c r="T26" s="77">
        <f t="shared" si="4"/>
        <v>0</v>
      </c>
      <c r="U26" s="77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3">
        <f t="shared" ca="1" si="14"/>
        <v>0</v>
      </c>
      <c r="M27" s="74">
        <f t="shared" ca="1" si="14"/>
        <v>0</v>
      </c>
      <c r="N27" s="74">
        <f t="shared" ca="1" si="14"/>
        <v>0</v>
      </c>
      <c r="O27" s="74">
        <f t="shared" ca="1" si="1"/>
        <v>0</v>
      </c>
      <c r="P27" s="74">
        <f t="shared" ca="1" si="2"/>
        <v>0</v>
      </c>
      <c r="Q27" s="77">
        <f t="shared" si="15"/>
        <v>0</v>
      </c>
      <c r="R27" s="77">
        <f t="shared" si="15"/>
        <v>0</v>
      </c>
      <c r="S27" s="77">
        <f t="shared" si="15"/>
        <v>0</v>
      </c>
      <c r="T27" s="74">
        <f t="shared" si="4"/>
        <v>0</v>
      </c>
      <c r="U27" s="74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79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80">
        <f t="shared" ref="L41:N41" ca="1" si="16">L45+L60+L73+L95+L126+L140+L158+L174+L187+L267+L283+L304+L321+L334+L357</f>
        <v>1591512</v>
      </c>
      <c r="M41" s="1279">
        <f t="shared" ca="1" si="16"/>
        <v>1590394</v>
      </c>
      <c r="N41" s="1279">
        <f t="shared" ca="1" si="16"/>
        <v>924230</v>
      </c>
      <c r="O41" s="1279">
        <f ca="1">IF(L41&gt;0,N41*100/L41,0)</f>
        <v>58.072449343768696</v>
      </c>
      <c r="P41" s="1279">
        <f ca="1">IF(M41&gt;0,N41*100/M41,0)</f>
        <v>58.113272560132899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6">
        <f t="shared" ref="L45:N45" ca="1" si="17">L46+L47</f>
        <v>320492</v>
      </c>
      <c r="M45" s="1275">
        <f t="shared" ca="1" si="17"/>
        <v>327624</v>
      </c>
      <c r="N45" s="1275">
        <f t="shared" ca="1" si="17"/>
        <v>237894</v>
      </c>
      <c r="O45" s="1275">
        <f t="shared" ref="O45:O53" ca="1" si="18">IF(L45&gt;0,N45*100/L45,0)</f>
        <v>74.227749834629265</v>
      </c>
      <c r="P45" s="1275">
        <f t="shared" ref="P45:P53" ca="1" si="19">IF(M45&gt;0,N45*100/M45,0)</f>
        <v>72.611896564354254</v>
      </c>
      <c r="Q45" s="1275">
        <f t="shared" ref="Q45:S45" si="20">Q46+Q47</f>
        <v>0</v>
      </c>
      <c r="R45" s="1275">
        <f t="shared" si="20"/>
        <v>0</v>
      </c>
      <c r="S45" s="1275">
        <f t="shared" si="20"/>
        <v>0</v>
      </c>
      <c r="T45" s="1275">
        <f t="shared" ref="T45:T53" si="21">IF(Q45&gt;0,S45*100/Q45,0)</f>
        <v>0</v>
      </c>
      <c r="U45" s="1275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4">
        <f t="shared" ref="L46:N47" si="23">L49+L52</f>
        <v>0</v>
      </c>
      <c r="M46" s="1273">
        <f t="shared" si="23"/>
        <v>0</v>
      </c>
      <c r="N46" s="1273">
        <f t="shared" si="23"/>
        <v>0</v>
      </c>
      <c r="O46" s="1273">
        <f t="shared" si="18"/>
        <v>0</v>
      </c>
      <c r="P46" s="1273">
        <f t="shared" si="19"/>
        <v>0</v>
      </c>
      <c r="Q46" s="1273">
        <f t="shared" ref="Q46:S47" si="24">Q49+Q52</f>
        <v>0</v>
      </c>
      <c r="R46" s="1273">
        <f t="shared" si="24"/>
        <v>0</v>
      </c>
      <c r="S46" s="1273">
        <f t="shared" si="24"/>
        <v>0</v>
      </c>
      <c r="T46" s="1273">
        <f t="shared" si="21"/>
        <v>0</v>
      </c>
      <c r="U46" s="1273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2">
        <f t="shared" ca="1" si="23"/>
        <v>320492</v>
      </c>
      <c r="M47" s="1271">
        <f t="shared" ca="1" si="23"/>
        <v>327624</v>
      </c>
      <c r="N47" s="1271">
        <f t="shared" ca="1" si="23"/>
        <v>237894</v>
      </c>
      <c r="O47" s="1271">
        <f t="shared" ca="1" si="18"/>
        <v>74.227749834629265</v>
      </c>
      <c r="P47" s="1271">
        <f t="shared" ca="1" si="19"/>
        <v>72.611896564354254</v>
      </c>
      <c r="Q47" s="1271">
        <f t="shared" si="24"/>
        <v>0</v>
      </c>
      <c r="R47" s="1271">
        <f t="shared" si="24"/>
        <v>0</v>
      </c>
      <c r="S47" s="1271">
        <f t="shared" si="24"/>
        <v>0</v>
      </c>
      <c r="T47" s="1271">
        <f t="shared" si="21"/>
        <v>0</v>
      </c>
      <c r="U47" s="1271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3">
        <f t="shared" ref="L48:N48" ca="1" si="25">L49+L50</f>
        <v>320492</v>
      </c>
      <c r="M48" s="74">
        <f t="shared" ca="1" si="25"/>
        <v>327624</v>
      </c>
      <c r="N48" s="74">
        <f t="shared" ca="1" si="25"/>
        <v>237894</v>
      </c>
      <c r="O48" s="74">
        <f t="shared" ca="1" si="18"/>
        <v>74.227749834629265</v>
      </c>
      <c r="P48" s="74">
        <f t="shared" ca="1" si="19"/>
        <v>72.611896564354254</v>
      </c>
      <c r="Q48" s="74">
        <f t="shared" ref="Q48:S48" si="26">Q49+Q50</f>
        <v>0</v>
      </c>
      <c r="R48" s="74">
        <f t="shared" si="26"/>
        <v>0</v>
      </c>
      <c r="S48" s="74">
        <f t="shared" si="26"/>
        <v>0</v>
      </c>
      <c r="T48" s="74">
        <f t="shared" si="21"/>
        <v>0</v>
      </c>
      <c r="U48" s="74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77">
        <f t="shared" si="18"/>
        <v>0</v>
      </c>
      <c r="P49" s="77">
        <f t="shared" si="19"/>
        <v>0</v>
      </c>
      <c r="Q49" s="77">
        <v>0</v>
      </c>
      <c r="R49" s="77">
        <v>0</v>
      </c>
      <c r="S49" s="77">
        <v>0</v>
      </c>
      <c r="T49" s="77">
        <f t="shared" si="21"/>
        <v>0</v>
      </c>
      <c r="U49" s="77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3">
        <f ca="1">IFERROR(__xludf.DUMMYFUNCTION("IMPORTRANGE(""https://docs.google.com/spreadsheets/d/1-uDff_7J0KD5mKrp0Vvzr7lt3OU09vwQwhkpOPPYv2Y/edit?usp=sharing"",""งบพรบ!P70"")"),320492)</f>
        <v>320492</v>
      </c>
      <c r="M50" s="74">
        <f ca="1">IFERROR(__xludf.DUMMYFUNCTION("IMPORTRANGE(""https://docs.google.com/spreadsheets/d/1-uDff_7J0KD5mKrp0Vvzr7lt3OU09vwQwhkpOPPYv2Y/edit?usp=sharing"",""งบพรบ!V70"")"),327624)</f>
        <v>327624</v>
      </c>
      <c r="N50" s="74">
        <f ca="1">IFERROR(__xludf.DUMMYFUNCTION("IMPORTRANGE(""https://docs.google.com/spreadsheets/d/1-uDff_7J0KD5mKrp0Vvzr7lt3OU09vwQwhkpOPPYv2Y/edit?usp=sharing"",""งบพรบ!Y70"")"),237894)</f>
        <v>237894</v>
      </c>
      <c r="O50" s="74">
        <f t="shared" ca="1" si="18"/>
        <v>74.227749834629265</v>
      </c>
      <c r="P50" s="74">
        <f t="shared" ca="1" si="19"/>
        <v>72.611896564354254</v>
      </c>
      <c r="Q50" s="74">
        <v>0</v>
      </c>
      <c r="R50" s="74">
        <v>0</v>
      </c>
      <c r="S50" s="74">
        <v>0</v>
      </c>
      <c r="T50" s="74">
        <f t="shared" si="21"/>
        <v>0</v>
      </c>
      <c r="U50" s="74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3">
        <f t="shared" ref="L51:N51" ca="1" si="27">L52+L53</f>
        <v>0</v>
      </c>
      <c r="M51" s="74">
        <f t="shared" ca="1" si="27"/>
        <v>0</v>
      </c>
      <c r="N51" s="74">
        <f t="shared" ca="1" si="27"/>
        <v>0</v>
      </c>
      <c r="O51" s="74">
        <f t="shared" ca="1" si="18"/>
        <v>0</v>
      </c>
      <c r="P51" s="74">
        <f t="shared" ca="1" si="19"/>
        <v>0</v>
      </c>
      <c r="Q51" s="74">
        <f t="shared" ref="Q51:S51" si="28">Q52+Q53</f>
        <v>0</v>
      </c>
      <c r="R51" s="74">
        <f t="shared" si="28"/>
        <v>0</v>
      </c>
      <c r="S51" s="74">
        <f t="shared" si="28"/>
        <v>0</v>
      </c>
      <c r="T51" s="74">
        <f t="shared" si="21"/>
        <v>0</v>
      </c>
      <c r="U51" s="74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77">
        <f t="shared" si="18"/>
        <v>0</v>
      </c>
      <c r="P52" s="77">
        <f t="shared" si="19"/>
        <v>0</v>
      </c>
      <c r="Q52" s="77">
        <v>0</v>
      </c>
      <c r="R52" s="77">
        <v>0</v>
      </c>
      <c r="S52" s="77">
        <v>0</v>
      </c>
      <c r="T52" s="77">
        <f t="shared" si="21"/>
        <v>0</v>
      </c>
      <c r="U52" s="77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3">
        <f ca="1">IFERROR(__xludf.DUMMYFUNCTION("IMPORTRANGE(""https://docs.google.com/spreadsheets/d/1-uDff_7J0KD5mKrp0Vvzr7lt3OU09vwQwhkpOPPYv2Y/edit?usp=sharing"",""งบพรบ!S70"")"),0)</f>
        <v>0</v>
      </c>
      <c r="M53" s="74">
        <f ca="1">IFERROR(__xludf.DUMMYFUNCTION("IMPORTRANGE(""https://docs.google.com/spreadsheets/d/1-uDff_7J0KD5mKrp0Vvzr7lt3OU09vwQwhkpOPPYv2Y/edit?usp=sharing"",""งบพรบ!W70"")"),0)</f>
        <v>0</v>
      </c>
      <c r="N53" s="74">
        <f ca="1">IFERROR(__xludf.DUMMYFUNCTION("IMPORTRANGE(""https://docs.google.com/spreadsheets/d/1-uDff_7J0KD5mKrp0Vvzr7lt3OU09vwQwhkpOPPYv2Y/edit?usp=sharing"",""งบพรบ!Z70"")"),0)</f>
        <v>0</v>
      </c>
      <c r="O53" s="74">
        <f t="shared" ca="1" si="18"/>
        <v>0</v>
      </c>
      <c r="P53" s="74">
        <f t="shared" ca="1" si="19"/>
        <v>0</v>
      </c>
      <c r="Q53" s="74">
        <v>0</v>
      </c>
      <c r="R53" s="74">
        <v>0</v>
      </c>
      <c r="S53" s="74">
        <v>0</v>
      </c>
      <c r="T53" s="74">
        <f t="shared" si="21"/>
        <v>0</v>
      </c>
      <c r="U53" s="74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9">
        <f t="shared" ref="L60:N60" ca="1" si="29">L61+L62</f>
        <v>436200</v>
      </c>
      <c r="M60" s="1268">
        <f t="shared" ca="1" si="29"/>
        <v>436200</v>
      </c>
      <c r="N60" s="1268">
        <f t="shared" ca="1" si="29"/>
        <v>302031.01</v>
      </c>
      <c r="O60" s="1268">
        <f t="shared" ref="O60:O68" ca="1" si="30">IF(L60&gt;0,N60*100/L60,0)</f>
        <v>69.241405318661165</v>
      </c>
      <c r="P60" s="1268">
        <f t="shared" ref="P60:P68" ca="1" si="31">IF(M60&gt;0,N60*100/M60,0)</f>
        <v>69.241405318661165</v>
      </c>
      <c r="Q60" s="1268">
        <f t="shared" ref="Q60:S60" si="32">Q61+Q62</f>
        <v>0</v>
      </c>
      <c r="R60" s="1268">
        <f t="shared" si="32"/>
        <v>0</v>
      </c>
      <c r="S60" s="1268">
        <f t="shared" si="32"/>
        <v>0</v>
      </c>
      <c r="T60" s="1268">
        <f t="shared" ref="T60:T68" si="33">IF(Q60&gt;0,S60*100/Q60,0)</f>
        <v>0</v>
      </c>
      <c r="U60" s="1268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7">
        <f t="shared" ref="L61:N62" si="35">L64+L67</f>
        <v>0</v>
      </c>
      <c r="M61" s="1266">
        <f t="shared" si="35"/>
        <v>0</v>
      </c>
      <c r="N61" s="1266">
        <f t="shared" si="35"/>
        <v>0</v>
      </c>
      <c r="O61" s="1266">
        <f t="shared" si="30"/>
        <v>0</v>
      </c>
      <c r="P61" s="1266">
        <f t="shared" si="31"/>
        <v>0</v>
      </c>
      <c r="Q61" s="1266">
        <f t="shared" ref="Q61:S62" si="36">Q64+Q67</f>
        <v>0</v>
      </c>
      <c r="R61" s="1266">
        <f t="shared" si="36"/>
        <v>0</v>
      </c>
      <c r="S61" s="1266">
        <f t="shared" si="36"/>
        <v>0</v>
      </c>
      <c r="T61" s="1266">
        <f t="shared" si="33"/>
        <v>0</v>
      </c>
      <c r="U61" s="1266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5">
        <f t="shared" ca="1" si="35"/>
        <v>436200</v>
      </c>
      <c r="M62" s="1264">
        <f t="shared" ca="1" si="35"/>
        <v>436200</v>
      </c>
      <c r="N62" s="1264">
        <f t="shared" ca="1" si="35"/>
        <v>302031.01</v>
      </c>
      <c r="O62" s="1264">
        <f t="shared" ca="1" si="30"/>
        <v>69.241405318661165</v>
      </c>
      <c r="P62" s="1264">
        <f t="shared" ca="1" si="31"/>
        <v>69.241405318661165</v>
      </c>
      <c r="Q62" s="1264">
        <f t="shared" si="36"/>
        <v>0</v>
      </c>
      <c r="R62" s="1264">
        <f t="shared" si="36"/>
        <v>0</v>
      </c>
      <c r="S62" s="1264">
        <f t="shared" si="36"/>
        <v>0</v>
      </c>
      <c r="T62" s="1264">
        <f t="shared" si="33"/>
        <v>0</v>
      </c>
      <c r="U62" s="1264">
        <f t="shared" si="34"/>
        <v>0</v>
      </c>
    </row>
    <row r="63" spans="1:21" ht="18.75" x14ac:dyDescent="0.25">
      <c r="A63" s="847"/>
      <c r="B63" s="258"/>
      <c r="C63" s="258"/>
      <c r="D63" s="270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3">
        <f t="shared" ref="L63:N63" ca="1" si="37">L64+L65</f>
        <v>436200</v>
      </c>
      <c r="M63" s="74">
        <f t="shared" ca="1" si="37"/>
        <v>436200</v>
      </c>
      <c r="N63" s="74">
        <f t="shared" ca="1" si="37"/>
        <v>302031.01</v>
      </c>
      <c r="O63" s="74">
        <f t="shared" ca="1" si="30"/>
        <v>69.241405318661165</v>
      </c>
      <c r="P63" s="74">
        <f t="shared" ca="1" si="31"/>
        <v>69.241405318661165</v>
      </c>
      <c r="Q63" s="74">
        <f t="shared" ref="Q63:S63" si="38">Q64+Q65</f>
        <v>0</v>
      </c>
      <c r="R63" s="74">
        <f t="shared" si="38"/>
        <v>0</v>
      </c>
      <c r="S63" s="74">
        <f t="shared" si="38"/>
        <v>0</v>
      </c>
      <c r="T63" s="74">
        <f t="shared" si="33"/>
        <v>0</v>
      </c>
      <c r="U63" s="74">
        <f t="shared" si="34"/>
        <v>0</v>
      </c>
    </row>
    <row r="64" spans="1:21" ht="18.75" hidden="1" x14ac:dyDescent="0.25">
      <c r="A64" s="847"/>
      <c r="B64" s="258"/>
      <c r="C64" s="258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77">
        <f t="shared" si="30"/>
        <v>0</v>
      </c>
      <c r="P64" s="77">
        <f t="shared" si="31"/>
        <v>0</v>
      </c>
      <c r="Q64" s="77">
        <v>0</v>
      </c>
      <c r="R64" s="77">
        <v>0</v>
      </c>
      <c r="S64" s="77">
        <v>0</v>
      </c>
      <c r="T64" s="77">
        <f t="shared" si="33"/>
        <v>0</v>
      </c>
      <c r="U64" s="77">
        <f t="shared" si="34"/>
        <v>0</v>
      </c>
    </row>
    <row r="65" spans="1:21" ht="18.75" hidden="1" x14ac:dyDescent="0.25">
      <c r="A65" s="847"/>
      <c r="B65" s="258"/>
      <c r="C65" s="258"/>
      <c r="D65" s="258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3">
        <f ca="1">IFERROR(__xludf.DUMMYFUNCTION("IMPORTRANGE(""https://docs.google.com/spreadsheets/d/1-uDff_7J0KD5mKrp0Vvzr7lt3OU09vwQwhkpOPPYv2Y/edit?usp=sharing"",""งบพรบ!AC70"")"),436200)</f>
        <v>436200</v>
      </c>
      <c r="M65" s="74">
        <f ca="1">IFERROR(__xludf.DUMMYFUNCTION("IMPORTRANGE(""https://docs.google.com/spreadsheets/d/1-uDff_7J0KD5mKrp0Vvzr7lt3OU09vwQwhkpOPPYv2Y/edit?usp=sharing"",""งบพรบ!AH70"")"),436200)</f>
        <v>436200</v>
      </c>
      <c r="N65" s="74">
        <f ca="1">IFERROR(__xludf.DUMMYFUNCTION("IMPORTRANGE(""https://docs.google.com/spreadsheets/d/1-uDff_7J0KD5mKrp0Vvzr7lt3OU09vwQwhkpOPPYv2Y/edit?usp=sharing"",""งบพรบ!AJ70"")"),302031.01)</f>
        <v>302031.01</v>
      </c>
      <c r="O65" s="74">
        <f t="shared" ca="1" si="30"/>
        <v>69.241405318661165</v>
      </c>
      <c r="P65" s="74">
        <f t="shared" ca="1" si="31"/>
        <v>69.241405318661165</v>
      </c>
      <c r="Q65" s="74">
        <v>0</v>
      </c>
      <c r="R65" s="74">
        <v>0</v>
      </c>
      <c r="S65" s="74">
        <v>0</v>
      </c>
      <c r="T65" s="74">
        <f t="shared" si="33"/>
        <v>0</v>
      </c>
      <c r="U65" s="74">
        <f t="shared" si="34"/>
        <v>0</v>
      </c>
    </row>
    <row r="66" spans="1:21" ht="18.75" x14ac:dyDescent="0.25">
      <c r="A66" s="847"/>
      <c r="B66" s="258"/>
      <c r="C66" s="258"/>
      <c r="D66" s="270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3">
        <f t="shared" ref="L66:N66" ca="1" si="39">L67+L68</f>
        <v>0</v>
      </c>
      <c r="M66" s="74">
        <f t="shared" ca="1" si="39"/>
        <v>0</v>
      </c>
      <c r="N66" s="74">
        <f t="shared" ca="1" si="39"/>
        <v>0</v>
      </c>
      <c r="O66" s="74">
        <f t="shared" ca="1" si="30"/>
        <v>0</v>
      </c>
      <c r="P66" s="74">
        <f t="shared" ca="1" si="31"/>
        <v>0</v>
      </c>
      <c r="Q66" s="74">
        <f t="shared" ref="Q66:S66" si="40">Q67+Q68</f>
        <v>0</v>
      </c>
      <c r="R66" s="74">
        <f t="shared" si="40"/>
        <v>0</v>
      </c>
      <c r="S66" s="74">
        <f t="shared" si="40"/>
        <v>0</v>
      </c>
      <c r="T66" s="74">
        <f t="shared" si="33"/>
        <v>0</v>
      </c>
      <c r="U66" s="74">
        <f t="shared" si="34"/>
        <v>0</v>
      </c>
    </row>
    <row r="67" spans="1:21" ht="18.75" hidden="1" x14ac:dyDescent="0.25">
      <c r="A67" s="847"/>
      <c r="B67" s="258"/>
      <c r="C67" s="258"/>
      <c r="D67" s="258"/>
      <c r="E67" s="265" t="s">
        <v>20</v>
      </c>
      <c r="F67" s="258"/>
      <c r="G67" s="261"/>
      <c r="H67" s="840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77">
        <f t="shared" si="30"/>
        <v>0</v>
      </c>
      <c r="P67" s="77">
        <f t="shared" si="31"/>
        <v>0</v>
      </c>
      <c r="Q67" s="77">
        <v>0</v>
      </c>
      <c r="R67" s="77">
        <v>0</v>
      </c>
      <c r="S67" s="77">
        <v>0</v>
      </c>
      <c r="T67" s="77">
        <f t="shared" si="33"/>
        <v>0</v>
      </c>
      <c r="U67" s="77">
        <f t="shared" si="34"/>
        <v>0</v>
      </c>
    </row>
    <row r="68" spans="1:21" ht="18.75" hidden="1" x14ac:dyDescent="0.25">
      <c r="A68" s="848"/>
      <c r="B68" s="636"/>
      <c r="C68" s="636"/>
      <c r="D68" s="636"/>
      <c r="E68" s="849" t="s">
        <v>21</v>
      </c>
      <c r="F68" s="636"/>
      <c r="G68" s="637"/>
      <c r="H68" s="850" t="s">
        <v>14</v>
      </c>
      <c r="I68" s="631"/>
      <c r="J68" s="631"/>
      <c r="K68" s="98"/>
      <c r="L68" s="181">
        <f ca="1">IFERROR(__xludf.DUMMYFUNCTION("IMPORTRANGE(""https://docs.google.com/spreadsheets/d/1-uDff_7J0KD5mKrp0Vvzr7lt3OU09vwQwhkpOPPYv2Y/edit?usp=sharing"",""งบพรบ!AF70"")"),0)</f>
        <v>0</v>
      </c>
      <c r="M68" s="182">
        <f ca="1">IFERROR(__xludf.DUMMYFUNCTION("IMPORTRANGE(""https://docs.google.com/spreadsheets/d/1-uDff_7J0KD5mKrp0Vvzr7lt3OU09vwQwhkpOPPYv2Y/edit?usp=sharing"",""งบพรบ!AI70"")"),0)</f>
        <v>0</v>
      </c>
      <c r="N68" s="182">
        <f ca="1">IFERROR(__xludf.DUMMYFUNCTION("IMPORTRANGE(""https://docs.google.com/spreadsheets/d/1-uDff_7J0KD5mKrp0Vvzr7lt3OU09vwQwhkpOPPYv2Y/edit?usp=sharing"",""งบพรบ!AK70"")"),0)</f>
        <v>0</v>
      </c>
      <c r="O68" s="182">
        <f t="shared" ca="1" si="30"/>
        <v>0</v>
      </c>
      <c r="P68" s="182">
        <f t="shared" ca="1" si="31"/>
        <v>0</v>
      </c>
      <c r="Q68" s="182">
        <v>0</v>
      </c>
      <c r="R68" s="182">
        <v>0</v>
      </c>
      <c r="S68" s="182">
        <v>0</v>
      </c>
      <c r="T68" s="182">
        <f t="shared" si="33"/>
        <v>0</v>
      </c>
      <c r="U68" s="182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7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hidden="1" x14ac:dyDescent="0.3">
      <c r="A70" s="1099" t="s">
        <v>32</v>
      </c>
      <c r="B70" s="691"/>
      <c r="C70" s="693"/>
      <c r="D70" s="691"/>
      <c r="E70" s="691"/>
      <c r="F70" s="691"/>
      <c r="G70" s="1100"/>
      <c r="H70" s="1100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19.5" hidden="1" x14ac:dyDescent="0.3">
      <c r="A71" s="250"/>
      <c r="B71" s="251" t="s">
        <v>33</v>
      </c>
      <c r="C71" s="252"/>
      <c r="D71" s="253"/>
      <c r="E71" s="252"/>
      <c r="F71" s="252"/>
      <c r="G71" s="254"/>
      <c r="H71" s="1296" t="s">
        <v>34</v>
      </c>
      <c r="I71" s="256">
        <f t="shared" ref="I71:J72" ca="1" si="41">I83</f>
        <v>0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hidden="1" x14ac:dyDescent="0.3">
      <c r="A72" s="250"/>
      <c r="B72" s="252"/>
      <c r="C72" s="252"/>
      <c r="D72" s="253"/>
      <c r="E72" s="252"/>
      <c r="F72" s="252"/>
      <c r="G72" s="254"/>
      <c r="H72" s="1296" t="s">
        <v>35</v>
      </c>
      <c r="I72" s="256">
        <f t="shared" ca="1" si="41"/>
        <v>0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hidden="1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1257">
        <f t="shared" ref="L73:N73" ca="1" si="43">L74+L75</f>
        <v>0</v>
      </c>
      <c r="M73" s="264">
        <f t="shared" ca="1" si="43"/>
        <v>0</v>
      </c>
      <c r="N73" s="264">
        <f t="shared" ca="1" si="43"/>
        <v>0</v>
      </c>
      <c r="O73" s="264">
        <f t="shared" ref="O73:O81" ca="1" si="44">IF(L73&gt;0,N73*100/L73,0)</f>
        <v>0</v>
      </c>
      <c r="P73" s="264">
        <f t="shared" ref="P73:P81" ca="1" si="45">IF(M73&gt;0,N73*100/M73,0)</f>
        <v>0</v>
      </c>
      <c r="Q73" s="264">
        <f t="shared" ref="Q73:S73" ca="1" si="46">Q74+Q75</f>
        <v>0</v>
      </c>
      <c r="R73" s="264">
        <f t="shared" ca="1" si="46"/>
        <v>0</v>
      </c>
      <c r="S73" s="264">
        <f t="shared" ca="1" si="46"/>
        <v>0</v>
      </c>
      <c r="T73" s="264">
        <f t="shared" ref="T73:T81" ca="1" si="47">IF(Q73&gt;0,S73*100/Q73,0)</f>
        <v>0</v>
      </c>
      <c r="U73" s="264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6">
        <f t="shared" ref="L74:N75" si="49">L77+L80</f>
        <v>0</v>
      </c>
      <c r="M74" s="77">
        <f t="shared" si="49"/>
        <v>0</v>
      </c>
      <c r="N74" s="77">
        <f t="shared" si="49"/>
        <v>0</v>
      </c>
      <c r="O74" s="77">
        <f t="shared" si="44"/>
        <v>0</v>
      </c>
      <c r="P74" s="77">
        <f t="shared" si="45"/>
        <v>0</v>
      </c>
      <c r="Q74" s="77">
        <f t="shared" ref="Q74:S75" si="50">Q77+Q80</f>
        <v>0</v>
      </c>
      <c r="R74" s="77">
        <f t="shared" si="50"/>
        <v>0</v>
      </c>
      <c r="S74" s="77">
        <f t="shared" si="50"/>
        <v>0</v>
      </c>
      <c r="T74" s="77">
        <f t="shared" si="47"/>
        <v>0</v>
      </c>
      <c r="U74" s="77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3">
        <f t="shared" ca="1" si="49"/>
        <v>0</v>
      </c>
      <c r="M75" s="74">
        <f t="shared" ca="1" si="49"/>
        <v>0</v>
      </c>
      <c r="N75" s="74">
        <f t="shared" ca="1" si="49"/>
        <v>0</v>
      </c>
      <c r="O75" s="74">
        <f t="shared" ca="1" si="44"/>
        <v>0</v>
      </c>
      <c r="P75" s="74">
        <f t="shared" ca="1" si="45"/>
        <v>0</v>
      </c>
      <c r="Q75" s="74">
        <f t="shared" ca="1" si="50"/>
        <v>0</v>
      </c>
      <c r="R75" s="74">
        <f t="shared" ca="1" si="50"/>
        <v>0</v>
      </c>
      <c r="S75" s="74">
        <f t="shared" ca="1" si="50"/>
        <v>0</v>
      </c>
      <c r="T75" s="74">
        <f t="shared" ca="1" si="47"/>
        <v>0</v>
      </c>
      <c r="U75" s="74">
        <f t="shared" ca="1" si="48"/>
        <v>0</v>
      </c>
    </row>
    <row r="76" spans="1:21" ht="18.75" hidden="1" x14ac:dyDescent="0.25">
      <c r="A76" s="257"/>
      <c r="B76" s="258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3">
        <f t="shared" ref="L76:N76" ca="1" si="51">L77+L78</f>
        <v>0</v>
      </c>
      <c r="M76" s="74">
        <f t="shared" ca="1" si="51"/>
        <v>0</v>
      </c>
      <c r="N76" s="74">
        <f t="shared" ca="1" si="51"/>
        <v>0</v>
      </c>
      <c r="O76" s="74">
        <f t="shared" ca="1" si="44"/>
        <v>0</v>
      </c>
      <c r="P76" s="74">
        <f t="shared" ca="1" si="45"/>
        <v>0</v>
      </c>
      <c r="Q76" s="74">
        <f t="shared" ref="Q76:S76" ca="1" si="52">Q77+Q78</f>
        <v>0</v>
      </c>
      <c r="R76" s="74">
        <f t="shared" ca="1" si="52"/>
        <v>0</v>
      </c>
      <c r="S76" s="74">
        <f t="shared" ca="1" si="52"/>
        <v>0</v>
      </c>
      <c r="T76" s="74">
        <f t="shared" ca="1" si="47"/>
        <v>0</v>
      </c>
      <c r="U76" s="74">
        <f t="shared" ca="1" si="48"/>
        <v>0</v>
      </c>
    </row>
    <row r="77" spans="1:21" ht="18.75" hidden="1" x14ac:dyDescent="0.25">
      <c r="A77" s="257"/>
      <c r="B77" s="258"/>
      <c r="C77" s="258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77">
        <f t="shared" si="44"/>
        <v>0</v>
      </c>
      <c r="P77" s="77">
        <f t="shared" si="45"/>
        <v>0</v>
      </c>
      <c r="Q77" s="77">
        <v>0</v>
      </c>
      <c r="R77" s="77">
        <v>0</v>
      </c>
      <c r="S77" s="77">
        <v>0</v>
      </c>
      <c r="T77" s="77">
        <f t="shared" si="47"/>
        <v>0</v>
      </c>
      <c r="U77" s="77">
        <f t="shared" si="48"/>
        <v>0</v>
      </c>
    </row>
    <row r="78" spans="1:21" ht="18.75" hidden="1" x14ac:dyDescent="0.25">
      <c r="A78" s="257"/>
      <c r="B78" s="258"/>
      <c r="C78" s="258"/>
      <c r="D78" s="258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3">
        <f ca="1">IFERROR(__xludf.DUMMYFUNCTION("IMPORTRANGE(""https://docs.google.com/spreadsheets/d/1-uDff_7J0KD5mKrp0Vvzr7lt3OU09vwQwhkpOPPYv2Y/edit?usp=sharing"",""งบพรบ!AM70"")"),0)</f>
        <v>0</v>
      </c>
      <c r="M78" s="74">
        <f ca="1">IFERROR(__xludf.DUMMYFUNCTION("IMPORTRANGE(""https://docs.google.com/spreadsheets/d/1-uDff_7J0KD5mKrp0Vvzr7lt3OU09vwQwhkpOPPYv2Y/edit?usp=sharing"",""งบพรบ!AR70"")"),0)</f>
        <v>0</v>
      </c>
      <c r="N78" s="74">
        <f ca="1">IFERROR(__xludf.DUMMYFUNCTION("IMPORTRANGE(""https://docs.google.com/spreadsheets/d/1-uDff_7J0KD5mKrp0Vvzr7lt3OU09vwQwhkpOPPYv2Y/edit?usp=sharing"",""งบพรบ!AT70"")"),0)</f>
        <v>0</v>
      </c>
      <c r="O78" s="74">
        <f t="shared" ca="1" si="44"/>
        <v>0</v>
      </c>
      <c r="P78" s="74">
        <f t="shared" ca="1" si="45"/>
        <v>0</v>
      </c>
      <c r="Q78" s="74">
        <f ca="1">IFERROR(__xludf.DUMMYFUNCTION("IMPORTRANGE(""https://docs.google.com/spreadsheets/d/1ItG2mGa2ceCfYo0BwxsXqNm01IGEUdYcSSLTEv9YCik/edit?usp=sharing"",""เบิกจ่ายกองทุน!AS70"")"),0)</f>
        <v>0</v>
      </c>
      <c r="R78" s="74">
        <f ca="1">IFERROR(__xludf.DUMMYFUNCTION("IMPORTRANGE(""https://docs.google.com/spreadsheets/d/1ItG2mGa2ceCfYo0BwxsXqNm01IGEUdYcSSLTEv9YCik/edit?usp=sharing"",""เบิกจ่ายกองทุน!AT70"")"),0)</f>
        <v>0</v>
      </c>
      <c r="S78" s="74">
        <f ca="1">IFERROR(__xludf.DUMMYFUNCTION("IMPORTRANGE(""https://docs.google.com/spreadsheets/d/1ItG2mGa2ceCfYo0BwxsXqNm01IGEUdYcSSLTEv9YCik/edit?usp=sharing"",""เบิกจ่ายกองทุน!AU70"")"),0)</f>
        <v>0</v>
      </c>
      <c r="T78" s="74">
        <f t="shared" ca="1" si="47"/>
        <v>0</v>
      </c>
      <c r="U78" s="74">
        <f t="shared" ca="1" si="48"/>
        <v>0</v>
      </c>
    </row>
    <row r="79" spans="1:21" ht="18.75" hidden="1" x14ac:dyDescent="0.25">
      <c r="A79" s="257"/>
      <c r="B79" s="258"/>
      <c r="C79" s="258"/>
      <c r="D79" s="270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3">
        <f t="shared" ref="L79:N79" ca="1" si="53">L80+L81</f>
        <v>0</v>
      </c>
      <c r="M79" s="74">
        <f t="shared" ca="1" si="53"/>
        <v>0</v>
      </c>
      <c r="N79" s="74">
        <f t="shared" ca="1" si="53"/>
        <v>0</v>
      </c>
      <c r="O79" s="74">
        <f t="shared" ca="1" si="44"/>
        <v>0</v>
      </c>
      <c r="P79" s="74">
        <f t="shared" ca="1" si="45"/>
        <v>0</v>
      </c>
      <c r="Q79" s="74">
        <f t="shared" ref="Q79:S79" si="54">Q80+Q81</f>
        <v>0</v>
      </c>
      <c r="R79" s="74">
        <f t="shared" si="54"/>
        <v>0</v>
      </c>
      <c r="S79" s="74">
        <f t="shared" si="54"/>
        <v>0</v>
      </c>
      <c r="T79" s="74">
        <f t="shared" si="47"/>
        <v>0</v>
      </c>
      <c r="U79" s="74">
        <f t="shared" si="48"/>
        <v>0</v>
      </c>
    </row>
    <row r="80" spans="1:21" ht="18.75" hidden="1" x14ac:dyDescent="0.25">
      <c r="A80" s="257"/>
      <c r="B80" s="258"/>
      <c r="C80" s="258"/>
      <c r="D80" s="258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77">
        <f t="shared" si="44"/>
        <v>0</v>
      </c>
      <c r="P80" s="77">
        <f t="shared" si="45"/>
        <v>0</v>
      </c>
      <c r="Q80" s="77">
        <v>0</v>
      </c>
      <c r="R80" s="74">
        <v>0</v>
      </c>
      <c r="S80" s="74">
        <v>0</v>
      </c>
      <c r="T80" s="77">
        <f t="shared" si="47"/>
        <v>0</v>
      </c>
      <c r="U80" s="77">
        <f t="shared" si="48"/>
        <v>0</v>
      </c>
    </row>
    <row r="81" spans="1:21" ht="18.75" hidden="1" x14ac:dyDescent="0.25">
      <c r="A81" s="257"/>
      <c r="B81" s="258"/>
      <c r="C81" s="258"/>
      <c r="D81" s="258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3">
        <f ca="1">IFERROR(__xludf.DUMMYFUNCTION("IMPORTRANGE(""https://docs.google.com/spreadsheets/d/1-uDff_7J0KD5mKrp0Vvzr7lt3OU09vwQwhkpOPPYv2Y/edit?usp=sharing"",""งบพรบ!AP70"")"),0)</f>
        <v>0</v>
      </c>
      <c r="M81" s="74">
        <f ca="1">IFERROR(__xludf.DUMMYFUNCTION("IMPORTRANGE(""https://docs.google.com/spreadsheets/d/1-uDff_7J0KD5mKrp0Vvzr7lt3OU09vwQwhkpOPPYv2Y/edit?usp=sharing"",""งบพรบ!AS70"")"),0)</f>
        <v>0</v>
      </c>
      <c r="N81" s="74">
        <f ca="1">IFERROR(__xludf.DUMMYFUNCTION("IMPORTRANGE(""https://docs.google.com/spreadsheets/d/1-uDff_7J0KD5mKrp0Vvzr7lt3OU09vwQwhkpOPPYv2Y/edit?usp=sharing"",""งบพรบ!AU70"")"),0)</f>
        <v>0</v>
      </c>
      <c r="O81" s="74">
        <f t="shared" ca="1" si="44"/>
        <v>0</v>
      </c>
      <c r="P81" s="74">
        <f t="shared" ca="1" si="45"/>
        <v>0</v>
      </c>
      <c r="Q81" s="74">
        <v>0</v>
      </c>
      <c r="R81" s="74">
        <v>0</v>
      </c>
      <c r="S81" s="74">
        <v>0</v>
      </c>
      <c r="T81" s="74">
        <f t="shared" si="47"/>
        <v>0</v>
      </c>
      <c r="U81" s="74">
        <f t="shared" si="48"/>
        <v>0</v>
      </c>
    </row>
    <row r="82" spans="1:21" ht="19.5" hidden="1" x14ac:dyDescent="0.3">
      <c r="A82" s="276"/>
      <c r="B82" s="277"/>
      <c r="C82" s="259" t="s">
        <v>18</v>
      </c>
      <c r="D82" s="1019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hidden="1" x14ac:dyDescent="0.3">
      <c r="A83" s="276"/>
      <c r="B83" s="277"/>
      <c r="C83" s="277"/>
      <c r="D83" s="767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0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hidden="1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0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hidden="1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IFERROR(__xludf.DUMMYFUNCTION("IMPORTRANGE(""https://docs.google.com/spreadsheets/d/1eHaY18a8A9IcSdp1K8H6x8fbOy06t2VsZHhMHf-1x7Y/edit?usp=sharing"",""แผน!H70"")"),0)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hidden="1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IFERROR(__xludf.DUMMYFUNCTION("IMPORTRANGE(""https://docs.google.com/spreadsheets/d/1eHaY18a8A9IcSdp1K8H6x8fbOy06t2VsZHhMHf-1x7Y/edit?usp=sharing"",""แผน!I70"")"),0)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hidden="1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IFERROR(__xludf.DUMMYFUNCTION("IMPORTRANGE(""https://docs.google.com/spreadsheets/d/1eHaY18a8A9IcSdp1K8H6x8fbOy06t2VsZHhMHf-1x7Y/edit?usp=sharing"",""แผน!F70"")"),0)</f>
        <v>0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hidden="1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IFERROR(__xludf.DUMMYFUNCTION("IMPORTRANGE(""https://docs.google.com/spreadsheets/d/1eHaY18a8A9IcSdp1K8H6x8fbOy06t2VsZHhMHf-1x7Y/edit?usp=sharing"",""แผน!G70"")"),0)</f>
        <v>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hidden="1" x14ac:dyDescent="0.25">
      <c r="A89" s="276"/>
      <c r="B89" s="277"/>
      <c r="C89" s="277"/>
      <c r="D89" s="277"/>
      <c r="E89" s="295" t="s">
        <v>42</v>
      </c>
      <c r="F89" s="296"/>
      <c r="G89" s="282"/>
      <c r="H89" s="299" t="s">
        <v>34</v>
      </c>
      <c r="I89" s="298">
        <f ca="1">IFERROR(__xludf.DUMMYFUNCTION("IMPORTRANGE(""https://docs.google.com/spreadsheets/d/1eHaY18a8A9IcSdp1K8H6x8fbOy06t2VsZHhMHf-1x7Y/edit?usp=sharing"",""แผน!D70"")"),0)</f>
        <v>0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hidden="1" x14ac:dyDescent="0.25">
      <c r="A90" s="276"/>
      <c r="B90" s="277"/>
      <c r="C90" s="277"/>
      <c r="D90" s="277"/>
      <c r="E90" s="296"/>
      <c r="F90" s="296"/>
      <c r="G90" s="282"/>
      <c r="H90" s="299" t="s">
        <v>35</v>
      </c>
      <c r="I90" s="298">
        <f ca="1">IFERROR(__xludf.DUMMYFUNCTION("IMPORTRANGE(""https://docs.google.com/spreadsheets/d/1eHaY18a8A9IcSdp1K8H6x8fbOy06t2VsZHhMHf-1x7Y/edit?usp=sharing"",""แผน!E70"")"),0)</f>
        <v>0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hidden="1" x14ac:dyDescent="0.25">
      <c r="A91" s="276"/>
      <c r="B91" s="277"/>
      <c r="C91" s="277"/>
      <c r="D91" s="767" t="s">
        <v>43</v>
      </c>
      <c r="E91" s="296"/>
      <c r="F91" s="296"/>
      <c r="G91" s="282"/>
      <c r="H91" s="1165" t="s">
        <v>34</v>
      </c>
      <c r="I91" s="298">
        <f ca="1">IFERROR(__xludf.DUMMYFUNCTION("IMPORTRANGE(""https://docs.google.com/spreadsheets/d/1eHaY18a8A9IcSdp1K8H6x8fbOy06t2VsZHhMHf-1x7Y/edit?usp=sharing"",""แผน!J70"")"),0)</f>
        <v>0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hidden="1" x14ac:dyDescent="0.3">
      <c r="A92" s="1099" t="s">
        <v>44</v>
      </c>
      <c r="B92" s="691"/>
      <c r="C92" s="693"/>
      <c r="D92" s="691"/>
      <c r="E92" s="691"/>
      <c r="F92" s="691"/>
      <c r="G92" s="1100"/>
      <c r="H92" s="1100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hidden="1" x14ac:dyDescent="0.3">
      <c r="A93" s="250"/>
      <c r="B93" s="251" t="s">
        <v>45</v>
      </c>
      <c r="C93" s="252"/>
      <c r="D93" s="253"/>
      <c r="E93" s="252"/>
      <c r="F93" s="252"/>
      <c r="G93" s="254"/>
      <c r="H93" s="1296" t="s">
        <v>46</v>
      </c>
      <c r="I93" s="256">
        <f t="shared" ref="I93:J94" ca="1" si="57">I109</f>
        <v>0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hidden="1" x14ac:dyDescent="0.3">
      <c r="A94" s="250"/>
      <c r="B94" s="252"/>
      <c r="C94" s="252"/>
      <c r="D94" s="253"/>
      <c r="E94" s="252"/>
      <c r="F94" s="252"/>
      <c r="G94" s="254"/>
      <c r="H94" s="1296" t="s">
        <v>35</v>
      </c>
      <c r="I94" s="256">
        <f t="shared" ca="1" si="57"/>
        <v>0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hidden="1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1257">
        <f t="shared" ref="L95:N95" ca="1" si="59">L96+L97</f>
        <v>0</v>
      </c>
      <c r="M95" s="264">
        <f t="shared" ca="1" si="59"/>
        <v>0</v>
      </c>
      <c r="N95" s="264">
        <f t="shared" ca="1" si="59"/>
        <v>0</v>
      </c>
      <c r="O95" s="264">
        <f t="shared" ref="O95:O103" ca="1" si="60">IF(L95&gt;0,N95*100/L95,0)</f>
        <v>0</v>
      </c>
      <c r="P95" s="264">
        <f t="shared" ref="P95:P103" ca="1" si="61">IF(M95&gt;0,N95*100/M95,0)</f>
        <v>0</v>
      </c>
      <c r="Q95" s="264">
        <f t="shared" ref="Q95:S95" ca="1" si="62">Q96+Q97</f>
        <v>0</v>
      </c>
      <c r="R95" s="264">
        <f t="shared" ca="1" si="62"/>
        <v>0</v>
      </c>
      <c r="S95" s="264">
        <f t="shared" ca="1" si="62"/>
        <v>0</v>
      </c>
      <c r="T95" s="264">
        <f t="shared" ref="T95:T103" ca="1" si="63">IF(Q95&gt;0,S95*100/Q95,0)</f>
        <v>0</v>
      </c>
      <c r="U95" s="264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6">
        <f t="shared" ref="L96:N97" si="65">L99+L102</f>
        <v>0</v>
      </c>
      <c r="M96" s="77">
        <f t="shared" si="65"/>
        <v>0</v>
      </c>
      <c r="N96" s="77">
        <f t="shared" si="65"/>
        <v>0</v>
      </c>
      <c r="O96" s="77">
        <f t="shared" si="60"/>
        <v>0</v>
      </c>
      <c r="P96" s="77">
        <f t="shared" si="61"/>
        <v>0</v>
      </c>
      <c r="Q96" s="77">
        <f t="shared" ref="Q96:S97" si="66">Q99+Q102</f>
        <v>0</v>
      </c>
      <c r="R96" s="77">
        <f t="shared" si="66"/>
        <v>0</v>
      </c>
      <c r="S96" s="77">
        <f t="shared" si="66"/>
        <v>0</v>
      </c>
      <c r="T96" s="77">
        <f t="shared" si="63"/>
        <v>0</v>
      </c>
      <c r="U96" s="77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3">
        <f t="shared" ca="1" si="65"/>
        <v>0</v>
      </c>
      <c r="M97" s="74">
        <f t="shared" ca="1" si="65"/>
        <v>0</v>
      </c>
      <c r="N97" s="74">
        <f t="shared" ca="1" si="65"/>
        <v>0</v>
      </c>
      <c r="O97" s="74">
        <f t="shared" ca="1" si="60"/>
        <v>0</v>
      </c>
      <c r="P97" s="74">
        <f t="shared" ca="1" si="61"/>
        <v>0</v>
      </c>
      <c r="Q97" s="74">
        <f t="shared" ca="1" si="66"/>
        <v>0</v>
      </c>
      <c r="R97" s="74">
        <f t="shared" ca="1" si="66"/>
        <v>0</v>
      </c>
      <c r="S97" s="74">
        <f t="shared" ca="1" si="66"/>
        <v>0</v>
      </c>
      <c r="T97" s="74">
        <f t="shared" ca="1" si="63"/>
        <v>0</v>
      </c>
      <c r="U97" s="74">
        <f t="shared" ca="1" si="64"/>
        <v>0</v>
      </c>
    </row>
    <row r="98" spans="1:21" ht="18.75" hidden="1" x14ac:dyDescent="0.25">
      <c r="A98" s="257"/>
      <c r="B98" s="258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3">
        <f t="shared" ref="L98:N98" ca="1" si="67">L99+L100</f>
        <v>0</v>
      </c>
      <c r="M98" s="74">
        <f t="shared" ca="1" si="67"/>
        <v>0</v>
      </c>
      <c r="N98" s="74">
        <f t="shared" ca="1" si="67"/>
        <v>0</v>
      </c>
      <c r="O98" s="74">
        <f t="shared" ca="1" si="60"/>
        <v>0</v>
      </c>
      <c r="P98" s="74">
        <f t="shared" ca="1" si="61"/>
        <v>0</v>
      </c>
      <c r="Q98" s="74">
        <f t="shared" ref="Q98:S98" ca="1" si="68">Q99+Q100</f>
        <v>0</v>
      </c>
      <c r="R98" s="74">
        <f t="shared" ca="1" si="68"/>
        <v>0</v>
      </c>
      <c r="S98" s="74">
        <f t="shared" ca="1" si="68"/>
        <v>0</v>
      </c>
      <c r="T98" s="74">
        <f t="shared" ca="1" si="63"/>
        <v>0</v>
      </c>
      <c r="U98" s="74">
        <f t="shared" ca="1" si="64"/>
        <v>0</v>
      </c>
    </row>
    <row r="99" spans="1:21" ht="18.75" hidden="1" x14ac:dyDescent="0.25">
      <c r="A99" s="257"/>
      <c r="B99" s="258"/>
      <c r="C99" s="258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77">
        <f t="shared" si="60"/>
        <v>0</v>
      </c>
      <c r="P99" s="77">
        <f t="shared" si="61"/>
        <v>0</v>
      </c>
      <c r="Q99" s="77">
        <v>0</v>
      </c>
      <c r="R99" s="77">
        <v>0</v>
      </c>
      <c r="S99" s="77">
        <v>0</v>
      </c>
      <c r="T99" s="77">
        <f t="shared" si="63"/>
        <v>0</v>
      </c>
      <c r="U99" s="77">
        <f t="shared" si="64"/>
        <v>0</v>
      </c>
    </row>
    <row r="100" spans="1:21" ht="18.75" hidden="1" x14ac:dyDescent="0.25">
      <c r="A100" s="257"/>
      <c r="B100" s="258"/>
      <c r="C100" s="258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3">
        <f ca="1">IFERROR(__xludf.DUMMYFUNCTION("IMPORTRANGE(""https://docs.google.com/spreadsheets/d/1-uDff_7J0KD5mKrp0Vvzr7lt3OU09vwQwhkpOPPYv2Y/edit?usp=sharing"",""งบพรบ!AW70"")"),0)</f>
        <v>0</v>
      </c>
      <c r="M100" s="74">
        <f ca="1">IFERROR(__xludf.DUMMYFUNCTION("IMPORTRANGE(""https://docs.google.com/spreadsheets/d/1-uDff_7J0KD5mKrp0Vvzr7lt3OU09vwQwhkpOPPYv2Y/edit?usp=sharing"",""งบพรบ!BB70"")"),0)</f>
        <v>0</v>
      </c>
      <c r="N100" s="74">
        <f ca="1">IFERROR(__xludf.DUMMYFUNCTION("IMPORTRANGE(""https://docs.google.com/spreadsheets/d/1-uDff_7J0KD5mKrp0Vvzr7lt3OU09vwQwhkpOPPYv2Y/edit?usp=sharing"",""งบพรบ!BD70"")"),0)</f>
        <v>0</v>
      </c>
      <c r="O100" s="74">
        <f t="shared" ca="1" si="60"/>
        <v>0</v>
      </c>
      <c r="P100" s="74">
        <f t="shared" ca="1" si="61"/>
        <v>0</v>
      </c>
      <c r="Q100" s="74">
        <f ca="1">IFERROR(__xludf.DUMMYFUNCTION("IMPORTRANGE(""https://docs.google.com/spreadsheets/d/1ItG2mGa2ceCfYo0BwxsXqNm01IGEUdYcSSLTEv9YCik/edit?usp=sharing"",""เบิกจ่ายกองทุน!AD70"")"),0)</f>
        <v>0</v>
      </c>
      <c r="R100" s="74">
        <f ca="1">IFERROR(__xludf.DUMMYFUNCTION("IMPORTRANGE(""https://docs.google.com/spreadsheets/d/1ItG2mGa2ceCfYo0BwxsXqNm01IGEUdYcSSLTEv9YCik/edit?usp=sharing"",""เบิกจ่ายกองทุน!AE70"")"),0)</f>
        <v>0</v>
      </c>
      <c r="S100" s="74">
        <f ca="1">IFERROR(__xludf.DUMMYFUNCTION("IMPORTRANGE(""https://docs.google.com/spreadsheets/d/1ItG2mGa2ceCfYo0BwxsXqNm01IGEUdYcSSLTEv9YCik/edit?usp=sharing"",""เบิกจ่ายกองทุน!AF70"")"),0)</f>
        <v>0</v>
      </c>
      <c r="T100" s="74">
        <f t="shared" ca="1" si="63"/>
        <v>0</v>
      </c>
      <c r="U100" s="74">
        <f t="shared" ca="1" si="64"/>
        <v>0</v>
      </c>
    </row>
    <row r="101" spans="1:21" ht="18.75" hidden="1" x14ac:dyDescent="0.25">
      <c r="A101" s="257"/>
      <c r="B101" s="258"/>
      <c r="C101" s="258"/>
      <c r="D101" s="270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3">
        <f t="shared" ref="L101:N101" ca="1" si="69">L102+L103</f>
        <v>0</v>
      </c>
      <c r="M101" s="74">
        <f t="shared" ca="1" si="69"/>
        <v>0</v>
      </c>
      <c r="N101" s="74">
        <f t="shared" ca="1" si="69"/>
        <v>0</v>
      </c>
      <c r="O101" s="74">
        <f t="shared" ca="1" si="60"/>
        <v>0</v>
      </c>
      <c r="P101" s="74">
        <f t="shared" ca="1" si="61"/>
        <v>0</v>
      </c>
      <c r="Q101" s="74">
        <f t="shared" ref="Q101:S101" si="70">Q102+Q103</f>
        <v>0</v>
      </c>
      <c r="R101" s="74">
        <f t="shared" si="70"/>
        <v>0</v>
      </c>
      <c r="S101" s="74">
        <f t="shared" si="70"/>
        <v>0</v>
      </c>
      <c r="T101" s="74">
        <f t="shared" si="63"/>
        <v>0</v>
      </c>
      <c r="U101" s="74">
        <f t="shared" si="64"/>
        <v>0</v>
      </c>
    </row>
    <row r="102" spans="1:21" ht="18.75" hidden="1" x14ac:dyDescent="0.25">
      <c r="A102" s="257"/>
      <c r="B102" s="258"/>
      <c r="C102" s="258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77">
        <f t="shared" si="60"/>
        <v>0</v>
      </c>
      <c r="P102" s="77">
        <f t="shared" si="61"/>
        <v>0</v>
      </c>
      <c r="Q102" s="77">
        <v>0</v>
      </c>
      <c r="R102" s="77">
        <v>0</v>
      </c>
      <c r="S102" s="77">
        <v>0</v>
      </c>
      <c r="T102" s="77">
        <f t="shared" si="63"/>
        <v>0</v>
      </c>
      <c r="U102" s="77">
        <f t="shared" si="64"/>
        <v>0</v>
      </c>
    </row>
    <row r="103" spans="1:21" ht="18.75" hidden="1" x14ac:dyDescent="0.25">
      <c r="A103" s="257"/>
      <c r="B103" s="258"/>
      <c r="C103" s="258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3">
        <f ca="1">IFERROR(__xludf.DUMMYFUNCTION("IMPORTRANGE(""https://docs.google.com/spreadsheets/d/1-uDff_7J0KD5mKrp0Vvzr7lt3OU09vwQwhkpOPPYv2Y/edit?usp=sharing"",""งบพรบ!AZ70"")"),0)</f>
        <v>0</v>
      </c>
      <c r="M103" s="74">
        <f ca="1">IFERROR(__xludf.DUMMYFUNCTION("IMPORTRANGE(""https://docs.google.com/spreadsheets/d/1-uDff_7J0KD5mKrp0Vvzr7lt3OU09vwQwhkpOPPYv2Y/edit?usp=sharing"",""งบพรบ!BC70"")"),0)</f>
        <v>0</v>
      </c>
      <c r="N103" s="74">
        <f ca="1">IFERROR(__xludf.DUMMYFUNCTION("IMPORTRANGE(""https://docs.google.com/spreadsheets/d/1-uDff_7J0KD5mKrp0Vvzr7lt3OU09vwQwhkpOPPYv2Y/edit?usp=sharing"",""งบพรบ!BE70"")"),0)</f>
        <v>0</v>
      </c>
      <c r="O103" s="74">
        <f t="shared" ca="1" si="60"/>
        <v>0</v>
      </c>
      <c r="P103" s="74">
        <f t="shared" ca="1" si="61"/>
        <v>0</v>
      </c>
      <c r="Q103" s="74">
        <v>0</v>
      </c>
      <c r="R103" s="74">
        <v>0</v>
      </c>
      <c r="S103" s="74">
        <v>0</v>
      </c>
      <c r="T103" s="74">
        <f t="shared" si="63"/>
        <v>0</v>
      </c>
      <c r="U103" s="74">
        <f t="shared" si="64"/>
        <v>0</v>
      </c>
    </row>
    <row r="104" spans="1:21" ht="19.5" hidden="1" x14ac:dyDescent="0.3">
      <c r="A104" s="276"/>
      <c r="B104" s="277"/>
      <c r="C104" s="259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hidden="1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IFERROR(__xludf.DUMMYFUNCTION("IMPORTRANGE(""https://docs.google.com/spreadsheets/d/1eHaY18a8A9IcSdp1K8H6x8fbOy06t2VsZHhMHf-1x7Y/edit?usp=sharing"",""แผน!N70"")"),0)</f>
        <v>0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hidden="1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IFERROR(__xludf.DUMMYFUNCTION("IMPORTRANGE(""https://docs.google.com/spreadsheets/d/1eHaY18a8A9IcSdp1K8H6x8fbOy06t2VsZHhMHf-1x7Y/edit?usp=sharing"",""แผน!O70"")"),0)</f>
        <v>0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5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2.75" hidden="1" x14ac:dyDescent="0.2">
      <c r="A114" s="283"/>
      <c r="B114" s="284"/>
      <c r="C114" s="284"/>
      <c r="D114" s="285"/>
      <c r="E114" s="285"/>
      <c r="F114" s="285"/>
      <c r="G114" s="286"/>
      <c r="H114" s="286"/>
      <c r="I114" s="287">
        <v>0</v>
      </c>
      <c r="J114" s="287">
        <v>0</v>
      </c>
      <c r="K114" s="30"/>
      <c r="L114" s="29"/>
      <c r="M114" s="30"/>
      <c r="N114" s="30"/>
      <c r="O114" s="30"/>
      <c r="P114" s="30"/>
      <c r="Q114" s="30"/>
      <c r="R114" s="30"/>
      <c r="S114" s="30"/>
      <c r="T114" s="30"/>
      <c r="U114" s="30"/>
    </row>
    <row r="115" spans="1:21" ht="18.75" hidden="1" x14ac:dyDescent="0.25">
      <c r="A115" s="276"/>
      <c r="B115" s="277"/>
      <c r="C115" s="277"/>
      <c r="D115" s="295" t="s">
        <v>50</v>
      </c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IFERROR(__xludf.DUMMYFUNCTION("IMPORTRANGE(""https://docs.google.com/spreadsheets/d/1eHaY18a8A9IcSdp1K8H6x8fbOy06t2VsZHhMHf-1x7Y/edit?usp=sharing"",""แผน!R70"")"),0)</f>
        <v>0</v>
      </c>
      <c r="J115" s="294">
        <v>0</v>
      </c>
      <c r="K115" s="74">
        <f ca="1">IF(I115&gt;0,J115*100/I115,0)</f>
        <v>0</v>
      </c>
      <c r="L115" s="86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243" t="s">
        <v>51</v>
      </c>
      <c r="B116" s="245"/>
      <c r="C116" s="300"/>
      <c r="D116" s="244"/>
      <c r="E116" s="244"/>
      <c r="F116" s="244"/>
      <c r="G116" s="244"/>
      <c r="H116" s="245"/>
      <c r="I116" s="301"/>
      <c r="J116" s="301"/>
      <c r="K116" s="302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50"/>
      <c r="B117" s="303" t="s">
        <v>52</v>
      </c>
      <c r="C117" s="304"/>
      <c r="D117" s="253"/>
      <c r="E117" s="252"/>
      <c r="F117" s="252"/>
      <c r="G117" s="254"/>
      <c r="H117" s="305" t="s">
        <v>35</v>
      </c>
      <c r="I117" s="256">
        <f t="shared" ref="I117:J117" ca="1" si="72">I128</f>
        <v>10</v>
      </c>
      <c r="J117" s="256">
        <f t="shared" si="72"/>
        <v>0</v>
      </c>
      <c r="K117" s="59">
        <f ca="1">IF(I117&gt;0,J117*100/I117,0)</f>
        <v>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69"/>
      <c r="C118" s="621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1257">
        <f t="shared" ref="L118:N118" ca="1" si="73">L119+L120</f>
        <v>0</v>
      </c>
      <c r="M118" s="264">
        <f t="shared" ca="1" si="73"/>
        <v>0</v>
      </c>
      <c r="N118" s="264">
        <f t="shared" ca="1" si="73"/>
        <v>0</v>
      </c>
      <c r="O118" s="264">
        <f t="shared" ref="O118:O126" ca="1" si="74">IF(L118&gt;0,N118*100/L118,0)</f>
        <v>0</v>
      </c>
      <c r="P118" s="264">
        <f t="shared" ref="P118:P126" ca="1" si="75">IF(M118&gt;0,N118*100/M118,0)</f>
        <v>0</v>
      </c>
      <c r="Q118" s="264">
        <f t="shared" ref="Q118:S118" ca="1" si="76">Q119+Q120</f>
        <v>173660</v>
      </c>
      <c r="R118" s="264">
        <f t="shared" ca="1" si="76"/>
        <v>173660</v>
      </c>
      <c r="S118" s="264">
        <f t="shared" ca="1" si="76"/>
        <v>8069</v>
      </c>
      <c r="T118" s="264">
        <f t="shared" ref="T118:T126" ca="1" si="77">IF(Q118&gt;0,S118*100/Q118,0)</f>
        <v>4.646435563745249</v>
      </c>
      <c r="U118" s="264">
        <f t="shared" ref="U118:U126" ca="1" si="78">IF(R118&gt;0,S118*100/R118,0)</f>
        <v>4.646435563745249</v>
      </c>
    </row>
    <row r="119" spans="1:21" ht="18.75" hidden="1" x14ac:dyDescent="0.25">
      <c r="A119" s="257"/>
      <c r="B119" s="269"/>
      <c r="C119" s="269"/>
      <c r="D119" s="269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6">
        <f t="shared" ref="L119:N120" si="79">L122+L125</f>
        <v>0</v>
      </c>
      <c r="M119" s="77">
        <f t="shared" si="79"/>
        <v>0</v>
      </c>
      <c r="N119" s="77">
        <f t="shared" si="79"/>
        <v>0</v>
      </c>
      <c r="O119" s="77">
        <f t="shared" si="74"/>
        <v>0</v>
      </c>
      <c r="P119" s="77">
        <f t="shared" si="75"/>
        <v>0</v>
      </c>
      <c r="Q119" s="77">
        <f t="shared" ref="Q119:S120" si="80">Q122+Q125</f>
        <v>0</v>
      </c>
      <c r="R119" s="77">
        <f t="shared" si="80"/>
        <v>0</v>
      </c>
      <c r="S119" s="77">
        <f t="shared" si="80"/>
        <v>0</v>
      </c>
      <c r="T119" s="77">
        <f t="shared" si="77"/>
        <v>0</v>
      </c>
      <c r="U119" s="77">
        <f t="shared" si="78"/>
        <v>0</v>
      </c>
    </row>
    <row r="120" spans="1:21" ht="18.75" hidden="1" x14ac:dyDescent="0.25">
      <c r="A120" s="257"/>
      <c r="B120" s="269"/>
      <c r="C120" s="269"/>
      <c r="D120" s="269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3">
        <f t="shared" ca="1" si="79"/>
        <v>0</v>
      </c>
      <c r="M120" s="74">
        <f t="shared" ca="1" si="79"/>
        <v>0</v>
      </c>
      <c r="N120" s="74">
        <f t="shared" ca="1" si="79"/>
        <v>0</v>
      </c>
      <c r="O120" s="74">
        <f t="shared" ca="1" si="74"/>
        <v>0</v>
      </c>
      <c r="P120" s="74">
        <f t="shared" ca="1" si="75"/>
        <v>0</v>
      </c>
      <c r="Q120" s="74">
        <f t="shared" ca="1" si="80"/>
        <v>173660</v>
      </c>
      <c r="R120" s="74">
        <f t="shared" ca="1" si="80"/>
        <v>173660</v>
      </c>
      <c r="S120" s="74">
        <f t="shared" ca="1" si="80"/>
        <v>8069</v>
      </c>
      <c r="T120" s="74">
        <f t="shared" ca="1" si="77"/>
        <v>4.646435563745249</v>
      </c>
      <c r="U120" s="74">
        <f t="shared" ca="1" si="78"/>
        <v>4.646435563745249</v>
      </c>
    </row>
    <row r="121" spans="1:21" ht="18.75" x14ac:dyDescent="0.25">
      <c r="A121" s="257"/>
      <c r="B121" s="269"/>
      <c r="C121" s="306"/>
      <c r="D121" s="967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3">
        <f t="shared" ref="L121:N121" ca="1" si="81">L122+L123</f>
        <v>0</v>
      </c>
      <c r="M121" s="74">
        <f t="shared" ca="1" si="81"/>
        <v>0</v>
      </c>
      <c r="N121" s="74">
        <f t="shared" ca="1" si="81"/>
        <v>0</v>
      </c>
      <c r="O121" s="74">
        <f t="shared" ca="1" si="74"/>
        <v>0</v>
      </c>
      <c r="P121" s="74">
        <f t="shared" ca="1" si="75"/>
        <v>0</v>
      </c>
      <c r="Q121" s="74">
        <f t="shared" ref="Q121:S121" ca="1" si="82">Q122+Q123</f>
        <v>173660</v>
      </c>
      <c r="R121" s="74">
        <f t="shared" ca="1" si="82"/>
        <v>173660</v>
      </c>
      <c r="S121" s="74">
        <f t="shared" ca="1" si="82"/>
        <v>8069</v>
      </c>
      <c r="T121" s="74">
        <f t="shared" ca="1" si="77"/>
        <v>4.646435563745249</v>
      </c>
      <c r="U121" s="74">
        <f t="shared" ca="1" si="78"/>
        <v>4.646435563745249</v>
      </c>
    </row>
    <row r="122" spans="1:21" ht="18.75" hidden="1" x14ac:dyDescent="0.25">
      <c r="A122" s="257"/>
      <c r="B122" s="269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77">
        <f t="shared" si="74"/>
        <v>0</v>
      </c>
      <c r="P122" s="77">
        <f t="shared" si="75"/>
        <v>0</v>
      </c>
      <c r="Q122" s="77">
        <v>0</v>
      </c>
      <c r="R122" s="77">
        <v>0</v>
      </c>
      <c r="S122" s="77">
        <v>0</v>
      </c>
      <c r="T122" s="77">
        <f t="shared" si="77"/>
        <v>0</v>
      </c>
      <c r="U122" s="77">
        <f t="shared" si="78"/>
        <v>0</v>
      </c>
    </row>
    <row r="123" spans="1:21" ht="18.75" hidden="1" x14ac:dyDescent="0.25">
      <c r="A123" s="257"/>
      <c r="B123" s="269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3">
        <f ca="1">IFERROR(__xludf.DUMMYFUNCTION("IMPORTRANGE(""https://docs.google.com/spreadsheets/d/1-uDff_7J0KD5mKrp0Vvzr7lt3OU09vwQwhkpOPPYv2Y/edit?usp=sharing"",""งบพรบ!BG70"")"),0)</f>
        <v>0</v>
      </c>
      <c r="M123" s="74">
        <f ca="1">IFERROR(__xludf.DUMMYFUNCTION("IMPORTRANGE(""https://docs.google.com/spreadsheets/d/1-uDff_7J0KD5mKrp0Vvzr7lt3OU09vwQwhkpOPPYv2Y/edit?usp=sharing"",""งบพรบ!BL70"")"),0)</f>
        <v>0</v>
      </c>
      <c r="N123" s="74">
        <f ca="1">IFERROR(__xludf.DUMMYFUNCTION("IMPORTRANGE(""https://docs.google.com/spreadsheets/d/1-uDff_7J0KD5mKrp0Vvzr7lt3OU09vwQwhkpOPPYv2Y/edit?usp=sharing"",""งบพรบ!BN70"")"),0)</f>
        <v>0</v>
      </c>
      <c r="O123" s="74">
        <f t="shared" ca="1" si="74"/>
        <v>0</v>
      </c>
      <c r="P123" s="74">
        <f t="shared" ca="1" si="75"/>
        <v>0</v>
      </c>
      <c r="Q123" s="74">
        <f ca="1">IFERROR(__xludf.DUMMYFUNCTION("IMPORTRANGE(""https://docs.google.com/spreadsheets/d/1ItG2mGa2ceCfYo0BwxsXqNm01IGEUdYcSSLTEv9YCik/edit?usp=sharing"",""เบิกจ่ายกองทุน!R70"")"),173660)</f>
        <v>173660</v>
      </c>
      <c r="R123" s="74">
        <f ca="1">IFERROR(__xludf.DUMMYFUNCTION("IMPORTRANGE(""https://docs.google.com/spreadsheets/d/1ItG2mGa2ceCfYo0BwxsXqNm01IGEUdYcSSLTEv9YCik/edit?usp=sharing"",""เบิกจ่ายกองทุน!S70"")"),173660)</f>
        <v>173660</v>
      </c>
      <c r="S123" s="74">
        <f ca="1">IFERROR(__xludf.DUMMYFUNCTION("IMPORTRANGE(""https://docs.google.com/spreadsheets/d/1ItG2mGa2ceCfYo0BwxsXqNm01IGEUdYcSSLTEv9YCik/edit?usp=sharing"",""เบิกจ่ายกองทุน!T70"")"),8069)</f>
        <v>8069</v>
      </c>
      <c r="T123" s="74">
        <f t="shared" ca="1" si="77"/>
        <v>4.646435563745249</v>
      </c>
      <c r="U123" s="74">
        <f t="shared" ca="1" si="78"/>
        <v>4.646435563745249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3">
        <f t="shared" ref="L124:N124" ca="1" si="83">L125+L126</f>
        <v>0</v>
      </c>
      <c r="M124" s="74">
        <f t="shared" ca="1" si="83"/>
        <v>0</v>
      </c>
      <c r="N124" s="74">
        <f t="shared" ca="1" si="83"/>
        <v>0</v>
      </c>
      <c r="O124" s="74">
        <f t="shared" ca="1" si="74"/>
        <v>0</v>
      </c>
      <c r="P124" s="74">
        <f t="shared" ca="1" si="75"/>
        <v>0</v>
      </c>
      <c r="Q124" s="74">
        <f t="shared" ref="Q124:S124" si="84">Q125+Q126</f>
        <v>0</v>
      </c>
      <c r="R124" s="74">
        <f t="shared" si="84"/>
        <v>0</v>
      </c>
      <c r="S124" s="74">
        <f t="shared" si="84"/>
        <v>0</v>
      </c>
      <c r="T124" s="74">
        <f t="shared" si="77"/>
        <v>0</v>
      </c>
      <c r="U124" s="74">
        <f t="shared" si="78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77">
        <f t="shared" si="74"/>
        <v>0</v>
      </c>
      <c r="P125" s="77">
        <f t="shared" si="75"/>
        <v>0</v>
      </c>
      <c r="Q125" s="77">
        <v>0</v>
      </c>
      <c r="R125" s="77">
        <v>0</v>
      </c>
      <c r="S125" s="77">
        <v>0</v>
      </c>
      <c r="T125" s="77">
        <f t="shared" si="77"/>
        <v>0</v>
      </c>
      <c r="U125" s="77">
        <f t="shared" si="78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3">
        <f ca="1">IFERROR(__xludf.DUMMYFUNCTION("IMPORTRANGE(""https://docs.google.com/spreadsheets/d/1-uDff_7J0KD5mKrp0Vvzr7lt3OU09vwQwhkpOPPYv2Y/edit?usp=sharing"",""งบพรบ!BJ70"")"),0)</f>
        <v>0</v>
      </c>
      <c r="M126" s="74">
        <f ca="1">IFERROR(__xludf.DUMMYFUNCTION("IMPORTRANGE(""https://docs.google.com/spreadsheets/d/1-uDff_7J0KD5mKrp0Vvzr7lt3OU09vwQwhkpOPPYv2Y/edit?usp=sharing"",""งบพรบ!BM70"")"),0)</f>
        <v>0</v>
      </c>
      <c r="N126" s="74">
        <f ca="1">IFERROR(__xludf.DUMMYFUNCTION("IMPORTRANGE(""https://docs.google.com/spreadsheets/d/1-uDff_7J0KD5mKrp0Vvzr7lt3OU09vwQwhkpOPPYv2Y/edit?usp=sharing"",""งบพรบ!BO70"")"),0)</f>
        <v>0</v>
      </c>
      <c r="O126" s="74">
        <f t="shared" ca="1" si="74"/>
        <v>0</v>
      </c>
      <c r="P126" s="74">
        <f t="shared" ca="1" si="75"/>
        <v>0</v>
      </c>
      <c r="Q126" s="74">
        <v>0</v>
      </c>
      <c r="R126" s="74">
        <v>0</v>
      </c>
      <c r="S126" s="74">
        <v>0</v>
      </c>
      <c r="T126" s="74">
        <f t="shared" si="77"/>
        <v>0</v>
      </c>
      <c r="U126" s="74">
        <f t="shared" si="78"/>
        <v>0</v>
      </c>
    </row>
    <row r="127" spans="1:21" ht="19.5" x14ac:dyDescent="0.3">
      <c r="A127" s="276"/>
      <c r="B127" s="277"/>
      <c r="C127" s="309" t="s">
        <v>18</v>
      </c>
      <c r="D127" s="1019" t="s">
        <v>38</v>
      </c>
      <c r="E127" s="280"/>
      <c r="F127" s="280"/>
      <c r="G127" s="281"/>
      <c r="H127" s="310"/>
      <c r="I127" s="263"/>
      <c r="J127" s="263"/>
      <c r="K127" s="87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IFERROR(__xludf.DUMMYFUNCTION("IMPORTRANGE(""https://docs.google.com/spreadsheets/d/1eHaY18a8A9IcSdp1K8H6x8fbOy06t2VsZHhMHf-1x7Y/edit?usp=sharing"",""แผน!FF70"")"),10)</f>
        <v>10</v>
      </c>
      <c r="J128" s="294">
        <v>0</v>
      </c>
      <c r="K128" s="74">
        <f t="shared" ref="K128:K131" ca="1" si="85">IF(I128&gt;0,J128*100/I128,0)</f>
        <v>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IFERROR(__xludf.DUMMYFUNCTION("IMPORTRANGE(""https://docs.google.com/spreadsheets/d/1eHaY18a8A9IcSdp1K8H6x8fbOy06t2VsZHhMHf-1x7Y/edit?usp=sharing"",""แผน!FG70"")"),0)</f>
        <v>0</v>
      </c>
      <c r="J129" s="294">
        <v>0</v>
      </c>
      <c r="K129" s="74">
        <f t="shared" ca="1" si="85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29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IFERROR(__xludf.DUMMYFUNCTION("IMPORTRANGE(""https://docs.google.com/spreadsheets/d/1eHaY18a8A9IcSdp1K8H6x8fbOy06t2VsZHhMHf-1x7Y/edit?usp=sharing"",""แผน!FH70"")"),10)</f>
        <v>10</v>
      </c>
      <c r="J130" s="294">
        <v>0</v>
      </c>
      <c r="K130" s="74">
        <f t="shared" ca="1" si="85"/>
        <v>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96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IFERROR(__xludf.DUMMYFUNCTION("IMPORTRANGE(""https://docs.google.com/spreadsheets/d/1eHaY18a8A9IcSdp1K8H6x8fbOy06t2VsZHhMHf-1x7Y/edit?usp=sharing"",""แผน!FI70"")"),0)</f>
        <v>0</v>
      </c>
      <c r="J131" s="294">
        <v>0</v>
      </c>
      <c r="K131" s="74">
        <f t="shared" ca="1" si="85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311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311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x14ac:dyDescent="0.3">
      <c r="A135" s="1099" t="s">
        <v>58</v>
      </c>
      <c r="B135" s="691"/>
      <c r="C135" s="692"/>
      <c r="D135" s="691"/>
      <c r="E135" s="691"/>
      <c r="F135" s="691"/>
      <c r="G135" s="691"/>
      <c r="H135" s="691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x14ac:dyDescent="0.3">
      <c r="A136" s="250"/>
      <c r="B136" s="251" t="s">
        <v>59</v>
      </c>
      <c r="C136" s="304"/>
      <c r="D136" s="253"/>
      <c r="E136" s="252"/>
      <c r="F136" s="252"/>
      <c r="G136" s="252"/>
      <c r="H136" s="252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x14ac:dyDescent="0.3">
      <c r="A137" s="250"/>
      <c r="B137" s="252"/>
      <c r="C137" s="1112" t="s">
        <v>60</v>
      </c>
      <c r="D137" s="253"/>
      <c r="E137" s="252"/>
      <c r="F137" s="252"/>
      <c r="G137" s="254"/>
      <c r="H137" s="1296" t="s">
        <v>61</v>
      </c>
      <c r="I137" s="256">
        <f t="shared" ref="I137:J137" ca="1" si="86">I155</f>
        <v>0</v>
      </c>
      <c r="J137" s="256">
        <f t="shared" si="86"/>
        <v>0</v>
      </c>
      <c r="K137" s="59">
        <f t="shared" ref="K137:K139" ca="1" si="87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x14ac:dyDescent="0.3">
      <c r="A138" s="250"/>
      <c r="B138" s="252"/>
      <c r="C138" s="1112" t="s">
        <v>62</v>
      </c>
      <c r="D138" s="253"/>
      <c r="E138" s="252"/>
      <c r="F138" s="252"/>
      <c r="G138" s="254"/>
      <c r="H138" s="1296" t="s">
        <v>35</v>
      </c>
      <c r="I138" s="256">
        <f t="shared" ref="I138:J139" ca="1" si="88">I153</f>
        <v>10</v>
      </c>
      <c r="J138" s="256">
        <f t="shared" si="88"/>
        <v>0</v>
      </c>
      <c r="K138" s="59">
        <f t="shared" ca="1" si="87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x14ac:dyDescent="0.3">
      <c r="A139" s="250"/>
      <c r="B139" s="252"/>
      <c r="C139" s="304"/>
      <c r="D139" s="253"/>
      <c r="E139" s="252"/>
      <c r="F139" s="252"/>
      <c r="G139" s="254"/>
      <c r="H139" s="1296" t="s">
        <v>54</v>
      </c>
      <c r="I139" s="256">
        <f t="shared" ca="1" si="88"/>
        <v>1</v>
      </c>
      <c r="J139" s="256">
        <f t="shared" si="88"/>
        <v>0</v>
      </c>
      <c r="K139" s="59">
        <f t="shared" ca="1" si="87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1257">
        <f t="shared" ref="L140:N140" ca="1" si="89">L141+L142</f>
        <v>98000</v>
      </c>
      <c r="M140" s="264">
        <f t="shared" ca="1" si="89"/>
        <v>93000</v>
      </c>
      <c r="N140" s="264">
        <f t="shared" ca="1" si="89"/>
        <v>720</v>
      </c>
      <c r="O140" s="264">
        <f t="shared" ref="O140:O148" ca="1" si="90">IF(L140&gt;0,N140*100/L140,0)</f>
        <v>0.73469387755102045</v>
      </c>
      <c r="P140" s="264">
        <f t="shared" ref="P140:P148" ca="1" si="91">IF(M140&gt;0,N140*100/M140,0)</f>
        <v>0.77419354838709675</v>
      </c>
      <c r="Q140" s="264">
        <f t="shared" ref="Q140:S140" ca="1" si="92">Q141+Q142</f>
        <v>0</v>
      </c>
      <c r="R140" s="264">
        <f t="shared" ca="1" si="92"/>
        <v>0</v>
      </c>
      <c r="S140" s="264">
        <f t="shared" ca="1" si="92"/>
        <v>0</v>
      </c>
      <c r="T140" s="264">
        <f t="shared" ref="T140:T148" ca="1" si="93">IF(Q140&gt;0,S140*100/Q140,0)</f>
        <v>0</v>
      </c>
      <c r="U140" s="264">
        <f t="shared" ref="U140:U148" ca="1" si="94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6">
        <f t="shared" ref="L141:N142" si="95">L144+L147</f>
        <v>0</v>
      </c>
      <c r="M141" s="77">
        <f t="shared" si="95"/>
        <v>0</v>
      </c>
      <c r="N141" s="77">
        <f t="shared" si="95"/>
        <v>0</v>
      </c>
      <c r="O141" s="77">
        <f t="shared" si="90"/>
        <v>0</v>
      </c>
      <c r="P141" s="77">
        <f t="shared" si="91"/>
        <v>0</v>
      </c>
      <c r="Q141" s="77">
        <f t="shared" ref="Q141:S142" si="96">Q144+Q147</f>
        <v>0</v>
      </c>
      <c r="R141" s="77">
        <f t="shared" si="96"/>
        <v>0</v>
      </c>
      <c r="S141" s="77">
        <f t="shared" si="96"/>
        <v>0</v>
      </c>
      <c r="T141" s="77">
        <f t="shared" si="93"/>
        <v>0</v>
      </c>
      <c r="U141" s="77">
        <f t="shared" si="94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3">
        <f t="shared" ca="1" si="95"/>
        <v>98000</v>
      </c>
      <c r="M142" s="74">
        <f t="shared" ca="1" si="95"/>
        <v>93000</v>
      </c>
      <c r="N142" s="74">
        <f t="shared" ca="1" si="95"/>
        <v>720</v>
      </c>
      <c r="O142" s="74">
        <f t="shared" ca="1" si="90"/>
        <v>0.73469387755102045</v>
      </c>
      <c r="P142" s="74">
        <f t="shared" ca="1" si="91"/>
        <v>0.77419354838709675</v>
      </c>
      <c r="Q142" s="74">
        <f t="shared" ca="1" si="96"/>
        <v>0</v>
      </c>
      <c r="R142" s="74">
        <f t="shared" ca="1" si="96"/>
        <v>0</v>
      </c>
      <c r="S142" s="74">
        <f t="shared" ca="1" si="96"/>
        <v>0</v>
      </c>
      <c r="T142" s="74">
        <f t="shared" ca="1" si="93"/>
        <v>0</v>
      </c>
      <c r="U142" s="74">
        <f t="shared" ca="1" si="94"/>
        <v>0</v>
      </c>
    </row>
    <row r="143" spans="1:21" ht="18.75" x14ac:dyDescent="0.25">
      <c r="A143" s="257"/>
      <c r="B143" s="258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3">
        <f t="shared" ref="L143:N143" ca="1" si="97">L144+L145</f>
        <v>98000</v>
      </c>
      <c r="M143" s="74">
        <f t="shared" ca="1" si="97"/>
        <v>93000</v>
      </c>
      <c r="N143" s="74">
        <f t="shared" ca="1" si="97"/>
        <v>720</v>
      </c>
      <c r="O143" s="74">
        <f t="shared" ca="1" si="90"/>
        <v>0.73469387755102045</v>
      </c>
      <c r="P143" s="74">
        <f t="shared" ca="1" si="91"/>
        <v>0.77419354838709675</v>
      </c>
      <c r="Q143" s="74">
        <f t="shared" ref="Q143:S143" ca="1" si="98">Q144+Q145</f>
        <v>0</v>
      </c>
      <c r="R143" s="74">
        <f t="shared" ca="1" si="98"/>
        <v>0</v>
      </c>
      <c r="S143" s="74">
        <f t="shared" ca="1" si="98"/>
        <v>0</v>
      </c>
      <c r="T143" s="74">
        <f t="shared" ca="1" si="93"/>
        <v>0</v>
      </c>
      <c r="U143" s="74">
        <f t="shared" ca="1" si="94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77">
        <f t="shared" si="90"/>
        <v>0</v>
      </c>
      <c r="P144" s="77">
        <f t="shared" si="91"/>
        <v>0</v>
      </c>
      <c r="Q144" s="77">
        <v>0</v>
      </c>
      <c r="R144" s="77">
        <v>0</v>
      </c>
      <c r="S144" s="77">
        <v>0</v>
      </c>
      <c r="T144" s="77">
        <f t="shared" si="93"/>
        <v>0</v>
      </c>
      <c r="U144" s="77">
        <f t="shared" si="94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3">
        <f ca="1">IFERROR(__xludf.DUMMYFUNCTION("IMPORTRANGE(""https://docs.google.com/spreadsheets/d/1-uDff_7J0KD5mKrp0Vvzr7lt3OU09vwQwhkpOPPYv2Y/edit?usp=sharing"",""งบพรบ!BQ70"")"),98000)</f>
        <v>98000</v>
      </c>
      <c r="M145" s="74">
        <f ca="1">IFERROR(__xludf.DUMMYFUNCTION("IMPORTRANGE(""https://docs.google.com/spreadsheets/d/1-uDff_7J0KD5mKrp0Vvzr7lt3OU09vwQwhkpOPPYv2Y/edit?usp=sharing"",""งบพรบ!BV70"")"),93000)</f>
        <v>93000</v>
      </c>
      <c r="N145" s="74">
        <f ca="1">IFERROR(__xludf.DUMMYFUNCTION("IMPORTRANGE(""https://docs.google.com/spreadsheets/d/1-uDff_7J0KD5mKrp0Vvzr7lt3OU09vwQwhkpOPPYv2Y/edit?usp=sharing"",""งบพรบ!BX70"")"),720)</f>
        <v>720</v>
      </c>
      <c r="O145" s="74">
        <f t="shared" ca="1" si="90"/>
        <v>0.73469387755102045</v>
      </c>
      <c r="P145" s="74">
        <f t="shared" ca="1" si="91"/>
        <v>0.77419354838709675</v>
      </c>
      <c r="Q145" s="74">
        <f ca="1">IFERROR(__xludf.DUMMYFUNCTION("IMPORTRANGE(""https://docs.google.com/spreadsheets/d/1ItG2mGa2ceCfYo0BwxsXqNm01IGEUdYcSSLTEv9YCik/edit?usp=sharing"",""เบิกจ่ายกองทุน!BB70"")"),0)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IFERROR(__xludf.DUMMYFUNCTION("IMPORTRANGE(""https://docs.google.com/spreadsheets/d/1ItG2mGa2ceCfYo0BwxsXqNm01IGEUdYcSSLTEv9YCik/edit?usp=sharing"",""เบิกจ่ายกองทุน!BC70"")"),0)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IFERROR(__xludf.DUMMYFUNCTION("IMPORTRANGE(""https://docs.google.com/spreadsheets/d/1ItG2mGa2ceCfYo0BwxsXqNm01IGEUdYcSSLTEv9YCik/edit?usp=sharing"",""เบิกจ่ายกองทุน!BD70"")"),0)</f>
        <v>0</v>
      </c>
      <c r="T145" s="74">
        <f t="shared" ca="1" si="93"/>
        <v>0</v>
      </c>
      <c r="U145" s="74">
        <f t="shared" ca="1" si="94"/>
        <v>0</v>
      </c>
    </row>
    <row r="146" spans="1:21" ht="18.75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3">
        <f t="shared" ref="L146:N146" ca="1" si="99">L147+L148</f>
        <v>0</v>
      </c>
      <c r="M146" s="74">
        <f t="shared" ca="1" si="99"/>
        <v>0</v>
      </c>
      <c r="N146" s="74">
        <f t="shared" ca="1" si="99"/>
        <v>0</v>
      </c>
      <c r="O146" s="74">
        <f t="shared" ca="1" si="90"/>
        <v>0</v>
      </c>
      <c r="P146" s="74">
        <f t="shared" ca="1" si="91"/>
        <v>0</v>
      </c>
      <c r="Q146" s="74">
        <f t="shared" ref="Q146:S146" si="100">Q147+Q148</f>
        <v>0</v>
      </c>
      <c r="R146" s="74">
        <f t="shared" si="100"/>
        <v>0</v>
      </c>
      <c r="S146" s="74">
        <f t="shared" si="100"/>
        <v>0</v>
      </c>
      <c r="T146" s="74">
        <f t="shared" si="93"/>
        <v>0</v>
      </c>
      <c r="U146" s="74">
        <f t="shared" si="94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77">
        <f t="shared" si="90"/>
        <v>0</v>
      </c>
      <c r="P147" s="77">
        <f t="shared" si="91"/>
        <v>0</v>
      </c>
      <c r="Q147" s="77">
        <v>0</v>
      </c>
      <c r="R147" s="77">
        <v>0</v>
      </c>
      <c r="S147" s="77">
        <v>0</v>
      </c>
      <c r="T147" s="77">
        <f t="shared" si="93"/>
        <v>0</v>
      </c>
      <c r="U147" s="77">
        <f t="shared" si="94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3">
        <f ca="1">IFERROR(__xludf.DUMMYFUNCTION("IMPORTRANGE(""https://docs.google.com/spreadsheets/d/1-uDff_7J0KD5mKrp0Vvzr7lt3OU09vwQwhkpOPPYv2Y/edit?usp=sharing"",""งบพรบ!BT70"")"),0)</f>
        <v>0</v>
      </c>
      <c r="M148" s="74">
        <f ca="1">IFERROR(__xludf.DUMMYFUNCTION("IMPORTRANGE(""https://docs.google.com/spreadsheets/d/1-uDff_7J0KD5mKrp0Vvzr7lt3OU09vwQwhkpOPPYv2Y/edit?usp=sharing"",""งบพรบ!BW70"")"),0)</f>
        <v>0</v>
      </c>
      <c r="N148" s="74">
        <f ca="1">IFERROR(__xludf.DUMMYFUNCTION("IMPORTRANGE(""https://docs.google.com/spreadsheets/d/1-uDff_7J0KD5mKrp0Vvzr7lt3OU09vwQwhkpOPPYv2Y/edit?usp=sharing"",""งบพรบ!BY70"")"),0)</f>
        <v>0</v>
      </c>
      <c r="O148" s="74">
        <f t="shared" ca="1" si="90"/>
        <v>0</v>
      </c>
      <c r="P148" s="74">
        <f t="shared" ca="1" si="91"/>
        <v>0</v>
      </c>
      <c r="Q148" s="74">
        <v>0</v>
      </c>
      <c r="R148" s="74">
        <v>0</v>
      </c>
      <c r="S148" s="74">
        <v>0</v>
      </c>
      <c r="T148" s="74">
        <f t="shared" si="93"/>
        <v>0</v>
      </c>
      <c r="U148" s="74">
        <f t="shared" si="94"/>
        <v>0</v>
      </c>
    </row>
    <row r="149" spans="1:21" ht="19.5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x14ac:dyDescent="0.25">
      <c r="A150" s="257"/>
      <c r="B150" s="258"/>
      <c r="C150" s="258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IFERROR(__xludf.DUMMYFUNCTION("IMPORTRANGE(""https://docs.google.com/spreadsheets/d/1eHaY18a8A9IcSdp1K8H6x8fbOy06t2VsZHhMHf-1x7Y/edit?usp=sharing"",""แผน!U70"")"),0)</f>
        <v>0</v>
      </c>
      <c r="J151" s="294">
        <v>0</v>
      </c>
      <c r="K151" s="74">
        <f t="shared" ref="K151:K155" ca="1" si="101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IFERROR(__xludf.DUMMYFUNCTION("IMPORTRANGE(""https://docs.google.com/spreadsheets/d/1eHaY18a8A9IcSdp1K8H6x8fbOy06t2VsZHhMHf-1x7Y/edit?usp=sharing"",""แผน!V70"")"),0)</f>
        <v>0</v>
      </c>
      <c r="J152" s="294">
        <v>0</v>
      </c>
      <c r="K152" s="74">
        <f t="shared" ca="1" si="101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IFERROR(__xludf.DUMMYFUNCTION("IMPORTRANGE(""https://docs.google.com/spreadsheets/d/1eHaY18a8A9IcSdp1K8H6x8fbOy06t2VsZHhMHf-1x7Y/edit?usp=sharing"",""แผน!W70"")"),10)</f>
        <v>10</v>
      </c>
      <c r="J153" s="294">
        <v>0</v>
      </c>
      <c r="K153" s="74">
        <f t="shared" ca="1" si="101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IFERROR(__xludf.DUMMYFUNCTION("IMPORTRANGE(""https://docs.google.com/spreadsheets/d/1eHaY18a8A9IcSdp1K8H6x8fbOy06t2VsZHhMHf-1x7Y/edit?usp=sharing"",""แผน!X70"")"),1)</f>
        <v>1</v>
      </c>
      <c r="J154" s="294">
        <v>0</v>
      </c>
      <c r="K154" s="74">
        <f t="shared" ca="1" si="101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IFERROR(__xludf.DUMMYFUNCTION("IMPORTRANGE(""https://docs.google.com/spreadsheets/d/1eHaY18a8A9IcSdp1K8H6x8fbOy06t2VsZHhMHf-1x7Y/edit?usp=sharing"",""แผน!Y70"")"),0)</f>
        <v>0</v>
      </c>
      <c r="J155" s="294">
        <v>0</v>
      </c>
      <c r="K155" s="74">
        <f t="shared" ca="1" si="101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x14ac:dyDescent="0.3">
      <c r="A156" s="1099" t="s">
        <v>67</v>
      </c>
      <c r="B156" s="691"/>
      <c r="C156" s="692"/>
      <c r="D156" s="691"/>
      <c r="E156" s="691"/>
      <c r="F156" s="691"/>
      <c r="G156" s="691"/>
      <c r="H156" s="691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2">I168</f>
        <v>15</v>
      </c>
      <c r="J157" s="256">
        <f t="shared" si="102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1257">
        <f t="shared" ref="L158:N158" ca="1" si="103">L159+L160</f>
        <v>4500</v>
      </c>
      <c r="M158" s="264">
        <f t="shared" ca="1" si="103"/>
        <v>2250</v>
      </c>
      <c r="N158" s="264">
        <f t="shared" ca="1" si="103"/>
        <v>0</v>
      </c>
      <c r="O158" s="264">
        <f t="shared" ref="O158:O166" ca="1" si="104">IF(L158&gt;0,N158*100/L158,0)</f>
        <v>0</v>
      </c>
      <c r="P158" s="264">
        <f t="shared" ref="P158:P166" ca="1" si="105">IF(M158&gt;0,N158*100/M158,0)</f>
        <v>0</v>
      </c>
      <c r="Q158" s="264">
        <f t="shared" ref="Q158:S158" ca="1" si="106">Q159+Q160</f>
        <v>0</v>
      </c>
      <c r="R158" s="264">
        <f t="shared" ca="1" si="106"/>
        <v>0</v>
      </c>
      <c r="S158" s="264">
        <f t="shared" ca="1" si="106"/>
        <v>0</v>
      </c>
      <c r="T158" s="264">
        <f t="shared" ref="T158:T166" ca="1" si="107">IF(Q158&gt;0,S158*100/Q158,0)</f>
        <v>0</v>
      </c>
      <c r="U158" s="264">
        <f t="shared" ref="U158:U166" ca="1" si="108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6">
        <f t="shared" ref="L159:N160" si="109">L162+L165</f>
        <v>0</v>
      </c>
      <c r="M159" s="77">
        <f t="shared" si="109"/>
        <v>0</v>
      </c>
      <c r="N159" s="77">
        <f t="shared" si="109"/>
        <v>0</v>
      </c>
      <c r="O159" s="77">
        <f t="shared" si="104"/>
        <v>0</v>
      </c>
      <c r="P159" s="77">
        <f t="shared" si="105"/>
        <v>0</v>
      </c>
      <c r="Q159" s="77">
        <f t="shared" ref="Q159:S160" si="110">Q162+Q165</f>
        <v>0</v>
      </c>
      <c r="R159" s="77">
        <f t="shared" si="110"/>
        <v>0</v>
      </c>
      <c r="S159" s="77">
        <f t="shared" si="110"/>
        <v>0</v>
      </c>
      <c r="T159" s="77">
        <f t="shared" si="107"/>
        <v>0</v>
      </c>
      <c r="U159" s="77">
        <f t="shared" si="108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3">
        <f t="shared" ca="1" si="109"/>
        <v>4500</v>
      </c>
      <c r="M160" s="74">
        <f t="shared" ca="1" si="109"/>
        <v>2250</v>
      </c>
      <c r="N160" s="74">
        <f t="shared" ca="1" si="109"/>
        <v>0</v>
      </c>
      <c r="O160" s="74">
        <f t="shared" ca="1" si="104"/>
        <v>0</v>
      </c>
      <c r="P160" s="74">
        <f t="shared" ca="1" si="105"/>
        <v>0</v>
      </c>
      <c r="Q160" s="74">
        <f t="shared" ca="1" si="110"/>
        <v>0</v>
      </c>
      <c r="R160" s="74">
        <f t="shared" ca="1" si="110"/>
        <v>0</v>
      </c>
      <c r="S160" s="74">
        <f t="shared" ca="1" si="110"/>
        <v>0</v>
      </c>
      <c r="T160" s="74">
        <f t="shared" ca="1" si="107"/>
        <v>0</v>
      </c>
      <c r="U160" s="74">
        <f t="shared" ca="1" si="108"/>
        <v>0</v>
      </c>
    </row>
    <row r="161" spans="1:21" ht="18.75" x14ac:dyDescent="0.25">
      <c r="A161" s="257"/>
      <c r="B161" s="258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3">
        <f t="shared" ref="L161:N161" ca="1" si="111">L162+L163</f>
        <v>4500</v>
      </c>
      <c r="M161" s="74">
        <f t="shared" ca="1" si="111"/>
        <v>2250</v>
      </c>
      <c r="N161" s="74">
        <f t="shared" ca="1" si="111"/>
        <v>0</v>
      </c>
      <c r="O161" s="74">
        <f t="shared" ca="1" si="104"/>
        <v>0</v>
      </c>
      <c r="P161" s="74">
        <f t="shared" ca="1" si="105"/>
        <v>0</v>
      </c>
      <c r="Q161" s="74">
        <f t="shared" ref="Q161:S161" ca="1" si="112">Q162+Q163</f>
        <v>0</v>
      </c>
      <c r="R161" s="74">
        <f t="shared" ca="1" si="112"/>
        <v>0</v>
      </c>
      <c r="S161" s="74">
        <f t="shared" ca="1" si="112"/>
        <v>0</v>
      </c>
      <c r="T161" s="74">
        <f t="shared" ca="1" si="107"/>
        <v>0</v>
      </c>
      <c r="U161" s="74">
        <f t="shared" ca="1" si="108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77">
        <f t="shared" si="104"/>
        <v>0</v>
      </c>
      <c r="P162" s="77">
        <f t="shared" si="105"/>
        <v>0</v>
      </c>
      <c r="Q162" s="77">
        <v>0</v>
      </c>
      <c r="R162" s="77">
        <v>0</v>
      </c>
      <c r="S162" s="77">
        <v>0</v>
      </c>
      <c r="T162" s="77">
        <f t="shared" si="107"/>
        <v>0</v>
      </c>
      <c r="U162" s="77">
        <f t="shared" si="108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3">
        <f ca="1">IFERROR(__xludf.DUMMYFUNCTION("IMPORTRANGE(""https://docs.google.com/spreadsheets/d/1-uDff_7J0KD5mKrp0Vvzr7lt3OU09vwQwhkpOPPYv2Y/edit?usp=sharing"",""งบพรบ!CA70"")"),4500)</f>
        <v>4500</v>
      </c>
      <c r="M163" s="74">
        <f ca="1">IFERROR(__xludf.DUMMYFUNCTION("IMPORTRANGE(""https://docs.google.com/spreadsheets/d/1-uDff_7J0KD5mKrp0Vvzr7lt3OU09vwQwhkpOPPYv2Y/edit?usp=sharing"",""งบพรบ!CF70"")"),2250)</f>
        <v>2250</v>
      </c>
      <c r="N163" s="74">
        <f ca="1">IFERROR(__xludf.DUMMYFUNCTION("IMPORTRANGE(""https://docs.google.com/spreadsheets/d/1-uDff_7J0KD5mKrp0Vvzr7lt3OU09vwQwhkpOPPYv2Y/edit?usp=sharing"",""งบพรบ!CH70"")"),0)</f>
        <v>0</v>
      </c>
      <c r="O163" s="74">
        <f t="shared" ca="1" si="104"/>
        <v>0</v>
      </c>
      <c r="P163" s="74">
        <f t="shared" ca="1" si="105"/>
        <v>0</v>
      </c>
      <c r="Q163" s="74">
        <f ca="1">IFERROR(__xludf.DUMMYFUNCTION("IMPORTRANGE(""https://docs.google.com/spreadsheets/d/1ItG2mGa2ceCfYo0BwxsXqNm01IGEUdYcSSLTEv9YCik/edit?usp=sharing"",""เบิกจ่ายกองทุน!AG70"")"),0)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IFERROR(__xludf.DUMMYFUNCTION("IMPORTRANGE(""https://docs.google.com/spreadsheets/d/1ItG2mGa2ceCfYo0BwxsXqNm01IGEUdYcSSLTEv9YCik/edit?usp=sharing"",""เบิกจ่ายกองทุน!AH70"")"),0)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IFERROR(__xludf.DUMMYFUNCTION("IMPORTRANGE(""https://docs.google.com/spreadsheets/d/1ItG2mGa2ceCfYo0BwxsXqNm01IGEUdYcSSLTEv9YCik/edit?usp=sharing"",""เบิกจ่ายกองทุน!AI70"")"),0)</f>
        <v>0</v>
      </c>
      <c r="T163" s="74">
        <f t="shared" ca="1" si="107"/>
        <v>0</v>
      </c>
      <c r="U163" s="74">
        <f t="shared" ca="1" si="108"/>
        <v>0</v>
      </c>
    </row>
    <row r="164" spans="1:21" ht="18.75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3">
        <f t="shared" ref="L164:N164" ca="1" si="113">L165+L166</f>
        <v>0</v>
      </c>
      <c r="M164" s="74">
        <f t="shared" ca="1" si="113"/>
        <v>0</v>
      </c>
      <c r="N164" s="74">
        <f t="shared" ca="1" si="113"/>
        <v>0</v>
      </c>
      <c r="O164" s="74">
        <f t="shared" ca="1" si="104"/>
        <v>0</v>
      </c>
      <c r="P164" s="74">
        <f t="shared" ca="1" si="105"/>
        <v>0</v>
      </c>
      <c r="Q164" s="74">
        <f t="shared" ref="Q164:S164" si="114">Q165+Q166</f>
        <v>0</v>
      </c>
      <c r="R164" s="74">
        <f t="shared" si="114"/>
        <v>0</v>
      </c>
      <c r="S164" s="74">
        <f t="shared" si="114"/>
        <v>0</v>
      </c>
      <c r="T164" s="74">
        <f t="shared" si="107"/>
        <v>0</v>
      </c>
      <c r="U164" s="74">
        <f t="shared" si="108"/>
        <v>0</v>
      </c>
    </row>
    <row r="165" spans="1:21" ht="18.75" hidden="1" x14ac:dyDescent="0.25">
      <c r="A165" s="257"/>
      <c r="B165" s="258"/>
      <c r="C165" s="258"/>
      <c r="D165" s="258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77">
        <f t="shared" si="104"/>
        <v>0</v>
      </c>
      <c r="P165" s="77">
        <f t="shared" si="105"/>
        <v>0</v>
      </c>
      <c r="Q165" s="77">
        <v>0</v>
      </c>
      <c r="R165" s="77">
        <v>0</v>
      </c>
      <c r="S165" s="77">
        <v>0</v>
      </c>
      <c r="T165" s="77">
        <f t="shared" si="107"/>
        <v>0</v>
      </c>
      <c r="U165" s="77">
        <f t="shared" si="108"/>
        <v>0</v>
      </c>
    </row>
    <row r="166" spans="1:21" ht="18.75" hidden="1" x14ac:dyDescent="0.25">
      <c r="A166" s="257"/>
      <c r="B166" s="258"/>
      <c r="C166" s="258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3">
        <f ca="1">IFERROR(__xludf.DUMMYFUNCTION("IMPORTRANGE(""https://docs.google.com/spreadsheets/d/1-uDff_7J0KD5mKrp0Vvzr7lt3OU09vwQwhkpOPPYv2Y/edit?usp=sharing"",""งบพรบ!CD70"")"),0)</f>
        <v>0</v>
      </c>
      <c r="M166" s="74">
        <f ca="1">IFERROR(__xludf.DUMMYFUNCTION("IMPORTRANGE(""https://docs.google.com/spreadsheets/d/1-uDff_7J0KD5mKrp0Vvzr7lt3OU09vwQwhkpOPPYv2Y/edit?usp=sharing"",""งบพรบ!CG70"")"),0)</f>
        <v>0</v>
      </c>
      <c r="N166" s="74">
        <f ca="1">IFERROR(__xludf.DUMMYFUNCTION("IMPORTRANGE(""https://docs.google.com/spreadsheets/d/1-uDff_7J0KD5mKrp0Vvzr7lt3OU09vwQwhkpOPPYv2Y/edit?usp=sharing"",""งบพรบ!CI70"")"),0)</f>
        <v>0</v>
      </c>
      <c r="O166" s="74">
        <f t="shared" ca="1" si="104"/>
        <v>0</v>
      </c>
      <c r="P166" s="74">
        <f t="shared" ca="1" si="105"/>
        <v>0</v>
      </c>
      <c r="Q166" s="74">
        <v>0</v>
      </c>
      <c r="R166" s="74">
        <v>0</v>
      </c>
      <c r="S166" s="74">
        <v>0</v>
      </c>
      <c r="T166" s="74">
        <f t="shared" si="107"/>
        <v>0</v>
      </c>
      <c r="U166" s="74">
        <f t="shared" si="108"/>
        <v>0</v>
      </c>
    </row>
    <row r="167" spans="1:21" ht="19.5" x14ac:dyDescent="0.3">
      <c r="A167" s="276"/>
      <c r="B167" s="277"/>
      <c r="C167" s="259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IFERROR(__xludf.DUMMYFUNCTION("IMPORTRANGE(""https://docs.google.com/spreadsheets/d/1eHaY18a8A9IcSdp1K8H6x8fbOy06t2VsZHhMHf-1x7Y/edit?usp=sharing"",""แผน!Z70"")"),15)</f>
        <v>15</v>
      </c>
      <c r="J168" s="294">
        <v>0</v>
      </c>
      <c r="K168" s="74">
        <f t="shared" ref="K168:K170" ca="1" si="115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I168</f>
        <v>15</v>
      </c>
      <c r="J169" s="910">
        <v>0</v>
      </c>
      <c r="K169" s="77">
        <f t="shared" ca="1" si="115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I168</f>
        <v>15</v>
      </c>
      <c r="J170" s="999">
        <v>0</v>
      </c>
      <c r="K170" s="1000">
        <f t="shared" ca="1" si="115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6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302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303" t="s">
        <v>35</v>
      </c>
      <c r="I173" s="1126">
        <f t="shared" ref="I173:J173" ca="1" si="116">I184+I185</f>
        <v>7</v>
      </c>
      <c r="J173" s="1126">
        <f t="shared" si="116"/>
        <v>7</v>
      </c>
      <c r="K173" s="1127">
        <f ca="1">IF(I173&gt;0,J173*100/I173,0)</f>
        <v>100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1257">
        <f t="shared" ref="L174:N174" ca="1" si="117">L175+L176</f>
        <v>19590</v>
      </c>
      <c r="M174" s="264">
        <f t="shared" ca="1" si="117"/>
        <v>29630</v>
      </c>
      <c r="N174" s="264">
        <f t="shared" ca="1" si="117"/>
        <v>29090</v>
      </c>
      <c r="O174" s="264">
        <f t="shared" ref="O174:O182" ca="1" si="118">IF(L174&gt;0,N174*100/L174,0)</f>
        <v>148.49412965798876</v>
      </c>
      <c r="P174" s="264">
        <f t="shared" ref="P174:P182" ca="1" si="119">IF(M174&gt;0,N174*100/M174,0)</f>
        <v>98.177522780965234</v>
      </c>
      <c r="Q174" s="264">
        <f t="shared" ref="Q174:S174" ca="1" si="120">Q175+Q176</f>
        <v>0</v>
      </c>
      <c r="R174" s="264">
        <f t="shared" ca="1" si="120"/>
        <v>0</v>
      </c>
      <c r="S174" s="264">
        <f t="shared" ca="1" si="120"/>
        <v>0</v>
      </c>
      <c r="T174" s="264">
        <f t="shared" ref="T174:T182" ca="1" si="121">IF(Q174&gt;0,S174*100/Q174,0)</f>
        <v>0</v>
      </c>
      <c r="U174" s="264">
        <f t="shared" ref="U174:U182" ca="1" si="122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6">
        <f t="shared" ref="L175:N176" si="123">L178+L181</f>
        <v>0</v>
      </c>
      <c r="M175" s="77">
        <f t="shared" si="123"/>
        <v>0</v>
      </c>
      <c r="N175" s="77">
        <f t="shared" si="123"/>
        <v>0</v>
      </c>
      <c r="O175" s="77">
        <f t="shared" si="118"/>
        <v>0</v>
      </c>
      <c r="P175" s="77">
        <f t="shared" si="119"/>
        <v>0</v>
      </c>
      <c r="Q175" s="77">
        <f t="shared" ref="Q175:S176" si="124">Q178+Q181</f>
        <v>0</v>
      </c>
      <c r="R175" s="77">
        <f t="shared" si="124"/>
        <v>0</v>
      </c>
      <c r="S175" s="77">
        <f t="shared" si="124"/>
        <v>0</v>
      </c>
      <c r="T175" s="77">
        <f t="shared" si="121"/>
        <v>0</v>
      </c>
      <c r="U175" s="77">
        <f t="shared" si="122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3">
        <f t="shared" ca="1" si="123"/>
        <v>19590</v>
      </c>
      <c r="M176" s="74">
        <f t="shared" ca="1" si="123"/>
        <v>29630</v>
      </c>
      <c r="N176" s="74">
        <f t="shared" ca="1" si="123"/>
        <v>29090</v>
      </c>
      <c r="O176" s="74">
        <f t="shared" ca="1" si="118"/>
        <v>148.49412965798876</v>
      </c>
      <c r="P176" s="74">
        <f t="shared" ca="1" si="119"/>
        <v>98.177522780965234</v>
      </c>
      <c r="Q176" s="74">
        <f t="shared" ca="1" si="124"/>
        <v>0</v>
      </c>
      <c r="R176" s="74">
        <f t="shared" ca="1" si="124"/>
        <v>0</v>
      </c>
      <c r="S176" s="74">
        <f t="shared" ca="1" si="124"/>
        <v>0</v>
      </c>
      <c r="T176" s="74">
        <f t="shared" ca="1" si="121"/>
        <v>0</v>
      </c>
      <c r="U176" s="74">
        <f t="shared" ca="1" si="122"/>
        <v>0</v>
      </c>
    </row>
    <row r="177" spans="1:21" ht="18.75" x14ac:dyDescent="0.25">
      <c r="A177" s="257"/>
      <c r="B177" s="258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3">
        <f t="shared" ref="L177:N177" ca="1" si="125">L178+L179</f>
        <v>19590</v>
      </c>
      <c r="M177" s="74">
        <f t="shared" ca="1" si="125"/>
        <v>29630</v>
      </c>
      <c r="N177" s="74">
        <f t="shared" ca="1" si="125"/>
        <v>29090</v>
      </c>
      <c r="O177" s="74">
        <f t="shared" ca="1" si="118"/>
        <v>148.49412965798876</v>
      </c>
      <c r="P177" s="74">
        <f t="shared" ca="1" si="119"/>
        <v>98.177522780965234</v>
      </c>
      <c r="Q177" s="74">
        <f t="shared" ref="Q177:S177" ca="1" si="126">Q178+Q179</f>
        <v>0</v>
      </c>
      <c r="R177" s="74">
        <f t="shared" ca="1" si="126"/>
        <v>0</v>
      </c>
      <c r="S177" s="74">
        <f t="shared" ca="1" si="126"/>
        <v>0</v>
      </c>
      <c r="T177" s="74">
        <f t="shared" ca="1" si="121"/>
        <v>0</v>
      </c>
      <c r="U177" s="74">
        <f t="shared" ca="1" si="122"/>
        <v>0</v>
      </c>
    </row>
    <row r="178" spans="1:21" ht="18.75" hidden="1" x14ac:dyDescent="0.25">
      <c r="A178" s="257"/>
      <c r="B178" s="258"/>
      <c r="C178" s="258"/>
      <c r="D178" s="258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77">
        <f t="shared" si="118"/>
        <v>0</v>
      </c>
      <c r="P178" s="77">
        <f t="shared" si="119"/>
        <v>0</v>
      </c>
      <c r="Q178" s="77">
        <v>0</v>
      </c>
      <c r="R178" s="77">
        <v>0</v>
      </c>
      <c r="S178" s="77">
        <v>0</v>
      </c>
      <c r="T178" s="77">
        <f t="shared" si="121"/>
        <v>0</v>
      </c>
      <c r="U178" s="77">
        <f t="shared" si="122"/>
        <v>0</v>
      </c>
    </row>
    <row r="179" spans="1:21" ht="18.75" hidden="1" x14ac:dyDescent="0.25">
      <c r="A179" s="257"/>
      <c r="B179" s="258"/>
      <c r="C179" s="258"/>
      <c r="D179" s="258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3">
        <f ca="1">IFERROR(__xludf.DUMMYFUNCTION("IMPORTRANGE(""https://docs.google.com/spreadsheets/d/1-uDff_7J0KD5mKrp0Vvzr7lt3OU09vwQwhkpOPPYv2Y/edit?usp=sharing"",""งบพรบ!CK70"")"),19590)</f>
        <v>19590</v>
      </c>
      <c r="M179" s="74">
        <f ca="1">IFERROR(__xludf.DUMMYFUNCTION("IMPORTRANGE(""https://docs.google.com/spreadsheets/d/1-uDff_7J0KD5mKrp0Vvzr7lt3OU09vwQwhkpOPPYv2Y/edit?usp=sharing"",""งบพรบ!CP70"")"),29630)</f>
        <v>29630</v>
      </c>
      <c r="N179" s="74">
        <f ca="1">IFERROR(__xludf.DUMMYFUNCTION("IMPORTRANGE(""https://docs.google.com/spreadsheets/d/1-uDff_7J0KD5mKrp0Vvzr7lt3OU09vwQwhkpOPPYv2Y/edit?usp=sharing"",""งบพรบ!CR70"")"),29090)</f>
        <v>29090</v>
      </c>
      <c r="O179" s="74">
        <f t="shared" ca="1" si="118"/>
        <v>148.49412965798876</v>
      </c>
      <c r="P179" s="74">
        <f t="shared" ca="1" si="119"/>
        <v>98.177522780965234</v>
      </c>
      <c r="Q179" s="74">
        <f ca="1">IFERROR(__xludf.DUMMYFUNCTION("IMPORTRANGE(""https://docs.google.com/spreadsheets/d/1ItG2mGa2ceCfYo0BwxsXqNm01IGEUdYcSSLTEv9YCik/edit?usp=sharing"",""เบิกจ่ายกองทุน!BE70"")"),0)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IFERROR(__xludf.DUMMYFUNCTION("IMPORTRANGE(""https://docs.google.com/spreadsheets/d/1ItG2mGa2ceCfYo0BwxsXqNm01IGEUdYcSSLTEv9YCik/edit?usp=sharing"",""เบิกจ่ายกองทุน!BF70"")"),0)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IFERROR(__xludf.DUMMYFUNCTION("IMPORTRANGE(""https://docs.google.com/spreadsheets/d/1ItG2mGa2ceCfYo0BwxsXqNm01IGEUdYcSSLTEv9YCik/edit?usp=sharing"",""เบิกจ่ายกองทุน!BG70"")"),0)</f>
        <v>0</v>
      </c>
      <c r="T179" s="74">
        <f t="shared" ca="1" si="121"/>
        <v>0</v>
      </c>
      <c r="U179" s="74">
        <f t="shared" ca="1" si="122"/>
        <v>0</v>
      </c>
    </row>
    <row r="180" spans="1:21" ht="18.75" x14ac:dyDescent="0.25">
      <c r="A180" s="257"/>
      <c r="B180" s="258"/>
      <c r="C180" s="258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3">
        <f t="shared" ref="L180:N180" ca="1" si="127">L181+L182</f>
        <v>0</v>
      </c>
      <c r="M180" s="74">
        <f t="shared" ca="1" si="127"/>
        <v>0</v>
      </c>
      <c r="N180" s="74">
        <f t="shared" ca="1" si="127"/>
        <v>0</v>
      </c>
      <c r="O180" s="74">
        <f t="shared" ca="1" si="118"/>
        <v>0</v>
      </c>
      <c r="P180" s="74">
        <f t="shared" ca="1" si="119"/>
        <v>0</v>
      </c>
      <c r="Q180" s="74">
        <f t="shared" ref="Q180:S180" si="128">Q181+Q182</f>
        <v>0</v>
      </c>
      <c r="R180" s="74">
        <f t="shared" si="128"/>
        <v>0</v>
      </c>
      <c r="S180" s="74">
        <f t="shared" si="128"/>
        <v>0</v>
      </c>
      <c r="T180" s="74">
        <f t="shared" si="121"/>
        <v>0</v>
      </c>
      <c r="U180" s="74">
        <f t="shared" si="122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77">
        <f t="shared" si="118"/>
        <v>0</v>
      </c>
      <c r="P181" s="77">
        <f t="shared" si="119"/>
        <v>0</v>
      </c>
      <c r="Q181" s="77">
        <v>0</v>
      </c>
      <c r="R181" s="77">
        <v>0</v>
      </c>
      <c r="S181" s="77">
        <v>0</v>
      </c>
      <c r="T181" s="77">
        <f t="shared" si="121"/>
        <v>0</v>
      </c>
      <c r="U181" s="77">
        <f t="shared" si="122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3">
        <f ca="1">IFERROR(__xludf.DUMMYFUNCTION("IMPORTRANGE(""https://docs.google.com/spreadsheets/d/1-uDff_7J0KD5mKrp0Vvzr7lt3OU09vwQwhkpOPPYv2Y/edit?usp=sharing"",""งบพรบ!CN70"")"),0)</f>
        <v>0</v>
      </c>
      <c r="M182" s="74">
        <f ca="1">IFERROR(__xludf.DUMMYFUNCTION("IMPORTRANGE(""https://docs.google.com/spreadsheets/d/1-uDff_7J0KD5mKrp0Vvzr7lt3OU09vwQwhkpOPPYv2Y/edit?usp=sharing"",""งบพรบ!CQ70"")"),0)</f>
        <v>0</v>
      </c>
      <c r="N182" s="74">
        <f ca="1">IFERROR(__xludf.DUMMYFUNCTION("IMPORTRANGE(""https://docs.google.com/spreadsheets/d/1-uDff_7J0KD5mKrp0Vvzr7lt3OU09vwQwhkpOPPYv2Y/edit?usp=sharing"",""งบพรบ!CS70"")"),0)</f>
        <v>0</v>
      </c>
      <c r="O182" s="74">
        <f t="shared" ca="1" si="118"/>
        <v>0</v>
      </c>
      <c r="P182" s="74">
        <f t="shared" ca="1" si="119"/>
        <v>0</v>
      </c>
      <c r="Q182" s="74">
        <v>0</v>
      </c>
      <c r="R182" s="74">
        <v>0</v>
      </c>
      <c r="S182" s="74">
        <v>0</v>
      </c>
      <c r="T182" s="74">
        <f t="shared" si="121"/>
        <v>0</v>
      </c>
      <c r="U182" s="74">
        <f t="shared" si="122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551" t="s">
        <v>35</v>
      </c>
      <c r="I184" s="293">
        <f ca="1">IFERROR(__xludf.DUMMYFUNCTION("IMPORTRANGE(""https://docs.google.com/spreadsheets/d/1eHaY18a8A9IcSdp1K8H6x8fbOy06t2VsZHhMHf-1x7Y/edit?usp=sharing"",""แผน!AA70"")"),7)</f>
        <v>7</v>
      </c>
      <c r="J184" s="294">
        <v>7</v>
      </c>
      <c r="K184" s="74">
        <f t="shared" ref="K184:K186" ca="1" si="129">IF(I184&gt;0,J184*100/I184,0)</f>
        <v>100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921" t="s">
        <v>35</v>
      </c>
      <c r="I185" s="592">
        <v>0</v>
      </c>
      <c r="J185" s="592">
        <v>0</v>
      </c>
      <c r="K185" s="77">
        <f t="shared" si="129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303" t="s">
        <v>35</v>
      </c>
      <c r="I186" s="1126">
        <f t="shared" ref="I186:J186" ca="1" si="130">I231+I232</f>
        <v>0</v>
      </c>
      <c r="J186" s="1126">
        <f t="shared" si="130"/>
        <v>0</v>
      </c>
      <c r="K186" s="1127">
        <f t="shared" ca="1" si="129"/>
        <v>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1257">
        <f t="shared" ref="L187:N187" ca="1" si="131">L188+L189</f>
        <v>49500</v>
      </c>
      <c r="M187" s="264">
        <f t="shared" ca="1" si="131"/>
        <v>28460</v>
      </c>
      <c r="N187" s="264">
        <f t="shared" ca="1" si="131"/>
        <v>2840</v>
      </c>
      <c r="O187" s="264">
        <f t="shared" ref="O187:O195" ca="1" si="132">IF(L187&gt;0,N187*100/L187,0)</f>
        <v>5.737373737373737</v>
      </c>
      <c r="P187" s="264">
        <f t="shared" ref="P187:P195" ca="1" si="133">IF(M187&gt;0,N187*100/M187,0)</f>
        <v>9.9789177793394241</v>
      </c>
      <c r="Q187" s="264">
        <f t="shared" ref="Q187:S187" ca="1" si="134">Q188+Q189</f>
        <v>42000</v>
      </c>
      <c r="R187" s="264">
        <f t="shared" ca="1" si="134"/>
        <v>42000</v>
      </c>
      <c r="S187" s="264">
        <f t="shared" ca="1" si="134"/>
        <v>0</v>
      </c>
      <c r="T187" s="264">
        <f t="shared" ref="T187:T195" ca="1" si="135">IF(Q187&gt;0,S187*100/Q187,0)</f>
        <v>0</v>
      </c>
      <c r="U187" s="264">
        <f t="shared" ref="U187:U195" ca="1" si="136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6">
        <f t="shared" ref="L188:N189" si="137">L191+L194</f>
        <v>0</v>
      </c>
      <c r="M188" s="77">
        <f t="shared" si="137"/>
        <v>0</v>
      </c>
      <c r="N188" s="77">
        <f t="shared" si="137"/>
        <v>0</v>
      </c>
      <c r="O188" s="77">
        <f t="shared" si="132"/>
        <v>0</v>
      </c>
      <c r="P188" s="77">
        <f t="shared" si="133"/>
        <v>0</v>
      </c>
      <c r="Q188" s="77">
        <f t="shared" ref="Q188:S189" si="138">Q191+Q194</f>
        <v>0</v>
      </c>
      <c r="R188" s="77">
        <f t="shared" si="138"/>
        <v>0</v>
      </c>
      <c r="S188" s="77">
        <f t="shared" si="138"/>
        <v>0</v>
      </c>
      <c r="T188" s="77">
        <f t="shared" si="135"/>
        <v>0</v>
      </c>
      <c r="U188" s="77">
        <f t="shared" si="136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3">
        <f t="shared" ca="1" si="137"/>
        <v>49500</v>
      </c>
      <c r="M189" s="74">
        <f t="shared" ca="1" si="137"/>
        <v>28460</v>
      </c>
      <c r="N189" s="74">
        <f t="shared" ca="1" si="137"/>
        <v>2840</v>
      </c>
      <c r="O189" s="74">
        <f t="shared" ca="1" si="132"/>
        <v>5.737373737373737</v>
      </c>
      <c r="P189" s="74">
        <f t="shared" ca="1" si="133"/>
        <v>9.9789177793394241</v>
      </c>
      <c r="Q189" s="74">
        <f t="shared" ca="1" si="138"/>
        <v>42000</v>
      </c>
      <c r="R189" s="74">
        <f t="shared" ca="1" si="138"/>
        <v>42000</v>
      </c>
      <c r="S189" s="74">
        <f t="shared" ca="1" si="138"/>
        <v>0</v>
      </c>
      <c r="T189" s="74">
        <f t="shared" ca="1" si="135"/>
        <v>0</v>
      </c>
      <c r="U189" s="74">
        <f t="shared" ca="1" si="136"/>
        <v>0</v>
      </c>
    </row>
    <row r="190" spans="1:21" ht="18.75" x14ac:dyDescent="0.25">
      <c r="A190" s="257"/>
      <c r="B190" s="258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3">
        <f t="shared" ref="L190:N190" ca="1" si="139">L191+L192</f>
        <v>49500</v>
      </c>
      <c r="M190" s="74">
        <f t="shared" ca="1" si="139"/>
        <v>28460</v>
      </c>
      <c r="N190" s="74">
        <f t="shared" ca="1" si="139"/>
        <v>2840</v>
      </c>
      <c r="O190" s="74">
        <f t="shared" ca="1" si="132"/>
        <v>5.737373737373737</v>
      </c>
      <c r="P190" s="74">
        <f t="shared" ca="1" si="133"/>
        <v>9.9789177793394241</v>
      </c>
      <c r="Q190" s="74">
        <f t="shared" ref="Q190:S190" ca="1" si="140">Q191+Q192</f>
        <v>42000</v>
      </c>
      <c r="R190" s="74">
        <f t="shared" ca="1" si="140"/>
        <v>42000</v>
      </c>
      <c r="S190" s="74">
        <f t="shared" ca="1" si="140"/>
        <v>0</v>
      </c>
      <c r="T190" s="74">
        <f t="shared" ca="1" si="135"/>
        <v>0</v>
      </c>
      <c r="U190" s="74">
        <f t="shared" ca="1" si="136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77">
        <f t="shared" si="132"/>
        <v>0</v>
      </c>
      <c r="P191" s="77">
        <f t="shared" si="133"/>
        <v>0</v>
      </c>
      <c r="Q191" s="77">
        <v>0</v>
      </c>
      <c r="R191" s="77">
        <v>0</v>
      </c>
      <c r="S191" s="77">
        <v>0</v>
      </c>
      <c r="T191" s="77">
        <f t="shared" si="135"/>
        <v>0</v>
      </c>
      <c r="U191" s="77">
        <f t="shared" si="136"/>
        <v>0</v>
      </c>
    </row>
    <row r="192" spans="1:21" ht="18.75" hidden="1" x14ac:dyDescent="0.25">
      <c r="A192" s="257"/>
      <c r="B192" s="258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3">
        <f ca="1">IFERROR(__xludf.DUMMYFUNCTION("IMPORTRANGE(""https://docs.google.com/spreadsheets/d/1-uDff_7J0KD5mKrp0Vvzr7lt3OU09vwQwhkpOPPYv2Y/edit?usp=sharing"",""งบพรบ!CU70"")"),49500)</f>
        <v>49500</v>
      </c>
      <c r="M192" s="74">
        <f ca="1">IFERROR(__xludf.DUMMYFUNCTION("IMPORTRANGE(""https://docs.google.com/spreadsheets/d/1-uDff_7J0KD5mKrp0Vvzr7lt3OU09vwQwhkpOPPYv2Y/edit?usp=sharing"",""งบพรบ!CZ70"")"),28460)</f>
        <v>28460</v>
      </c>
      <c r="N192" s="74">
        <f ca="1">IFERROR(__xludf.DUMMYFUNCTION("IMPORTRANGE(""https://docs.google.com/spreadsheets/d/1-uDff_7J0KD5mKrp0Vvzr7lt3OU09vwQwhkpOPPYv2Y/edit?usp=sharing"",""งบพรบ!DB70"")"),2840)</f>
        <v>2840</v>
      </c>
      <c r="O192" s="74">
        <f t="shared" ca="1" si="132"/>
        <v>5.737373737373737</v>
      </c>
      <c r="P192" s="74">
        <f t="shared" ca="1" si="133"/>
        <v>9.9789177793394241</v>
      </c>
      <c r="Q192" s="74">
        <f ca="1">IFERROR(__xludf.DUMMYFUNCTION("IMPORTRANGE(""https://docs.google.com/spreadsheets/d/1ItG2mGa2ceCfYo0BwxsXqNm01IGEUdYcSSLTEv9YCik/edit?usp=sharing"",""เบิกจ่ายกองทุน!AV70"")"),42000)</f>
        <v>42000</v>
      </c>
      <c r="R192" s="74">
        <f ca="1">IFERROR(__xludf.DUMMYFUNCTION("IMPORTRANGE(""https://docs.google.com/spreadsheets/d/1ItG2mGa2ceCfYo0BwxsXqNm01IGEUdYcSSLTEv9YCik/edit?usp=sharing"",""เบิกจ่ายกองทุน!AW70"")"),42000)</f>
        <v>42000</v>
      </c>
      <c r="S192" s="74">
        <f ca="1">IFERROR(__xludf.DUMMYFUNCTION("IMPORTRANGE(""https://docs.google.com/spreadsheets/d/1ItG2mGa2ceCfYo0BwxsXqNm01IGEUdYcSSLTEv9YCik/edit?usp=sharing"",""เบิกจ่ายกองทุน!AX70"")"),0)</f>
        <v>0</v>
      </c>
      <c r="T192" s="74">
        <f t="shared" ca="1" si="135"/>
        <v>0</v>
      </c>
      <c r="U192" s="74">
        <f t="shared" ca="1" si="136"/>
        <v>0</v>
      </c>
    </row>
    <row r="193" spans="1:21" ht="18.75" x14ac:dyDescent="0.25">
      <c r="A193" s="257"/>
      <c r="B193" s="258"/>
      <c r="C193" s="258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3">
        <f t="shared" ref="L193:N193" ca="1" si="141">L194+L195</f>
        <v>0</v>
      </c>
      <c r="M193" s="74">
        <f t="shared" ca="1" si="141"/>
        <v>0</v>
      </c>
      <c r="N193" s="74">
        <f t="shared" ca="1" si="141"/>
        <v>0</v>
      </c>
      <c r="O193" s="74">
        <f t="shared" ca="1" si="132"/>
        <v>0</v>
      </c>
      <c r="P193" s="74">
        <f t="shared" ca="1" si="133"/>
        <v>0</v>
      </c>
      <c r="Q193" s="74">
        <f t="shared" ref="Q193:S193" si="142">Q194+Q195</f>
        <v>0</v>
      </c>
      <c r="R193" s="74">
        <f t="shared" si="142"/>
        <v>0</v>
      </c>
      <c r="S193" s="74">
        <f t="shared" si="142"/>
        <v>0</v>
      </c>
      <c r="T193" s="74">
        <f t="shared" si="135"/>
        <v>0</v>
      </c>
      <c r="U193" s="74">
        <f t="shared" si="136"/>
        <v>0</v>
      </c>
    </row>
    <row r="194" spans="1:21" ht="18.75" hidden="1" x14ac:dyDescent="0.25">
      <c r="A194" s="257"/>
      <c r="B194" s="258"/>
      <c r="C194" s="258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77">
        <f t="shared" si="132"/>
        <v>0</v>
      </c>
      <c r="P194" s="77">
        <f t="shared" si="133"/>
        <v>0</v>
      </c>
      <c r="Q194" s="77">
        <v>0</v>
      </c>
      <c r="R194" s="77">
        <v>0</v>
      </c>
      <c r="S194" s="77">
        <v>0</v>
      </c>
      <c r="T194" s="77">
        <f t="shared" si="135"/>
        <v>0</v>
      </c>
      <c r="U194" s="77">
        <f t="shared" si="136"/>
        <v>0</v>
      </c>
    </row>
    <row r="195" spans="1:21" ht="18.75" hidden="1" x14ac:dyDescent="0.25">
      <c r="A195" s="257"/>
      <c r="B195" s="258"/>
      <c r="C195" s="258"/>
      <c r="D195" s="258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3">
        <f ca="1">IFERROR(__xludf.DUMMYFUNCTION("IMPORTRANGE(""https://docs.google.com/spreadsheets/d/1-uDff_7J0KD5mKrp0Vvzr7lt3OU09vwQwhkpOPPYv2Y/edit?usp=sharing"",""งบพรบ!CX70"")"),0)</f>
        <v>0</v>
      </c>
      <c r="M195" s="74">
        <f ca="1">IFERROR(__xludf.DUMMYFUNCTION("IMPORTRANGE(""https://docs.google.com/spreadsheets/d/1-uDff_7J0KD5mKrp0Vvzr7lt3OU09vwQwhkpOPPYv2Y/edit?usp=sharing"",""งบพรบ!DA70"")"),0)</f>
        <v>0</v>
      </c>
      <c r="N195" s="74">
        <f ca="1">IFERROR(__xludf.DUMMYFUNCTION("IMPORTRANGE(""https://docs.google.com/spreadsheets/d/1-uDff_7J0KD5mKrp0Vvzr7lt3OU09vwQwhkpOPPYv2Y/edit?usp=sharing"",""งบพรบ!DC70"")"),0)</f>
        <v>0</v>
      </c>
      <c r="O195" s="74">
        <f t="shared" ca="1" si="132"/>
        <v>0</v>
      </c>
      <c r="P195" s="74">
        <f t="shared" ca="1" si="133"/>
        <v>0</v>
      </c>
      <c r="Q195" s="74">
        <v>0</v>
      </c>
      <c r="R195" s="74">
        <v>0</v>
      </c>
      <c r="S195" s="74">
        <v>0</v>
      </c>
      <c r="T195" s="74">
        <f t="shared" si="135"/>
        <v>0</v>
      </c>
      <c r="U195" s="74">
        <f t="shared" si="136"/>
        <v>0</v>
      </c>
    </row>
    <row r="196" spans="1:21" ht="19.5" x14ac:dyDescent="0.3">
      <c r="A196" s="553"/>
      <c r="B196" s="555"/>
      <c r="C196" s="1130" t="s">
        <v>78</v>
      </c>
      <c r="D196" s="554"/>
      <c r="E196" s="554"/>
      <c r="F196" s="554"/>
      <c r="G196" s="557"/>
      <c r="H196" s="558" t="s">
        <v>79</v>
      </c>
      <c r="I196" s="559">
        <f t="shared" ref="I196:J196" ca="1" si="143">I199</f>
        <v>4</v>
      </c>
      <c r="J196" s="559">
        <f t="shared" si="143"/>
        <v>2</v>
      </c>
      <c r="K196" s="560">
        <f ca="1">IF(I196&gt;0,J196*100/I196,0)</f>
        <v>50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58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1257">
        <f ca="1">IFERROR(__xludf.DUMMYFUNCTION("IMPORTRANGE(""https://docs.google.com/spreadsheets/d/1eHaY18a8A9IcSdp1K8H6x8fbOy06t2VsZHhMHf-1x7Y/edit?usp=sharing"",""แผน!AB70"")"),6000)</f>
        <v>6000</v>
      </c>
      <c r="M197" s="87"/>
      <c r="N197" s="923">
        <v>1600</v>
      </c>
      <c r="O197" s="264">
        <f ca="1">IF(L197&gt;0,N197*100/L197,0)</f>
        <v>26.666666666666668</v>
      </c>
      <c r="P197" s="264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282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99" t="s">
        <v>79</v>
      </c>
      <c r="I199" s="293">
        <f ca="1">IFERROR(__xludf.DUMMYFUNCTION("IMPORTRANGE(""https://docs.google.com/spreadsheets/d/1eHaY18a8A9IcSdp1K8H6x8fbOy06t2VsZHhMHf-1x7Y/edit?usp=sharing"",""แผน!AE70"")"),4)</f>
        <v>4</v>
      </c>
      <c r="J199" s="294">
        <v>2</v>
      </c>
      <c r="K199" s="74">
        <f ca="1">IF(I199&gt;0,J199*100/I199,0)</f>
        <v>50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0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0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4">I210</f>
        <v>3</v>
      </c>
      <c r="J203" s="559">
        <f t="shared" si="144"/>
        <v>0</v>
      </c>
      <c r="K203" s="560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58"/>
      <c r="C204" s="259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1257">
        <f ca="1">L205+L206+L207+L208</f>
        <v>39000</v>
      </c>
      <c r="M204" s="87"/>
      <c r="N204" s="264">
        <f>N205+N206+N207+N208</f>
        <v>0</v>
      </c>
      <c r="O204" s="264">
        <f ca="1">IF(L204&gt;0,N204*100/L204,0)</f>
        <v>0</v>
      </c>
      <c r="P204" s="264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58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73">
        <f ca="1">IFERROR(__xludf.DUMMYFUNCTION("IMPORTRANGE(""https://docs.google.com/spreadsheets/d/1eHaY18a8A9IcSdp1K8H6x8fbOy06t2VsZHhMHf-1x7Y/edit?usp=sharing"",""แผน!AG70"")"),3000)</f>
        <v>3000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58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73">
        <f ca="1">IFERROR(__xludf.DUMMYFUNCTION("IMPORTRANGE(""https://docs.google.com/spreadsheets/d/1eHaY18a8A9IcSdp1K8H6x8fbOy06t2VsZHhMHf-1x7Y/edit?usp=sharing"",""แผน!AH70"")"),0)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58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73">
        <f ca="1">IFERROR(__xludf.DUMMYFUNCTION("IMPORTRANGE(""https://docs.google.com/spreadsheets/d/1eHaY18a8A9IcSdp1K8H6x8fbOy06t2VsZHhMHf-1x7Y/edit?usp=sharing"",""แผน!AI70"")"),24000)</f>
        <v>24000</v>
      </c>
      <c r="M207" s="87"/>
      <c r="N207" s="924">
        <v>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58"/>
      <c r="D208" s="267" t="s">
        <v>89</v>
      </c>
      <c r="E208" s="258"/>
      <c r="F208" s="258"/>
      <c r="G208" s="261"/>
      <c r="H208" s="292" t="s">
        <v>14</v>
      </c>
      <c r="I208" s="263"/>
      <c r="J208" s="263"/>
      <c r="K208" s="87"/>
      <c r="L208" s="73">
        <f ca="1">IFERROR(__xludf.DUMMYFUNCTION("IMPORTRANGE(""https://docs.google.com/spreadsheets/d/1eHaY18a8A9IcSdp1K8H6x8fbOy06t2VsZHhMHf-1x7Y/edit?usp=sharing"",""แผน!AJ70"")"),12000)</f>
        <v>12000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282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3" t="s">
        <v>85</v>
      </c>
      <c r="I210" s="293">
        <f ca="1">IFERROR(__xludf.DUMMYFUNCTION("IMPORTRANGE(""https://docs.google.com/spreadsheets/d/1eHaY18a8A9IcSdp1K8H6x8fbOy06t2VsZHhMHf-1x7Y/edit?usp=sharing"",""แผน!AK70"")"),3)</f>
        <v>3</v>
      </c>
      <c r="J210" s="294">
        <v>0</v>
      </c>
      <c r="K210" s="768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282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3" t="s">
        <v>85</v>
      </c>
      <c r="I212" s="293">
        <f ca="1">IFERROR(__xludf.DUMMYFUNCTION("IMPORTRANGE(""https://docs.google.com/spreadsheets/d/1eHaY18a8A9IcSdp1K8H6x8fbOy06t2VsZHhMHf-1x7Y/edit?usp=sharing"",""แผน!JX70"")"),3)</f>
        <v>3</v>
      </c>
      <c r="J212" s="294">
        <v>0</v>
      </c>
      <c r="K212" s="768">
        <f t="shared" ref="K212:K214" ca="1" si="145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IFERROR(__xludf.DUMMYFUNCTION("IMPORTRANGE(""https://docs.google.com/spreadsheets/d/1eHaY18a8A9IcSdp1K8H6x8fbOy06t2VsZHhMHf-1x7Y/edit?usp=sharing"",""แผน!JY70"")"),0)</f>
        <v>0</v>
      </c>
      <c r="J213" s="294">
        <v>0</v>
      </c>
      <c r="K213" s="768">
        <f t="shared" ca="1" si="145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hidden="1" x14ac:dyDescent="0.3">
      <c r="A214" s="553"/>
      <c r="B214" s="555"/>
      <c r="C214" s="1130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6">I221</f>
        <v>0</v>
      </c>
      <c r="J214" s="559">
        <f t="shared" si="146"/>
        <v>0</v>
      </c>
      <c r="K214" s="560">
        <f t="shared" ca="1" si="145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hidden="1" x14ac:dyDescent="0.3">
      <c r="A215" s="257"/>
      <c r="B215" s="258"/>
      <c r="C215" s="259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1257">
        <f ca="1">L216+L217+L218</f>
        <v>0</v>
      </c>
      <c r="M215" s="87"/>
      <c r="N215" s="264">
        <f>N216+N217+N218</f>
        <v>0</v>
      </c>
      <c r="O215" s="264">
        <f ca="1">IF(L215&gt;0,N215*100/L215,0)</f>
        <v>0</v>
      </c>
      <c r="P215" s="264">
        <f>IF(M215&gt;0,N215*100/M215,0)</f>
        <v>0</v>
      </c>
      <c r="Q215" s="87"/>
      <c r="R215" s="87"/>
      <c r="S215" s="87"/>
      <c r="T215" s="87"/>
      <c r="U215" s="87"/>
    </row>
    <row r="216" spans="1:21" ht="18.75" hidden="1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3">
        <f ca="1">IFERROR(__xludf.DUMMYFUNCTION("IMPORTRANGE(""https://docs.google.com/spreadsheets/d/1eHaY18a8A9IcSdp1K8H6x8fbOy06t2VsZHhMHf-1x7Y/edit?usp=sharing"",""แผน!AM70"")"),0)</f>
        <v>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hidden="1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3">
        <f ca="1">IFERROR(__xludf.DUMMYFUNCTION("IMPORTRANGE(""https://docs.google.com/spreadsheets/d/1eHaY18a8A9IcSdp1K8H6x8fbOy06t2VsZHhMHf-1x7Y/edit?usp=sharing"",""แผน!AN70"")"),0)</f>
        <v>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hidden="1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3">
        <f ca="1">IFERROR(__xludf.DUMMYFUNCTION("IMPORTRANGE(""https://docs.google.com/spreadsheets/d/1eHaY18a8A9IcSdp1K8H6x8fbOy06t2VsZHhMHf-1x7Y/edit?usp=sharing"",""แผน!AO70"")"),0)</f>
        <v>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hidden="1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282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hidden="1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3" t="s">
        <v>85</v>
      </c>
      <c r="I220" s="293">
        <f ca="1">IFERROR(__xludf.DUMMYFUNCTION("IMPORTRANGE(""https://docs.google.com/spreadsheets/d/1eHaY18a8A9IcSdp1K8H6x8fbOy06t2VsZHhMHf-1x7Y/edit?usp=sharing"",""แผน!AP70"")"),0)</f>
        <v>0</v>
      </c>
      <c r="J220" s="294">
        <v>0</v>
      </c>
      <c r="K220" s="74">
        <f t="shared" ref="K220:K222" ca="1" si="147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hidden="1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IFERROR(__xludf.DUMMYFUNCTION("IMPORTRANGE(""https://docs.google.com/spreadsheets/d/1eHaY18a8A9IcSdp1K8H6x8fbOy06t2VsZHhMHf-1x7Y/edit?usp=sharing"",""แผน!AP70"")"),0)</f>
        <v>0</v>
      </c>
      <c r="J221" s="294">
        <v>0</v>
      </c>
      <c r="K221" s="74">
        <f t="shared" ca="1" si="147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30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8">I230</f>
        <v>20000</v>
      </c>
      <c r="J222" s="559">
        <f t="shared" si="148"/>
        <v>0</v>
      </c>
      <c r="K222" s="560">
        <f t="shared" ca="1" si="147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58"/>
      <c r="C223" s="259" t="s">
        <v>18</v>
      </c>
      <c r="D223" s="112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1257">
        <f ca="1">L224+L225+L226</f>
        <v>4500</v>
      </c>
      <c r="M223" s="87"/>
      <c r="N223" s="264">
        <f>N224+N225+N226</f>
        <v>0</v>
      </c>
      <c r="O223" s="264">
        <f ca="1">IF(L223&gt;0,N223*100/L223,0)</f>
        <v>0</v>
      </c>
      <c r="P223" s="264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58"/>
      <c r="D224" s="398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3">
        <f ca="1">IFERROR(__xludf.DUMMYFUNCTION("IMPORTRANGE(""https://docs.google.com/spreadsheets/d/1eHaY18a8A9IcSdp1K8H6x8fbOy06t2VsZHhMHf-1x7Y/edit?usp=sharing"",""แผน!AR70"")"),3000)</f>
        <v>3000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3">
        <f ca="1">IFERROR(__xludf.DUMMYFUNCTION("IMPORTRANGE(""https://docs.google.com/spreadsheets/d/1eHaY18a8A9IcSdp1K8H6x8fbOy06t2VsZHhMHf-1x7Y/edit?usp=sharing"",""แผน!AS70"")"),1500)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3">
        <f ca="1">IFERROR(__xludf.DUMMYFUNCTION("IMPORTRANGE(""https://docs.google.com/spreadsheets/d/1eHaY18a8A9IcSdp1K8H6x8fbOy06t2VsZHhMHf-1x7Y/edit?usp=sharing"",""แผน!AT70"")"),0)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282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282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99" t="s">
        <v>99</v>
      </c>
      <c r="I229" s="293">
        <f ca="1">IFERROR(__xludf.DUMMYFUNCTION("IMPORTRANGE(""https://docs.google.com/spreadsheets/d/1eHaY18a8A9IcSdp1K8H6x8fbOy06t2VsZHhMHf-1x7Y/edit?usp=sharing"",""แผน!AV70"")"),20000)</f>
        <v>20000</v>
      </c>
      <c r="J229" s="294">
        <v>0</v>
      </c>
      <c r="K229" s="768">
        <f t="shared" ref="K229:K232" ca="1" si="149">IF(I229&gt;0,J229*100/I229,0)</f>
        <v>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99" t="s">
        <v>99</v>
      </c>
      <c r="I230" s="293">
        <f ca="1">IFERROR(__xludf.DUMMYFUNCTION("IMPORTRANGE(""https://docs.google.com/spreadsheets/d/1eHaY18a8A9IcSdp1K8H6x8fbOy06t2VsZHhMHf-1x7Y/edit?usp=sharing"",""แผน!AV70"")"),20000)</f>
        <v>20000</v>
      </c>
      <c r="J230" s="294">
        <v>0</v>
      </c>
      <c r="K230" s="768">
        <f t="shared" ca="1" si="149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99" t="s">
        <v>35</v>
      </c>
      <c r="I231" s="293">
        <f ca="1">IFERROR(__xludf.DUMMYFUNCTION("IMPORTRANGE(""https://docs.google.com/spreadsheets/d/1eHaY18a8A9IcSdp1K8H6x8fbOy06t2VsZHhMHf-1x7Y/edit?usp=sharing"",""แผน!AU70"")"),0)</f>
        <v>0</v>
      </c>
      <c r="J231" s="294">
        <v>0</v>
      </c>
      <c r="K231" s="768">
        <f t="shared" ca="1" si="149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553"/>
      <c r="B232" s="555"/>
      <c r="C232" s="1130" t="s">
        <v>105</v>
      </c>
      <c r="D232" s="554"/>
      <c r="E232" s="554"/>
      <c r="F232" s="554"/>
      <c r="G232" s="557"/>
      <c r="H232" s="558" t="s">
        <v>35</v>
      </c>
      <c r="I232" s="559">
        <f t="shared" ref="I232:J232" ca="1" si="150">I243+I254</f>
        <v>0</v>
      </c>
      <c r="J232" s="559">
        <f t="shared" si="150"/>
        <v>0</v>
      </c>
      <c r="K232" s="560">
        <f t="shared" ca="1" si="149"/>
        <v>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257"/>
      <c r="B233" s="258"/>
      <c r="C233" s="259" t="s">
        <v>18</v>
      </c>
      <c r="D233" s="260" t="s">
        <v>19</v>
      </c>
      <c r="E233" s="258"/>
      <c r="F233" s="258"/>
      <c r="G233" s="261"/>
      <c r="H233" s="633" t="s">
        <v>14</v>
      </c>
      <c r="I233" s="272"/>
      <c r="J233" s="272"/>
      <c r="K233" s="229"/>
      <c r="L233" s="1281">
        <f t="shared" ref="L233:L237" ca="1" si="151">L244+L255</f>
        <v>0</v>
      </c>
      <c r="M233" s="87"/>
      <c r="N233" s="1258">
        <f t="shared" ref="N233:N237" si="152">N244+N255</f>
        <v>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257"/>
      <c r="B234" s="269"/>
      <c r="C234" s="258"/>
      <c r="D234" s="267" t="s">
        <v>86</v>
      </c>
      <c r="E234" s="258"/>
      <c r="F234" s="258"/>
      <c r="G234" s="261"/>
      <c r="H234" s="271" t="s">
        <v>14</v>
      </c>
      <c r="I234" s="272"/>
      <c r="J234" s="272"/>
      <c r="K234" s="229"/>
      <c r="L234" s="76">
        <f t="shared" ca="1" si="151"/>
        <v>0</v>
      </c>
      <c r="M234" s="87"/>
      <c r="N234" s="77">
        <f t="shared" si="152"/>
        <v>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550"/>
      <c r="B235" s="269"/>
      <c r="C235" s="269"/>
      <c r="D235" s="267" t="s">
        <v>88</v>
      </c>
      <c r="E235" s="258"/>
      <c r="F235" s="258"/>
      <c r="G235" s="261"/>
      <c r="H235" s="271" t="s">
        <v>14</v>
      </c>
      <c r="I235" s="263"/>
      <c r="J235" s="263"/>
      <c r="K235" s="87"/>
      <c r="L235" s="76">
        <f t="shared" ca="1" si="151"/>
        <v>0</v>
      </c>
      <c r="M235" s="87"/>
      <c r="N235" s="77">
        <f t="shared" si="152"/>
        <v>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550"/>
      <c r="B236" s="269"/>
      <c r="C236" s="269"/>
      <c r="D236" s="267" t="s">
        <v>106</v>
      </c>
      <c r="E236" s="258"/>
      <c r="F236" s="258"/>
      <c r="G236" s="261"/>
      <c r="H236" s="271" t="s">
        <v>14</v>
      </c>
      <c r="I236" s="263"/>
      <c r="J236" s="263"/>
      <c r="K236" s="87"/>
      <c r="L236" s="76">
        <f t="shared" ca="1" si="151"/>
        <v>0</v>
      </c>
      <c r="M236" s="87"/>
      <c r="N236" s="77">
        <f t="shared" si="152"/>
        <v>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550"/>
      <c r="B237" s="269"/>
      <c r="C237" s="269"/>
      <c r="D237" s="267" t="s">
        <v>107</v>
      </c>
      <c r="E237" s="258"/>
      <c r="F237" s="258"/>
      <c r="G237" s="261"/>
      <c r="H237" s="271" t="s">
        <v>14</v>
      </c>
      <c r="I237" s="263"/>
      <c r="J237" s="263"/>
      <c r="K237" s="87"/>
      <c r="L237" s="76">
        <f t="shared" ca="1" si="151"/>
        <v>0</v>
      </c>
      <c r="M237" s="87"/>
      <c r="N237" s="77">
        <f t="shared" si="152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276"/>
      <c r="B238" s="277"/>
      <c r="C238" s="621" t="s">
        <v>18</v>
      </c>
      <c r="D238" s="1019" t="s">
        <v>38</v>
      </c>
      <c r="E238" s="280"/>
      <c r="F238" s="280"/>
      <c r="G238" s="281"/>
      <c r="H238" s="282"/>
      <c r="I238" s="272"/>
      <c r="J238" s="263"/>
      <c r="K238" s="87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276"/>
      <c r="B239" s="277"/>
      <c r="C239" s="277"/>
      <c r="D239" s="295" t="s">
        <v>108</v>
      </c>
      <c r="E239" s="296"/>
      <c r="F239" s="296"/>
      <c r="G239" s="282"/>
      <c r="H239" s="299" t="s">
        <v>35</v>
      </c>
      <c r="I239" s="293">
        <f t="shared" ref="I239:J239" ca="1" si="153">I250+I261</f>
        <v>0</v>
      </c>
      <c r="J239" s="293">
        <f t="shared" si="153"/>
        <v>0</v>
      </c>
      <c r="K239" s="74">
        <f ca="1">IF(I239&gt;0,J239*100/I239,0)</f>
        <v>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276"/>
      <c r="B240" s="277"/>
      <c r="C240" s="277"/>
      <c r="D240" s="1103" t="s">
        <v>43</v>
      </c>
      <c r="E240" s="296"/>
      <c r="F240" s="296"/>
      <c r="G240" s="282"/>
      <c r="H240" s="282"/>
      <c r="I240" s="263"/>
      <c r="J240" s="263"/>
      <c r="K240" s="87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276"/>
      <c r="B241" s="277"/>
      <c r="C241" s="277"/>
      <c r="D241" s="277"/>
      <c r="E241" s="767" t="s">
        <v>109</v>
      </c>
      <c r="F241" s="296"/>
      <c r="G241" s="282"/>
      <c r="H241" s="299" t="s">
        <v>35</v>
      </c>
      <c r="I241" s="293">
        <f t="shared" ref="I241:J242" si="154">I252+I263</f>
        <v>0</v>
      </c>
      <c r="J241" s="293">
        <f t="shared" si="154"/>
        <v>0</v>
      </c>
      <c r="K241" s="74">
        <f t="shared" ref="K241:K243" si="155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276"/>
      <c r="B242" s="277"/>
      <c r="C242" s="277"/>
      <c r="D242" s="277"/>
      <c r="E242" s="767" t="s">
        <v>110</v>
      </c>
      <c r="F242" s="296"/>
      <c r="G242" s="282"/>
      <c r="H242" s="299" t="s">
        <v>61</v>
      </c>
      <c r="I242" s="293">
        <f t="shared" si="154"/>
        <v>0</v>
      </c>
      <c r="J242" s="293">
        <f t="shared" si="154"/>
        <v>0</v>
      </c>
      <c r="K242" s="74">
        <f t="shared" si="155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hidden="1" x14ac:dyDescent="0.3">
      <c r="A243" s="553"/>
      <c r="B243" s="555"/>
      <c r="C243" s="927" t="s">
        <v>111</v>
      </c>
      <c r="D243" s="554"/>
      <c r="E243" s="554"/>
      <c r="F243" s="554"/>
      <c r="G243" s="557"/>
      <c r="H243" s="930" t="s">
        <v>35</v>
      </c>
      <c r="I243" s="931">
        <f t="shared" ref="I243:J243" ca="1" si="156">I250</f>
        <v>0</v>
      </c>
      <c r="J243" s="931">
        <f t="shared" si="156"/>
        <v>0</v>
      </c>
      <c r="K243" s="932">
        <f t="shared" ca="1" si="155"/>
        <v>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hidden="1" x14ac:dyDescent="0.3">
      <c r="A244" s="257"/>
      <c r="B244" s="258"/>
      <c r="C244" s="933" t="s">
        <v>18</v>
      </c>
      <c r="D244" s="934" t="s">
        <v>19</v>
      </c>
      <c r="E244" s="258"/>
      <c r="F244" s="258"/>
      <c r="G244" s="261"/>
      <c r="H244" s="703" t="s">
        <v>14</v>
      </c>
      <c r="I244" s="272"/>
      <c r="J244" s="272"/>
      <c r="K244" s="229"/>
      <c r="L244" s="1257">
        <f ca="1">L245+L246+L247+L248</f>
        <v>0</v>
      </c>
      <c r="M244" s="87"/>
      <c r="N244" s="264">
        <f>N245+N246+N247+N248</f>
        <v>0</v>
      </c>
      <c r="O244" s="264">
        <f ca="1">IF(L244&gt;0,N244*100/L244,0)</f>
        <v>0</v>
      </c>
      <c r="P244" s="264">
        <f>IF(M244&gt;0,N244*100/M244,0)</f>
        <v>0</v>
      </c>
      <c r="Q244" s="87"/>
      <c r="R244" s="87"/>
      <c r="S244" s="87"/>
      <c r="T244" s="87"/>
      <c r="U244" s="87"/>
    </row>
    <row r="245" spans="1:21" ht="18.75" hidden="1" x14ac:dyDescent="0.25">
      <c r="A245" s="257"/>
      <c r="B245" s="269"/>
      <c r="C245" s="258"/>
      <c r="D245" s="265" t="s">
        <v>86</v>
      </c>
      <c r="E245" s="258"/>
      <c r="F245" s="258"/>
      <c r="G245" s="261"/>
      <c r="H245" s="273" t="s">
        <v>14</v>
      </c>
      <c r="I245" s="272"/>
      <c r="J245" s="272"/>
      <c r="K245" s="229"/>
      <c r="L245" s="73">
        <f ca="1">IFERROR(__xludf.DUMMYFUNCTION("IMPORTRANGE(""https://docs.google.com/spreadsheets/d/1eHaY18a8A9IcSdp1K8H6x8fbOy06t2VsZHhMHf-1x7Y/edit?usp=sharing"",""แผน!AX70"")"),0)</f>
        <v>0</v>
      </c>
      <c r="M245" s="87"/>
      <c r="N245" s="924">
        <v>0</v>
      </c>
      <c r="O245" s="87"/>
      <c r="P245" s="87"/>
      <c r="Q245" s="87"/>
      <c r="R245" s="87"/>
      <c r="S245" s="87"/>
      <c r="T245" s="87"/>
      <c r="U245" s="87"/>
    </row>
    <row r="246" spans="1:21" ht="18.75" hidden="1" x14ac:dyDescent="0.25">
      <c r="A246" s="550"/>
      <c r="B246" s="269"/>
      <c r="C246" s="269"/>
      <c r="D246" s="265" t="s">
        <v>88</v>
      </c>
      <c r="E246" s="258"/>
      <c r="F246" s="258"/>
      <c r="G246" s="261"/>
      <c r="H246" s="273" t="s">
        <v>14</v>
      </c>
      <c r="I246" s="263"/>
      <c r="J246" s="263"/>
      <c r="K246" s="87"/>
      <c r="L246" s="73">
        <f ca="1">IFERROR(__xludf.DUMMYFUNCTION("IMPORTRANGE(""https://docs.google.com/spreadsheets/d/1eHaY18a8A9IcSdp1K8H6x8fbOy06t2VsZHhMHf-1x7Y/edit?usp=sharing"",""แผน!AY70"")"),0)</f>
        <v>0</v>
      </c>
      <c r="M246" s="87"/>
      <c r="N246" s="924">
        <v>0</v>
      </c>
      <c r="O246" s="87"/>
      <c r="P246" s="87"/>
      <c r="Q246" s="87"/>
      <c r="R246" s="87"/>
      <c r="S246" s="87"/>
      <c r="T246" s="87"/>
      <c r="U246" s="87"/>
    </row>
    <row r="247" spans="1:21" ht="18.75" hidden="1" x14ac:dyDescent="0.25">
      <c r="A247" s="550"/>
      <c r="B247" s="269"/>
      <c r="C247" s="269"/>
      <c r="D247" s="265" t="s">
        <v>106</v>
      </c>
      <c r="E247" s="258"/>
      <c r="F247" s="258"/>
      <c r="G247" s="261"/>
      <c r="H247" s="273" t="s">
        <v>14</v>
      </c>
      <c r="I247" s="263"/>
      <c r="J247" s="263"/>
      <c r="K247" s="87"/>
      <c r="L247" s="73">
        <f ca="1">IFERROR(__xludf.DUMMYFUNCTION("IMPORTRANGE(""https://docs.google.com/spreadsheets/d/1eHaY18a8A9IcSdp1K8H6x8fbOy06t2VsZHhMHf-1x7Y/edit?usp=sharing"",""แผน!AZ70"")"),0)</f>
        <v>0</v>
      </c>
      <c r="M247" s="87"/>
      <c r="N247" s="924">
        <v>0</v>
      </c>
      <c r="O247" s="87"/>
      <c r="P247" s="87"/>
      <c r="Q247" s="87"/>
      <c r="R247" s="87"/>
      <c r="S247" s="87"/>
      <c r="T247" s="87"/>
      <c r="U247" s="87"/>
    </row>
    <row r="248" spans="1:21" ht="18.75" hidden="1" x14ac:dyDescent="0.25">
      <c r="A248" s="550"/>
      <c r="B248" s="269"/>
      <c r="C248" s="269"/>
      <c r="D248" s="265" t="s">
        <v>107</v>
      </c>
      <c r="E248" s="258"/>
      <c r="F248" s="258"/>
      <c r="G248" s="261"/>
      <c r="H248" s="273" t="s">
        <v>14</v>
      </c>
      <c r="I248" s="263"/>
      <c r="J248" s="263"/>
      <c r="K248" s="87"/>
      <c r="L248" s="73">
        <f ca="1">IFERROR(__xludf.DUMMYFUNCTION("IMPORTRANGE(""https://docs.google.com/spreadsheets/d/1eHaY18a8A9IcSdp1K8H6x8fbOy06t2VsZHhMHf-1x7Y/edit?usp=sharing"",""แผน!BA70"")"),0)</f>
        <v>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hidden="1" x14ac:dyDescent="0.3">
      <c r="A249" s="276"/>
      <c r="B249" s="277"/>
      <c r="C249" s="939" t="s">
        <v>18</v>
      </c>
      <c r="D249" s="940" t="s">
        <v>38</v>
      </c>
      <c r="E249" s="280"/>
      <c r="F249" s="280"/>
      <c r="G249" s="281"/>
      <c r="H249" s="282"/>
      <c r="I249" s="272"/>
      <c r="J249" s="263"/>
      <c r="K249" s="87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hidden="1" x14ac:dyDescent="0.25">
      <c r="A250" s="276"/>
      <c r="B250" s="277"/>
      <c r="C250" s="277"/>
      <c r="D250" s="311" t="s">
        <v>108</v>
      </c>
      <c r="E250" s="296"/>
      <c r="F250" s="296"/>
      <c r="G250" s="282"/>
      <c r="H250" s="945" t="s">
        <v>35</v>
      </c>
      <c r="I250" s="592">
        <f ca="1">IFERROR(__xludf.DUMMYFUNCTION("IMPORTRANGE(""https://docs.google.com/spreadsheets/d/1eHaY18a8A9IcSdp1K8H6x8fbOy06t2VsZHhMHf-1x7Y/edit?usp=sharing"",""แผน!BG70"")"),0)</f>
        <v>0</v>
      </c>
      <c r="J250" s="910">
        <v>0</v>
      </c>
      <c r="K250" s="77">
        <f ca="1">IF(I250&gt;0,J250*100/I250,0)</f>
        <v>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hidden="1" x14ac:dyDescent="0.25">
      <c r="A251" s="276"/>
      <c r="B251" s="277"/>
      <c r="C251" s="277"/>
      <c r="D251" s="946" t="s">
        <v>43</v>
      </c>
      <c r="E251" s="296"/>
      <c r="F251" s="296"/>
      <c r="G251" s="282"/>
      <c r="H251" s="282"/>
      <c r="I251" s="263"/>
      <c r="J251" s="263"/>
      <c r="K251" s="87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hidden="1" x14ac:dyDescent="0.25">
      <c r="A252" s="276"/>
      <c r="B252" s="277"/>
      <c r="C252" s="277"/>
      <c r="D252" s="277"/>
      <c r="E252" s="947" t="s">
        <v>109</v>
      </c>
      <c r="F252" s="296"/>
      <c r="G252" s="282"/>
      <c r="H252" s="945" t="s">
        <v>35</v>
      </c>
      <c r="I252" s="592">
        <v>0</v>
      </c>
      <c r="J252" s="910">
        <v>0</v>
      </c>
      <c r="K252" s="77">
        <f t="shared" ref="K252:K254" si="157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hidden="1" x14ac:dyDescent="0.25">
      <c r="A253" s="276"/>
      <c r="B253" s="277"/>
      <c r="C253" s="277"/>
      <c r="D253" s="277"/>
      <c r="E253" s="947" t="s">
        <v>110</v>
      </c>
      <c r="F253" s="296"/>
      <c r="G253" s="282"/>
      <c r="H253" s="945" t="s">
        <v>61</v>
      </c>
      <c r="I253" s="592">
        <v>0</v>
      </c>
      <c r="J253" s="910">
        <v>0</v>
      </c>
      <c r="K253" s="77">
        <f t="shared" si="157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553"/>
      <c r="B254" s="555"/>
      <c r="C254" s="927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8">I261</f>
        <v>0</v>
      </c>
      <c r="J254" s="931">
        <f t="shared" si="158"/>
        <v>0</v>
      </c>
      <c r="K254" s="932">
        <f t="shared" ca="1" si="157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257"/>
      <c r="B255" s="258"/>
      <c r="C255" s="933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1257">
        <f ca="1">L256+L257+L258+L259</f>
        <v>0</v>
      </c>
      <c r="M255" s="87"/>
      <c r="N255" s="264">
        <f>N256+N257+N258+N259</f>
        <v>0</v>
      </c>
      <c r="O255" s="264">
        <f ca="1">IF(L255&gt;0,N255*100/L255,0)</f>
        <v>0</v>
      </c>
      <c r="P255" s="264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257"/>
      <c r="B256" s="269"/>
      <c r="C256" s="258"/>
      <c r="D256" s="265" t="s">
        <v>86</v>
      </c>
      <c r="E256" s="258"/>
      <c r="F256" s="258"/>
      <c r="G256" s="261"/>
      <c r="H256" s="273" t="s">
        <v>14</v>
      </c>
      <c r="I256" s="272"/>
      <c r="J256" s="272"/>
      <c r="K256" s="229"/>
      <c r="L256" s="73">
        <f ca="1">IFERROR(__xludf.DUMMYFUNCTION("IMPORTRANGE(""https://docs.google.com/spreadsheets/d/1eHaY18a8A9IcSdp1K8H6x8fbOy06t2VsZHhMHf-1x7Y/edit?usp=sharing"",""แผน!BB70"")"),0)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265" t="s">
        <v>88</v>
      </c>
      <c r="E257" s="258"/>
      <c r="F257" s="258"/>
      <c r="G257" s="261"/>
      <c r="H257" s="273" t="s">
        <v>14</v>
      </c>
      <c r="I257" s="263"/>
      <c r="J257" s="263"/>
      <c r="K257" s="87"/>
      <c r="L257" s="73">
        <f ca="1">IFERROR(__xludf.DUMMYFUNCTION("IMPORTRANGE(""https://docs.google.com/spreadsheets/d/1eHaY18a8A9IcSdp1K8H6x8fbOy06t2VsZHhMHf-1x7Y/edit?usp=sharing"",""แผน!BC70"")"),0)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265" t="s">
        <v>106</v>
      </c>
      <c r="E258" s="258"/>
      <c r="F258" s="258"/>
      <c r="G258" s="261"/>
      <c r="H258" s="273" t="s">
        <v>14</v>
      </c>
      <c r="I258" s="263"/>
      <c r="J258" s="263"/>
      <c r="K258" s="87"/>
      <c r="L258" s="73">
        <f ca="1">IFERROR(__xludf.DUMMYFUNCTION("IMPORTRANGE(""https://docs.google.com/spreadsheets/d/1eHaY18a8A9IcSdp1K8H6x8fbOy06t2VsZHhMHf-1x7Y/edit?usp=sharing"",""แผน!BD70"")"),0)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5" t="s">
        <v>107</v>
      </c>
      <c r="E259" s="258"/>
      <c r="F259" s="258"/>
      <c r="G259" s="261"/>
      <c r="H259" s="273" t="s">
        <v>14</v>
      </c>
      <c r="I259" s="263"/>
      <c r="J259" s="263"/>
      <c r="K259" s="87"/>
      <c r="L259" s="73">
        <f ca="1">IFERROR(__xludf.DUMMYFUNCTION("IMPORTRANGE(""https://docs.google.com/spreadsheets/d/1eHaY18a8A9IcSdp1K8H6x8fbOy06t2VsZHhMHf-1x7Y/edit?usp=sharing"",""แผน!BE70"")"),0)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945" t="s">
        <v>35</v>
      </c>
      <c r="I261" s="592">
        <f ca="1">IFERROR(__xludf.DUMMYFUNCTION("IMPORTRANGE(""https://docs.google.com/spreadsheets/d/1eHaY18a8A9IcSdp1K8H6x8fbOy06t2VsZHhMHf-1x7Y/edit?usp=sharing"",""แผน!BH70"")"),0)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282"/>
      <c r="I262" s="263"/>
      <c r="J262" s="263"/>
      <c r="K262" s="87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945" t="s">
        <v>35</v>
      </c>
      <c r="I263" s="263"/>
      <c r="J263" s="910">
        <v>0</v>
      </c>
      <c r="K263" s="77">
        <f t="shared" ref="K263:K264" si="159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945" t="s">
        <v>61</v>
      </c>
      <c r="I264" s="263"/>
      <c r="J264" s="910">
        <v>0</v>
      </c>
      <c r="K264" s="77">
        <f t="shared" si="159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363"/>
      <c r="I265" s="364"/>
      <c r="J265" s="364"/>
      <c r="K265" s="365"/>
      <c r="L265" s="1230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371" t="s">
        <v>35</v>
      </c>
      <c r="I266" s="1140">
        <f t="shared" ref="I266:J266" ca="1" si="160">I277</f>
        <v>22</v>
      </c>
      <c r="J266" s="1140">
        <f t="shared" si="160"/>
        <v>0</v>
      </c>
      <c r="K266" s="373">
        <f ca="1">IF(I266&gt;0,J266*100/I266,0)</f>
        <v>0</v>
      </c>
      <c r="L266" s="1231"/>
      <c r="M266" s="374"/>
      <c r="N266" s="374"/>
      <c r="O266" s="374"/>
      <c r="P266" s="374"/>
      <c r="Q266" s="374"/>
      <c r="R266" s="374"/>
      <c r="S266" s="374"/>
      <c r="T266" s="374"/>
      <c r="U266" s="374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1262">
        <f t="shared" ref="L267:N267" ca="1" si="161">L268+L269</f>
        <v>0</v>
      </c>
      <c r="M267" s="213">
        <f t="shared" ca="1" si="161"/>
        <v>5000</v>
      </c>
      <c r="N267" s="213">
        <f t="shared" ca="1" si="161"/>
        <v>0</v>
      </c>
      <c r="O267" s="213">
        <f t="shared" ref="O267:O275" ca="1" si="162">IF(L267&gt;0,N267*100/L267,0)</f>
        <v>0</v>
      </c>
      <c r="P267" s="213">
        <f t="shared" ref="P267:P275" ca="1" si="163">IF(M267&gt;0,N267*100/M267,0)</f>
        <v>0</v>
      </c>
      <c r="Q267" s="213">
        <f t="shared" ref="Q267:S267" ca="1" si="164">Q268+Q269</f>
        <v>50660</v>
      </c>
      <c r="R267" s="213">
        <f t="shared" ca="1" si="164"/>
        <v>50660</v>
      </c>
      <c r="S267" s="213">
        <f t="shared" ca="1" si="164"/>
        <v>0</v>
      </c>
      <c r="T267" s="213">
        <f t="shared" ref="T267:T275" ca="1" si="165">IF(Q267&gt;0,S267*100/Q267,0)</f>
        <v>0</v>
      </c>
      <c r="U267" s="213">
        <f t="shared" ref="U267:U275" ca="1" si="166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76">
        <f t="shared" ref="L268:N269" si="167">L271+L274</f>
        <v>0</v>
      </c>
      <c r="M268" s="77">
        <f t="shared" si="167"/>
        <v>0</v>
      </c>
      <c r="N268" s="77">
        <f t="shared" si="167"/>
        <v>0</v>
      </c>
      <c r="O268" s="77">
        <f t="shared" si="162"/>
        <v>0</v>
      </c>
      <c r="P268" s="77">
        <f t="shared" si="163"/>
        <v>0</v>
      </c>
      <c r="Q268" s="77">
        <f t="shared" ref="Q268:S269" si="168">Q271+Q274</f>
        <v>0</v>
      </c>
      <c r="R268" s="77">
        <f t="shared" si="168"/>
        <v>0</v>
      </c>
      <c r="S268" s="77">
        <f t="shared" si="168"/>
        <v>0</v>
      </c>
      <c r="T268" s="77">
        <f t="shared" si="165"/>
        <v>0</v>
      </c>
      <c r="U268" s="77">
        <f t="shared" si="166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261">
        <f t="shared" ca="1" si="167"/>
        <v>0</v>
      </c>
      <c r="M269" s="399">
        <f t="shared" ca="1" si="167"/>
        <v>5000</v>
      </c>
      <c r="N269" s="399">
        <f t="shared" ca="1" si="167"/>
        <v>0</v>
      </c>
      <c r="O269" s="399">
        <f t="shared" ca="1" si="162"/>
        <v>0</v>
      </c>
      <c r="P269" s="399">
        <f t="shared" ca="1" si="163"/>
        <v>0</v>
      </c>
      <c r="Q269" s="399">
        <f t="shared" ca="1" si="168"/>
        <v>50660</v>
      </c>
      <c r="R269" s="399">
        <f t="shared" ca="1" si="168"/>
        <v>50660</v>
      </c>
      <c r="S269" s="399">
        <f t="shared" ca="1" si="168"/>
        <v>0</v>
      </c>
      <c r="T269" s="399">
        <f t="shared" ca="1" si="165"/>
        <v>0</v>
      </c>
      <c r="U269" s="399">
        <f t="shared" ca="1" si="166"/>
        <v>0</v>
      </c>
    </row>
    <row r="270" spans="1:21" ht="18.75" x14ac:dyDescent="0.25">
      <c r="A270" s="209"/>
      <c r="B270" s="67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261">
        <f t="shared" ref="L270:N270" ca="1" si="169">L271+L272</f>
        <v>0</v>
      </c>
      <c r="M270" s="399">
        <f t="shared" ca="1" si="169"/>
        <v>5000</v>
      </c>
      <c r="N270" s="399">
        <f t="shared" ca="1" si="169"/>
        <v>0</v>
      </c>
      <c r="O270" s="399">
        <f t="shared" ca="1" si="162"/>
        <v>0</v>
      </c>
      <c r="P270" s="399">
        <f t="shared" ca="1" si="163"/>
        <v>0</v>
      </c>
      <c r="Q270" s="399">
        <f t="shared" ref="Q270:S270" ca="1" si="170">Q271+Q272</f>
        <v>50660</v>
      </c>
      <c r="R270" s="399">
        <f t="shared" ca="1" si="170"/>
        <v>50660</v>
      </c>
      <c r="S270" s="399">
        <f t="shared" ca="1" si="170"/>
        <v>0</v>
      </c>
      <c r="T270" s="399">
        <f t="shared" ca="1" si="165"/>
        <v>0</v>
      </c>
      <c r="U270" s="399">
        <f t="shared" ca="1" si="166"/>
        <v>0</v>
      </c>
    </row>
    <row r="271" spans="1:21" ht="18.75" hidden="1" x14ac:dyDescent="0.25">
      <c r="A271" s="880"/>
      <c r="B271" s="838"/>
      <c r="C271" s="838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77">
        <f t="shared" si="162"/>
        <v>0</v>
      </c>
      <c r="P271" s="77">
        <f t="shared" si="163"/>
        <v>0</v>
      </c>
      <c r="Q271" s="77">
        <v>0</v>
      </c>
      <c r="R271" s="77">
        <v>0</v>
      </c>
      <c r="S271" s="77">
        <v>0</v>
      </c>
      <c r="T271" s="77">
        <f t="shared" si="165"/>
        <v>0</v>
      </c>
      <c r="U271" s="77">
        <f t="shared" si="166"/>
        <v>0</v>
      </c>
    </row>
    <row r="272" spans="1:21" ht="18.75" hidden="1" x14ac:dyDescent="0.25">
      <c r="A272" s="209"/>
      <c r="B272" s="67"/>
      <c r="C272" s="67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261">
        <f ca="1">IFERROR(__xludf.DUMMYFUNCTION("IMPORTRANGE(""https://docs.google.com/spreadsheets/d/1-uDff_7J0KD5mKrp0Vvzr7lt3OU09vwQwhkpOPPYv2Y/edit?usp=sharing"",""งบพรบ!DE70"")"),0)</f>
        <v>0</v>
      </c>
      <c r="M272" s="399">
        <f ca="1">IFERROR(__xludf.DUMMYFUNCTION("IMPORTRANGE(""https://docs.google.com/spreadsheets/d/1-uDff_7J0KD5mKrp0Vvzr7lt3OU09vwQwhkpOPPYv2Y/edit?usp=sharing"",""งบพรบ!DJ70"")"),5000)</f>
        <v>5000</v>
      </c>
      <c r="N272" s="399">
        <f ca="1">IFERROR(__xludf.DUMMYFUNCTION("IMPORTRANGE(""https://docs.google.com/spreadsheets/d/1-uDff_7J0KD5mKrp0Vvzr7lt3OU09vwQwhkpOPPYv2Y/edit?usp=sharing"",""งบพรบ!DL70"")"),0)</f>
        <v>0</v>
      </c>
      <c r="O272" s="399">
        <f t="shared" ca="1" si="162"/>
        <v>0</v>
      </c>
      <c r="P272" s="399">
        <f t="shared" ca="1" si="163"/>
        <v>0</v>
      </c>
      <c r="Q272" s="399">
        <f ca="1">IFERROR(__xludf.DUMMYFUNCTION("IMPORTRANGE(""https://docs.google.com/spreadsheets/d/1ItG2mGa2ceCfYo0BwxsXqNm01IGEUdYcSSLTEv9YCik/edit?usp=sharing"",""เบิกจ่ายกองทุน!AJ70"")"),50660)</f>
        <v>50660</v>
      </c>
      <c r="R272" s="399">
        <f ca="1">IFERROR(__xludf.DUMMYFUNCTION("IMPORTRANGE(""https://docs.google.com/spreadsheets/d/1ItG2mGa2ceCfYo0BwxsXqNm01IGEUdYcSSLTEv9YCik/edit?usp=sharing"",""เบิกจ่ายกองทุน!AK70"")"),50660)</f>
        <v>50660</v>
      </c>
      <c r="S272" s="399">
        <f ca="1">IFERROR(__xludf.DUMMYFUNCTION("IMPORTRANGE(""https://docs.google.com/spreadsheets/d/1ItG2mGa2ceCfYo0BwxsXqNm01IGEUdYcSSLTEv9YCik/edit?usp=sharing"",""เบิกจ่ายกองทุน!AL70"")"),0)</f>
        <v>0</v>
      </c>
      <c r="T272" s="399">
        <f t="shared" ca="1" si="165"/>
        <v>0</v>
      </c>
      <c r="U272" s="399">
        <f t="shared" ca="1" si="166"/>
        <v>0</v>
      </c>
    </row>
    <row r="273" spans="1:21" ht="18.75" x14ac:dyDescent="0.25">
      <c r="A273" s="209"/>
      <c r="B273" s="67"/>
      <c r="C273" s="67"/>
      <c r="D273" s="836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261">
        <f t="shared" ref="L273:N273" ca="1" si="171">L274+L275</f>
        <v>0</v>
      </c>
      <c r="M273" s="399">
        <f t="shared" ca="1" si="171"/>
        <v>0</v>
      </c>
      <c r="N273" s="399">
        <f t="shared" ca="1" si="171"/>
        <v>0</v>
      </c>
      <c r="O273" s="399">
        <f t="shared" ca="1" si="162"/>
        <v>0</v>
      </c>
      <c r="P273" s="399">
        <f t="shared" ca="1" si="163"/>
        <v>0</v>
      </c>
      <c r="Q273" s="399">
        <f t="shared" ref="Q273:S273" si="172">Q274+Q275</f>
        <v>0</v>
      </c>
      <c r="R273" s="399">
        <f t="shared" si="172"/>
        <v>0</v>
      </c>
      <c r="S273" s="399">
        <f t="shared" si="172"/>
        <v>0</v>
      </c>
      <c r="T273" s="399">
        <f t="shared" si="165"/>
        <v>0</v>
      </c>
      <c r="U273" s="399">
        <f t="shared" si="166"/>
        <v>0</v>
      </c>
    </row>
    <row r="274" spans="1:21" ht="18.75" hidden="1" x14ac:dyDescent="0.25">
      <c r="A274" s="880"/>
      <c r="B274" s="838"/>
      <c r="C274" s="838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77">
        <f t="shared" si="162"/>
        <v>0</v>
      </c>
      <c r="P274" s="77">
        <f t="shared" si="163"/>
        <v>0</v>
      </c>
      <c r="Q274" s="77">
        <v>0</v>
      </c>
      <c r="R274" s="77">
        <v>0</v>
      </c>
      <c r="S274" s="77">
        <v>0</v>
      </c>
      <c r="T274" s="77">
        <f t="shared" si="165"/>
        <v>0</v>
      </c>
      <c r="U274" s="77">
        <f t="shared" si="166"/>
        <v>0</v>
      </c>
    </row>
    <row r="275" spans="1:21" ht="18.75" hidden="1" x14ac:dyDescent="0.25">
      <c r="A275" s="209"/>
      <c r="B275" s="67"/>
      <c r="C275" s="67"/>
      <c r="D275" s="67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261">
        <f ca="1">IFERROR(__xludf.DUMMYFUNCTION("IMPORTRANGE(""https://docs.google.com/spreadsheets/d/1-uDff_7J0KD5mKrp0Vvzr7lt3OU09vwQwhkpOPPYv2Y/edit?usp=sharing"",""งบพรบ!DH70"")"),0)</f>
        <v>0</v>
      </c>
      <c r="M275" s="399">
        <f ca="1">IFERROR(__xludf.DUMMYFUNCTION("IMPORTRANGE(""https://docs.google.com/spreadsheets/d/1-uDff_7J0KD5mKrp0Vvzr7lt3OU09vwQwhkpOPPYv2Y/edit?usp=sharing"",""งบพรบ!DK70"")"),0)</f>
        <v>0</v>
      </c>
      <c r="N275" s="399">
        <f ca="1">IFERROR(__xludf.DUMMYFUNCTION("IMPORTRANGE(""https://docs.google.com/spreadsheets/d/1-uDff_7J0KD5mKrp0Vvzr7lt3OU09vwQwhkpOPPYv2Y/edit?usp=sharing"",""งบพรบ!DM70"")"),0)</f>
        <v>0</v>
      </c>
      <c r="O275" s="399">
        <f t="shared" ca="1" si="162"/>
        <v>0</v>
      </c>
      <c r="P275" s="399">
        <f t="shared" ca="1" si="163"/>
        <v>0</v>
      </c>
      <c r="Q275" s="399">
        <v>0</v>
      </c>
      <c r="R275" s="399">
        <v>0</v>
      </c>
      <c r="S275" s="399">
        <v>0</v>
      </c>
      <c r="T275" s="399">
        <f t="shared" si="165"/>
        <v>0</v>
      </c>
      <c r="U275" s="399">
        <f t="shared" si="166"/>
        <v>0</v>
      </c>
    </row>
    <row r="276" spans="1:21" ht="19.5" x14ac:dyDescent="0.3">
      <c r="A276" s="222"/>
      <c r="B276" s="223"/>
      <c r="C276" s="440" t="s">
        <v>18</v>
      </c>
      <c r="D276" s="883" t="s">
        <v>38</v>
      </c>
      <c r="E276" s="225"/>
      <c r="F276" s="225"/>
      <c r="G276" s="226"/>
      <c r="H276" s="227"/>
      <c r="I276" s="219"/>
      <c r="J276" s="219"/>
      <c r="K276" s="220"/>
      <c r="L276" s="1235"/>
      <c r="M276" s="220"/>
      <c r="N276" s="220"/>
      <c r="O276" s="220"/>
      <c r="P276" s="220"/>
      <c r="Q276" s="220"/>
      <c r="R276" s="220"/>
      <c r="S276" s="220"/>
      <c r="T276" s="220"/>
      <c r="U276" s="220"/>
    </row>
    <row r="277" spans="1:21" ht="18.75" x14ac:dyDescent="0.25">
      <c r="A277" s="1340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IFERROR(__xludf.DUMMYFUNCTION("IMPORTRANGE(""https://docs.google.com/spreadsheets/d/1eHaY18a8A9IcSdp1K8H6x8fbOy06t2VsZHhMHf-1x7Y/edit?usp=sharing"",""แผน!EC70"")"),22)</f>
        <v>22</v>
      </c>
      <c r="J277" s="908">
        <v>0</v>
      </c>
      <c r="K277" s="85">
        <f ca="1">IF(I277&gt;0,J277*100/I277,0)</f>
        <v>0</v>
      </c>
      <c r="L277" s="540"/>
      <c r="M277" s="72"/>
      <c r="N277" s="72"/>
      <c r="O277" s="72"/>
      <c r="P277" s="72"/>
      <c r="Q277" s="72"/>
      <c r="R277" s="72"/>
      <c r="S277" s="72"/>
      <c r="T277" s="72"/>
      <c r="U277" s="72"/>
    </row>
    <row r="278" spans="1:21" ht="18.75" hidden="1" x14ac:dyDescent="0.25">
      <c r="A278" s="1236"/>
      <c r="B278" s="996"/>
      <c r="C278" s="996"/>
      <c r="D278" s="1145" t="s">
        <v>116</v>
      </c>
      <c r="E278" s="1237"/>
      <c r="F278" s="1237"/>
      <c r="G278" s="1238"/>
      <c r="H278" s="1305" t="s">
        <v>35</v>
      </c>
      <c r="I278" s="779">
        <v>0</v>
      </c>
      <c r="J278" s="779">
        <v>0</v>
      </c>
      <c r="K278" s="1147">
        <v>0</v>
      </c>
      <c r="L278" s="1239"/>
      <c r="M278" s="1240"/>
      <c r="N278" s="1240"/>
      <c r="O278" s="1240"/>
      <c r="P278" s="1240"/>
      <c r="Q278" s="1240"/>
      <c r="R278" s="1240"/>
      <c r="S278" s="1240"/>
      <c r="T278" s="1240"/>
      <c r="U278" s="124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50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3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306" t="s">
        <v>35</v>
      </c>
      <c r="I281" s="1163">
        <f t="shared" ref="I281:J281" ca="1" si="173">I294</f>
        <v>0</v>
      </c>
      <c r="J281" s="1163">
        <f t="shared" si="173"/>
        <v>0</v>
      </c>
      <c r="K281" s="1164">
        <f t="shared" ref="K281:K282" ca="1" si="174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306" t="s">
        <v>46</v>
      </c>
      <c r="I282" s="1163">
        <f t="shared" ref="I282:J282" ca="1" si="175">I293</f>
        <v>0</v>
      </c>
      <c r="J282" s="1163">
        <f t="shared" si="175"/>
        <v>0</v>
      </c>
      <c r="K282" s="1164">
        <f t="shared" ca="1" si="174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1257">
        <f t="shared" ref="L283:N283" ca="1" si="176">L284+L285</f>
        <v>0</v>
      </c>
      <c r="M283" s="264">
        <f t="shared" ca="1" si="176"/>
        <v>0</v>
      </c>
      <c r="N283" s="264">
        <f t="shared" ca="1" si="176"/>
        <v>0</v>
      </c>
      <c r="O283" s="264">
        <f t="shared" ref="O283:O291" ca="1" si="177">IF(L283&gt;0,N283*100/L283,0)</f>
        <v>0</v>
      </c>
      <c r="P283" s="264">
        <f t="shared" ref="P283:P291" ca="1" si="178">IF(M283&gt;0,N283*100/M283,0)</f>
        <v>0</v>
      </c>
      <c r="Q283" s="264">
        <f t="shared" ref="Q283:S283" si="179">Q284+Q285</f>
        <v>0</v>
      </c>
      <c r="R283" s="264">
        <f t="shared" si="179"/>
        <v>0</v>
      </c>
      <c r="S283" s="264">
        <f t="shared" si="179"/>
        <v>0</v>
      </c>
      <c r="T283" s="264">
        <f t="shared" ref="T283:T291" si="180">IF(Q283&gt;0,S283*100/Q283,0)</f>
        <v>0</v>
      </c>
      <c r="U283" s="264">
        <f t="shared" ref="U283:U291" si="181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6">
        <f t="shared" ref="L284:N285" si="182">L287+L290</f>
        <v>0</v>
      </c>
      <c r="M284" s="77">
        <f t="shared" si="182"/>
        <v>0</v>
      </c>
      <c r="N284" s="77">
        <f t="shared" si="182"/>
        <v>0</v>
      </c>
      <c r="O284" s="77">
        <f t="shared" si="177"/>
        <v>0</v>
      </c>
      <c r="P284" s="77">
        <f t="shared" si="178"/>
        <v>0</v>
      </c>
      <c r="Q284" s="77">
        <f t="shared" ref="Q284:S285" si="183">Q287+Q290</f>
        <v>0</v>
      </c>
      <c r="R284" s="77">
        <f t="shared" si="183"/>
        <v>0</v>
      </c>
      <c r="S284" s="77">
        <f t="shared" si="183"/>
        <v>0</v>
      </c>
      <c r="T284" s="77">
        <f t="shared" si="180"/>
        <v>0</v>
      </c>
      <c r="U284" s="77">
        <f t="shared" si="181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3">
        <f t="shared" ca="1" si="182"/>
        <v>0</v>
      </c>
      <c r="M285" s="74">
        <f t="shared" ca="1" si="182"/>
        <v>0</v>
      </c>
      <c r="N285" s="74">
        <f t="shared" ca="1" si="182"/>
        <v>0</v>
      </c>
      <c r="O285" s="74">
        <f t="shared" ca="1" si="177"/>
        <v>0</v>
      </c>
      <c r="P285" s="74">
        <f t="shared" ca="1" si="178"/>
        <v>0</v>
      </c>
      <c r="Q285" s="74">
        <f t="shared" si="183"/>
        <v>0</v>
      </c>
      <c r="R285" s="74">
        <f t="shared" si="183"/>
        <v>0</v>
      </c>
      <c r="S285" s="74">
        <f t="shared" si="183"/>
        <v>0</v>
      </c>
      <c r="T285" s="74">
        <f t="shared" si="180"/>
        <v>0</v>
      </c>
      <c r="U285" s="74">
        <f t="shared" si="181"/>
        <v>0</v>
      </c>
    </row>
    <row r="286" spans="1:21" ht="18.75" hidden="1" x14ac:dyDescent="0.25">
      <c r="A286" s="257"/>
      <c r="B286" s="258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3">
        <f t="shared" ref="L286:N286" ca="1" si="184">L287+L288</f>
        <v>0</v>
      </c>
      <c r="M286" s="74">
        <f t="shared" ca="1" si="184"/>
        <v>0</v>
      </c>
      <c r="N286" s="74">
        <f t="shared" ca="1" si="184"/>
        <v>0</v>
      </c>
      <c r="O286" s="74">
        <f t="shared" ca="1" si="177"/>
        <v>0</v>
      </c>
      <c r="P286" s="74">
        <f t="shared" ca="1" si="178"/>
        <v>0</v>
      </c>
      <c r="Q286" s="74">
        <f t="shared" ref="Q286:S286" si="185">Q287+Q288</f>
        <v>0</v>
      </c>
      <c r="R286" s="74">
        <f t="shared" si="185"/>
        <v>0</v>
      </c>
      <c r="S286" s="74">
        <f t="shared" si="185"/>
        <v>0</v>
      </c>
      <c r="T286" s="74">
        <f t="shared" si="180"/>
        <v>0</v>
      </c>
      <c r="U286" s="74">
        <f t="shared" si="181"/>
        <v>0</v>
      </c>
    </row>
    <row r="287" spans="1:21" ht="18.75" hidden="1" x14ac:dyDescent="0.25">
      <c r="A287" s="257"/>
      <c r="B287" s="258"/>
      <c r="C287" s="258"/>
      <c r="D287" s="258"/>
      <c r="E287" s="26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77">
        <f t="shared" si="177"/>
        <v>0</v>
      </c>
      <c r="P287" s="77">
        <f t="shared" si="178"/>
        <v>0</v>
      </c>
      <c r="Q287" s="77">
        <v>0</v>
      </c>
      <c r="R287" s="77">
        <v>0</v>
      </c>
      <c r="S287" s="77">
        <v>0</v>
      </c>
      <c r="T287" s="77">
        <f t="shared" si="180"/>
        <v>0</v>
      </c>
      <c r="U287" s="77">
        <f t="shared" si="181"/>
        <v>0</v>
      </c>
    </row>
    <row r="288" spans="1:21" ht="18.75" hidden="1" x14ac:dyDescent="0.25">
      <c r="A288" s="257"/>
      <c r="B288" s="258"/>
      <c r="C288" s="258"/>
      <c r="D288" s="258"/>
      <c r="E288" s="267" t="s">
        <v>37</v>
      </c>
      <c r="F288" s="258"/>
      <c r="G288" s="261"/>
      <c r="H288" s="271" t="s">
        <v>14</v>
      </c>
      <c r="I288" s="272"/>
      <c r="J288" s="272"/>
      <c r="K288" s="229"/>
      <c r="L288" s="73">
        <f ca="1">IFERROR(__xludf.DUMMYFUNCTION("IMPORTRANGE(""https://docs.google.com/spreadsheets/d/1-uDff_7J0KD5mKrp0Vvzr7lt3OU09vwQwhkpOPPYv2Y/edit?usp=sharing"",""งบพรบ!DO70"")"),0)</f>
        <v>0</v>
      </c>
      <c r="M288" s="74">
        <f ca="1">IFERROR(__xludf.DUMMYFUNCTION("IMPORTRANGE(""https://docs.google.com/spreadsheets/d/1-uDff_7J0KD5mKrp0Vvzr7lt3OU09vwQwhkpOPPYv2Y/edit?usp=sharing"",""งบพรบ!DT70"")"),0)</f>
        <v>0</v>
      </c>
      <c r="N288" s="74">
        <f ca="1">IFERROR(__xludf.DUMMYFUNCTION("IMPORTRANGE(""https://docs.google.com/spreadsheets/d/1-uDff_7J0KD5mKrp0Vvzr7lt3OU09vwQwhkpOPPYv2Y/edit?usp=sharing"",""งบพรบ!DV70"")"),0)</f>
        <v>0</v>
      </c>
      <c r="O288" s="74">
        <f t="shared" ca="1" si="177"/>
        <v>0</v>
      </c>
      <c r="P288" s="74">
        <f t="shared" ca="1" si="178"/>
        <v>0</v>
      </c>
      <c r="Q288" s="74">
        <v>0</v>
      </c>
      <c r="R288" s="74">
        <v>0</v>
      </c>
      <c r="S288" s="74">
        <v>0</v>
      </c>
      <c r="T288" s="77">
        <f t="shared" si="180"/>
        <v>0</v>
      </c>
      <c r="U288" s="77">
        <f t="shared" si="181"/>
        <v>0</v>
      </c>
    </row>
    <row r="289" spans="1:21" ht="18.75" hidden="1" x14ac:dyDescent="0.25">
      <c r="A289" s="257"/>
      <c r="B289" s="258"/>
      <c r="C289" s="258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3">
        <f t="shared" ref="L289:N289" ca="1" si="186">L290+L291</f>
        <v>0</v>
      </c>
      <c r="M289" s="74">
        <f t="shared" ca="1" si="186"/>
        <v>0</v>
      </c>
      <c r="N289" s="74">
        <f t="shared" ca="1" si="186"/>
        <v>0</v>
      </c>
      <c r="O289" s="74">
        <f t="shared" ca="1" si="177"/>
        <v>0</v>
      </c>
      <c r="P289" s="74">
        <f t="shared" ca="1" si="178"/>
        <v>0</v>
      </c>
      <c r="Q289" s="74">
        <f t="shared" ref="Q289:S289" si="187">Q290+Q291</f>
        <v>0</v>
      </c>
      <c r="R289" s="74">
        <f t="shared" si="187"/>
        <v>0</v>
      </c>
      <c r="S289" s="74">
        <f t="shared" si="187"/>
        <v>0</v>
      </c>
      <c r="T289" s="74">
        <f t="shared" si="180"/>
        <v>0</v>
      </c>
      <c r="U289" s="74">
        <f t="shared" si="181"/>
        <v>0</v>
      </c>
    </row>
    <row r="290" spans="1:21" ht="18.75" hidden="1" x14ac:dyDescent="0.25">
      <c r="A290" s="257"/>
      <c r="B290" s="258"/>
      <c r="C290" s="258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77">
        <f t="shared" si="177"/>
        <v>0</v>
      </c>
      <c r="P290" s="77">
        <f t="shared" si="178"/>
        <v>0</v>
      </c>
      <c r="Q290" s="77">
        <v>0</v>
      </c>
      <c r="R290" s="77">
        <v>0</v>
      </c>
      <c r="S290" s="77">
        <v>0</v>
      </c>
      <c r="T290" s="77">
        <f t="shared" si="180"/>
        <v>0</v>
      </c>
      <c r="U290" s="77">
        <f t="shared" si="181"/>
        <v>0</v>
      </c>
    </row>
    <row r="291" spans="1:21" ht="18.75" hidden="1" x14ac:dyDescent="0.25">
      <c r="A291" s="257"/>
      <c r="B291" s="258"/>
      <c r="C291" s="258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3">
        <f ca="1">IFERROR(__xludf.DUMMYFUNCTION("IMPORTRANGE(""https://docs.google.com/spreadsheets/d/1-uDff_7J0KD5mKrp0Vvzr7lt3OU09vwQwhkpOPPYv2Y/edit?usp=sharing"",""งบพรบ!DR70"")"),0)</f>
        <v>0</v>
      </c>
      <c r="M291" s="74">
        <f ca="1">IFERROR(__xludf.DUMMYFUNCTION("IMPORTRANGE(""https://docs.google.com/spreadsheets/d/1-uDff_7J0KD5mKrp0Vvzr7lt3OU09vwQwhkpOPPYv2Y/edit?usp=sharing"",""งบพรบ!DU70"")"),0)</f>
        <v>0</v>
      </c>
      <c r="N291" s="74">
        <f ca="1">IFERROR(__xludf.DUMMYFUNCTION("IMPORTRANGE(""https://docs.google.com/spreadsheets/d/1-uDff_7J0KD5mKrp0Vvzr7lt3OU09vwQwhkpOPPYv2Y/edit?usp=sharing"",""งบพรบ!DW70"")"),0)</f>
        <v>0</v>
      </c>
      <c r="O291" s="74">
        <f t="shared" ca="1" si="177"/>
        <v>0</v>
      </c>
      <c r="P291" s="74">
        <f t="shared" ca="1" si="178"/>
        <v>0</v>
      </c>
      <c r="Q291" s="74">
        <v>0</v>
      </c>
      <c r="R291" s="74">
        <v>0</v>
      </c>
      <c r="S291" s="74">
        <v>0</v>
      </c>
      <c r="T291" s="74">
        <f t="shared" si="180"/>
        <v>0</v>
      </c>
      <c r="U291" s="74">
        <f t="shared" si="181"/>
        <v>0</v>
      </c>
    </row>
    <row r="292" spans="1:21" ht="19.5" hidden="1" x14ac:dyDescent="0.3">
      <c r="A292" s="276"/>
      <c r="B292" s="277"/>
      <c r="C292" s="259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IFERROR(__xludf.DUMMYFUNCTION("IMPORTRANGE(""https://docs.google.com/spreadsheets/d/1eHaY18a8A9IcSdp1K8H6x8fbOy06t2VsZHhMHf-1x7Y/edit?usp=sharing"",""แผน!EE70"")"),0)</f>
        <v>0</v>
      </c>
      <c r="J293" s="294">
        <v>0</v>
      </c>
      <c r="K293" s="768">
        <f t="shared" ref="K293:K294" ca="1" si="188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IFERROR(__xludf.DUMMYFUNCTION("IMPORTRANGE(""https://docs.google.com/spreadsheets/d/1eHaY18a8A9IcSdp1K8H6x8fbOy06t2VsZHhMHf-1x7Y/edit?usp=sharing"",""แผน!ED70"")"),0)</f>
        <v>0</v>
      </c>
      <c r="J294" s="622">
        <f>J297</f>
        <v>0</v>
      </c>
      <c r="K294" s="1105">
        <f t="shared" ca="1" si="188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96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IFERROR(__xludf.DUMMYFUNCTION("IMPORTRANGE(""https://docs.google.com/spreadsheets/d/1eHaY18a8A9IcSdp1K8H6x8fbOy06t2VsZHhMHf-1x7Y/edit?usp=sharing"",""แผน!ED70"")"),0)</f>
        <v>0</v>
      </c>
      <c r="J296" s="294">
        <v>0</v>
      </c>
      <c r="K296" s="768">
        <f t="shared" ref="K296:K297" ca="1" si="189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IFERROR(__xludf.DUMMYFUNCTION("IMPORTRANGE(""https://docs.google.com/spreadsheets/d/1eHaY18a8A9IcSdp1K8H6x8fbOy06t2VsZHhMHf-1x7Y/edit?usp=sharing"",""แผน!ED70"")"),0)</f>
        <v>0</v>
      </c>
      <c r="J297" s="294">
        <v>0</v>
      </c>
      <c r="K297" s="768">
        <f t="shared" ca="1" si="189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286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286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041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1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6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x14ac:dyDescent="0.3">
      <c r="A303" s="1179"/>
      <c r="B303" s="1180" t="s">
        <v>127</v>
      </c>
      <c r="C303" s="607"/>
      <c r="D303" s="607"/>
      <c r="E303" s="607"/>
      <c r="F303" s="607"/>
      <c r="G303" s="608"/>
      <c r="H303" s="1307" t="s">
        <v>35</v>
      </c>
      <c r="I303" s="617">
        <f t="shared" ref="I303:J303" ca="1" si="190">I315</f>
        <v>30</v>
      </c>
      <c r="J303" s="617">
        <f t="shared" si="190"/>
        <v>0</v>
      </c>
      <c r="K303" s="611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1257">
        <f t="shared" ref="L304:N304" ca="1" si="191">L305+L306</f>
        <v>0</v>
      </c>
      <c r="M304" s="264">
        <f t="shared" ca="1" si="191"/>
        <v>0</v>
      </c>
      <c r="N304" s="264">
        <f t="shared" ca="1" si="191"/>
        <v>0</v>
      </c>
      <c r="O304" s="264">
        <f t="shared" ref="O304:O312" ca="1" si="192">IF(L304&gt;0,N304*100/L304,0)</f>
        <v>0</v>
      </c>
      <c r="P304" s="264">
        <f t="shared" ref="P304:P312" ca="1" si="193">IF(M304&gt;0,N304*100/M304,0)</f>
        <v>0</v>
      </c>
      <c r="Q304" s="264">
        <f t="shared" ref="Q304:S304" ca="1" si="194">Q305+Q306</f>
        <v>260958.39</v>
      </c>
      <c r="R304" s="264">
        <f t="shared" ca="1" si="194"/>
        <v>260958</v>
      </c>
      <c r="S304" s="264">
        <f t="shared" ca="1" si="194"/>
        <v>0</v>
      </c>
      <c r="T304" s="264">
        <f t="shared" ref="T304:T312" ca="1" si="195">IF(Q304&gt;0,S304*100/Q304,0)</f>
        <v>0</v>
      </c>
      <c r="U304" s="264">
        <f t="shared" ref="U304:U312" ca="1" si="196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6">
        <f t="shared" ref="L305:N306" si="197">L308+L311</f>
        <v>0</v>
      </c>
      <c r="M305" s="77">
        <f t="shared" si="197"/>
        <v>0</v>
      </c>
      <c r="N305" s="77">
        <f t="shared" si="197"/>
        <v>0</v>
      </c>
      <c r="O305" s="77">
        <f t="shared" si="192"/>
        <v>0</v>
      </c>
      <c r="P305" s="77">
        <f t="shared" si="193"/>
        <v>0</v>
      </c>
      <c r="Q305" s="77">
        <f t="shared" ref="Q305:S306" si="198">Q308+Q311</f>
        <v>0</v>
      </c>
      <c r="R305" s="77">
        <f t="shared" si="198"/>
        <v>0</v>
      </c>
      <c r="S305" s="77">
        <f t="shared" si="198"/>
        <v>0</v>
      </c>
      <c r="T305" s="77">
        <f t="shared" si="195"/>
        <v>0</v>
      </c>
      <c r="U305" s="77">
        <f t="shared" si="196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3">
        <f t="shared" ca="1" si="197"/>
        <v>0</v>
      </c>
      <c r="M306" s="74">
        <f t="shared" ca="1" si="197"/>
        <v>0</v>
      </c>
      <c r="N306" s="74">
        <f t="shared" ca="1" si="197"/>
        <v>0</v>
      </c>
      <c r="O306" s="74">
        <f t="shared" ca="1" si="192"/>
        <v>0</v>
      </c>
      <c r="P306" s="74">
        <f t="shared" ca="1" si="193"/>
        <v>0</v>
      </c>
      <c r="Q306" s="74">
        <f t="shared" ca="1" si="198"/>
        <v>260958.39</v>
      </c>
      <c r="R306" s="74">
        <f t="shared" ca="1" si="198"/>
        <v>260958</v>
      </c>
      <c r="S306" s="74">
        <f t="shared" ca="1" si="198"/>
        <v>0</v>
      </c>
      <c r="T306" s="74">
        <f t="shared" ca="1" si="195"/>
        <v>0</v>
      </c>
      <c r="U306" s="74">
        <f t="shared" ca="1" si="196"/>
        <v>0</v>
      </c>
    </row>
    <row r="307" spans="1:21" ht="18.75" x14ac:dyDescent="0.25">
      <c r="A307" s="257"/>
      <c r="B307" s="258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3">
        <f t="shared" ref="L307:N307" ca="1" si="199">L308+L309</f>
        <v>0</v>
      </c>
      <c r="M307" s="74">
        <f t="shared" ca="1" si="199"/>
        <v>0</v>
      </c>
      <c r="N307" s="74">
        <f t="shared" ca="1" si="199"/>
        <v>0</v>
      </c>
      <c r="O307" s="74">
        <f t="shared" ca="1" si="192"/>
        <v>0</v>
      </c>
      <c r="P307" s="74">
        <f t="shared" ca="1" si="193"/>
        <v>0</v>
      </c>
      <c r="Q307" s="74">
        <f t="shared" ref="Q307:S307" ca="1" si="200">Q308+Q309</f>
        <v>260958.39</v>
      </c>
      <c r="R307" s="74">
        <f t="shared" ca="1" si="200"/>
        <v>260958</v>
      </c>
      <c r="S307" s="74">
        <f t="shared" ca="1" si="200"/>
        <v>0</v>
      </c>
      <c r="T307" s="74">
        <f t="shared" ca="1" si="195"/>
        <v>0</v>
      </c>
      <c r="U307" s="74">
        <f t="shared" ca="1" si="196"/>
        <v>0</v>
      </c>
    </row>
    <row r="308" spans="1:21" ht="18.75" hidden="1" x14ac:dyDescent="0.25">
      <c r="A308" s="257"/>
      <c r="B308" s="258"/>
      <c r="C308" s="258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77">
        <f t="shared" si="192"/>
        <v>0</v>
      </c>
      <c r="P308" s="77">
        <f t="shared" si="193"/>
        <v>0</v>
      </c>
      <c r="Q308" s="77">
        <v>0</v>
      </c>
      <c r="R308" s="77">
        <v>0</v>
      </c>
      <c r="S308" s="77">
        <v>0</v>
      </c>
      <c r="T308" s="77">
        <f t="shared" si="195"/>
        <v>0</v>
      </c>
      <c r="U308" s="77">
        <f t="shared" si="196"/>
        <v>0</v>
      </c>
    </row>
    <row r="309" spans="1:21" ht="18.75" hidden="1" x14ac:dyDescent="0.25">
      <c r="A309" s="257"/>
      <c r="B309" s="258"/>
      <c r="C309" s="258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3">
        <f ca="1">IFERROR(__xludf.DUMMYFUNCTION("IMPORTRANGE(""https://docs.google.com/spreadsheets/d/1-uDff_7J0KD5mKrp0Vvzr7lt3OU09vwQwhkpOPPYv2Y/edit?usp=sharing"",""งบพรบ!DY70"")"),0)</f>
        <v>0</v>
      </c>
      <c r="M309" s="74">
        <f ca="1">IFERROR(__xludf.DUMMYFUNCTION("IMPORTRANGE(""https://docs.google.com/spreadsheets/d/1-uDff_7J0KD5mKrp0Vvzr7lt3OU09vwQwhkpOPPYv2Y/edit?usp=sharing"",""งบพรบ!ED70"")"),0)</f>
        <v>0</v>
      </c>
      <c r="N309" s="74">
        <f ca="1">IFERROR(__xludf.DUMMYFUNCTION("IMPORTRANGE(""https://docs.google.com/spreadsheets/d/1-uDff_7J0KD5mKrp0Vvzr7lt3OU09vwQwhkpOPPYv2Y/edit?usp=sharing"",""งบพรบ!EF70"")"),0)</f>
        <v>0</v>
      </c>
      <c r="O309" s="74">
        <f t="shared" ca="1" si="192"/>
        <v>0</v>
      </c>
      <c r="P309" s="74">
        <f t="shared" ca="1" si="193"/>
        <v>0</v>
      </c>
      <c r="Q309" s="74">
        <f ca="1">IFERROR(__xludf.DUMMYFUNCTION("IMPORTRANGE(""https://docs.google.com/spreadsheets/d/1ItG2mGa2ceCfYo0BwxsXqNm01IGEUdYcSSLTEv9YCik/edit?usp=sharing"",""เบิกจ่ายกองทุน!AP70"")"),260958.39)</f>
        <v>260958.39</v>
      </c>
      <c r="R309" s="74">
        <f ca="1">IFERROR(__xludf.DUMMYFUNCTION("IMPORTRANGE(""https://docs.google.com/spreadsheets/d/1ItG2mGa2ceCfYo0BwxsXqNm01IGEUdYcSSLTEv9YCik/edit?usp=sharing"",""เบิกจ่ายกองทุน!AQ70"")"),260958)</f>
        <v>260958</v>
      </c>
      <c r="S309" s="74">
        <f ca="1">IFERROR(__xludf.DUMMYFUNCTION("IMPORTRANGE(""https://docs.google.com/spreadsheets/d/1ItG2mGa2ceCfYo0BwxsXqNm01IGEUdYcSSLTEv9YCik/edit?usp=sharing"",""เบิกจ่ายกองทุน!AR70"")"),0)</f>
        <v>0</v>
      </c>
      <c r="T309" s="74">
        <f t="shared" ca="1" si="195"/>
        <v>0</v>
      </c>
      <c r="U309" s="74">
        <f t="shared" ca="1" si="196"/>
        <v>0</v>
      </c>
    </row>
    <row r="310" spans="1:21" ht="18.75" x14ac:dyDescent="0.25">
      <c r="A310" s="257"/>
      <c r="B310" s="258"/>
      <c r="C310" s="258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3">
        <f t="shared" ref="L310:N310" ca="1" si="201">L311+L312</f>
        <v>0</v>
      </c>
      <c r="M310" s="74">
        <f t="shared" ca="1" si="201"/>
        <v>0</v>
      </c>
      <c r="N310" s="74">
        <f t="shared" ca="1" si="201"/>
        <v>0</v>
      </c>
      <c r="O310" s="74">
        <f t="shared" ca="1" si="192"/>
        <v>0</v>
      </c>
      <c r="P310" s="74">
        <f t="shared" ca="1" si="193"/>
        <v>0</v>
      </c>
      <c r="Q310" s="74">
        <f t="shared" ref="Q310:S310" si="202">Q311+Q312</f>
        <v>0</v>
      </c>
      <c r="R310" s="74">
        <f t="shared" si="202"/>
        <v>0</v>
      </c>
      <c r="S310" s="74">
        <f t="shared" si="202"/>
        <v>0</v>
      </c>
      <c r="T310" s="74">
        <f t="shared" si="195"/>
        <v>0</v>
      </c>
      <c r="U310" s="74">
        <f t="shared" si="196"/>
        <v>0</v>
      </c>
    </row>
    <row r="311" spans="1:21" ht="18.75" hidden="1" x14ac:dyDescent="0.25">
      <c r="A311" s="257"/>
      <c r="B311" s="258"/>
      <c r="C311" s="258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77">
        <f t="shared" si="192"/>
        <v>0</v>
      </c>
      <c r="P311" s="77">
        <f t="shared" si="193"/>
        <v>0</v>
      </c>
      <c r="Q311" s="77">
        <v>0</v>
      </c>
      <c r="R311" s="77">
        <v>0</v>
      </c>
      <c r="S311" s="77">
        <v>0</v>
      </c>
      <c r="T311" s="77">
        <f t="shared" si="195"/>
        <v>0</v>
      </c>
      <c r="U311" s="77">
        <f t="shared" si="196"/>
        <v>0</v>
      </c>
    </row>
    <row r="312" spans="1:21" ht="18.75" hidden="1" x14ac:dyDescent="0.25">
      <c r="A312" s="257"/>
      <c r="B312" s="258"/>
      <c r="C312" s="258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3">
        <f ca="1">IFERROR(__xludf.DUMMYFUNCTION("IMPORTRANGE(""https://docs.google.com/spreadsheets/d/1-uDff_7J0KD5mKrp0Vvzr7lt3OU09vwQwhkpOPPYv2Y/edit?usp=sharing"",""งบพรบ!EB70"")"),0)</f>
        <v>0</v>
      </c>
      <c r="M312" s="74">
        <f ca="1">IFERROR(__xludf.DUMMYFUNCTION("IMPORTRANGE(""https://docs.google.com/spreadsheets/d/1-uDff_7J0KD5mKrp0Vvzr7lt3OU09vwQwhkpOPPYv2Y/edit?usp=sharing"",""งบพรบ!EE70"")"),0)</f>
        <v>0</v>
      </c>
      <c r="N312" s="74">
        <f ca="1">IFERROR(__xludf.DUMMYFUNCTION("IMPORTRANGE(""https://docs.google.com/spreadsheets/d/1-uDff_7J0KD5mKrp0Vvzr7lt3OU09vwQwhkpOPPYv2Y/edit?usp=sharing"",""งบพรบ!EG70"")"),0)</f>
        <v>0</v>
      </c>
      <c r="O312" s="74">
        <f t="shared" ca="1" si="192"/>
        <v>0</v>
      </c>
      <c r="P312" s="74">
        <f t="shared" ca="1" si="193"/>
        <v>0</v>
      </c>
      <c r="Q312" s="74">
        <v>0</v>
      </c>
      <c r="R312" s="74">
        <v>0</v>
      </c>
      <c r="S312" s="74">
        <v>0</v>
      </c>
      <c r="T312" s="74">
        <f t="shared" si="195"/>
        <v>0</v>
      </c>
      <c r="U312" s="74">
        <f t="shared" si="196"/>
        <v>0</v>
      </c>
    </row>
    <row r="313" spans="1:21" ht="19.5" x14ac:dyDescent="0.3">
      <c r="A313" s="276"/>
      <c r="B313" s="277"/>
      <c r="C313" s="259" t="s">
        <v>18</v>
      </c>
      <c r="D313" s="1019" t="s">
        <v>38</v>
      </c>
      <c r="E313" s="280"/>
      <c r="F313" s="280"/>
      <c r="G313" s="2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3"/>
      <c r="E314" s="285"/>
      <c r="F314" s="285"/>
      <c r="G314" s="286"/>
      <c r="H314" s="286"/>
      <c r="I314" s="287"/>
      <c r="J314" s="1252"/>
      <c r="K314" s="30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x14ac:dyDescent="0.25">
      <c r="A315" s="276"/>
      <c r="B315" s="277"/>
      <c r="C315" s="277"/>
      <c r="D315" s="295" t="s">
        <v>121</v>
      </c>
      <c r="E315" s="296"/>
      <c r="F315" s="296"/>
      <c r="G315" s="282"/>
      <c r="H315" s="299" t="s">
        <v>35</v>
      </c>
      <c r="I315" s="293">
        <f ca="1">IFERROR(__xludf.DUMMYFUNCTION("IMPORTRANGE(""https://docs.google.com/spreadsheets/d/1eHaY18a8A9IcSdp1K8H6x8fbOy06t2VsZHhMHf-1x7Y/edit?usp=sharing"",""แผน!EF70"")"),30)</f>
        <v>30</v>
      </c>
      <c r="J315" s="294">
        <v>0</v>
      </c>
      <c r="K315" s="74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308"/>
      <c r="I316" s="1252"/>
      <c r="J316" s="1252"/>
      <c r="K316" s="1255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308"/>
      <c r="I317" s="1252"/>
      <c r="J317" s="1252"/>
      <c r="K317" s="1255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283"/>
      <c r="B318" s="284"/>
      <c r="C318" s="284"/>
      <c r="D318" s="812"/>
      <c r="E318" s="285"/>
      <c r="F318" s="285"/>
      <c r="G318" s="286"/>
      <c r="H318" s="813"/>
      <c r="I318" s="887"/>
      <c r="J318" s="887"/>
      <c r="K318" s="888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5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1307" t="s">
        <v>133</v>
      </c>
      <c r="I320" s="617">
        <f t="shared" ref="I320:J320" ca="1" si="203">I331</f>
        <v>0</v>
      </c>
      <c r="J320" s="617">
        <f t="shared" si="203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1257">
        <f t="shared" ref="L321:N321" ca="1" si="204">L322+L323</f>
        <v>0</v>
      </c>
      <c r="M321" s="264">
        <f t="shared" ca="1" si="204"/>
        <v>0</v>
      </c>
      <c r="N321" s="264">
        <f t="shared" ca="1" si="204"/>
        <v>0</v>
      </c>
      <c r="O321" s="264">
        <f t="shared" ref="O321:O329" ca="1" si="205">IF(L321&gt;0,N321*100/L321,0)</f>
        <v>0</v>
      </c>
      <c r="P321" s="264">
        <f t="shared" ref="P321:P329" ca="1" si="206">IF(M321&gt;0,N321*100/M321,0)</f>
        <v>0</v>
      </c>
      <c r="Q321" s="264">
        <f t="shared" ref="Q321:S321" si="207">Q322+Q323</f>
        <v>0</v>
      </c>
      <c r="R321" s="264">
        <f t="shared" si="207"/>
        <v>0</v>
      </c>
      <c r="S321" s="264">
        <f t="shared" si="207"/>
        <v>0</v>
      </c>
      <c r="T321" s="264">
        <f t="shared" ref="T321:T329" si="208">IF(Q321&gt;0,S321*100/Q321,0)</f>
        <v>0</v>
      </c>
      <c r="U321" s="264">
        <f t="shared" ref="U321:U329" si="209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6">
        <f t="shared" ref="L322:N323" si="210">L325+L328</f>
        <v>0</v>
      </c>
      <c r="M322" s="77">
        <f t="shared" si="210"/>
        <v>0</v>
      </c>
      <c r="N322" s="77">
        <f t="shared" si="210"/>
        <v>0</v>
      </c>
      <c r="O322" s="77">
        <f t="shared" si="205"/>
        <v>0</v>
      </c>
      <c r="P322" s="77">
        <f t="shared" si="206"/>
        <v>0</v>
      </c>
      <c r="Q322" s="77">
        <f t="shared" ref="Q322:S323" si="211">Q325+Q328</f>
        <v>0</v>
      </c>
      <c r="R322" s="77">
        <f t="shared" si="211"/>
        <v>0</v>
      </c>
      <c r="S322" s="77">
        <f t="shared" si="211"/>
        <v>0</v>
      </c>
      <c r="T322" s="77">
        <f t="shared" si="208"/>
        <v>0</v>
      </c>
      <c r="U322" s="77">
        <f t="shared" si="209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3">
        <f t="shared" ca="1" si="210"/>
        <v>0</v>
      </c>
      <c r="M323" s="74">
        <f t="shared" ca="1" si="210"/>
        <v>0</v>
      </c>
      <c r="N323" s="74">
        <f t="shared" ca="1" si="210"/>
        <v>0</v>
      </c>
      <c r="O323" s="74">
        <f t="shared" ca="1" si="205"/>
        <v>0</v>
      </c>
      <c r="P323" s="74">
        <f t="shared" ca="1" si="206"/>
        <v>0</v>
      </c>
      <c r="Q323" s="74">
        <f t="shared" si="211"/>
        <v>0</v>
      </c>
      <c r="R323" s="74">
        <f t="shared" si="211"/>
        <v>0</v>
      </c>
      <c r="S323" s="74">
        <f t="shared" si="211"/>
        <v>0</v>
      </c>
      <c r="T323" s="74">
        <f t="shared" si="208"/>
        <v>0</v>
      </c>
      <c r="U323" s="74">
        <f t="shared" si="209"/>
        <v>0</v>
      </c>
    </row>
    <row r="324" spans="1:21" ht="18.75" hidden="1" x14ac:dyDescent="0.25">
      <c r="A324" s="257"/>
      <c r="B324" s="258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3">
        <f t="shared" ref="L324:N324" ca="1" si="212">L325+L326</f>
        <v>0</v>
      </c>
      <c r="M324" s="74">
        <f t="shared" ca="1" si="212"/>
        <v>0</v>
      </c>
      <c r="N324" s="74">
        <f t="shared" ca="1" si="212"/>
        <v>0</v>
      </c>
      <c r="O324" s="74">
        <f t="shared" ca="1" si="205"/>
        <v>0</v>
      </c>
      <c r="P324" s="74">
        <f t="shared" ca="1" si="206"/>
        <v>0</v>
      </c>
      <c r="Q324" s="74">
        <f t="shared" ref="Q324:S324" si="213">Q325+Q326</f>
        <v>0</v>
      </c>
      <c r="R324" s="74">
        <f t="shared" si="213"/>
        <v>0</v>
      </c>
      <c r="S324" s="74">
        <f t="shared" si="213"/>
        <v>0</v>
      </c>
      <c r="T324" s="74">
        <f t="shared" si="208"/>
        <v>0</v>
      </c>
      <c r="U324" s="74">
        <f t="shared" si="209"/>
        <v>0</v>
      </c>
    </row>
    <row r="325" spans="1:21" ht="18.75" hidden="1" x14ac:dyDescent="0.25">
      <c r="A325" s="257"/>
      <c r="B325" s="258"/>
      <c r="C325" s="258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77">
        <f t="shared" si="205"/>
        <v>0</v>
      </c>
      <c r="P325" s="77">
        <f t="shared" si="206"/>
        <v>0</v>
      </c>
      <c r="Q325" s="77">
        <v>0</v>
      </c>
      <c r="R325" s="77">
        <v>0</v>
      </c>
      <c r="S325" s="77">
        <v>0</v>
      </c>
      <c r="T325" s="77">
        <f t="shared" si="208"/>
        <v>0</v>
      </c>
      <c r="U325" s="77">
        <f t="shared" si="209"/>
        <v>0</v>
      </c>
    </row>
    <row r="326" spans="1:21" ht="18.75" hidden="1" x14ac:dyDescent="0.25">
      <c r="A326" s="257"/>
      <c r="B326" s="258"/>
      <c r="C326" s="258"/>
      <c r="D326" s="258"/>
      <c r="E326" s="267" t="s">
        <v>37</v>
      </c>
      <c r="F326" s="258"/>
      <c r="G326" s="261"/>
      <c r="H326" s="271" t="s">
        <v>14</v>
      </c>
      <c r="I326" s="272"/>
      <c r="J326" s="272"/>
      <c r="K326" s="229"/>
      <c r="L326" s="73">
        <f ca="1">IFERROR(__xludf.DUMMYFUNCTION("IMPORTRANGE(""https://docs.google.com/spreadsheets/d/1-uDff_7J0KD5mKrp0Vvzr7lt3OU09vwQwhkpOPPYv2Y/edit?usp=sharing"",""งบพรบ!EI70"")"),0)</f>
        <v>0</v>
      </c>
      <c r="M326" s="74">
        <f ca="1">IFERROR(__xludf.DUMMYFUNCTION("IMPORTRANGE(""https://docs.google.com/spreadsheets/d/1-uDff_7J0KD5mKrp0Vvzr7lt3OU09vwQwhkpOPPYv2Y/edit?usp=sharing"",""งบพรบ!EN70"")"),0)</f>
        <v>0</v>
      </c>
      <c r="N326" s="74">
        <f ca="1">IFERROR(__xludf.DUMMYFUNCTION("IMPORTRANGE(""https://docs.google.com/spreadsheets/d/1-uDff_7J0KD5mKrp0Vvzr7lt3OU09vwQwhkpOPPYv2Y/edit?usp=sharing"",""งบพรบ!EP70"")"),0)</f>
        <v>0</v>
      </c>
      <c r="O326" s="74">
        <f t="shared" ca="1" si="205"/>
        <v>0</v>
      </c>
      <c r="P326" s="74">
        <f t="shared" ca="1" si="206"/>
        <v>0</v>
      </c>
      <c r="Q326" s="74">
        <v>0</v>
      </c>
      <c r="R326" s="74">
        <v>0</v>
      </c>
      <c r="S326" s="74">
        <v>0</v>
      </c>
      <c r="T326" s="74">
        <f t="shared" si="208"/>
        <v>0</v>
      </c>
      <c r="U326" s="74">
        <f t="shared" si="209"/>
        <v>0</v>
      </c>
    </row>
    <row r="327" spans="1:21" ht="18.75" hidden="1" x14ac:dyDescent="0.25">
      <c r="A327" s="257"/>
      <c r="B327" s="258"/>
      <c r="C327" s="258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3">
        <f t="shared" ref="L327:N327" ca="1" si="214">L328+L329</f>
        <v>0</v>
      </c>
      <c r="M327" s="74">
        <f t="shared" ca="1" si="214"/>
        <v>0</v>
      </c>
      <c r="N327" s="74">
        <f t="shared" ca="1" si="214"/>
        <v>0</v>
      </c>
      <c r="O327" s="74">
        <f t="shared" ca="1" si="205"/>
        <v>0</v>
      </c>
      <c r="P327" s="74">
        <f t="shared" ca="1" si="206"/>
        <v>0</v>
      </c>
      <c r="Q327" s="74">
        <f t="shared" ref="Q327:S327" si="215">Q328+Q329</f>
        <v>0</v>
      </c>
      <c r="R327" s="74">
        <f t="shared" si="215"/>
        <v>0</v>
      </c>
      <c r="S327" s="74">
        <f t="shared" si="215"/>
        <v>0</v>
      </c>
      <c r="T327" s="74">
        <f t="shared" si="208"/>
        <v>0</v>
      </c>
      <c r="U327" s="74">
        <f t="shared" si="209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77">
        <f t="shared" si="205"/>
        <v>0</v>
      </c>
      <c r="P328" s="77">
        <f t="shared" si="206"/>
        <v>0</v>
      </c>
      <c r="Q328" s="77">
        <v>0</v>
      </c>
      <c r="R328" s="77">
        <v>0</v>
      </c>
      <c r="S328" s="77">
        <v>0</v>
      </c>
      <c r="T328" s="77">
        <f t="shared" si="208"/>
        <v>0</v>
      </c>
      <c r="U328" s="77">
        <f t="shared" si="209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3">
        <f ca="1">IFERROR(__xludf.DUMMYFUNCTION("IMPORTRANGE(""https://docs.google.com/spreadsheets/d/1-uDff_7J0KD5mKrp0Vvzr7lt3OU09vwQwhkpOPPYv2Y/edit?usp=sharing"",""งบพรบ!EL70"")"),0)</f>
        <v>0</v>
      </c>
      <c r="M329" s="74">
        <f ca="1">IFERROR(__xludf.DUMMYFUNCTION("IMPORTRANGE(""https://docs.google.com/spreadsheets/d/1-uDff_7J0KD5mKrp0Vvzr7lt3OU09vwQwhkpOPPYv2Y/edit?usp=sharing"",""งบพรบ!EO70"")"),0)</f>
        <v>0</v>
      </c>
      <c r="N329" s="74">
        <f ca="1">IFERROR(__xludf.DUMMYFUNCTION("IMPORTRANGE(""https://docs.google.com/spreadsheets/d/1-uDff_7J0KD5mKrp0Vvzr7lt3OU09vwQwhkpOPPYv2Y/edit?usp=sharing"",""งบพรบ!EQ70"")"),0)</f>
        <v>0</v>
      </c>
      <c r="O329" s="74">
        <f t="shared" ca="1" si="205"/>
        <v>0</v>
      </c>
      <c r="P329" s="74">
        <f t="shared" ca="1" si="206"/>
        <v>0</v>
      </c>
      <c r="Q329" s="74">
        <v>0</v>
      </c>
      <c r="R329" s="74">
        <v>0</v>
      </c>
      <c r="S329" s="74">
        <v>0</v>
      </c>
      <c r="T329" s="74">
        <f t="shared" si="208"/>
        <v>0</v>
      </c>
      <c r="U329" s="74">
        <f t="shared" si="209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282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92" t="s">
        <v>133</v>
      </c>
      <c r="I331" s="293">
        <f ca="1">IFERROR(__xludf.DUMMYFUNCTION("IMPORTRANGE(""https://docs.google.com/spreadsheets/d/1eHaY18a8A9IcSdp1K8H6x8fbOy06t2VsZHhMHf-1x7Y/edit?usp=sharing"",""แผน!EJ70"")"),0)</f>
        <v>0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5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1307" t="s">
        <v>35</v>
      </c>
      <c r="I333" s="534">
        <f ca="1">I345</f>
        <v>1000</v>
      </c>
      <c r="J333" s="535">
        <f ca="1">J345+J348+J349+J350+J354</f>
        <v>2783</v>
      </c>
      <c r="K333" s="536">
        <f ca="1">IF(I333&gt;0,J333*100/I333,0)</f>
        <v>278.3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1257">
        <f t="shared" ref="L334:N334" ca="1" si="216">L335+L336</f>
        <v>104000</v>
      </c>
      <c r="M334" s="264">
        <f t="shared" ca="1" si="216"/>
        <v>109000</v>
      </c>
      <c r="N334" s="264">
        <f t="shared" ca="1" si="216"/>
        <v>62961</v>
      </c>
      <c r="O334" s="264">
        <f t="shared" ref="O334:O342" ca="1" si="217">IF(L334&gt;0,N334*100/L334,0)</f>
        <v>60.539423076923079</v>
      </c>
      <c r="P334" s="264">
        <f t="shared" ref="P334:P342" ca="1" si="218">IF(M334&gt;0,N334*100/M334,0)</f>
        <v>57.762385321100915</v>
      </c>
      <c r="Q334" s="264">
        <f t="shared" ref="Q334:S334" si="219">Q335+Q336</f>
        <v>0</v>
      </c>
      <c r="R334" s="264">
        <f t="shared" si="219"/>
        <v>0</v>
      </c>
      <c r="S334" s="264">
        <f t="shared" si="219"/>
        <v>0</v>
      </c>
      <c r="T334" s="264">
        <f t="shared" ref="T334:T342" si="220">IF(Q334&gt;0,S334*100/Q334,0)</f>
        <v>0</v>
      </c>
      <c r="U334" s="264">
        <f t="shared" ref="U334:U342" si="221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6">
        <f t="shared" ref="L335:N336" si="222">L338+L341</f>
        <v>0</v>
      </c>
      <c r="M335" s="77">
        <f t="shared" si="222"/>
        <v>0</v>
      </c>
      <c r="N335" s="77">
        <f t="shared" si="222"/>
        <v>0</v>
      </c>
      <c r="O335" s="77">
        <f t="shared" si="217"/>
        <v>0</v>
      </c>
      <c r="P335" s="77">
        <f t="shared" si="218"/>
        <v>0</v>
      </c>
      <c r="Q335" s="77">
        <f t="shared" ref="Q335:S336" si="223">Q338+Q341</f>
        <v>0</v>
      </c>
      <c r="R335" s="77">
        <f t="shared" si="223"/>
        <v>0</v>
      </c>
      <c r="S335" s="77">
        <f t="shared" si="223"/>
        <v>0</v>
      </c>
      <c r="T335" s="77">
        <f t="shared" si="220"/>
        <v>0</v>
      </c>
      <c r="U335" s="77">
        <f t="shared" si="221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3">
        <f t="shared" ca="1" si="222"/>
        <v>104000</v>
      </c>
      <c r="M336" s="74">
        <f t="shared" ca="1" si="222"/>
        <v>109000</v>
      </c>
      <c r="N336" s="74">
        <f t="shared" ca="1" si="222"/>
        <v>62961</v>
      </c>
      <c r="O336" s="74">
        <f t="shared" ca="1" si="217"/>
        <v>60.539423076923079</v>
      </c>
      <c r="P336" s="74">
        <f t="shared" ca="1" si="218"/>
        <v>57.762385321100915</v>
      </c>
      <c r="Q336" s="74">
        <f t="shared" si="223"/>
        <v>0</v>
      </c>
      <c r="R336" s="74">
        <f t="shared" si="223"/>
        <v>0</v>
      </c>
      <c r="S336" s="74">
        <f t="shared" si="223"/>
        <v>0</v>
      </c>
      <c r="T336" s="74">
        <f t="shared" si="220"/>
        <v>0</v>
      </c>
      <c r="U336" s="74">
        <f t="shared" si="221"/>
        <v>0</v>
      </c>
    </row>
    <row r="337" spans="1:21" ht="18.75" x14ac:dyDescent="0.25">
      <c r="A337" s="257"/>
      <c r="B337" s="258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3">
        <f t="shared" ref="L337:N337" ca="1" si="224">L338+L339</f>
        <v>104000</v>
      </c>
      <c r="M337" s="74">
        <f t="shared" ca="1" si="224"/>
        <v>109000</v>
      </c>
      <c r="N337" s="74">
        <f t="shared" ca="1" si="224"/>
        <v>62961</v>
      </c>
      <c r="O337" s="74">
        <f t="shared" ca="1" si="217"/>
        <v>60.539423076923079</v>
      </c>
      <c r="P337" s="74">
        <f t="shared" ca="1" si="218"/>
        <v>57.762385321100915</v>
      </c>
      <c r="Q337" s="74">
        <f t="shared" ref="Q337:S337" si="225">Q338+Q339</f>
        <v>0</v>
      </c>
      <c r="R337" s="74">
        <f t="shared" si="225"/>
        <v>0</v>
      </c>
      <c r="S337" s="74">
        <f t="shared" si="225"/>
        <v>0</v>
      </c>
      <c r="T337" s="74">
        <f t="shared" si="220"/>
        <v>0</v>
      </c>
      <c r="U337" s="74">
        <f t="shared" si="221"/>
        <v>0</v>
      </c>
    </row>
    <row r="338" spans="1:21" ht="18.75" hidden="1" x14ac:dyDescent="0.25">
      <c r="A338" s="257"/>
      <c r="B338" s="258"/>
      <c r="C338" s="258"/>
      <c r="D338" s="258"/>
      <c r="E338" s="26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77">
        <f t="shared" si="217"/>
        <v>0</v>
      </c>
      <c r="P338" s="77">
        <f t="shared" si="218"/>
        <v>0</v>
      </c>
      <c r="Q338" s="77">
        <v>0</v>
      </c>
      <c r="R338" s="77">
        <v>0</v>
      </c>
      <c r="S338" s="77">
        <v>0</v>
      </c>
      <c r="T338" s="77">
        <f t="shared" si="220"/>
        <v>0</v>
      </c>
      <c r="U338" s="77">
        <f t="shared" si="221"/>
        <v>0</v>
      </c>
    </row>
    <row r="339" spans="1:21" ht="18.75" hidden="1" x14ac:dyDescent="0.25">
      <c r="A339" s="257"/>
      <c r="B339" s="258"/>
      <c r="C339" s="258"/>
      <c r="D339" s="258"/>
      <c r="E339" s="267" t="s">
        <v>37</v>
      </c>
      <c r="F339" s="258"/>
      <c r="G339" s="261"/>
      <c r="H339" s="271" t="s">
        <v>14</v>
      </c>
      <c r="I339" s="272"/>
      <c r="J339" s="272"/>
      <c r="K339" s="229"/>
      <c r="L339" s="73">
        <f ca="1">IFERROR(__xludf.DUMMYFUNCTION("IMPORTRANGE(""https://docs.google.com/spreadsheets/d/1-uDff_7J0KD5mKrp0Vvzr7lt3OU09vwQwhkpOPPYv2Y/edit?usp=sharing"",""งบพรบ!ES70"")"),104000)</f>
        <v>104000</v>
      </c>
      <c r="M339" s="74">
        <f ca="1">IFERROR(__xludf.DUMMYFUNCTION("IMPORTRANGE(""https://docs.google.com/spreadsheets/d/1-uDff_7J0KD5mKrp0Vvzr7lt3OU09vwQwhkpOPPYv2Y/edit?usp=sharing"",""งบพรบ!EX70"")"),109000)</f>
        <v>109000</v>
      </c>
      <c r="N339" s="74">
        <f ca="1">IFERROR(__xludf.DUMMYFUNCTION("IMPORTRANGE(""https://docs.google.com/spreadsheets/d/1-uDff_7J0KD5mKrp0Vvzr7lt3OU09vwQwhkpOPPYv2Y/edit?usp=sharing"",""งบพรบ!EZ70"")"),62961)</f>
        <v>62961</v>
      </c>
      <c r="O339" s="74">
        <f t="shared" ca="1" si="217"/>
        <v>60.539423076923079</v>
      </c>
      <c r="P339" s="74">
        <f t="shared" ca="1" si="218"/>
        <v>57.762385321100915</v>
      </c>
      <c r="Q339" s="74">
        <v>0</v>
      </c>
      <c r="R339" s="74">
        <v>0</v>
      </c>
      <c r="S339" s="74">
        <v>0</v>
      </c>
      <c r="T339" s="74">
        <f t="shared" si="220"/>
        <v>0</v>
      </c>
      <c r="U339" s="74">
        <f t="shared" si="221"/>
        <v>0</v>
      </c>
    </row>
    <row r="340" spans="1:21" ht="18.75" x14ac:dyDescent="0.25">
      <c r="A340" s="257"/>
      <c r="B340" s="258"/>
      <c r="C340" s="258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3">
        <f t="shared" ref="L340:N340" ca="1" si="226">L341+L342</f>
        <v>0</v>
      </c>
      <c r="M340" s="74">
        <f t="shared" ca="1" si="226"/>
        <v>0</v>
      </c>
      <c r="N340" s="74">
        <f t="shared" ca="1" si="226"/>
        <v>0</v>
      </c>
      <c r="O340" s="74">
        <f t="shared" ca="1" si="217"/>
        <v>0</v>
      </c>
      <c r="P340" s="74">
        <f t="shared" ca="1" si="218"/>
        <v>0</v>
      </c>
      <c r="Q340" s="74">
        <f t="shared" ref="Q340:S340" si="227">Q341+Q342</f>
        <v>0</v>
      </c>
      <c r="R340" s="74">
        <f t="shared" si="227"/>
        <v>0</v>
      </c>
      <c r="S340" s="74">
        <f t="shared" si="227"/>
        <v>0</v>
      </c>
      <c r="T340" s="74">
        <f t="shared" si="220"/>
        <v>0</v>
      </c>
      <c r="U340" s="74">
        <f t="shared" si="221"/>
        <v>0</v>
      </c>
    </row>
    <row r="341" spans="1:21" ht="18.75" hidden="1" x14ac:dyDescent="0.25">
      <c r="A341" s="257"/>
      <c r="B341" s="258"/>
      <c r="C341" s="258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77">
        <f t="shared" si="217"/>
        <v>0</v>
      </c>
      <c r="P341" s="77">
        <f t="shared" si="218"/>
        <v>0</v>
      </c>
      <c r="Q341" s="77">
        <v>0</v>
      </c>
      <c r="R341" s="77">
        <v>0</v>
      </c>
      <c r="S341" s="77">
        <v>0</v>
      </c>
      <c r="T341" s="77">
        <f t="shared" si="220"/>
        <v>0</v>
      </c>
      <c r="U341" s="77">
        <f t="shared" si="221"/>
        <v>0</v>
      </c>
    </row>
    <row r="342" spans="1:21" ht="18.75" hidden="1" x14ac:dyDescent="0.25">
      <c r="A342" s="257"/>
      <c r="B342" s="258"/>
      <c r="C342" s="258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3">
        <f ca="1">IFERROR(__xludf.DUMMYFUNCTION("IMPORTRANGE(""https://docs.google.com/spreadsheets/d/1-uDff_7J0KD5mKrp0Vvzr7lt3OU09vwQwhkpOPPYv2Y/edit?usp=sharing"",""งบพรบ!EV70"")"),0)</f>
        <v>0</v>
      </c>
      <c r="M342" s="74">
        <f ca="1">IFERROR(__xludf.DUMMYFUNCTION("IMPORTRANGE(""https://docs.google.com/spreadsheets/d/1-uDff_7J0KD5mKrp0Vvzr7lt3OU09vwQwhkpOPPYv2Y/edit?usp=sharing"",""งบพรบ!EY70"")"),0)</f>
        <v>0</v>
      </c>
      <c r="N342" s="74">
        <f ca="1">IFERROR(__xludf.DUMMYFUNCTION("IMPORTRANGE(""https://docs.google.com/spreadsheets/d/1-uDff_7J0KD5mKrp0Vvzr7lt3OU09vwQwhkpOPPYv2Y/edit?usp=sharing"",""งบพรบ!FA70"")"),0)</f>
        <v>0</v>
      </c>
      <c r="O342" s="74">
        <f t="shared" ca="1" si="217"/>
        <v>0</v>
      </c>
      <c r="P342" s="74">
        <f t="shared" ca="1" si="218"/>
        <v>0</v>
      </c>
      <c r="Q342" s="74">
        <v>0</v>
      </c>
      <c r="R342" s="74">
        <v>0</v>
      </c>
      <c r="S342" s="74">
        <v>0</v>
      </c>
      <c r="T342" s="74">
        <f t="shared" si="220"/>
        <v>0</v>
      </c>
      <c r="U342" s="74">
        <f t="shared" si="221"/>
        <v>0</v>
      </c>
    </row>
    <row r="343" spans="1:21" ht="19.5" x14ac:dyDescent="0.3">
      <c r="A343" s="276"/>
      <c r="B343" s="277"/>
      <c r="C343" s="259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1219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551" t="s">
        <v>35</v>
      </c>
      <c r="I345" s="293">
        <f ca="1">IFERROR(__xludf.DUMMYFUNCTION("IMPORTRANGE(""https://docs.google.com/spreadsheets/d/1eHaY18a8A9IcSdp1K8H6x8fbOy06t2VsZHhMHf-1x7Y/edit?usp=sharing"",""แผน!EK70"")"),1000)</f>
        <v>1000</v>
      </c>
      <c r="J345" s="293">
        <f ca="1">IFERROR(__xludf.DUMMYFUNCTION("IMPORTRANGE(""https://docs.google.com/spreadsheets/d/1awYsYK3VOup2i3Pq_Yjnu8DRu_mYwSBnCR2QPthd0rU/edit?usp=sharing"",""ศูนย์ยกเว้นโฉนด!D70"")"),1150)</f>
        <v>1150</v>
      </c>
      <c r="K345" s="74">
        <f ca="1">IF(I345&gt;0,J345*100/I345,0)</f>
        <v>115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IFERROR(__xludf.DUMMYFUNCTION("IMPORTRANGE(""https://docs.google.com/spreadsheets/d/1eHaY18a8A9IcSdp1K8H6x8fbOy06t2VsZHhMHf-1x7Y/edit?usp=sharing"",""แผน!EL70"")"),2)</f>
        <v>2</v>
      </c>
      <c r="J347" s="293">
        <f ca="1">IFERROR(__xludf.DUMMYFUNCTION("IMPORTRANGE(""https://docs.google.com/spreadsheets/d/1awYsYK3VOup2i3Pq_Yjnu8DRu_mYwSBnCR2QPthd0rU/edit?usp=sharing"",""ศูนย์รวม!E70"")"),0)</f>
        <v>0</v>
      </c>
      <c r="K347" s="74">
        <f ca="1">IF(I347&gt;0,J347*100/I347,0)</f>
        <v>0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IFERROR(__xludf.DUMMYFUNCTION("IMPORTRANGE(""https://docs.google.com/spreadsheets/d/1awYsYK3VOup2i3Pq_Yjnu8DRu_mYwSBnCR2QPthd0rU/edit?usp=sharing"",""ศูนย์ยกเว้นโฉนด!F70"")"),4)</f>
        <v>4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IFERROR(__xludf.DUMMYFUNCTION("IMPORTRANGE(""https://docs.google.com/spreadsheets/d/1awYsYK3VOup2i3Pq_Yjnu8DRu_mYwSBnCR2QPthd0rU/edit?usp=sharing"",""ศูนย์ยกเว้นโฉนด!G70"")"),42)</f>
        <v>42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IFERROR(__xludf.DUMMYFUNCTION("IMPORTRANGE(""https://docs.google.com/spreadsheets/d/1awYsYK3VOup2i3Pq_Yjnu8DRu_mYwSBnCR2QPthd0rU/edit?usp=sharing"",""ศูนย์ยกเว้นโฉนด!H70"")"),23)</f>
        <v>23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558" t="s">
        <v>35</v>
      </c>
      <c r="I352" s="559">
        <v>0</v>
      </c>
      <c r="J352" s="559">
        <f ca="1">J353+J354</f>
        <v>2276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IFERROR(__xludf.DUMMYFUNCTION("IMPORTRANGE(""https://docs.google.com/spreadsheets/d/1awYsYK3VOup2i3Pq_Yjnu8DRu_mYwSBnCR2QPthd0rU/edit?usp=sharing"",""โฉนดM3!G70"")"),712)</f>
        <v>712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IFERROR(__xludf.DUMMYFUNCTION("IMPORTRANGE(""https://docs.google.com/spreadsheets/d/1awYsYK3VOup2i3Pq_Yjnu8DRu_mYwSBnCR2QPthd0rU/edit?usp=sharing"",""โฉนดM3!H70"")"),1564)</f>
        <v>1564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08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1257">
        <f t="shared" ref="L357:N357" ca="1" si="228">L358+L359</f>
        <v>559230</v>
      </c>
      <c r="M357" s="264">
        <f t="shared" ca="1" si="228"/>
        <v>559230</v>
      </c>
      <c r="N357" s="264">
        <f t="shared" ca="1" si="228"/>
        <v>288693.99</v>
      </c>
      <c r="O357" s="264">
        <f t="shared" ref="O357:O365" ca="1" si="229">IF(L357&gt;0,N357*100/L357,0)</f>
        <v>51.623480499973176</v>
      </c>
      <c r="P357" s="264">
        <f t="shared" ref="P357:P365" ca="1" si="230">IF(M357&gt;0,N357*100/M357,0)</f>
        <v>51.623480499973176</v>
      </c>
      <c r="Q357" s="264">
        <f t="shared" ref="Q357:S357" si="231">Q358+Q359</f>
        <v>0</v>
      </c>
      <c r="R357" s="264">
        <f t="shared" si="231"/>
        <v>0</v>
      </c>
      <c r="S357" s="264">
        <f t="shared" si="231"/>
        <v>0</v>
      </c>
      <c r="T357" s="264">
        <f t="shared" ref="T357:T365" si="232">IF(Q357&gt;0,S357*100/Q357,0)</f>
        <v>0</v>
      </c>
      <c r="U357" s="264">
        <f t="shared" ref="U357:U365" si="233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6">
        <f t="shared" ref="L358:N359" si="234">L361+L364</f>
        <v>0</v>
      </c>
      <c r="M358" s="77">
        <f t="shared" si="234"/>
        <v>0</v>
      </c>
      <c r="N358" s="77">
        <f t="shared" si="234"/>
        <v>0</v>
      </c>
      <c r="O358" s="77">
        <f t="shared" si="229"/>
        <v>0</v>
      </c>
      <c r="P358" s="77">
        <f t="shared" si="230"/>
        <v>0</v>
      </c>
      <c r="Q358" s="77">
        <f t="shared" ref="Q358:S359" si="235">Q361+Q364</f>
        <v>0</v>
      </c>
      <c r="R358" s="77">
        <f t="shared" si="235"/>
        <v>0</v>
      </c>
      <c r="S358" s="77">
        <f t="shared" si="235"/>
        <v>0</v>
      </c>
      <c r="T358" s="77">
        <f t="shared" si="232"/>
        <v>0</v>
      </c>
      <c r="U358" s="77">
        <f t="shared" si="233"/>
        <v>0</v>
      </c>
    </row>
    <row r="359" spans="1:21" ht="18.75" hidden="1" x14ac:dyDescent="0.25">
      <c r="A359" s="257"/>
      <c r="B359" s="258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3">
        <f t="shared" ca="1" si="234"/>
        <v>559230</v>
      </c>
      <c r="M359" s="74">
        <f t="shared" ca="1" si="234"/>
        <v>559230</v>
      </c>
      <c r="N359" s="74">
        <f t="shared" ca="1" si="234"/>
        <v>288693.99</v>
      </c>
      <c r="O359" s="74">
        <f t="shared" ca="1" si="229"/>
        <v>51.623480499973176</v>
      </c>
      <c r="P359" s="74">
        <f t="shared" ca="1" si="230"/>
        <v>51.623480499973176</v>
      </c>
      <c r="Q359" s="74">
        <f t="shared" si="235"/>
        <v>0</v>
      </c>
      <c r="R359" s="74">
        <f t="shared" si="235"/>
        <v>0</v>
      </c>
      <c r="S359" s="74">
        <f t="shared" si="235"/>
        <v>0</v>
      </c>
      <c r="T359" s="74">
        <f t="shared" si="232"/>
        <v>0</v>
      </c>
      <c r="U359" s="74">
        <f t="shared" si="233"/>
        <v>0</v>
      </c>
    </row>
    <row r="360" spans="1:21" ht="18.75" x14ac:dyDescent="0.25">
      <c r="A360" s="257"/>
      <c r="B360" s="258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3">
        <f t="shared" ref="L360:N360" ca="1" si="236">L361+L362</f>
        <v>559230</v>
      </c>
      <c r="M360" s="74">
        <f t="shared" ca="1" si="236"/>
        <v>559230</v>
      </c>
      <c r="N360" s="74">
        <f t="shared" ca="1" si="236"/>
        <v>288693.99</v>
      </c>
      <c r="O360" s="74">
        <f t="shared" ca="1" si="229"/>
        <v>51.623480499973176</v>
      </c>
      <c r="P360" s="74">
        <f t="shared" ca="1" si="230"/>
        <v>51.623480499973176</v>
      </c>
      <c r="Q360" s="74">
        <f t="shared" ref="Q360:S360" si="237">Q361+Q362</f>
        <v>0</v>
      </c>
      <c r="R360" s="74">
        <f t="shared" si="237"/>
        <v>0</v>
      </c>
      <c r="S360" s="74">
        <f t="shared" si="237"/>
        <v>0</v>
      </c>
      <c r="T360" s="74">
        <f t="shared" si="232"/>
        <v>0</v>
      </c>
      <c r="U360" s="74">
        <f t="shared" si="233"/>
        <v>0</v>
      </c>
    </row>
    <row r="361" spans="1:21" ht="18.75" hidden="1" x14ac:dyDescent="0.25">
      <c r="A361" s="257"/>
      <c r="B361" s="258"/>
      <c r="C361" s="258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77">
        <f t="shared" si="229"/>
        <v>0</v>
      </c>
      <c r="P361" s="77">
        <f t="shared" si="230"/>
        <v>0</v>
      </c>
      <c r="Q361" s="77">
        <v>0</v>
      </c>
      <c r="R361" s="77">
        <v>0</v>
      </c>
      <c r="S361" s="77">
        <v>0</v>
      </c>
      <c r="T361" s="77">
        <f t="shared" si="232"/>
        <v>0</v>
      </c>
      <c r="U361" s="77">
        <f t="shared" si="233"/>
        <v>0</v>
      </c>
    </row>
    <row r="362" spans="1:21" ht="18.75" hidden="1" x14ac:dyDescent="0.25">
      <c r="A362" s="257"/>
      <c r="B362" s="258"/>
      <c r="C362" s="258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3">
        <f ca="1">IFERROR(__xludf.DUMMYFUNCTION("IMPORTRANGE(""https://docs.google.com/spreadsheets/d/1-uDff_7J0KD5mKrp0Vvzr7lt3OU09vwQwhkpOPPYv2Y/edit?usp=sharing"",""งบพรบ!FC70"")"),559230)</f>
        <v>559230</v>
      </c>
      <c r="M362" s="74">
        <f ca="1">IFERROR(__xludf.DUMMYFUNCTION("IMPORTRANGE(""https://docs.google.com/spreadsheets/d/1-uDff_7J0KD5mKrp0Vvzr7lt3OU09vwQwhkpOPPYv2Y/edit?usp=sharing"",""งบพรบ!FH70"")"),559230)</f>
        <v>559230</v>
      </c>
      <c r="N362" s="74">
        <f ca="1">IFERROR(__xludf.DUMMYFUNCTION("IMPORTRANGE(""https://docs.google.com/spreadsheets/d/1-uDff_7J0KD5mKrp0Vvzr7lt3OU09vwQwhkpOPPYv2Y/edit?usp=sharing"",""งบพรบ!FJ70"")"),288693.99)</f>
        <v>288693.99</v>
      </c>
      <c r="O362" s="74">
        <f t="shared" ca="1" si="229"/>
        <v>51.623480499973176</v>
      </c>
      <c r="P362" s="74">
        <f t="shared" ca="1" si="230"/>
        <v>51.623480499973176</v>
      </c>
      <c r="Q362" s="74">
        <v>0</v>
      </c>
      <c r="R362" s="74">
        <v>0</v>
      </c>
      <c r="S362" s="74">
        <v>0</v>
      </c>
      <c r="T362" s="74">
        <f t="shared" si="232"/>
        <v>0</v>
      </c>
      <c r="U362" s="74">
        <f t="shared" si="233"/>
        <v>0</v>
      </c>
    </row>
    <row r="363" spans="1:21" ht="18.75" x14ac:dyDescent="0.25">
      <c r="A363" s="257"/>
      <c r="B363" s="258"/>
      <c r="C363" s="258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3">
        <f t="shared" ref="L363:N363" ca="1" si="238">L364+L365</f>
        <v>0</v>
      </c>
      <c r="M363" s="74">
        <f t="shared" ca="1" si="238"/>
        <v>0</v>
      </c>
      <c r="N363" s="74">
        <f t="shared" ca="1" si="238"/>
        <v>0</v>
      </c>
      <c r="O363" s="74">
        <f t="shared" ca="1" si="229"/>
        <v>0</v>
      </c>
      <c r="P363" s="74">
        <f t="shared" ca="1" si="230"/>
        <v>0</v>
      </c>
      <c r="Q363" s="74">
        <f t="shared" ref="Q363:S363" si="239">Q364+Q365</f>
        <v>0</v>
      </c>
      <c r="R363" s="74">
        <f t="shared" si="239"/>
        <v>0</v>
      </c>
      <c r="S363" s="74">
        <f t="shared" si="239"/>
        <v>0</v>
      </c>
      <c r="T363" s="74">
        <f t="shared" si="232"/>
        <v>0</v>
      </c>
      <c r="U363" s="74">
        <f t="shared" si="233"/>
        <v>0</v>
      </c>
    </row>
    <row r="364" spans="1:21" ht="18.75" hidden="1" x14ac:dyDescent="0.25">
      <c r="A364" s="257"/>
      <c r="B364" s="258"/>
      <c r="C364" s="258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77">
        <f t="shared" si="229"/>
        <v>0</v>
      </c>
      <c r="P364" s="77">
        <f t="shared" si="230"/>
        <v>0</v>
      </c>
      <c r="Q364" s="77">
        <v>0</v>
      </c>
      <c r="R364" s="77">
        <v>0</v>
      </c>
      <c r="S364" s="77">
        <v>0</v>
      </c>
      <c r="T364" s="77">
        <f t="shared" si="232"/>
        <v>0</v>
      </c>
      <c r="U364" s="77">
        <f t="shared" si="233"/>
        <v>0</v>
      </c>
    </row>
    <row r="365" spans="1:21" ht="18.75" hidden="1" x14ac:dyDescent="0.25">
      <c r="A365" s="257"/>
      <c r="B365" s="258"/>
      <c r="C365" s="258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3">
        <f ca="1">IFERROR(__xludf.DUMMYFUNCTION("IMPORTRANGE(""https://docs.google.com/spreadsheets/d/1-uDff_7J0KD5mKrp0Vvzr7lt3OU09vwQwhkpOPPYv2Y/edit?usp=sharing"",""งบพรบ!FF70"")"),0)</f>
        <v>0</v>
      </c>
      <c r="M365" s="74">
        <f ca="1">IFERROR(__xludf.DUMMYFUNCTION("IMPORTRANGE(""https://docs.google.com/spreadsheets/d/1-uDff_7J0KD5mKrp0Vvzr7lt3OU09vwQwhkpOPPYv2Y/edit?usp=sharing"",""งบพรบ!FI70"")"),0)</f>
        <v>0</v>
      </c>
      <c r="N365" s="74">
        <f ca="1">IFERROR(__xludf.DUMMYFUNCTION("IMPORTRANGE(""https://docs.google.com/spreadsheets/d/1-uDff_7J0KD5mKrp0Vvzr7lt3OU09vwQwhkpOPPYv2Y/edit?usp=sharing"",""งบพรบ!FK70"")"),0)</f>
        <v>0</v>
      </c>
      <c r="O365" s="74">
        <f t="shared" ca="1" si="229"/>
        <v>0</v>
      </c>
      <c r="P365" s="74">
        <f t="shared" ca="1" si="230"/>
        <v>0</v>
      </c>
      <c r="Q365" s="74">
        <v>0</v>
      </c>
      <c r="R365" s="74">
        <v>0</v>
      </c>
      <c r="S365" s="74">
        <v>0</v>
      </c>
      <c r="T365" s="74">
        <f t="shared" si="232"/>
        <v>0</v>
      </c>
      <c r="U365" s="74">
        <f t="shared" si="233"/>
        <v>0</v>
      </c>
    </row>
    <row r="366" spans="1:21" ht="19.5" x14ac:dyDescent="0.3">
      <c r="A366" s="553"/>
      <c r="B366" s="555"/>
      <c r="C366" s="554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0">I372</f>
        <v>73</v>
      </c>
      <c r="J366" s="559">
        <f t="shared" ca="1" si="240"/>
        <v>34</v>
      </c>
      <c r="K366" s="560">
        <f ca="1">IF(I366&gt;0,J366*100/I366,0)</f>
        <v>46.575342465753423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259" t="s">
        <v>18</v>
      </c>
      <c r="D367" s="1019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96"/>
      <c r="C368" s="277"/>
      <c r="D368" s="296"/>
      <c r="E368" s="767" t="s">
        <v>150</v>
      </c>
      <c r="F368" s="296"/>
      <c r="G368" s="282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IFERROR(__xludf.DUMMYFUNCTION("IMPORTRANGE(""https://docs.google.com/spreadsheets/d/1tdoBKaGub7dwA3U6UFTqxio9LNnvDCQjHKmttSEBsFQ/edit?usp=sharing"",""จัดที่ดิน!AB70"")"),69)</f>
        <v>69</v>
      </c>
      <c r="K368" s="74">
        <f t="shared" ref="K368:K373" si="241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IFERROR(__xludf.DUMMYFUNCTION("IMPORTRANGE(""https://docs.google.com/spreadsheets/d/1eHaY18a8A9IcSdp1K8H6x8fbOy06t2VsZHhMHf-1x7Y/edit?usp=sharing"",""แผน!EW70"")"),565)</f>
        <v>565</v>
      </c>
      <c r="J369" s="1190">
        <f ca="1">IFERROR(__xludf.DUMMYFUNCTION("IMPORTRANGE(""https://docs.google.com/spreadsheets/d/1tdoBKaGub7dwA3U6UFTqxio9LNnvDCQjHKmttSEBsFQ/edit?usp=sharing"",""จัดที่ดิน!AC70"")"),826.349999999999)</f>
        <v>826.349999999999</v>
      </c>
      <c r="K369" s="74">
        <f t="shared" ca="1" si="241"/>
        <v>146.25663716814142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99" t="s">
        <v>35</v>
      </c>
      <c r="I370" s="293">
        <f ca="1">IFERROR(__xludf.DUMMYFUNCTION("IMPORTRANGE(""https://docs.google.com/spreadsheets/d/1eHaY18a8A9IcSdp1K8H6x8fbOy06t2VsZHhMHf-1x7Y/edit?usp=sharing"",""แผน!EX70"")"),103)</f>
        <v>103</v>
      </c>
      <c r="J370" s="293">
        <f ca="1">IFERROR(__xludf.DUMMYFUNCTION("IMPORTRANGE(""https://docs.google.com/spreadsheets/d/1tdoBKaGub7dwA3U6UFTqxio9LNnvDCQjHKmttSEBsFQ/edit?usp=sharing"",""จัดที่ดิน!AD70"")"),34)</f>
        <v>34</v>
      </c>
      <c r="K370" s="74">
        <f t="shared" ca="1" si="241"/>
        <v>33.009708737864081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99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IFERROR(__xludf.DUMMYFUNCTION("IMPORTRANGE(""https://docs.google.com/spreadsheets/d/1tdoBKaGub7dwA3U6UFTqxio9LNnvDCQjHKmttSEBsFQ/edit?usp=sharing"",""จัดที่ดิน!AE70"")"),639.41)</f>
        <v>639.41</v>
      </c>
      <c r="K371" s="74">
        <f t="shared" si="241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99" t="s">
        <v>35</v>
      </c>
      <c r="I372" s="293">
        <f ca="1">IFERROR(__xludf.DUMMYFUNCTION("IMPORTRANGE(""https://docs.google.com/spreadsheets/d/1eHaY18a8A9IcSdp1K8H6x8fbOy06t2VsZHhMHf-1x7Y/edit?usp=sharing"",""แผน!EY70"")"),73)</f>
        <v>73</v>
      </c>
      <c r="J372" s="293">
        <f ca="1">IFERROR(__xludf.DUMMYFUNCTION("IMPORTRANGE(""https://docs.google.com/spreadsheets/d/1tdoBKaGub7dwA3U6UFTqxio9LNnvDCQjHKmttSEBsFQ/edit?usp=sharing"",""จัดที่ดิน!AF70"")"),34)</f>
        <v>34</v>
      </c>
      <c r="K372" s="74">
        <f t="shared" ca="1" si="241"/>
        <v>46.575342465753423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99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IFERROR(__xludf.DUMMYFUNCTION("IMPORTRANGE(""https://docs.google.com/spreadsheets/d/1tdoBKaGub7dwA3U6UFTqxio9LNnvDCQjHKmttSEBsFQ/edit?usp=sharing"",""จัดที่ดิน!AG70"")"),639.41)</f>
        <v>639.41</v>
      </c>
      <c r="K373" s="74">
        <f t="shared" si="241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37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2">I387+I389</f>
        <v>2000</v>
      </c>
      <c r="J375" s="585">
        <f t="shared" ca="1" si="242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1257">
        <f t="shared" ref="L376:N376" si="243">L377+L378</f>
        <v>0</v>
      </c>
      <c r="M376" s="264">
        <f t="shared" si="243"/>
        <v>0</v>
      </c>
      <c r="N376" s="264">
        <f t="shared" si="243"/>
        <v>0</v>
      </c>
      <c r="O376" s="264">
        <f t="shared" ref="O376:O384" si="244">IF(L376&gt;0,N376*100/L376,0)</f>
        <v>0</v>
      </c>
      <c r="P376" s="264">
        <f t="shared" ref="P376:P384" si="245">IF(M376&gt;0,N376*100/M376,0)</f>
        <v>0</v>
      </c>
      <c r="Q376" s="264">
        <f t="shared" ref="Q376:S376" ca="1" si="246">Q377+Q378</f>
        <v>125000</v>
      </c>
      <c r="R376" s="264">
        <f t="shared" ca="1" si="246"/>
        <v>0</v>
      </c>
      <c r="S376" s="264">
        <f t="shared" ca="1" si="246"/>
        <v>0</v>
      </c>
      <c r="T376" s="264">
        <f t="shared" ref="T376:T384" ca="1" si="247">IF(Q376&gt;0,S376*100/Q376,0)</f>
        <v>0</v>
      </c>
      <c r="U376" s="264">
        <f t="shared" ref="U376:U384" ca="1" si="248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6">
        <f t="shared" ref="L377:N378" si="249">L380+L383</f>
        <v>0</v>
      </c>
      <c r="M377" s="77">
        <f t="shared" si="249"/>
        <v>0</v>
      </c>
      <c r="N377" s="77">
        <f t="shared" si="249"/>
        <v>0</v>
      </c>
      <c r="O377" s="77">
        <f t="shared" si="244"/>
        <v>0</v>
      </c>
      <c r="P377" s="77">
        <f t="shared" si="245"/>
        <v>0</v>
      </c>
      <c r="Q377" s="77">
        <f t="shared" ref="Q377:S378" si="250">Q380+Q383</f>
        <v>0</v>
      </c>
      <c r="R377" s="77">
        <f t="shared" si="250"/>
        <v>0</v>
      </c>
      <c r="S377" s="77">
        <f t="shared" si="250"/>
        <v>0</v>
      </c>
      <c r="T377" s="77">
        <f t="shared" si="247"/>
        <v>0</v>
      </c>
      <c r="U377" s="77">
        <f t="shared" si="248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3">
        <f t="shared" si="249"/>
        <v>0</v>
      </c>
      <c r="M378" s="74">
        <f t="shared" si="249"/>
        <v>0</v>
      </c>
      <c r="N378" s="74">
        <f t="shared" si="249"/>
        <v>0</v>
      </c>
      <c r="O378" s="74">
        <f t="shared" si="244"/>
        <v>0</v>
      </c>
      <c r="P378" s="74">
        <f t="shared" si="245"/>
        <v>0</v>
      </c>
      <c r="Q378" s="74">
        <f t="shared" ca="1" si="250"/>
        <v>125000</v>
      </c>
      <c r="R378" s="74">
        <f t="shared" ca="1" si="250"/>
        <v>0</v>
      </c>
      <c r="S378" s="74">
        <f t="shared" ca="1" si="250"/>
        <v>0</v>
      </c>
      <c r="T378" s="74">
        <f t="shared" ca="1" si="247"/>
        <v>0</v>
      </c>
      <c r="U378" s="74">
        <f t="shared" ca="1" si="248"/>
        <v>0</v>
      </c>
    </row>
    <row r="379" spans="1:21" ht="18.75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3">
        <f t="shared" ref="L379:N379" si="251">L380+L381</f>
        <v>0</v>
      </c>
      <c r="M379" s="74">
        <f t="shared" si="251"/>
        <v>0</v>
      </c>
      <c r="N379" s="74">
        <f t="shared" si="251"/>
        <v>0</v>
      </c>
      <c r="O379" s="74">
        <f t="shared" si="244"/>
        <v>0</v>
      </c>
      <c r="P379" s="74">
        <f t="shared" si="245"/>
        <v>0</v>
      </c>
      <c r="Q379" s="74">
        <f t="shared" ref="Q379:S379" ca="1" si="252">Q380+Q381</f>
        <v>125000</v>
      </c>
      <c r="R379" s="74">
        <f t="shared" ca="1" si="252"/>
        <v>0</v>
      </c>
      <c r="S379" s="74">
        <f t="shared" ca="1" si="252"/>
        <v>0</v>
      </c>
      <c r="T379" s="74">
        <f t="shared" ca="1" si="247"/>
        <v>0</v>
      </c>
      <c r="U379" s="74">
        <f t="shared" ca="1" si="248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77">
        <f t="shared" si="244"/>
        <v>0</v>
      </c>
      <c r="P380" s="77">
        <f t="shared" si="245"/>
        <v>0</v>
      </c>
      <c r="Q380" s="77">
        <v>0</v>
      </c>
      <c r="R380" s="77">
        <v>0</v>
      </c>
      <c r="S380" s="77">
        <v>0</v>
      </c>
      <c r="T380" s="77">
        <f t="shared" si="247"/>
        <v>0</v>
      </c>
      <c r="U380" s="77">
        <f t="shared" si="248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74">
        <f t="shared" si="244"/>
        <v>0</v>
      </c>
      <c r="P381" s="74">
        <f t="shared" si="245"/>
        <v>0</v>
      </c>
      <c r="Q381" s="74">
        <f ca="1">IFERROR(__xludf.DUMMYFUNCTION("IMPORTRANGE(""https://docs.google.com/spreadsheets/d/1ItG2mGa2ceCfYo0BwxsXqNm01IGEUdYcSSLTEv9YCik/edit?usp=sharing"",""เบิกจ่ายกองทุน!AY70"")"),125000)</f>
        <v>125000</v>
      </c>
      <c r="R381" s="74">
        <f ca="1">IFERROR(__xludf.DUMMYFUNCTION("IMPORTRANGE(""https://docs.google.com/spreadsheets/d/1ItG2mGa2ceCfYo0BwxsXqNm01IGEUdYcSSLTEv9YCik/edit?usp=sharing"",""เบิกจ่ายกองทุน!AZ70"")"),0)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IFERROR(__xludf.DUMMYFUNCTION("IMPORTRANGE(""https://docs.google.com/spreadsheets/d/1ItG2mGa2ceCfYo0BwxsXqNm01IGEUdYcSSLTEv9YCik/edit?usp=sharing"",""เบิกจ่ายกองทุน!BA70"")"),0)</f>
        <v>0</v>
      </c>
      <c r="T381" s="74">
        <f t="shared" ca="1" si="247"/>
        <v>0</v>
      </c>
      <c r="U381" s="74">
        <f t="shared" ca="1" si="248"/>
        <v>0</v>
      </c>
    </row>
    <row r="382" spans="1:21" ht="18.75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3">
        <f t="shared" ref="L382:N382" si="253">L383+L384</f>
        <v>0</v>
      </c>
      <c r="M382" s="74">
        <f t="shared" si="253"/>
        <v>0</v>
      </c>
      <c r="N382" s="74">
        <f t="shared" si="253"/>
        <v>0</v>
      </c>
      <c r="O382" s="74">
        <f t="shared" si="244"/>
        <v>0</v>
      </c>
      <c r="P382" s="74">
        <f t="shared" si="245"/>
        <v>0</v>
      </c>
      <c r="Q382" s="74">
        <f t="shared" ref="Q382:S382" si="254">Q383+Q384</f>
        <v>0</v>
      </c>
      <c r="R382" s="74">
        <f t="shared" si="254"/>
        <v>0</v>
      </c>
      <c r="S382" s="74">
        <f t="shared" si="254"/>
        <v>0</v>
      </c>
      <c r="T382" s="74">
        <f t="shared" si="247"/>
        <v>0</v>
      </c>
      <c r="U382" s="74">
        <f t="shared" si="248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77">
        <f t="shared" si="244"/>
        <v>0</v>
      </c>
      <c r="P383" s="77">
        <f t="shared" si="245"/>
        <v>0</v>
      </c>
      <c r="Q383" s="77">
        <v>0</v>
      </c>
      <c r="R383" s="77">
        <v>0</v>
      </c>
      <c r="S383" s="77">
        <v>0</v>
      </c>
      <c r="T383" s="77">
        <f t="shared" si="247"/>
        <v>0</v>
      </c>
      <c r="U383" s="77">
        <f t="shared" si="248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74">
        <f t="shared" si="244"/>
        <v>0</v>
      </c>
      <c r="P384" s="74">
        <f t="shared" si="245"/>
        <v>0</v>
      </c>
      <c r="Q384" s="74">
        <v>0</v>
      </c>
      <c r="R384" s="74">
        <v>0</v>
      </c>
      <c r="S384" s="74">
        <v>0</v>
      </c>
      <c r="T384" s="74">
        <f t="shared" si="247"/>
        <v>0</v>
      </c>
      <c r="U384" s="74">
        <f t="shared" si="248"/>
        <v>0</v>
      </c>
    </row>
    <row r="385" spans="1:21" ht="19.5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v>0</v>
      </c>
      <c r="J386" s="293">
        <f ca="1">IFERROR(__xludf.DUMMYFUNCTION("IMPORTRANGE(""https://docs.google.com/spreadsheets/d/1w5rwWK1o49a35cNtocGL0gxDwhFSTZUQu90BiH9_zqM/edit?usp=sharing"",""RTK!H70"")"),0)</f>
        <v>0</v>
      </c>
      <c r="K386" s="74">
        <f t="shared" ref="K386:K389" si="255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IFERROR(__xludf.DUMMYFUNCTION("IMPORTRANGE(""https://docs.google.com/spreadsheets/d/1w5rwWK1o49a35cNtocGL0gxDwhFSTZUQu90BiH9_zqM/edit?usp=sharing"",""RTK!G70"")"),2000)</f>
        <v>2000</v>
      </c>
      <c r="J387" s="293">
        <f ca="1">IFERROR(__xludf.DUMMYFUNCTION("IMPORTRANGE(""https://docs.google.com/spreadsheets/d/1w5rwWK1o49a35cNtocGL0gxDwhFSTZUQu90BiH9_zqM/edit?usp=sharing"",""RTK!I70"")"),0)</f>
        <v>0</v>
      </c>
      <c r="K387" s="74">
        <f t="shared" ca="1" si="255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x14ac:dyDescent="0.25">
      <c r="A388" s="381"/>
      <c r="B388" s="381"/>
      <c r="C388" s="381"/>
      <c r="D388" s="381"/>
      <c r="E388" s="379" t="s">
        <v>155</v>
      </c>
      <c r="F388" s="381"/>
      <c r="G388" s="1033"/>
      <c r="H388" s="216" t="s">
        <v>34</v>
      </c>
      <c r="I388" s="321">
        <v>0</v>
      </c>
      <c r="J388" s="321">
        <f ca="1">IFERROR(__xludf.DUMMYFUNCTION("IMPORTRANGE(""https://docs.google.com/spreadsheets/d/1w5rwWK1o49a35cNtocGL0gxDwhFSTZUQu90BiH9_zqM/edit?usp=sharing"",""RTK!L70"")"),0)</f>
        <v>0</v>
      </c>
      <c r="K388" s="399">
        <f t="shared" si="255"/>
        <v>0</v>
      </c>
      <c r="L388" s="540"/>
      <c r="M388" s="72"/>
      <c r="N388" s="72"/>
      <c r="O388" s="72"/>
      <c r="P388" s="72"/>
      <c r="Q388" s="72"/>
      <c r="R388" s="72"/>
      <c r="S388" s="72"/>
      <c r="T388" s="72"/>
      <c r="U388" s="72"/>
    </row>
    <row r="389" spans="1:21" ht="18.75" x14ac:dyDescent="0.25">
      <c r="A389" s="381"/>
      <c r="B389" s="381"/>
      <c r="C389" s="381"/>
      <c r="D389" s="381"/>
      <c r="E389" s="381"/>
      <c r="F389" s="381"/>
      <c r="G389" s="1033"/>
      <c r="H389" s="216" t="s">
        <v>46</v>
      </c>
      <c r="I389" s="321">
        <f ca="1">IFERROR(__xludf.DUMMYFUNCTION("IMPORTRANGE(""https://docs.google.com/spreadsheets/d/1w5rwWK1o49a35cNtocGL0gxDwhFSTZUQu90BiH9_zqM/edit?usp=sharing"",""RTK!K70"")"),0)</f>
        <v>0</v>
      </c>
      <c r="J389" s="321">
        <f ca="1">IFERROR(__xludf.DUMMYFUNCTION("IMPORTRANGE(""https://docs.google.com/spreadsheets/d/1w5rwWK1o49a35cNtocGL0gxDwhFSTZUQu90BiH9_zqM/edit?usp=sharing"",""RTK!M70"")"),0)</f>
        <v>0</v>
      </c>
      <c r="K389" s="399">
        <f t="shared" ca="1" si="255"/>
        <v>0</v>
      </c>
      <c r="L389" s="540"/>
      <c r="M389" s="72"/>
      <c r="N389" s="72"/>
      <c r="O389" s="72"/>
      <c r="P389" s="72"/>
      <c r="Q389" s="72"/>
      <c r="R389" s="72"/>
      <c r="S389" s="72"/>
      <c r="T389" s="72"/>
      <c r="U389" s="72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6">I403</f>
        <v>0</v>
      </c>
      <c r="J392" s="1189">
        <f t="shared" si="256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1257">
        <f t="shared" ref="L393:N393" si="257">L394+L395</f>
        <v>0</v>
      </c>
      <c r="M393" s="264">
        <f t="shared" si="257"/>
        <v>0</v>
      </c>
      <c r="N393" s="264">
        <f t="shared" si="257"/>
        <v>0</v>
      </c>
      <c r="O393" s="264">
        <f t="shared" ref="O393:O401" si="258">IF(L393&gt;0,N393*100/L393,0)</f>
        <v>0</v>
      </c>
      <c r="P393" s="264">
        <f t="shared" ref="P393:P401" si="259">IF(M393&gt;0,N393*100/M393,0)</f>
        <v>0</v>
      </c>
      <c r="Q393" s="264">
        <f t="shared" ref="Q393:S393" si="260">Q394+Q395</f>
        <v>0</v>
      </c>
      <c r="R393" s="264">
        <f t="shared" si="260"/>
        <v>0</v>
      </c>
      <c r="S393" s="264">
        <f t="shared" si="260"/>
        <v>0</v>
      </c>
      <c r="T393" s="264">
        <f t="shared" ref="T393:T401" si="261">IF(Q393&gt;0,S393*100/Q393,0)</f>
        <v>0</v>
      </c>
      <c r="U393" s="264">
        <f t="shared" ref="U393:U401" si="262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6">
        <f t="shared" ref="L394:N395" si="263">L397+L400</f>
        <v>0</v>
      </c>
      <c r="M394" s="77">
        <f t="shared" si="263"/>
        <v>0</v>
      </c>
      <c r="N394" s="77">
        <f t="shared" si="263"/>
        <v>0</v>
      </c>
      <c r="O394" s="77">
        <f t="shared" si="258"/>
        <v>0</v>
      </c>
      <c r="P394" s="77">
        <f t="shared" si="259"/>
        <v>0</v>
      </c>
      <c r="Q394" s="77">
        <f t="shared" ref="Q394:S395" si="264">Q397+Q400</f>
        <v>0</v>
      </c>
      <c r="R394" s="77">
        <f t="shared" si="264"/>
        <v>0</v>
      </c>
      <c r="S394" s="77">
        <f t="shared" si="264"/>
        <v>0</v>
      </c>
      <c r="T394" s="77">
        <f t="shared" si="261"/>
        <v>0</v>
      </c>
      <c r="U394" s="77">
        <f t="shared" si="262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3">
        <f t="shared" si="263"/>
        <v>0</v>
      </c>
      <c r="M395" s="74">
        <f t="shared" si="263"/>
        <v>0</v>
      </c>
      <c r="N395" s="74">
        <f t="shared" si="263"/>
        <v>0</v>
      </c>
      <c r="O395" s="74">
        <f t="shared" si="258"/>
        <v>0</v>
      </c>
      <c r="P395" s="74">
        <f t="shared" si="259"/>
        <v>0</v>
      </c>
      <c r="Q395" s="74">
        <f t="shared" si="264"/>
        <v>0</v>
      </c>
      <c r="R395" s="74">
        <f t="shared" si="264"/>
        <v>0</v>
      </c>
      <c r="S395" s="74">
        <f t="shared" si="264"/>
        <v>0</v>
      </c>
      <c r="T395" s="74">
        <f t="shared" si="261"/>
        <v>0</v>
      </c>
      <c r="U395" s="74">
        <f t="shared" si="262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3">
        <f t="shared" ref="L396:N396" si="265">L397+L398</f>
        <v>0</v>
      </c>
      <c r="M396" s="74">
        <f t="shared" si="265"/>
        <v>0</v>
      </c>
      <c r="N396" s="74">
        <f t="shared" si="265"/>
        <v>0</v>
      </c>
      <c r="O396" s="74">
        <f t="shared" si="258"/>
        <v>0</v>
      </c>
      <c r="P396" s="74">
        <f t="shared" si="259"/>
        <v>0</v>
      </c>
      <c r="Q396" s="74">
        <f t="shared" ref="Q396:S396" si="266">Q397+Q398</f>
        <v>0</v>
      </c>
      <c r="R396" s="74">
        <f t="shared" si="266"/>
        <v>0</v>
      </c>
      <c r="S396" s="74">
        <f t="shared" si="266"/>
        <v>0</v>
      </c>
      <c r="T396" s="74">
        <f t="shared" si="261"/>
        <v>0</v>
      </c>
      <c r="U396" s="74">
        <f t="shared" si="262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77">
        <f t="shared" si="258"/>
        <v>0</v>
      </c>
      <c r="P397" s="77">
        <f t="shared" si="259"/>
        <v>0</v>
      </c>
      <c r="Q397" s="77">
        <v>0</v>
      </c>
      <c r="R397" s="77">
        <v>0</v>
      </c>
      <c r="S397" s="77">
        <v>0</v>
      </c>
      <c r="T397" s="77">
        <f t="shared" si="261"/>
        <v>0</v>
      </c>
      <c r="U397" s="77">
        <f t="shared" si="262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74">
        <f t="shared" si="258"/>
        <v>0</v>
      </c>
      <c r="P398" s="74">
        <f t="shared" si="259"/>
        <v>0</v>
      </c>
      <c r="Q398" s="74">
        <v>0</v>
      </c>
      <c r="R398" s="74">
        <v>0</v>
      </c>
      <c r="S398" s="74">
        <v>0</v>
      </c>
      <c r="T398" s="74">
        <f t="shared" si="261"/>
        <v>0</v>
      </c>
      <c r="U398" s="74">
        <f t="shared" si="262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3">
        <f t="shared" ref="L399:N399" si="267">L400+L401</f>
        <v>0</v>
      </c>
      <c r="M399" s="74">
        <f t="shared" si="267"/>
        <v>0</v>
      </c>
      <c r="N399" s="74">
        <f t="shared" si="267"/>
        <v>0</v>
      </c>
      <c r="O399" s="74">
        <f t="shared" si="258"/>
        <v>0</v>
      </c>
      <c r="P399" s="74">
        <f t="shared" si="259"/>
        <v>0</v>
      </c>
      <c r="Q399" s="74">
        <f t="shared" ref="Q399:S399" si="268">Q400+Q401</f>
        <v>0</v>
      </c>
      <c r="R399" s="74">
        <f t="shared" si="268"/>
        <v>0</v>
      </c>
      <c r="S399" s="74">
        <f t="shared" si="268"/>
        <v>0</v>
      </c>
      <c r="T399" s="74">
        <f t="shared" si="261"/>
        <v>0</v>
      </c>
      <c r="U399" s="74">
        <f t="shared" si="262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77">
        <f t="shared" si="258"/>
        <v>0</v>
      </c>
      <c r="P400" s="77">
        <f t="shared" si="259"/>
        <v>0</v>
      </c>
      <c r="Q400" s="77">
        <v>0</v>
      </c>
      <c r="R400" s="77">
        <v>0</v>
      </c>
      <c r="S400" s="77">
        <v>0</v>
      </c>
      <c r="T400" s="77">
        <f t="shared" si="261"/>
        <v>0</v>
      </c>
      <c r="U400" s="77">
        <f t="shared" si="262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74">
        <f t="shared" si="258"/>
        <v>0</v>
      </c>
      <c r="P401" s="74">
        <f t="shared" si="259"/>
        <v>0</v>
      </c>
      <c r="Q401" s="74">
        <v>0</v>
      </c>
      <c r="R401" s="74">
        <v>0</v>
      </c>
      <c r="S401" s="74">
        <v>0</v>
      </c>
      <c r="T401" s="74">
        <f t="shared" si="261"/>
        <v>0</v>
      </c>
      <c r="U401" s="74">
        <f t="shared" si="262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69">I424</f>
        <v>0</v>
      </c>
      <c r="J413" s="617">
        <f t="shared" si="269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1257">
        <f t="shared" ref="L414:N414" si="270">L415+L416</f>
        <v>0</v>
      </c>
      <c r="M414" s="264">
        <f t="shared" si="270"/>
        <v>0</v>
      </c>
      <c r="N414" s="264">
        <f t="shared" si="270"/>
        <v>0</v>
      </c>
      <c r="O414" s="264">
        <f t="shared" ref="O414:O422" si="271">IF(L414&gt;0,N414*100/L414,0)</f>
        <v>0</v>
      </c>
      <c r="P414" s="264">
        <f t="shared" ref="P414:P422" si="272">IF(M414&gt;0,N414*100/M414,0)</f>
        <v>0</v>
      </c>
      <c r="Q414" s="264">
        <f t="shared" ref="Q414:S414" ca="1" si="273">Q415+Q416</f>
        <v>0</v>
      </c>
      <c r="R414" s="264">
        <f t="shared" ca="1" si="273"/>
        <v>0</v>
      </c>
      <c r="S414" s="264">
        <f t="shared" ca="1" si="273"/>
        <v>0</v>
      </c>
      <c r="T414" s="264">
        <f t="shared" ref="T414:T422" ca="1" si="274">IF(Q414&gt;0,S414*100/Q414,0)</f>
        <v>0</v>
      </c>
      <c r="U414" s="264">
        <f t="shared" ref="U414:U422" ca="1" si="275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6">
        <f t="shared" ref="L415:N416" si="276">L418+L421</f>
        <v>0</v>
      </c>
      <c r="M415" s="77">
        <f t="shared" si="276"/>
        <v>0</v>
      </c>
      <c r="N415" s="77">
        <f t="shared" si="276"/>
        <v>0</v>
      </c>
      <c r="O415" s="77">
        <f t="shared" si="271"/>
        <v>0</v>
      </c>
      <c r="P415" s="77">
        <f t="shared" si="272"/>
        <v>0</v>
      </c>
      <c r="Q415" s="77">
        <f t="shared" ref="Q415:S416" si="277">Q418+Q421</f>
        <v>0</v>
      </c>
      <c r="R415" s="77">
        <f t="shared" si="277"/>
        <v>0</v>
      </c>
      <c r="S415" s="77">
        <f t="shared" si="277"/>
        <v>0</v>
      </c>
      <c r="T415" s="77">
        <f t="shared" si="274"/>
        <v>0</v>
      </c>
      <c r="U415" s="77">
        <f t="shared" si="275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3">
        <f t="shared" si="276"/>
        <v>0</v>
      </c>
      <c r="M416" s="74">
        <f t="shared" si="276"/>
        <v>0</v>
      </c>
      <c r="N416" s="74">
        <f t="shared" si="276"/>
        <v>0</v>
      </c>
      <c r="O416" s="74">
        <f t="shared" si="271"/>
        <v>0</v>
      </c>
      <c r="P416" s="74">
        <f t="shared" si="272"/>
        <v>0</v>
      </c>
      <c r="Q416" s="74">
        <f t="shared" ca="1" si="277"/>
        <v>0</v>
      </c>
      <c r="R416" s="74">
        <f t="shared" ca="1" si="277"/>
        <v>0</v>
      </c>
      <c r="S416" s="74">
        <f t="shared" ca="1" si="277"/>
        <v>0</v>
      </c>
      <c r="T416" s="74">
        <f t="shared" ca="1" si="274"/>
        <v>0</v>
      </c>
      <c r="U416" s="74">
        <f t="shared" ca="1" si="275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3">
        <f t="shared" ref="L417:N417" si="278">L418+L419</f>
        <v>0</v>
      </c>
      <c r="M417" s="74">
        <f t="shared" si="278"/>
        <v>0</v>
      </c>
      <c r="N417" s="74">
        <f t="shared" si="278"/>
        <v>0</v>
      </c>
      <c r="O417" s="74">
        <f t="shared" si="271"/>
        <v>0</v>
      </c>
      <c r="P417" s="74">
        <f t="shared" si="272"/>
        <v>0</v>
      </c>
      <c r="Q417" s="74">
        <f t="shared" ref="Q417:S417" ca="1" si="279">Q418+Q419</f>
        <v>0</v>
      </c>
      <c r="R417" s="74">
        <f t="shared" ca="1" si="279"/>
        <v>0</v>
      </c>
      <c r="S417" s="74">
        <f t="shared" ca="1" si="279"/>
        <v>0</v>
      </c>
      <c r="T417" s="74">
        <f t="shared" ca="1" si="274"/>
        <v>0</v>
      </c>
      <c r="U417" s="74">
        <f t="shared" ca="1" si="275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77">
        <f t="shared" si="271"/>
        <v>0</v>
      </c>
      <c r="P418" s="77">
        <f t="shared" si="272"/>
        <v>0</v>
      </c>
      <c r="Q418" s="77">
        <v>0</v>
      </c>
      <c r="R418" s="77">
        <v>0</v>
      </c>
      <c r="S418" s="77">
        <v>0</v>
      </c>
      <c r="T418" s="77">
        <f t="shared" si="274"/>
        <v>0</v>
      </c>
      <c r="U418" s="77">
        <f t="shared" si="275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74">
        <f t="shared" si="271"/>
        <v>0</v>
      </c>
      <c r="P419" s="74">
        <f t="shared" si="272"/>
        <v>0</v>
      </c>
      <c r="Q419" s="74">
        <f ca="1">IFERROR(__xludf.DUMMYFUNCTION("IMPORTRANGE(""https://docs.google.com/spreadsheets/d/1ItG2mGa2ceCfYo0BwxsXqNm01IGEUdYcSSLTEv9YCik/edit?usp=sharing"",""เบิกจ่ายกองทุน!BH70"")"),0)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IFERROR(__xludf.DUMMYFUNCTION("IMPORTRANGE(""https://docs.google.com/spreadsheets/d/1ItG2mGa2ceCfYo0BwxsXqNm01IGEUdYcSSLTEv9YCik/edit?usp=sharing"",""เบิกจ่ายกองทุน!BI70"")"),0)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IFERROR(__xludf.DUMMYFUNCTION("IMPORTRANGE(""https://docs.google.com/spreadsheets/d/1ItG2mGa2ceCfYo0BwxsXqNm01IGEUdYcSSLTEv9YCik/edit?usp=sharing"",""เบิกจ่ายกองทุน!BJ70"")"),0)</f>
        <v>0</v>
      </c>
      <c r="T419" s="74">
        <f t="shared" ca="1" si="274"/>
        <v>0</v>
      </c>
      <c r="U419" s="74">
        <f t="shared" ca="1" si="275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3">
        <f t="shared" ref="L420:N420" si="280">L421+L422</f>
        <v>0</v>
      </c>
      <c r="M420" s="74">
        <f t="shared" si="280"/>
        <v>0</v>
      </c>
      <c r="N420" s="74">
        <f t="shared" si="280"/>
        <v>0</v>
      </c>
      <c r="O420" s="74">
        <f t="shared" si="271"/>
        <v>0</v>
      </c>
      <c r="P420" s="74">
        <f t="shared" si="272"/>
        <v>0</v>
      </c>
      <c r="Q420" s="74">
        <f t="shared" ref="Q420:S420" si="281">Q421+Q422</f>
        <v>0</v>
      </c>
      <c r="R420" s="74">
        <f t="shared" si="281"/>
        <v>0</v>
      </c>
      <c r="S420" s="74">
        <f t="shared" si="281"/>
        <v>0</v>
      </c>
      <c r="T420" s="74">
        <f t="shared" si="274"/>
        <v>0</v>
      </c>
      <c r="U420" s="74">
        <f t="shared" si="275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77">
        <f t="shared" si="271"/>
        <v>0</v>
      </c>
      <c r="P421" s="77">
        <f t="shared" si="272"/>
        <v>0</v>
      </c>
      <c r="Q421" s="77">
        <v>0</v>
      </c>
      <c r="R421" s="77">
        <v>0</v>
      </c>
      <c r="S421" s="77">
        <v>0</v>
      </c>
      <c r="T421" s="77">
        <f t="shared" si="274"/>
        <v>0</v>
      </c>
      <c r="U421" s="77">
        <f t="shared" si="275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74">
        <f t="shared" si="271"/>
        <v>0</v>
      </c>
      <c r="P422" s="74">
        <f t="shared" si="272"/>
        <v>0</v>
      </c>
      <c r="Q422" s="74">
        <v>0</v>
      </c>
      <c r="R422" s="74">
        <v>0</v>
      </c>
      <c r="S422" s="74">
        <v>0</v>
      </c>
      <c r="T422" s="74">
        <f t="shared" si="274"/>
        <v>0</v>
      </c>
      <c r="U422" s="74">
        <f t="shared" si="275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2">I441</f>
        <v>0</v>
      </c>
      <c r="J424" s="622">
        <f t="shared" si="282"/>
        <v>0</v>
      </c>
      <c r="K424" s="264">
        <f t="shared" ref="K424:K426" ca="1" si="283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IFERROR(__xludf.DUMMYFUNCTION("IMPORTRANGE(""https://docs.google.com/spreadsheets/d/1eHaY18a8A9IcSdp1K8H6x8fbOy06t2VsZHhMHf-1x7Y/edit?usp=sharing"",""แผน!HJ70"")"),0)</f>
        <v>0</v>
      </c>
      <c r="J425" s="622">
        <f t="shared" ref="J425:J426" si="284">J427+J429+J431</f>
        <v>0</v>
      </c>
      <c r="K425" s="264">
        <f t="shared" ca="1" si="283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IFERROR(__xludf.DUMMYFUNCTION("IMPORTRANGE(""https://docs.google.com/spreadsheets/d/1eHaY18a8A9IcSdp1K8H6x8fbOy06t2VsZHhMHf-1x7Y/edit?usp=sharing"",""แผน!HK70"")"),0)</f>
        <v>0</v>
      </c>
      <c r="J426" s="622">
        <f t="shared" si="284"/>
        <v>0</v>
      </c>
      <c r="K426" s="264">
        <f t="shared" ca="1" si="283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IFERROR(__xludf.DUMMYFUNCTION("IMPORTRANGE(""https://docs.google.com/spreadsheets/d/1eHaY18a8A9IcSdp1K8H6x8fbOy06t2VsZHhMHf-1x7Y/edit?usp=sharing"",""แผน!HJ70"")"),0)</f>
        <v>0</v>
      </c>
      <c r="J433" s="622">
        <f t="shared" ref="J433:J434" si="285">J435+J437+J439</f>
        <v>0</v>
      </c>
      <c r="K433" s="264">
        <f t="shared" ref="K433:K434" ca="1" si="286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IFERROR(__xludf.DUMMYFUNCTION("IMPORTRANGE(""https://docs.google.com/spreadsheets/d/1eHaY18a8A9IcSdp1K8H6x8fbOy06t2VsZHhMHf-1x7Y/edit?usp=sharing"",""แผน!HK70"")"),0)</f>
        <v>0</v>
      </c>
      <c r="J434" s="622">
        <f t="shared" si="285"/>
        <v>0</v>
      </c>
      <c r="K434" s="264">
        <f t="shared" ca="1" si="286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IFERROR(__xludf.DUMMYFUNCTION("IMPORTRANGE(""https://docs.google.com/spreadsheets/d/1eHaY18a8A9IcSdp1K8H6x8fbOy06t2VsZHhMHf-1x7Y/edit?usp=sharing"",""แผน!HJ70"")"),0)</f>
        <v>0</v>
      </c>
      <c r="J441" s="622">
        <f t="shared" ref="J441:J442" si="287">J443+J445+J447+J453+J455</f>
        <v>0</v>
      </c>
      <c r="K441" s="264">
        <f t="shared" ref="K441:K442" ca="1" si="288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IFERROR(__xludf.DUMMYFUNCTION("IMPORTRANGE(""https://docs.google.com/spreadsheets/d/1eHaY18a8A9IcSdp1K8H6x8fbOy06t2VsZHhMHf-1x7Y/edit?usp=sharing"",""แผน!HK70"")"),0)</f>
        <v>0</v>
      </c>
      <c r="J442" s="622">
        <f t="shared" si="287"/>
        <v>0</v>
      </c>
      <c r="K442" s="264">
        <f t="shared" ca="1" si="288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89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89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0">I458</f>
        <v>0</v>
      </c>
      <c r="J457" s="622">
        <f t="shared" si="290"/>
        <v>0</v>
      </c>
      <c r="K457" s="264">
        <f t="shared" ref="K457:K459" ca="1" si="291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IFERROR(__xludf.DUMMYFUNCTION("IMPORTRANGE(""https://docs.google.com/spreadsheets/d/1eHaY18a8A9IcSdp1K8H6x8fbOy06t2VsZHhMHf-1x7Y/edit?usp=sharing"",""แผน!HL70"")"),0)</f>
        <v>0</v>
      </c>
      <c r="J458" s="622">
        <f t="shared" ref="J458:J459" si="292">J460+J468+J474</f>
        <v>0</v>
      </c>
      <c r="K458" s="264">
        <f t="shared" ca="1" si="291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IFERROR(__xludf.DUMMYFUNCTION("IMPORTRANGE(""https://docs.google.com/spreadsheets/d/1eHaY18a8A9IcSdp1K8H6x8fbOy06t2VsZHhMHf-1x7Y/edit?usp=sharing"",""แผน!HM70"")"),0)</f>
        <v>0</v>
      </c>
      <c r="J459" s="622">
        <f t="shared" si="292"/>
        <v>0</v>
      </c>
      <c r="K459" s="264">
        <f t="shared" ca="1" si="291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3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3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4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4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5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6">J479+J481</f>
        <v>0</v>
      </c>
      <c r="K477" s="264">
        <f t="shared" si="295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6"/>
        <v>0</v>
      </c>
      <c r="K478" s="264">
        <f t="shared" si="295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IFERROR(__xludf.DUMMYFUNCTION("IMPORTRANGE(""https://docs.google.com/spreadsheets/d/1eHaY18a8A9IcSdp1K8H6x8fbOy06t2VsZHhMHf-1x7Y/edit?usp=sharing"",""แผน!HN70"")"),0)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IFERROR(__xludf.DUMMYFUNCTION("IMPORTRANGE(""https://docs.google.com/spreadsheets/d/1eHaY18a8A9IcSdp1K8H6x8fbOy06t2VsZHhMHf-1x7Y/edit?usp=sharing"",""แผน!HO70"")"),0)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7">J481</f>
        <v>0</v>
      </c>
      <c r="J485" s="622">
        <f t="shared" ref="J485:J486" si="298">J487+J489+J491</f>
        <v>0</v>
      </c>
      <c r="K485" s="264">
        <f t="shared" ref="K485:K486" si="299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7"/>
        <v>0</v>
      </c>
      <c r="J486" s="622">
        <f t="shared" si="298"/>
        <v>0</v>
      </c>
      <c r="K486" s="264">
        <f t="shared" si="299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hidden="1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0">I504</f>
        <v>0</v>
      </c>
      <c r="J493" s="617">
        <f t="shared" ca="1" si="300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1257">
        <f t="shared" ref="L494:N494" si="301">L495+L496</f>
        <v>0</v>
      </c>
      <c r="M494" s="264">
        <f t="shared" si="301"/>
        <v>0</v>
      </c>
      <c r="N494" s="264">
        <f t="shared" si="301"/>
        <v>0</v>
      </c>
      <c r="O494" s="264">
        <f t="shared" ref="O494:O502" si="302">IF(L494&gt;0,N494*100/L494,0)</f>
        <v>0</v>
      </c>
      <c r="P494" s="264">
        <f t="shared" ref="P494:P502" si="303">IF(M494&gt;0,N494*100/M494,0)</f>
        <v>0</v>
      </c>
      <c r="Q494" s="264">
        <f t="shared" ref="Q494:S494" ca="1" si="304">Q495+Q496</f>
        <v>0</v>
      </c>
      <c r="R494" s="264">
        <f t="shared" ca="1" si="304"/>
        <v>0</v>
      </c>
      <c r="S494" s="264">
        <f t="shared" ca="1" si="304"/>
        <v>0</v>
      </c>
      <c r="T494" s="264">
        <f t="shared" ref="T494:T502" ca="1" si="305">IF(Q494&gt;0,S494*100/Q494,0)</f>
        <v>0</v>
      </c>
      <c r="U494" s="264">
        <f t="shared" ref="U494:U502" ca="1" si="306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6">
        <f t="shared" ref="L495:N496" si="307">L498+L501</f>
        <v>0</v>
      </c>
      <c r="M495" s="77">
        <f t="shared" si="307"/>
        <v>0</v>
      </c>
      <c r="N495" s="77">
        <f t="shared" si="307"/>
        <v>0</v>
      </c>
      <c r="O495" s="77">
        <f t="shared" si="302"/>
        <v>0</v>
      </c>
      <c r="P495" s="77">
        <f t="shared" si="303"/>
        <v>0</v>
      </c>
      <c r="Q495" s="77">
        <f t="shared" ref="Q495:S496" si="308">Q498+Q501</f>
        <v>0</v>
      </c>
      <c r="R495" s="77">
        <f t="shared" si="308"/>
        <v>0</v>
      </c>
      <c r="S495" s="77">
        <f t="shared" si="308"/>
        <v>0</v>
      </c>
      <c r="T495" s="77">
        <f t="shared" si="305"/>
        <v>0</v>
      </c>
      <c r="U495" s="77">
        <f t="shared" si="306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3">
        <f t="shared" si="307"/>
        <v>0</v>
      </c>
      <c r="M496" s="74">
        <f t="shared" si="307"/>
        <v>0</v>
      </c>
      <c r="N496" s="74">
        <f t="shared" si="307"/>
        <v>0</v>
      </c>
      <c r="O496" s="74">
        <f t="shared" si="302"/>
        <v>0</v>
      </c>
      <c r="P496" s="74">
        <f t="shared" si="303"/>
        <v>0</v>
      </c>
      <c r="Q496" s="74">
        <f t="shared" ca="1" si="308"/>
        <v>0</v>
      </c>
      <c r="R496" s="74">
        <f t="shared" ca="1" si="308"/>
        <v>0</v>
      </c>
      <c r="S496" s="74">
        <f t="shared" ca="1" si="308"/>
        <v>0</v>
      </c>
      <c r="T496" s="74">
        <f t="shared" ca="1" si="305"/>
        <v>0</v>
      </c>
      <c r="U496" s="74">
        <f t="shared" ca="1" si="306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3">
        <f t="shared" ref="L497:N497" si="309">L498+L499</f>
        <v>0</v>
      </c>
      <c r="M497" s="74">
        <f t="shared" si="309"/>
        <v>0</v>
      </c>
      <c r="N497" s="74">
        <f t="shared" si="309"/>
        <v>0</v>
      </c>
      <c r="O497" s="74">
        <f t="shared" si="302"/>
        <v>0</v>
      </c>
      <c r="P497" s="74">
        <f t="shared" si="303"/>
        <v>0</v>
      </c>
      <c r="Q497" s="74">
        <f t="shared" ref="Q497:S497" ca="1" si="310">Q498+Q499</f>
        <v>0</v>
      </c>
      <c r="R497" s="74">
        <f t="shared" ca="1" si="310"/>
        <v>0</v>
      </c>
      <c r="S497" s="74">
        <f t="shared" ca="1" si="310"/>
        <v>0</v>
      </c>
      <c r="T497" s="74">
        <f t="shared" ca="1" si="305"/>
        <v>0</v>
      </c>
      <c r="U497" s="74">
        <f t="shared" ca="1" si="306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77">
        <f t="shared" si="302"/>
        <v>0</v>
      </c>
      <c r="P498" s="77">
        <f t="shared" si="303"/>
        <v>0</v>
      </c>
      <c r="Q498" s="77">
        <v>0</v>
      </c>
      <c r="R498" s="77">
        <v>0</v>
      </c>
      <c r="S498" s="77">
        <v>0</v>
      </c>
      <c r="T498" s="77">
        <f t="shared" si="305"/>
        <v>0</v>
      </c>
      <c r="U498" s="77">
        <f t="shared" si="306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74">
        <f t="shared" si="302"/>
        <v>0</v>
      </c>
      <c r="P499" s="74">
        <f t="shared" si="303"/>
        <v>0</v>
      </c>
      <c r="Q499" s="74">
        <f ca="1">IFERROR(__xludf.DUMMYFUNCTION("IMPORTRANGE(""https://docs.google.com/spreadsheets/d/1ItG2mGa2ceCfYo0BwxsXqNm01IGEUdYcSSLTEv9YCik/edit?usp=sharing"",""เบิกจ่ายกองทุน!X70"")"),0)</f>
        <v>0</v>
      </c>
      <c r="R499" s="74">
        <f ca="1">IFERROR(__xludf.DUMMYFUNCTION("IMPORTRANGE(""https://docs.google.com/spreadsheets/d/1ItG2mGa2ceCfYo0BwxsXqNm01IGEUdYcSSLTEv9YCik/edit?usp=sharing"",""เบิกจ่ายกองทุน!Y70"")"),0)</f>
        <v>0</v>
      </c>
      <c r="S499" s="74">
        <f ca="1">IFERROR(__xludf.DUMMYFUNCTION("IMPORTRANGE(""https://docs.google.com/spreadsheets/d/1ItG2mGa2ceCfYo0BwxsXqNm01IGEUdYcSSLTEv9YCik/edit?usp=sharing"",""เบิกจ่ายกองทุน!Z70"")"),0)</f>
        <v>0</v>
      </c>
      <c r="T499" s="74">
        <f t="shared" ca="1" si="305"/>
        <v>0</v>
      </c>
      <c r="U499" s="74">
        <f t="shared" ca="1" si="306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3">
        <f t="shared" ref="L500:N500" si="311">L501+L502</f>
        <v>0</v>
      </c>
      <c r="M500" s="74">
        <f t="shared" si="311"/>
        <v>0</v>
      </c>
      <c r="N500" s="74">
        <f t="shared" si="311"/>
        <v>0</v>
      </c>
      <c r="O500" s="74">
        <f t="shared" si="302"/>
        <v>0</v>
      </c>
      <c r="P500" s="74">
        <f t="shared" si="303"/>
        <v>0</v>
      </c>
      <c r="Q500" s="74">
        <f t="shared" ref="Q500:S500" si="312">Q501+Q502</f>
        <v>0</v>
      </c>
      <c r="R500" s="74">
        <f t="shared" si="312"/>
        <v>0</v>
      </c>
      <c r="S500" s="74">
        <f t="shared" si="312"/>
        <v>0</v>
      </c>
      <c r="T500" s="74">
        <f t="shared" si="305"/>
        <v>0</v>
      </c>
      <c r="U500" s="74">
        <f t="shared" si="306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77">
        <f t="shared" si="302"/>
        <v>0</v>
      </c>
      <c r="P501" s="77">
        <f t="shared" si="303"/>
        <v>0</v>
      </c>
      <c r="Q501" s="77">
        <v>0</v>
      </c>
      <c r="R501" s="77">
        <v>0</v>
      </c>
      <c r="S501" s="77">
        <v>0</v>
      </c>
      <c r="T501" s="77">
        <f t="shared" si="305"/>
        <v>0</v>
      </c>
      <c r="U501" s="77">
        <f t="shared" si="306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74">
        <f t="shared" si="302"/>
        <v>0</v>
      </c>
      <c r="P502" s="74">
        <f t="shared" si="303"/>
        <v>0</v>
      </c>
      <c r="Q502" s="74">
        <v>0</v>
      </c>
      <c r="R502" s="74">
        <v>0</v>
      </c>
      <c r="S502" s="74">
        <v>0</v>
      </c>
      <c r="T502" s="74">
        <f t="shared" si="305"/>
        <v>0</v>
      </c>
      <c r="U502" s="74">
        <f t="shared" si="306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IFERROR(__xludf.DUMMYFUNCTION("IMPORTRANGE(""https://docs.google.com/spreadsheets/d/1eHaY18a8A9IcSdp1K8H6x8fbOy06t2VsZHhMHf-1x7Y/edit?usp=sharing"",""แผน!GX70"")"),0)</f>
        <v>0</v>
      </c>
      <c r="J504" s="622">
        <f ca="1">IF(AND(J505=I505,J506=I506,J507=I507,J508=I508),I504,0)</f>
        <v>0</v>
      </c>
      <c r="K504" s="264">
        <f t="shared" ref="K504:K510" ca="1" si="313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IFERROR(__xludf.DUMMYFUNCTION("IMPORTRANGE(""https://docs.google.com/spreadsheets/d/1eHaY18a8A9IcSdp1K8H6x8fbOy06t2VsZHhMHf-1x7Y/edit?usp=sharing"",""แผน!GY70"")"),0)</f>
        <v>0</v>
      </c>
      <c r="J505" s="294">
        <v>0</v>
      </c>
      <c r="K505" s="74">
        <f t="shared" ca="1" si="313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IFERROR(__xludf.DUMMYFUNCTION("IMPORTRANGE(""https://docs.google.com/spreadsheets/d/1eHaY18a8A9IcSdp1K8H6x8fbOy06t2VsZHhMHf-1x7Y/edit?usp=sharing"",""แผน!GZ70"")"),0)</f>
        <v>0</v>
      </c>
      <c r="J506" s="294">
        <v>0</v>
      </c>
      <c r="K506" s="74">
        <f t="shared" ca="1" si="313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IFERROR(__xludf.DUMMYFUNCTION("IMPORTRANGE(""https://docs.google.com/spreadsheets/d/1eHaY18a8A9IcSdp1K8H6x8fbOy06t2VsZHhMHf-1x7Y/edit?usp=sharing"",""แผน!HA70"")"),0)</f>
        <v>0</v>
      </c>
      <c r="J507" s="294">
        <v>0</v>
      </c>
      <c r="K507" s="74">
        <f t="shared" ca="1" si="313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IFERROR(__xludf.DUMMYFUNCTION("IMPORTRANGE(""https://docs.google.com/spreadsheets/d/1eHaY18a8A9IcSdp1K8H6x8fbOy06t2VsZHhMHf-1x7Y/edit?usp=sharing"",""แผน!HB70"")"),0)</f>
        <v>0</v>
      </c>
      <c r="J508" s="294">
        <v>0</v>
      </c>
      <c r="K508" s="74">
        <f t="shared" ca="1" si="313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3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IFERROR(__xludf.DUMMYFUNCTION("IMPORTRANGE(""https://docs.google.com/spreadsheets/d/1eHaY18a8A9IcSdp1K8H6x8fbOy06t2VsZHhMHf-1x7Y/edit?usp=sharing"",""แผน!HC70"")"),0)</f>
        <v>0</v>
      </c>
      <c r="J510" s="761">
        <v>0</v>
      </c>
      <c r="K510" s="182">
        <f t="shared" ca="1" si="313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9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309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987" t="s">
        <v>61</v>
      </c>
      <c r="I513" s="988">
        <f t="shared" ref="I513:J513" si="314">I525</f>
        <v>0</v>
      </c>
      <c r="J513" s="988">
        <f t="shared" si="314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7">
        <f t="shared" ref="L514:N514" ca="1" si="315">L515+L516</f>
        <v>0</v>
      </c>
      <c r="M514" s="264">
        <f t="shared" ca="1" si="315"/>
        <v>0</v>
      </c>
      <c r="N514" s="264">
        <f t="shared" ca="1" si="315"/>
        <v>0</v>
      </c>
      <c r="O514" s="264">
        <f t="shared" ref="O514:O522" ca="1" si="316">IF(L514&gt;0,N514*100/L514,0)</f>
        <v>0</v>
      </c>
      <c r="P514" s="264">
        <f t="shared" ref="P514:P522" ca="1" si="317">IF(M514&gt;0,N514*100/M514,0)</f>
        <v>0</v>
      </c>
      <c r="Q514" s="264">
        <f t="shared" ref="Q514:S514" si="318">Q515+Q516</f>
        <v>0</v>
      </c>
      <c r="R514" s="264">
        <f t="shared" si="318"/>
        <v>0</v>
      </c>
      <c r="S514" s="264">
        <f t="shared" si="318"/>
        <v>0</v>
      </c>
      <c r="T514" s="264">
        <f t="shared" ref="T514:T522" si="319">IF(Q514&gt;0,S514*100/Q514,0)</f>
        <v>0</v>
      </c>
      <c r="U514" s="264">
        <f t="shared" ref="U514:U522" si="320">IF(R514&gt;0,S514*100/R514,0)</f>
        <v>0</v>
      </c>
    </row>
    <row r="515" spans="1:21" ht="18.75" hidden="1" x14ac:dyDescent="0.25">
      <c r="A515" s="257"/>
      <c r="B515" s="258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6">
        <f t="shared" ref="L515:N516" si="321">L518+L521</f>
        <v>0</v>
      </c>
      <c r="M515" s="77">
        <f t="shared" si="321"/>
        <v>0</v>
      </c>
      <c r="N515" s="77">
        <f t="shared" si="321"/>
        <v>0</v>
      </c>
      <c r="O515" s="77">
        <f t="shared" si="316"/>
        <v>0</v>
      </c>
      <c r="P515" s="77">
        <f t="shared" si="317"/>
        <v>0</v>
      </c>
      <c r="Q515" s="77">
        <f t="shared" ref="Q515:S516" si="322">Q518+Q521</f>
        <v>0</v>
      </c>
      <c r="R515" s="77">
        <f t="shared" si="322"/>
        <v>0</v>
      </c>
      <c r="S515" s="77">
        <f t="shared" si="322"/>
        <v>0</v>
      </c>
      <c r="T515" s="77">
        <f t="shared" si="319"/>
        <v>0</v>
      </c>
      <c r="U515" s="77">
        <f t="shared" si="320"/>
        <v>0</v>
      </c>
    </row>
    <row r="516" spans="1:21" ht="18.75" hidden="1" x14ac:dyDescent="0.25">
      <c r="A516" s="257"/>
      <c r="B516" s="258"/>
      <c r="C516" s="258"/>
      <c r="D516" s="258"/>
      <c r="E516" s="265" t="s">
        <v>21</v>
      </c>
      <c r="F516" s="258"/>
      <c r="G516" s="261"/>
      <c r="H516" s="266" t="s">
        <v>14</v>
      </c>
      <c r="I516" s="263"/>
      <c r="J516" s="263"/>
      <c r="K516" s="87"/>
      <c r="L516" s="73">
        <f t="shared" ca="1" si="321"/>
        <v>0</v>
      </c>
      <c r="M516" s="74">
        <f t="shared" ca="1" si="321"/>
        <v>0</v>
      </c>
      <c r="N516" s="74">
        <f t="shared" ca="1" si="321"/>
        <v>0</v>
      </c>
      <c r="O516" s="74">
        <f t="shared" ca="1" si="316"/>
        <v>0</v>
      </c>
      <c r="P516" s="74">
        <f t="shared" ca="1" si="317"/>
        <v>0</v>
      </c>
      <c r="Q516" s="74">
        <f t="shared" si="322"/>
        <v>0</v>
      </c>
      <c r="R516" s="74">
        <f t="shared" si="322"/>
        <v>0</v>
      </c>
      <c r="S516" s="74">
        <f t="shared" si="322"/>
        <v>0</v>
      </c>
      <c r="T516" s="74">
        <f t="shared" si="319"/>
        <v>0</v>
      </c>
      <c r="U516" s="74">
        <f t="shared" si="320"/>
        <v>0</v>
      </c>
    </row>
    <row r="517" spans="1:21" ht="18.75" hidden="1" x14ac:dyDescent="0.25">
      <c r="A517" s="257"/>
      <c r="B517" s="258"/>
      <c r="C517" s="258"/>
      <c r="D517" s="991" t="s">
        <v>22</v>
      </c>
      <c r="E517" s="258"/>
      <c r="F517" s="258"/>
      <c r="G517" s="261"/>
      <c r="H517" s="273" t="s">
        <v>14</v>
      </c>
      <c r="I517" s="272"/>
      <c r="J517" s="272"/>
      <c r="K517" s="229"/>
      <c r="L517" s="73">
        <f t="shared" ref="L517:N517" ca="1" si="323">L518+L519</f>
        <v>0</v>
      </c>
      <c r="M517" s="74">
        <f t="shared" ca="1" si="323"/>
        <v>0</v>
      </c>
      <c r="N517" s="74">
        <f t="shared" ca="1" si="323"/>
        <v>0</v>
      </c>
      <c r="O517" s="74">
        <f t="shared" ca="1" si="316"/>
        <v>0</v>
      </c>
      <c r="P517" s="74">
        <f t="shared" ca="1" si="317"/>
        <v>0</v>
      </c>
      <c r="Q517" s="74">
        <f t="shared" ref="Q517:S517" si="324">Q518+Q519</f>
        <v>0</v>
      </c>
      <c r="R517" s="74">
        <f t="shared" si="324"/>
        <v>0</v>
      </c>
      <c r="S517" s="74">
        <f t="shared" si="324"/>
        <v>0</v>
      </c>
      <c r="T517" s="74">
        <f t="shared" si="319"/>
        <v>0</v>
      </c>
      <c r="U517" s="74">
        <f t="shared" si="320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77">
        <f t="shared" si="316"/>
        <v>0</v>
      </c>
      <c r="P518" s="77">
        <f t="shared" si="317"/>
        <v>0</v>
      </c>
      <c r="Q518" s="77">
        <v>0</v>
      </c>
      <c r="R518" s="77">
        <v>0</v>
      </c>
      <c r="S518" s="77">
        <v>0</v>
      </c>
      <c r="T518" s="77">
        <f t="shared" si="319"/>
        <v>0</v>
      </c>
      <c r="U518" s="77">
        <f t="shared" si="320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3">
        <f ca="1">IFERROR(__xludf.DUMMYFUNCTION("IMPORTRANGE(""https://docs.google.com/spreadsheets/d/1-uDff_7J0KD5mKrp0Vvzr7lt3OU09vwQwhkpOPPYv2Y/edit?usp=sharing"",""งบพรบ!FM70"")"),0)</f>
        <v>0</v>
      </c>
      <c r="M519" s="74">
        <f ca="1">IFERROR(__xludf.DUMMYFUNCTION("IMPORTRANGE(""https://docs.google.com/spreadsheets/d/1-uDff_7J0KD5mKrp0Vvzr7lt3OU09vwQwhkpOPPYv2Y/edit?usp=sharing"",""งบพรบ!FR70"")"),0)</f>
        <v>0</v>
      </c>
      <c r="N519" s="74">
        <f ca="1">IFERROR(__xludf.DUMMYFUNCTION("IMPORTRANGE(""https://docs.google.com/spreadsheets/d/1-uDff_7J0KD5mKrp0Vvzr7lt3OU09vwQwhkpOPPYv2Y/edit?usp=sharing"",""งบพรบ!FT70"")"),0)</f>
        <v>0</v>
      </c>
      <c r="O519" s="74">
        <f t="shared" ca="1" si="316"/>
        <v>0</v>
      </c>
      <c r="P519" s="74">
        <f t="shared" ca="1" si="317"/>
        <v>0</v>
      </c>
      <c r="Q519" s="74">
        <v>0</v>
      </c>
      <c r="R519" s="74">
        <v>0</v>
      </c>
      <c r="S519" s="74">
        <v>0</v>
      </c>
      <c r="T519" s="74">
        <f t="shared" si="319"/>
        <v>0</v>
      </c>
      <c r="U519" s="74">
        <f t="shared" si="320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3">
        <f t="shared" ref="L520:N520" ca="1" si="325">L521+L522</f>
        <v>0</v>
      </c>
      <c r="M520" s="74">
        <f t="shared" ca="1" si="325"/>
        <v>0</v>
      </c>
      <c r="N520" s="74">
        <f t="shared" ca="1" si="325"/>
        <v>0</v>
      </c>
      <c r="O520" s="74">
        <f t="shared" ca="1" si="316"/>
        <v>0</v>
      </c>
      <c r="P520" s="74">
        <f t="shared" ca="1" si="317"/>
        <v>0</v>
      </c>
      <c r="Q520" s="74">
        <f t="shared" ref="Q520:S520" si="326">Q521+Q522</f>
        <v>0</v>
      </c>
      <c r="R520" s="74">
        <f t="shared" si="326"/>
        <v>0</v>
      </c>
      <c r="S520" s="74">
        <f t="shared" si="326"/>
        <v>0</v>
      </c>
      <c r="T520" s="74">
        <f t="shared" si="319"/>
        <v>0</v>
      </c>
      <c r="U520" s="74">
        <f t="shared" si="320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77">
        <f t="shared" si="316"/>
        <v>0</v>
      </c>
      <c r="P521" s="77">
        <f t="shared" si="317"/>
        <v>0</v>
      </c>
      <c r="Q521" s="77">
        <v>0</v>
      </c>
      <c r="R521" s="77">
        <v>0</v>
      </c>
      <c r="S521" s="77">
        <v>0</v>
      </c>
      <c r="T521" s="77">
        <f t="shared" si="319"/>
        <v>0</v>
      </c>
      <c r="U521" s="77">
        <f t="shared" si="320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3">
        <f ca="1">IFERROR(__xludf.DUMMYFUNCTION("IMPORTRANGE(""https://docs.google.com/spreadsheets/d/1-uDff_7J0KD5mKrp0Vvzr7lt3OU09vwQwhkpOPPYv2Y/edit?usp=sharing"",""งบพรบ!FP70"")"),0)</f>
        <v>0</v>
      </c>
      <c r="M522" s="74">
        <f ca="1">IFERROR(__xludf.DUMMYFUNCTION("IMPORTRANGE(""https://docs.google.com/spreadsheets/d/1-uDff_7J0KD5mKrp0Vvzr7lt3OU09vwQwhkpOPPYv2Y/edit?usp=sharing"",""งบพรบ!FS70"")"),0)</f>
        <v>0</v>
      </c>
      <c r="N522" s="74">
        <f ca="1">IFERROR(__xludf.DUMMYFUNCTION("IMPORTRANGE(""https://docs.google.com/spreadsheets/d/1-uDff_7J0KD5mKrp0Vvzr7lt3OU09vwQwhkpOPPYv2Y/edit?usp=sharing"",""งบพรบ!FU70"")"),0)</f>
        <v>0</v>
      </c>
      <c r="O522" s="74">
        <f t="shared" ca="1" si="316"/>
        <v>0</v>
      </c>
      <c r="P522" s="74">
        <f t="shared" ca="1" si="317"/>
        <v>0</v>
      </c>
      <c r="Q522" s="74">
        <v>0</v>
      </c>
      <c r="R522" s="74">
        <v>0</v>
      </c>
      <c r="S522" s="74">
        <v>0</v>
      </c>
      <c r="T522" s="74">
        <f t="shared" si="319"/>
        <v>0</v>
      </c>
      <c r="U522" s="74">
        <f t="shared" si="320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7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7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8">I546</f>
        <v>0</v>
      </c>
      <c r="J534" s="1002">
        <f t="shared" si="328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1257">
        <f t="shared" ref="L535:N535" si="329">L536+L537</f>
        <v>0</v>
      </c>
      <c r="M535" s="264">
        <f t="shared" si="329"/>
        <v>0</v>
      </c>
      <c r="N535" s="264">
        <f t="shared" si="329"/>
        <v>0</v>
      </c>
      <c r="O535" s="264">
        <f t="shared" ref="O535:O543" si="330">IF(L535&gt;0,N535*100/L535,0)</f>
        <v>0</v>
      </c>
      <c r="P535" s="264">
        <f t="shared" ref="P535:P543" si="331">IF(M535&gt;0,N535*100/M535,0)</f>
        <v>0</v>
      </c>
      <c r="Q535" s="264">
        <f t="shared" ref="Q535:S535" si="332">Q536+Q537</f>
        <v>0</v>
      </c>
      <c r="R535" s="264">
        <f t="shared" si="332"/>
        <v>0</v>
      </c>
      <c r="S535" s="264">
        <f t="shared" si="332"/>
        <v>0</v>
      </c>
      <c r="T535" s="264">
        <f t="shared" ref="T535:T543" si="333">IF(Q535&gt;0,S535*100/Q535,0)</f>
        <v>0</v>
      </c>
      <c r="U535" s="264">
        <f t="shared" ref="U535:U543" si="334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6">
        <f t="shared" ref="L536:N537" si="335">L539+L542</f>
        <v>0</v>
      </c>
      <c r="M536" s="77">
        <f t="shared" si="335"/>
        <v>0</v>
      </c>
      <c r="N536" s="77">
        <f t="shared" si="335"/>
        <v>0</v>
      </c>
      <c r="O536" s="77">
        <f t="shared" si="330"/>
        <v>0</v>
      </c>
      <c r="P536" s="77">
        <f t="shared" si="331"/>
        <v>0</v>
      </c>
      <c r="Q536" s="77">
        <f t="shared" ref="Q536:S537" si="336">Q539+Q542</f>
        <v>0</v>
      </c>
      <c r="R536" s="77">
        <f t="shared" si="336"/>
        <v>0</v>
      </c>
      <c r="S536" s="77">
        <f t="shared" si="336"/>
        <v>0</v>
      </c>
      <c r="T536" s="77">
        <f t="shared" si="333"/>
        <v>0</v>
      </c>
      <c r="U536" s="77">
        <f t="shared" si="334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3">
        <f t="shared" si="335"/>
        <v>0</v>
      </c>
      <c r="M537" s="74">
        <f t="shared" si="335"/>
        <v>0</v>
      </c>
      <c r="N537" s="74">
        <f t="shared" si="335"/>
        <v>0</v>
      </c>
      <c r="O537" s="74">
        <f t="shared" si="330"/>
        <v>0</v>
      </c>
      <c r="P537" s="74">
        <f t="shared" si="331"/>
        <v>0</v>
      </c>
      <c r="Q537" s="74">
        <f t="shared" si="336"/>
        <v>0</v>
      </c>
      <c r="R537" s="74">
        <f t="shared" si="336"/>
        <v>0</v>
      </c>
      <c r="S537" s="74">
        <f t="shared" si="336"/>
        <v>0</v>
      </c>
      <c r="T537" s="74">
        <f t="shared" si="333"/>
        <v>0</v>
      </c>
      <c r="U537" s="74">
        <f t="shared" si="334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3">
        <f t="shared" ref="L538:N538" si="337">L539+L540</f>
        <v>0</v>
      </c>
      <c r="M538" s="74">
        <f t="shared" si="337"/>
        <v>0</v>
      </c>
      <c r="N538" s="74">
        <f t="shared" si="337"/>
        <v>0</v>
      </c>
      <c r="O538" s="74">
        <f t="shared" si="330"/>
        <v>0</v>
      </c>
      <c r="P538" s="74">
        <f t="shared" si="331"/>
        <v>0</v>
      </c>
      <c r="Q538" s="74">
        <f t="shared" ref="Q538:S538" si="338">Q539+Q540</f>
        <v>0</v>
      </c>
      <c r="R538" s="74">
        <f t="shared" si="338"/>
        <v>0</v>
      </c>
      <c r="S538" s="74">
        <f t="shared" si="338"/>
        <v>0</v>
      </c>
      <c r="T538" s="74">
        <f t="shared" si="333"/>
        <v>0</v>
      </c>
      <c r="U538" s="74">
        <f t="shared" si="334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77">
        <f t="shared" si="330"/>
        <v>0</v>
      </c>
      <c r="P539" s="77">
        <f t="shared" si="331"/>
        <v>0</v>
      </c>
      <c r="Q539" s="77">
        <v>0</v>
      </c>
      <c r="R539" s="77">
        <v>0</v>
      </c>
      <c r="S539" s="77">
        <v>0</v>
      </c>
      <c r="T539" s="77">
        <f t="shared" si="333"/>
        <v>0</v>
      </c>
      <c r="U539" s="77">
        <f t="shared" si="334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74">
        <f t="shared" si="330"/>
        <v>0</v>
      </c>
      <c r="P540" s="74">
        <f t="shared" si="331"/>
        <v>0</v>
      </c>
      <c r="Q540" s="74">
        <v>0</v>
      </c>
      <c r="R540" s="74">
        <v>0</v>
      </c>
      <c r="S540" s="74">
        <v>0</v>
      </c>
      <c r="T540" s="74">
        <f t="shared" si="333"/>
        <v>0</v>
      </c>
      <c r="U540" s="74">
        <f t="shared" si="334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3">
        <f t="shared" ref="L541:N541" si="339">L542+L543</f>
        <v>0</v>
      </c>
      <c r="M541" s="74">
        <f t="shared" si="339"/>
        <v>0</v>
      </c>
      <c r="N541" s="74">
        <f t="shared" si="339"/>
        <v>0</v>
      </c>
      <c r="O541" s="74">
        <f t="shared" si="330"/>
        <v>0</v>
      </c>
      <c r="P541" s="74">
        <f t="shared" si="331"/>
        <v>0</v>
      </c>
      <c r="Q541" s="74">
        <f t="shared" ref="Q541:S541" si="340">Q542+Q543</f>
        <v>0</v>
      </c>
      <c r="R541" s="74">
        <f t="shared" si="340"/>
        <v>0</v>
      </c>
      <c r="S541" s="74">
        <f t="shared" si="340"/>
        <v>0</v>
      </c>
      <c r="T541" s="74">
        <f t="shared" si="333"/>
        <v>0</v>
      </c>
      <c r="U541" s="74">
        <f t="shared" si="334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77">
        <f t="shared" si="330"/>
        <v>0</v>
      </c>
      <c r="P542" s="77">
        <f t="shared" si="331"/>
        <v>0</v>
      </c>
      <c r="Q542" s="77">
        <v>0</v>
      </c>
      <c r="R542" s="77">
        <v>0</v>
      </c>
      <c r="S542" s="77">
        <v>0</v>
      </c>
      <c r="T542" s="77">
        <f t="shared" si="333"/>
        <v>0</v>
      </c>
      <c r="U542" s="77">
        <f t="shared" si="334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74">
        <f t="shared" si="330"/>
        <v>0</v>
      </c>
      <c r="P543" s="74">
        <f t="shared" si="331"/>
        <v>0</v>
      </c>
      <c r="Q543" s="74">
        <v>0</v>
      </c>
      <c r="R543" s="74">
        <v>0</v>
      </c>
      <c r="S543" s="74">
        <v>0</v>
      </c>
      <c r="T543" s="74">
        <f t="shared" si="333"/>
        <v>0</v>
      </c>
      <c r="U543" s="74">
        <f t="shared" si="334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1">I567</f>
        <v>0</v>
      </c>
      <c r="J555" s="1002">
        <f t="shared" si="341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1257">
        <f t="shared" ref="L556:N556" si="342">L557+L558</f>
        <v>0</v>
      </c>
      <c r="M556" s="264">
        <f t="shared" si="342"/>
        <v>0</v>
      </c>
      <c r="N556" s="264">
        <f t="shared" si="342"/>
        <v>0</v>
      </c>
      <c r="O556" s="264">
        <f t="shared" ref="O556:O564" si="343">IF(L556&gt;0,N556*100/L556,0)</f>
        <v>0</v>
      </c>
      <c r="P556" s="264">
        <f t="shared" ref="P556:P564" si="344">IF(M556&gt;0,N556*100/M556,0)</f>
        <v>0</v>
      </c>
      <c r="Q556" s="264">
        <f t="shared" ref="Q556:S556" si="345">Q557+Q558</f>
        <v>0</v>
      </c>
      <c r="R556" s="264">
        <f t="shared" si="345"/>
        <v>0</v>
      </c>
      <c r="S556" s="264">
        <f t="shared" si="345"/>
        <v>0</v>
      </c>
      <c r="T556" s="264">
        <f t="shared" ref="T556:T564" si="346">IF(Q556&gt;0,S556*100/Q556,0)</f>
        <v>0</v>
      </c>
      <c r="U556" s="264">
        <f t="shared" ref="U556:U564" si="347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6">
        <f t="shared" ref="L557:N558" si="348">L560+L563</f>
        <v>0</v>
      </c>
      <c r="M557" s="77">
        <f t="shared" si="348"/>
        <v>0</v>
      </c>
      <c r="N557" s="77">
        <f t="shared" si="348"/>
        <v>0</v>
      </c>
      <c r="O557" s="77">
        <f t="shared" si="343"/>
        <v>0</v>
      </c>
      <c r="P557" s="77">
        <f t="shared" si="344"/>
        <v>0</v>
      </c>
      <c r="Q557" s="77">
        <f t="shared" ref="Q557:S558" si="349">Q560+Q563</f>
        <v>0</v>
      </c>
      <c r="R557" s="77">
        <f t="shared" si="349"/>
        <v>0</v>
      </c>
      <c r="S557" s="77">
        <f t="shared" si="349"/>
        <v>0</v>
      </c>
      <c r="T557" s="77">
        <f t="shared" si="346"/>
        <v>0</v>
      </c>
      <c r="U557" s="77">
        <f t="shared" si="347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3">
        <f t="shared" si="348"/>
        <v>0</v>
      </c>
      <c r="M558" s="74">
        <f t="shared" si="348"/>
        <v>0</v>
      </c>
      <c r="N558" s="74">
        <f t="shared" si="348"/>
        <v>0</v>
      </c>
      <c r="O558" s="74">
        <f t="shared" si="343"/>
        <v>0</v>
      </c>
      <c r="P558" s="74">
        <f t="shared" si="344"/>
        <v>0</v>
      </c>
      <c r="Q558" s="74">
        <f t="shared" si="349"/>
        <v>0</v>
      </c>
      <c r="R558" s="74">
        <f t="shared" si="349"/>
        <v>0</v>
      </c>
      <c r="S558" s="74">
        <f t="shared" si="349"/>
        <v>0</v>
      </c>
      <c r="T558" s="74">
        <f t="shared" si="346"/>
        <v>0</v>
      </c>
      <c r="U558" s="74">
        <f t="shared" si="347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3">
        <f t="shared" ref="L559:N559" si="350">L560+L561</f>
        <v>0</v>
      </c>
      <c r="M559" s="74">
        <f t="shared" si="350"/>
        <v>0</v>
      </c>
      <c r="N559" s="74">
        <f t="shared" si="350"/>
        <v>0</v>
      </c>
      <c r="O559" s="74">
        <f t="shared" si="343"/>
        <v>0</v>
      </c>
      <c r="P559" s="74">
        <f t="shared" si="344"/>
        <v>0</v>
      </c>
      <c r="Q559" s="74">
        <f t="shared" ref="Q559:S559" si="351">Q560+Q561</f>
        <v>0</v>
      </c>
      <c r="R559" s="74">
        <f t="shared" si="351"/>
        <v>0</v>
      </c>
      <c r="S559" s="74">
        <f t="shared" si="351"/>
        <v>0</v>
      </c>
      <c r="T559" s="74">
        <f t="shared" si="346"/>
        <v>0</v>
      </c>
      <c r="U559" s="74">
        <f t="shared" si="347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77">
        <f t="shared" si="343"/>
        <v>0</v>
      </c>
      <c r="P560" s="77">
        <f t="shared" si="344"/>
        <v>0</v>
      </c>
      <c r="Q560" s="77">
        <v>0</v>
      </c>
      <c r="R560" s="77">
        <v>0</v>
      </c>
      <c r="S560" s="77">
        <v>0</v>
      </c>
      <c r="T560" s="77">
        <f t="shared" si="346"/>
        <v>0</v>
      </c>
      <c r="U560" s="77">
        <f t="shared" si="347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74">
        <f t="shared" si="343"/>
        <v>0</v>
      </c>
      <c r="P561" s="74">
        <f t="shared" si="344"/>
        <v>0</v>
      </c>
      <c r="Q561" s="74">
        <v>0</v>
      </c>
      <c r="R561" s="74">
        <v>0</v>
      </c>
      <c r="S561" s="74">
        <v>0</v>
      </c>
      <c r="T561" s="74">
        <f t="shared" si="346"/>
        <v>0</v>
      </c>
      <c r="U561" s="74">
        <f t="shared" si="347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3">
        <f t="shared" ref="L562:N562" si="352">L563+L564</f>
        <v>0</v>
      </c>
      <c r="M562" s="74">
        <f t="shared" si="352"/>
        <v>0</v>
      </c>
      <c r="N562" s="74">
        <f t="shared" si="352"/>
        <v>0</v>
      </c>
      <c r="O562" s="74">
        <f t="shared" si="343"/>
        <v>0</v>
      </c>
      <c r="P562" s="74">
        <f t="shared" si="344"/>
        <v>0</v>
      </c>
      <c r="Q562" s="74">
        <f t="shared" ref="Q562:S562" si="353">Q563+Q564</f>
        <v>0</v>
      </c>
      <c r="R562" s="74">
        <f t="shared" si="353"/>
        <v>0</v>
      </c>
      <c r="S562" s="74">
        <f t="shared" si="353"/>
        <v>0</v>
      </c>
      <c r="T562" s="74">
        <f t="shared" si="346"/>
        <v>0</v>
      </c>
      <c r="U562" s="74">
        <f t="shared" si="347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77">
        <f t="shared" si="343"/>
        <v>0</v>
      </c>
      <c r="P563" s="77">
        <f t="shared" si="344"/>
        <v>0</v>
      </c>
      <c r="Q563" s="77">
        <v>0</v>
      </c>
      <c r="R563" s="77">
        <v>0</v>
      </c>
      <c r="S563" s="77">
        <v>0</v>
      </c>
      <c r="T563" s="77">
        <f t="shared" si="346"/>
        <v>0</v>
      </c>
      <c r="U563" s="77">
        <f t="shared" si="347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74">
        <f t="shared" si="343"/>
        <v>0</v>
      </c>
      <c r="P564" s="74">
        <f t="shared" si="344"/>
        <v>0</v>
      </c>
      <c r="Q564" s="74">
        <v>0</v>
      </c>
      <c r="R564" s="74">
        <v>0</v>
      </c>
      <c r="S564" s="74">
        <v>0</v>
      </c>
      <c r="T564" s="74">
        <f t="shared" si="346"/>
        <v>0</v>
      </c>
      <c r="U564" s="74">
        <f t="shared" si="347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4">I588</f>
        <v>0</v>
      </c>
      <c r="J576" s="1002">
        <f t="shared" si="354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1257">
        <f t="shared" ref="L577:N577" si="355">L578+L579</f>
        <v>0</v>
      </c>
      <c r="M577" s="264">
        <f t="shared" si="355"/>
        <v>0</v>
      </c>
      <c r="N577" s="264">
        <f t="shared" si="355"/>
        <v>0</v>
      </c>
      <c r="O577" s="264">
        <f t="shared" ref="O577:O585" si="356">IF(L577&gt;0,N577*100/L577,0)</f>
        <v>0</v>
      </c>
      <c r="P577" s="264">
        <f t="shared" ref="P577:P585" si="357">IF(M577&gt;0,N577*100/M577,0)</f>
        <v>0</v>
      </c>
      <c r="Q577" s="264">
        <f t="shared" ref="Q577:S577" si="358">Q578+Q579</f>
        <v>0</v>
      </c>
      <c r="R577" s="264">
        <f t="shared" si="358"/>
        <v>0</v>
      </c>
      <c r="S577" s="264">
        <f t="shared" si="358"/>
        <v>0</v>
      </c>
      <c r="T577" s="264">
        <f t="shared" ref="T577:T585" si="359">IF(Q577&gt;0,S577*100/Q577,0)</f>
        <v>0</v>
      </c>
      <c r="U577" s="264">
        <f t="shared" ref="U577:U585" si="360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6">
        <f t="shared" ref="L578:N579" si="361">L581+L584</f>
        <v>0</v>
      </c>
      <c r="M578" s="77">
        <f t="shared" si="361"/>
        <v>0</v>
      </c>
      <c r="N578" s="77">
        <f t="shared" si="361"/>
        <v>0</v>
      </c>
      <c r="O578" s="77">
        <f t="shared" si="356"/>
        <v>0</v>
      </c>
      <c r="P578" s="77">
        <f t="shared" si="357"/>
        <v>0</v>
      </c>
      <c r="Q578" s="77">
        <f t="shared" ref="Q578:S579" si="362">Q581+Q584</f>
        <v>0</v>
      </c>
      <c r="R578" s="77">
        <f t="shared" si="362"/>
        <v>0</v>
      </c>
      <c r="S578" s="77">
        <f t="shared" si="362"/>
        <v>0</v>
      </c>
      <c r="T578" s="77">
        <f t="shared" si="359"/>
        <v>0</v>
      </c>
      <c r="U578" s="77">
        <f t="shared" si="360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3">
        <f t="shared" si="361"/>
        <v>0</v>
      </c>
      <c r="M579" s="74">
        <f t="shared" si="361"/>
        <v>0</v>
      </c>
      <c r="N579" s="74">
        <f t="shared" si="361"/>
        <v>0</v>
      </c>
      <c r="O579" s="74">
        <f t="shared" si="356"/>
        <v>0</v>
      </c>
      <c r="P579" s="74">
        <f t="shared" si="357"/>
        <v>0</v>
      </c>
      <c r="Q579" s="74">
        <f t="shared" si="362"/>
        <v>0</v>
      </c>
      <c r="R579" s="74">
        <f t="shared" si="362"/>
        <v>0</v>
      </c>
      <c r="S579" s="74">
        <f t="shared" si="362"/>
        <v>0</v>
      </c>
      <c r="T579" s="74">
        <f t="shared" si="359"/>
        <v>0</v>
      </c>
      <c r="U579" s="74">
        <f t="shared" si="360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3">
        <f t="shared" ref="L580:N580" si="363">L581+L582</f>
        <v>0</v>
      </c>
      <c r="M580" s="74">
        <f t="shared" si="363"/>
        <v>0</v>
      </c>
      <c r="N580" s="74">
        <f t="shared" si="363"/>
        <v>0</v>
      </c>
      <c r="O580" s="74">
        <f t="shared" si="356"/>
        <v>0</v>
      </c>
      <c r="P580" s="74">
        <f t="shared" si="357"/>
        <v>0</v>
      </c>
      <c r="Q580" s="74">
        <f t="shared" ref="Q580:S580" si="364">Q581+Q582</f>
        <v>0</v>
      </c>
      <c r="R580" s="74">
        <f t="shared" si="364"/>
        <v>0</v>
      </c>
      <c r="S580" s="74">
        <f t="shared" si="364"/>
        <v>0</v>
      </c>
      <c r="T580" s="74">
        <f t="shared" si="359"/>
        <v>0</v>
      </c>
      <c r="U580" s="74">
        <f t="shared" si="360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77">
        <f t="shared" si="356"/>
        <v>0</v>
      </c>
      <c r="P581" s="77">
        <f t="shared" si="357"/>
        <v>0</v>
      </c>
      <c r="Q581" s="77">
        <v>0</v>
      </c>
      <c r="R581" s="77">
        <v>0</v>
      </c>
      <c r="S581" s="77">
        <v>0</v>
      </c>
      <c r="T581" s="77">
        <f t="shared" si="359"/>
        <v>0</v>
      </c>
      <c r="U581" s="77">
        <f t="shared" si="360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74">
        <f t="shared" si="356"/>
        <v>0</v>
      </c>
      <c r="P582" s="74">
        <f t="shared" si="357"/>
        <v>0</v>
      </c>
      <c r="Q582" s="74">
        <v>0</v>
      </c>
      <c r="R582" s="74">
        <v>0</v>
      </c>
      <c r="S582" s="74">
        <v>0</v>
      </c>
      <c r="T582" s="74">
        <f t="shared" si="359"/>
        <v>0</v>
      </c>
      <c r="U582" s="74">
        <f t="shared" si="360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3">
        <f t="shared" ref="L583:N583" si="365">L584+L585</f>
        <v>0</v>
      </c>
      <c r="M583" s="74">
        <f t="shared" si="365"/>
        <v>0</v>
      </c>
      <c r="N583" s="74">
        <f t="shared" si="365"/>
        <v>0</v>
      </c>
      <c r="O583" s="74">
        <f t="shared" si="356"/>
        <v>0</v>
      </c>
      <c r="P583" s="74">
        <f t="shared" si="357"/>
        <v>0</v>
      </c>
      <c r="Q583" s="74">
        <f t="shared" ref="Q583:S583" si="366">Q584+Q585</f>
        <v>0</v>
      </c>
      <c r="R583" s="74">
        <f t="shared" si="366"/>
        <v>0</v>
      </c>
      <c r="S583" s="74">
        <f t="shared" si="366"/>
        <v>0</v>
      </c>
      <c r="T583" s="74">
        <f t="shared" si="359"/>
        <v>0</v>
      </c>
      <c r="U583" s="74">
        <f t="shared" si="360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77">
        <f t="shared" si="356"/>
        <v>0</v>
      </c>
      <c r="P584" s="77">
        <f t="shared" si="357"/>
        <v>0</v>
      </c>
      <c r="Q584" s="77">
        <v>0</v>
      </c>
      <c r="R584" s="77">
        <v>0</v>
      </c>
      <c r="S584" s="77">
        <v>0</v>
      </c>
      <c r="T584" s="77">
        <f t="shared" si="359"/>
        <v>0</v>
      </c>
      <c r="U584" s="77">
        <f t="shared" si="360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74">
        <f t="shared" si="356"/>
        <v>0</v>
      </c>
      <c r="P585" s="74">
        <f t="shared" si="357"/>
        <v>0</v>
      </c>
      <c r="Q585" s="74">
        <v>0</v>
      </c>
      <c r="R585" s="74">
        <v>0</v>
      </c>
      <c r="S585" s="74">
        <v>0</v>
      </c>
      <c r="T585" s="74">
        <f t="shared" si="359"/>
        <v>0</v>
      </c>
      <c r="U585" s="74">
        <f t="shared" si="360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1257">
        <f t="shared" ref="L600:N600" si="367">L601+L602</f>
        <v>0</v>
      </c>
      <c r="M600" s="264">
        <f t="shared" si="367"/>
        <v>0</v>
      </c>
      <c r="N600" s="264">
        <f t="shared" si="367"/>
        <v>0</v>
      </c>
      <c r="O600" s="264">
        <f t="shared" ref="O600:O608" si="368">IF(L600&gt;0,N600*100/L600,0)</f>
        <v>0</v>
      </c>
      <c r="P600" s="264">
        <f t="shared" ref="P600:P608" si="369">IF(M600&gt;0,N600*100/M600,0)</f>
        <v>0</v>
      </c>
      <c r="Q600" s="264">
        <f t="shared" ref="Q600:S600" si="370">Q601+Q602</f>
        <v>0</v>
      </c>
      <c r="R600" s="264">
        <f t="shared" si="370"/>
        <v>0</v>
      </c>
      <c r="S600" s="264">
        <f t="shared" si="370"/>
        <v>0</v>
      </c>
      <c r="T600" s="264">
        <f t="shared" ref="T600:T608" si="371">IF(Q600&gt;0,S600*100/Q600,0)</f>
        <v>0</v>
      </c>
      <c r="U600" s="264">
        <f t="shared" ref="U600:U608" si="372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6">
        <f t="shared" ref="L601:N602" si="373">L604+L607</f>
        <v>0</v>
      </c>
      <c r="M601" s="77">
        <f t="shared" si="373"/>
        <v>0</v>
      </c>
      <c r="N601" s="77">
        <f t="shared" si="373"/>
        <v>0</v>
      </c>
      <c r="O601" s="77">
        <f t="shared" si="368"/>
        <v>0</v>
      </c>
      <c r="P601" s="77">
        <f t="shared" si="369"/>
        <v>0</v>
      </c>
      <c r="Q601" s="77">
        <f t="shared" ref="Q601:S602" si="374">Q604+Q607</f>
        <v>0</v>
      </c>
      <c r="R601" s="77">
        <f t="shared" si="374"/>
        <v>0</v>
      </c>
      <c r="S601" s="77">
        <f t="shared" si="374"/>
        <v>0</v>
      </c>
      <c r="T601" s="77">
        <f t="shared" si="371"/>
        <v>0</v>
      </c>
      <c r="U601" s="77">
        <f t="shared" si="372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3">
        <f t="shared" si="373"/>
        <v>0</v>
      </c>
      <c r="M602" s="74">
        <f t="shared" si="373"/>
        <v>0</v>
      </c>
      <c r="N602" s="74">
        <f t="shared" si="373"/>
        <v>0</v>
      </c>
      <c r="O602" s="74">
        <f t="shared" si="368"/>
        <v>0</v>
      </c>
      <c r="P602" s="74">
        <f t="shared" si="369"/>
        <v>0</v>
      </c>
      <c r="Q602" s="74">
        <f t="shared" si="374"/>
        <v>0</v>
      </c>
      <c r="R602" s="74">
        <f t="shared" si="374"/>
        <v>0</v>
      </c>
      <c r="S602" s="74">
        <f t="shared" si="374"/>
        <v>0</v>
      </c>
      <c r="T602" s="74">
        <f t="shared" si="371"/>
        <v>0</v>
      </c>
      <c r="U602" s="74">
        <f t="shared" si="372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3">
        <f t="shared" ref="L603:N603" si="375">L604+L605</f>
        <v>0</v>
      </c>
      <c r="M603" s="74">
        <f t="shared" si="375"/>
        <v>0</v>
      </c>
      <c r="N603" s="74">
        <f t="shared" si="375"/>
        <v>0</v>
      </c>
      <c r="O603" s="74">
        <f t="shared" si="368"/>
        <v>0</v>
      </c>
      <c r="P603" s="74">
        <f t="shared" si="369"/>
        <v>0</v>
      </c>
      <c r="Q603" s="74">
        <f t="shared" ref="Q603:S603" si="376">Q604+Q605</f>
        <v>0</v>
      </c>
      <c r="R603" s="74">
        <f t="shared" si="376"/>
        <v>0</v>
      </c>
      <c r="S603" s="74">
        <f t="shared" si="376"/>
        <v>0</v>
      </c>
      <c r="T603" s="74">
        <f t="shared" si="371"/>
        <v>0</v>
      </c>
      <c r="U603" s="74">
        <f t="shared" si="372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77">
        <f t="shared" si="368"/>
        <v>0</v>
      </c>
      <c r="P604" s="77">
        <f t="shared" si="369"/>
        <v>0</v>
      </c>
      <c r="Q604" s="77">
        <v>0</v>
      </c>
      <c r="R604" s="77">
        <v>0</v>
      </c>
      <c r="S604" s="77">
        <v>0</v>
      </c>
      <c r="T604" s="77">
        <f t="shared" si="371"/>
        <v>0</v>
      </c>
      <c r="U604" s="77">
        <f t="shared" si="372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74">
        <f t="shared" si="368"/>
        <v>0</v>
      </c>
      <c r="P605" s="74">
        <f t="shared" si="369"/>
        <v>0</v>
      </c>
      <c r="Q605" s="74">
        <v>0</v>
      </c>
      <c r="R605" s="74">
        <v>0</v>
      </c>
      <c r="S605" s="74">
        <v>0</v>
      </c>
      <c r="T605" s="74">
        <f t="shared" si="371"/>
        <v>0</v>
      </c>
      <c r="U605" s="74">
        <f t="shared" si="372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3">
        <f t="shared" ref="L606:N606" si="377">L607+L608</f>
        <v>0</v>
      </c>
      <c r="M606" s="74">
        <f t="shared" si="377"/>
        <v>0</v>
      </c>
      <c r="N606" s="74">
        <f t="shared" si="377"/>
        <v>0</v>
      </c>
      <c r="O606" s="74">
        <f t="shared" si="368"/>
        <v>0</v>
      </c>
      <c r="P606" s="74">
        <f t="shared" si="369"/>
        <v>0</v>
      </c>
      <c r="Q606" s="74">
        <f t="shared" ref="Q606:S606" si="378">Q607+Q608</f>
        <v>0</v>
      </c>
      <c r="R606" s="74">
        <f t="shared" si="378"/>
        <v>0</v>
      </c>
      <c r="S606" s="74">
        <f t="shared" si="378"/>
        <v>0</v>
      </c>
      <c r="T606" s="74">
        <f t="shared" si="371"/>
        <v>0</v>
      </c>
      <c r="U606" s="74">
        <f t="shared" si="372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77">
        <f t="shared" si="368"/>
        <v>0</v>
      </c>
      <c r="P607" s="77">
        <f t="shared" si="369"/>
        <v>0</v>
      </c>
      <c r="Q607" s="77">
        <v>0</v>
      </c>
      <c r="R607" s="77">
        <v>0</v>
      </c>
      <c r="S607" s="77">
        <v>0</v>
      </c>
      <c r="T607" s="77">
        <f t="shared" si="371"/>
        <v>0</v>
      </c>
      <c r="U607" s="77">
        <f t="shared" si="372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74">
        <f t="shared" si="368"/>
        <v>0</v>
      </c>
      <c r="P608" s="74">
        <f t="shared" si="369"/>
        <v>0</v>
      </c>
      <c r="Q608" s="74">
        <v>0</v>
      </c>
      <c r="R608" s="74">
        <v>0</v>
      </c>
      <c r="S608" s="74">
        <v>0</v>
      </c>
      <c r="T608" s="74">
        <f t="shared" si="371"/>
        <v>0</v>
      </c>
      <c r="U608" s="74">
        <f t="shared" si="372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hidden="1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740">
        <f t="shared" ref="I616:J616" ca="1" si="379">I627</f>
        <v>50</v>
      </c>
      <c r="J616" s="740">
        <f t="shared" si="379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1257">
        <f t="shared" ref="L617:N617" si="380">L618+L619</f>
        <v>0</v>
      </c>
      <c r="M617" s="264">
        <f t="shared" si="380"/>
        <v>0</v>
      </c>
      <c r="N617" s="264">
        <f t="shared" si="380"/>
        <v>0</v>
      </c>
      <c r="O617" s="264">
        <f t="shared" ref="O617:O625" si="381">IF(L617&gt;0,N617*100/L617,0)</f>
        <v>0</v>
      </c>
      <c r="P617" s="264">
        <f t="shared" ref="P617:P625" si="382">IF(M617&gt;0,N617*100/M617,0)</f>
        <v>0</v>
      </c>
      <c r="Q617" s="264">
        <f t="shared" ref="Q617:S617" ca="1" si="383">Q618+Q619</f>
        <v>6825</v>
      </c>
      <c r="R617" s="264">
        <f t="shared" ca="1" si="383"/>
        <v>6825</v>
      </c>
      <c r="S617" s="264">
        <f t="shared" ca="1" si="383"/>
        <v>0</v>
      </c>
      <c r="T617" s="264">
        <f t="shared" ref="T617:T625" ca="1" si="384">IF(Q617&gt;0,S617*100/Q617,0)</f>
        <v>0</v>
      </c>
      <c r="U617" s="264">
        <f t="shared" ref="U617:U625" ca="1" si="385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6">
        <f t="shared" ref="L618:N619" si="386">L621+L624</f>
        <v>0</v>
      </c>
      <c r="M618" s="77">
        <f t="shared" si="386"/>
        <v>0</v>
      </c>
      <c r="N618" s="77">
        <f t="shared" si="386"/>
        <v>0</v>
      </c>
      <c r="O618" s="77">
        <f t="shared" si="381"/>
        <v>0</v>
      </c>
      <c r="P618" s="77">
        <f t="shared" si="382"/>
        <v>0</v>
      </c>
      <c r="Q618" s="77">
        <f t="shared" ref="Q618:S619" si="387">Q621+Q624</f>
        <v>0</v>
      </c>
      <c r="R618" s="77">
        <f t="shared" si="387"/>
        <v>0</v>
      </c>
      <c r="S618" s="77">
        <f t="shared" si="387"/>
        <v>0</v>
      </c>
      <c r="T618" s="77">
        <f t="shared" si="384"/>
        <v>0</v>
      </c>
      <c r="U618" s="77">
        <f t="shared" si="385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3">
        <f t="shared" si="386"/>
        <v>0</v>
      </c>
      <c r="M619" s="74">
        <f t="shared" si="386"/>
        <v>0</v>
      </c>
      <c r="N619" s="74">
        <f t="shared" si="386"/>
        <v>0</v>
      </c>
      <c r="O619" s="74">
        <f t="shared" si="381"/>
        <v>0</v>
      </c>
      <c r="P619" s="74">
        <f t="shared" si="382"/>
        <v>0</v>
      </c>
      <c r="Q619" s="74">
        <f t="shared" ca="1" si="387"/>
        <v>6825</v>
      </c>
      <c r="R619" s="74">
        <f t="shared" ca="1" si="387"/>
        <v>6825</v>
      </c>
      <c r="S619" s="74">
        <f t="shared" ca="1" si="387"/>
        <v>0</v>
      </c>
      <c r="T619" s="74">
        <f t="shared" ca="1" si="384"/>
        <v>0</v>
      </c>
      <c r="U619" s="74">
        <f t="shared" ca="1" si="385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3">
        <f t="shared" ref="L620:N620" si="388">L621+L622</f>
        <v>0</v>
      </c>
      <c r="M620" s="74">
        <f t="shared" si="388"/>
        <v>0</v>
      </c>
      <c r="N620" s="74">
        <f t="shared" si="388"/>
        <v>0</v>
      </c>
      <c r="O620" s="74">
        <f t="shared" si="381"/>
        <v>0</v>
      </c>
      <c r="P620" s="74">
        <f t="shared" si="382"/>
        <v>0</v>
      </c>
      <c r="Q620" s="74">
        <f t="shared" ref="Q620:S620" ca="1" si="389">Q621+Q622</f>
        <v>6825</v>
      </c>
      <c r="R620" s="74">
        <f t="shared" ca="1" si="389"/>
        <v>6825</v>
      </c>
      <c r="S620" s="74">
        <f t="shared" ca="1" si="389"/>
        <v>0</v>
      </c>
      <c r="T620" s="74">
        <f t="shared" ca="1" si="384"/>
        <v>0</v>
      </c>
      <c r="U620" s="74">
        <f t="shared" ca="1" si="385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77">
        <f t="shared" si="381"/>
        <v>0</v>
      </c>
      <c r="P621" s="77">
        <f t="shared" si="382"/>
        <v>0</v>
      </c>
      <c r="Q621" s="77">
        <v>0</v>
      </c>
      <c r="R621" s="77">
        <v>0</v>
      </c>
      <c r="S621" s="77">
        <v>0</v>
      </c>
      <c r="T621" s="77">
        <f t="shared" si="384"/>
        <v>0</v>
      </c>
      <c r="U621" s="77">
        <f t="shared" si="385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74">
        <f t="shared" si="381"/>
        <v>0</v>
      </c>
      <c r="P622" s="74">
        <f t="shared" si="382"/>
        <v>0</v>
      </c>
      <c r="Q622" s="74">
        <f ca="1">IFERROR(__xludf.DUMMYFUNCTION("IMPORTRANGE(""https://docs.google.com/spreadsheets/d/1ItG2mGa2ceCfYo0BwxsXqNm01IGEUdYcSSLTEv9YCik/edit?usp=sharing"",""เบิกจ่ายกองทุน!F70"")"),6825)</f>
        <v>6825</v>
      </c>
      <c r="R622" s="74">
        <f ca="1">IFERROR(__xludf.DUMMYFUNCTION("IMPORTRANGE(""https://docs.google.com/spreadsheets/d/1ItG2mGa2ceCfYo0BwxsXqNm01IGEUdYcSSLTEv9YCik/edit?usp=sharing"",""เบิกจ่ายกองทุน!G70"")"),6825)</f>
        <v>6825</v>
      </c>
      <c r="S622" s="74">
        <f ca="1">IFERROR(__xludf.DUMMYFUNCTION("IMPORTRANGE(""https://docs.google.com/spreadsheets/d/1ItG2mGa2ceCfYo0BwxsXqNm01IGEUdYcSSLTEv9YCik/edit?usp=sharing"",""เบิกจ่ายกองทุน!H70"")"),0)</f>
        <v>0</v>
      </c>
      <c r="T622" s="74">
        <f t="shared" ca="1" si="384"/>
        <v>0</v>
      </c>
      <c r="U622" s="74">
        <f t="shared" ca="1" si="385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3">
        <f t="shared" ref="L623:N623" si="390">L624+L625</f>
        <v>0</v>
      </c>
      <c r="M623" s="74">
        <f t="shared" si="390"/>
        <v>0</v>
      </c>
      <c r="N623" s="74">
        <f t="shared" si="390"/>
        <v>0</v>
      </c>
      <c r="O623" s="74">
        <f t="shared" si="381"/>
        <v>0</v>
      </c>
      <c r="P623" s="74">
        <f t="shared" si="382"/>
        <v>0</v>
      </c>
      <c r="Q623" s="74">
        <f t="shared" ref="Q623:S623" si="391">Q624+Q625</f>
        <v>0</v>
      </c>
      <c r="R623" s="74">
        <f t="shared" si="391"/>
        <v>0</v>
      </c>
      <c r="S623" s="74">
        <f t="shared" si="391"/>
        <v>0</v>
      </c>
      <c r="T623" s="74">
        <f t="shared" si="384"/>
        <v>0</v>
      </c>
      <c r="U623" s="74">
        <f t="shared" si="385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77">
        <f t="shared" si="381"/>
        <v>0</v>
      </c>
      <c r="P624" s="77">
        <f t="shared" si="382"/>
        <v>0</v>
      </c>
      <c r="Q624" s="77">
        <v>0</v>
      </c>
      <c r="R624" s="77">
        <v>0</v>
      </c>
      <c r="S624" s="77">
        <v>0</v>
      </c>
      <c r="T624" s="77">
        <f t="shared" si="384"/>
        <v>0</v>
      </c>
      <c r="U624" s="77">
        <f t="shared" si="385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74">
        <f t="shared" si="381"/>
        <v>0</v>
      </c>
      <c r="P625" s="74">
        <f t="shared" si="382"/>
        <v>0</v>
      </c>
      <c r="Q625" s="74">
        <v>0</v>
      </c>
      <c r="R625" s="74">
        <v>0</v>
      </c>
      <c r="S625" s="74">
        <v>0</v>
      </c>
      <c r="T625" s="74">
        <f t="shared" si="384"/>
        <v>0</v>
      </c>
      <c r="U625" s="74">
        <f t="shared" si="385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IFERROR(__xludf.DUMMYFUNCTION("IMPORTRANGE(""https://docs.google.com/spreadsheets/d/1eHaY18a8A9IcSdp1K8H6x8fbOy06t2VsZHhMHf-1x7Y/edit?usp=sharing"",""แผน!ID70"")"),50)</f>
        <v>50</v>
      </c>
      <c r="J627" s="622">
        <f>J633</f>
        <v>0</v>
      </c>
      <c r="K627" s="26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IFERROR(__xludf.DUMMYFUNCTION("IMPORTRANGE(""https://docs.google.com/spreadsheets/d/1eHaY18a8A9IcSdp1K8H6x8fbOy06t2VsZHhMHf-1x7Y/edit?usp=sharing"",""แผน!IC70"")"),0)</f>
        <v>0</v>
      </c>
      <c r="J628" s="294">
        <v>0</v>
      </c>
      <c r="K628" s="74">
        <f t="shared" ref="K628:K629" ca="1" si="392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IFERROR(__xludf.DUMMYFUNCTION("IMPORTRANGE(""https://docs.google.com/spreadsheets/d/1eHaY18a8A9IcSdp1K8H6x8fbOy06t2VsZHhMHf-1x7Y/edit?usp=sharing"",""แผน!IC70"")"),0)</f>
        <v>0</v>
      </c>
      <c r="J629" s="294">
        <v>0</v>
      </c>
      <c r="K629" s="74">
        <f t="shared" ca="1" si="392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0</v>
      </c>
      <c r="K630" s="74">
        <f t="shared" ref="K630:K632" ca="1" si="393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t="shared" ca="1" si="393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t="shared" ca="1" si="393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IFERROR(__xludf.DUMMYFUNCTION("IMPORTRANGE(""https://docs.google.com/spreadsheets/d/1eHaY18a8A9IcSdp1K8H6x8fbOy06t2VsZHhMHf-1x7Y/edit?usp=sharing"",""แผน!IE70"")"),0)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1257">
        <f t="shared" ref="L643:N643" si="394">L644+L645</f>
        <v>0</v>
      </c>
      <c r="M643" s="264">
        <f t="shared" si="394"/>
        <v>0</v>
      </c>
      <c r="N643" s="264">
        <f t="shared" si="394"/>
        <v>0</v>
      </c>
      <c r="O643" s="264">
        <f t="shared" ref="O643:O651" si="395">IF(L643&gt;0,N643*100/L643,0)</f>
        <v>0</v>
      </c>
      <c r="P643" s="264">
        <f t="shared" ref="P643:P651" si="396">IF(M643&gt;0,N643*100/M643,0)</f>
        <v>0</v>
      </c>
      <c r="Q643" s="264">
        <f t="shared" ref="Q643:S643" ca="1" si="397">Q644+Q645</f>
        <v>1600</v>
      </c>
      <c r="R643" s="264">
        <f t="shared" ca="1" si="397"/>
        <v>1600</v>
      </c>
      <c r="S643" s="264">
        <f t="shared" ca="1" si="397"/>
        <v>0</v>
      </c>
      <c r="T643" s="264">
        <f t="shared" ref="T643:T651" ca="1" si="398">IF(Q643&gt;0,S643*100/Q643,0)</f>
        <v>0</v>
      </c>
      <c r="U643" s="264">
        <f t="shared" ref="U643:U651" ca="1" si="399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6">
        <f t="shared" ref="L644:N645" si="400">L647+L650</f>
        <v>0</v>
      </c>
      <c r="M644" s="77">
        <f t="shared" si="400"/>
        <v>0</v>
      </c>
      <c r="N644" s="77">
        <f t="shared" si="400"/>
        <v>0</v>
      </c>
      <c r="O644" s="77">
        <f t="shared" si="395"/>
        <v>0</v>
      </c>
      <c r="P644" s="77">
        <f t="shared" si="396"/>
        <v>0</v>
      </c>
      <c r="Q644" s="77">
        <f t="shared" ref="Q644:S645" si="401">Q647+Q650</f>
        <v>0</v>
      </c>
      <c r="R644" s="77">
        <f t="shared" si="401"/>
        <v>0</v>
      </c>
      <c r="S644" s="77">
        <f t="shared" si="401"/>
        <v>0</v>
      </c>
      <c r="T644" s="77">
        <f t="shared" si="398"/>
        <v>0</v>
      </c>
      <c r="U644" s="77">
        <f t="shared" si="399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3">
        <f t="shared" si="400"/>
        <v>0</v>
      </c>
      <c r="M645" s="74">
        <f t="shared" si="400"/>
        <v>0</v>
      </c>
      <c r="N645" s="74">
        <f t="shared" si="400"/>
        <v>0</v>
      </c>
      <c r="O645" s="74">
        <f t="shared" si="395"/>
        <v>0</v>
      </c>
      <c r="P645" s="74">
        <f t="shared" si="396"/>
        <v>0</v>
      </c>
      <c r="Q645" s="74">
        <f t="shared" ca="1" si="401"/>
        <v>1600</v>
      </c>
      <c r="R645" s="74">
        <f t="shared" ca="1" si="401"/>
        <v>1600</v>
      </c>
      <c r="S645" s="74">
        <f t="shared" ca="1" si="401"/>
        <v>0</v>
      </c>
      <c r="T645" s="74">
        <f t="shared" ca="1" si="398"/>
        <v>0</v>
      </c>
      <c r="U645" s="74">
        <f t="shared" ca="1" si="399"/>
        <v>0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3">
        <f t="shared" ref="L646:N646" si="402">L647+L648</f>
        <v>0</v>
      </c>
      <c r="M646" s="74">
        <f t="shared" si="402"/>
        <v>0</v>
      </c>
      <c r="N646" s="74">
        <f t="shared" si="402"/>
        <v>0</v>
      </c>
      <c r="O646" s="74">
        <f t="shared" si="395"/>
        <v>0</v>
      </c>
      <c r="P646" s="74">
        <f t="shared" si="396"/>
        <v>0</v>
      </c>
      <c r="Q646" s="74">
        <f t="shared" ref="Q646:S646" ca="1" si="403">Q647+Q648</f>
        <v>1600</v>
      </c>
      <c r="R646" s="74">
        <f t="shared" ca="1" si="403"/>
        <v>1600</v>
      </c>
      <c r="S646" s="74">
        <f t="shared" ca="1" si="403"/>
        <v>0</v>
      </c>
      <c r="T646" s="74">
        <f t="shared" ca="1" si="398"/>
        <v>0</v>
      </c>
      <c r="U646" s="74">
        <f t="shared" ca="1" si="399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77">
        <f t="shared" si="395"/>
        <v>0</v>
      </c>
      <c r="P647" s="77">
        <f t="shared" si="396"/>
        <v>0</v>
      </c>
      <c r="Q647" s="77">
        <v>0</v>
      </c>
      <c r="R647" s="77">
        <v>0</v>
      </c>
      <c r="S647" s="77">
        <v>0</v>
      </c>
      <c r="T647" s="77">
        <f t="shared" si="398"/>
        <v>0</v>
      </c>
      <c r="U647" s="77">
        <f t="shared" si="399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74">
        <f t="shared" si="395"/>
        <v>0</v>
      </c>
      <c r="P648" s="74">
        <f t="shared" si="396"/>
        <v>0</v>
      </c>
      <c r="Q648" s="74">
        <f ca="1">IFERROR(__xludf.DUMMYFUNCTION("IMPORTRANGE(""https://docs.google.com/spreadsheets/d/1ItG2mGa2ceCfYo0BwxsXqNm01IGEUdYcSSLTEv9YCik/edit?usp=sharing"",""เบิกจ่ายกองทุน!I70"")"),1600)</f>
        <v>1600</v>
      </c>
      <c r="R648" s="74">
        <f ca="1">IFERROR(__xludf.DUMMYFUNCTION("IMPORTRANGE(""https://docs.google.com/spreadsheets/d/1ItG2mGa2ceCfYo0BwxsXqNm01IGEUdYcSSLTEv9YCik/edit?usp=sharing"",""เบิกจ่ายกองทุน!J70"")"),1600)</f>
        <v>1600</v>
      </c>
      <c r="S648" s="74">
        <f ca="1">IFERROR(__xludf.DUMMYFUNCTION("IMPORTRANGE(""https://docs.google.com/spreadsheets/d/1ItG2mGa2ceCfYo0BwxsXqNm01IGEUdYcSSLTEv9YCik/edit?usp=sharing"",""เบิกจ่ายกองทุน!K70"")"),0)</f>
        <v>0</v>
      </c>
      <c r="T648" s="74">
        <f t="shared" ca="1" si="398"/>
        <v>0</v>
      </c>
      <c r="U648" s="74">
        <f t="shared" ca="1" si="399"/>
        <v>0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3">
        <f t="shared" ref="L649:N649" si="404">L650+L651</f>
        <v>0</v>
      </c>
      <c r="M649" s="74">
        <f t="shared" si="404"/>
        <v>0</v>
      </c>
      <c r="N649" s="74">
        <f t="shared" si="404"/>
        <v>0</v>
      </c>
      <c r="O649" s="74">
        <f t="shared" si="395"/>
        <v>0</v>
      </c>
      <c r="P649" s="74">
        <f t="shared" si="396"/>
        <v>0</v>
      </c>
      <c r="Q649" s="74">
        <f t="shared" ref="Q649:S649" si="405">Q650+Q651</f>
        <v>0</v>
      </c>
      <c r="R649" s="74">
        <f t="shared" si="405"/>
        <v>0</v>
      </c>
      <c r="S649" s="74">
        <f t="shared" si="405"/>
        <v>0</v>
      </c>
      <c r="T649" s="74">
        <f t="shared" si="398"/>
        <v>0</v>
      </c>
      <c r="U649" s="74">
        <f t="shared" si="399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77">
        <f t="shared" si="395"/>
        <v>0</v>
      </c>
      <c r="P650" s="77">
        <f t="shared" si="396"/>
        <v>0</v>
      </c>
      <c r="Q650" s="77">
        <v>0</v>
      </c>
      <c r="R650" s="77">
        <v>0</v>
      </c>
      <c r="S650" s="77">
        <v>0</v>
      </c>
      <c r="T650" s="77">
        <f t="shared" si="398"/>
        <v>0</v>
      </c>
      <c r="U650" s="77">
        <f t="shared" si="399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74">
        <f t="shared" si="395"/>
        <v>0</v>
      </c>
      <c r="P651" s="74">
        <f t="shared" si="396"/>
        <v>0</v>
      </c>
      <c r="Q651" s="74">
        <v>0</v>
      </c>
      <c r="R651" s="74">
        <v>0</v>
      </c>
      <c r="S651" s="74">
        <v>0</v>
      </c>
      <c r="T651" s="74">
        <f t="shared" si="398"/>
        <v>0</v>
      </c>
      <c r="U651" s="74">
        <f t="shared" si="399"/>
        <v>0</v>
      </c>
    </row>
    <row r="652" spans="1:21" ht="19.5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IFERROR(__xludf.DUMMYFUNCTION("IMPORTRANGE(""https://docs.google.com/spreadsheets/d/1eHaY18a8A9IcSdp1K8H6x8fbOy06t2VsZHhMHf-1x7Y/edit?usp=sharing"",""แผน!IF70"")"),0)</f>
        <v>0</v>
      </c>
      <c r="J653" s="293">
        <f ca="1">IFERROR(__xludf.DUMMYFUNCTION("IMPORTRANGE(""https://docs.google.com/spreadsheets/d/1tdoBKaGub7dwA3U6UFTqxio9LNnvDCQjHKmttSEBsFQ/edit?usp=sharing"",""จัดที่ดิน!AU70"")"),0)</f>
        <v>0</v>
      </c>
      <c r="K653" s="74">
        <f t="shared" ref="K653:K655" ca="1" si="406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hidden="1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IFERROR(__xludf.DUMMYFUNCTION("IMPORTRANGE(""https://docs.google.com/spreadsheets/d/1eHaY18a8A9IcSdp1K8H6x8fbOy06t2VsZHhMHf-1x7Y/edit?usp=sharing"",""แผน!IG70"")"),0)</f>
        <v>0</v>
      </c>
      <c r="J654" s="293">
        <f ca="1">IFERROR(__xludf.DUMMYFUNCTION("IMPORTRANGE(""https://docs.google.com/spreadsheets/d/1tdoBKaGub7dwA3U6UFTqxio9LNnvDCQjHKmttSEBsFQ/edit?usp=sharing"",""จัดที่ดิน!AW70"")"),0)</f>
        <v>0</v>
      </c>
      <c r="K654" s="74">
        <f t="shared" ca="1" si="406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hidden="1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IFERROR(__xludf.DUMMYFUNCTION("IMPORTRANGE(""https://docs.google.com/spreadsheets/d/1eHaY18a8A9IcSdp1K8H6x8fbOy06t2VsZHhMHf-1x7Y/edit?usp=sharing"",""แผน!IH70"")"),0)</f>
        <v>0</v>
      </c>
      <c r="J655" s="622">
        <f>J658+J661</f>
        <v>0</v>
      </c>
      <c r="K655" s="264">
        <f t="shared" ca="1" si="406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hidden="1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hidden="1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hidden="1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IFERROR(__xludf.DUMMYFUNCTION("IMPORTRANGE(""https://docs.google.com/spreadsheets/d/1eHaY18a8A9IcSdp1K8H6x8fbOy06t2VsZHhMHf-1x7Y/edit?usp=sharing"",""แผน!II70"")"),0)</f>
        <v>0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hidden="1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hidden="1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hidden="1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IFERROR(__xludf.DUMMYFUNCTION("IMPORTRANGE(""https://docs.google.com/spreadsheets/d/1eHaY18a8A9IcSdp1K8H6x8fbOy06t2VsZHhMHf-1x7Y/edit?usp=sharing"",""แผน!IJ70"")"),0)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hidden="1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IFERROR(__xludf.DUMMYFUNCTION("IMPORTRANGE(""https://docs.google.com/spreadsheets/d/1eHaY18a8A9IcSdp1K8H6x8fbOy06t2VsZHhMHf-1x7Y/edit?usp=sharing"",""แผน!IK70"")"),0)</f>
        <v>0</v>
      </c>
      <c r="J662" s="622">
        <f>J668+J671</f>
        <v>0</v>
      </c>
      <c r="K662" s="264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hidden="1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hidden="1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hidden="1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hidden="1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hidden="1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hidden="1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hidden="1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hidden="1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hidden="1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hidden="1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IFERROR(__xludf.DUMMYFUNCTION("IMPORTRANGE(""https://docs.google.com/spreadsheets/d/1tdoBKaGub7dwA3U6UFTqxio9LNnvDCQjHKmttSEBsFQ/edit?usp=sharing"",""จัดที่ดิน!AY70"")"),0)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hidden="1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IFERROR(__xludf.DUMMYFUNCTION("IMPORTRANGE(""https://docs.google.com/spreadsheets/d/1tdoBKaGub7dwA3U6UFTqxio9LNnvDCQjHKmttSEBsFQ/edit?usp=sharing"",""จัดที่ดิน!AZ70"")"),0)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hidden="1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IFERROR(__xludf.DUMMYFUNCTION("IMPORTRANGE(""https://docs.google.com/spreadsheets/d/1eHaY18a8A9IcSdp1K8H6x8fbOy06t2VsZHhMHf-1x7Y/edit?usp=sharing"",""แผน!IL70"")"),0)</f>
        <v>0</v>
      </c>
      <c r="J674" s="293">
        <f ca="1">IFERROR(__xludf.DUMMYFUNCTION("IMPORTRANGE(""https://docs.google.com/spreadsheets/d/1tdoBKaGub7dwA3U6UFTqxio9LNnvDCQjHKmttSEBsFQ/edit?usp=sharing"",""จัดที่ดิน!BA70"")"),0)</f>
        <v>0</v>
      </c>
      <c r="K674" s="74">
        <f t="shared" ref="K674:K677" ca="1" si="407">IF(I674&gt;0,J674*100/I674,0)</f>
        <v>0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IFERROR(__xludf.DUMMYFUNCTION("IMPORTRANGE(""https://docs.google.com/spreadsheets/d/1eHaY18a8A9IcSdp1K8H6x8fbOy06t2VsZHhMHf-1x7Y/edit?usp=sharing"",""แผน!IM70"")"),5)</f>
        <v>5</v>
      </c>
      <c r="J675" s="622">
        <f ca="1">J677+J680</f>
        <v>0</v>
      </c>
      <c r="K675" s="264">
        <f t="shared" ca="1" si="407"/>
        <v>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IFERROR(__xludf.DUMMYFUNCTION("IMPORTRANGE(""https://docs.google.com/spreadsheets/d/1eHaY18a8A9IcSdp1K8H6x8fbOy06t2VsZHhMHf-1x7Y/edit?usp=sharing"",""แผน!IN70"")"),30)</f>
        <v>30</v>
      </c>
      <c r="J676" s="622">
        <f ca="1">J679+J682</f>
        <v>0</v>
      </c>
      <c r="K676" s="264">
        <f t="shared" ca="1" si="407"/>
        <v>0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IFERROR(__xludf.DUMMYFUNCTION("IMPORTRANGE(""https://docs.google.com/spreadsheets/d/1eHaY18a8A9IcSdp1K8H6x8fbOy06t2VsZHhMHf-1x7Y/edit?usp=sharing"",""แผน!IO70"")"),5)</f>
        <v>5</v>
      </c>
      <c r="J677" s="293">
        <f ca="1">IFERROR(__xludf.DUMMYFUNCTION("IMPORTRANGE(""https://docs.google.com/spreadsheets/d/1tdoBKaGub7dwA3U6UFTqxio9LNnvDCQjHKmttSEBsFQ/edit?usp=sharing"",""จัดที่ดิน!BF70"")"),0)</f>
        <v>0</v>
      </c>
      <c r="K677" s="74">
        <f t="shared" ca="1" si="407"/>
        <v>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IFERROR(__xludf.DUMMYFUNCTION("IMPORTRANGE(""https://docs.google.com/spreadsheets/d/1tdoBKaGub7dwA3U6UFTqxio9LNnvDCQjHKmttSEBsFQ/edit?usp=sharing"",""จัดที่ดิน!BG70"")"),0)</f>
        <v>0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IFERROR(__xludf.DUMMYFUNCTION("IMPORTRANGE(""https://docs.google.com/spreadsheets/d/1eHaY18a8A9IcSdp1K8H6x8fbOy06t2VsZHhMHf-1x7Y/edit?usp=sharing"",""แผน!IP70"")"),30)</f>
        <v>30</v>
      </c>
      <c r="J679" s="293">
        <f ca="1">IFERROR(__xludf.DUMMYFUNCTION("IMPORTRANGE(""https://docs.google.com/spreadsheets/d/1tdoBKaGub7dwA3U6UFTqxio9LNnvDCQjHKmttSEBsFQ/edit?usp=sharing"",""จัดที่ดิน!BH70"")"),0)</f>
        <v>0</v>
      </c>
      <c r="K679" s="74">
        <f t="shared" ref="K679:K680" ca="1" si="408">IF(I679&gt;0,J679*100/I679,0)</f>
        <v>0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IFERROR(__xludf.DUMMYFUNCTION("IMPORTRANGE(""https://docs.google.com/spreadsheets/d/1eHaY18a8A9IcSdp1K8H6x8fbOy06t2VsZHhMHf-1x7Y/edit?usp=sharing"",""แผน!IQ70"")"),0)</f>
        <v>0</v>
      </c>
      <c r="J680" s="293">
        <f ca="1">IFERROR(__xludf.DUMMYFUNCTION("IMPORTRANGE(""https://docs.google.com/spreadsheets/d/1tdoBKaGub7dwA3U6UFTqxio9LNnvDCQjHKmttSEBsFQ/edit?usp=sharing"",""จัดที่ดิน!BK70"")"),0)</f>
        <v>0</v>
      </c>
      <c r="K680" s="74">
        <f t="shared" ca="1" si="408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IFERROR(__xludf.DUMMYFUNCTION("IMPORTRANGE(""https://docs.google.com/spreadsheets/d/1tdoBKaGub7dwA3U6UFTqxio9LNnvDCQjHKmttSEBsFQ/edit?usp=sharing"",""จัดที่ดิน!BL70"")"),0)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IFERROR(__xludf.DUMMYFUNCTION("IMPORTRANGE(""https://docs.google.com/spreadsheets/d/1eHaY18a8A9IcSdp1K8H6x8fbOy06t2VsZHhMHf-1x7Y/edit?usp=sharing"",""แผน!IR70"")"),0)</f>
        <v>0</v>
      </c>
      <c r="J682" s="293">
        <f ca="1">IFERROR(__xludf.DUMMYFUNCTION("IMPORTRANGE(""https://docs.google.com/spreadsheets/d/1tdoBKaGub7dwA3U6UFTqxio9LNnvDCQjHKmttSEBsFQ/edit?usp=sharing"",""จัดที่ดิน!BM70"")"),0)</f>
        <v>0</v>
      </c>
      <c r="K682" s="74">
        <f t="shared" ref="K682:K683" ca="1" si="409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hidden="1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IFERROR(__xludf.DUMMYFUNCTION("IMPORTRANGE(""https://docs.google.com/spreadsheets/d/1eHaY18a8A9IcSdp1K8H6x8fbOy06t2VsZHhMHf-1x7Y/edit?usp=sharing"",""แผน!IS70"")"),0)</f>
        <v>0</v>
      </c>
      <c r="J683" s="622">
        <f>J686+J689</f>
        <v>0</v>
      </c>
      <c r="K683" s="264">
        <f t="shared" ca="1" si="409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hidden="1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hidden="1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hidden="1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hidden="1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hidden="1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hidden="1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80" t="s">
        <v>35</v>
      </c>
      <c r="I690" s="781">
        <f t="shared" ref="I690:J690" ca="1" si="410">I708</f>
        <v>30</v>
      </c>
      <c r="J690" s="781">
        <f t="shared" ca="1" si="410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1257">
        <f t="shared" ref="L691:N691" si="411">L692+L693</f>
        <v>0</v>
      </c>
      <c r="M691" s="264">
        <f t="shared" si="411"/>
        <v>0</v>
      </c>
      <c r="N691" s="264">
        <f t="shared" si="411"/>
        <v>0</v>
      </c>
      <c r="O691" s="264">
        <f t="shared" ref="O691:O699" si="412">IF(L691&gt;0,N691*100/L691,0)</f>
        <v>0</v>
      </c>
      <c r="P691" s="264">
        <f t="shared" ref="P691:P699" si="413">IF(M691&gt;0,N691*100/M691,0)</f>
        <v>0</v>
      </c>
      <c r="Q691" s="264">
        <f t="shared" ref="Q691:S691" ca="1" si="414">Q692+Q693</f>
        <v>121560</v>
      </c>
      <c r="R691" s="264">
        <f t="shared" ca="1" si="414"/>
        <v>121560</v>
      </c>
      <c r="S691" s="264">
        <f t="shared" ca="1" si="414"/>
        <v>0</v>
      </c>
      <c r="T691" s="264">
        <f t="shared" ref="T691:T699" ca="1" si="415">IF(Q691&gt;0,S691*100/Q691,0)</f>
        <v>0</v>
      </c>
      <c r="U691" s="264">
        <f t="shared" ref="U691:U699" ca="1" si="416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6">
        <f t="shared" ref="L692:N693" si="417">L695+L698</f>
        <v>0</v>
      </c>
      <c r="M692" s="77">
        <f t="shared" si="417"/>
        <v>0</v>
      </c>
      <c r="N692" s="77">
        <f t="shared" si="417"/>
        <v>0</v>
      </c>
      <c r="O692" s="77">
        <f t="shared" si="412"/>
        <v>0</v>
      </c>
      <c r="P692" s="77">
        <f t="shared" si="413"/>
        <v>0</v>
      </c>
      <c r="Q692" s="77">
        <f t="shared" ref="Q692:S693" si="418">Q695+Q698</f>
        <v>0</v>
      </c>
      <c r="R692" s="77">
        <f t="shared" si="418"/>
        <v>0</v>
      </c>
      <c r="S692" s="77">
        <f t="shared" si="418"/>
        <v>0</v>
      </c>
      <c r="T692" s="77">
        <f t="shared" si="415"/>
        <v>0</v>
      </c>
      <c r="U692" s="77">
        <f t="shared" si="416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3">
        <f t="shared" si="417"/>
        <v>0</v>
      </c>
      <c r="M693" s="74">
        <f t="shared" si="417"/>
        <v>0</v>
      </c>
      <c r="N693" s="74">
        <f t="shared" si="417"/>
        <v>0</v>
      </c>
      <c r="O693" s="74">
        <f t="shared" si="412"/>
        <v>0</v>
      </c>
      <c r="P693" s="74">
        <f t="shared" si="413"/>
        <v>0</v>
      </c>
      <c r="Q693" s="74">
        <f t="shared" ca="1" si="418"/>
        <v>121560</v>
      </c>
      <c r="R693" s="74">
        <f t="shared" ca="1" si="418"/>
        <v>121560</v>
      </c>
      <c r="S693" s="74">
        <f t="shared" ca="1" si="418"/>
        <v>0</v>
      </c>
      <c r="T693" s="74">
        <f t="shared" ca="1" si="415"/>
        <v>0</v>
      </c>
      <c r="U693" s="74">
        <f t="shared" ca="1" si="416"/>
        <v>0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3">
        <f t="shared" ref="L694:N694" si="419">L695+L696</f>
        <v>0</v>
      </c>
      <c r="M694" s="74">
        <f t="shared" si="419"/>
        <v>0</v>
      </c>
      <c r="N694" s="74">
        <f t="shared" si="419"/>
        <v>0</v>
      </c>
      <c r="O694" s="74">
        <f t="shared" si="412"/>
        <v>0</v>
      </c>
      <c r="P694" s="74">
        <f t="shared" si="413"/>
        <v>0</v>
      </c>
      <c r="Q694" s="74">
        <f t="shared" ref="Q694:S694" ca="1" si="420">Q695+Q696</f>
        <v>121560</v>
      </c>
      <c r="R694" s="74">
        <f t="shared" ca="1" si="420"/>
        <v>121560</v>
      </c>
      <c r="S694" s="74">
        <f t="shared" ca="1" si="420"/>
        <v>0</v>
      </c>
      <c r="T694" s="74">
        <f t="shared" ca="1" si="415"/>
        <v>0</v>
      </c>
      <c r="U694" s="74">
        <f t="shared" ca="1" si="416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77">
        <f t="shared" si="412"/>
        <v>0</v>
      </c>
      <c r="P695" s="77">
        <f t="shared" si="413"/>
        <v>0</v>
      </c>
      <c r="Q695" s="77">
        <v>0</v>
      </c>
      <c r="R695" s="77">
        <v>0</v>
      </c>
      <c r="S695" s="77">
        <v>0</v>
      </c>
      <c r="T695" s="77">
        <f t="shared" si="415"/>
        <v>0</v>
      </c>
      <c r="U695" s="77">
        <f t="shared" si="416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74">
        <f t="shared" si="412"/>
        <v>0</v>
      </c>
      <c r="P696" s="74">
        <f t="shared" si="413"/>
        <v>0</v>
      </c>
      <c r="Q696" s="74">
        <f ca="1">IFERROR(__xludf.DUMMYFUNCTION("IMPORTRANGE(""https://docs.google.com/spreadsheets/d/1ItG2mGa2ceCfYo0BwxsXqNm01IGEUdYcSSLTEv9YCik/edit?usp=sharing"",""เบิกจ่ายกองทุน!L70"")"),121560)</f>
        <v>121560</v>
      </c>
      <c r="R696" s="74">
        <f ca="1">IFERROR(__xludf.DUMMYFUNCTION("IMPORTRANGE(""https://docs.google.com/spreadsheets/d/1ItG2mGa2ceCfYo0BwxsXqNm01IGEUdYcSSLTEv9YCik/edit?usp=sharing"",""เบิกจ่ายกองทุน!M70"")"),121560)</f>
        <v>121560</v>
      </c>
      <c r="S696" s="74">
        <f ca="1">IFERROR(__xludf.DUMMYFUNCTION("IMPORTRANGE(""https://docs.google.com/spreadsheets/d/1ItG2mGa2ceCfYo0BwxsXqNm01IGEUdYcSSLTEv9YCik/edit?usp=sharing"",""เบิกจ่ายกองทุน!N70"")"),0)</f>
        <v>0</v>
      </c>
      <c r="T696" s="74">
        <f t="shared" ca="1" si="415"/>
        <v>0</v>
      </c>
      <c r="U696" s="74">
        <f t="shared" ca="1" si="416"/>
        <v>0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3">
        <f t="shared" ref="L697:N697" si="421">L698+L699</f>
        <v>0</v>
      </c>
      <c r="M697" s="74">
        <f t="shared" si="421"/>
        <v>0</v>
      </c>
      <c r="N697" s="74">
        <f t="shared" si="421"/>
        <v>0</v>
      </c>
      <c r="O697" s="74">
        <f t="shared" si="412"/>
        <v>0</v>
      </c>
      <c r="P697" s="74">
        <f t="shared" si="413"/>
        <v>0</v>
      </c>
      <c r="Q697" s="74">
        <f t="shared" ref="Q697:S697" si="422">Q698+Q699</f>
        <v>0</v>
      </c>
      <c r="R697" s="74">
        <f t="shared" si="422"/>
        <v>0</v>
      </c>
      <c r="S697" s="74">
        <f t="shared" si="422"/>
        <v>0</v>
      </c>
      <c r="T697" s="74">
        <f t="shared" si="415"/>
        <v>0</v>
      </c>
      <c r="U697" s="74">
        <f t="shared" si="416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77">
        <f t="shared" si="412"/>
        <v>0</v>
      </c>
      <c r="P698" s="77">
        <f t="shared" si="413"/>
        <v>0</v>
      </c>
      <c r="Q698" s="77">
        <v>0</v>
      </c>
      <c r="R698" s="77">
        <v>0</v>
      </c>
      <c r="S698" s="77">
        <v>0</v>
      </c>
      <c r="T698" s="77">
        <f t="shared" si="415"/>
        <v>0</v>
      </c>
      <c r="U698" s="77">
        <f t="shared" si="416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74">
        <f t="shared" si="412"/>
        <v>0</v>
      </c>
      <c r="P699" s="74">
        <f t="shared" si="413"/>
        <v>0</v>
      </c>
      <c r="Q699" s="74">
        <v>0</v>
      </c>
      <c r="R699" s="74">
        <v>0</v>
      </c>
      <c r="S699" s="74">
        <v>0</v>
      </c>
      <c r="T699" s="74">
        <f t="shared" si="415"/>
        <v>0</v>
      </c>
      <c r="U699" s="74">
        <f t="shared" si="416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IFERROR(__xludf.DUMMYFUNCTION("IMPORTRANGE(""https://docs.google.com/spreadsheets/d/1eHaY18a8A9IcSdp1K8H6x8fbOy06t2VsZHhMHf-1x7Y/edit?usp=sharing"",""แผน!LC70"")"),0)</f>
        <v>0</v>
      </c>
      <c r="J701" s="294">
        <v>0</v>
      </c>
      <c r="K701" s="768">
        <f t="shared" ref="K701:K711" ca="1" si="423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t="shared" ref="I702:J702" ca="1" si="424">I704+I706</f>
        <v>32</v>
      </c>
      <c r="J702" s="622">
        <f t="shared" ca="1" si="424"/>
        <v>0</v>
      </c>
      <c r="K702" s="264">
        <f t="shared" ca="1" si="423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0</v>
      </c>
      <c r="K703" s="264">
        <f t="shared" si="423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IFERROR(__xludf.DUMMYFUNCTION("IMPORTRANGE(""https://docs.google.com/spreadsheets/d/1eHaY18a8A9IcSdp1K8H6x8fbOy06t2VsZHhMHf-1x7Y/edit?usp=sharing"",""แผน!LJ70"")"),30)</f>
        <v>30</v>
      </c>
      <c r="J704" s="293">
        <f ca="1">IFERROR(__xludf.DUMMYFUNCTION("IMPORTRANGE(""https://docs.google.com/spreadsheets/d/1tdoBKaGub7dwA3U6UFTqxio9LNnvDCQjHKmttSEBsFQ/edit?usp=sharing"",""จัดที่ดิน!AP70"")"),0)</f>
        <v>0</v>
      </c>
      <c r="K704" s="74">
        <f t="shared" ca="1" si="423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IFERROR(__xludf.DUMMYFUNCTION("IMPORTRANGE(""https://docs.google.com/spreadsheets/d/1tdoBKaGub7dwA3U6UFTqxio9LNnvDCQjHKmttSEBsFQ/edit?usp=sharing"",""จัดที่ดิน!AQ70"")"),0)</f>
        <v>0</v>
      </c>
      <c r="K705" s="74">
        <f t="shared" si="423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IFERROR(__xludf.DUMMYFUNCTION("IMPORTRANGE(""https://docs.google.com/spreadsheets/d/1eHaY18a8A9IcSdp1K8H6x8fbOy06t2VsZHhMHf-1x7Y/edit?usp=sharing"",""แผน!LK70"")"),2)</f>
        <v>2</v>
      </c>
      <c r="J706" s="293">
        <f ca="1">IFERROR(__xludf.DUMMYFUNCTION("IMPORTRANGE(""https://docs.google.com/spreadsheets/d/1tdoBKaGub7dwA3U6UFTqxio9LNnvDCQjHKmttSEBsFQ/edit?usp=sharing"",""จัดที่ดิน!AR70"")"),0)</f>
        <v>0</v>
      </c>
      <c r="K706" s="768">
        <f t="shared" ca="1" si="423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IFERROR(__xludf.DUMMYFUNCTION("IMPORTRANGE(""https://docs.google.com/spreadsheets/d/1tdoBKaGub7dwA3U6UFTqxio9LNnvDCQjHKmttSEBsFQ/edit?usp=sharing"",""จัดที่ดิน!AS70"")"),0)</f>
        <v>0</v>
      </c>
      <c r="K707" s="74">
        <f t="shared" si="423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IFERROR(__xludf.DUMMYFUNCTION("IMPORTRANGE(""https://docs.google.com/spreadsheets/d/1eHaY18a8A9IcSdp1K8H6x8fbOy06t2VsZHhMHf-1x7Y/edit?usp=sharing"",""แผน!LJ70"")"),30)</f>
        <v>30</v>
      </c>
      <c r="J708" s="293">
        <f ca="1">IFERROR(__xludf.DUMMYFUNCTION("IMPORTRANGE(""https://docs.google.com/spreadsheets/d/1tdoBKaGub7dwA3U6UFTqxio9LNnvDCQjHKmttSEBsFQ/edit?usp=sharing"",""จัดที่ดิน!BN70"")"),0)</f>
        <v>0</v>
      </c>
      <c r="K708" s="74">
        <f t="shared" ca="1" si="423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IFERROR(__xludf.DUMMYFUNCTION("IMPORTRANGE(""https://docs.google.com/spreadsheets/d/1tdoBKaGub7dwA3U6UFTqxio9LNnvDCQjHKmttSEBsFQ/edit?usp=sharing"",""จัดที่ดิน!BO70"")"),0)</f>
        <v>0</v>
      </c>
      <c r="K709" s="74">
        <f t="shared" si="423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IFERROR(__xludf.DUMMYFUNCTION("IMPORTRANGE(""https://docs.google.com/spreadsheets/d/1eHaY18a8A9IcSdp1K8H6x8fbOy06t2VsZHhMHf-1x7Y/edit?usp=sharing"",""แผน!LK70"")"),2)</f>
        <v>2</v>
      </c>
      <c r="J710" s="293">
        <f ca="1">IFERROR(__xludf.DUMMYFUNCTION("IMPORTRANGE(""https://docs.google.com/spreadsheets/d/1tdoBKaGub7dwA3U6UFTqxio9LNnvDCQjHKmttSEBsFQ/edit?usp=sharing"",""จัดที่ดิน!BP70"")"),0)</f>
        <v>0</v>
      </c>
      <c r="K710" s="74">
        <f t="shared" ca="1" si="423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IFERROR(__xludf.DUMMYFUNCTION("IMPORTRANGE(""https://docs.google.com/spreadsheets/d/1tdoBKaGub7dwA3U6UFTqxio9LNnvDCQjHKmttSEBsFQ/edit?usp=sharing"",""จัดที่ดิน!BQ70"")"),0)</f>
        <v>0</v>
      </c>
      <c r="K711" s="74">
        <f t="shared" si="423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1257">
        <f t="shared" ref="L715:N715" si="425">L716+L717</f>
        <v>0</v>
      </c>
      <c r="M715" s="264">
        <f t="shared" si="425"/>
        <v>0</v>
      </c>
      <c r="N715" s="264">
        <f t="shared" si="425"/>
        <v>0</v>
      </c>
      <c r="O715" s="264">
        <f t="shared" ref="O715:O723" si="426">IF(L715&gt;0,N715*100/L715,0)</f>
        <v>0</v>
      </c>
      <c r="P715" s="264">
        <f t="shared" ref="P715:P723" si="427">IF(M715&gt;0,N715*100/M715,0)</f>
        <v>0</v>
      </c>
      <c r="Q715" s="264">
        <f t="shared" ref="Q715:S715" si="428">Q716+Q717</f>
        <v>0</v>
      </c>
      <c r="R715" s="264">
        <f t="shared" si="428"/>
        <v>0</v>
      </c>
      <c r="S715" s="264">
        <f t="shared" si="428"/>
        <v>0</v>
      </c>
      <c r="T715" s="264">
        <f t="shared" ref="T715:T723" si="429">IF(Q715&gt;0,S715*100/Q715,0)</f>
        <v>0</v>
      </c>
      <c r="U715" s="264">
        <f t="shared" ref="U715:U723" si="430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6">
        <f t="shared" ref="L716:N717" si="431">L719+L722</f>
        <v>0</v>
      </c>
      <c r="M716" s="77">
        <f t="shared" si="431"/>
        <v>0</v>
      </c>
      <c r="N716" s="77">
        <f t="shared" si="431"/>
        <v>0</v>
      </c>
      <c r="O716" s="77">
        <f t="shared" si="426"/>
        <v>0</v>
      </c>
      <c r="P716" s="77">
        <f t="shared" si="427"/>
        <v>0</v>
      </c>
      <c r="Q716" s="77">
        <f t="shared" ref="Q716:S717" si="432">Q719+Q722</f>
        <v>0</v>
      </c>
      <c r="R716" s="77">
        <f t="shared" si="432"/>
        <v>0</v>
      </c>
      <c r="S716" s="77">
        <f t="shared" si="432"/>
        <v>0</v>
      </c>
      <c r="T716" s="77">
        <f t="shared" si="429"/>
        <v>0</v>
      </c>
      <c r="U716" s="77">
        <f t="shared" si="430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3">
        <f t="shared" si="431"/>
        <v>0</v>
      </c>
      <c r="M717" s="74">
        <f t="shared" si="431"/>
        <v>0</v>
      </c>
      <c r="N717" s="74">
        <f t="shared" si="431"/>
        <v>0</v>
      </c>
      <c r="O717" s="74">
        <f t="shared" si="426"/>
        <v>0</v>
      </c>
      <c r="P717" s="74">
        <f t="shared" si="427"/>
        <v>0</v>
      </c>
      <c r="Q717" s="74">
        <f t="shared" si="432"/>
        <v>0</v>
      </c>
      <c r="R717" s="74">
        <f t="shared" si="432"/>
        <v>0</v>
      </c>
      <c r="S717" s="74">
        <f t="shared" si="432"/>
        <v>0</v>
      </c>
      <c r="T717" s="74">
        <f t="shared" si="429"/>
        <v>0</v>
      </c>
      <c r="U717" s="74">
        <f t="shared" si="430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3">
        <f t="shared" ref="L718:N718" si="433">L719+L720</f>
        <v>0</v>
      </c>
      <c r="M718" s="74">
        <f t="shared" si="433"/>
        <v>0</v>
      </c>
      <c r="N718" s="74">
        <f t="shared" si="433"/>
        <v>0</v>
      </c>
      <c r="O718" s="74">
        <f t="shared" si="426"/>
        <v>0</v>
      </c>
      <c r="P718" s="74">
        <f t="shared" si="427"/>
        <v>0</v>
      </c>
      <c r="Q718" s="74">
        <f t="shared" ref="Q718:S718" si="434">Q719+Q720</f>
        <v>0</v>
      </c>
      <c r="R718" s="74">
        <f t="shared" si="434"/>
        <v>0</v>
      </c>
      <c r="S718" s="74">
        <f t="shared" si="434"/>
        <v>0</v>
      </c>
      <c r="T718" s="74">
        <f t="shared" si="429"/>
        <v>0</v>
      </c>
      <c r="U718" s="74">
        <f t="shared" si="430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77">
        <f t="shared" si="426"/>
        <v>0</v>
      </c>
      <c r="P719" s="77">
        <f t="shared" si="427"/>
        <v>0</v>
      </c>
      <c r="Q719" s="77">
        <v>0</v>
      </c>
      <c r="R719" s="77">
        <v>0</v>
      </c>
      <c r="S719" s="77">
        <v>0</v>
      </c>
      <c r="T719" s="77">
        <f t="shared" si="429"/>
        <v>0</v>
      </c>
      <c r="U719" s="77">
        <f t="shared" si="430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74">
        <f t="shared" si="426"/>
        <v>0</v>
      </c>
      <c r="P720" s="74">
        <f t="shared" si="427"/>
        <v>0</v>
      </c>
      <c r="Q720" s="74">
        <v>0</v>
      </c>
      <c r="R720" s="74">
        <v>0</v>
      </c>
      <c r="S720" s="74">
        <v>0</v>
      </c>
      <c r="T720" s="74">
        <f t="shared" si="429"/>
        <v>0</v>
      </c>
      <c r="U720" s="74">
        <f t="shared" si="430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3">
        <f t="shared" ref="L721:N721" si="435">L722+L723</f>
        <v>0</v>
      </c>
      <c r="M721" s="74">
        <f t="shared" si="435"/>
        <v>0</v>
      </c>
      <c r="N721" s="74">
        <f t="shared" si="435"/>
        <v>0</v>
      </c>
      <c r="O721" s="74">
        <f t="shared" si="426"/>
        <v>0</v>
      </c>
      <c r="P721" s="74">
        <f t="shared" si="427"/>
        <v>0</v>
      </c>
      <c r="Q721" s="74">
        <f t="shared" ref="Q721:S721" si="436">Q722+Q723</f>
        <v>0</v>
      </c>
      <c r="R721" s="74">
        <f t="shared" si="436"/>
        <v>0</v>
      </c>
      <c r="S721" s="74">
        <f t="shared" si="436"/>
        <v>0</v>
      </c>
      <c r="T721" s="74">
        <f t="shared" si="429"/>
        <v>0</v>
      </c>
      <c r="U721" s="74">
        <f t="shared" si="430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77">
        <f t="shared" si="426"/>
        <v>0</v>
      </c>
      <c r="P722" s="77">
        <f t="shared" si="427"/>
        <v>0</v>
      </c>
      <c r="Q722" s="77">
        <v>0</v>
      </c>
      <c r="R722" s="77">
        <v>0</v>
      </c>
      <c r="S722" s="77">
        <v>0</v>
      </c>
      <c r="T722" s="77">
        <f t="shared" si="429"/>
        <v>0</v>
      </c>
      <c r="U722" s="77">
        <f t="shared" si="430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74">
        <f t="shared" si="426"/>
        <v>0</v>
      </c>
      <c r="P723" s="74">
        <f t="shared" si="427"/>
        <v>0</v>
      </c>
      <c r="Q723" s="74">
        <v>0</v>
      </c>
      <c r="R723" s="74">
        <v>0</v>
      </c>
      <c r="S723" s="74">
        <v>0</v>
      </c>
      <c r="T723" s="74">
        <f t="shared" si="429"/>
        <v>0</v>
      </c>
      <c r="U723" s="74">
        <f t="shared" si="430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IFERROR(__xludf.DUMMYFUNCTION("IMPORTRANGE(""https://docs.google.com/spreadsheets/d/1eHaY18a8A9IcSdp1K8H6x8fbOy06t2VsZHhMHf-1x7Y/edit?usp=sharing"",""แผน!GA70"")"),11)</f>
        <v>11</v>
      </c>
      <c r="J727" s="781">
        <f>J743+J747+J750</f>
        <v>0</v>
      </c>
      <c r="K727" s="766">
        <f t="shared" ref="K727:K728" ca="1" si="437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IFERROR(__xludf.DUMMYFUNCTION("IMPORTRANGE(""https://docs.google.com/spreadsheets/d/1eHaY18a8A9IcSdp1K8H6x8fbOy06t2VsZHhMHf-1x7Y/edit?usp=sharing"",""แผน!FZ70"")"),100)</f>
        <v>100</v>
      </c>
      <c r="J728" s="781">
        <f>J753+J756</f>
        <v>0</v>
      </c>
      <c r="K728" s="766">
        <f t="shared" ca="1" si="437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1257">
        <f t="shared" ref="L729:N729" si="438">L730+L731</f>
        <v>0</v>
      </c>
      <c r="M729" s="264">
        <f t="shared" si="438"/>
        <v>0</v>
      </c>
      <c r="N729" s="264">
        <f t="shared" si="438"/>
        <v>0</v>
      </c>
      <c r="O729" s="264">
        <f t="shared" ref="O729:O737" si="439">IF(L729&gt;0,N729*100/L729,0)</f>
        <v>0</v>
      </c>
      <c r="P729" s="264">
        <f t="shared" ref="P729:P737" si="440">IF(M729&gt;0,N729*100/M729,0)</f>
        <v>0</v>
      </c>
      <c r="Q729" s="264">
        <f t="shared" ref="Q729:S729" ca="1" si="441">Q730+Q731</f>
        <v>111882</v>
      </c>
      <c r="R729" s="264">
        <f t="shared" ca="1" si="441"/>
        <v>111882</v>
      </c>
      <c r="S729" s="264">
        <f t="shared" ca="1" si="441"/>
        <v>0</v>
      </c>
      <c r="T729" s="264">
        <f t="shared" ref="T729:T737" ca="1" si="442">IF(Q729&gt;0,S729*100/Q729,0)</f>
        <v>0</v>
      </c>
      <c r="U729" s="264">
        <f t="shared" ref="U729:U737" ca="1" si="443">IF(R729&gt;0,S729*100/R729,0)</f>
        <v>0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6">
        <f t="shared" ref="L730:N731" si="444">L733+L736</f>
        <v>0</v>
      </c>
      <c r="M730" s="77">
        <f t="shared" si="444"/>
        <v>0</v>
      </c>
      <c r="N730" s="77">
        <f t="shared" si="444"/>
        <v>0</v>
      </c>
      <c r="O730" s="77">
        <f t="shared" si="439"/>
        <v>0</v>
      </c>
      <c r="P730" s="77">
        <f t="shared" si="440"/>
        <v>0</v>
      </c>
      <c r="Q730" s="77">
        <f t="shared" ref="Q730:S731" si="445">Q733+Q736</f>
        <v>0</v>
      </c>
      <c r="R730" s="77">
        <f t="shared" si="445"/>
        <v>0</v>
      </c>
      <c r="S730" s="77">
        <f t="shared" si="445"/>
        <v>0</v>
      </c>
      <c r="T730" s="77">
        <f t="shared" si="442"/>
        <v>0</v>
      </c>
      <c r="U730" s="77">
        <f t="shared" si="443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3">
        <f t="shared" si="444"/>
        <v>0</v>
      </c>
      <c r="M731" s="74">
        <f t="shared" si="444"/>
        <v>0</v>
      </c>
      <c r="N731" s="74">
        <f t="shared" si="444"/>
        <v>0</v>
      </c>
      <c r="O731" s="74">
        <f t="shared" si="439"/>
        <v>0</v>
      </c>
      <c r="P731" s="74">
        <f t="shared" si="440"/>
        <v>0</v>
      </c>
      <c r="Q731" s="74">
        <f t="shared" ca="1" si="445"/>
        <v>111882</v>
      </c>
      <c r="R731" s="74">
        <f t="shared" ca="1" si="445"/>
        <v>111882</v>
      </c>
      <c r="S731" s="74">
        <f t="shared" ca="1" si="445"/>
        <v>0</v>
      </c>
      <c r="T731" s="74">
        <f t="shared" ca="1" si="442"/>
        <v>0</v>
      </c>
      <c r="U731" s="74">
        <f t="shared" ca="1" si="443"/>
        <v>0</v>
      </c>
    </row>
    <row r="732" spans="1:21" ht="18.75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3">
        <f t="shared" ref="L732:N732" si="446">L733+L734</f>
        <v>0</v>
      </c>
      <c r="M732" s="74">
        <f t="shared" si="446"/>
        <v>0</v>
      </c>
      <c r="N732" s="74">
        <f t="shared" si="446"/>
        <v>0</v>
      </c>
      <c r="O732" s="74">
        <f t="shared" si="439"/>
        <v>0</v>
      </c>
      <c r="P732" s="74">
        <f t="shared" si="440"/>
        <v>0</v>
      </c>
      <c r="Q732" s="74">
        <f t="shared" ref="Q732:S732" ca="1" si="447">Q733+Q734</f>
        <v>111882</v>
      </c>
      <c r="R732" s="74">
        <f t="shared" ca="1" si="447"/>
        <v>111882</v>
      </c>
      <c r="S732" s="74">
        <f t="shared" ca="1" si="447"/>
        <v>0</v>
      </c>
      <c r="T732" s="74">
        <f t="shared" ca="1" si="442"/>
        <v>0</v>
      </c>
      <c r="U732" s="74">
        <f t="shared" ca="1" si="443"/>
        <v>0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77">
        <f t="shared" si="439"/>
        <v>0</v>
      </c>
      <c r="P733" s="77">
        <f t="shared" si="440"/>
        <v>0</v>
      </c>
      <c r="Q733" s="77">
        <v>0</v>
      </c>
      <c r="R733" s="77">
        <v>0</v>
      </c>
      <c r="S733" s="77">
        <v>0</v>
      </c>
      <c r="T733" s="77">
        <f t="shared" si="442"/>
        <v>0</v>
      </c>
      <c r="U733" s="77">
        <f t="shared" si="443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74">
        <f t="shared" si="439"/>
        <v>0</v>
      </c>
      <c r="P734" s="74">
        <f t="shared" si="440"/>
        <v>0</v>
      </c>
      <c r="Q734" s="74">
        <f ca="1">IFERROR(__xludf.DUMMYFUNCTION("IMPORTRANGE(""https://docs.google.com/spreadsheets/d/1ItG2mGa2ceCfYo0BwxsXqNm01IGEUdYcSSLTEv9YCik/edit?usp=sharing"",""เบิกจ่ายกองทุน!O70"")"),111882)</f>
        <v>111882</v>
      </c>
      <c r="R734" s="74">
        <f ca="1">IFERROR(__xludf.DUMMYFUNCTION("IMPORTRANGE(""https://docs.google.com/spreadsheets/d/1ItG2mGa2ceCfYo0BwxsXqNm01IGEUdYcSSLTEv9YCik/edit?usp=sharing"",""เบิกจ่ายกองทุน!P70"")"),111882)</f>
        <v>111882</v>
      </c>
      <c r="S734" s="74">
        <f ca="1">IFERROR(__xludf.DUMMYFUNCTION("IMPORTRANGE(""https://docs.google.com/spreadsheets/d/1ItG2mGa2ceCfYo0BwxsXqNm01IGEUdYcSSLTEv9YCik/edit?usp=sharing"",""เบิกจ่ายกองทุน!Q70"")"),0)</f>
        <v>0</v>
      </c>
      <c r="T734" s="74">
        <f t="shared" ca="1" si="442"/>
        <v>0</v>
      </c>
      <c r="U734" s="74">
        <f t="shared" ca="1" si="443"/>
        <v>0</v>
      </c>
    </row>
    <row r="735" spans="1:21" ht="18.75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3">
        <f t="shared" ref="L735:N735" si="448">L736+L737</f>
        <v>0</v>
      </c>
      <c r="M735" s="74">
        <f t="shared" si="448"/>
        <v>0</v>
      </c>
      <c r="N735" s="74">
        <f t="shared" si="448"/>
        <v>0</v>
      </c>
      <c r="O735" s="74">
        <f t="shared" si="439"/>
        <v>0</v>
      </c>
      <c r="P735" s="74">
        <f t="shared" si="440"/>
        <v>0</v>
      </c>
      <c r="Q735" s="74">
        <f t="shared" ref="Q735:S735" si="449">Q736+Q737</f>
        <v>0</v>
      </c>
      <c r="R735" s="74">
        <f t="shared" si="449"/>
        <v>0</v>
      </c>
      <c r="S735" s="74">
        <f t="shared" si="449"/>
        <v>0</v>
      </c>
      <c r="T735" s="74">
        <f t="shared" si="442"/>
        <v>0</v>
      </c>
      <c r="U735" s="74">
        <f t="shared" si="443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77">
        <f t="shared" si="439"/>
        <v>0</v>
      </c>
      <c r="P736" s="77">
        <f t="shared" si="440"/>
        <v>0</v>
      </c>
      <c r="Q736" s="77">
        <v>0</v>
      </c>
      <c r="R736" s="77">
        <v>0</v>
      </c>
      <c r="S736" s="77">
        <v>0</v>
      </c>
      <c r="T736" s="77">
        <f t="shared" si="442"/>
        <v>0</v>
      </c>
      <c r="U736" s="77">
        <f t="shared" si="443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74">
        <f t="shared" si="439"/>
        <v>0</v>
      </c>
      <c r="P737" s="74">
        <f t="shared" si="440"/>
        <v>0</v>
      </c>
      <c r="Q737" s="74">
        <v>0</v>
      </c>
      <c r="R737" s="74">
        <v>0</v>
      </c>
      <c r="S737" s="74">
        <v>0</v>
      </c>
      <c r="T737" s="74">
        <f t="shared" si="442"/>
        <v>0</v>
      </c>
      <c r="U737" s="74">
        <f t="shared" si="443"/>
        <v>0</v>
      </c>
    </row>
    <row r="738" spans="1:21" ht="19.5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x14ac:dyDescent="0.25">
      <c r="A741" s="222"/>
      <c r="B741" s="223"/>
      <c r="C741" s="223"/>
      <c r="D741" s="223"/>
      <c r="E741" s="223"/>
      <c r="F741" s="1032" t="s">
        <v>271</v>
      </c>
      <c r="G741" s="227"/>
      <c r="H741" s="216" t="s">
        <v>46</v>
      </c>
      <c r="I741" s="321">
        <f ca="1">IFERROR(__xludf.DUMMYFUNCTION("IMPORTRANGE(""https://docs.google.com/spreadsheets/d/1eHaY18a8A9IcSdp1K8H6x8fbOy06t2VsZHhMHf-1x7Y/edit?usp=sharing"",""แผน!GB70"")"),80)</f>
        <v>80</v>
      </c>
      <c r="J741" s="884">
        <v>0</v>
      </c>
      <c r="K741" s="399">
        <f ca="1">IF(I741&gt;0,J741*100/I741,0)</f>
        <v>0</v>
      </c>
      <c r="L741" s="540"/>
      <c r="M741" s="72"/>
      <c r="N741" s="72"/>
      <c r="O741" s="72"/>
      <c r="P741" s="72"/>
      <c r="Q741" s="72"/>
      <c r="R741" s="72"/>
      <c r="S741" s="72"/>
      <c r="T741" s="72"/>
      <c r="U741" s="72"/>
    </row>
    <row r="742" spans="1:21" ht="18.75" x14ac:dyDescent="0.25">
      <c r="A742" s="222"/>
      <c r="B742" s="223"/>
      <c r="C742" s="223"/>
      <c r="D742" s="223"/>
      <c r="E742" s="223"/>
      <c r="F742" s="1032" t="s">
        <v>311</v>
      </c>
      <c r="G742" s="227"/>
      <c r="H742" s="216" t="s">
        <v>35</v>
      </c>
      <c r="I742" s="71"/>
      <c r="J742" s="884">
        <v>0</v>
      </c>
      <c r="K742" s="72"/>
      <c r="L742" s="540"/>
      <c r="M742" s="72"/>
      <c r="N742" s="72"/>
      <c r="O742" s="72"/>
      <c r="P742" s="72"/>
      <c r="Q742" s="72"/>
      <c r="R742" s="72"/>
      <c r="S742" s="72"/>
      <c r="T742" s="72"/>
      <c r="U742" s="72"/>
    </row>
    <row r="743" spans="1:21" ht="18.75" x14ac:dyDescent="0.25">
      <c r="A743" s="222"/>
      <c r="B743" s="223"/>
      <c r="C743" s="223"/>
      <c r="D743" s="223"/>
      <c r="E743" s="223"/>
      <c r="F743" s="1032" t="s">
        <v>312</v>
      </c>
      <c r="G743" s="227"/>
      <c r="H743" s="216" t="s">
        <v>35</v>
      </c>
      <c r="I743" s="321">
        <f ca="1">IFERROR(__xludf.DUMMYFUNCTION("IMPORTRANGE(""https://docs.google.com/spreadsheets/d/1eHaY18a8A9IcSdp1K8H6x8fbOy06t2VsZHhMHf-1x7Y/edit?usp=sharing"",""แผน!GC70"")"),8)</f>
        <v>8</v>
      </c>
      <c r="J743" s="884">
        <v>0</v>
      </c>
      <c r="K743" s="399">
        <f ca="1">IF(I743&gt;0,J743*100/I743,0)</f>
        <v>0</v>
      </c>
      <c r="L743" s="540"/>
      <c r="M743" s="72"/>
      <c r="N743" s="72"/>
      <c r="O743" s="72"/>
      <c r="P743" s="72"/>
      <c r="Q743" s="72"/>
      <c r="R743" s="72"/>
      <c r="S743" s="72"/>
      <c r="T743" s="72"/>
      <c r="U743" s="72"/>
    </row>
    <row r="744" spans="1:21" ht="18.75" x14ac:dyDescent="0.25">
      <c r="A744" s="222"/>
      <c r="B744" s="223"/>
      <c r="C744" s="223"/>
      <c r="D744" s="223"/>
      <c r="E744" s="1032" t="s">
        <v>274</v>
      </c>
      <c r="F744" s="223"/>
      <c r="G744" s="227"/>
      <c r="H744" s="1033"/>
      <c r="I744" s="71"/>
      <c r="J744" s="71"/>
      <c r="K744" s="72"/>
      <c r="L744" s="540"/>
      <c r="M744" s="72"/>
      <c r="N744" s="72"/>
      <c r="O744" s="72"/>
      <c r="P744" s="72"/>
      <c r="Q744" s="72"/>
      <c r="R744" s="72"/>
      <c r="S744" s="72"/>
      <c r="T744" s="72"/>
      <c r="U744" s="72"/>
    </row>
    <row r="745" spans="1:21" ht="18.75" x14ac:dyDescent="0.25">
      <c r="A745" s="222"/>
      <c r="B745" s="223"/>
      <c r="C745" s="223"/>
      <c r="D745" s="223"/>
      <c r="E745" s="223"/>
      <c r="F745" s="1032" t="s">
        <v>271</v>
      </c>
      <c r="G745" s="227"/>
      <c r="H745" s="216" t="s">
        <v>46</v>
      </c>
      <c r="I745" s="321">
        <f ca="1">IFERROR(__xludf.DUMMYFUNCTION("IMPORTRANGE(""https://docs.google.com/spreadsheets/d/1eHaY18a8A9IcSdp1K8H6x8fbOy06t2VsZHhMHf-1x7Y/edit?usp=sharing"",""แผน!GD70"")"),20)</f>
        <v>20</v>
      </c>
      <c r="J745" s="884">
        <v>0</v>
      </c>
      <c r="K745" s="399">
        <f ca="1">IF(I745&gt;0,J745*100/I745,0)</f>
        <v>0</v>
      </c>
      <c r="L745" s="540"/>
      <c r="M745" s="72"/>
      <c r="N745" s="72"/>
      <c r="O745" s="72"/>
      <c r="P745" s="72"/>
      <c r="Q745" s="72"/>
      <c r="R745" s="72"/>
      <c r="S745" s="72"/>
      <c r="T745" s="72"/>
      <c r="U745" s="72"/>
    </row>
    <row r="746" spans="1:21" ht="18.75" x14ac:dyDescent="0.25">
      <c r="A746" s="222"/>
      <c r="B746" s="223"/>
      <c r="C746" s="223"/>
      <c r="D746" s="223"/>
      <c r="E746" s="223"/>
      <c r="F746" s="1032" t="s">
        <v>313</v>
      </c>
      <c r="G746" s="227"/>
      <c r="H746" s="216" t="s">
        <v>35</v>
      </c>
      <c r="I746" s="71"/>
      <c r="J746" s="884">
        <v>0</v>
      </c>
      <c r="K746" s="72"/>
      <c r="L746" s="540"/>
      <c r="M746" s="72"/>
      <c r="N746" s="72"/>
      <c r="O746" s="72"/>
      <c r="P746" s="72"/>
      <c r="Q746" s="72"/>
      <c r="R746" s="72"/>
      <c r="S746" s="72"/>
      <c r="T746" s="72"/>
      <c r="U746" s="72"/>
    </row>
    <row r="747" spans="1:21" ht="18.75" x14ac:dyDescent="0.25">
      <c r="A747" s="222"/>
      <c r="B747" s="223"/>
      <c r="C747" s="223"/>
      <c r="D747" s="223"/>
      <c r="E747" s="223"/>
      <c r="F747" s="1032" t="s">
        <v>314</v>
      </c>
      <c r="G747" s="227"/>
      <c r="H747" s="216" t="s">
        <v>35</v>
      </c>
      <c r="I747" s="321">
        <f ca="1">IFERROR(__xludf.DUMMYFUNCTION("IMPORTRANGE(""https://docs.google.com/spreadsheets/d/1eHaY18a8A9IcSdp1K8H6x8fbOy06t2VsZHhMHf-1x7Y/edit?usp=sharing"",""แผน!GE70"")"),2)</f>
        <v>2</v>
      </c>
      <c r="J747" s="884">
        <v>0</v>
      </c>
      <c r="K747" s="399">
        <f ca="1">IF(I747&gt;0,J747*100/I747,0)</f>
        <v>0</v>
      </c>
      <c r="L747" s="540"/>
      <c r="M747" s="72"/>
      <c r="N747" s="72"/>
      <c r="O747" s="72"/>
      <c r="P747" s="72"/>
      <c r="Q747" s="72"/>
      <c r="R747" s="72"/>
      <c r="S747" s="72"/>
      <c r="T747" s="72"/>
      <c r="U747" s="72"/>
    </row>
    <row r="748" spans="1:21" ht="18.75" x14ac:dyDescent="0.25">
      <c r="A748" s="222"/>
      <c r="B748" s="223"/>
      <c r="C748" s="223"/>
      <c r="D748" s="223"/>
      <c r="E748" s="1032" t="s">
        <v>277</v>
      </c>
      <c r="F748" s="231"/>
      <c r="G748" s="227"/>
      <c r="H748" s="1033"/>
      <c r="I748" s="71"/>
      <c r="J748" s="71"/>
      <c r="K748" s="72"/>
      <c r="L748" s="540"/>
      <c r="M748" s="72"/>
      <c r="N748" s="72"/>
      <c r="O748" s="72"/>
      <c r="P748" s="72"/>
      <c r="Q748" s="72"/>
      <c r="R748" s="72"/>
      <c r="S748" s="72"/>
      <c r="T748" s="72"/>
      <c r="U748" s="72"/>
    </row>
    <row r="749" spans="1:21" ht="18.75" x14ac:dyDescent="0.25">
      <c r="A749" s="222"/>
      <c r="B749" s="223"/>
      <c r="C749" s="223"/>
      <c r="D749" s="223"/>
      <c r="E749" s="223"/>
      <c r="F749" s="1032" t="s">
        <v>315</v>
      </c>
      <c r="G749" s="227"/>
      <c r="H749" s="216" t="s">
        <v>35</v>
      </c>
      <c r="I749" s="71"/>
      <c r="J749" s="884">
        <v>0</v>
      </c>
      <c r="K749" s="72"/>
      <c r="L749" s="540"/>
      <c r="M749" s="72"/>
      <c r="N749" s="72"/>
      <c r="O749" s="72"/>
      <c r="P749" s="72"/>
      <c r="Q749" s="72"/>
      <c r="R749" s="72"/>
      <c r="S749" s="72"/>
      <c r="T749" s="72"/>
      <c r="U749" s="72"/>
    </row>
    <row r="750" spans="1:21" ht="18.75" x14ac:dyDescent="0.25">
      <c r="A750" s="222"/>
      <c r="B750" s="223"/>
      <c r="C750" s="223"/>
      <c r="D750" s="223"/>
      <c r="E750" s="223"/>
      <c r="F750" s="1032" t="s">
        <v>316</v>
      </c>
      <c r="G750" s="227"/>
      <c r="H750" s="216" t="s">
        <v>35</v>
      </c>
      <c r="I750" s="321">
        <f ca="1">IFERROR(__xludf.DUMMYFUNCTION("IMPORTRANGE(""https://docs.google.com/spreadsheets/d/1eHaY18a8A9IcSdp1K8H6x8fbOy06t2VsZHhMHf-1x7Y/edit?usp=sharing"",""แผน!GF70"")"),1)</f>
        <v>1</v>
      </c>
      <c r="J750" s="884">
        <v>0</v>
      </c>
      <c r="K750" s="399">
        <f ca="1">IF(I750&gt;0,J750*100/I750,0)</f>
        <v>0</v>
      </c>
      <c r="L750" s="540"/>
      <c r="M750" s="72"/>
      <c r="N750" s="72"/>
      <c r="O750" s="72"/>
      <c r="P750" s="72"/>
      <c r="Q750" s="72"/>
      <c r="R750" s="72"/>
      <c r="S750" s="72"/>
      <c r="T750" s="72"/>
      <c r="U750" s="72"/>
    </row>
    <row r="751" spans="1:21" ht="19.5" x14ac:dyDescent="0.3">
      <c r="A751" s="222"/>
      <c r="B751" s="223"/>
      <c r="C751" s="223"/>
      <c r="D751" s="1034" t="s">
        <v>50</v>
      </c>
      <c r="E751" s="223"/>
      <c r="F751" s="231"/>
      <c r="G751" s="227"/>
      <c r="H751" s="1033"/>
      <c r="I751" s="71"/>
      <c r="J751" s="71"/>
      <c r="K751" s="72"/>
      <c r="L751" s="540"/>
      <c r="M751" s="72"/>
      <c r="N751" s="72"/>
      <c r="O751" s="72"/>
      <c r="P751" s="72"/>
      <c r="Q751" s="72"/>
      <c r="R751" s="72"/>
      <c r="S751" s="72"/>
      <c r="T751" s="72"/>
      <c r="U751" s="72"/>
    </row>
    <row r="752" spans="1:21" ht="18.75" x14ac:dyDescent="0.25">
      <c r="A752" s="222"/>
      <c r="B752" s="223"/>
      <c r="C752" s="223"/>
      <c r="D752" s="223"/>
      <c r="E752" s="1032" t="s">
        <v>270</v>
      </c>
      <c r="F752" s="231"/>
      <c r="G752" s="227"/>
      <c r="H752" s="1033"/>
      <c r="I752" s="71"/>
      <c r="J752" s="71"/>
      <c r="K752" s="72"/>
      <c r="L752" s="540"/>
      <c r="M752" s="72"/>
      <c r="N752" s="72"/>
      <c r="O752" s="72"/>
      <c r="P752" s="72"/>
      <c r="Q752" s="72"/>
      <c r="R752" s="72"/>
      <c r="S752" s="72"/>
      <c r="T752" s="72"/>
      <c r="U752" s="72"/>
    </row>
    <row r="753" spans="1:21" ht="18.75" x14ac:dyDescent="0.25">
      <c r="A753" s="222"/>
      <c r="B753" s="223"/>
      <c r="C753" s="223"/>
      <c r="D753" s="223"/>
      <c r="E753" s="223"/>
      <c r="F753" s="395" t="s">
        <v>317</v>
      </c>
      <c r="G753" s="227"/>
      <c r="H753" s="216" t="s">
        <v>46</v>
      </c>
      <c r="I753" s="321">
        <f ca="1">IFERROR(__xludf.DUMMYFUNCTION("IMPORTRANGE(""https://docs.google.com/spreadsheets/d/1eHaY18a8A9IcSdp1K8H6x8fbOy06t2VsZHhMHf-1x7Y/edit?usp=sharing"",""แผน!GC70"")"),8)</f>
        <v>8</v>
      </c>
      <c r="J753" s="884">
        <v>0</v>
      </c>
      <c r="K753" s="399">
        <f ca="1">IF(I753&gt;0,J753*100/I753,0)</f>
        <v>0</v>
      </c>
      <c r="L753" s="540"/>
      <c r="M753" s="72"/>
      <c r="N753" s="72"/>
      <c r="O753" s="72"/>
      <c r="P753" s="72"/>
      <c r="Q753" s="72"/>
      <c r="R753" s="72"/>
      <c r="S753" s="72"/>
      <c r="T753" s="72"/>
      <c r="U753" s="72"/>
    </row>
    <row r="754" spans="1:21" ht="18.75" x14ac:dyDescent="0.25">
      <c r="A754" s="222"/>
      <c r="B754" s="223"/>
      <c r="C754" s="223"/>
      <c r="D754" s="223"/>
      <c r="E754" s="223"/>
      <c r="F754" s="395" t="s">
        <v>318</v>
      </c>
      <c r="G754" s="227"/>
      <c r="H754" s="216" t="s">
        <v>46</v>
      </c>
      <c r="I754" s="71"/>
      <c r="J754" s="884">
        <v>0</v>
      </c>
      <c r="K754" s="72"/>
      <c r="L754" s="540"/>
      <c r="M754" s="72"/>
      <c r="N754" s="72"/>
      <c r="O754" s="72"/>
      <c r="P754" s="72"/>
      <c r="Q754" s="72"/>
      <c r="R754" s="72"/>
      <c r="S754" s="72"/>
      <c r="T754" s="72"/>
      <c r="U754" s="72"/>
    </row>
    <row r="755" spans="1:21" ht="18.75" x14ac:dyDescent="0.25">
      <c r="A755" s="222"/>
      <c r="B755" s="223"/>
      <c r="C755" s="223"/>
      <c r="D755" s="223"/>
      <c r="E755" s="1032" t="s">
        <v>274</v>
      </c>
      <c r="F755" s="231"/>
      <c r="G755" s="227"/>
      <c r="H755" s="1033"/>
      <c r="I755" s="71"/>
      <c r="J755" s="71"/>
      <c r="K755" s="72"/>
      <c r="L755" s="540"/>
      <c r="M755" s="72"/>
      <c r="N755" s="72"/>
      <c r="O755" s="72"/>
      <c r="P755" s="72"/>
      <c r="Q755" s="72"/>
      <c r="R755" s="72"/>
      <c r="S755" s="72"/>
      <c r="T755" s="72"/>
      <c r="U755" s="72"/>
    </row>
    <row r="756" spans="1:21" ht="18.75" x14ac:dyDescent="0.25">
      <c r="A756" s="222"/>
      <c r="B756" s="223"/>
      <c r="C756" s="223"/>
      <c r="D756" s="223"/>
      <c r="E756" s="231"/>
      <c r="F756" s="395" t="s">
        <v>319</v>
      </c>
      <c r="G756" s="227"/>
      <c r="H756" s="216" t="s">
        <v>46</v>
      </c>
      <c r="I756" s="321">
        <f ca="1">IFERROR(__xludf.DUMMYFUNCTION("IMPORTRANGE(""https://docs.google.com/spreadsheets/d/1eHaY18a8A9IcSdp1K8H6x8fbOy06t2VsZHhMHf-1x7Y/edit?usp=sharing"",""แผน!GE70"")"),2)</f>
        <v>2</v>
      </c>
      <c r="J756" s="884">
        <v>0</v>
      </c>
      <c r="K756" s="399">
        <f ca="1">IF(I756&gt;0,J756*100/I756,0)</f>
        <v>0</v>
      </c>
      <c r="L756" s="540"/>
      <c r="M756" s="72"/>
      <c r="N756" s="72"/>
      <c r="O756" s="72"/>
      <c r="P756" s="72"/>
      <c r="Q756" s="72"/>
      <c r="R756" s="72"/>
      <c r="S756" s="72"/>
      <c r="T756" s="72"/>
      <c r="U756" s="72"/>
    </row>
    <row r="757" spans="1:21" ht="18.75" x14ac:dyDescent="0.25">
      <c r="A757" s="222"/>
      <c r="B757" s="223"/>
      <c r="C757" s="223"/>
      <c r="D757" s="223"/>
      <c r="E757" s="231"/>
      <c r="F757" s="395" t="s">
        <v>320</v>
      </c>
      <c r="G757" s="227"/>
      <c r="H757" s="216" t="s">
        <v>46</v>
      </c>
      <c r="I757" s="71"/>
      <c r="J757" s="884">
        <v>0</v>
      </c>
      <c r="K757" s="72"/>
      <c r="L757" s="540"/>
      <c r="M757" s="72"/>
      <c r="N757" s="72"/>
      <c r="O757" s="72"/>
      <c r="P757" s="72"/>
      <c r="Q757" s="72"/>
      <c r="R757" s="72"/>
      <c r="S757" s="72"/>
      <c r="T757" s="72"/>
      <c r="U757" s="72"/>
    </row>
    <row r="758" spans="1:21" ht="19.5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0">I772</f>
        <v>15</v>
      </c>
      <c r="J758" s="781">
        <f t="shared" si="450"/>
        <v>0</v>
      </c>
      <c r="K758" s="766">
        <f t="shared" ref="K758:K759" ca="1" si="451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2">I774</f>
        <v>30</v>
      </c>
      <c r="J759" s="781">
        <f t="shared" si="452"/>
        <v>0</v>
      </c>
      <c r="K759" s="766">
        <f t="shared" ca="1" si="451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1257">
        <f t="shared" ref="L760:N760" si="453">L761+L762</f>
        <v>0</v>
      </c>
      <c r="M760" s="264">
        <f t="shared" si="453"/>
        <v>0</v>
      </c>
      <c r="N760" s="264">
        <f t="shared" si="453"/>
        <v>0</v>
      </c>
      <c r="O760" s="264">
        <f t="shared" ref="O760:O768" si="454">IF(L760&gt;0,N760*100/L760,0)</f>
        <v>0</v>
      </c>
      <c r="P760" s="264">
        <f t="shared" ref="P760:P768" si="455">IF(M760&gt;0,N760*100/M760,0)</f>
        <v>0</v>
      </c>
      <c r="Q760" s="264">
        <f t="shared" ref="Q760:S760" ca="1" si="456">Q761+Q762</f>
        <v>117510</v>
      </c>
      <c r="R760" s="264">
        <f t="shared" ca="1" si="456"/>
        <v>117510</v>
      </c>
      <c r="S760" s="264">
        <f t="shared" ca="1" si="456"/>
        <v>12650</v>
      </c>
      <c r="T760" s="264">
        <f t="shared" ref="T760:T768" ca="1" si="457">IF(Q760&gt;0,S760*100/Q760,0)</f>
        <v>10.765041273083142</v>
      </c>
      <c r="U760" s="264">
        <f t="shared" ref="U760:U768" ca="1" si="458">IF(R760&gt;0,S760*100/R760,0)</f>
        <v>10.765041273083142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6">
        <f t="shared" ref="L761:N762" si="459">L764+L767</f>
        <v>0</v>
      </c>
      <c r="M761" s="77">
        <f t="shared" si="459"/>
        <v>0</v>
      </c>
      <c r="N761" s="77">
        <f t="shared" si="459"/>
        <v>0</v>
      </c>
      <c r="O761" s="77">
        <f t="shared" si="454"/>
        <v>0</v>
      </c>
      <c r="P761" s="77">
        <f t="shared" si="455"/>
        <v>0</v>
      </c>
      <c r="Q761" s="77">
        <f t="shared" ref="Q761:S762" si="460">Q764+Q767</f>
        <v>0</v>
      </c>
      <c r="R761" s="77">
        <f t="shared" si="460"/>
        <v>0</v>
      </c>
      <c r="S761" s="77">
        <f t="shared" si="460"/>
        <v>0</v>
      </c>
      <c r="T761" s="77">
        <f t="shared" si="457"/>
        <v>0</v>
      </c>
      <c r="U761" s="77">
        <f t="shared" si="458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3">
        <f t="shared" si="459"/>
        <v>0</v>
      </c>
      <c r="M762" s="74">
        <f t="shared" si="459"/>
        <v>0</v>
      </c>
      <c r="N762" s="74">
        <f t="shared" si="459"/>
        <v>0</v>
      </c>
      <c r="O762" s="74">
        <f t="shared" si="454"/>
        <v>0</v>
      </c>
      <c r="P762" s="74">
        <f t="shared" si="455"/>
        <v>0</v>
      </c>
      <c r="Q762" s="74">
        <f t="shared" ca="1" si="460"/>
        <v>117510</v>
      </c>
      <c r="R762" s="74">
        <f t="shared" ca="1" si="460"/>
        <v>117510</v>
      </c>
      <c r="S762" s="74">
        <f t="shared" ca="1" si="460"/>
        <v>12650</v>
      </c>
      <c r="T762" s="74">
        <f t="shared" ca="1" si="457"/>
        <v>10.765041273083142</v>
      </c>
      <c r="U762" s="74">
        <f t="shared" ca="1" si="458"/>
        <v>10.765041273083142</v>
      </c>
    </row>
    <row r="763" spans="1:21" ht="18.75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3">
        <f t="shared" ref="L763:N763" si="461">L764+L765</f>
        <v>0</v>
      </c>
      <c r="M763" s="74">
        <f t="shared" si="461"/>
        <v>0</v>
      </c>
      <c r="N763" s="74">
        <f t="shared" si="461"/>
        <v>0</v>
      </c>
      <c r="O763" s="74">
        <f t="shared" si="454"/>
        <v>0</v>
      </c>
      <c r="P763" s="74">
        <f t="shared" si="455"/>
        <v>0</v>
      </c>
      <c r="Q763" s="74">
        <f t="shared" ref="Q763:S763" ca="1" si="462">Q764+Q765</f>
        <v>117510</v>
      </c>
      <c r="R763" s="74">
        <f t="shared" ca="1" si="462"/>
        <v>117510</v>
      </c>
      <c r="S763" s="74">
        <f t="shared" ca="1" si="462"/>
        <v>12650</v>
      </c>
      <c r="T763" s="74">
        <f t="shared" ca="1" si="457"/>
        <v>10.765041273083142</v>
      </c>
      <c r="U763" s="74">
        <f t="shared" ca="1" si="458"/>
        <v>10.765041273083142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77">
        <f t="shared" si="454"/>
        <v>0</v>
      </c>
      <c r="P764" s="77">
        <f t="shared" si="455"/>
        <v>0</v>
      </c>
      <c r="Q764" s="77">
        <v>0</v>
      </c>
      <c r="R764" s="77">
        <v>0</v>
      </c>
      <c r="S764" s="77">
        <v>0</v>
      </c>
      <c r="T764" s="77">
        <f t="shared" si="457"/>
        <v>0</v>
      </c>
      <c r="U764" s="77">
        <f t="shared" si="458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74">
        <f t="shared" si="454"/>
        <v>0</v>
      </c>
      <c r="P765" s="74">
        <f t="shared" si="455"/>
        <v>0</v>
      </c>
      <c r="Q765" s="74">
        <f ca="1">IFERROR(__xludf.DUMMYFUNCTION("IMPORTRANGE(""https://docs.google.com/spreadsheets/d/1ItG2mGa2ceCfYo0BwxsXqNm01IGEUdYcSSLTEv9YCik/edit?usp=sharing"",""เบิกจ่ายกองทุน!U70"")"),117510)</f>
        <v>117510</v>
      </c>
      <c r="R765" s="74">
        <f ca="1">IFERROR(__xludf.DUMMYFUNCTION("IMPORTRANGE(""https://docs.google.com/spreadsheets/d/1ItG2mGa2ceCfYo0BwxsXqNm01IGEUdYcSSLTEv9YCik/edit?usp=sharing"",""เบิกจ่ายกองทุน!V70"")"),117510)</f>
        <v>117510</v>
      </c>
      <c r="S765" s="74">
        <f ca="1">IFERROR(__xludf.DUMMYFUNCTION("IMPORTRANGE(""https://docs.google.com/spreadsheets/d/1ItG2mGa2ceCfYo0BwxsXqNm01IGEUdYcSSLTEv9YCik/edit?usp=sharing"",""เบิกจ่ายกองทุน!W70"")"),12650)</f>
        <v>12650</v>
      </c>
      <c r="T765" s="74">
        <f t="shared" ca="1" si="457"/>
        <v>10.765041273083142</v>
      </c>
      <c r="U765" s="74">
        <f t="shared" ca="1" si="458"/>
        <v>10.765041273083142</v>
      </c>
    </row>
    <row r="766" spans="1:21" ht="18.75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3">
        <f t="shared" ref="L766:N766" si="463">L767+L768</f>
        <v>0</v>
      </c>
      <c r="M766" s="74">
        <f t="shared" si="463"/>
        <v>0</v>
      </c>
      <c r="N766" s="74">
        <f t="shared" si="463"/>
        <v>0</v>
      </c>
      <c r="O766" s="74">
        <f t="shared" si="454"/>
        <v>0</v>
      </c>
      <c r="P766" s="74">
        <f t="shared" si="455"/>
        <v>0</v>
      </c>
      <c r="Q766" s="74">
        <f t="shared" ref="Q766:S766" si="464">Q767+Q768</f>
        <v>0</v>
      </c>
      <c r="R766" s="74">
        <f t="shared" si="464"/>
        <v>0</v>
      </c>
      <c r="S766" s="74">
        <f t="shared" si="464"/>
        <v>0</v>
      </c>
      <c r="T766" s="74">
        <f t="shared" si="457"/>
        <v>0</v>
      </c>
      <c r="U766" s="74">
        <f t="shared" si="458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77">
        <f t="shared" si="454"/>
        <v>0</v>
      </c>
      <c r="P767" s="77">
        <f t="shared" si="455"/>
        <v>0</v>
      </c>
      <c r="Q767" s="77">
        <v>0</v>
      </c>
      <c r="R767" s="77">
        <v>0</v>
      </c>
      <c r="S767" s="77">
        <v>0</v>
      </c>
      <c r="T767" s="77">
        <f t="shared" si="457"/>
        <v>0</v>
      </c>
      <c r="U767" s="77">
        <f t="shared" si="458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74">
        <f t="shared" si="454"/>
        <v>0</v>
      </c>
      <c r="P768" s="74">
        <f t="shared" si="455"/>
        <v>0</v>
      </c>
      <c r="Q768" s="74">
        <v>0</v>
      </c>
      <c r="R768" s="74">
        <v>0</v>
      </c>
      <c r="S768" s="74">
        <v>0</v>
      </c>
      <c r="T768" s="74">
        <f t="shared" si="457"/>
        <v>0</v>
      </c>
      <c r="U768" s="74">
        <f t="shared" si="458"/>
        <v>0</v>
      </c>
    </row>
    <row r="769" spans="1:21" ht="19.5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IFERROR(__xludf.DUMMYFUNCTION("IMPORTRANGE(""https://docs.google.com/spreadsheets/d/1eHaY18a8A9IcSdp1K8H6x8fbOy06t2VsZHhMHf-1x7Y/edit?usp=sharing"",""แผน!FI70"")"),0)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IFERROR(__xludf.DUMMYFUNCTION("IMPORTRANGE(""https://docs.google.com/spreadsheets/d/1eHaY18a8A9IcSdp1K8H6x8fbOy06t2VsZHhMHf-1x7Y/edit?usp=sharing"",""แผน!FQ70"")"),15)</f>
        <v>15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IFERROR(__xludf.DUMMYFUNCTION("IMPORTRANGE(""https://docs.google.com/spreadsheets/d/1eHaY18a8A9IcSdp1K8H6x8fbOy06t2VsZHhMHf-1x7Y/edit?usp=sharing"",""แผน!FR70"")"),30)</f>
        <v>30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IFERROR(__xludf.DUMMYFUNCTION("IMPORTRANGE(""https://docs.google.com/spreadsheets/d/1eHaY18a8A9IcSdp1K8H6x8fbOy06t2VsZHhMHf-1x7Y/edit?usp=sharing"",""แผน!FS70"")"),30)</f>
        <v>30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IFERROR(__xludf.DUMMYFUNCTION("IMPORTRANGE(""https://docs.google.com/spreadsheets/d/1eHaY18a8A9IcSdp1K8H6x8fbOy06t2VsZHhMHf-1x7Y/edit?usp=sharing"",""แผน!FT70"")"),15)</f>
        <v>15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IFERROR(__xludf.DUMMYFUNCTION("IMPORTRANGE(""https://docs.google.com/spreadsheets/d/10OvvATaaLtwErnr3qtWFcTmtbfpFEt5Bsqel9sXx0uE/edit?usp=sharing"",""งานกองทุน!D70"")"),2447378.02)</f>
        <v>2447378.02</v>
      </c>
      <c r="J778" s="293">
        <f ca="1">IFERROR(__xludf.DUMMYFUNCTION("IMPORTRANGE(""https://docs.google.com/spreadsheets/d/10OvvATaaLtwErnr3qtWFcTmtbfpFEt5Bsqel9sXx0uE/edit?usp=sharing"",""งานกองทุน!F70"")"),504534.02)</f>
        <v>504534.02</v>
      </c>
      <c r="K778" s="74">
        <f t="shared" ref="K778:K785" ca="1" si="465">IF(I778&gt;0,J778*100/I778,0)</f>
        <v>20.615287702878039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IFERROR(__xludf.DUMMYFUNCTION("IMPORTRANGE(""https://docs.google.com/spreadsheets/d/10OvvATaaLtwErnr3qtWFcTmtbfpFEt5Bsqel9sXx0uE/edit?usp=sharing"",""งานกองทุน!C70"")"),126)</f>
        <v>126</v>
      </c>
      <c r="J779" s="293">
        <f ca="1">IFERROR(__xludf.DUMMYFUNCTION("IMPORTRANGE(""https://docs.google.com/spreadsheets/d/10OvvATaaLtwErnr3qtWFcTmtbfpFEt5Bsqel9sXx0uE/edit?usp=sharing"",""งานกองทุน!E70"")"),50)</f>
        <v>50</v>
      </c>
      <c r="K779" s="74">
        <f t="shared" ca="1" si="465"/>
        <v>39.682539682539684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IFERROR(__xludf.DUMMYFUNCTION("IMPORTRANGE(""https://docs.google.com/spreadsheets/d/10OvvATaaLtwErnr3qtWFcTmtbfpFEt5Bsqel9sXx0uE/edit?usp=sharing"",""งานกองทุน!I70"")"),19410912.42)</f>
        <v>19410912.420000002</v>
      </c>
      <c r="J780" s="293">
        <f ca="1">IFERROR(__xludf.DUMMYFUNCTION("IMPORTRANGE(""https://docs.google.com/spreadsheets/d/10OvvATaaLtwErnr3qtWFcTmtbfpFEt5Bsqel9sXx0uE/edit?usp=sharing"",""งานกองทุน!K70"")"),0)</f>
        <v>0</v>
      </c>
      <c r="K780" s="74">
        <f t="shared" ca="1" si="465"/>
        <v>0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IFERROR(__xludf.DUMMYFUNCTION("IMPORTRANGE(""https://docs.google.com/spreadsheets/d/10OvvATaaLtwErnr3qtWFcTmtbfpFEt5Bsqel9sXx0uE/edit?usp=sharing"",""งานกองทุน!H70"")"),300)</f>
        <v>300</v>
      </c>
      <c r="J781" s="293">
        <f ca="1">IFERROR(__xludf.DUMMYFUNCTION("IMPORTRANGE(""https://docs.google.com/spreadsheets/d/10OvvATaaLtwErnr3qtWFcTmtbfpFEt5Bsqel9sXx0uE/edit?usp=sharing"",""งานกองทุน!J70"")"),0)</f>
        <v>0</v>
      </c>
      <c r="K781" s="74">
        <f t="shared" ca="1" si="465"/>
        <v>0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IFERROR(__xludf.DUMMYFUNCTION("IMPORTRANGE(""https://docs.google.com/spreadsheets/d/10OvvATaaLtwErnr3qtWFcTmtbfpFEt5Bsqel9sXx0uE/edit?usp=sharing"",""งานกองทุน!N70"")"),2378011.96)</f>
        <v>2378011.96</v>
      </c>
      <c r="J782" s="293">
        <f ca="1">IFERROR(__xludf.DUMMYFUNCTION("IMPORTRANGE(""https://docs.google.com/spreadsheets/d/10OvvATaaLtwErnr3qtWFcTmtbfpFEt5Bsqel9sXx0uE/edit?usp=sharing"",""งานกองทุน!P70"")"),156818.14)</f>
        <v>156818.14000000001</v>
      </c>
      <c r="K782" s="74">
        <f t="shared" ca="1" si="465"/>
        <v>6.5945059418456422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IFERROR(__xludf.DUMMYFUNCTION("IMPORTRANGE(""https://docs.google.com/spreadsheets/d/10OvvATaaLtwErnr3qtWFcTmtbfpFEt5Bsqel9sXx0uE/edit?usp=sharing"",""งานกองทุน!M70"")"),86)</f>
        <v>86</v>
      </c>
      <c r="J783" s="293">
        <f ca="1">IFERROR(__xludf.DUMMYFUNCTION("IMPORTRANGE(""https://docs.google.com/spreadsheets/d/10OvvATaaLtwErnr3qtWFcTmtbfpFEt5Bsqel9sXx0uE/edit?usp=sharing"",""งานกองทุน!O70"")"),67)</f>
        <v>67</v>
      </c>
      <c r="K783" s="74">
        <f t="shared" ca="1" si="465"/>
        <v>77.906976744186053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IFERROR(__xludf.DUMMYFUNCTION("IMPORTRANGE(""https://docs.google.com/spreadsheets/d/10OvvATaaLtwErnr3qtWFcTmtbfpFEt5Bsqel9sXx0uE/edit?usp=sharing"",""งานกองทุน!S70"")"),2492000)</f>
        <v>2492000</v>
      </c>
      <c r="J784" s="293">
        <f ca="1">IFERROR(__xludf.DUMMYFUNCTION("IMPORTRANGE(""https://docs.google.com/spreadsheets/d/10OvvATaaLtwErnr3qtWFcTmtbfpFEt5Bsqel9sXx0uE/edit?usp=sharing"",""งานกองทุน!U70"")"),0)</f>
        <v>0</v>
      </c>
      <c r="K784" s="74">
        <f t="shared" ca="1" si="465"/>
        <v>0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IFERROR(__xludf.DUMMYFUNCTION("IMPORTRANGE(""https://docs.google.com/spreadsheets/d/10OvvATaaLtwErnr3qtWFcTmtbfpFEt5Bsqel9sXx0uE/edit?usp=sharing"",""งานกองทุน!R70"")"),89)</f>
        <v>89</v>
      </c>
      <c r="J785" s="786">
        <f ca="1">IFERROR(__xludf.DUMMYFUNCTION("IMPORTRANGE(""https://docs.google.com/spreadsheets/d/10OvvATaaLtwErnr3qtWFcTmtbfpFEt5Bsqel9sXx0uE/edit?usp=sharing"",""งานกองทุน!T70"")"),0)</f>
        <v>0</v>
      </c>
      <c r="K785" s="182">
        <f t="shared" ca="1" si="465"/>
        <v>0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CCA44-1382-4CFD-A160-2BDE3787014F}">
  <sheetPr codeName="Sheet2"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6" width="12.5703125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57" t="s">
        <v>0</v>
      </c>
      <c r="B1" s="1357"/>
      <c r="C1" s="1357"/>
      <c r="D1" s="1357"/>
      <c r="E1" s="1357"/>
      <c r="F1" s="1357"/>
      <c r="G1" s="1357"/>
      <c r="H1" s="1357"/>
      <c r="I1" s="1357"/>
      <c r="J1" s="1357"/>
      <c r="K1" s="1357"/>
      <c r="L1" s="1357"/>
      <c r="M1" s="1357"/>
      <c r="N1" s="1357"/>
      <c r="O1" s="1357"/>
      <c r="P1" s="1357"/>
      <c r="Q1" s="1357"/>
      <c r="R1" s="1357"/>
      <c r="S1" s="1357"/>
      <c r="T1" s="1357"/>
      <c r="U1" s="1357"/>
    </row>
    <row r="2" spans="1:21" ht="19.5" x14ac:dyDescent="0.3">
      <c r="A2" s="1357" t="s">
        <v>296</v>
      </c>
      <c r="B2" s="1357"/>
      <c r="C2" s="1357"/>
      <c r="D2" s="1357"/>
      <c r="E2" s="1357"/>
      <c r="F2" s="1357"/>
      <c r="G2" s="1357"/>
      <c r="H2" s="1357"/>
      <c r="I2" s="1357"/>
      <c r="J2" s="1357"/>
      <c r="K2" s="1357"/>
      <c r="L2" s="1357"/>
      <c r="M2" s="1357"/>
      <c r="N2" s="1357"/>
      <c r="O2" s="1357"/>
      <c r="P2" s="1357"/>
      <c r="Q2" s="1357"/>
      <c r="R2" s="1357"/>
      <c r="S2" s="1357"/>
      <c r="T2" s="1357"/>
      <c r="U2" s="1357"/>
    </row>
    <row r="3" spans="1:21" ht="19.5" x14ac:dyDescent="0.3">
      <c r="A3" s="1357" t="s">
        <v>359</v>
      </c>
      <c r="B3" s="1357"/>
      <c r="C3" s="1357"/>
      <c r="D3" s="1357"/>
      <c r="E3" s="1357"/>
      <c r="F3" s="1357"/>
      <c r="G3" s="1357"/>
      <c r="H3" s="1357"/>
      <c r="I3" s="1357"/>
      <c r="J3" s="1357"/>
      <c r="K3" s="1357"/>
      <c r="L3" s="1357"/>
      <c r="M3" s="1357"/>
      <c r="N3" s="1357"/>
      <c r="O3" s="1357"/>
      <c r="P3" s="1357"/>
      <c r="Q3" s="1357"/>
      <c r="R3" s="1357"/>
      <c r="S3" s="1357"/>
      <c r="T3" s="1357"/>
      <c r="U3" s="1357"/>
    </row>
    <row r="4" spans="1:21" ht="19.5" x14ac:dyDescent="0.3">
      <c r="A4" s="1"/>
      <c r="I4" s="1"/>
      <c r="J4" s="1"/>
      <c r="K4" s="1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2"/>
      <c r="B5" s="2"/>
      <c r="C5" s="2"/>
      <c r="D5" s="2"/>
      <c r="E5" s="2"/>
      <c r="F5" s="2"/>
      <c r="G5" s="2"/>
      <c r="H5" s="2"/>
      <c r="I5" s="2"/>
      <c r="J5" s="3"/>
      <c r="K5" s="4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76" t="s">
        <v>4</v>
      </c>
      <c r="B6" s="1363"/>
      <c r="C6" s="1363"/>
      <c r="D6" s="1363"/>
      <c r="E6" s="1363"/>
      <c r="F6" s="1363"/>
      <c r="G6" s="1364"/>
      <c r="H6" s="799" t="s">
        <v>5</v>
      </c>
      <c r="I6" s="1366" t="s">
        <v>6</v>
      </c>
      <c r="J6" s="1353"/>
      <c r="K6" s="1347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6"/>
      <c r="I7" s="7" t="s">
        <v>9</v>
      </c>
      <c r="J7" s="8" t="s">
        <v>10</v>
      </c>
      <c r="K7" s="7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9.5" hidden="1" x14ac:dyDescent="0.3">
      <c r="A8" s="1372"/>
      <c r="B8" s="1353"/>
      <c r="C8" s="1353"/>
      <c r="D8" s="1353"/>
      <c r="E8" s="1353"/>
      <c r="F8" s="1353"/>
      <c r="G8" s="1347"/>
      <c r="H8" s="801"/>
      <c r="I8" s="802"/>
      <c r="J8" s="802"/>
      <c r="K8" s="803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9.5" hidden="1" x14ac:dyDescent="0.3">
      <c r="A9" s="804"/>
      <c r="B9" s="805"/>
      <c r="C9" s="806"/>
      <c r="D9" s="807"/>
      <c r="E9" s="805"/>
      <c r="F9" s="805"/>
      <c r="G9" s="808"/>
      <c r="H9" s="809"/>
      <c r="I9" s="810"/>
      <c r="J9" s="810"/>
      <c r="K9" s="811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8.75" hidden="1" x14ac:dyDescent="0.25">
      <c r="A10" s="804"/>
      <c r="B10" s="805"/>
      <c r="C10" s="805"/>
      <c r="D10" s="805"/>
      <c r="E10" s="812"/>
      <c r="F10" s="805"/>
      <c r="G10" s="808"/>
      <c r="H10" s="813"/>
      <c r="I10" s="810"/>
      <c r="J10" s="810"/>
      <c r="K10" s="811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8.75" hidden="1" x14ac:dyDescent="0.25">
      <c r="A11" s="804"/>
      <c r="B11" s="805"/>
      <c r="C11" s="805"/>
      <c r="D11" s="805"/>
      <c r="E11" s="812"/>
      <c r="F11" s="805"/>
      <c r="G11" s="808"/>
      <c r="H11" s="813"/>
      <c r="I11" s="810"/>
      <c r="J11" s="810"/>
      <c r="K11" s="811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8.75" hidden="1" x14ac:dyDescent="0.25">
      <c r="A12" s="804"/>
      <c r="B12" s="805"/>
      <c r="C12" s="805"/>
      <c r="D12" s="814"/>
      <c r="E12" s="805"/>
      <c r="F12" s="805"/>
      <c r="G12" s="808"/>
      <c r="H12" s="813"/>
      <c r="I12" s="810"/>
      <c r="J12" s="810"/>
      <c r="K12" s="811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8.75" hidden="1" x14ac:dyDescent="0.25">
      <c r="A13" s="804"/>
      <c r="B13" s="805"/>
      <c r="C13" s="805"/>
      <c r="D13" s="805"/>
      <c r="E13" s="812"/>
      <c r="F13" s="805"/>
      <c r="G13" s="808"/>
      <c r="H13" s="813"/>
      <c r="I13" s="810"/>
      <c r="J13" s="810"/>
      <c r="K13" s="811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8.75" hidden="1" x14ac:dyDescent="0.25">
      <c r="A14" s="804"/>
      <c r="B14" s="805"/>
      <c r="C14" s="805"/>
      <c r="D14" s="805"/>
      <c r="E14" s="812"/>
      <c r="F14" s="805"/>
      <c r="G14" s="808"/>
      <c r="H14" s="813"/>
      <c r="I14" s="810"/>
      <c r="J14" s="810"/>
      <c r="K14" s="811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8.75" hidden="1" x14ac:dyDescent="0.25">
      <c r="A15" s="804"/>
      <c r="B15" s="805"/>
      <c r="C15" s="805"/>
      <c r="D15" s="814"/>
      <c r="E15" s="805"/>
      <c r="F15" s="805"/>
      <c r="G15" s="808"/>
      <c r="H15" s="813"/>
      <c r="I15" s="810"/>
      <c r="J15" s="810"/>
      <c r="K15" s="811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8.75" hidden="1" x14ac:dyDescent="0.25">
      <c r="A16" s="804"/>
      <c r="B16" s="805"/>
      <c r="C16" s="805"/>
      <c r="D16" s="805"/>
      <c r="E16" s="812"/>
      <c r="F16" s="805"/>
      <c r="G16" s="808"/>
      <c r="H16" s="813"/>
      <c r="I16" s="810"/>
      <c r="J16" s="810"/>
      <c r="K16" s="811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8.75" hidden="1" x14ac:dyDescent="0.25">
      <c r="A17" s="815"/>
      <c r="B17" s="816"/>
      <c r="C17" s="816"/>
      <c r="D17" s="816"/>
      <c r="E17" s="817"/>
      <c r="F17" s="816"/>
      <c r="G17" s="818"/>
      <c r="H17" s="819"/>
      <c r="I17" s="820"/>
      <c r="J17" s="820"/>
      <c r="K17" s="821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48" t="s">
        <v>297</v>
      </c>
      <c r="B18" s="1349"/>
      <c r="C18" s="1349"/>
      <c r="D18" s="1349"/>
      <c r="E18" s="1349"/>
      <c r="F18" s="1349"/>
      <c r="G18" s="1350"/>
      <c r="H18" s="43"/>
      <c r="I18" s="44"/>
      <c r="J18" s="44"/>
      <c r="K18" s="45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48"/>
      <c r="B19" s="49"/>
      <c r="C19" s="202" t="s">
        <v>18</v>
      </c>
      <c r="D19" s="822" t="s">
        <v>19</v>
      </c>
      <c r="E19" s="49"/>
      <c r="F19" s="49"/>
      <c r="G19" s="52"/>
      <c r="H19" s="53" t="s">
        <v>14</v>
      </c>
      <c r="I19" s="54"/>
      <c r="J19" s="54"/>
      <c r="K19" s="55"/>
      <c r="L19" s="823">
        <f t="shared" ref="L19:N19" ca="1" si="0">L20+L21</f>
        <v>2247803</v>
      </c>
      <c r="M19" s="824">
        <f t="shared" ca="1" si="0"/>
        <v>2301067</v>
      </c>
      <c r="N19" s="824">
        <f t="shared" ca="1" si="0"/>
        <v>1464979.8399999999</v>
      </c>
      <c r="O19" s="824">
        <f t="shared" ref="O19:O27" ca="1" si="1">IF(L19&gt;0,N19*100/L19,0)</f>
        <v>65.173853758536666</v>
      </c>
      <c r="P19" s="824">
        <f t="shared" ref="P19:P27" ca="1" si="2">IF(M19&gt;0,N19*100/M19,0)</f>
        <v>63.66524051668204</v>
      </c>
      <c r="Q19" s="824">
        <f t="shared" ref="Q19:S19" ca="1" si="3">Q20+Q21</f>
        <v>3199368.39</v>
      </c>
      <c r="R19" s="824">
        <f t="shared" ca="1" si="3"/>
        <v>3199368</v>
      </c>
      <c r="S19" s="824">
        <f t="shared" ca="1" si="3"/>
        <v>25400</v>
      </c>
      <c r="T19" s="824">
        <f t="shared" ref="T19:T27" ca="1" si="4">IF(Q19&gt;0,S19*100/Q19,0)</f>
        <v>0.7939066998158345</v>
      </c>
      <c r="U19" s="824">
        <f t="shared" ref="U19:U27" ca="1" si="5">IF(R19&gt;0,S19*100/R19,0)</f>
        <v>0.79390679659232699</v>
      </c>
    </row>
    <row r="20" spans="1:21" ht="18.75" hidden="1" x14ac:dyDescent="0.25">
      <c r="A20" s="825"/>
      <c r="B20" s="826"/>
      <c r="C20" s="826"/>
      <c r="D20" s="826"/>
      <c r="E20" s="827" t="s">
        <v>20</v>
      </c>
      <c r="F20" s="826"/>
      <c r="G20" s="828"/>
      <c r="H20" s="829" t="s">
        <v>14</v>
      </c>
      <c r="I20" s="830"/>
      <c r="J20" s="830"/>
      <c r="K20" s="831"/>
      <c r="L20" s="832">
        <f t="shared" ref="L20:N21" si="6">L23+L26</f>
        <v>0</v>
      </c>
      <c r="M20" s="833">
        <f t="shared" si="6"/>
        <v>0</v>
      </c>
      <c r="N20" s="833">
        <f t="shared" si="6"/>
        <v>0</v>
      </c>
      <c r="O20" s="833">
        <f t="shared" si="1"/>
        <v>0</v>
      </c>
      <c r="P20" s="833">
        <f t="shared" si="2"/>
        <v>0</v>
      </c>
      <c r="Q20" s="833">
        <f t="shared" ref="Q20:S21" si="7">Q23+Q26</f>
        <v>0</v>
      </c>
      <c r="R20" s="833">
        <f t="shared" si="7"/>
        <v>0</v>
      </c>
      <c r="S20" s="833">
        <f t="shared" si="7"/>
        <v>0</v>
      </c>
      <c r="T20" s="833">
        <f t="shared" si="4"/>
        <v>0</v>
      </c>
      <c r="U20" s="833">
        <f t="shared" si="5"/>
        <v>0</v>
      </c>
    </row>
    <row r="21" spans="1:21" ht="18.75" hidden="1" x14ac:dyDescent="0.25">
      <c r="A21" s="48"/>
      <c r="B21" s="49"/>
      <c r="C21" s="49"/>
      <c r="D21" s="49"/>
      <c r="E21" s="60" t="s">
        <v>21</v>
      </c>
      <c r="F21" s="49"/>
      <c r="G21" s="52"/>
      <c r="H21" s="61" t="s">
        <v>14</v>
      </c>
      <c r="I21" s="54"/>
      <c r="J21" s="54"/>
      <c r="K21" s="55"/>
      <c r="L21" s="834">
        <f t="shared" ca="1" si="6"/>
        <v>2247803</v>
      </c>
      <c r="M21" s="835">
        <f t="shared" ca="1" si="6"/>
        <v>2301067</v>
      </c>
      <c r="N21" s="835">
        <f t="shared" ca="1" si="6"/>
        <v>1464979.8399999999</v>
      </c>
      <c r="O21" s="835">
        <f t="shared" ca="1" si="1"/>
        <v>65.173853758536666</v>
      </c>
      <c r="P21" s="835">
        <f t="shared" ca="1" si="2"/>
        <v>63.66524051668204</v>
      </c>
      <c r="Q21" s="835">
        <f t="shared" ca="1" si="7"/>
        <v>3199368.39</v>
      </c>
      <c r="R21" s="835">
        <f t="shared" ca="1" si="7"/>
        <v>3199368</v>
      </c>
      <c r="S21" s="835">
        <f t="shared" ca="1" si="7"/>
        <v>25400</v>
      </c>
      <c r="T21" s="835">
        <f t="shared" ca="1" si="4"/>
        <v>0.7939066998158345</v>
      </c>
      <c r="U21" s="835">
        <f t="shared" ca="1" si="5"/>
        <v>0.79390679659232699</v>
      </c>
    </row>
    <row r="22" spans="1:21" ht="18.75" x14ac:dyDescent="0.25">
      <c r="A22" s="66"/>
      <c r="B22" s="67"/>
      <c r="C22" s="67"/>
      <c r="D22" s="836" t="s">
        <v>22</v>
      </c>
      <c r="E22" s="67"/>
      <c r="F22" s="67"/>
      <c r="G22" s="69"/>
      <c r="H22" s="70" t="s">
        <v>14</v>
      </c>
      <c r="I22" s="71"/>
      <c r="J22" s="71"/>
      <c r="K22" s="72"/>
      <c r="L22" s="131">
        <f t="shared" ref="L22:N22" ca="1" si="8">L23+L24</f>
        <v>2247803</v>
      </c>
      <c r="M22" s="132">
        <f t="shared" ca="1" si="8"/>
        <v>2301067</v>
      </c>
      <c r="N22" s="132">
        <f t="shared" ca="1" si="8"/>
        <v>1464979.8399999999</v>
      </c>
      <c r="O22" s="132">
        <f t="shared" ca="1" si="1"/>
        <v>65.173853758536666</v>
      </c>
      <c r="P22" s="132">
        <f t="shared" ca="1" si="2"/>
        <v>63.66524051668204</v>
      </c>
      <c r="Q22" s="132">
        <f t="shared" ref="Q22:S22" ca="1" si="9">Q23+Q24</f>
        <v>3199368.39</v>
      </c>
      <c r="R22" s="132">
        <f t="shared" ca="1" si="9"/>
        <v>3199368</v>
      </c>
      <c r="S22" s="132">
        <f t="shared" ca="1" si="9"/>
        <v>25400</v>
      </c>
      <c r="T22" s="132">
        <f t="shared" ca="1" si="4"/>
        <v>0.7939066998158345</v>
      </c>
      <c r="U22" s="132">
        <f t="shared" ca="1" si="5"/>
        <v>0.79390679659232699</v>
      </c>
    </row>
    <row r="23" spans="1:21" ht="18.75" hidden="1" x14ac:dyDescent="0.25">
      <c r="A23" s="837"/>
      <c r="B23" s="838"/>
      <c r="C23" s="838"/>
      <c r="D23" s="838"/>
      <c r="E23" s="265" t="s">
        <v>20</v>
      </c>
      <c r="F23" s="838"/>
      <c r="G23" s="839"/>
      <c r="H23" s="840" t="s">
        <v>14</v>
      </c>
      <c r="I23" s="841"/>
      <c r="J23" s="841"/>
      <c r="K23" s="842"/>
      <c r="L23" s="217">
        <f t="shared" ref="L23:N24" si="10">L49+L64+L77+L99+L130+L144+L162+L191+L178+L271+L287+L308+L325+L338+L361+L518</f>
        <v>0</v>
      </c>
      <c r="M23" s="133">
        <f t="shared" si="10"/>
        <v>0</v>
      </c>
      <c r="N23" s="133">
        <f t="shared" si="10"/>
        <v>0</v>
      </c>
      <c r="O23" s="133">
        <f t="shared" si="1"/>
        <v>0</v>
      </c>
      <c r="P23" s="133">
        <f t="shared" si="2"/>
        <v>0</v>
      </c>
      <c r="Q23" s="133">
        <f t="shared" ref="Q23:S24" si="11">Q77+Q99+Q122+Q144+Q162+Q178+Q191+Q271+Q287+Q308+Q338+Q380+Q397+Q418+Q498+Q604+Q621+Q647+Q695+Q719+Q733+Q764</f>
        <v>0</v>
      </c>
      <c r="R23" s="133">
        <f t="shared" si="11"/>
        <v>0</v>
      </c>
      <c r="S23" s="133">
        <f t="shared" si="11"/>
        <v>0</v>
      </c>
      <c r="T23" s="133">
        <f t="shared" si="4"/>
        <v>0</v>
      </c>
      <c r="U23" s="133">
        <f t="shared" si="5"/>
        <v>0</v>
      </c>
    </row>
    <row r="24" spans="1:21" ht="18.75" hidden="1" x14ac:dyDescent="0.25">
      <c r="A24" s="66"/>
      <c r="B24" s="67"/>
      <c r="C24" s="67"/>
      <c r="D24" s="67"/>
      <c r="E24" s="440" t="s">
        <v>21</v>
      </c>
      <c r="F24" s="67"/>
      <c r="G24" s="69"/>
      <c r="H24" s="70" t="s">
        <v>14</v>
      </c>
      <c r="I24" s="71"/>
      <c r="J24" s="71"/>
      <c r="K24" s="72"/>
      <c r="L24" s="131">
        <f t="shared" ca="1" si="10"/>
        <v>2247803</v>
      </c>
      <c r="M24" s="132">
        <f t="shared" ca="1" si="10"/>
        <v>2301067</v>
      </c>
      <c r="N24" s="132">
        <f t="shared" ca="1" si="10"/>
        <v>1464979.8399999999</v>
      </c>
      <c r="O24" s="132">
        <f t="shared" ca="1" si="1"/>
        <v>65.173853758536666</v>
      </c>
      <c r="P24" s="132">
        <f t="shared" ca="1" si="2"/>
        <v>63.66524051668204</v>
      </c>
      <c r="Q24" s="132">
        <f t="shared" ca="1" si="11"/>
        <v>3199368.39</v>
      </c>
      <c r="R24" s="132">
        <f t="shared" ca="1" si="11"/>
        <v>3199368</v>
      </c>
      <c r="S24" s="132">
        <f t="shared" ca="1" si="11"/>
        <v>25400</v>
      </c>
      <c r="T24" s="132">
        <f t="shared" ca="1" si="4"/>
        <v>0.7939066998158345</v>
      </c>
      <c r="U24" s="132">
        <f t="shared" ca="1" si="5"/>
        <v>0.79390679659232699</v>
      </c>
    </row>
    <row r="25" spans="1:21" ht="18.75" x14ac:dyDescent="0.25">
      <c r="A25" s="66"/>
      <c r="B25" s="67"/>
      <c r="C25" s="67"/>
      <c r="D25" s="836" t="s">
        <v>23</v>
      </c>
      <c r="E25" s="67"/>
      <c r="F25" s="67"/>
      <c r="G25" s="69"/>
      <c r="H25" s="70" t="s">
        <v>14</v>
      </c>
      <c r="I25" s="71"/>
      <c r="J25" s="71"/>
      <c r="K25" s="72"/>
      <c r="L25" s="131">
        <f t="shared" ref="L25:N25" ca="1" si="12">L26+L27</f>
        <v>0</v>
      </c>
      <c r="M25" s="132">
        <f t="shared" ca="1" si="12"/>
        <v>0</v>
      </c>
      <c r="N25" s="132">
        <f t="shared" ca="1" si="12"/>
        <v>0</v>
      </c>
      <c r="O25" s="132">
        <f t="shared" ca="1" si="1"/>
        <v>0</v>
      </c>
      <c r="P25" s="132">
        <f t="shared" ca="1" si="2"/>
        <v>0</v>
      </c>
      <c r="Q25" s="132">
        <f t="shared" ref="Q25:S25" si="13">Q26+Q27</f>
        <v>0</v>
      </c>
      <c r="R25" s="132">
        <f t="shared" si="13"/>
        <v>0</v>
      </c>
      <c r="S25" s="132">
        <f t="shared" si="13"/>
        <v>0</v>
      </c>
      <c r="T25" s="132">
        <f t="shared" si="4"/>
        <v>0</v>
      </c>
      <c r="U25" s="132">
        <f t="shared" si="5"/>
        <v>0</v>
      </c>
    </row>
    <row r="26" spans="1:21" ht="18.75" hidden="1" x14ac:dyDescent="0.25">
      <c r="A26" s="837"/>
      <c r="B26" s="838"/>
      <c r="C26" s="838"/>
      <c r="D26" s="838"/>
      <c r="E26" s="265" t="s">
        <v>20</v>
      </c>
      <c r="F26" s="838"/>
      <c r="G26" s="839"/>
      <c r="H26" s="840" t="s">
        <v>14</v>
      </c>
      <c r="I26" s="841"/>
      <c r="J26" s="841"/>
      <c r="K26" s="842"/>
      <c r="L26" s="217">
        <f t="shared" ref="L26:N27" si="14">L52+L67+L80+L102+L133+L147+L165+L194+L181+L274+L290+L311+L328+L341+L364+L521</f>
        <v>0</v>
      </c>
      <c r="M26" s="133">
        <f t="shared" si="14"/>
        <v>0</v>
      </c>
      <c r="N26" s="133">
        <f t="shared" si="14"/>
        <v>0</v>
      </c>
      <c r="O26" s="133">
        <f t="shared" si="1"/>
        <v>0</v>
      </c>
      <c r="P26" s="133">
        <f t="shared" si="2"/>
        <v>0</v>
      </c>
      <c r="Q26" s="133">
        <f t="shared" ref="Q26:S27" si="15">Q80+Q102+Q125+Q147+Q165+Q181+Q194+Q274+Q290+Q311+Q341+Q383+Q400+Q421+Q501+Q607+Q624+Q650+Q698+Q722+Q736+Q767</f>
        <v>0</v>
      </c>
      <c r="R26" s="133">
        <f t="shared" si="15"/>
        <v>0</v>
      </c>
      <c r="S26" s="133">
        <f t="shared" si="15"/>
        <v>0</v>
      </c>
      <c r="T26" s="133">
        <f t="shared" si="4"/>
        <v>0</v>
      </c>
      <c r="U26" s="133">
        <f t="shared" si="5"/>
        <v>0</v>
      </c>
    </row>
    <row r="27" spans="1:21" ht="18.75" hidden="1" x14ac:dyDescent="0.25">
      <c r="A27" s="66"/>
      <c r="B27" s="67"/>
      <c r="C27" s="67"/>
      <c r="D27" s="67"/>
      <c r="E27" s="440" t="s">
        <v>21</v>
      </c>
      <c r="F27" s="67"/>
      <c r="G27" s="69"/>
      <c r="H27" s="70" t="s">
        <v>14</v>
      </c>
      <c r="I27" s="71"/>
      <c r="J27" s="71"/>
      <c r="K27" s="72"/>
      <c r="L27" s="131">
        <f t="shared" ca="1" si="14"/>
        <v>0</v>
      </c>
      <c r="M27" s="132">
        <f t="shared" ca="1" si="14"/>
        <v>0</v>
      </c>
      <c r="N27" s="132">
        <f t="shared" ca="1" si="14"/>
        <v>0</v>
      </c>
      <c r="O27" s="132">
        <f t="shared" ca="1" si="1"/>
        <v>0</v>
      </c>
      <c r="P27" s="132">
        <f t="shared" ca="1" si="2"/>
        <v>0</v>
      </c>
      <c r="Q27" s="133">
        <f t="shared" si="15"/>
        <v>0</v>
      </c>
      <c r="R27" s="133">
        <f t="shared" si="15"/>
        <v>0</v>
      </c>
      <c r="S27" s="133">
        <f t="shared" si="15"/>
        <v>0</v>
      </c>
      <c r="T27" s="132">
        <f t="shared" si="4"/>
        <v>0</v>
      </c>
      <c r="U27" s="132">
        <f t="shared" si="5"/>
        <v>0</v>
      </c>
    </row>
    <row r="28" spans="1:21" ht="18.75" x14ac:dyDescent="0.25">
      <c r="A28" s="843"/>
      <c r="B28" s="444"/>
      <c r="C28" s="444"/>
      <c r="D28" s="844" t="s">
        <v>24</v>
      </c>
      <c r="E28" s="444"/>
      <c r="F28" s="444"/>
      <c r="G28" s="445"/>
      <c r="H28" s="845" t="s">
        <v>14</v>
      </c>
      <c r="I28" s="846"/>
      <c r="J28" s="846"/>
      <c r="K28" s="450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9.5" hidden="1" x14ac:dyDescent="0.3">
      <c r="A31" s="1373"/>
      <c r="B31" s="1349"/>
      <c r="C31" s="1349"/>
      <c r="D31" s="1349"/>
      <c r="E31" s="1349"/>
      <c r="F31" s="1349"/>
      <c r="G31" s="1350"/>
      <c r="H31" s="818"/>
      <c r="I31" s="820"/>
      <c r="J31" s="820"/>
      <c r="K31" s="821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9.5" hidden="1" x14ac:dyDescent="0.3">
      <c r="A32" s="804"/>
      <c r="B32" s="805"/>
      <c r="C32" s="806"/>
      <c r="D32" s="807"/>
      <c r="E32" s="805"/>
      <c r="F32" s="805"/>
      <c r="G32" s="808"/>
      <c r="H32" s="809"/>
      <c r="I32" s="810"/>
      <c r="J32" s="810"/>
      <c r="K32" s="811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8.75" hidden="1" x14ac:dyDescent="0.25">
      <c r="A33" s="804"/>
      <c r="B33" s="805"/>
      <c r="C33" s="805"/>
      <c r="D33" s="805"/>
      <c r="E33" s="812"/>
      <c r="F33" s="805"/>
      <c r="G33" s="808"/>
      <c r="H33" s="813"/>
      <c r="I33" s="810"/>
      <c r="J33" s="810"/>
      <c r="K33" s="811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8.75" hidden="1" x14ac:dyDescent="0.25">
      <c r="A34" s="804"/>
      <c r="B34" s="805"/>
      <c r="C34" s="805"/>
      <c r="D34" s="805"/>
      <c r="E34" s="812"/>
      <c r="F34" s="805"/>
      <c r="G34" s="808"/>
      <c r="H34" s="813"/>
      <c r="I34" s="810"/>
      <c r="J34" s="810"/>
      <c r="K34" s="811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8.75" hidden="1" x14ac:dyDescent="0.25">
      <c r="A35" s="804"/>
      <c r="B35" s="805"/>
      <c r="C35" s="805"/>
      <c r="D35" s="814"/>
      <c r="E35" s="805"/>
      <c r="F35" s="805"/>
      <c r="G35" s="808"/>
      <c r="H35" s="813"/>
      <c r="I35" s="810"/>
      <c r="J35" s="810"/>
      <c r="K35" s="811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8.75" hidden="1" x14ac:dyDescent="0.25">
      <c r="A36" s="804"/>
      <c r="B36" s="805"/>
      <c r="C36" s="805"/>
      <c r="D36" s="805"/>
      <c r="E36" s="812"/>
      <c r="F36" s="805"/>
      <c r="G36" s="808"/>
      <c r="H36" s="813"/>
      <c r="I36" s="810"/>
      <c r="J36" s="810"/>
      <c r="K36" s="811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8.75" hidden="1" x14ac:dyDescent="0.25">
      <c r="A37" s="804"/>
      <c r="B37" s="805"/>
      <c r="C37" s="805"/>
      <c r="D37" s="805"/>
      <c r="E37" s="812"/>
      <c r="F37" s="805"/>
      <c r="G37" s="808"/>
      <c r="H37" s="813"/>
      <c r="I37" s="810"/>
      <c r="J37" s="810"/>
      <c r="K37" s="811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8.75" hidden="1" x14ac:dyDescent="0.25">
      <c r="A38" s="804"/>
      <c r="B38" s="805"/>
      <c r="C38" s="805"/>
      <c r="D38" s="814"/>
      <c r="E38" s="805"/>
      <c r="F38" s="805"/>
      <c r="G38" s="808"/>
      <c r="H38" s="813"/>
      <c r="I38" s="810"/>
      <c r="J38" s="810"/>
      <c r="K38" s="811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8.75" hidden="1" x14ac:dyDescent="0.25">
      <c r="A39" s="804"/>
      <c r="B39" s="805"/>
      <c r="C39" s="805"/>
      <c r="D39" s="805"/>
      <c r="E39" s="812"/>
      <c r="F39" s="805"/>
      <c r="G39" s="808"/>
      <c r="H39" s="813"/>
      <c r="I39" s="810"/>
      <c r="J39" s="810"/>
      <c r="K39" s="811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8.75" hidden="1" x14ac:dyDescent="0.25">
      <c r="A40" s="815"/>
      <c r="B40" s="816"/>
      <c r="C40" s="816"/>
      <c r="D40" s="816"/>
      <c r="E40" s="817"/>
      <c r="F40" s="816"/>
      <c r="G40" s="818"/>
      <c r="H40" s="819"/>
      <c r="I40" s="820"/>
      <c r="J40" s="820"/>
      <c r="K40" s="821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99" t="s">
        <v>25</v>
      </c>
      <c r="B41" s="100"/>
      <c r="C41" s="100"/>
      <c r="D41" s="100"/>
      <c r="E41" s="100"/>
      <c r="F41" s="100"/>
      <c r="G41" s="101"/>
      <c r="H41" s="101"/>
      <c r="I41" s="102"/>
      <c r="J41" s="102"/>
      <c r="K41" s="103"/>
      <c r="L41" s="851">
        <f t="shared" ref="L41:N41" ca="1" si="16">L45+L60+L73+L95+L126+L140+L158+L174+L187+L267+L283+L304+L321+L334+L357</f>
        <v>2247803</v>
      </c>
      <c r="M41" s="852">
        <f t="shared" ca="1" si="16"/>
        <v>2301067</v>
      </c>
      <c r="N41" s="852">
        <f t="shared" ca="1" si="16"/>
        <v>1464979.8399999999</v>
      </c>
      <c r="O41" s="852">
        <f ca="1">IF(L41&gt;0,N41*100/L41,0)</f>
        <v>65.173853758536666</v>
      </c>
      <c r="P41" s="852">
        <f ca="1">IF(M41&gt;0,N41*100/M41,0)</f>
        <v>63.66524051668204</v>
      </c>
      <c r="Q41" s="853"/>
      <c r="R41" s="853"/>
      <c r="S41" s="853"/>
      <c r="T41" s="853"/>
      <c r="U41" s="853"/>
    </row>
    <row r="42" spans="1:21" ht="19.5" x14ac:dyDescent="0.3">
      <c r="A42" s="105" t="s">
        <v>26</v>
      </c>
      <c r="B42" s="106"/>
      <c r="C42" s="106"/>
      <c r="D42" s="106"/>
      <c r="E42" s="106"/>
      <c r="F42" s="106"/>
      <c r="G42" s="106"/>
      <c r="H42" s="106"/>
      <c r="I42" s="107"/>
      <c r="J42" s="107"/>
      <c r="K42" s="108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10"/>
      <c r="B43" s="111" t="s">
        <v>27</v>
      </c>
      <c r="C43" s="110"/>
      <c r="D43" s="110"/>
      <c r="E43" s="110"/>
      <c r="F43" s="110"/>
      <c r="G43" s="110"/>
      <c r="H43" s="112"/>
      <c r="I43" s="113"/>
      <c r="J43" s="113"/>
      <c r="K43" s="114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9.5" hidden="1" x14ac:dyDescent="0.3">
      <c r="A44" s="20"/>
      <c r="B44" s="21"/>
      <c r="C44" s="493"/>
      <c r="D44" s="23"/>
      <c r="E44" s="21"/>
      <c r="F44" s="21"/>
      <c r="G44" s="24"/>
      <c r="H44" s="25"/>
      <c r="I44" s="26"/>
      <c r="J44" s="26"/>
      <c r="K44" s="27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15"/>
      <c r="B45" s="116"/>
      <c r="C45" s="117" t="s">
        <v>18</v>
      </c>
      <c r="D45" s="858" t="s">
        <v>19</v>
      </c>
      <c r="E45" s="116"/>
      <c r="F45" s="116"/>
      <c r="G45" s="119"/>
      <c r="H45" s="120" t="s">
        <v>14</v>
      </c>
      <c r="I45" s="121"/>
      <c r="J45" s="121"/>
      <c r="K45" s="122"/>
      <c r="L45" s="859">
        <f t="shared" ref="L45:N45" ca="1" si="17">L46+L47</f>
        <v>355143</v>
      </c>
      <c r="M45" s="860">
        <f t="shared" ca="1" si="17"/>
        <v>365002</v>
      </c>
      <c r="N45" s="860">
        <f t="shared" ca="1" si="17"/>
        <v>265475.12</v>
      </c>
      <c r="O45" s="860">
        <f t="shared" ref="O45:O53" ca="1" si="18">IF(L45&gt;0,N45*100/L45,0)</f>
        <v>74.751612730646528</v>
      </c>
      <c r="P45" s="860">
        <f t="shared" ref="P45:P53" ca="1" si="19">IF(M45&gt;0,N45*100/M45,0)</f>
        <v>72.732511054733948</v>
      </c>
      <c r="Q45" s="860">
        <f t="shared" ref="Q45:S45" si="20">Q46+Q47</f>
        <v>0</v>
      </c>
      <c r="R45" s="860">
        <f t="shared" si="20"/>
        <v>0</v>
      </c>
      <c r="S45" s="860">
        <f t="shared" si="20"/>
        <v>0</v>
      </c>
      <c r="T45" s="860">
        <f t="shared" ref="T45:T53" si="21">IF(Q45&gt;0,S45*100/Q45,0)</f>
        <v>0</v>
      </c>
      <c r="U45" s="860">
        <f t="shared" ref="U45:U53" si="22">IF(R45&gt;0,S45*100/R45,0)</f>
        <v>0</v>
      </c>
    </row>
    <row r="46" spans="1:21" ht="18.75" hidden="1" x14ac:dyDescent="0.25">
      <c r="A46" s="861"/>
      <c r="B46" s="862"/>
      <c r="C46" s="862"/>
      <c r="D46" s="862"/>
      <c r="E46" s="863" t="s">
        <v>20</v>
      </c>
      <c r="F46" s="862"/>
      <c r="G46" s="864"/>
      <c r="H46" s="865" t="s">
        <v>14</v>
      </c>
      <c r="I46" s="866"/>
      <c r="J46" s="866"/>
      <c r="K46" s="867"/>
      <c r="L46" s="127">
        <f t="shared" ref="L46:N47" si="23">L49+L52</f>
        <v>0</v>
      </c>
      <c r="M46" s="128">
        <f t="shared" si="23"/>
        <v>0</v>
      </c>
      <c r="N46" s="128">
        <f t="shared" si="23"/>
        <v>0</v>
      </c>
      <c r="O46" s="128">
        <f t="shared" si="18"/>
        <v>0</v>
      </c>
      <c r="P46" s="128">
        <f t="shared" si="19"/>
        <v>0</v>
      </c>
      <c r="Q46" s="128">
        <f t="shared" ref="Q46:S47" si="24">Q49+Q52</f>
        <v>0</v>
      </c>
      <c r="R46" s="128">
        <f t="shared" si="24"/>
        <v>0</v>
      </c>
      <c r="S46" s="128">
        <f t="shared" si="24"/>
        <v>0</v>
      </c>
      <c r="T46" s="128">
        <f t="shared" si="21"/>
        <v>0</v>
      </c>
      <c r="U46" s="128">
        <f t="shared" si="22"/>
        <v>0</v>
      </c>
    </row>
    <row r="47" spans="1:21" ht="18.75" hidden="1" x14ac:dyDescent="0.25">
      <c r="A47" s="115"/>
      <c r="B47" s="116"/>
      <c r="C47" s="116"/>
      <c r="D47" s="116"/>
      <c r="E47" s="125" t="s">
        <v>21</v>
      </c>
      <c r="F47" s="116"/>
      <c r="G47" s="119"/>
      <c r="H47" s="126" t="s">
        <v>14</v>
      </c>
      <c r="I47" s="121"/>
      <c r="J47" s="121"/>
      <c r="K47" s="122"/>
      <c r="L47" s="129">
        <f t="shared" ca="1" si="23"/>
        <v>355143</v>
      </c>
      <c r="M47" s="130">
        <f t="shared" ca="1" si="23"/>
        <v>365002</v>
      </c>
      <c r="N47" s="130">
        <f t="shared" ca="1" si="23"/>
        <v>265475.12</v>
      </c>
      <c r="O47" s="130">
        <f t="shared" ca="1" si="18"/>
        <v>74.751612730646528</v>
      </c>
      <c r="P47" s="130">
        <f t="shared" ca="1" si="19"/>
        <v>72.732511054733948</v>
      </c>
      <c r="Q47" s="130">
        <f t="shared" si="24"/>
        <v>0</v>
      </c>
      <c r="R47" s="130">
        <f t="shared" si="24"/>
        <v>0</v>
      </c>
      <c r="S47" s="130">
        <f t="shared" si="24"/>
        <v>0</v>
      </c>
      <c r="T47" s="130">
        <f t="shared" si="21"/>
        <v>0</v>
      </c>
      <c r="U47" s="130">
        <f t="shared" si="22"/>
        <v>0</v>
      </c>
    </row>
    <row r="48" spans="1:21" ht="18.75" x14ac:dyDescent="0.25">
      <c r="A48" s="66"/>
      <c r="B48" s="67"/>
      <c r="C48" s="67"/>
      <c r="D48" s="836" t="s">
        <v>22</v>
      </c>
      <c r="E48" s="67"/>
      <c r="F48" s="67"/>
      <c r="G48" s="69"/>
      <c r="H48" s="70" t="s">
        <v>14</v>
      </c>
      <c r="I48" s="71"/>
      <c r="J48" s="71"/>
      <c r="K48" s="72"/>
      <c r="L48" s="131">
        <f t="shared" ref="L48:N48" ca="1" si="25">L49+L50</f>
        <v>355143</v>
      </c>
      <c r="M48" s="132">
        <f t="shared" ca="1" si="25"/>
        <v>365002</v>
      </c>
      <c r="N48" s="132">
        <f t="shared" ca="1" si="25"/>
        <v>265475.12</v>
      </c>
      <c r="O48" s="132">
        <f t="shared" ca="1" si="18"/>
        <v>74.751612730646528</v>
      </c>
      <c r="P48" s="132">
        <f t="shared" ca="1" si="19"/>
        <v>72.732511054733948</v>
      </c>
      <c r="Q48" s="132">
        <f t="shared" ref="Q48:S48" si="26">Q49+Q50</f>
        <v>0</v>
      </c>
      <c r="R48" s="132">
        <f t="shared" si="26"/>
        <v>0</v>
      </c>
      <c r="S48" s="132">
        <f t="shared" si="26"/>
        <v>0</v>
      </c>
      <c r="T48" s="132">
        <f t="shared" si="21"/>
        <v>0</v>
      </c>
      <c r="U48" s="132">
        <f t="shared" si="22"/>
        <v>0</v>
      </c>
    </row>
    <row r="49" spans="1:21" ht="18.75" hidden="1" x14ac:dyDescent="0.25">
      <c r="A49" s="837"/>
      <c r="B49" s="838"/>
      <c r="C49" s="838"/>
      <c r="D49" s="838"/>
      <c r="E49" s="265" t="s">
        <v>20</v>
      </c>
      <c r="F49" s="838"/>
      <c r="G49" s="839"/>
      <c r="H49" s="840" t="s">
        <v>14</v>
      </c>
      <c r="I49" s="841"/>
      <c r="J49" s="841"/>
      <c r="K49" s="842"/>
      <c r="L49" s="76">
        <v>0</v>
      </c>
      <c r="M49" s="77">
        <v>0</v>
      </c>
      <c r="N49" s="77">
        <v>0</v>
      </c>
      <c r="O49" s="133">
        <f t="shared" si="18"/>
        <v>0</v>
      </c>
      <c r="P49" s="133">
        <f t="shared" si="19"/>
        <v>0</v>
      </c>
      <c r="Q49" s="77">
        <v>0</v>
      </c>
      <c r="R49" s="77">
        <v>0</v>
      </c>
      <c r="S49" s="77">
        <v>0</v>
      </c>
      <c r="T49" s="133">
        <f t="shared" si="21"/>
        <v>0</v>
      </c>
      <c r="U49" s="133">
        <f t="shared" si="22"/>
        <v>0</v>
      </c>
    </row>
    <row r="50" spans="1:21" ht="18.75" hidden="1" x14ac:dyDescent="0.25">
      <c r="A50" s="66"/>
      <c r="B50" s="67"/>
      <c r="C50" s="67"/>
      <c r="D50" s="67"/>
      <c r="E50" s="440" t="s">
        <v>21</v>
      </c>
      <c r="F50" s="67"/>
      <c r="G50" s="69"/>
      <c r="H50" s="70" t="s">
        <v>14</v>
      </c>
      <c r="I50" s="71"/>
      <c r="J50" s="71"/>
      <c r="K50" s="72"/>
      <c r="L50" s="131">
        <f ca="1">IFERROR(__xludf.DUMMYFUNCTION("IMPORTRANGE(""https://docs.google.com/spreadsheets/d/1-uDff_7J0KD5mKrp0Vvzr7lt3OU09vwQwhkpOPPYv2Y/edit?usp=sharing"",""งบพรบ!P53"")"),355143)</f>
        <v>355143</v>
      </c>
      <c r="M50" s="132">
        <f ca="1">IFERROR(__xludf.DUMMYFUNCTION("IMPORTRANGE(""https://docs.google.com/spreadsheets/d/1-uDff_7J0KD5mKrp0Vvzr7lt3OU09vwQwhkpOPPYv2Y/edit?usp=sharing"",""งบพรบ!V53"")"),365002)</f>
        <v>365002</v>
      </c>
      <c r="N50" s="132">
        <f ca="1">IFERROR(__xludf.DUMMYFUNCTION("IMPORTRANGE(""https://docs.google.com/spreadsheets/d/1-uDff_7J0KD5mKrp0Vvzr7lt3OU09vwQwhkpOPPYv2Y/edit?usp=sharing"",""งบพรบ!Y53"")"),265475.12)</f>
        <v>265475.12</v>
      </c>
      <c r="O50" s="132">
        <f t="shared" ca="1" si="18"/>
        <v>74.751612730646528</v>
      </c>
      <c r="P50" s="132">
        <f t="shared" ca="1" si="19"/>
        <v>72.732511054733948</v>
      </c>
      <c r="Q50" s="74">
        <v>0</v>
      </c>
      <c r="R50" s="74">
        <v>0</v>
      </c>
      <c r="S50" s="74">
        <v>0</v>
      </c>
      <c r="T50" s="132">
        <f t="shared" si="21"/>
        <v>0</v>
      </c>
      <c r="U50" s="132">
        <f t="shared" si="22"/>
        <v>0</v>
      </c>
    </row>
    <row r="51" spans="1:21" ht="18.75" x14ac:dyDescent="0.25">
      <c r="A51" s="66"/>
      <c r="B51" s="67"/>
      <c r="C51" s="67"/>
      <c r="D51" s="836" t="s">
        <v>23</v>
      </c>
      <c r="E51" s="67"/>
      <c r="F51" s="67"/>
      <c r="G51" s="69"/>
      <c r="H51" s="70" t="s">
        <v>14</v>
      </c>
      <c r="I51" s="71"/>
      <c r="J51" s="71"/>
      <c r="K51" s="72"/>
      <c r="L51" s="131">
        <f t="shared" ref="L51:N51" ca="1" si="27">L52+L53</f>
        <v>0</v>
      </c>
      <c r="M51" s="132">
        <f t="shared" ca="1" si="27"/>
        <v>0</v>
      </c>
      <c r="N51" s="132">
        <f t="shared" ca="1" si="27"/>
        <v>0</v>
      </c>
      <c r="O51" s="132">
        <f t="shared" ca="1" si="18"/>
        <v>0</v>
      </c>
      <c r="P51" s="132">
        <f t="shared" ca="1" si="19"/>
        <v>0</v>
      </c>
      <c r="Q51" s="132">
        <f t="shared" ref="Q51:S51" si="28">Q52+Q53</f>
        <v>0</v>
      </c>
      <c r="R51" s="132">
        <f t="shared" si="28"/>
        <v>0</v>
      </c>
      <c r="S51" s="132">
        <f t="shared" si="28"/>
        <v>0</v>
      </c>
      <c r="T51" s="132">
        <f t="shared" si="21"/>
        <v>0</v>
      </c>
      <c r="U51" s="132">
        <f t="shared" si="22"/>
        <v>0</v>
      </c>
    </row>
    <row r="52" spans="1:21" ht="18.75" hidden="1" x14ac:dyDescent="0.25">
      <c r="A52" s="837"/>
      <c r="B52" s="838"/>
      <c r="C52" s="838"/>
      <c r="D52" s="838"/>
      <c r="E52" s="265" t="s">
        <v>20</v>
      </c>
      <c r="F52" s="838"/>
      <c r="G52" s="839"/>
      <c r="H52" s="840" t="s">
        <v>14</v>
      </c>
      <c r="I52" s="841"/>
      <c r="J52" s="841"/>
      <c r="K52" s="842"/>
      <c r="L52" s="76">
        <v>0</v>
      </c>
      <c r="M52" s="77">
        <v>0</v>
      </c>
      <c r="N52" s="77">
        <v>0</v>
      </c>
      <c r="O52" s="133">
        <f t="shared" si="18"/>
        <v>0</v>
      </c>
      <c r="P52" s="133">
        <f t="shared" si="19"/>
        <v>0</v>
      </c>
      <c r="Q52" s="77">
        <v>0</v>
      </c>
      <c r="R52" s="77">
        <v>0</v>
      </c>
      <c r="S52" s="77">
        <v>0</v>
      </c>
      <c r="T52" s="133">
        <f t="shared" si="21"/>
        <v>0</v>
      </c>
      <c r="U52" s="133">
        <f t="shared" si="22"/>
        <v>0</v>
      </c>
    </row>
    <row r="53" spans="1:21" ht="18.75" hidden="1" x14ac:dyDescent="0.25">
      <c r="A53" s="66"/>
      <c r="B53" s="67"/>
      <c r="C53" s="67"/>
      <c r="D53" s="67"/>
      <c r="E53" s="440" t="s">
        <v>21</v>
      </c>
      <c r="F53" s="67"/>
      <c r="G53" s="69"/>
      <c r="H53" s="70" t="s">
        <v>14</v>
      </c>
      <c r="I53" s="71"/>
      <c r="J53" s="71"/>
      <c r="K53" s="72"/>
      <c r="L53" s="131">
        <f ca="1">IFERROR(__xludf.DUMMYFUNCTION("IMPORTRANGE(""https://docs.google.com/spreadsheets/d/1-uDff_7J0KD5mKrp0Vvzr7lt3OU09vwQwhkpOPPYv2Y/edit?usp=sharing"",""งบพรบ!S53"")"),0)</f>
        <v>0</v>
      </c>
      <c r="M53" s="132">
        <f ca="1">IFERROR(__xludf.DUMMYFUNCTION("IMPORTRANGE(""https://docs.google.com/spreadsheets/d/1-uDff_7J0KD5mKrp0Vvzr7lt3OU09vwQwhkpOPPYv2Y/edit?usp=sharing"",""งบพรบ!W53"")"),0)</f>
        <v>0</v>
      </c>
      <c r="N53" s="132">
        <f ca="1">IFERROR(__xludf.DUMMYFUNCTION("IMPORTRANGE(""https://docs.google.com/spreadsheets/d/1-uDff_7J0KD5mKrp0Vvzr7lt3OU09vwQwhkpOPPYv2Y/edit?usp=sharing"",""งบพรบ!Z53"")"),0)</f>
        <v>0</v>
      </c>
      <c r="O53" s="132">
        <f t="shared" ca="1" si="18"/>
        <v>0</v>
      </c>
      <c r="P53" s="132">
        <f t="shared" ca="1" si="19"/>
        <v>0</v>
      </c>
      <c r="Q53" s="74">
        <v>0</v>
      </c>
      <c r="R53" s="74">
        <v>0</v>
      </c>
      <c r="S53" s="74">
        <v>0</v>
      </c>
      <c r="T53" s="132">
        <f t="shared" si="21"/>
        <v>0</v>
      </c>
      <c r="U53" s="132">
        <f t="shared" si="22"/>
        <v>0</v>
      </c>
    </row>
    <row r="54" spans="1:21" ht="18.75" x14ac:dyDescent="0.25">
      <c r="A54" s="843"/>
      <c r="B54" s="444"/>
      <c r="C54" s="444"/>
      <c r="D54" s="844" t="s">
        <v>24</v>
      </c>
      <c r="E54" s="444"/>
      <c r="F54" s="444"/>
      <c r="G54" s="445"/>
      <c r="H54" s="845" t="s">
        <v>14</v>
      </c>
      <c r="I54" s="846"/>
      <c r="J54" s="846"/>
      <c r="K54" s="450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52" t="s">
        <v>28</v>
      </c>
      <c r="B57" s="1353"/>
      <c r="C57" s="1353"/>
      <c r="D57" s="1353"/>
      <c r="E57" s="1353"/>
      <c r="F57" s="1353"/>
      <c r="G57" s="1353"/>
      <c r="H57" s="135"/>
      <c r="I57" s="136"/>
      <c r="J57" s="136"/>
      <c r="K57" s="137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42"/>
      <c r="B58" s="1354" t="s">
        <v>29</v>
      </c>
      <c r="C58" s="1343"/>
      <c r="D58" s="1343"/>
      <c r="E58" s="1343"/>
      <c r="F58" s="1343"/>
      <c r="G58" s="1344"/>
      <c r="H58" s="143"/>
      <c r="I58" s="144"/>
      <c r="J58" s="144"/>
      <c r="K58" s="145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48"/>
      <c r="B59" s="149" t="s">
        <v>30</v>
      </c>
      <c r="C59" s="150"/>
      <c r="D59" s="150"/>
      <c r="E59" s="150"/>
      <c r="F59" s="150"/>
      <c r="G59" s="151"/>
      <c r="H59" s="151"/>
      <c r="I59" s="152"/>
      <c r="J59" s="152"/>
      <c r="K59" s="153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56"/>
      <c r="B60" s="157"/>
      <c r="C60" s="158" t="s">
        <v>18</v>
      </c>
      <c r="D60" s="870" t="s">
        <v>19</v>
      </c>
      <c r="E60" s="157"/>
      <c r="F60" s="157"/>
      <c r="G60" s="160"/>
      <c r="H60" s="161" t="s">
        <v>14</v>
      </c>
      <c r="I60" s="162"/>
      <c r="J60" s="162"/>
      <c r="K60" s="163"/>
      <c r="L60" s="165">
        <f t="shared" ref="L60:N60" ca="1" si="29">L61+L62</f>
        <v>668400</v>
      </c>
      <c r="M60" s="166">
        <f t="shared" ca="1" si="29"/>
        <v>668400</v>
      </c>
      <c r="N60" s="166">
        <f t="shared" ca="1" si="29"/>
        <v>699032.72</v>
      </c>
      <c r="O60" s="166">
        <f t="shared" ref="O60:O68" ca="1" si="30">IF(L60&gt;0,N60*100/L60,0)</f>
        <v>104.58299222022741</v>
      </c>
      <c r="P60" s="166">
        <f t="shared" ref="P60:P68" ca="1" si="31">IF(M60&gt;0,N60*100/M60,0)</f>
        <v>104.58299222022741</v>
      </c>
      <c r="Q60" s="166">
        <f t="shared" ref="Q60:S60" si="32">Q61+Q62</f>
        <v>0</v>
      </c>
      <c r="R60" s="166">
        <f t="shared" si="32"/>
        <v>0</v>
      </c>
      <c r="S60" s="166">
        <f t="shared" si="32"/>
        <v>0</v>
      </c>
      <c r="T60" s="166">
        <f t="shared" ref="T60:T68" si="33">IF(Q60&gt;0,S60*100/Q60,0)</f>
        <v>0</v>
      </c>
      <c r="U60" s="166">
        <f t="shared" ref="U60:U68" si="34">IF(R60&gt;0,S60*100/R60,0)</f>
        <v>0</v>
      </c>
    </row>
    <row r="61" spans="1:21" ht="18.75" hidden="1" x14ac:dyDescent="0.25">
      <c r="A61" s="871"/>
      <c r="B61" s="872"/>
      <c r="C61" s="872"/>
      <c r="D61" s="872"/>
      <c r="E61" s="873" t="s">
        <v>20</v>
      </c>
      <c r="F61" s="872"/>
      <c r="G61" s="874"/>
      <c r="H61" s="875" t="s">
        <v>14</v>
      </c>
      <c r="I61" s="876"/>
      <c r="J61" s="876"/>
      <c r="K61" s="877"/>
      <c r="L61" s="170">
        <f t="shared" ref="L61:N62" si="35">L64+L67</f>
        <v>0</v>
      </c>
      <c r="M61" s="171">
        <f t="shared" si="35"/>
        <v>0</v>
      </c>
      <c r="N61" s="171">
        <f t="shared" si="35"/>
        <v>0</v>
      </c>
      <c r="O61" s="171">
        <f t="shared" si="30"/>
        <v>0</v>
      </c>
      <c r="P61" s="171">
        <f t="shared" si="31"/>
        <v>0</v>
      </c>
      <c r="Q61" s="171">
        <f t="shared" ref="Q61:S62" si="36">Q64+Q67</f>
        <v>0</v>
      </c>
      <c r="R61" s="171">
        <f t="shared" si="36"/>
        <v>0</v>
      </c>
      <c r="S61" s="171">
        <f t="shared" si="36"/>
        <v>0</v>
      </c>
      <c r="T61" s="171">
        <f t="shared" si="33"/>
        <v>0</v>
      </c>
      <c r="U61" s="171">
        <f t="shared" si="34"/>
        <v>0</v>
      </c>
    </row>
    <row r="62" spans="1:21" ht="18.75" hidden="1" x14ac:dyDescent="0.25">
      <c r="A62" s="156"/>
      <c r="B62" s="157"/>
      <c r="C62" s="157"/>
      <c r="D62" s="157"/>
      <c r="E62" s="167" t="s">
        <v>21</v>
      </c>
      <c r="F62" s="157"/>
      <c r="G62" s="160"/>
      <c r="H62" s="168" t="s">
        <v>14</v>
      </c>
      <c r="I62" s="162"/>
      <c r="J62" s="162"/>
      <c r="K62" s="163"/>
      <c r="L62" s="172">
        <f t="shared" ca="1" si="35"/>
        <v>668400</v>
      </c>
      <c r="M62" s="173">
        <f t="shared" ca="1" si="35"/>
        <v>668400</v>
      </c>
      <c r="N62" s="173">
        <f t="shared" ca="1" si="35"/>
        <v>699032.72</v>
      </c>
      <c r="O62" s="173">
        <f t="shared" ca="1" si="30"/>
        <v>104.58299222022741</v>
      </c>
      <c r="P62" s="173">
        <f t="shared" ca="1" si="31"/>
        <v>104.58299222022741</v>
      </c>
      <c r="Q62" s="173">
        <f t="shared" si="36"/>
        <v>0</v>
      </c>
      <c r="R62" s="173">
        <f t="shared" si="36"/>
        <v>0</v>
      </c>
      <c r="S62" s="173">
        <f t="shared" si="36"/>
        <v>0</v>
      </c>
      <c r="T62" s="173">
        <f t="shared" si="33"/>
        <v>0</v>
      </c>
      <c r="U62" s="173">
        <f t="shared" si="34"/>
        <v>0</v>
      </c>
    </row>
    <row r="63" spans="1:21" ht="18.75" x14ac:dyDescent="0.25">
      <c r="A63" s="66"/>
      <c r="B63" s="67"/>
      <c r="C63" s="67"/>
      <c r="D63" s="836" t="s">
        <v>22</v>
      </c>
      <c r="E63" s="67"/>
      <c r="F63" s="67"/>
      <c r="G63" s="69"/>
      <c r="H63" s="70" t="s">
        <v>14</v>
      </c>
      <c r="I63" s="71"/>
      <c r="J63" s="71"/>
      <c r="K63" s="72"/>
      <c r="L63" s="131">
        <f t="shared" ref="L63:N63" ca="1" si="37">L64+L65</f>
        <v>668400</v>
      </c>
      <c r="M63" s="132">
        <f t="shared" ca="1" si="37"/>
        <v>668400</v>
      </c>
      <c r="N63" s="132">
        <f t="shared" ca="1" si="37"/>
        <v>699032.72</v>
      </c>
      <c r="O63" s="132">
        <f t="shared" ca="1" si="30"/>
        <v>104.58299222022741</v>
      </c>
      <c r="P63" s="132">
        <f t="shared" ca="1" si="31"/>
        <v>104.58299222022741</v>
      </c>
      <c r="Q63" s="132">
        <f t="shared" ref="Q63:S63" si="38">Q64+Q65</f>
        <v>0</v>
      </c>
      <c r="R63" s="132">
        <f t="shared" si="38"/>
        <v>0</v>
      </c>
      <c r="S63" s="132">
        <f t="shared" si="38"/>
        <v>0</v>
      </c>
      <c r="T63" s="132">
        <f t="shared" si="33"/>
        <v>0</v>
      </c>
      <c r="U63" s="132">
        <f t="shared" si="34"/>
        <v>0</v>
      </c>
    </row>
    <row r="64" spans="1:21" ht="18.75" hidden="1" x14ac:dyDescent="0.25">
      <c r="A64" s="837"/>
      <c r="B64" s="838"/>
      <c r="C64" s="838"/>
      <c r="D64" s="838"/>
      <c r="E64" s="265" t="s">
        <v>20</v>
      </c>
      <c r="F64" s="838"/>
      <c r="G64" s="839"/>
      <c r="H64" s="840" t="s">
        <v>14</v>
      </c>
      <c r="I64" s="841"/>
      <c r="J64" s="841"/>
      <c r="K64" s="842"/>
      <c r="L64" s="76">
        <v>0</v>
      </c>
      <c r="M64" s="77">
        <v>0</v>
      </c>
      <c r="N64" s="77">
        <v>0</v>
      </c>
      <c r="O64" s="133">
        <f t="shared" si="30"/>
        <v>0</v>
      </c>
      <c r="P64" s="133">
        <f t="shared" si="31"/>
        <v>0</v>
      </c>
      <c r="Q64" s="77">
        <v>0</v>
      </c>
      <c r="R64" s="77">
        <v>0</v>
      </c>
      <c r="S64" s="77">
        <v>0</v>
      </c>
      <c r="T64" s="133">
        <f t="shared" si="33"/>
        <v>0</v>
      </c>
      <c r="U64" s="133">
        <f t="shared" si="34"/>
        <v>0</v>
      </c>
    </row>
    <row r="65" spans="1:21" ht="18.75" hidden="1" x14ac:dyDescent="0.25">
      <c r="A65" s="66"/>
      <c r="B65" s="67"/>
      <c r="C65" s="67"/>
      <c r="D65" s="67"/>
      <c r="E65" s="440" t="s">
        <v>21</v>
      </c>
      <c r="F65" s="67"/>
      <c r="G65" s="69"/>
      <c r="H65" s="70" t="s">
        <v>14</v>
      </c>
      <c r="I65" s="71"/>
      <c r="J65" s="71"/>
      <c r="K65" s="72"/>
      <c r="L65" s="131">
        <f ca="1">IFERROR(__xludf.DUMMYFUNCTION("IMPORTRANGE(""https://docs.google.com/spreadsheets/d/1-uDff_7J0KD5mKrp0Vvzr7lt3OU09vwQwhkpOPPYv2Y/edit?usp=sharing"",""งบพรบ!AC53"")"),668400)</f>
        <v>668400</v>
      </c>
      <c r="M65" s="132">
        <f ca="1">IFERROR(__xludf.DUMMYFUNCTION("IMPORTRANGE(""https://docs.google.com/spreadsheets/d/1-uDff_7J0KD5mKrp0Vvzr7lt3OU09vwQwhkpOPPYv2Y/edit?usp=sharing"",""งบพรบ!AH53"")"),668400)</f>
        <v>668400</v>
      </c>
      <c r="N65" s="132">
        <f ca="1">IFERROR(__xludf.DUMMYFUNCTION("IMPORTRANGE(""https://docs.google.com/spreadsheets/d/1-uDff_7J0KD5mKrp0Vvzr7lt3OU09vwQwhkpOPPYv2Y/edit?usp=sharing"",""งบพรบ!AJ53"")"),699032.72)</f>
        <v>699032.72</v>
      </c>
      <c r="O65" s="132">
        <f t="shared" ca="1" si="30"/>
        <v>104.58299222022741</v>
      </c>
      <c r="P65" s="132">
        <f t="shared" ca="1" si="31"/>
        <v>104.58299222022741</v>
      </c>
      <c r="Q65" s="74">
        <v>0</v>
      </c>
      <c r="R65" s="74">
        <v>0</v>
      </c>
      <c r="S65" s="74">
        <v>0</v>
      </c>
      <c r="T65" s="132">
        <f t="shared" si="33"/>
        <v>0</v>
      </c>
      <c r="U65" s="132">
        <f t="shared" si="34"/>
        <v>0</v>
      </c>
    </row>
    <row r="66" spans="1:21" ht="18.75" x14ac:dyDescent="0.25">
      <c r="A66" s="66"/>
      <c r="B66" s="67"/>
      <c r="C66" s="67"/>
      <c r="D66" s="836" t="s">
        <v>23</v>
      </c>
      <c r="E66" s="67"/>
      <c r="F66" s="67"/>
      <c r="G66" s="69"/>
      <c r="H66" s="70" t="s">
        <v>14</v>
      </c>
      <c r="I66" s="71"/>
      <c r="J66" s="71"/>
      <c r="K66" s="72"/>
      <c r="L66" s="131">
        <f t="shared" ref="L66:N66" ca="1" si="39">L67+L68</f>
        <v>0</v>
      </c>
      <c r="M66" s="132">
        <f t="shared" ca="1" si="39"/>
        <v>0</v>
      </c>
      <c r="N66" s="132">
        <f t="shared" ca="1" si="39"/>
        <v>0</v>
      </c>
      <c r="O66" s="132">
        <f t="shared" ca="1" si="30"/>
        <v>0</v>
      </c>
      <c r="P66" s="132">
        <f t="shared" ca="1" si="31"/>
        <v>0</v>
      </c>
      <c r="Q66" s="132">
        <f t="shared" ref="Q66:S66" si="40">Q67+Q68</f>
        <v>0</v>
      </c>
      <c r="R66" s="132">
        <f t="shared" si="40"/>
        <v>0</v>
      </c>
      <c r="S66" s="132">
        <f t="shared" si="40"/>
        <v>0</v>
      </c>
      <c r="T66" s="132">
        <f t="shared" si="33"/>
        <v>0</v>
      </c>
      <c r="U66" s="132">
        <f t="shared" si="34"/>
        <v>0</v>
      </c>
    </row>
    <row r="67" spans="1:21" ht="18.75" hidden="1" x14ac:dyDescent="0.25">
      <c r="A67" s="837"/>
      <c r="B67" s="838"/>
      <c r="C67" s="838"/>
      <c r="D67" s="838"/>
      <c r="E67" s="265" t="s">
        <v>20</v>
      </c>
      <c r="F67" s="838"/>
      <c r="G67" s="839"/>
      <c r="H67" s="840" t="s">
        <v>14</v>
      </c>
      <c r="I67" s="841"/>
      <c r="J67" s="841"/>
      <c r="K67" s="842"/>
      <c r="L67" s="76">
        <v>0</v>
      </c>
      <c r="M67" s="77">
        <v>0</v>
      </c>
      <c r="N67" s="77">
        <v>0</v>
      </c>
      <c r="O67" s="133">
        <f t="shared" si="30"/>
        <v>0</v>
      </c>
      <c r="P67" s="133">
        <f t="shared" si="31"/>
        <v>0</v>
      </c>
      <c r="Q67" s="77">
        <v>0</v>
      </c>
      <c r="R67" s="77">
        <v>0</v>
      </c>
      <c r="S67" s="77">
        <v>0</v>
      </c>
      <c r="T67" s="133">
        <f t="shared" si="33"/>
        <v>0</v>
      </c>
      <c r="U67" s="133">
        <f t="shared" si="34"/>
        <v>0</v>
      </c>
    </row>
    <row r="68" spans="1:21" ht="18.75" hidden="1" x14ac:dyDescent="0.25">
      <c r="A68" s="174"/>
      <c r="B68" s="2"/>
      <c r="C68" s="2"/>
      <c r="D68" s="2"/>
      <c r="E68" s="348" t="s">
        <v>21</v>
      </c>
      <c r="F68" s="2"/>
      <c r="G68" s="176"/>
      <c r="H68" s="177" t="s">
        <v>14</v>
      </c>
      <c r="I68" s="178"/>
      <c r="J68" s="178"/>
      <c r="K68" s="179"/>
      <c r="L68" s="878">
        <f ca="1">IFERROR(__xludf.DUMMYFUNCTION("IMPORTRANGE(""https://docs.google.com/spreadsheets/d/1-uDff_7J0KD5mKrp0Vvzr7lt3OU09vwQwhkpOPPYv2Y/edit?usp=sharing"",""งบพรบ!AF53"")"),0)</f>
        <v>0</v>
      </c>
      <c r="M68" s="183">
        <f ca="1">IFERROR(__xludf.DUMMYFUNCTION("IMPORTRANGE(""https://docs.google.com/spreadsheets/d/1-uDff_7J0KD5mKrp0Vvzr7lt3OU09vwQwhkpOPPYv2Y/edit?usp=sharing"",""งบพรบ!AI53"")"),0)</f>
        <v>0</v>
      </c>
      <c r="N68" s="183">
        <f ca="1">IFERROR(__xludf.DUMMYFUNCTION("IMPORTRANGE(""https://docs.google.com/spreadsheets/d/1-uDff_7J0KD5mKrp0Vvzr7lt3OU09vwQwhkpOPPYv2Y/edit?usp=sharing"",""งบพรบ!AK53"")"),0)</f>
        <v>0</v>
      </c>
      <c r="O68" s="183">
        <f t="shared" ca="1" si="30"/>
        <v>0</v>
      </c>
      <c r="P68" s="183">
        <f t="shared" ca="1" si="31"/>
        <v>0</v>
      </c>
      <c r="Q68" s="182">
        <v>0</v>
      </c>
      <c r="R68" s="182">
        <v>0</v>
      </c>
      <c r="S68" s="182">
        <v>0</v>
      </c>
      <c r="T68" s="183">
        <f t="shared" si="33"/>
        <v>0</v>
      </c>
      <c r="U68" s="183">
        <f t="shared" si="34"/>
        <v>0</v>
      </c>
    </row>
    <row r="69" spans="1:21" ht="19.5" x14ac:dyDescent="0.3">
      <c r="A69" s="184" t="s">
        <v>31</v>
      </c>
      <c r="B69" s="185"/>
      <c r="C69" s="185"/>
      <c r="D69" s="185"/>
      <c r="E69" s="186"/>
      <c r="F69" s="186"/>
      <c r="G69" s="186"/>
      <c r="H69" s="186"/>
      <c r="I69" s="187"/>
      <c r="J69" s="187"/>
      <c r="K69" s="188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hidden="1" x14ac:dyDescent="0.3">
      <c r="A70" s="193" t="s">
        <v>32</v>
      </c>
      <c r="B70" s="194"/>
      <c r="C70" s="195"/>
      <c r="D70" s="194"/>
      <c r="E70" s="194"/>
      <c r="F70" s="194"/>
      <c r="G70" s="196"/>
      <c r="H70" s="196"/>
      <c r="I70" s="197"/>
      <c r="J70" s="197"/>
      <c r="K70" s="198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19.5" hidden="1" x14ac:dyDescent="0.3">
      <c r="A71" s="201"/>
      <c r="B71" s="202" t="s">
        <v>298</v>
      </c>
      <c r="C71" s="49"/>
      <c r="D71" s="203"/>
      <c r="E71" s="49"/>
      <c r="F71" s="49"/>
      <c r="G71" s="52"/>
      <c r="H71" s="319" t="s">
        <v>34</v>
      </c>
      <c r="I71" s="205">
        <f t="shared" ref="I71:J72" ca="1" si="41">I83</f>
        <v>0</v>
      </c>
      <c r="J71" s="205">
        <f t="shared" si="41"/>
        <v>0</v>
      </c>
      <c r="K71" s="206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hidden="1" x14ac:dyDescent="0.3">
      <c r="A72" s="201"/>
      <c r="B72" s="49"/>
      <c r="C72" s="49"/>
      <c r="D72" s="203"/>
      <c r="E72" s="49"/>
      <c r="F72" s="49"/>
      <c r="G72" s="52"/>
      <c r="H72" s="319" t="s">
        <v>35</v>
      </c>
      <c r="I72" s="205">
        <f t="shared" ca="1" si="41"/>
        <v>0</v>
      </c>
      <c r="J72" s="205">
        <f t="shared" si="41"/>
        <v>0</v>
      </c>
      <c r="K72" s="206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hidden="1" x14ac:dyDescent="0.3">
      <c r="A73" s="209"/>
      <c r="B73" s="67"/>
      <c r="C73" s="210" t="s">
        <v>18</v>
      </c>
      <c r="D73" s="879" t="s">
        <v>19</v>
      </c>
      <c r="E73" s="67"/>
      <c r="F73" s="67"/>
      <c r="G73" s="69"/>
      <c r="H73" s="212" t="s">
        <v>14</v>
      </c>
      <c r="I73" s="71"/>
      <c r="J73" s="71"/>
      <c r="K73" s="72"/>
      <c r="L73" s="214">
        <f t="shared" ref="L73:N73" ca="1" si="43">L74+L75</f>
        <v>0</v>
      </c>
      <c r="M73" s="215">
        <f t="shared" ca="1" si="43"/>
        <v>0</v>
      </c>
      <c r="N73" s="215">
        <f t="shared" ca="1" si="43"/>
        <v>0</v>
      </c>
      <c r="O73" s="215">
        <f t="shared" ref="O73:O81" ca="1" si="44">IF(L73&gt;0,N73*100/L73,0)</f>
        <v>0</v>
      </c>
      <c r="P73" s="215">
        <f t="shared" ref="P73:P81" ca="1" si="45">IF(M73&gt;0,N73*100/M73,0)</f>
        <v>0</v>
      </c>
      <c r="Q73" s="215">
        <f t="shared" ref="Q73:S73" ca="1" si="46">Q74+Q75</f>
        <v>0</v>
      </c>
      <c r="R73" s="215">
        <f t="shared" ca="1" si="46"/>
        <v>0</v>
      </c>
      <c r="S73" s="215">
        <f t="shared" ca="1" si="46"/>
        <v>0</v>
      </c>
      <c r="T73" s="215">
        <f t="shared" ref="T73:T81" ca="1" si="47">IF(Q73&gt;0,S73*100/Q73,0)</f>
        <v>0</v>
      </c>
      <c r="U73" s="215">
        <f t="shared" ref="U73:U81" ca="1" si="48">IF(R73&gt;0,S73*100/R73,0)</f>
        <v>0</v>
      </c>
    </row>
    <row r="74" spans="1:21" ht="18.75" hidden="1" x14ac:dyDescent="0.25">
      <c r="A74" s="880"/>
      <c r="B74" s="838"/>
      <c r="C74" s="838"/>
      <c r="D74" s="838"/>
      <c r="E74" s="265" t="s">
        <v>20</v>
      </c>
      <c r="F74" s="838"/>
      <c r="G74" s="839"/>
      <c r="H74" s="266" t="s">
        <v>14</v>
      </c>
      <c r="I74" s="841"/>
      <c r="J74" s="841"/>
      <c r="K74" s="842"/>
      <c r="L74" s="217">
        <f t="shared" ref="L74:N75" si="49">L77+L80</f>
        <v>0</v>
      </c>
      <c r="M74" s="133">
        <f t="shared" si="49"/>
        <v>0</v>
      </c>
      <c r="N74" s="133">
        <f t="shared" si="49"/>
        <v>0</v>
      </c>
      <c r="O74" s="133">
        <f t="shared" si="44"/>
        <v>0</v>
      </c>
      <c r="P74" s="133">
        <f t="shared" si="45"/>
        <v>0</v>
      </c>
      <c r="Q74" s="133">
        <f t="shared" ref="Q74:S75" si="50">Q77+Q80</f>
        <v>0</v>
      </c>
      <c r="R74" s="133">
        <f t="shared" si="50"/>
        <v>0</v>
      </c>
      <c r="S74" s="133">
        <f t="shared" si="50"/>
        <v>0</v>
      </c>
      <c r="T74" s="133">
        <f t="shared" si="47"/>
        <v>0</v>
      </c>
      <c r="U74" s="133">
        <f t="shared" si="48"/>
        <v>0</v>
      </c>
    </row>
    <row r="75" spans="1:21" ht="18.75" hidden="1" x14ac:dyDescent="0.25">
      <c r="A75" s="209"/>
      <c r="B75" s="67"/>
      <c r="C75" s="67"/>
      <c r="D75" s="67"/>
      <c r="E75" s="440" t="s">
        <v>21</v>
      </c>
      <c r="F75" s="67"/>
      <c r="G75" s="69"/>
      <c r="H75" s="216" t="s">
        <v>14</v>
      </c>
      <c r="I75" s="71"/>
      <c r="J75" s="71"/>
      <c r="K75" s="72"/>
      <c r="L75" s="131">
        <f t="shared" ca="1" si="49"/>
        <v>0</v>
      </c>
      <c r="M75" s="132">
        <f t="shared" ca="1" si="49"/>
        <v>0</v>
      </c>
      <c r="N75" s="132">
        <f t="shared" ca="1" si="49"/>
        <v>0</v>
      </c>
      <c r="O75" s="132">
        <f t="shared" ca="1" si="44"/>
        <v>0</v>
      </c>
      <c r="P75" s="132">
        <f t="shared" ca="1" si="45"/>
        <v>0</v>
      </c>
      <c r="Q75" s="132">
        <f t="shared" ca="1" si="50"/>
        <v>0</v>
      </c>
      <c r="R75" s="132">
        <f t="shared" ca="1" si="50"/>
        <v>0</v>
      </c>
      <c r="S75" s="132">
        <f t="shared" ca="1" si="50"/>
        <v>0</v>
      </c>
      <c r="T75" s="132">
        <f t="shared" ca="1" si="47"/>
        <v>0</v>
      </c>
      <c r="U75" s="132">
        <f t="shared" ca="1" si="48"/>
        <v>0</v>
      </c>
    </row>
    <row r="76" spans="1:21" ht="18.75" hidden="1" x14ac:dyDescent="0.25">
      <c r="A76" s="209"/>
      <c r="B76" s="67"/>
      <c r="C76" s="67"/>
      <c r="D76" s="836" t="s">
        <v>22</v>
      </c>
      <c r="E76" s="67"/>
      <c r="F76" s="67"/>
      <c r="G76" s="69"/>
      <c r="H76" s="218" t="s">
        <v>14</v>
      </c>
      <c r="I76" s="219"/>
      <c r="J76" s="219"/>
      <c r="K76" s="220"/>
      <c r="L76" s="131">
        <f t="shared" ref="L76:N76" ca="1" si="51">L77+L78</f>
        <v>0</v>
      </c>
      <c r="M76" s="132">
        <f t="shared" ca="1" si="51"/>
        <v>0</v>
      </c>
      <c r="N76" s="132">
        <f t="shared" ca="1" si="51"/>
        <v>0</v>
      </c>
      <c r="O76" s="132">
        <f t="shared" ca="1" si="44"/>
        <v>0</v>
      </c>
      <c r="P76" s="132">
        <f t="shared" ca="1" si="45"/>
        <v>0</v>
      </c>
      <c r="Q76" s="132">
        <f t="shared" ref="Q76:S76" ca="1" si="52">Q77+Q78</f>
        <v>0</v>
      </c>
      <c r="R76" s="132">
        <f t="shared" ca="1" si="52"/>
        <v>0</v>
      </c>
      <c r="S76" s="132">
        <f t="shared" ca="1" si="52"/>
        <v>0</v>
      </c>
      <c r="T76" s="132">
        <f t="shared" ca="1" si="47"/>
        <v>0</v>
      </c>
      <c r="U76" s="132">
        <f t="shared" ca="1" si="48"/>
        <v>0</v>
      </c>
    </row>
    <row r="77" spans="1:21" ht="18.75" hidden="1" x14ac:dyDescent="0.25">
      <c r="A77" s="880"/>
      <c r="B77" s="838"/>
      <c r="C77" s="838"/>
      <c r="D77" s="838"/>
      <c r="E77" s="265" t="s">
        <v>36</v>
      </c>
      <c r="F77" s="838"/>
      <c r="G77" s="839"/>
      <c r="H77" s="273" t="s">
        <v>14</v>
      </c>
      <c r="I77" s="881"/>
      <c r="J77" s="881"/>
      <c r="K77" s="882"/>
      <c r="L77" s="76">
        <v>0</v>
      </c>
      <c r="M77" s="77">
        <v>0</v>
      </c>
      <c r="N77" s="77">
        <v>0</v>
      </c>
      <c r="O77" s="133">
        <f t="shared" si="44"/>
        <v>0</v>
      </c>
      <c r="P77" s="133">
        <f t="shared" si="45"/>
        <v>0</v>
      </c>
      <c r="Q77" s="77">
        <v>0</v>
      </c>
      <c r="R77" s="77">
        <v>0</v>
      </c>
      <c r="S77" s="77">
        <v>0</v>
      </c>
      <c r="T77" s="133">
        <f t="shared" si="47"/>
        <v>0</v>
      </c>
      <c r="U77" s="133">
        <f t="shared" si="48"/>
        <v>0</v>
      </c>
    </row>
    <row r="78" spans="1:21" ht="18.75" hidden="1" x14ac:dyDescent="0.25">
      <c r="A78" s="209"/>
      <c r="B78" s="67"/>
      <c r="C78" s="67"/>
      <c r="D78" s="67"/>
      <c r="E78" s="440" t="s">
        <v>37</v>
      </c>
      <c r="F78" s="67"/>
      <c r="G78" s="69"/>
      <c r="H78" s="218" t="s">
        <v>14</v>
      </c>
      <c r="I78" s="219"/>
      <c r="J78" s="219"/>
      <c r="K78" s="220"/>
      <c r="L78" s="131">
        <f ca="1">IFERROR(__xludf.DUMMYFUNCTION("IMPORTRANGE(""https://docs.google.com/spreadsheets/d/1-uDff_7J0KD5mKrp0Vvzr7lt3OU09vwQwhkpOPPYv2Y/edit?usp=sharing"",""งบพรบ!AM53"")"),0)</f>
        <v>0</v>
      </c>
      <c r="M78" s="132">
        <f ca="1">IFERROR(__xludf.DUMMYFUNCTION("IMPORTRANGE(""https://docs.google.com/spreadsheets/d/1-uDff_7J0KD5mKrp0Vvzr7lt3OU09vwQwhkpOPPYv2Y/edit?usp=sharing"",""งบพรบ!AR53"")"),0)</f>
        <v>0</v>
      </c>
      <c r="N78" s="132">
        <f ca="1">IFERROR(__xludf.DUMMYFUNCTION("IMPORTRANGE(""https://docs.google.com/spreadsheets/d/1-uDff_7J0KD5mKrp0Vvzr7lt3OU09vwQwhkpOPPYv2Y/edit?usp=sharing"",""งบพรบ!AT53"")"),0)</f>
        <v>0</v>
      </c>
      <c r="O78" s="132">
        <f t="shared" ca="1" si="44"/>
        <v>0</v>
      </c>
      <c r="P78" s="132">
        <f t="shared" ca="1" si="45"/>
        <v>0</v>
      </c>
      <c r="Q78" s="132">
        <f ca="1">IFERROR(__xludf.DUMMYFUNCTION("IMPORTRANGE(""https://docs.google.com/spreadsheets/d/1ItG2mGa2ceCfYo0BwxsXqNm01IGEUdYcSSLTEv9YCik/edit?usp=sharing"",""เบิกจ่ายกองทุน!AS53"")"),0)</f>
        <v>0</v>
      </c>
      <c r="R78" s="132">
        <f ca="1">IFERROR(__xludf.DUMMYFUNCTION("IMPORTRANGE(""https://docs.google.com/spreadsheets/d/1ItG2mGa2ceCfYo0BwxsXqNm01IGEUdYcSSLTEv9YCik/edit?usp=sharing"",""เบิกจ่ายกองทุน!AT53"")"),0)</f>
        <v>0</v>
      </c>
      <c r="S78" s="132">
        <f ca="1">IFERROR(__xludf.DUMMYFUNCTION("IMPORTRANGE(""https://docs.google.com/spreadsheets/d/1ItG2mGa2ceCfYo0BwxsXqNm01IGEUdYcSSLTEv9YCik/edit?usp=sharing"",""เบิกจ่ายกองทุน!AU53"")"),0)</f>
        <v>0</v>
      </c>
      <c r="T78" s="132">
        <f t="shared" ca="1" si="47"/>
        <v>0</v>
      </c>
      <c r="U78" s="132">
        <f t="shared" ca="1" si="48"/>
        <v>0</v>
      </c>
    </row>
    <row r="79" spans="1:21" ht="18.75" hidden="1" x14ac:dyDescent="0.25">
      <c r="A79" s="209"/>
      <c r="B79" s="67"/>
      <c r="C79" s="67"/>
      <c r="D79" s="836" t="s">
        <v>23</v>
      </c>
      <c r="E79" s="67"/>
      <c r="F79" s="67"/>
      <c r="G79" s="69"/>
      <c r="H79" s="221" t="s">
        <v>14</v>
      </c>
      <c r="I79" s="219"/>
      <c r="J79" s="219"/>
      <c r="K79" s="220"/>
      <c r="L79" s="131">
        <f t="shared" ref="L79:N79" ca="1" si="53">L80+L81</f>
        <v>0</v>
      </c>
      <c r="M79" s="132">
        <f t="shared" ca="1" si="53"/>
        <v>0</v>
      </c>
      <c r="N79" s="132">
        <f t="shared" ca="1" si="53"/>
        <v>0</v>
      </c>
      <c r="O79" s="132">
        <f t="shared" ca="1" si="44"/>
        <v>0</v>
      </c>
      <c r="P79" s="132">
        <f t="shared" ca="1" si="45"/>
        <v>0</v>
      </c>
      <c r="Q79" s="132">
        <f t="shared" ref="Q79:S79" si="54">Q80+Q81</f>
        <v>0</v>
      </c>
      <c r="R79" s="132">
        <f t="shared" si="54"/>
        <v>0</v>
      </c>
      <c r="S79" s="132">
        <f t="shared" si="54"/>
        <v>0</v>
      </c>
      <c r="T79" s="132">
        <f t="shared" si="47"/>
        <v>0</v>
      </c>
      <c r="U79" s="132">
        <f t="shared" si="48"/>
        <v>0</v>
      </c>
    </row>
    <row r="80" spans="1:21" ht="18.75" hidden="1" x14ac:dyDescent="0.25">
      <c r="A80" s="880"/>
      <c r="B80" s="838"/>
      <c r="C80" s="838"/>
      <c r="D80" s="838"/>
      <c r="E80" s="265" t="s">
        <v>20</v>
      </c>
      <c r="F80" s="838"/>
      <c r="G80" s="839"/>
      <c r="H80" s="273" t="s">
        <v>14</v>
      </c>
      <c r="I80" s="881"/>
      <c r="J80" s="881"/>
      <c r="K80" s="882"/>
      <c r="L80" s="76">
        <v>0</v>
      </c>
      <c r="M80" s="74">
        <v>0</v>
      </c>
      <c r="N80" s="74">
        <v>0</v>
      </c>
      <c r="O80" s="133">
        <f t="shared" si="44"/>
        <v>0</v>
      </c>
      <c r="P80" s="133">
        <f t="shared" si="45"/>
        <v>0</v>
      </c>
      <c r="Q80" s="77">
        <v>0</v>
      </c>
      <c r="R80" s="74">
        <v>0</v>
      </c>
      <c r="S80" s="74">
        <v>0</v>
      </c>
      <c r="T80" s="133">
        <f t="shared" si="47"/>
        <v>0</v>
      </c>
      <c r="U80" s="133">
        <f t="shared" si="48"/>
        <v>0</v>
      </c>
    </row>
    <row r="81" spans="1:21" ht="18.75" hidden="1" x14ac:dyDescent="0.25">
      <c r="A81" s="209"/>
      <c r="B81" s="67"/>
      <c r="C81" s="67"/>
      <c r="D81" s="67"/>
      <c r="E81" s="440" t="s">
        <v>21</v>
      </c>
      <c r="F81" s="67"/>
      <c r="G81" s="69"/>
      <c r="H81" s="221" t="s">
        <v>14</v>
      </c>
      <c r="I81" s="219"/>
      <c r="J81" s="219"/>
      <c r="K81" s="220"/>
      <c r="L81" s="131">
        <f ca="1">IFERROR(__xludf.DUMMYFUNCTION("IMPORTRANGE(""https://docs.google.com/spreadsheets/d/1-uDff_7J0KD5mKrp0Vvzr7lt3OU09vwQwhkpOPPYv2Y/edit?usp=sharing"",""งบพรบ!AP53"")"),0)</f>
        <v>0</v>
      </c>
      <c r="M81" s="132">
        <f ca="1">IFERROR(__xludf.DUMMYFUNCTION("IMPORTRANGE(""https://docs.google.com/spreadsheets/d/1-uDff_7J0KD5mKrp0Vvzr7lt3OU09vwQwhkpOPPYv2Y/edit?usp=sharing"",""งบพรบ!AS53"")"),0)</f>
        <v>0</v>
      </c>
      <c r="N81" s="132">
        <f ca="1">IFERROR(__xludf.DUMMYFUNCTION("IMPORTRANGE(""https://docs.google.com/spreadsheets/d/1-uDff_7J0KD5mKrp0Vvzr7lt3OU09vwQwhkpOPPYv2Y/edit?usp=sharing"",""งบพรบ!AU53"")"),0)</f>
        <v>0</v>
      </c>
      <c r="O81" s="132">
        <f t="shared" ca="1" si="44"/>
        <v>0</v>
      </c>
      <c r="P81" s="132">
        <f t="shared" ca="1" si="45"/>
        <v>0</v>
      </c>
      <c r="Q81" s="74">
        <v>0</v>
      </c>
      <c r="R81" s="74">
        <v>0</v>
      </c>
      <c r="S81" s="74">
        <v>0</v>
      </c>
      <c r="T81" s="132">
        <f t="shared" si="47"/>
        <v>0</v>
      </c>
      <c r="U81" s="132">
        <f t="shared" si="48"/>
        <v>0</v>
      </c>
    </row>
    <row r="82" spans="1:21" ht="19.5" hidden="1" x14ac:dyDescent="0.3">
      <c r="A82" s="222"/>
      <c r="B82" s="223"/>
      <c r="C82" s="210" t="s">
        <v>18</v>
      </c>
      <c r="D82" s="883" t="s">
        <v>38</v>
      </c>
      <c r="E82" s="225"/>
      <c r="F82" s="225"/>
      <c r="G82" s="226"/>
      <c r="H82" s="227"/>
      <c r="I82" s="219"/>
      <c r="J82" s="219"/>
      <c r="K82" s="220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hidden="1" x14ac:dyDescent="0.3">
      <c r="A83" s="222"/>
      <c r="B83" s="223"/>
      <c r="C83" s="223"/>
      <c r="D83" s="567" t="s">
        <v>39</v>
      </c>
      <c r="E83" s="231"/>
      <c r="F83" s="231"/>
      <c r="G83" s="227"/>
      <c r="H83" s="232" t="s">
        <v>34</v>
      </c>
      <c r="I83" s="233">
        <f t="shared" ref="I83:J84" ca="1" si="55">I85+I87+I89</f>
        <v>0</v>
      </c>
      <c r="J83" s="233">
        <f t="shared" si="55"/>
        <v>0</v>
      </c>
      <c r="K83" s="234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hidden="1" x14ac:dyDescent="0.3">
      <c r="A84" s="222"/>
      <c r="B84" s="223"/>
      <c r="C84" s="223"/>
      <c r="D84" s="223"/>
      <c r="E84" s="231"/>
      <c r="F84" s="231"/>
      <c r="G84" s="227"/>
      <c r="H84" s="232" t="s">
        <v>35</v>
      </c>
      <c r="I84" s="233">
        <f t="shared" ca="1" si="55"/>
        <v>0</v>
      </c>
      <c r="J84" s="233">
        <f t="shared" si="55"/>
        <v>0</v>
      </c>
      <c r="K84" s="234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hidden="1" x14ac:dyDescent="0.25">
      <c r="A85" s="222"/>
      <c r="B85" s="223"/>
      <c r="C85" s="223"/>
      <c r="D85" s="223"/>
      <c r="E85" s="395" t="s">
        <v>40</v>
      </c>
      <c r="F85" s="231"/>
      <c r="G85" s="227"/>
      <c r="H85" s="401" t="s">
        <v>34</v>
      </c>
      <c r="I85" s="241">
        <f ca="1">IFERROR(__xludf.DUMMYFUNCTION("IMPORTRANGE(""https://docs.google.com/spreadsheets/d/1eHaY18a8A9IcSdp1K8H6x8fbOy06t2VsZHhMHf-1x7Y/edit?usp=sharing"",""แผน!H53"")"),0)</f>
        <v>0</v>
      </c>
      <c r="J85" s="884">
        <v>0</v>
      </c>
      <c r="K85" s="240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hidden="1" x14ac:dyDescent="0.25">
      <c r="A86" s="222"/>
      <c r="B86" s="223"/>
      <c r="C86" s="223"/>
      <c r="D86" s="223"/>
      <c r="E86" s="231"/>
      <c r="F86" s="231"/>
      <c r="G86" s="227"/>
      <c r="H86" s="401" t="s">
        <v>35</v>
      </c>
      <c r="I86" s="241">
        <f ca="1">IFERROR(__xludf.DUMMYFUNCTION("IMPORTRANGE(""https://docs.google.com/spreadsheets/d/1eHaY18a8A9IcSdp1K8H6x8fbOy06t2VsZHhMHf-1x7Y/edit?usp=sharing"",""แผน!I53"")"),0)</f>
        <v>0</v>
      </c>
      <c r="J86" s="884">
        <v>0</v>
      </c>
      <c r="K86" s="240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hidden="1" x14ac:dyDescent="0.25">
      <c r="A87" s="222"/>
      <c r="B87" s="223"/>
      <c r="C87" s="223"/>
      <c r="D87" s="223"/>
      <c r="E87" s="395" t="s">
        <v>41</v>
      </c>
      <c r="F87" s="231"/>
      <c r="G87" s="227"/>
      <c r="H87" s="401" t="s">
        <v>34</v>
      </c>
      <c r="I87" s="241">
        <f ca="1">IFERROR(__xludf.DUMMYFUNCTION("IMPORTRANGE(""https://docs.google.com/spreadsheets/d/1eHaY18a8A9IcSdp1K8H6x8fbOy06t2VsZHhMHf-1x7Y/edit?usp=sharing"",""แผน!F53"")"),0)</f>
        <v>0</v>
      </c>
      <c r="J87" s="884">
        <v>0</v>
      </c>
      <c r="K87" s="240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hidden="1" x14ac:dyDescent="0.25">
      <c r="A88" s="222"/>
      <c r="B88" s="223"/>
      <c r="C88" s="223"/>
      <c r="D88" s="223"/>
      <c r="E88" s="231"/>
      <c r="F88" s="231"/>
      <c r="G88" s="227"/>
      <c r="H88" s="401" t="s">
        <v>35</v>
      </c>
      <c r="I88" s="241">
        <f ca="1">IFERROR(__xludf.DUMMYFUNCTION("IMPORTRANGE(""https://docs.google.com/spreadsheets/d/1eHaY18a8A9IcSdp1K8H6x8fbOy06t2VsZHhMHf-1x7Y/edit?usp=sharing"",""แผน!G53"")"),0)</f>
        <v>0</v>
      </c>
      <c r="J88" s="884">
        <v>0</v>
      </c>
      <c r="K88" s="240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hidden="1" x14ac:dyDescent="0.25">
      <c r="A89" s="222"/>
      <c r="B89" s="223"/>
      <c r="C89" s="223"/>
      <c r="D89" s="223"/>
      <c r="E89" s="395" t="s">
        <v>42</v>
      </c>
      <c r="F89" s="231"/>
      <c r="G89" s="227"/>
      <c r="H89" s="401" t="s">
        <v>34</v>
      </c>
      <c r="I89" s="241">
        <f ca="1">IFERROR(__xludf.DUMMYFUNCTION("IMPORTRANGE(""https://docs.google.com/spreadsheets/d/1eHaY18a8A9IcSdp1K8H6x8fbOy06t2VsZHhMHf-1x7Y/edit?usp=sharing"",""แผน!D53"")"),0)</f>
        <v>0</v>
      </c>
      <c r="J89" s="884">
        <v>0</v>
      </c>
      <c r="K89" s="240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hidden="1" x14ac:dyDescent="0.25">
      <c r="A90" s="222"/>
      <c r="B90" s="223"/>
      <c r="C90" s="223"/>
      <c r="D90" s="223"/>
      <c r="E90" s="231"/>
      <c r="F90" s="231"/>
      <c r="G90" s="227"/>
      <c r="H90" s="401" t="s">
        <v>35</v>
      </c>
      <c r="I90" s="241">
        <f ca="1">IFERROR(__xludf.DUMMYFUNCTION("IMPORTRANGE(""https://docs.google.com/spreadsheets/d/1eHaY18a8A9IcSdp1K8H6x8fbOy06t2VsZHhMHf-1x7Y/edit?usp=sharing"",""แผน!E53"")"),0)</f>
        <v>0</v>
      </c>
      <c r="J90" s="884">
        <v>0</v>
      </c>
      <c r="K90" s="240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hidden="1" x14ac:dyDescent="0.25">
      <c r="A91" s="222"/>
      <c r="B91" s="223"/>
      <c r="C91" s="223"/>
      <c r="D91" s="567" t="s">
        <v>43</v>
      </c>
      <c r="E91" s="231"/>
      <c r="F91" s="231"/>
      <c r="G91" s="227"/>
      <c r="H91" s="242" t="s">
        <v>34</v>
      </c>
      <c r="I91" s="241">
        <f ca="1">IFERROR(__xludf.DUMMYFUNCTION("IMPORTRANGE(""https://docs.google.com/spreadsheets/d/1eHaY18a8A9IcSdp1K8H6x8fbOy06t2VsZHhMHf-1x7Y/edit?usp=sharing"",""แผน!J53"")"),0)</f>
        <v>0</v>
      </c>
      <c r="J91" s="884">
        <v>0</v>
      </c>
      <c r="K91" s="240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x14ac:dyDescent="0.3">
      <c r="A92" s="193" t="s">
        <v>44</v>
      </c>
      <c r="B92" s="194"/>
      <c r="C92" s="195"/>
      <c r="D92" s="194"/>
      <c r="E92" s="194"/>
      <c r="F92" s="194"/>
      <c r="G92" s="196"/>
      <c r="H92" s="196"/>
      <c r="I92" s="197"/>
      <c r="J92" s="197"/>
      <c r="K92" s="198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x14ac:dyDescent="0.3">
      <c r="A93" s="201"/>
      <c r="B93" s="202" t="s">
        <v>45</v>
      </c>
      <c r="C93" s="49"/>
      <c r="D93" s="203"/>
      <c r="E93" s="49"/>
      <c r="F93" s="49"/>
      <c r="G93" s="52"/>
      <c r="H93" s="319" t="s">
        <v>46</v>
      </c>
      <c r="I93" s="205">
        <f t="shared" ref="I93:J94" ca="1" si="57">I109</f>
        <v>30</v>
      </c>
      <c r="J93" s="205">
        <f t="shared" si="57"/>
        <v>0</v>
      </c>
      <c r="K93" s="206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x14ac:dyDescent="0.3">
      <c r="A94" s="201"/>
      <c r="B94" s="49"/>
      <c r="C94" s="49"/>
      <c r="D94" s="203"/>
      <c r="E94" s="49"/>
      <c r="F94" s="49"/>
      <c r="G94" s="52"/>
      <c r="H94" s="319" t="s">
        <v>35</v>
      </c>
      <c r="I94" s="205">
        <f t="shared" ca="1" si="57"/>
        <v>10</v>
      </c>
      <c r="J94" s="205">
        <f t="shared" si="57"/>
        <v>0</v>
      </c>
      <c r="K94" s="206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x14ac:dyDescent="0.3">
      <c r="A95" s="209"/>
      <c r="B95" s="67"/>
      <c r="C95" s="210" t="s">
        <v>18</v>
      </c>
      <c r="D95" s="879" t="s">
        <v>19</v>
      </c>
      <c r="E95" s="67"/>
      <c r="F95" s="67"/>
      <c r="G95" s="69"/>
      <c r="H95" s="212" t="s">
        <v>14</v>
      </c>
      <c r="I95" s="71"/>
      <c r="J95" s="71"/>
      <c r="K95" s="72"/>
      <c r="L95" s="214">
        <f t="shared" ref="L95:N95" ca="1" si="59">L96+L97</f>
        <v>0</v>
      </c>
      <c r="M95" s="215">
        <f t="shared" ca="1" si="59"/>
        <v>0</v>
      </c>
      <c r="N95" s="215">
        <f t="shared" ca="1" si="59"/>
        <v>0</v>
      </c>
      <c r="O95" s="215">
        <f t="shared" ref="O95:O103" ca="1" si="60">IF(L95&gt;0,N95*100/L95,0)</f>
        <v>0</v>
      </c>
      <c r="P95" s="215">
        <f t="shared" ref="P95:P103" ca="1" si="61">IF(M95&gt;0,N95*100/M95,0)</f>
        <v>0</v>
      </c>
      <c r="Q95" s="215">
        <f t="shared" ref="Q95:S95" ca="1" si="62">Q96+Q97</f>
        <v>84420</v>
      </c>
      <c r="R95" s="215">
        <f t="shared" ca="1" si="62"/>
        <v>84420</v>
      </c>
      <c r="S95" s="215">
        <f t="shared" ca="1" si="62"/>
        <v>0</v>
      </c>
      <c r="T95" s="215">
        <f t="shared" ref="T95:T103" ca="1" si="63">IF(Q95&gt;0,S95*100/Q95,0)</f>
        <v>0</v>
      </c>
      <c r="U95" s="215">
        <f t="shared" ref="U95:U103" ca="1" si="64">IF(R95&gt;0,S95*100/R95,0)</f>
        <v>0</v>
      </c>
    </row>
    <row r="96" spans="1:21" ht="18.75" hidden="1" x14ac:dyDescent="0.25">
      <c r="A96" s="880"/>
      <c r="B96" s="838"/>
      <c r="C96" s="838"/>
      <c r="D96" s="838"/>
      <c r="E96" s="265" t="s">
        <v>20</v>
      </c>
      <c r="F96" s="838"/>
      <c r="G96" s="839"/>
      <c r="H96" s="266" t="s">
        <v>14</v>
      </c>
      <c r="I96" s="841"/>
      <c r="J96" s="841"/>
      <c r="K96" s="842"/>
      <c r="L96" s="217">
        <f t="shared" ref="L96:N97" si="65">L99+L102</f>
        <v>0</v>
      </c>
      <c r="M96" s="133">
        <f t="shared" si="65"/>
        <v>0</v>
      </c>
      <c r="N96" s="133">
        <f t="shared" si="65"/>
        <v>0</v>
      </c>
      <c r="O96" s="133">
        <f t="shared" si="60"/>
        <v>0</v>
      </c>
      <c r="P96" s="133">
        <f t="shared" si="61"/>
        <v>0</v>
      </c>
      <c r="Q96" s="133">
        <f t="shared" ref="Q96:S97" si="66">Q99+Q102</f>
        <v>0</v>
      </c>
      <c r="R96" s="133">
        <f t="shared" si="66"/>
        <v>0</v>
      </c>
      <c r="S96" s="133">
        <f t="shared" si="66"/>
        <v>0</v>
      </c>
      <c r="T96" s="133">
        <f t="shared" si="63"/>
        <v>0</v>
      </c>
      <c r="U96" s="133">
        <f t="shared" si="64"/>
        <v>0</v>
      </c>
    </row>
    <row r="97" spans="1:21" ht="18.75" hidden="1" x14ac:dyDescent="0.25">
      <c r="A97" s="209"/>
      <c r="B97" s="67"/>
      <c r="C97" s="67"/>
      <c r="D97" s="67"/>
      <c r="E97" s="440" t="s">
        <v>21</v>
      </c>
      <c r="F97" s="67"/>
      <c r="G97" s="69"/>
      <c r="H97" s="216" t="s">
        <v>14</v>
      </c>
      <c r="I97" s="71"/>
      <c r="J97" s="71"/>
      <c r="K97" s="72"/>
      <c r="L97" s="131">
        <f t="shared" ca="1" si="65"/>
        <v>0</v>
      </c>
      <c r="M97" s="132">
        <f t="shared" ca="1" si="65"/>
        <v>0</v>
      </c>
      <c r="N97" s="132">
        <f t="shared" ca="1" si="65"/>
        <v>0</v>
      </c>
      <c r="O97" s="132">
        <f t="shared" ca="1" si="60"/>
        <v>0</v>
      </c>
      <c r="P97" s="132">
        <f t="shared" ca="1" si="61"/>
        <v>0</v>
      </c>
      <c r="Q97" s="132">
        <f t="shared" ca="1" si="66"/>
        <v>84420</v>
      </c>
      <c r="R97" s="132">
        <f t="shared" ca="1" si="66"/>
        <v>84420</v>
      </c>
      <c r="S97" s="132">
        <f t="shared" ca="1" si="66"/>
        <v>0</v>
      </c>
      <c r="T97" s="132">
        <f t="shared" ca="1" si="63"/>
        <v>0</v>
      </c>
      <c r="U97" s="132">
        <f t="shared" ca="1" si="64"/>
        <v>0</v>
      </c>
    </row>
    <row r="98" spans="1:21" ht="18.75" x14ac:dyDescent="0.25">
      <c r="A98" s="209"/>
      <c r="B98" s="67"/>
      <c r="C98" s="67"/>
      <c r="D98" s="836" t="s">
        <v>22</v>
      </c>
      <c r="E98" s="67"/>
      <c r="F98" s="67"/>
      <c r="G98" s="69"/>
      <c r="H98" s="218" t="s">
        <v>14</v>
      </c>
      <c r="I98" s="219"/>
      <c r="J98" s="219"/>
      <c r="K98" s="220"/>
      <c r="L98" s="131">
        <f t="shared" ref="L98:N98" ca="1" si="67">L99+L100</f>
        <v>0</v>
      </c>
      <c r="M98" s="132">
        <f t="shared" ca="1" si="67"/>
        <v>0</v>
      </c>
      <c r="N98" s="132">
        <f t="shared" ca="1" si="67"/>
        <v>0</v>
      </c>
      <c r="O98" s="132">
        <f t="shared" ca="1" si="60"/>
        <v>0</v>
      </c>
      <c r="P98" s="132">
        <f t="shared" ca="1" si="61"/>
        <v>0</v>
      </c>
      <c r="Q98" s="132">
        <f t="shared" ref="Q98:S98" ca="1" si="68">Q99+Q100</f>
        <v>84420</v>
      </c>
      <c r="R98" s="132">
        <f t="shared" ca="1" si="68"/>
        <v>84420</v>
      </c>
      <c r="S98" s="132">
        <f t="shared" ca="1" si="68"/>
        <v>0</v>
      </c>
      <c r="T98" s="132">
        <f t="shared" ca="1" si="63"/>
        <v>0</v>
      </c>
      <c r="U98" s="132">
        <f t="shared" ca="1" si="64"/>
        <v>0</v>
      </c>
    </row>
    <row r="99" spans="1:21" ht="18.75" hidden="1" x14ac:dyDescent="0.25">
      <c r="A99" s="880"/>
      <c r="B99" s="838"/>
      <c r="C99" s="838"/>
      <c r="D99" s="838"/>
      <c r="E99" s="265" t="s">
        <v>36</v>
      </c>
      <c r="F99" s="838"/>
      <c r="G99" s="839"/>
      <c r="H99" s="273" t="s">
        <v>14</v>
      </c>
      <c r="I99" s="881"/>
      <c r="J99" s="881"/>
      <c r="K99" s="882"/>
      <c r="L99" s="76">
        <v>0</v>
      </c>
      <c r="M99" s="77">
        <v>0</v>
      </c>
      <c r="N99" s="77">
        <v>0</v>
      </c>
      <c r="O99" s="133">
        <f t="shared" si="60"/>
        <v>0</v>
      </c>
      <c r="P99" s="133">
        <f t="shared" si="61"/>
        <v>0</v>
      </c>
      <c r="Q99" s="77">
        <v>0</v>
      </c>
      <c r="R99" s="77">
        <v>0</v>
      </c>
      <c r="S99" s="77">
        <v>0</v>
      </c>
      <c r="T99" s="133">
        <f t="shared" si="63"/>
        <v>0</v>
      </c>
      <c r="U99" s="133">
        <f t="shared" si="64"/>
        <v>0</v>
      </c>
    </row>
    <row r="100" spans="1:21" ht="18.75" hidden="1" x14ac:dyDescent="0.25">
      <c r="A100" s="209"/>
      <c r="B100" s="67"/>
      <c r="C100" s="67"/>
      <c r="D100" s="67"/>
      <c r="E100" s="440" t="s">
        <v>37</v>
      </c>
      <c r="F100" s="67"/>
      <c r="G100" s="69"/>
      <c r="H100" s="218" t="s">
        <v>14</v>
      </c>
      <c r="I100" s="219"/>
      <c r="J100" s="219"/>
      <c r="K100" s="220"/>
      <c r="L100" s="131">
        <f ca="1">IFERROR(__xludf.DUMMYFUNCTION("IMPORTRANGE(""https://docs.google.com/spreadsheets/d/1-uDff_7J0KD5mKrp0Vvzr7lt3OU09vwQwhkpOPPYv2Y/edit?usp=sharing"",""งบพรบ!AW53"")"),0)</f>
        <v>0</v>
      </c>
      <c r="M100" s="132">
        <f ca="1">IFERROR(__xludf.DUMMYFUNCTION("IMPORTRANGE(""https://docs.google.com/spreadsheets/d/1-uDff_7J0KD5mKrp0Vvzr7lt3OU09vwQwhkpOPPYv2Y/edit?usp=sharing"",""งบพรบ!BB53"")"),0)</f>
        <v>0</v>
      </c>
      <c r="N100" s="132">
        <f ca="1">IFERROR(__xludf.DUMMYFUNCTION("IMPORTRANGE(""https://docs.google.com/spreadsheets/d/1-uDff_7J0KD5mKrp0Vvzr7lt3OU09vwQwhkpOPPYv2Y/edit?usp=sharing"",""งบพรบ!BD53"")"),0)</f>
        <v>0</v>
      </c>
      <c r="O100" s="132">
        <f t="shared" ca="1" si="60"/>
        <v>0</v>
      </c>
      <c r="P100" s="132">
        <f t="shared" ca="1" si="61"/>
        <v>0</v>
      </c>
      <c r="Q100" s="132">
        <f ca="1">IFERROR(__xludf.DUMMYFUNCTION("IMPORTRANGE(""https://docs.google.com/spreadsheets/d/1ItG2mGa2ceCfYo0BwxsXqNm01IGEUdYcSSLTEv9YCik/edit?usp=sharing"",""เบิกจ่ายกองทุน!AD53"")"),84420)</f>
        <v>84420</v>
      </c>
      <c r="R100" s="132">
        <f ca="1">IFERROR(__xludf.DUMMYFUNCTION("IMPORTRANGE(""https://docs.google.com/spreadsheets/d/1ItG2mGa2ceCfYo0BwxsXqNm01IGEUdYcSSLTEv9YCik/edit?usp=sharing"",""เบิกจ่ายกองทุน!AE53"")"),84420)</f>
        <v>84420</v>
      </c>
      <c r="S100" s="132">
        <f ca="1">IFERROR(__xludf.DUMMYFUNCTION("IMPORTRANGE(""https://docs.google.com/spreadsheets/d/1ItG2mGa2ceCfYo0BwxsXqNm01IGEUdYcSSLTEv9YCik/edit?usp=sharing"",""เบิกจ่ายกองทุน!AF53"")"),0)</f>
        <v>0</v>
      </c>
      <c r="T100" s="132">
        <f t="shared" ca="1" si="63"/>
        <v>0</v>
      </c>
      <c r="U100" s="132">
        <f t="shared" ca="1" si="64"/>
        <v>0</v>
      </c>
    </row>
    <row r="101" spans="1:21" ht="18.75" x14ac:dyDescent="0.25">
      <c r="A101" s="209"/>
      <c r="B101" s="67"/>
      <c r="C101" s="67"/>
      <c r="D101" s="836" t="s">
        <v>23</v>
      </c>
      <c r="E101" s="67"/>
      <c r="F101" s="67"/>
      <c r="G101" s="69"/>
      <c r="H101" s="221" t="s">
        <v>14</v>
      </c>
      <c r="I101" s="219"/>
      <c r="J101" s="219"/>
      <c r="K101" s="220"/>
      <c r="L101" s="131">
        <f t="shared" ref="L101:N101" ca="1" si="69">L102+L103</f>
        <v>0</v>
      </c>
      <c r="M101" s="132">
        <f t="shared" ca="1" si="69"/>
        <v>0</v>
      </c>
      <c r="N101" s="132">
        <f t="shared" ca="1" si="69"/>
        <v>0</v>
      </c>
      <c r="O101" s="132">
        <f t="shared" ca="1" si="60"/>
        <v>0</v>
      </c>
      <c r="P101" s="132">
        <f t="shared" ca="1" si="61"/>
        <v>0</v>
      </c>
      <c r="Q101" s="132">
        <f t="shared" ref="Q101:S101" si="70">Q102+Q103</f>
        <v>0</v>
      </c>
      <c r="R101" s="132">
        <f t="shared" si="70"/>
        <v>0</v>
      </c>
      <c r="S101" s="132">
        <f t="shared" si="70"/>
        <v>0</v>
      </c>
      <c r="T101" s="132">
        <f t="shared" si="63"/>
        <v>0</v>
      </c>
      <c r="U101" s="132">
        <f t="shared" si="64"/>
        <v>0</v>
      </c>
    </row>
    <row r="102" spans="1:21" ht="18.75" hidden="1" x14ac:dyDescent="0.25">
      <c r="A102" s="880"/>
      <c r="B102" s="838"/>
      <c r="C102" s="838"/>
      <c r="D102" s="838"/>
      <c r="E102" s="265" t="s">
        <v>20</v>
      </c>
      <c r="F102" s="838"/>
      <c r="G102" s="839"/>
      <c r="H102" s="273" t="s">
        <v>14</v>
      </c>
      <c r="I102" s="881"/>
      <c r="J102" s="881"/>
      <c r="K102" s="882"/>
      <c r="L102" s="76">
        <v>0</v>
      </c>
      <c r="M102" s="77">
        <v>0</v>
      </c>
      <c r="N102" s="77">
        <v>0</v>
      </c>
      <c r="O102" s="133">
        <f t="shared" si="60"/>
        <v>0</v>
      </c>
      <c r="P102" s="133">
        <f t="shared" si="61"/>
        <v>0</v>
      </c>
      <c r="Q102" s="77">
        <v>0</v>
      </c>
      <c r="R102" s="77">
        <v>0</v>
      </c>
      <c r="S102" s="77">
        <v>0</v>
      </c>
      <c r="T102" s="133">
        <f t="shared" si="63"/>
        <v>0</v>
      </c>
      <c r="U102" s="133">
        <f t="shared" si="64"/>
        <v>0</v>
      </c>
    </row>
    <row r="103" spans="1:21" ht="18.75" hidden="1" x14ac:dyDescent="0.25">
      <c r="A103" s="209"/>
      <c r="B103" s="67"/>
      <c r="C103" s="67"/>
      <c r="D103" s="67"/>
      <c r="E103" s="440" t="s">
        <v>21</v>
      </c>
      <c r="F103" s="67"/>
      <c r="G103" s="69"/>
      <c r="H103" s="221" t="s">
        <v>14</v>
      </c>
      <c r="I103" s="219"/>
      <c r="J103" s="219"/>
      <c r="K103" s="220"/>
      <c r="L103" s="131">
        <f ca="1">IFERROR(__xludf.DUMMYFUNCTION("IMPORTRANGE(""https://docs.google.com/spreadsheets/d/1-uDff_7J0KD5mKrp0Vvzr7lt3OU09vwQwhkpOPPYv2Y/edit?usp=sharing"",""งบพรบ!AZ53"")"),0)</f>
        <v>0</v>
      </c>
      <c r="M103" s="132">
        <f ca="1">IFERROR(__xludf.DUMMYFUNCTION("IMPORTRANGE(""https://docs.google.com/spreadsheets/d/1-uDff_7J0KD5mKrp0Vvzr7lt3OU09vwQwhkpOPPYv2Y/edit?usp=sharing"",""งบพรบ!BC53"")"),0)</f>
        <v>0</v>
      </c>
      <c r="N103" s="132">
        <f ca="1">IFERROR(__xludf.DUMMYFUNCTION("IMPORTRANGE(""https://docs.google.com/spreadsheets/d/1-uDff_7J0KD5mKrp0Vvzr7lt3OU09vwQwhkpOPPYv2Y/edit?usp=sharing"",""งบพรบ!BE53"")"),0)</f>
        <v>0</v>
      </c>
      <c r="O103" s="132">
        <f t="shared" ca="1" si="60"/>
        <v>0</v>
      </c>
      <c r="P103" s="132">
        <f t="shared" ca="1" si="61"/>
        <v>0</v>
      </c>
      <c r="Q103" s="74">
        <v>0</v>
      </c>
      <c r="R103" s="74">
        <v>0</v>
      </c>
      <c r="S103" s="74">
        <v>0</v>
      </c>
      <c r="T103" s="132">
        <f t="shared" si="63"/>
        <v>0</v>
      </c>
      <c r="U103" s="132">
        <f t="shared" si="64"/>
        <v>0</v>
      </c>
    </row>
    <row r="104" spans="1:21" ht="19.5" x14ac:dyDescent="0.3">
      <c r="A104" s="222"/>
      <c r="B104" s="223"/>
      <c r="C104" s="210" t="s">
        <v>18</v>
      </c>
      <c r="D104" s="883" t="s">
        <v>38</v>
      </c>
      <c r="E104" s="225"/>
      <c r="F104" s="225"/>
      <c r="G104" s="226"/>
      <c r="H104" s="227"/>
      <c r="I104" s="219"/>
      <c r="J104" s="71"/>
      <c r="K104" s="72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8.75" hidden="1" x14ac:dyDescent="0.25">
      <c r="A105" s="885"/>
      <c r="B105" s="886"/>
      <c r="C105" s="886"/>
      <c r="D105" s="812"/>
      <c r="E105" s="805"/>
      <c r="F105" s="805"/>
      <c r="G105" s="808"/>
      <c r="H105" s="813"/>
      <c r="I105" s="887"/>
      <c r="J105" s="887"/>
      <c r="K105" s="888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8.75" hidden="1" x14ac:dyDescent="0.25">
      <c r="A106" s="885"/>
      <c r="B106" s="886"/>
      <c r="C106" s="886"/>
      <c r="D106" s="812"/>
      <c r="E106" s="805"/>
      <c r="F106" s="805"/>
      <c r="G106" s="808"/>
      <c r="H106" s="813"/>
      <c r="I106" s="887"/>
      <c r="J106" s="887"/>
      <c r="K106" s="888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8.75" hidden="1" x14ac:dyDescent="0.25">
      <c r="A107" s="885"/>
      <c r="B107" s="886"/>
      <c r="C107" s="886"/>
      <c r="D107" s="886"/>
      <c r="E107" s="805"/>
      <c r="F107" s="805"/>
      <c r="G107" s="808"/>
      <c r="H107" s="813"/>
      <c r="I107" s="887"/>
      <c r="J107" s="887"/>
      <c r="K107" s="888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22"/>
      <c r="B108" s="223"/>
      <c r="C108" s="223"/>
      <c r="D108" s="490" t="s">
        <v>47</v>
      </c>
      <c r="F108" s="231"/>
      <c r="G108" s="227"/>
      <c r="H108" s="69"/>
      <c r="I108" s="71"/>
      <c r="J108" s="71"/>
      <c r="K108" s="72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x14ac:dyDescent="0.25">
      <c r="A109" s="222"/>
      <c r="B109" s="223"/>
      <c r="C109" s="223"/>
      <c r="D109" s="395" t="s">
        <v>48</v>
      </c>
      <c r="E109" s="395"/>
      <c r="F109" s="231"/>
      <c r="G109" s="227"/>
      <c r="H109" s="70" t="s">
        <v>46</v>
      </c>
      <c r="I109" s="321">
        <f ca="1">IFERROR(__xludf.DUMMYFUNCTION("IMPORTRANGE(""https://docs.google.com/spreadsheets/d/1eHaY18a8A9IcSdp1K8H6x8fbOy06t2VsZHhMHf-1x7Y/edit?usp=sharing"",""แผน!N53"")"),30)</f>
        <v>30</v>
      </c>
      <c r="J109" s="884">
        <v>0</v>
      </c>
      <c r="K109" s="399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x14ac:dyDescent="0.25">
      <c r="A110" s="222"/>
      <c r="B110" s="223"/>
      <c r="C110" s="223"/>
      <c r="D110" s="395" t="s">
        <v>49</v>
      </c>
      <c r="E110" s="395"/>
      <c r="F110" s="231"/>
      <c r="G110" s="227"/>
      <c r="H110" s="70" t="s">
        <v>35</v>
      </c>
      <c r="I110" s="321">
        <f ca="1">IFERROR(__xludf.DUMMYFUNCTION("IMPORTRANGE(""https://docs.google.com/spreadsheets/d/1eHaY18a8A9IcSdp1K8H6x8fbOy06t2VsZHhMHf-1x7Y/edit?usp=sharing"",""แผน!O53"")"),10)</f>
        <v>10</v>
      </c>
      <c r="J110" s="884">
        <v>0</v>
      </c>
      <c r="K110" s="399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9.5" hidden="1" x14ac:dyDescent="0.3">
      <c r="A111" s="885"/>
      <c r="B111" s="886"/>
      <c r="C111" s="886"/>
      <c r="D111" s="805"/>
      <c r="E111" s="806"/>
      <c r="F111" s="805"/>
      <c r="G111" s="808"/>
      <c r="H111" s="808"/>
      <c r="I111" s="810"/>
      <c r="J111" s="810"/>
      <c r="K111" s="811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8.75" hidden="1" x14ac:dyDescent="0.25">
      <c r="A112" s="885"/>
      <c r="B112" s="886"/>
      <c r="C112" s="886"/>
      <c r="D112" s="805"/>
      <c r="E112" s="812"/>
      <c r="F112" s="805"/>
      <c r="G112" s="808"/>
      <c r="H112" s="813"/>
      <c r="I112" s="887"/>
      <c r="J112" s="887"/>
      <c r="K112" s="888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8.75" hidden="1" x14ac:dyDescent="0.25">
      <c r="A113" s="885"/>
      <c r="B113" s="886"/>
      <c r="C113" s="886"/>
      <c r="D113" s="805"/>
      <c r="E113" s="889"/>
      <c r="F113" s="805"/>
      <c r="G113" s="808"/>
      <c r="H113" s="813"/>
      <c r="I113" s="887"/>
      <c r="J113" s="887"/>
      <c r="K113" s="888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8.75" x14ac:dyDescent="0.25">
      <c r="A114" s="890"/>
      <c r="B114" s="891"/>
      <c r="C114" s="891"/>
      <c r="D114" s="892" t="s">
        <v>50</v>
      </c>
      <c r="E114" s="893"/>
      <c r="F114" s="893"/>
      <c r="G114" s="894"/>
      <c r="H114" s="895" t="s">
        <v>46</v>
      </c>
      <c r="I114" s="896">
        <f ca="1">IFERROR(__xludf.DUMMYFUNCTION("IMPORTRANGE(""https://docs.google.com/spreadsheets/d/1eHaY18a8A9IcSdp1K8H6x8fbOy06t2VsZHhMHf-1x7Y/edit?usp=sharing"",""แผน!S53"")"),0)</f>
        <v>0</v>
      </c>
      <c r="J114" s="897">
        <v>0</v>
      </c>
      <c r="K114" s="898">
        <f t="shared" ref="K114:K115" ca="1" si="72">IF(I114&gt;0,J114*100/I114,0)</f>
        <v>0</v>
      </c>
      <c r="L114" s="450"/>
      <c r="M114" s="450"/>
      <c r="N114" s="450"/>
      <c r="O114" s="899"/>
      <c r="P114" s="899"/>
      <c r="Q114" s="450"/>
      <c r="R114" s="450"/>
      <c r="S114" s="450"/>
      <c r="T114" s="899"/>
      <c r="U114" s="899"/>
    </row>
    <row r="115" spans="1:21" ht="18.75" x14ac:dyDescent="0.25">
      <c r="A115" s="276"/>
      <c r="B115" s="277"/>
      <c r="C115" s="277"/>
      <c r="D115" s="296"/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IFERROR(__xludf.DUMMYFUNCTION("IMPORTRANGE(""https://docs.google.com/spreadsheets/d/1eHaY18a8A9IcSdp1K8H6x8fbOy06t2VsZHhMHf-1x7Y/edit?usp=sharing"",""แผน!R53"")"),10)</f>
        <v>10</v>
      </c>
      <c r="J115" s="294">
        <v>0</v>
      </c>
      <c r="K115" s="74">
        <f t="shared" ca="1" si="72"/>
        <v>0</v>
      </c>
      <c r="L115" s="87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193" t="s">
        <v>51</v>
      </c>
      <c r="B116" s="194"/>
      <c r="C116" s="314"/>
      <c r="D116" s="194"/>
      <c r="E116" s="194"/>
      <c r="F116" s="194"/>
      <c r="G116" s="194"/>
      <c r="H116" s="194"/>
      <c r="I116" s="315"/>
      <c r="J116" s="315"/>
      <c r="K116" s="316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01"/>
      <c r="B117" s="202" t="s">
        <v>52</v>
      </c>
      <c r="C117" s="317"/>
      <c r="D117" s="203"/>
      <c r="E117" s="49"/>
      <c r="F117" s="49"/>
      <c r="G117" s="52"/>
      <c r="H117" s="52"/>
      <c r="I117" s="900">
        <f t="shared" ref="I117:J117" ca="1" si="73">I128</f>
        <v>20</v>
      </c>
      <c r="J117" s="901">
        <f t="shared" si="73"/>
        <v>20</v>
      </c>
      <c r="K117" s="902">
        <f ca="1">IF(I117&gt;0,J117*100/I117,0)</f>
        <v>100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09"/>
      <c r="B118" s="67"/>
      <c r="C118" s="210" t="s">
        <v>18</v>
      </c>
      <c r="D118" s="879" t="s">
        <v>19</v>
      </c>
      <c r="E118" s="67"/>
      <c r="F118" s="67"/>
      <c r="G118" s="69"/>
      <c r="H118" s="212" t="s">
        <v>14</v>
      </c>
      <c r="I118" s="71"/>
      <c r="J118" s="71"/>
      <c r="K118" s="72"/>
      <c r="L118" s="214">
        <f t="shared" ref="L118:N118" ca="1" si="74">L119+L120</f>
        <v>0</v>
      </c>
      <c r="M118" s="215">
        <f t="shared" ca="1" si="74"/>
        <v>0</v>
      </c>
      <c r="N118" s="215">
        <f t="shared" ca="1" si="74"/>
        <v>0</v>
      </c>
      <c r="O118" s="215">
        <f t="shared" ref="O118:O126" ca="1" si="75">IF(L118&gt;0,N118*100/L118,0)</f>
        <v>0</v>
      </c>
      <c r="P118" s="215">
        <f t="shared" ref="P118:P126" ca="1" si="76">IF(M118&gt;0,N118*100/M118,0)</f>
        <v>0</v>
      </c>
      <c r="Q118" s="215">
        <f t="shared" ref="Q118:S118" ca="1" si="77">Q119+Q120</f>
        <v>209360</v>
      </c>
      <c r="R118" s="215">
        <f t="shared" ca="1" si="77"/>
        <v>209360</v>
      </c>
      <c r="S118" s="215">
        <f t="shared" ca="1" si="77"/>
        <v>1200</v>
      </c>
      <c r="T118" s="215">
        <f t="shared" ref="T118:T126" ca="1" si="78">IF(Q118&gt;0,S118*100/Q118,0)</f>
        <v>0.57317539166985099</v>
      </c>
      <c r="U118" s="215">
        <f t="shared" ref="U118:U126" ca="1" si="79">IF(R118&gt;0,S118*100/R118,0)</f>
        <v>0.57317539166985099</v>
      </c>
    </row>
    <row r="119" spans="1:21" ht="18.75" hidden="1" x14ac:dyDescent="0.25">
      <c r="A119" s="880"/>
      <c r="B119" s="838"/>
      <c r="C119" s="838"/>
      <c r="D119" s="838"/>
      <c r="E119" s="265" t="s">
        <v>20</v>
      </c>
      <c r="F119" s="838"/>
      <c r="G119" s="839"/>
      <c r="H119" s="266" t="s">
        <v>14</v>
      </c>
      <c r="I119" s="841"/>
      <c r="J119" s="841"/>
      <c r="K119" s="842"/>
      <c r="L119" s="217">
        <f t="shared" ref="L119:N120" si="80">L122+L125</f>
        <v>0</v>
      </c>
      <c r="M119" s="133">
        <f t="shared" si="80"/>
        <v>0</v>
      </c>
      <c r="N119" s="133">
        <f t="shared" si="80"/>
        <v>0</v>
      </c>
      <c r="O119" s="133">
        <f t="shared" si="75"/>
        <v>0</v>
      </c>
      <c r="P119" s="133">
        <f t="shared" si="76"/>
        <v>0</v>
      </c>
      <c r="Q119" s="133">
        <f t="shared" ref="Q119:S120" si="81">Q122+Q125</f>
        <v>0</v>
      </c>
      <c r="R119" s="133">
        <f t="shared" si="81"/>
        <v>0</v>
      </c>
      <c r="S119" s="133">
        <f t="shared" si="81"/>
        <v>0</v>
      </c>
      <c r="T119" s="133">
        <f t="shared" si="78"/>
        <v>0</v>
      </c>
      <c r="U119" s="133">
        <f t="shared" si="79"/>
        <v>0</v>
      </c>
    </row>
    <row r="120" spans="1:21" ht="18.75" hidden="1" x14ac:dyDescent="0.25">
      <c r="A120" s="209"/>
      <c r="B120" s="67"/>
      <c r="C120" s="67"/>
      <c r="D120" s="67"/>
      <c r="E120" s="440" t="s">
        <v>21</v>
      </c>
      <c r="F120" s="67"/>
      <c r="G120" s="69"/>
      <c r="H120" s="216" t="s">
        <v>14</v>
      </c>
      <c r="I120" s="71"/>
      <c r="J120" s="71"/>
      <c r="K120" s="72"/>
      <c r="L120" s="131">
        <f t="shared" ca="1" si="80"/>
        <v>0</v>
      </c>
      <c r="M120" s="132">
        <f t="shared" ca="1" si="80"/>
        <v>0</v>
      </c>
      <c r="N120" s="132">
        <f t="shared" ca="1" si="80"/>
        <v>0</v>
      </c>
      <c r="O120" s="132">
        <f t="shared" ca="1" si="75"/>
        <v>0</v>
      </c>
      <c r="P120" s="132">
        <f t="shared" ca="1" si="76"/>
        <v>0</v>
      </c>
      <c r="Q120" s="132">
        <f t="shared" ca="1" si="81"/>
        <v>209360</v>
      </c>
      <c r="R120" s="132">
        <f t="shared" ca="1" si="81"/>
        <v>209360</v>
      </c>
      <c r="S120" s="132">
        <f t="shared" ca="1" si="81"/>
        <v>1200</v>
      </c>
      <c r="T120" s="132">
        <f t="shared" ca="1" si="78"/>
        <v>0.57317539166985099</v>
      </c>
      <c r="U120" s="132">
        <f t="shared" ca="1" si="79"/>
        <v>0.57317539166985099</v>
      </c>
    </row>
    <row r="121" spans="1:21" ht="18.75" x14ac:dyDescent="0.25">
      <c r="A121" s="209"/>
      <c r="B121" s="67"/>
      <c r="C121" s="67"/>
      <c r="D121" s="836" t="s">
        <v>22</v>
      </c>
      <c r="E121" s="67"/>
      <c r="F121" s="67"/>
      <c r="G121" s="69"/>
      <c r="H121" s="903" t="s">
        <v>14</v>
      </c>
      <c r="I121" s="71"/>
      <c r="J121" s="71"/>
      <c r="K121" s="72"/>
      <c r="L121" s="131">
        <f t="shared" ref="L121:N121" ca="1" si="82">L122+L123</f>
        <v>0</v>
      </c>
      <c r="M121" s="132">
        <f t="shared" ca="1" si="82"/>
        <v>0</v>
      </c>
      <c r="N121" s="132">
        <f t="shared" ca="1" si="82"/>
        <v>0</v>
      </c>
      <c r="O121" s="132">
        <f t="shared" ca="1" si="75"/>
        <v>0</v>
      </c>
      <c r="P121" s="132">
        <f t="shared" ca="1" si="76"/>
        <v>0</v>
      </c>
      <c r="Q121" s="132">
        <f t="shared" ref="Q121:S121" ca="1" si="83">Q122+Q123</f>
        <v>209360</v>
      </c>
      <c r="R121" s="132">
        <f t="shared" ca="1" si="83"/>
        <v>209360</v>
      </c>
      <c r="S121" s="132">
        <f t="shared" ca="1" si="83"/>
        <v>1200</v>
      </c>
      <c r="T121" s="132">
        <f t="shared" ca="1" si="78"/>
        <v>0.57317539166985099</v>
      </c>
      <c r="U121" s="132">
        <f t="shared" ca="1" si="79"/>
        <v>0.57317539166985099</v>
      </c>
    </row>
    <row r="122" spans="1:21" ht="18.75" hidden="1" x14ac:dyDescent="0.25">
      <c r="A122" s="880"/>
      <c r="B122" s="838"/>
      <c r="C122" s="838"/>
      <c r="D122" s="838"/>
      <c r="E122" s="265" t="s">
        <v>36</v>
      </c>
      <c r="F122" s="838"/>
      <c r="G122" s="839"/>
      <c r="H122" s="308" t="s">
        <v>14</v>
      </c>
      <c r="I122" s="841"/>
      <c r="J122" s="841"/>
      <c r="K122" s="842"/>
      <c r="L122" s="76">
        <v>0</v>
      </c>
      <c r="M122" s="77">
        <v>0</v>
      </c>
      <c r="N122" s="77">
        <v>0</v>
      </c>
      <c r="O122" s="133">
        <f t="shared" si="75"/>
        <v>0</v>
      </c>
      <c r="P122" s="133">
        <f t="shared" si="76"/>
        <v>0</v>
      </c>
      <c r="Q122" s="77">
        <v>0</v>
      </c>
      <c r="R122" s="77">
        <v>0</v>
      </c>
      <c r="S122" s="77">
        <v>0</v>
      </c>
      <c r="T122" s="133">
        <f t="shared" si="78"/>
        <v>0</v>
      </c>
      <c r="U122" s="133">
        <f t="shared" si="79"/>
        <v>0</v>
      </c>
    </row>
    <row r="123" spans="1:21" ht="18.75" hidden="1" x14ac:dyDescent="0.25">
      <c r="A123" s="209"/>
      <c r="B123" s="67"/>
      <c r="C123" s="67"/>
      <c r="D123" s="67"/>
      <c r="E123" s="440" t="s">
        <v>37</v>
      </c>
      <c r="F123" s="67"/>
      <c r="G123" s="69"/>
      <c r="H123" s="903" t="s">
        <v>14</v>
      </c>
      <c r="I123" s="71"/>
      <c r="J123" s="71"/>
      <c r="K123" s="72"/>
      <c r="L123" s="131">
        <f ca="1">IFERROR(__xludf.DUMMYFUNCTION("IMPORTRANGE(""https://docs.google.com/spreadsheets/d/1-uDff_7J0KD5mKrp0Vvzr7lt3OU09vwQwhkpOPPYv2Y/edit?usp=sharing"",""งบพรบ!BG53"")"),0)</f>
        <v>0</v>
      </c>
      <c r="M123" s="132">
        <f ca="1">IFERROR(__xludf.DUMMYFUNCTION("IMPORTRANGE(""https://docs.google.com/spreadsheets/d/1-uDff_7J0KD5mKrp0Vvzr7lt3OU09vwQwhkpOPPYv2Y/edit?usp=sharing"",""งบพรบ!BL53"")"),0)</f>
        <v>0</v>
      </c>
      <c r="N123" s="132">
        <f ca="1">IFERROR(__xludf.DUMMYFUNCTION("IMPORTRANGE(""https://docs.google.com/spreadsheets/d/1-uDff_7J0KD5mKrp0Vvzr7lt3OU09vwQwhkpOPPYv2Y/edit?usp=sharing"",""งบพรบ!BN53"")"),0)</f>
        <v>0</v>
      </c>
      <c r="O123" s="132">
        <f t="shared" ca="1" si="75"/>
        <v>0</v>
      </c>
      <c r="P123" s="132">
        <f t="shared" ca="1" si="76"/>
        <v>0</v>
      </c>
      <c r="Q123" s="132">
        <f ca="1">IFERROR(__xludf.DUMMYFUNCTION("IMPORTRANGE(""https://docs.google.com/spreadsheets/d/1ItG2mGa2ceCfYo0BwxsXqNm01IGEUdYcSSLTEv9YCik/edit?usp=sharing"",""เบิกจ่ายกองทุน!R53"")"),209360)</f>
        <v>209360</v>
      </c>
      <c r="R123" s="132">
        <f ca="1">IFERROR(__xludf.DUMMYFUNCTION("IMPORTRANGE(""https://docs.google.com/spreadsheets/d/1ItG2mGa2ceCfYo0BwxsXqNm01IGEUdYcSSLTEv9YCik/edit?usp=sharing"",""เบิกจ่ายกองทุน!S53"")"),209360)</f>
        <v>209360</v>
      </c>
      <c r="S123" s="132">
        <f ca="1">IFERROR(__xludf.DUMMYFUNCTION("IMPORTRANGE(""https://docs.google.com/spreadsheets/d/1ItG2mGa2ceCfYo0BwxsXqNm01IGEUdYcSSLTEv9YCik/edit?usp=sharing"",""เบิกจ่ายกองทุน!T53"")"),1200)</f>
        <v>1200</v>
      </c>
      <c r="T123" s="132">
        <f t="shared" ca="1" si="78"/>
        <v>0.57317539166985099</v>
      </c>
      <c r="U123" s="132">
        <f t="shared" ca="1" si="79"/>
        <v>0.57317539166985099</v>
      </c>
    </row>
    <row r="124" spans="1:21" ht="18.75" x14ac:dyDescent="0.25">
      <c r="A124" s="209"/>
      <c r="B124" s="67"/>
      <c r="C124" s="67"/>
      <c r="D124" s="836" t="s">
        <v>23</v>
      </c>
      <c r="E124" s="67"/>
      <c r="F124" s="67"/>
      <c r="G124" s="69"/>
      <c r="H124" s="216" t="s">
        <v>14</v>
      </c>
      <c r="I124" s="71"/>
      <c r="J124" s="71"/>
      <c r="K124" s="72"/>
      <c r="L124" s="131">
        <f t="shared" ref="L124:N124" ca="1" si="84">L125+L126</f>
        <v>0</v>
      </c>
      <c r="M124" s="132">
        <f t="shared" ca="1" si="84"/>
        <v>0</v>
      </c>
      <c r="N124" s="132">
        <f t="shared" ca="1" si="84"/>
        <v>0</v>
      </c>
      <c r="O124" s="132">
        <f t="shared" ca="1" si="75"/>
        <v>0</v>
      </c>
      <c r="P124" s="132">
        <f t="shared" ca="1" si="76"/>
        <v>0</v>
      </c>
      <c r="Q124" s="132">
        <f t="shared" ref="Q124:S124" si="85">Q125+Q126</f>
        <v>0</v>
      </c>
      <c r="R124" s="132">
        <f t="shared" si="85"/>
        <v>0</v>
      </c>
      <c r="S124" s="132">
        <f t="shared" si="85"/>
        <v>0</v>
      </c>
      <c r="T124" s="132">
        <f t="shared" si="78"/>
        <v>0</v>
      </c>
      <c r="U124" s="132">
        <f t="shared" si="79"/>
        <v>0</v>
      </c>
    </row>
    <row r="125" spans="1:21" ht="18.75" hidden="1" x14ac:dyDescent="0.25">
      <c r="A125" s="880"/>
      <c r="B125" s="838"/>
      <c r="C125" s="838"/>
      <c r="D125" s="838"/>
      <c r="E125" s="265" t="s">
        <v>20</v>
      </c>
      <c r="F125" s="838"/>
      <c r="G125" s="839"/>
      <c r="H125" s="308" t="s">
        <v>14</v>
      </c>
      <c r="I125" s="841"/>
      <c r="J125" s="841"/>
      <c r="K125" s="842"/>
      <c r="L125" s="76">
        <v>0</v>
      </c>
      <c r="M125" s="77">
        <v>0</v>
      </c>
      <c r="N125" s="77">
        <v>0</v>
      </c>
      <c r="O125" s="133">
        <f t="shared" si="75"/>
        <v>0</v>
      </c>
      <c r="P125" s="133">
        <f t="shared" si="76"/>
        <v>0</v>
      </c>
      <c r="Q125" s="77">
        <v>0</v>
      </c>
      <c r="R125" s="77">
        <v>0</v>
      </c>
      <c r="S125" s="77">
        <v>0</v>
      </c>
      <c r="T125" s="133">
        <f t="shared" si="78"/>
        <v>0</v>
      </c>
      <c r="U125" s="133">
        <f t="shared" si="79"/>
        <v>0</v>
      </c>
    </row>
    <row r="126" spans="1:21" ht="18.75" hidden="1" x14ac:dyDescent="0.25">
      <c r="A126" s="209"/>
      <c r="B126" s="67"/>
      <c r="C126" s="67"/>
      <c r="D126" s="67"/>
      <c r="E126" s="440" t="s">
        <v>21</v>
      </c>
      <c r="F126" s="67"/>
      <c r="G126" s="69"/>
      <c r="H126" s="216" t="s">
        <v>14</v>
      </c>
      <c r="I126" s="71"/>
      <c r="J126" s="71"/>
      <c r="K126" s="72"/>
      <c r="L126" s="131">
        <f ca="1">IFERROR(__xludf.DUMMYFUNCTION("IMPORTRANGE(""https://docs.google.com/spreadsheets/d/1-uDff_7J0KD5mKrp0Vvzr7lt3OU09vwQwhkpOPPYv2Y/edit?usp=sharing"",""งบพรบ!BJ53"")"),0)</f>
        <v>0</v>
      </c>
      <c r="M126" s="132">
        <f ca="1">IFERROR(__xludf.DUMMYFUNCTION("IMPORTRANGE(""https://docs.google.com/spreadsheets/d/1-uDff_7J0KD5mKrp0Vvzr7lt3OU09vwQwhkpOPPYv2Y/edit?usp=sharing"",""งบพรบ!BM53"")"),0)</f>
        <v>0</v>
      </c>
      <c r="N126" s="132">
        <f ca="1">IFERROR(__xludf.DUMMYFUNCTION("IMPORTRANGE(""https://docs.google.com/spreadsheets/d/1-uDff_7J0KD5mKrp0Vvzr7lt3OU09vwQwhkpOPPYv2Y/edit?usp=sharing"",""งบพรบ!BO53"")"),0)</f>
        <v>0</v>
      </c>
      <c r="O126" s="132">
        <f t="shared" ca="1" si="75"/>
        <v>0</v>
      </c>
      <c r="P126" s="132">
        <f t="shared" ca="1" si="76"/>
        <v>0</v>
      </c>
      <c r="Q126" s="74">
        <v>0</v>
      </c>
      <c r="R126" s="74">
        <v>0</v>
      </c>
      <c r="S126" s="74">
        <v>0</v>
      </c>
      <c r="T126" s="132">
        <f t="shared" si="78"/>
        <v>0</v>
      </c>
      <c r="U126" s="132">
        <f t="shared" si="79"/>
        <v>0</v>
      </c>
    </row>
    <row r="127" spans="1:21" ht="19.5" x14ac:dyDescent="0.3">
      <c r="A127" s="904"/>
      <c r="B127" s="442"/>
      <c r="C127" s="905" t="s">
        <v>18</v>
      </c>
      <c r="D127" s="906" t="s">
        <v>38</v>
      </c>
      <c r="E127" s="444"/>
      <c r="F127" s="444"/>
      <c r="G127" s="445"/>
      <c r="H127" s="907"/>
      <c r="I127" s="846"/>
      <c r="J127" s="846"/>
      <c r="K127" s="450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550"/>
      <c r="B128" s="269"/>
      <c r="C128" s="269"/>
      <c r="D128" s="267" t="s">
        <v>53</v>
      </c>
      <c r="E128" s="258"/>
      <c r="F128" s="258"/>
      <c r="G128" s="261"/>
      <c r="H128" s="268" t="s">
        <v>35</v>
      </c>
      <c r="I128" s="293">
        <f ca="1">IFERROR(__xludf.DUMMYFUNCTION("IMPORTRANGE(""https://docs.google.com/spreadsheets/d/1eHaY18a8A9IcSdp1K8H6x8fbOy06t2VsZHhMHf-1x7Y/edit?usp=sharing"",""แผน!FF53"")"),20)</f>
        <v>20</v>
      </c>
      <c r="J128" s="294">
        <v>20</v>
      </c>
      <c r="K128" s="74">
        <f t="shared" ref="K128:K131" ca="1" si="86">IF(I128&gt;0,J128*100/I128,0)</f>
        <v>100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550"/>
      <c r="B129" s="269"/>
      <c r="C129" s="269"/>
      <c r="D129" s="258"/>
      <c r="E129" s="258"/>
      <c r="F129" s="258"/>
      <c r="G129" s="261"/>
      <c r="H129" s="268" t="s">
        <v>54</v>
      </c>
      <c r="I129" s="293">
        <f ca="1">IFERROR(__xludf.DUMMYFUNCTION("IMPORTRANGE(""https://docs.google.com/spreadsheets/d/1eHaY18a8A9IcSdp1K8H6x8fbOy06t2VsZHhMHf-1x7Y/edit?usp=sharing"",""แผน!FG53"")"),0)</f>
        <v>0</v>
      </c>
      <c r="J129" s="294">
        <v>0</v>
      </c>
      <c r="K129" s="74">
        <f t="shared" ca="1" si="86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550"/>
      <c r="B130" s="269"/>
      <c r="C130" s="269"/>
      <c r="D130" s="267" t="s">
        <v>55</v>
      </c>
      <c r="E130" s="258"/>
      <c r="F130" s="258"/>
      <c r="G130" s="261"/>
      <c r="H130" s="268" t="s">
        <v>35</v>
      </c>
      <c r="I130" s="293">
        <f ca="1">IFERROR(__xludf.DUMMYFUNCTION("IMPORTRANGE(""https://docs.google.com/spreadsheets/d/1eHaY18a8A9IcSdp1K8H6x8fbOy06t2VsZHhMHf-1x7Y/edit?usp=sharing"",""แผน!FH53"")"),20)</f>
        <v>20</v>
      </c>
      <c r="J130" s="294">
        <v>0</v>
      </c>
      <c r="K130" s="74">
        <f t="shared" ca="1" si="86"/>
        <v>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550"/>
      <c r="B131" s="269"/>
      <c r="C131" s="269"/>
      <c r="D131" s="258"/>
      <c r="E131" s="258"/>
      <c r="F131" s="258"/>
      <c r="G131" s="261"/>
      <c r="H131" s="268" t="s">
        <v>54</v>
      </c>
      <c r="I131" s="293">
        <f ca="1">IFERROR(__xludf.DUMMYFUNCTION("IMPORTRANGE(""https://docs.google.com/spreadsheets/d/1eHaY18a8A9IcSdp1K8H6x8fbOy06t2VsZHhMHf-1x7Y/edit?usp=sharing"",""แผน!FI53"")"),0)</f>
        <v>0</v>
      </c>
      <c r="J131" s="294">
        <v>0</v>
      </c>
      <c r="K131" s="74">
        <f t="shared" ca="1" si="86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550"/>
      <c r="B132" s="269"/>
      <c r="C132" s="269"/>
      <c r="D132" s="265" t="s">
        <v>56</v>
      </c>
      <c r="E132" s="258"/>
      <c r="F132" s="258"/>
      <c r="G132" s="261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550"/>
      <c r="B133" s="269"/>
      <c r="C133" s="269"/>
      <c r="D133" s="265" t="s">
        <v>57</v>
      </c>
      <c r="E133" s="258"/>
      <c r="F133" s="258"/>
      <c r="G133" s="261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x14ac:dyDescent="0.3">
      <c r="A135" s="193" t="s">
        <v>58</v>
      </c>
      <c r="B135" s="194"/>
      <c r="C135" s="314"/>
      <c r="D135" s="194"/>
      <c r="E135" s="194"/>
      <c r="F135" s="194"/>
      <c r="G135" s="194"/>
      <c r="H135" s="194"/>
      <c r="I135" s="315"/>
      <c r="J135" s="315"/>
      <c r="K135" s="316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x14ac:dyDescent="0.3">
      <c r="A136" s="201"/>
      <c r="B136" s="202" t="s">
        <v>59</v>
      </c>
      <c r="C136" s="317"/>
      <c r="D136" s="203"/>
      <c r="E136" s="49"/>
      <c r="F136" s="49"/>
      <c r="G136" s="49"/>
      <c r="H136" s="49"/>
      <c r="I136" s="54"/>
      <c r="J136" s="54"/>
      <c r="K136" s="55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x14ac:dyDescent="0.3">
      <c r="A137" s="201"/>
      <c r="B137" s="49"/>
      <c r="C137" s="318" t="s">
        <v>60</v>
      </c>
      <c r="D137" s="203"/>
      <c r="E137" s="49"/>
      <c r="F137" s="49"/>
      <c r="G137" s="52"/>
      <c r="H137" s="319" t="s">
        <v>61</v>
      </c>
      <c r="I137" s="205">
        <f t="shared" ref="I137:J137" ca="1" si="87">I155</f>
        <v>0</v>
      </c>
      <c r="J137" s="205">
        <f t="shared" si="87"/>
        <v>0</v>
      </c>
      <c r="K137" s="206">
        <f t="shared" ref="K137:K139" ca="1" si="88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x14ac:dyDescent="0.3">
      <c r="A138" s="201"/>
      <c r="B138" s="49"/>
      <c r="C138" s="318" t="s">
        <v>62</v>
      </c>
      <c r="D138" s="203"/>
      <c r="E138" s="49"/>
      <c r="F138" s="49"/>
      <c r="G138" s="52"/>
      <c r="H138" s="319" t="s">
        <v>35</v>
      </c>
      <c r="I138" s="205">
        <f t="shared" ref="I138:J139" ca="1" si="89">I153</f>
        <v>20</v>
      </c>
      <c r="J138" s="205">
        <f t="shared" si="89"/>
        <v>0</v>
      </c>
      <c r="K138" s="206">
        <f t="shared" ca="1" si="88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x14ac:dyDescent="0.3">
      <c r="A139" s="201"/>
      <c r="B139" s="49"/>
      <c r="C139" s="318"/>
      <c r="D139" s="203"/>
      <c r="E139" s="49"/>
      <c r="F139" s="49"/>
      <c r="G139" s="52"/>
      <c r="H139" s="319" t="s">
        <v>54</v>
      </c>
      <c r="I139" s="205">
        <f t="shared" ca="1" si="89"/>
        <v>2</v>
      </c>
      <c r="J139" s="205">
        <f t="shared" si="89"/>
        <v>0</v>
      </c>
      <c r="K139" s="206">
        <f t="shared" ca="1" si="88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x14ac:dyDescent="0.3">
      <c r="A140" s="209"/>
      <c r="B140" s="67"/>
      <c r="C140" s="210" t="s">
        <v>18</v>
      </c>
      <c r="D140" s="879" t="s">
        <v>19</v>
      </c>
      <c r="E140" s="67"/>
      <c r="F140" s="67"/>
      <c r="G140" s="69"/>
      <c r="H140" s="212" t="s">
        <v>14</v>
      </c>
      <c r="I140" s="71"/>
      <c r="J140" s="71"/>
      <c r="K140" s="72"/>
      <c r="L140" s="214">
        <f t="shared" ref="L140:N140" ca="1" si="90">L141+L142</f>
        <v>119900</v>
      </c>
      <c r="M140" s="215">
        <f t="shared" ca="1" si="90"/>
        <v>114900</v>
      </c>
      <c r="N140" s="215">
        <f t="shared" ca="1" si="90"/>
        <v>80867</v>
      </c>
      <c r="O140" s="215">
        <f t="shared" ref="O140:O148" ca="1" si="91">IF(L140&gt;0,N140*100/L140,0)</f>
        <v>67.445371142618853</v>
      </c>
      <c r="P140" s="215">
        <f t="shared" ref="P140:P148" ca="1" si="92">IF(M140&gt;0,N140*100/M140,0)</f>
        <v>70.380330722367276</v>
      </c>
      <c r="Q140" s="215">
        <f t="shared" ref="Q140:S140" ca="1" si="93">Q141+Q142</f>
        <v>0</v>
      </c>
      <c r="R140" s="215">
        <f t="shared" ca="1" si="93"/>
        <v>0</v>
      </c>
      <c r="S140" s="215">
        <f t="shared" ca="1" si="93"/>
        <v>0</v>
      </c>
      <c r="T140" s="215">
        <f t="shared" ref="T140:T148" ca="1" si="94">IF(Q140&gt;0,S140*100/Q140,0)</f>
        <v>0</v>
      </c>
      <c r="U140" s="215">
        <f t="shared" ref="U140:U148" ca="1" si="95">IF(R140&gt;0,S140*100/R140,0)</f>
        <v>0</v>
      </c>
    </row>
    <row r="141" spans="1:21" ht="18.75" hidden="1" x14ac:dyDescent="0.25">
      <c r="A141" s="880"/>
      <c r="B141" s="838"/>
      <c r="C141" s="838"/>
      <c r="D141" s="838"/>
      <c r="E141" s="265" t="s">
        <v>20</v>
      </c>
      <c r="F141" s="838"/>
      <c r="G141" s="839"/>
      <c r="H141" s="266" t="s">
        <v>14</v>
      </c>
      <c r="I141" s="841"/>
      <c r="J141" s="841"/>
      <c r="K141" s="842"/>
      <c r="L141" s="217">
        <f t="shared" ref="L141:N142" si="96">L144+L147</f>
        <v>0</v>
      </c>
      <c r="M141" s="133">
        <f t="shared" si="96"/>
        <v>0</v>
      </c>
      <c r="N141" s="133">
        <f t="shared" si="96"/>
        <v>0</v>
      </c>
      <c r="O141" s="133">
        <f t="shared" si="91"/>
        <v>0</v>
      </c>
      <c r="P141" s="133">
        <f t="shared" si="92"/>
        <v>0</v>
      </c>
      <c r="Q141" s="133">
        <f t="shared" ref="Q141:S142" si="97">Q144+Q147</f>
        <v>0</v>
      </c>
      <c r="R141" s="133">
        <f t="shared" si="97"/>
        <v>0</v>
      </c>
      <c r="S141" s="133">
        <f t="shared" si="97"/>
        <v>0</v>
      </c>
      <c r="T141" s="133">
        <f t="shared" si="94"/>
        <v>0</v>
      </c>
      <c r="U141" s="133">
        <f t="shared" si="95"/>
        <v>0</v>
      </c>
    </row>
    <row r="142" spans="1:21" ht="18.75" hidden="1" x14ac:dyDescent="0.25">
      <c r="A142" s="209"/>
      <c r="B142" s="67"/>
      <c r="C142" s="67"/>
      <c r="D142" s="67"/>
      <c r="E142" s="440" t="s">
        <v>21</v>
      </c>
      <c r="F142" s="67"/>
      <c r="G142" s="69"/>
      <c r="H142" s="216" t="s">
        <v>14</v>
      </c>
      <c r="I142" s="71"/>
      <c r="J142" s="71"/>
      <c r="K142" s="72"/>
      <c r="L142" s="131">
        <f t="shared" ca="1" si="96"/>
        <v>119900</v>
      </c>
      <c r="M142" s="132">
        <f t="shared" ca="1" si="96"/>
        <v>114900</v>
      </c>
      <c r="N142" s="132">
        <f t="shared" ca="1" si="96"/>
        <v>80867</v>
      </c>
      <c r="O142" s="132">
        <f t="shared" ca="1" si="91"/>
        <v>67.445371142618853</v>
      </c>
      <c r="P142" s="132">
        <f t="shared" ca="1" si="92"/>
        <v>70.380330722367276</v>
      </c>
      <c r="Q142" s="132">
        <f t="shared" ca="1" si="97"/>
        <v>0</v>
      </c>
      <c r="R142" s="132">
        <f t="shared" ca="1" si="97"/>
        <v>0</v>
      </c>
      <c r="S142" s="132">
        <f t="shared" ca="1" si="97"/>
        <v>0</v>
      </c>
      <c r="T142" s="132">
        <f t="shared" ca="1" si="94"/>
        <v>0</v>
      </c>
      <c r="U142" s="132">
        <f t="shared" ca="1" si="95"/>
        <v>0</v>
      </c>
    </row>
    <row r="143" spans="1:21" ht="18.75" x14ac:dyDescent="0.25">
      <c r="A143" s="209"/>
      <c r="B143" s="67"/>
      <c r="C143" s="67"/>
      <c r="D143" s="836" t="s">
        <v>22</v>
      </c>
      <c r="E143" s="67"/>
      <c r="F143" s="67"/>
      <c r="G143" s="69"/>
      <c r="H143" s="218" t="s">
        <v>14</v>
      </c>
      <c r="I143" s="219"/>
      <c r="J143" s="219"/>
      <c r="K143" s="220"/>
      <c r="L143" s="131">
        <f t="shared" ref="L143:N143" ca="1" si="98">L144+L145</f>
        <v>119900</v>
      </c>
      <c r="M143" s="132">
        <f t="shared" ca="1" si="98"/>
        <v>114900</v>
      </c>
      <c r="N143" s="132">
        <f t="shared" ca="1" si="98"/>
        <v>80867</v>
      </c>
      <c r="O143" s="132">
        <f t="shared" ca="1" si="91"/>
        <v>67.445371142618853</v>
      </c>
      <c r="P143" s="132">
        <f t="shared" ca="1" si="92"/>
        <v>70.380330722367276</v>
      </c>
      <c r="Q143" s="132">
        <f t="shared" ref="Q143:S143" ca="1" si="99">Q144+Q145</f>
        <v>0</v>
      </c>
      <c r="R143" s="132">
        <f t="shared" ca="1" si="99"/>
        <v>0</v>
      </c>
      <c r="S143" s="132">
        <f t="shared" ca="1" si="99"/>
        <v>0</v>
      </c>
      <c r="T143" s="132">
        <f t="shared" ca="1" si="94"/>
        <v>0</v>
      </c>
      <c r="U143" s="132">
        <f t="shared" ca="1" si="95"/>
        <v>0</v>
      </c>
    </row>
    <row r="144" spans="1:21" ht="18.75" hidden="1" x14ac:dyDescent="0.25">
      <c r="A144" s="880"/>
      <c r="B144" s="838"/>
      <c r="C144" s="838"/>
      <c r="D144" s="838"/>
      <c r="E144" s="265" t="s">
        <v>36</v>
      </c>
      <c r="F144" s="838"/>
      <c r="G144" s="839"/>
      <c r="H144" s="273" t="s">
        <v>14</v>
      </c>
      <c r="I144" s="881"/>
      <c r="J144" s="881"/>
      <c r="K144" s="882"/>
      <c r="L144" s="76">
        <v>0</v>
      </c>
      <c r="M144" s="77">
        <v>0</v>
      </c>
      <c r="N144" s="77">
        <v>0</v>
      </c>
      <c r="O144" s="133">
        <f t="shared" si="91"/>
        <v>0</v>
      </c>
      <c r="P144" s="133">
        <f t="shared" si="92"/>
        <v>0</v>
      </c>
      <c r="Q144" s="77">
        <v>0</v>
      </c>
      <c r="R144" s="77">
        <v>0</v>
      </c>
      <c r="S144" s="77">
        <v>0</v>
      </c>
      <c r="T144" s="133">
        <f t="shared" si="94"/>
        <v>0</v>
      </c>
      <c r="U144" s="133">
        <f t="shared" si="95"/>
        <v>0</v>
      </c>
    </row>
    <row r="145" spans="1:21" ht="18.75" hidden="1" x14ac:dyDescent="0.25">
      <c r="A145" s="209"/>
      <c r="B145" s="67"/>
      <c r="C145" s="67"/>
      <c r="D145" s="67"/>
      <c r="E145" s="440" t="s">
        <v>37</v>
      </c>
      <c r="F145" s="67"/>
      <c r="G145" s="69"/>
      <c r="H145" s="218" t="s">
        <v>14</v>
      </c>
      <c r="I145" s="219"/>
      <c r="J145" s="219"/>
      <c r="K145" s="220"/>
      <c r="L145" s="131">
        <f ca="1">IFERROR(__xludf.DUMMYFUNCTION("IMPORTRANGE(""https://docs.google.com/spreadsheets/d/1-uDff_7J0KD5mKrp0Vvzr7lt3OU09vwQwhkpOPPYv2Y/edit?usp=sharing"",""งบพรบ!BQ53"")"),119900)</f>
        <v>119900</v>
      </c>
      <c r="M145" s="132">
        <f ca="1">IFERROR(__xludf.DUMMYFUNCTION("IMPORTRANGE(""https://docs.google.com/spreadsheets/d/1-uDff_7J0KD5mKrp0Vvzr7lt3OU09vwQwhkpOPPYv2Y/edit?usp=sharing"",""งบพรบ!BV53"")"),114900)</f>
        <v>114900</v>
      </c>
      <c r="N145" s="132">
        <f ca="1">IFERROR(__xludf.DUMMYFUNCTION("IMPORTRANGE(""https://docs.google.com/spreadsheets/d/1-uDff_7J0KD5mKrp0Vvzr7lt3OU09vwQwhkpOPPYv2Y/edit?usp=sharing"",""งบพรบ!BX53"")"),80867)</f>
        <v>80867</v>
      </c>
      <c r="O145" s="132">
        <f t="shared" ca="1" si="91"/>
        <v>67.445371142618853</v>
      </c>
      <c r="P145" s="132">
        <f t="shared" ca="1" si="92"/>
        <v>70.380330722367276</v>
      </c>
      <c r="Q145" s="132">
        <f ca="1">IFERROR(__xludf.DUMMYFUNCTION("IMPORTRANGE(""https://docs.google.com/spreadsheets/d/1ItG2mGa2ceCfYo0BwxsXqNm01IGEUdYcSSLTEv9YCik/edit?usp=sharing"",""เบิกจ่ายกองทุน!BB53"")"),0)</f>
        <v>0</v>
      </c>
      <c r="R145" s="132">
        <f ca="1">IFERROR(__xludf.DUMMYFUNCTION("IMPORTRANGE(""https://docs.google.com/spreadsheets/d/1ItG2mGa2ceCfYo0BwxsXqNm01IGEUdYcSSLTEv9YCik/edit?usp=sharing"",""เบิกจ่ายกองทุน!BC53"")"),0)</f>
        <v>0</v>
      </c>
      <c r="S145" s="132">
        <f ca="1">IFERROR(__xludf.DUMMYFUNCTION("IMPORTRANGE(""https://docs.google.com/spreadsheets/d/1ItG2mGa2ceCfYo0BwxsXqNm01IGEUdYcSSLTEv9YCik/edit?usp=sharing"",""เบิกจ่ายกองทุน!BD53"")"),0)</f>
        <v>0</v>
      </c>
      <c r="T145" s="132">
        <f t="shared" ca="1" si="94"/>
        <v>0</v>
      </c>
      <c r="U145" s="132">
        <f t="shared" ca="1" si="95"/>
        <v>0</v>
      </c>
    </row>
    <row r="146" spans="1:21" ht="18.75" x14ac:dyDescent="0.25">
      <c r="A146" s="209"/>
      <c r="B146" s="67"/>
      <c r="C146" s="67"/>
      <c r="D146" s="836" t="s">
        <v>23</v>
      </c>
      <c r="E146" s="67"/>
      <c r="F146" s="67"/>
      <c r="G146" s="69"/>
      <c r="H146" s="221" t="s">
        <v>14</v>
      </c>
      <c r="I146" s="219"/>
      <c r="J146" s="219"/>
      <c r="K146" s="220"/>
      <c r="L146" s="131">
        <f t="shared" ref="L146:N146" ca="1" si="100">L147+L148</f>
        <v>0</v>
      </c>
      <c r="M146" s="132">
        <f t="shared" ca="1" si="100"/>
        <v>0</v>
      </c>
      <c r="N146" s="132">
        <f t="shared" ca="1" si="100"/>
        <v>0</v>
      </c>
      <c r="O146" s="132">
        <f t="shared" ca="1" si="91"/>
        <v>0</v>
      </c>
      <c r="P146" s="132">
        <f t="shared" ca="1" si="92"/>
        <v>0</v>
      </c>
      <c r="Q146" s="132">
        <f t="shared" ref="Q146:S146" si="101">Q147+Q148</f>
        <v>0</v>
      </c>
      <c r="R146" s="132">
        <f t="shared" si="101"/>
        <v>0</v>
      </c>
      <c r="S146" s="132">
        <f t="shared" si="101"/>
        <v>0</v>
      </c>
      <c r="T146" s="132">
        <f t="shared" si="94"/>
        <v>0</v>
      </c>
      <c r="U146" s="132">
        <f t="shared" si="95"/>
        <v>0</v>
      </c>
    </row>
    <row r="147" spans="1:21" ht="18.75" hidden="1" x14ac:dyDescent="0.25">
      <c r="A147" s="880"/>
      <c r="B147" s="838"/>
      <c r="C147" s="838"/>
      <c r="D147" s="838"/>
      <c r="E147" s="265" t="s">
        <v>20</v>
      </c>
      <c r="F147" s="838"/>
      <c r="G147" s="839"/>
      <c r="H147" s="273" t="s">
        <v>14</v>
      </c>
      <c r="I147" s="881"/>
      <c r="J147" s="881"/>
      <c r="K147" s="882"/>
      <c r="L147" s="76">
        <v>0</v>
      </c>
      <c r="M147" s="77">
        <v>0</v>
      </c>
      <c r="N147" s="77">
        <v>0</v>
      </c>
      <c r="O147" s="133">
        <f t="shared" si="91"/>
        <v>0</v>
      </c>
      <c r="P147" s="133">
        <f t="shared" si="92"/>
        <v>0</v>
      </c>
      <c r="Q147" s="77">
        <v>0</v>
      </c>
      <c r="R147" s="77">
        <v>0</v>
      </c>
      <c r="S147" s="77">
        <v>0</v>
      </c>
      <c r="T147" s="133">
        <f t="shared" si="94"/>
        <v>0</v>
      </c>
      <c r="U147" s="133">
        <f t="shared" si="95"/>
        <v>0</v>
      </c>
    </row>
    <row r="148" spans="1:21" ht="18.75" hidden="1" x14ac:dyDescent="0.25">
      <c r="A148" s="209"/>
      <c r="B148" s="67"/>
      <c r="C148" s="67"/>
      <c r="D148" s="67"/>
      <c r="E148" s="440" t="s">
        <v>21</v>
      </c>
      <c r="F148" s="67"/>
      <c r="G148" s="69"/>
      <c r="H148" s="221" t="s">
        <v>14</v>
      </c>
      <c r="I148" s="219"/>
      <c r="J148" s="219"/>
      <c r="K148" s="220"/>
      <c r="L148" s="131">
        <f ca="1">IFERROR(__xludf.DUMMYFUNCTION("IMPORTRANGE(""https://docs.google.com/spreadsheets/d/1-uDff_7J0KD5mKrp0Vvzr7lt3OU09vwQwhkpOPPYv2Y/edit?usp=sharing"",""งบพรบ!BT53"")"),0)</f>
        <v>0</v>
      </c>
      <c r="M148" s="132">
        <f ca="1">IFERROR(__xludf.DUMMYFUNCTION("IMPORTRANGE(""https://docs.google.com/spreadsheets/d/1-uDff_7J0KD5mKrp0Vvzr7lt3OU09vwQwhkpOPPYv2Y/edit?usp=sharing"",""งบพรบ!BW53"")"),0)</f>
        <v>0</v>
      </c>
      <c r="N148" s="132">
        <f ca="1">IFERROR(__xludf.DUMMYFUNCTION("IMPORTRANGE(""https://docs.google.com/spreadsheets/d/1-uDff_7J0KD5mKrp0Vvzr7lt3OU09vwQwhkpOPPYv2Y/edit?usp=sharing"",""งบพรบ!BY53"")"),0)</f>
        <v>0</v>
      </c>
      <c r="O148" s="132">
        <f t="shared" ca="1" si="91"/>
        <v>0</v>
      </c>
      <c r="P148" s="132">
        <f t="shared" ca="1" si="92"/>
        <v>0</v>
      </c>
      <c r="Q148" s="74">
        <v>0</v>
      </c>
      <c r="R148" s="74">
        <v>0</v>
      </c>
      <c r="S148" s="74">
        <v>0</v>
      </c>
      <c r="T148" s="132">
        <f t="shared" si="94"/>
        <v>0</v>
      </c>
      <c r="U148" s="132">
        <f t="shared" si="95"/>
        <v>0</v>
      </c>
    </row>
    <row r="149" spans="1:21" ht="19.5" x14ac:dyDescent="0.3">
      <c r="A149" s="222"/>
      <c r="B149" s="223"/>
      <c r="C149" s="210" t="s">
        <v>18</v>
      </c>
      <c r="D149" s="883" t="s">
        <v>38</v>
      </c>
      <c r="E149" s="225"/>
      <c r="F149" s="225"/>
      <c r="G149" s="226"/>
      <c r="H149" s="320"/>
      <c r="I149" s="71"/>
      <c r="J149" s="71"/>
      <c r="K149" s="72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x14ac:dyDescent="0.25">
      <c r="A150" s="209"/>
      <c r="B150" s="67"/>
      <c r="C150" s="67"/>
      <c r="D150" s="440" t="s">
        <v>63</v>
      </c>
      <c r="E150" s="67"/>
      <c r="F150" s="67"/>
      <c r="G150" s="69"/>
      <c r="H150" s="320"/>
      <c r="I150" s="71"/>
      <c r="J150" s="884">
        <v>0</v>
      </c>
      <c r="K150" s="72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x14ac:dyDescent="0.3">
      <c r="A151" s="322"/>
      <c r="B151" s="79"/>
      <c r="C151" s="79"/>
      <c r="D151" s="323"/>
      <c r="E151" s="327" t="s">
        <v>64</v>
      </c>
      <c r="F151" s="79"/>
      <c r="G151" s="81"/>
      <c r="H151" s="328" t="s">
        <v>35</v>
      </c>
      <c r="I151" s="329">
        <f ca="1">IFERROR(__xludf.DUMMYFUNCTION("IMPORTRANGE(""https://docs.google.com/spreadsheets/d/1eHaY18a8A9IcSdp1K8H6x8fbOy06t2VsZHhMHf-1x7Y/edit?usp=sharing"",""แผน!U53"")"),0)</f>
        <v>0</v>
      </c>
      <c r="J151" s="908">
        <v>0</v>
      </c>
      <c r="K151" s="85">
        <f t="shared" ref="K151:K155" ca="1" si="102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x14ac:dyDescent="0.25">
      <c r="A152" s="322"/>
      <c r="B152" s="79"/>
      <c r="C152" s="79"/>
      <c r="D152" s="323"/>
      <c r="E152" s="327"/>
      <c r="F152" s="79"/>
      <c r="G152" s="81"/>
      <c r="H152" s="328" t="s">
        <v>54</v>
      </c>
      <c r="I152" s="329">
        <f ca="1">IFERROR(__xludf.DUMMYFUNCTION("IMPORTRANGE(""https://docs.google.com/spreadsheets/d/1eHaY18a8A9IcSdp1K8H6x8fbOy06t2VsZHhMHf-1x7Y/edit?usp=sharing"",""แผน!V53"")"),0)</f>
        <v>0</v>
      </c>
      <c r="J152" s="908">
        <v>0</v>
      </c>
      <c r="K152" s="85">
        <f t="shared" ca="1" si="102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x14ac:dyDescent="0.3">
      <c r="A153" s="322"/>
      <c r="B153" s="79"/>
      <c r="C153" s="79"/>
      <c r="D153" s="323"/>
      <c r="E153" s="327" t="s">
        <v>65</v>
      </c>
      <c r="F153" s="79"/>
      <c r="G153" s="81"/>
      <c r="H153" s="328" t="s">
        <v>35</v>
      </c>
      <c r="I153" s="329">
        <f ca="1">IFERROR(__xludf.DUMMYFUNCTION("IMPORTRANGE(""https://docs.google.com/spreadsheets/d/1eHaY18a8A9IcSdp1K8H6x8fbOy06t2VsZHhMHf-1x7Y/edit?usp=sharing"",""แผน!W53"")"),20)</f>
        <v>20</v>
      </c>
      <c r="J153" s="908">
        <v>0</v>
      </c>
      <c r="K153" s="85">
        <f t="shared" ca="1" si="102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9.5" x14ac:dyDescent="0.3">
      <c r="A154" s="322"/>
      <c r="B154" s="79"/>
      <c r="C154" s="79"/>
      <c r="D154" s="327"/>
      <c r="E154" s="330"/>
      <c r="F154" s="79"/>
      <c r="G154" s="81"/>
      <c r="H154" s="328" t="s">
        <v>54</v>
      </c>
      <c r="I154" s="329">
        <f ca="1">IFERROR(__xludf.DUMMYFUNCTION("IMPORTRANGE(""https://docs.google.com/spreadsheets/d/1eHaY18a8A9IcSdp1K8H6x8fbOy06t2VsZHhMHf-1x7Y/edit?usp=sharing"",""แผน!X53"")"),2)</f>
        <v>2</v>
      </c>
      <c r="J154" s="908">
        <v>0</v>
      </c>
      <c r="K154" s="85">
        <f t="shared" ca="1" si="102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x14ac:dyDescent="0.25">
      <c r="A155" s="331"/>
      <c r="B155" s="332"/>
      <c r="C155" s="332"/>
      <c r="D155" s="333" t="s">
        <v>66</v>
      </c>
      <c r="E155" s="332"/>
      <c r="F155" s="332"/>
      <c r="G155" s="334"/>
      <c r="H155" s="335" t="s">
        <v>61</v>
      </c>
      <c r="I155" s="337">
        <f ca="1">IFERROR(__xludf.DUMMYFUNCTION("IMPORTRANGE(""https://docs.google.com/spreadsheets/d/1eHaY18a8A9IcSdp1K8H6x8fbOy06t2VsZHhMHf-1x7Y/edit?usp=sharing"",""แผน!Y53"")"),0)</f>
        <v>0</v>
      </c>
      <c r="J155" s="909">
        <v>0</v>
      </c>
      <c r="K155" s="85">
        <f t="shared" ca="1" si="102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x14ac:dyDescent="0.3">
      <c r="A156" s="339" t="s">
        <v>67</v>
      </c>
      <c r="B156" s="340"/>
      <c r="C156" s="341"/>
      <c r="D156" s="340"/>
      <c r="E156" s="340"/>
      <c r="F156" s="340"/>
      <c r="G156" s="340"/>
      <c r="H156" s="340"/>
      <c r="I156" s="342"/>
      <c r="J156" s="342"/>
      <c r="K156" s="343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x14ac:dyDescent="0.3">
      <c r="A157" s="201"/>
      <c r="B157" s="202" t="s">
        <v>68</v>
      </c>
      <c r="C157" s="49"/>
      <c r="D157" s="49"/>
      <c r="E157" s="49"/>
      <c r="F157" s="49"/>
      <c r="G157" s="52"/>
      <c r="H157" s="345" t="s">
        <v>35</v>
      </c>
      <c r="I157" s="205">
        <f t="shared" ref="I157:J157" ca="1" si="103">I168</f>
        <v>10</v>
      </c>
      <c r="J157" s="205">
        <f t="shared" si="103"/>
        <v>0</v>
      </c>
      <c r="K157" s="206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x14ac:dyDescent="0.3">
      <c r="A158" s="209"/>
      <c r="B158" s="67"/>
      <c r="C158" s="210" t="s">
        <v>18</v>
      </c>
      <c r="D158" s="879" t="s">
        <v>19</v>
      </c>
      <c r="E158" s="67"/>
      <c r="F158" s="67"/>
      <c r="G158" s="69"/>
      <c r="H158" s="212" t="s">
        <v>14</v>
      </c>
      <c r="I158" s="71"/>
      <c r="J158" s="71"/>
      <c r="K158" s="72"/>
      <c r="L158" s="214">
        <f t="shared" ref="L158:N158" ca="1" si="104">L159+L160</f>
        <v>3000</v>
      </c>
      <c r="M158" s="215">
        <f t="shared" ca="1" si="104"/>
        <v>2250</v>
      </c>
      <c r="N158" s="215">
        <f t="shared" ca="1" si="104"/>
        <v>0</v>
      </c>
      <c r="O158" s="215">
        <f t="shared" ref="O158:O166" ca="1" si="105">IF(L158&gt;0,N158*100/L158,0)</f>
        <v>0</v>
      </c>
      <c r="P158" s="215">
        <f t="shared" ref="P158:P166" ca="1" si="106">IF(M158&gt;0,N158*100/M158,0)</f>
        <v>0</v>
      </c>
      <c r="Q158" s="215">
        <f t="shared" ref="Q158:S158" ca="1" si="107">Q159+Q160</f>
        <v>0</v>
      </c>
      <c r="R158" s="215">
        <f t="shared" ca="1" si="107"/>
        <v>0</v>
      </c>
      <c r="S158" s="215">
        <f t="shared" ca="1" si="107"/>
        <v>0</v>
      </c>
      <c r="T158" s="215">
        <f t="shared" ref="T158:T166" ca="1" si="108">IF(Q158&gt;0,S158*100/Q158,0)</f>
        <v>0</v>
      </c>
      <c r="U158" s="215">
        <f t="shared" ref="U158:U166" ca="1" si="109">IF(R158&gt;0,S158*100/R158,0)</f>
        <v>0</v>
      </c>
    </row>
    <row r="159" spans="1:21" ht="18.75" hidden="1" x14ac:dyDescent="0.25">
      <c r="A159" s="880"/>
      <c r="B159" s="838"/>
      <c r="C159" s="838"/>
      <c r="D159" s="838"/>
      <c r="E159" s="265" t="s">
        <v>20</v>
      </c>
      <c r="F159" s="838"/>
      <c r="G159" s="839"/>
      <c r="H159" s="266" t="s">
        <v>14</v>
      </c>
      <c r="I159" s="841"/>
      <c r="J159" s="841"/>
      <c r="K159" s="842"/>
      <c r="L159" s="217">
        <f t="shared" ref="L159:N160" si="110">L162+L165</f>
        <v>0</v>
      </c>
      <c r="M159" s="133">
        <f t="shared" si="110"/>
        <v>0</v>
      </c>
      <c r="N159" s="133">
        <f t="shared" si="110"/>
        <v>0</v>
      </c>
      <c r="O159" s="133">
        <f t="shared" si="105"/>
        <v>0</v>
      </c>
      <c r="P159" s="133">
        <f t="shared" si="106"/>
        <v>0</v>
      </c>
      <c r="Q159" s="133">
        <f t="shared" ref="Q159:S160" si="111">Q162+Q165</f>
        <v>0</v>
      </c>
      <c r="R159" s="133">
        <f t="shared" si="111"/>
        <v>0</v>
      </c>
      <c r="S159" s="133">
        <f t="shared" si="111"/>
        <v>0</v>
      </c>
      <c r="T159" s="133">
        <f t="shared" si="108"/>
        <v>0</v>
      </c>
      <c r="U159" s="133">
        <f t="shared" si="109"/>
        <v>0</v>
      </c>
    </row>
    <row r="160" spans="1:21" ht="18.75" hidden="1" x14ac:dyDescent="0.25">
      <c r="A160" s="209"/>
      <c r="B160" s="67"/>
      <c r="C160" s="67"/>
      <c r="D160" s="67"/>
      <c r="E160" s="440" t="s">
        <v>21</v>
      </c>
      <c r="F160" s="67"/>
      <c r="G160" s="69"/>
      <c r="H160" s="216" t="s">
        <v>14</v>
      </c>
      <c r="I160" s="71"/>
      <c r="J160" s="71"/>
      <c r="K160" s="72"/>
      <c r="L160" s="131">
        <f t="shared" ca="1" si="110"/>
        <v>3000</v>
      </c>
      <c r="M160" s="132">
        <f t="shared" ca="1" si="110"/>
        <v>2250</v>
      </c>
      <c r="N160" s="132">
        <f t="shared" ca="1" si="110"/>
        <v>0</v>
      </c>
      <c r="O160" s="132">
        <f t="shared" ca="1" si="105"/>
        <v>0</v>
      </c>
      <c r="P160" s="132">
        <f t="shared" ca="1" si="106"/>
        <v>0</v>
      </c>
      <c r="Q160" s="132">
        <f t="shared" ca="1" si="111"/>
        <v>0</v>
      </c>
      <c r="R160" s="132">
        <f t="shared" ca="1" si="111"/>
        <v>0</v>
      </c>
      <c r="S160" s="132">
        <f t="shared" ca="1" si="111"/>
        <v>0</v>
      </c>
      <c r="T160" s="132">
        <f t="shared" ca="1" si="108"/>
        <v>0</v>
      </c>
      <c r="U160" s="132">
        <f t="shared" ca="1" si="109"/>
        <v>0</v>
      </c>
    </row>
    <row r="161" spans="1:21" ht="18.75" x14ac:dyDescent="0.25">
      <c r="A161" s="209"/>
      <c r="B161" s="67"/>
      <c r="C161" s="67"/>
      <c r="D161" s="836" t="s">
        <v>22</v>
      </c>
      <c r="E161" s="67"/>
      <c r="F161" s="67"/>
      <c r="G161" s="69"/>
      <c r="H161" s="218" t="s">
        <v>14</v>
      </c>
      <c r="I161" s="219"/>
      <c r="J161" s="219"/>
      <c r="K161" s="220"/>
      <c r="L161" s="131">
        <f t="shared" ref="L161:N161" ca="1" si="112">L162+L163</f>
        <v>3000</v>
      </c>
      <c r="M161" s="132">
        <f t="shared" ca="1" si="112"/>
        <v>2250</v>
      </c>
      <c r="N161" s="132">
        <f t="shared" ca="1" si="112"/>
        <v>0</v>
      </c>
      <c r="O161" s="132">
        <f t="shared" ca="1" si="105"/>
        <v>0</v>
      </c>
      <c r="P161" s="132">
        <f t="shared" ca="1" si="106"/>
        <v>0</v>
      </c>
      <c r="Q161" s="132">
        <f t="shared" ref="Q161:S161" ca="1" si="113">Q162+Q163</f>
        <v>0</v>
      </c>
      <c r="R161" s="132">
        <f t="shared" ca="1" si="113"/>
        <v>0</v>
      </c>
      <c r="S161" s="132">
        <f t="shared" ca="1" si="113"/>
        <v>0</v>
      </c>
      <c r="T161" s="132">
        <f t="shared" ca="1" si="108"/>
        <v>0</v>
      </c>
      <c r="U161" s="132">
        <f t="shared" ca="1" si="109"/>
        <v>0</v>
      </c>
    </row>
    <row r="162" spans="1:21" ht="18.75" hidden="1" x14ac:dyDescent="0.25">
      <c r="A162" s="880"/>
      <c r="B162" s="838"/>
      <c r="C162" s="838"/>
      <c r="D162" s="838"/>
      <c r="E162" s="265" t="s">
        <v>36</v>
      </c>
      <c r="F162" s="838"/>
      <c r="G162" s="839"/>
      <c r="H162" s="273" t="s">
        <v>14</v>
      </c>
      <c r="I162" s="881"/>
      <c r="J162" s="881"/>
      <c r="K162" s="882"/>
      <c r="L162" s="76">
        <v>0</v>
      </c>
      <c r="M162" s="77">
        <v>0</v>
      </c>
      <c r="N162" s="77">
        <v>0</v>
      </c>
      <c r="O162" s="133">
        <f t="shared" si="105"/>
        <v>0</v>
      </c>
      <c r="P162" s="133">
        <f t="shared" si="106"/>
        <v>0</v>
      </c>
      <c r="Q162" s="77">
        <v>0</v>
      </c>
      <c r="R162" s="77">
        <v>0</v>
      </c>
      <c r="S162" s="77">
        <v>0</v>
      </c>
      <c r="T162" s="133">
        <f t="shared" si="108"/>
        <v>0</v>
      </c>
      <c r="U162" s="133">
        <f t="shared" si="109"/>
        <v>0</v>
      </c>
    </row>
    <row r="163" spans="1:21" ht="18.75" hidden="1" x14ac:dyDescent="0.25">
      <c r="A163" s="209"/>
      <c r="B163" s="67"/>
      <c r="C163" s="67"/>
      <c r="D163" s="67"/>
      <c r="E163" s="440" t="s">
        <v>37</v>
      </c>
      <c r="F163" s="67"/>
      <c r="G163" s="69"/>
      <c r="H163" s="218" t="s">
        <v>14</v>
      </c>
      <c r="I163" s="219"/>
      <c r="J163" s="219"/>
      <c r="K163" s="220"/>
      <c r="L163" s="131">
        <f ca="1">IFERROR(__xludf.DUMMYFUNCTION("IMPORTRANGE(""https://docs.google.com/spreadsheets/d/1-uDff_7J0KD5mKrp0Vvzr7lt3OU09vwQwhkpOPPYv2Y/edit?usp=sharing"",""งบพรบ!CA53"")"),3000)</f>
        <v>3000</v>
      </c>
      <c r="M163" s="132">
        <f ca="1">IFERROR(__xludf.DUMMYFUNCTION("IMPORTRANGE(""https://docs.google.com/spreadsheets/d/1-uDff_7J0KD5mKrp0Vvzr7lt3OU09vwQwhkpOPPYv2Y/edit?usp=sharing"",""งบพรบ!CF53"")"),2250)</f>
        <v>2250</v>
      </c>
      <c r="N163" s="132">
        <f ca="1">IFERROR(__xludf.DUMMYFUNCTION("IMPORTRANGE(""https://docs.google.com/spreadsheets/d/1-uDff_7J0KD5mKrp0Vvzr7lt3OU09vwQwhkpOPPYv2Y/edit?usp=sharing"",""งบพรบ!CH53"")"),0)</f>
        <v>0</v>
      </c>
      <c r="O163" s="132">
        <f t="shared" ca="1" si="105"/>
        <v>0</v>
      </c>
      <c r="P163" s="132">
        <f t="shared" ca="1" si="106"/>
        <v>0</v>
      </c>
      <c r="Q163" s="132">
        <f ca="1">IFERROR(__xludf.DUMMYFUNCTION("IMPORTRANGE(""https://docs.google.com/spreadsheets/d/1ItG2mGa2ceCfYo0BwxsXqNm01IGEUdYcSSLTEv9YCik/edit?usp=sharing"",""เบิกจ่ายกองทุน!AG53"")"),0)</f>
        <v>0</v>
      </c>
      <c r="R163" s="132">
        <f ca="1">IFERROR(__xludf.DUMMYFUNCTION("IMPORTRANGE(""https://docs.google.com/spreadsheets/d/1ItG2mGa2ceCfYo0BwxsXqNm01IGEUdYcSSLTEv9YCik/edit?usp=sharing"",""เบิกจ่ายกองทุน!AH53"")"),0)</f>
        <v>0</v>
      </c>
      <c r="S163" s="132">
        <f ca="1">IFERROR(__xludf.DUMMYFUNCTION("IMPORTRANGE(""https://docs.google.com/spreadsheets/d/1ItG2mGa2ceCfYo0BwxsXqNm01IGEUdYcSSLTEv9YCik/edit?usp=sharing"",""เบิกจ่ายกองทุน!AI53"")"),0)</f>
        <v>0</v>
      </c>
      <c r="T163" s="132">
        <f t="shared" ca="1" si="108"/>
        <v>0</v>
      </c>
      <c r="U163" s="132">
        <f t="shared" ca="1" si="109"/>
        <v>0</v>
      </c>
    </row>
    <row r="164" spans="1:21" ht="18.75" x14ac:dyDescent="0.25">
      <c r="A164" s="209"/>
      <c r="B164" s="67"/>
      <c r="C164" s="67"/>
      <c r="D164" s="836" t="s">
        <v>23</v>
      </c>
      <c r="E164" s="67"/>
      <c r="F164" s="67"/>
      <c r="G164" s="69"/>
      <c r="H164" s="221" t="s">
        <v>14</v>
      </c>
      <c r="I164" s="219"/>
      <c r="J164" s="219"/>
      <c r="K164" s="220"/>
      <c r="L164" s="131">
        <f t="shared" ref="L164:N164" ca="1" si="114">L165+L166</f>
        <v>0</v>
      </c>
      <c r="M164" s="132">
        <f t="shared" ca="1" si="114"/>
        <v>0</v>
      </c>
      <c r="N164" s="132">
        <f t="shared" ca="1" si="114"/>
        <v>0</v>
      </c>
      <c r="O164" s="132">
        <f t="shared" ca="1" si="105"/>
        <v>0</v>
      </c>
      <c r="P164" s="132">
        <f t="shared" ca="1" si="106"/>
        <v>0</v>
      </c>
      <c r="Q164" s="132">
        <f t="shared" ref="Q164:S164" si="115">Q165+Q166</f>
        <v>0</v>
      </c>
      <c r="R164" s="132">
        <f t="shared" si="115"/>
        <v>0</v>
      </c>
      <c r="S164" s="132">
        <f t="shared" si="115"/>
        <v>0</v>
      </c>
      <c r="T164" s="132">
        <f t="shared" si="108"/>
        <v>0</v>
      </c>
      <c r="U164" s="132">
        <f t="shared" si="109"/>
        <v>0</v>
      </c>
    </row>
    <row r="165" spans="1:21" ht="18.75" hidden="1" x14ac:dyDescent="0.25">
      <c r="A165" s="880"/>
      <c r="B165" s="838"/>
      <c r="C165" s="838"/>
      <c r="D165" s="838"/>
      <c r="E165" s="265" t="s">
        <v>20</v>
      </c>
      <c r="F165" s="838"/>
      <c r="G165" s="839"/>
      <c r="H165" s="273" t="s">
        <v>14</v>
      </c>
      <c r="I165" s="881"/>
      <c r="J165" s="881"/>
      <c r="K165" s="882"/>
      <c r="L165" s="76">
        <v>0</v>
      </c>
      <c r="M165" s="77">
        <v>0</v>
      </c>
      <c r="N165" s="77">
        <v>0</v>
      </c>
      <c r="O165" s="133">
        <f t="shared" si="105"/>
        <v>0</v>
      </c>
      <c r="P165" s="133">
        <f t="shared" si="106"/>
        <v>0</v>
      </c>
      <c r="Q165" s="77">
        <v>0</v>
      </c>
      <c r="R165" s="77">
        <v>0</v>
      </c>
      <c r="S165" s="77">
        <v>0</v>
      </c>
      <c r="T165" s="133">
        <f t="shared" si="108"/>
        <v>0</v>
      </c>
      <c r="U165" s="133">
        <f t="shared" si="109"/>
        <v>0</v>
      </c>
    </row>
    <row r="166" spans="1:21" ht="18.75" hidden="1" x14ac:dyDescent="0.25">
      <c r="A166" s="209"/>
      <c r="B166" s="67"/>
      <c r="C166" s="67"/>
      <c r="D166" s="67"/>
      <c r="E166" s="440" t="s">
        <v>21</v>
      </c>
      <c r="F166" s="67"/>
      <c r="G166" s="69"/>
      <c r="H166" s="221" t="s">
        <v>14</v>
      </c>
      <c r="I166" s="219"/>
      <c r="J166" s="219"/>
      <c r="K166" s="220"/>
      <c r="L166" s="131">
        <f ca="1">IFERROR(__xludf.DUMMYFUNCTION("IMPORTRANGE(""https://docs.google.com/spreadsheets/d/1-uDff_7J0KD5mKrp0Vvzr7lt3OU09vwQwhkpOPPYv2Y/edit?usp=sharing"",""งบพรบ!CD53"")"),0)</f>
        <v>0</v>
      </c>
      <c r="M166" s="132">
        <f ca="1">IFERROR(__xludf.DUMMYFUNCTION("IMPORTRANGE(""https://docs.google.com/spreadsheets/d/1-uDff_7J0KD5mKrp0Vvzr7lt3OU09vwQwhkpOPPYv2Y/edit?usp=sharing"",""งบพรบ!CG53"")"),0)</f>
        <v>0</v>
      </c>
      <c r="N166" s="132">
        <f ca="1">IFERROR(__xludf.DUMMYFUNCTION("IMPORTRANGE(""https://docs.google.com/spreadsheets/d/1-uDff_7J0KD5mKrp0Vvzr7lt3OU09vwQwhkpOPPYv2Y/edit?usp=sharing"",""งบพรบ!CI53"")"),0)</f>
        <v>0</v>
      </c>
      <c r="O166" s="132">
        <f t="shared" ca="1" si="105"/>
        <v>0</v>
      </c>
      <c r="P166" s="132">
        <f t="shared" ca="1" si="106"/>
        <v>0</v>
      </c>
      <c r="Q166" s="74">
        <v>0</v>
      </c>
      <c r="R166" s="74">
        <v>0</v>
      </c>
      <c r="S166" s="74">
        <v>0</v>
      </c>
      <c r="T166" s="132">
        <f t="shared" si="108"/>
        <v>0</v>
      </c>
      <c r="U166" s="132">
        <f t="shared" si="109"/>
        <v>0</v>
      </c>
    </row>
    <row r="167" spans="1:21" ht="19.5" x14ac:dyDescent="0.3">
      <c r="A167" s="222"/>
      <c r="B167" s="223"/>
      <c r="C167" s="210" t="s">
        <v>18</v>
      </c>
      <c r="D167" s="883" t="s">
        <v>38</v>
      </c>
      <c r="E167" s="225"/>
      <c r="F167" s="225"/>
      <c r="G167" s="226"/>
      <c r="H167" s="320"/>
      <c r="I167" s="71"/>
      <c r="J167" s="71"/>
      <c r="K167" s="72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x14ac:dyDescent="0.25">
      <c r="A168" s="209"/>
      <c r="B168" s="67"/>
      <c r="C168" s="67"/>
      <c r="D168" s="440" t="s">
        <v>69</v>
      </c>
      <c r="E168" s="67"/>
      <c r="F168" s="67"/>
      <c r="G168" s="69"/>
      <c r="H168" s="221" t="s">
        <v>35</v>
      </c>
      <c r="I168" s="321">
        <f ca="1">IFERROR(__xludf.DUMMYFUNCTION("IMPORTRANGE(""https://docs.google.com/spreadsheets/d/1eHaY18a8A9IcSdp1K8H6x8fbOy06t2VsZHhMHf-1x7Y/edit?usp=sharing"",""แผน!Z53"")"),10)</f>
        <v>10</v>
      </c>
      <c r="J168" s="884">
        <v>0</v>
      </c>
      <c r="K168" s="399">
        <f t="shared" ref="K168:K170" ca="1" si="116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880"/>
      <c r="B169" s="838"/>
      <c r="C169" s="838"/>
      <c r="D169" s="265" t="s">
        <v>70</v>
      </c>
      <c r="E169" s="838"/>
      <c r="F169" s="838"/>
      <c r="G169" s="839"/>
      <c r="H169" s="706" t="s">
        <v>35</v>
      </c>
      <c r="I169" s="592">
        <f ca="1">I168</f>
        <v>10</v>
      </c>
      <c r="J169" s="910">
        <v>0</v>
      </c>
      <c r="K169" s="77">
        <f t="shared" ca="1" si="116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911"/>
      <c r="B170" s="912"/>
      <c r="C170" s="912"/>
      <c r="D170" s="913" t="s">
        <v>71</v>
      </c>
      <c r="E170" s="912"/>
      <c r="F170" s="912"/>
      <c r="G170" s="914"/>
      <c r="H170" s="915" t="s">
        <v>35</v>
      </c>
      <c r="I170" s="916">
        <f ca="1">I168</f>
        <v>10</v>
      </c>
      <c r="J170" s="917">
        <v>0</v>
      </c>
      <c r="K170" s="918">
        <f t="shared" ca="1" si="116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351" t="s">
        <v>72</v>
      </c>
      <c r="B171" s="352"/>
      <c r="C171" s="352"/>
      <c r="D171" s="352"/>
      <c r="E171" s="353"/>
      <c r="F171" s="353"/>
      <c r="G171" s="353"/>
      <c r="H171" s="353"/>
      <c r="I171" s="354"/>
      <c r="J171" s="354"/>
      <c r="K171" s="355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360" t="s">
        <v>73</v>
      </c>
      <c r="B172" s="361"/>
      <c r="C172" s="361"/>
      <c r="D172" s="362"/>
      <c r="E172" s="362"/>
      <c r="F172" s="362"/>
      <c r="G172" s="363"/>
      <c r="H172" s="363"/>
      <c r="I172" s="364"/>
      <c r="J172" s="364"/>
      <c r="K172" s="365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368"/>
      <c r="B173" s="537" t="s">
        <v>74</v>
      </c>
      <c r="C173" s="370"/>
      <c r="D173" s="225"/>
      <c r="E173" s="225"/>
      <c r="F173" s="225"/>
      <c r="G173" s="226"/>
      <c r="H173" s="371" t="s">
        <v>35</v>
      </c>
      <c r="I173" s="439">
        <f t="shared" ref="I173:J173" ca="1" si="117">I184+I185</f>
        <v>7</v>
      </c>
      <c r="J173" s="439">
        <f t="shared" si="117"/>
        <v>0</v>
      </c>
      <c r="K173" s="373">
        <f ca="1">IF(I173&gt;0,J173*100/I173,0)</f>
        <v>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09"/>
      <c r="B174" s="67"/>
      <c r="C174" s="210" t="s">
        <v>18</v>
      </c>
      <c r="D174" s="879" t="s">
        <v>19</v>
      </c>
      <c r="E174" s="67"/>
      <c r="F174" s="67"/>
      <c r="G174" s="69"/>
      <c r="H174" s="212" t="s">
        <v>14</v>
      </c>
      <c r="I174" s="71"/>
      <c r="J174" s="71"/>
      <c r="K174" s="72"/>
      <c r="L174" s="214">
        <f t="shared" ref="L174:N174" ca="1" si="118">L175+L176</f>
        <v>19590</v>
      </c>
      <c r="M174" s="215">
        <f t="shared" ca="1" si="118"/>
        <v>39250</v>
      </c>
      <c r="N174" s="215">
        <f t="shared" ca="1" si="118"/>
        <v>0</v>
      </c>
      <c r="O174" s="215">
        <f t="shared" ref="O174:O182" ca="1" si="119">IF(L174&gt;0,N174*100/L174,0)</f>
        <v>0</v>
      </c>
      <c r="P174" s="215">
        <f t="shared" ref="P174:P182" ca="1" si="120">IF(M174&gt;0,N174*100/M174,0)</f>
        <v>0</v>
      </c>
      <c r="Q174" s="215">
        <f t="shared" ref="Q174:S174" ca="1" si="121">Q175+Q176</f>
        <v>0</v>
      </c>
      <c r="R174" s="215">
        <f t="shared" ca="1" si="121"/>
        <v>0</v>
      </c>
      <c r="S174" s="215">
        <f t="shared" ca="1" si="121"/>
        <v>0</v>
      </c>
      <c r="T174" s="215">
        <f t="shared" ref="T174:T182" ca="1" si="122">IF(Q174&gt;0,S174*100/Q174,0)</f>
        <v>0</v>
      </c>
      <c r="U174" s="215">
        <f t="shared" ref="U174:U182" ca="1" si="123">IF(R174&gt;0,S174*100/R174,0)</f>
        <v>0</v>
      </c>
    </row>
    <row r="175" spans="1:21" ht="18.75" hidden="1" x14ac:dyDescent="0.25">
      <c r="A175" s="880"/>
      <c r="B175" s="838"/>
      <c r="C175" s="838"/>
      <c r="D175" s="838"/>
      <c r="E175" s="265" t="s">
        <v>20</v>
      </c>
      <c r="F175" s="838"/>
      <c r="G175" s="839"/>
      <c r="H175" s="266" t="s">
        <v>14</v>
      </c>
      <c r="I175" s="841"/>
      <c r="J175" s="841"/>
      <c r="K175" s="842"/>
      <c r="L175" s="217">
        <f t="shared" ref="L175:N176" si="124">L178+L181</f>
        <v>0</v>
      </c>
      <c r="M175" s="133">
        <f t="shared" si="124"/>
        <v>0</v>
      </c>
      <c r="N175" s="133">
        <f t="shared" si="124"/>
        <v>0</v>
      </c>
      <c r="O175" s="133">
        <f t="shared" si="119"/>
        <v>0</v>
      </c>
      <c r="P175" s="133">
        <f t="shared" si="120"/>
        <v>0</v>
      </c>
      <c r="Q175" s="133">
        <f t="shared" ref="Q175:S176" si="125">Q178+Q181</f>
        <v>0</v>
      </c>
      <c r="R175" s="133">
        <f t="shared" si="125"/>
        <v>0</v>
      </c>
      <c r="S175" s="133">
        <f t="shared" si="125"/>
        <v>0</v>
      </c>
      <c r="T175" s="133">
        <f t="shared" si="122"/>
        <v>0</v>
      </c>
      <c r="U175" s="133">
        <f t="shared" si="123"/>
        <v>0</v>
      </c>
    </row>
    <row r="176" spans="1:21" ht="18.75" hidden="1" x14ac:dyDescent="0.25">
      <c r="A176" s="209"/>
      <c r="B176" s="67"/>
      <c r="C176" s="67"/>
      <c r="D176" s="67"/>
      <c r="E176" s="440" t="s">
        <v>21</v>
      </c>
      <c r="F176" s="67"/>
      <c r="G176" s="69"/>
      <c r="H176" s="216" t="s">
        <v>14</v>
      </c>
      <c r="I176" s="71"/>
      <c r="J176" s="71"/>
      <c r="K176" s="72"/>
      <c r="L176" s="131">
        <f t="shared" ca="1" si="124"/>
        <v>19590</v>
      </c>
      <c r="M176" s="132">
        <f t="shared" ca="1" si="124"/>
        <v>39250</v>
      </c>
      <c r="N176" s="132">
        <f t="shared" ca="1" si="124"/>
        <v>0</v>
      </c>
      <c r="O176" s="132">
        <f t="shared" ca="1" si="119"/>
        <v>0</v>
      </c>
      <c r="P176" s="132">
        <f t="shared" ca="1" si="120"/>
        <v>0</v>
      </c>
      <c r="Q176" s="132">
        <f t="shared" ca="1" si="125"/>
        <v>0</v>
      </c>
      <c r="R176" s="132">
        <f t="shared" ca="1" si="125"/>
        <v>0</v>
      </c>
      <c r="S176" s="132">
        <f t="shared" ca="1" si="125"/>
        <v>0</v>
      </c>
      <c r="T176" s="132">
        <f t="shared" ca="1" si="122"/>
        <v>0</v>
      </c>
      <c r="U176" s="132">
        <f t="shared" ca="1" si="123"/>
        <v>0</v>
      </c>
    </row>
    <row r="177" spans="1:21" ht="18.75" x14ac:dyDescent="0.25">
      <c r="A177" s="209"/>
      <c r="B177" s="67"/>
      <c r="C177" s="67"/>
      <c r="D177" s="836" t="s">
        <v>22</v>
      </c>
      <c r="E177" s="67"/>
      <c r="F177" s="67"/>
      <c r="G177" s="69"/>
      <c r="H177" s="218" t="s">
        <v>14</v>
      </c>
      <c r="I177" s="219"/>
      <c r="J177" s="219"/>
      <c r="K177" s="220"/>
      <c r="L177" s="131">
        <f t="shared" ref="L177:N177" ca="1" si="126">L178+L179</f>
        <v>19590</v>
      </c>
      <c r="M177" s="132">
        <f t="shared" ca="1" si="126"/>
        <v>39250</v>
      </c>
      <c r="N177" s="132">
        <f t="shared" ca="1" si="126"/>
        <v>0</v>
      </c>
      <c r="O177" s="132">
        <f t="shared" ca="1" si="119"/>
        <v>0</v>
      </c>
      <c r="P177" s="132">
        <f t="shared" ca="1" si="120"/>
        <v>0</v>
      </c>
      <c r="Q177" s="132">
        <f t="shared" ref="Q177:S177" ca="1" si="127">Q178+Q179</f>
        <v>0</v>
      </c>
      <c r="R177" s="132">
        <f t="shared" ca="1" si="127"/>
        <v>0</v>
      </c>
      <c r="S177" s="132">
        <f t="shared" ca="1" si="127"/>
        <v>0</v>
      </c>
      <c r="T177" s="132">
        <f t="shared" ca="1" si="122"/>
        <v>0</v>
      </c>
      <c r="U177" s="132">
        <f t="shared" ca="1" si="123"/>
        <v>0</v>
      </c>
    </row>
    <row r="178" spans="1:21" ht="18.75" hidden="1" x14ac:dyDescent="0.25">
      <c r="A178" s="880"/>
      <c r="B178" s="838"/>
      <c r="C178" s="838"/>
      <c r="D178" s="838"/>
      <c r="E178" s="265" t="s">
        <v>36</v>
      </c>
      <c r="F178" s="838"/>
      <c r="G178" s="839"/>
      <c r="H178" s="273" t="s">
        <v>14</v>
      </c>
      <c r="I178" s="881"/>
      <c r="J178" s="881"/>
      <c r="K178" s="882"/>
      <c r="L178" s="76">
        <v>0</v>
      </c>
      <c r="M178" s="77">
        <v>0</v>
      </c>
      <c r="N178" s="77">
        <v>0</v>
      </c>
      <c r="O178" s="133">
        <f t="shared" si="119"/>
        <v>0</v>
      </c>
      <c r="P178" s="133">
        <f t="shared" si="120"/>
        <v>0</v>
      </c>
      <c r="Q178" s="77">
        <v>0</v>
      </c>
      <c r="R178" s="77">
        <v>0</v>
      </c>
      <c r="S178" s="77">
        <v>0</v>
      </c>
      <c r="T178" s="133">
        <f t="shared" si="122"/>
        <v>0</v>
      </c>
      <c r="U178" s="133">
        <f t="shared" si="123"/>
        <v>0</v>
      </c>
    </row>
    <row r="179" spans="1:21" ht="18.75" hidden="1" x14ac:dyDescent="0.25">
      <c r="A179" s="209"/>
      <c r="B179" s="67"/>
      <c r="C179" s="67"/>
      <c r="D179" s="67"/>
      <c r="E179" s="440" t="s">
        <v>37</v>
      </c>
      <c r="F179" s="67"/>
      <c r="G179" s="69"/>
      <c r="H179" s="218" t="s">
        <v>14</v>
      </c>
      <c r="I179" s="219"/>
      <c r="J179" s="219"/>
      <c r="K179" s="220"/>
      <c r="L179" s="131">
        <f ca="1">IFERROR(__xludf.DUMMYFUNCTION("IMPORTRANGE(""https://docs.google.com/spreadsheets/d/1-uDff_7J0KD5mKrp0Vvzr7lt3OU09vwQwhkpOPPYv2Y/edit?usp=sharing"",""งบพรบ!CK53"")"),19590)</f>
        <v>19590</v>
      </c>
      <c r="M179" s="132">
        <f ca="1">IFERROR(__xludf.DUMMYFUNCTION("IMPORTRANGE(""https://docs.google.com/spreadsheets/d/1-uDff_7J0KD5mKrp0Vvzr7lt3OU09vwQwhkpOPPYv2Y/edit?usp=sharing"",""งบพรบ!CP53"")"),39250)</f>
        <v>39250</v>
      </c>
      <c r="N179" s="132">
        <f ca="1">IFERROR(__xludf.DUMMYFUNCTION("IMPORTRANGE(""https://docs.google.com/spreadsheets/d/1-uDff_7J0KD5mKrp0Vvzr7lt3OU09vwQwhkpOPPYv2Y/edit?usp=sharing"",""งบพรบ!CR53"")"),0)</f>
        <v>0</v>
      </c>
      <c r="O179" s="132">
        <f t="shared" ca="1" si="119"/>
        <v>0</v>
      </c>
      <c r="P179" s="132">
        <f t="shared" ca="1" si="120"/>
        <v>0</v>
      </c>
      <c r="Q179" s="132">
        <f ca="1">IFERROR(__xludf.DUMMYFUNCTION("IMPORTRANGE(""https://docs.google.com/spreadsheets/d/1ItG2mGa2ceCfYo0BwxsXqNm01IGEUdYcSSLTEv9YCik/edit?usp=sharing"",""เบิกจ่ายกองทุน!BE53"")"),0)</f>
        <v>0</v>
      </c>
      <c r="R179" s="132">
        <f ca="1">IFERROR(__xludf.DUMMYFUNCTION("IMPORTRANGE(""https://docs.google.com/spreadsheets/d/1ItG2mGa2ceCfYo0BwxsXqNm01IGEUdYcSSLTEv9YCik/edit?usp=sharing"",""เบิกจ่ายกองทุน!BF53"")"),0)</f>
        <v>0</v>
      </c>
      <c r="S179" s="132">
        <f ca="1">IFERROR(__xludf.DUMMYFUNCTION("IMPORTRANGE(""https://docs.google.com/spreadsheets/d/1ItG2mGa2ceCfYo0BwxsXqNm01IGEUdYcSSLTEv9YCik/edit?usp=sharing"",""เบิกจ่ายกองทุน!BG53"")"),0)</f>
        <v>0</v>
      </c>
      <c r="T179" s="132">
        <f t="shared" ca="1" si="122"/>
        <v>0</v>
      </c>
      <c r="U179" s="132">
        <f t="shared" ca="1" si="123"/>
        <v>0</v>
      </c>
    </row>
    <row r="180" spans="1:21" ht="18.75" x14ac:dyDescent="0.25">
      <c r="A180" s="209"/>
      <c r="B180" s="67"/>
      <c r="C180" s="67"/>
      <c r="D180" s="836" t="s">
        <v>23</v>
      </c>
      <c r="E180" s="67"/>
      <c r="F180" s="67"/>
      <c r="G180" s="69"/>
      <c r="H180" s="221" t="s">
        <v>14</v>
      </c>
      <c r="I180" s="219"/>
      <c r="J180" s="219"/>
      <c r="K180" s="220"/>
      <c r="L180" s="131">
        <f t="shared" ref="L180:N180" ca="1" si="128">L181+L182</f>
        <v>0</v>
      </c>
      <c r="M180" s="132">
        <f t="shared" ca="1" si="128"/>
        <v>0</v>
      </c>
      <c r="N180" s="132">
        <f t="shared" ca="1" si="128"/>
        <v>0</v>
      </c>
      <c r="O180" s="132">
        <f t="shared" ca="1" si="119"/>
        <v>0</v>
      </c>
      <c r="P180" s="132">
        <f t="shared" ca="1" si="120"/>
        <v>0</v>
      </c>
      <c r="Q180" s="132">
        <f t="shared" ref="Q180:S180" si="129">Q181+Q182</f>
        <v>0</v>
      </c>
      <c r="R180" s="132">
        <f t="shared" si="129"/>
        <v>0</v>
      </c>
      <c r="S180" s="132">
        <f t="shared" si="129"/>
        <v>0</v>
      </c>
      <c r="T180" s="132">
        <f t="shared" si="122"/>
        <v>0</v>
      </c>
      <c r="U180" s="132">
        <f t="shared" si="123"/>
        <v>0</v>
      </c>
    </row>
    <row r="181" spans="1:21" ht="18.75" hidden="1" x14ac:dyDescent="0.25">
      <c r="A181" s="880"/>
      <c r="B181" s="838"/>
      <c r="C181" s="838"/>
      <c r="D181" s="838"/>
      <c r="E181" s="265" t="s">
        <v>20</v>
      </c>
      <c r="F181" s="838"/>
      <c r="G181" s="839"/>
      <c r="H181" s="273" t="s">
        <v>14</v>
      </c>
      <c r="I181" s="881"/>
      <c r="J181" s="881"/>
      <c r="K181" s="882"/>
      <c r="L181" s="76">
        <v>0</v>
      </c>
      <c r="M181" s="77">
        <v>0</v>
      </c>
      <c r="N181" s="77">
        <v>0</v>
      </c>
      <c r="O181" s="133">
        <f t="shared" si="119"/>
        <v>0</v>
      </c>
      <c r="P181" s="133">
        <f t="shared" si="120"/>
        <v>0</v>
      </c>
      <c r="Q181" s="77">
        <v>0</v>
      </c>
      <c r="R181" s="77">
        <v>0</v>
      </c>
      <c r="S181" s="77">
        <v>0</v>
      </c>
      <c r="T181" s="133">
        <f t="shared" si="122"/>
        <v>0</v>
      </c>
      <c r="U181" s="133">
        <f t="shared" si="123"/>
        <v>0</v>
      </c>
    </row>
    <row r="182" spans="1:21" ht="18.75" hidden="1" x14ac:dyDescent="0.25">
      <c r="A182" s="209"/>
      <c r="B182" s="67"/>
      <c r="C182" s="67"/>
      <c r="D182" s="67"/>
      <c r="E182" s="440" t="s">
        <v>21</v>
      </c>
      <c r="F182" s="67"/>
      <c r="G182" s="69"/>
      <c r="H182" s="221" t="s">
        <v>14</v>
      </c>
      <c r="I182" s="219"/>
      <c r="J182" s="219"/>
      <c r="K182" s="220"/>
      <c r="L182" s="131">
        <f ca="1">IFERROR(__xludf.DUMMYFUNCTION("IMPORTRANGE(""https://docs.google.com/spreadsheets/d/1-uDff_7J0KD5mKrp0Vvzr7lt3OU09vwQwhkpOPPYv2Y/edit?usp=sharing"",""งบพรบ!CN53"")"),0)</f>
        <v>0</v>
      </c>
      <c r="M182" s="132">
        <f ca="1">IFERROR(__xludf.DUMMYFUNCTION("IMPORTRANGE(""https://docs.google.com/spreadsheets/d/1-uDff_7J0KD5mKrp0Vvzr7lt3OU09vwQwhkpOPPYv2Y/edit?usp=sharing"",""งบพรบ!CQ53"")"),0)</f>
        <v>0</v>
      </c>
      <c r="N182" s="132">
        <f ca="1">IFERROR(__xludf.DUMMYFUNCTION("IMPORTRANGE(""https://docs.google.com/spreadsheets/d/1-uDff_7J0KD5mKrp0Vvzr7lt3OU09vwQwhkpOPPYv2Y/edit?usp=sharing"",""งบพรบ!CS53"")"),0)</f>
        <v>0</v>
      </c>
      <c r="O182" s="132">
        <f t="shared" ca="1" si="119"/>
        <v>0</v>
      </c>
      <c r="P182" s="132">
        <f t="shared" ca="1" si="120"/>
        <v>0</v>
      </c>
      <c r="Q182" s="74">
        <v>0</v>
      </c>
      <c r="R182" s="74">
        <v>0</v>
      </c>
      <c r="S182" s="74">
        <v>0</v>
      </c>
      <c r="T182" s="132">
        <f t="shared" si="122"/>
        <v>0</v>
      </c>
      <c r="U182" s="132">
        <f t="shared" si="123"/>
        <v>0</v>
      </c>
    </row>
    <row r="183" spans="1:21" ht="19.5" x14ac:dyDescent="0.3">
      <c r="A183" s="222"/>
      <c r="B183" s="223"/>
      <c r="C183" s="210" t="s">
        <v>18</v>
      </c>
      <c r="D183" s="883" t="s">
        <v>38</v>
      </c>
      <c r="E183" s="225"/>
      <c r="F183" s="225"/>
      <c r="G183" s="226"/>
      <c r="H183" s="320"/>
      <c r="I183" s="71"/>
      <c r="J183" s="71"/>
      <c r="K183" s="72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377"/>
      <c r="B184" s="67"/>
      <c r="C184" s="379"/>
      <c r="D184" s="379" t="s">
        <v>75</v>
      </c>
      <c r="E184" s="67"/>
      <c r="F184" s="67"/>
      <c r="G184" s="69"/>
      <c r="H184" s="380" t="s">
        <v>35</v>
      </c>
      <c r="I184" s="321">
        <f ca="1">IFERROR(__xludf.DUMMYFUNCTION("IMPORTRANGE(""https://docs.google.com/spreadsheets/d/1eHaY18a8A9IcSdp1K8H6x8fbOy06t2VsZHhMHf-1x7Y/edit?usp=sharing"",""แผน!AA53"")"),7)</f>
        <v>7</v>
      </c>
      <c r="J184" s="884">
        <v>0</v>
      </c>
      <c r="K184" s="399">
        <f t="shared" ref="K184:K186" ca="1" si="130">IF(I184&gt;0,J184*100/I184,0)</f>
        <v>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919"/>
      <c r="B185" s="920"/>
      <c r="C185" s="775"/>
      <c r="D185" s="775" t="s">
        <v>76</v>
      </c>
      <c r="E185" s="838"/>
      <c r="F185" s="838"/>
      <c r="G185" s="839"/>
      <c r="H185" s="921" t="s">
        <v>35</v>
      </c>
      <c r="I185" s="592">
        <v>0</v>
      </c>
      <c r="J185" s="592">
        <v>0</v>
      </c>
      <c r="K185" s="77">
        <f t="shared" si="130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368"/>
      <c r="B186" s="537" t="s">
        <v>77</v>
      </c>
      <c r="C186" s="370"/>
      <c r="D186" s="225"/>
      <c r="E186" s="225"/>
      <c r="F186" s="225"/>
      <c r="G186" s="226"/>
      <c r="H186" s="371" t="s">
        <v>35</v>
      </c>
      <c r="I186" s="439">
        <f t="shared" ref="I186:J186" ca="1" si="131">I231+I232</f>
        <v>30</v>
      </c>
      <c r="J186" s="439">
        <f t="shared" si="131"/>
        <v>30</v>
      </c>
      <c r="K186" s="373">
        <f t="shared" ca="1" si="130"/>
        <v>100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09"/>
      <c r="B187" s="67"/>
      <c r="C187" s="210" t="s">
        <v>18</v>
      </c>
      <c r="D187" s="879" t="s">
        <v>19</v>
      </c>
      <c r="E187" s="67"/>
      <c r="F187" s="67"/>
      <c r="G187" s="69"/>
      <c r="H187" s="212" t="s">
        <v>14</v>
      </c>
      <c r="I187" s="71"/>
      <c r="J187" s="71"/>
      <c r="K187" s="72"/>
      <c r="L187" s="214">
        <f t="shared" ref="L187:N187" ca="1" si="132">L188+L189</f>
        <v>199100</v>
      </c>
      <c r="M187" s="215">
        <f t="shared" ca="1" si="132"/>
        <v>172420</v>
      </c>
      <c r="N187" s="215">
        <f t="shared" ca="1" si="132"/>
        <v>106845</v>
      </c>
      <c r="O187" s="215">
        <f t="shared" ref="O187:O195" ca="1" si="133">IF(L187&gt;0,N187*100/L187,0)</f>
        <v>53.663987945755899</v>
      </c>
      <c r="P187" s="215">
        <f t="shared" ref="P187:P195" ca="1" si="134">IF(M187&gt;0,N187*100/M187,0)</f>
        <v>61.967869156710357</v>
      </c>
      <c r="Q187" s="215">
        <f t="shared" ref="Q187:S187" ca="1" si="135">Q188+Q189</f>
        <v>354200</v>
      </c>
      <c r="R187" s="215">
        <f t="shared" ca="1" si="135"/>
        <v>354200</v>
      </c>
      <c r="S187" s="215">
        <f t="shared" ca="1" si="135"/>
        <v>0</v>
      </c>
      <c r="T187" s="215">
        <f t="shared" ref="T187:T195" ca="1" si="136">IF(Q187&gt;0,S187*100/Q187,0)</f>
        <v>0</v>
      </c>
      <c r="U187" s="215">
        <f t="shared" ref="U187:U195" ca="1" si="137">IF(R187&gt;0,S187*100/R187,0)</f>
        <v>0</v>
      </c>
    </row>
    <row r="188" spans="1:21" ht="18.75" hidden="1" x14ac:dyDescent="0.25">
      <c r="A188" s="880"/>
      <c r="B188" s="838"/>
      <c r="C188" s="838"/>
      <c r="D188" s="838"/>
      <c r="E188" s="265" t="s">
        <v>20</v>
      </c>
      <c r="F188" s="838"/>
      <c r="G188" s="839"/>
      <c r="H188" s="266" t="s">
        <v>14</v>
      </c>
      <c r="I188" s="841"/>
      <c r="J188" s="841"/>
      <c r="K188" s="842"/>
      <c r="L188" s="217">
        <f t="shared" ref="L188:N189" si="138">L191+L194</f>
        <v>0</v>
      </c>
      <c r="M188" s="133">
        <f t="shared" si="138"/>
        <v>0</v>
      </c>
      <c r="N188" s="133">
        <f t="shared" si="138"/>
        <v>0</v>
      </c>
      <c r="O188" s="133">
        <f t="shared" si="133"/>
        <v>0</v>
      </c>
      <c r="P188" s="133">
        <f t="shared" si="134"/>
        <v>0</v>
      </c>
      <c r="Q188" s="133">
        <f t="shared" ref="Q188:S189" si="139">Q191+Q194</f>
        <v>0</v>
      </c>
      <c r="R188" s="133">
        <f t="shared" si="139"/>
        <v>0</v>
      </c>
      <c r="S188" s="133">
        <f t="shared" si="139"/>
        <v>0</v>
      </c>
      <c r="T188" s="133">
        <f t="shared" si="136"/>
        <v>0</v>
      </c>
      <c r="U188" s="133">
        <f t="shared" si="137"/>
        <v>0</v>
      </c>
    </row>
    <row r="189" spans="1:21" ht="18.75" hidden="1" x14ac:dyDescent="0.25">
      <c r="A189" s="209"/>
      <c r="B189" s="67"/>
      <c r="C189" s="67"/>
      <c r="D189" s="67"/>
      <c r="E189" s="440" t="s">
        <v>21</v>
      </c>
      <c r="F189" s="67"/>
      <c r="G189" s="69"/>
      <c r="H189" s="216" t="s">
        <v>14</v>
      </c>
      <c r="I189" s="71"/>
      <c r="J189" s="71"/>
      <c r="K189" s="72"/>
      <c r="L189" s="131">
        <f t="shared" ca="1" si="138"/>
        <v>199100</v>
      </c>
      <c r="M189" s="132">
        <f t="shared" ca="1" si="138"/>
        <v>172420</v>
      </c>
      <c r="N189" s="132">
        <f t="shared" ca="1" si="138"/>
        <v>106845</v>
      </c>
      <c r="O189" s="132">
        <f t="shared" ca="1" si="133"/>
        <v>53.663987945755899</v>
      </c>
      <c r="P189" s="132">
        <f t="shared" ca="1" si="134"/>
        <v>61.967869156710357</v>
      </c>
      <c r="Q189" s="132">
        <f t="shared" ca="1" si="139"/>
        <v>354200</v>
      </c>
      <c r="R189" s="132">
        <f t="shared" ca="1" si="139"/>
        <v>354200</v>
      </c>
      <c r="S189" s="132">
        <f t="shared" ca="1" si="139"/>
        <v>0</v>
      </c>
      <c r="T189" s="132">
        <f t="shared" ca="1" si="136"/>
        <v>0</v>
      </c>
      <c r="U189" s="132">
        <f t="shared" ca="1" si="137"/>
        <v>0</v>
      </c>
    </row>
    <row r="190" spans="1:21" ht="18.75" x14ac:dyDescent="0.25">
      <c r="A190" s="209"/>
      <c r="B190" s="67"/>
      <c r="C190" s="67"/>
      <c r="D190" s="836" t="s">
        <v>22</v>
      </c>
      <c r="E190" s="67"/>
      <c r="F190" s="67"/>
      <c r="G190" s="69"/>
      <c r="H190" s="218" t="s">
        <v>14</v>
      </c>
      <c r="I190" s="219"/>
      <c r="J190" s="219"/>
      <c r="K190" s="220"/>
      <c r="L190" s="131">
        <f t="shared" ref="L190:N190" ca="1" si="140">L191+L192</f>
        <v>199100</v>
      </c>
      <c r="M190" s="132">
        <f t="shared" ca="1" si="140"/>
        <v>172420</v>
      </c>
      <c r="N190" s="132">
        <f t="shared" ca="1" si="140"/>
        <v>106845</v>
      </c>
      <c r="O190" s="132">
        <f t="shared" ca="1" si="133"/>
        <v>53.663987945755899</v>
      </c>
      <c r="P190" s="132">
        <f t="shared" ca="1" si="134"/>
        <v>61.967869156710357</v>
      </c>
      <c r="Q190" s="132">
        <f t="shared" ref="Q190:S190" ca="1" si="141">Q191+Q192</f>
        <v>354200</v>
      </c>
      <c r="R190" s="132">
        <f t="shared" ca="1" si="141"/>
        <v>354200</v>
      </c>
      <c r="S190" s="132">
        <f t="shared" ca="1" si="141"/>
        <v>0</v>
      </c>
      <c r="T190" s="132">
        <f t="shared" ca="1" si="136"/>
        <v>0</v>
      </c>
      <c r="U190" s="132">
        <f t="shared" ca="1" si="137"/>
        <v>0</v>
      </c>
    </row>
    <row r="191" spans="1:21" ht="18.75" hidden="1" x14ac:dyDescent="0.25">
      <c r="A191" s="880"/>
      <c r="B191" s="838"/>
      <c r="C191" s="838"/>
      <c r="D191" s="838"/>
      <c r="E191" s="265" t="s">
        <v>36</v>
      </c>
      <c r="F191" s="838"/>
      <c r="G191" s="839"/>
      <c r="H191" s="273" t="s">
        <v>14</v>
      </c>
      <c r="I191" s="881"/>
      <c r="J191" s="881"/>
      <c r="K191" s="882"/>
      <c r="L191" s="76">
        <v>0</v>
      </c>
      <c r="M191" s="77">
        <v>0</v>
      </c>
      <c r="N191" s="77">
        <v>0</v>
      </c>
      <c r="O191" s="133">
        <f t="shared" si="133"/>
        <v>0</v>
      </c>
      <c r="P191" s="133">
        <f t="shared" si="134"/>
        <v>0</v>
      </c>
      <c r="Q191" s="77">
        <v>0</v>
      </c>
      <c r="R191" s="77">
        <v>0</v>
      </c>
      <c r="S191" s="77">
        <v>0</v>
      </c>
      <c r="T191" s="133">
        <f t="shared" si="136"/>
        <v>0</v>
      </c>
      <c r="U191" s="133">
        <f t="shared" si="137"/>
        <v>0</v>
      </c>
    </row>
    <row r="192" spans="1:21" ht="18.75" hidden="1" x14ac:dyDescent="0.25">
      <c r="A192" s="209"/>
      <c r="B192" s="67"/>
      <c r="C192" s="67"/>
      <c r="D192" s="67"/>
      <c r="E192" s="440" t="s">
        <v>37</v>
      </c>
      <c r="F192" s="67"/>
      <c r="G192" s="69"/>
      <c r="H192" s="218" t="s">
        <v>14</v>
      </c>
      <c r="I192" s="219"/>
      <c r="J192" s="219"/>
      <c r="K192" s="220"/>
      <c r="L192" s="131">
        <f ca="1">IFERROR(__xludf.DUMMYFUNCTION("IMPORTRANGE(""https://docs.google.com/spreadsheets/d/1-uDff_7J0KD5mKrp0Vvzr7lt3OU09vwQwhkpOPPYv2Y/edit?usp=sharing"",""งบพรบ!CU53"")"),199100)</f>
        <v>199100</v>
      </c>
      <c r="M192" s="132">
        <f ca="1">IFERROR(__xludf.DUMMYFUNCTION("IMPORTRANGE(""https://docs.google.com/spreadsheets/d/1-uDff_7J0KD5mKrp0Vvzr7lt3OU09vwQwhkpOPPYv2Y/edit?usp=sharing"",""งบพรบ!CZ53"")"),172420)</f>
        <v>172420</v>
      </c>
      <c r="N192" s="132">
        <f ca="1">IFERROR(__xludf.DUMMYFUNCTION("IMPORTRANGE(""https://docs.google.com/spreadsheets/d/1-uDff_7J0KD5mKrp0Vvzr7lt3OU09vwQwhkpOPPYv2Y/edit?usp=sharing"",""งบพรบ!DB53"")"),106845)</f>
        <v>106845</v>
      </c>
      <c r="O192" s="132">
        <f t="shared" ca="1" si="133"/>
        <v>53.663987945755899</v>
      </c>
      <c r="P192" s="132">
        <f t="shared" ca="1" si="134"/>
        <v>61.967869156710357</v>
      </c>
      <c r="Q192" s="132">
        <f ca="1">IFERROR(__xludf.DUMMYFUNCTION("IMPORTRANGE(""https://docs.google.com/spreadsheets/d/1ItG2mGa2ceCfYo0BwxsXqNm01IGEUdYcSSLTEv9YCik/edit?usp=sharing"",""เบิกจ่ายกองทุน!AV53"")"),354200)</f>
        <v>354200</v>
      </c>
      <c r="R192" s="132">
        <f ca="1">IFERROR(__xludf.DUMMYFUNCTION("IMPORTRANGE(""https://docs.google.com/spreadsheets/d/1ItG2mGa2ceCfYo0BwxsXqNm01IGEUdYcSSLTEv9YCik/edit?usp=sharing"",""เบิกจ่ายกองทุน!AW53"")"),354200)</f>
        <v>354200</v>
      </c>
      <c r="S192" s="132">
        <f ca="1">IFERROR(__xludf.DUMMYFUNCTION("IMPORTRANGE(""https://docs.google.com/spreadsheets/d/1ItG2mGa2ceCfYo0BwxsXqNm01IGEUdYcSSLTEv9YCik/edit?usp=sharing"",""เบิกจ่ายกองทุน!AX53"")"),0)</f>
        <v>0</v>
      </c>
      <c r="T192" s="132">
        <f t="shared" ca="1" si="136"/>
        <v>0</v>
      </c>
      <c r="U192" s="132">
        <f t="shared" ca="1" si="137"/>
        <v>0</v>
      </c>
    </row>
    <row r="193" spans="1:21" ht="18.75" x14ac:dyDescent="0.25">
      <c r="A193" s="209"/>
      <c r="B193" s="67"/>
      <c r="C193" s="67"/>
      <c r="D193" s="836" t="s">
        <v>23</v>
      </c>
      <c r="E193" s="67"/>
      <c r="F193" s="67"/>
      <c r="G193" s="69"/>
      <c r="H193" s="221" t="s">
        <v>14</v>
      </c>
      <c r="I193" s="219"/>
      <c r="J193" s="219"/>
      <c r="K193" s="220"/>
      <c r="L193" s="131">
        <f t="shared" ref="L193:N193" ca="1" si="142">L194+L195</f>
        <v>0</v>
      </c>
      <c r="M193" s="132">
        <f t="shared" ca="1" si="142"/>
        <v>0</v>
      </c>
      <c r="N193" s="132">
        <f t="shared" ca="1" si="142"/>
        <v>0</v>
      </c>
      <c r="O193" s="132">
        <f t="shared" ca="1" si="133"/>
        <v>0</v>
      </c>
      <c r="P193" s="132">
        <f t="shared" ca="1" si="134"/>
        <v>0</v>
      </c>
      <c r="Q193" s="132">
        <f t="shared" ref="Q193:S193" si="143">Q194+Q195</f>
        <v>0</v>
      </c>
      <c r="R193" s="132">
        <f t="shared" si="143"/>
        <v>0</v>
      </c>
      <c r="S193" s="132">
        <f t="shared" si="143"/>
        <v>0</v>
      </c>
      <c r="T193" s="132">
        <f t="shared" si="136"/>
        <v>0</v>
      </c>
      <c r="U193" s="132">
        <f t="shared" si="137"/>
        <v>0</v>
      </c>
    </row>
    <row r="194" spans="1:21" ht="18.75" hidden="1" x14ac:dyDescent="0.25">
      <c r="A194" s="880"/>
      <c r="B194" s="838"/>
      <c r="C194" s="838"/>
      <c r="D194" s="838"/>
      <c r="E194" s="265" t="s">
        <v>20</v>
      </c>
      <c r="F194" s="838"/>
      <c r="G194" s="839"/>
      <c r="H194" s="273" t="s">
        <v>14</v>
      </c>
      <c r="I194" s="881"/>
      <c r="J194" s="881"/>
      <c r="K194" s="882"/>
      <c r="L194" s="76">
        <v>0</v>
      </c>
      <c r="M194" s="77">
        <v>0</v>
      </c>
      <c r="N194" s="77">
        <v>0</v>
      </c>
      <c r="O194" s="133">
        <f t="shared" si="133"/>
        <v>0</v>
      </c>
      <c r="P194" s="133">
        <f t="shared" si="134"/>
        <v>0</v>
      </c>
      <c r="Q194" s="77">
        <v>0</v>
      </c>
      <c r="R194" s="77">
        <v>0</v>
      </c>
      <c r="S194" s="77">
        <v>0</v>
      </c>
      <c r="T194" s="133">
        <f t="shared" si="136"/>
        <v>0</v>
      </c>
      <c r="U194" s="133">
        <f t="shared" si="137"/>
        <v>0</v>
      </c>
    </row>
    <row r="195" spans="1:21" ht="18.75" hidden="1" x14ac:dyDescent="0.25">
      <c r="A195" s="209"/>
      <c r="B195" s="67"/>
      <c r="C195" s="67"/>
      <c r="D195" s="67"/>
      <c r="E195" s="440" t="s">
        <v>21</v>
      </c>
      <c r="F195" s="67"/>
      <c r="G195" s="69"/>
      <c r="H195" s="221" t="s">
        <v>14</v>
      </c>
      <c r="I195" s="219"/>
      <c r="J195" s="219"/>
      <c r="K195" s="220"/>
      <c r="L195" s="131">
        <f ca="1">IFERROR(__xludf.DUMMYFUNCTION("IMPORTRANGE(""https://docs.google.com/spreadsheets/d/1-uDff_7J0KD5mKrp0Vvzr7lt3OU09vwQwhkpOPPYv2Y/edit?usp=sharing"",""งบพรบ!CX53"")"),0)</f>
        <v>0</v>
      </c>
      <c r="M195" s="132">
        <f ca="1">IFERROR(__xludf.DUMMYFUNCTION("IMPORTRANGE(""https://docs.google.com/spreadsheets/d/1-uDff_7J0KD5mKrp0Vvzr7lt3OU09vwQwhkpOPPYv2Y/edit?usp=sharing"",""งบพรบ!DA53"")"),0)</f>
        <v>0</v>
      </c>
      <c r="N195" s="132">
        <f ca="1">IFERROR(__xludf.DUMMYFUNCTION("IMPORTRANGE(""https://docs.google.com/spreadsheets/d/1-uDff_7J0KD5mKrp0Vvzr7lt3OU09vwQwhkpOPPYv2Y/edit?usp=sharing"",""งบพรบ!DC53"")"),0)</f>
        <v>0</v>
      </c>
      <c r="O195" s="132">
        <f t="shared" ca="1" si="133"/>
        <v>0</v>
      </c>
      <c r="P195" s="132">
        <f t="shared" ca="1" si="134"/>
        <v>0</v>
      </c>
      <c r="Q195" s="74">
        <v>0</v>
      </c>
      <c r="R195" s="74">
        <v>0</v>
      </c>
      <c r="S195" s="74">
        <v>0</v>
      </c>
      <c r="T195" s="132">
        <f t="shared" si="136"/>
        <v>0</v>
      </c>
      <c r="U195" s="132">
        <f t="shared" si="137"/>
        <v>0</v>
      </c>
    </row>
    <row r="196" spans="1:21" ht="19.5" x14ac:dyDescent="0.3">
      <c r="A196" s="382"/>
      <c r="B196" s="383"/>
      <c r="C196" s="384" t="s">
        <v>78</v>
      </c>
      <c r="D196" s="385"/>
      <c r="E196" s="385"/>
      <c r="F196" s="385"/>
      <c r="G196" s="386"/>
      <c r="H196" s="387" t="s">
        <v>79</v>
      </c>
      <c r="I196" s="388">
        <f t="shared" ref="I196:J196" ca="1" si="144">I199</f>
        <v>4</v>
      </c>
      <c r="J196" s="388">
        <f t="shared" si="144"/>
        <v>1</v>
      </c>
      <c r="K196" s="389">
        <f ca="1">IF(I196&gt;0,J196*100/I196,0)</f>
        <v>25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09"/>
      <c r="B197" s="67"/>
      <c r="C197" s="210" t="s">
        <v>18</v>
      </c>
      <c r="D197" s="922" t="s">
        <v>19</v>
      </c>
      <c r="E197" s="67"/>
      <c r="F197" s="67"/>
      <c r="G197" s="69"/>
      <c r="H197" s="394" t="s">
        <v>14</v>
      </c>
      <c r="I197" s="71"/>
      <c r="J197" s="71"/>
      <c r="K197" s="72"/>
      <c r="L197" s="214">
        <f ca="1">IFERROR(__xludf.DUMMYFUNCTION("IMPORTRANGE(""https://docs.google.com/spreadsheets/d/1eHaY18a8A9IcSdp1K8H6x8fbOy06t2VsZHhMHf-1x7Y/edit?usp=sharing"",""แผน!AB53"")"),6000)</f>
        <v>6000</v>
      </c>
      <c r="M197" s="87"/>
      <c r="N197" s="923">
        <v>1860</v>
      </c>
      <c r="O197" s="215">
        <f ca="1">IF(L197&gt;0,N197*100/L197,0)</f>
        <v>31</v>
      </c>
      <c r="P197" s="215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22"/>
      <c r="B198" s="223"/>
      <c r="C198" s="210" t="s">
        <v>18</v>
      </c>
      <c r="D198" s="883" t="s">
        <v>38</v>
      </c>
      <c r="E198" s="225"/>
      <c r="F198" s="225"/>
      <c r="G198" s="226"/>
      <c r="H198" s="227"/>
      <c r="I198" s="71"/>
      <c r="J198" s="71"/>
      <c r="K198" s="72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22"/>
      <c r="B199" s="223"/>
      <c r="C199" s="223"/>
      <c r="D199" s="395" t="s">
        <v>80</v>
      </c>
      <c r="E199" s="231"/>
      <c r="F199" s="231"/>
      <c r="G199" s="227"/>
      <c r="H199" s="401" t="s">
        <v>79</v>
      </c>
      <c r="I199" s="321">
        <f ca="1">IFERROR(__xludf.DUMMYFUNCTION("IMPORTRANGE(""https://docs.google.com/spreadsheets/d/1eHaY18a8A9IcSdp1K8H6x8fbOy06t2VsZHhMHf-1x7Y/edit?usp=sharing"",""แผน!AE53"")"),4)</f>
        <v>4</v>
      </c>
      <c r="J199" s="884">
        <v>1</v>
      </c>
      <c r="K199" s="399">
        <f ca="1">IF(I199&gt;0,J199*100/I199,0)</f>
        <v>25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22"/>
      <c r="B200" s="223"/>
      <c r="C200" s="223"/>
      <c r="D200" s="395" t="s">
        <v>81</v>
      </c>
      <c r="E200" s="231"/>
      <c r="F200" s="231"/>
      <c r="G200" s="227"/>
      <c r="H200" s="380" t="s">
        <v>35</v>
      </c>
      <c r="I200" s="71"/>
      <c r="J200" s="321">
        <f>J201+J202</f>
        <v>47</v>
      </c>
      <c r="K200" s="72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22"/>
      <c r="B201" s="223"/>
      <c r="C201" s="223"/>
      <c r="D201" s="223"/>
      <c r="E201" s="395" t="s">
        <v>82</v>
      </c>
      <c r="F201" s="231"/>
      <c r="G201" s="227"/>
      <c r="H201" s="380" t="s">
        <v>35</v>
      </c>
      <c r="I201" s="71"/>
      <c r="J201" s="884">
        <v>47</v>
      </c>
      <c r="K201" s="72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22"/>
      <c r="B202" s="223"/>
      <c r="C202" s="223"/>
      <c r="D202" s="223"/>
      <c r="E202" s="395" t="s">
        <v>83</v>
      </c>
      <c r="F202" s="231"/>
      <c r="G202" s="227"/>
      <c r="H202" s="380" t="s">
        <v>35</v>
      </c>
      <c r="I202" s="71"/>
      <c r="J202" s="884">
        <v>0</v>
      </c>
      <c r="K202" s="72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382"/>
      <c r="B203" s="383"/>
      <c r="C203" s="384" t="s">
        <v>84</v>
      </c>
      <c r="D203" s="385"/>
      <c r="E203" s="385"/>
      <c r="F203" s="385"/>
      <c r="G203" s="386"/>
      <c r="H203" s="563" t="s">
        <v>85</v>
      </c>
      <c r="I203" s="388">
        <f t="shared" ref="I203:J203" ca="1" si="145">I210</f>
        <v>1</v>
      </c>
      <c r="J203" s="388">
        <f t="shared" si="145"/>
        <v>0</v>
      </c>
      <c r="K203" s="389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09"/>
      <c r="B204" s="67"/>
      <c r="C204" s="210" t="s">
        <v>18</v>
      </c>
      <c r="D204" s="922" t="s">
        <v>19</v>
      </c>
      <c r="E204" s="67"/>
      <c r="F204" s="67"/>
      <c r="G204" s="69"/>
      <c r="H204" s="394" t="s">
        <v>14</v>
      </c>
      <c r="I204" s="219"/>
      <c r="J204" s="219"/>
      <c r="K204" s="220"/>
      <c r="L204" s="214">
        <f ca="1">L205+L206+L207+L208</f>
        <v>13000</v>
      </c>
      <c r="M204" s="87"/>
      <c r="N204" s="215">
        <f>N205+N206+N207+N208</f>
        <v>0</v>
      </c>
      <c r="O204" s="215">
        <f ca="1">IF(L204&gt;0,N204*100/L204,0)</f>
        <v>0</v>
      </c>
      <c r="P204" s="215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09"/>
      <c r="B205" s="381"/>
      <c r="C205" s="67"/>
      <c r="D205" s="398" t="s">
        <v>299</v>
      </c>
      <c r="E205" s="67"/>
      <c r="F205" s="67"/>
      <c r="G205" s="69"/>
      <c r="H205" s="218" t="s">
        <v>14</v>
      </c>
      <c r="I205" s="219"/>
      <c r="J205" s="219"/>
      <c r="K205" s="220"/>
      <c r="L205" s="131">
        <f ca="1">IFERROR(__xludf.DUMMYFUNCTION("IMPORTRANGE(""https://docs.google.com/spreadsheets/d/1eHaY18a8A9IcSdp1K8H6x8fbOy06t2VsZHhMHf-1x7Y/edit?usp=sharing"",""แผน!AG53"")"),1000)</f>
        <v>1000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377"/>
      <c r="B206" s="381"/>
      <c r="C206" s="67"/>
      <c r="D206" s="267" t="s">
        <v>87</v>
      </c>
      <c r="E206" s="67"/>
      <c r="F206" s="67"/>
      <c r="G206" s="69"/>
      <c r="H206" s="70" t="s">
        <v>14</v>
      </c>
      <c r="I206" s="71"/>
      <c r="J206" s="71"/>
      <c r="K206" s="72"/>
      <c r="L206" s="131">
        <f ca="1">IFERROR(__xludf.DUMMYFUNCTION("IMPORTRANGE(""https://docs.google.com/spreadsheets/d/1eHaY18a8A9IcSdp1K8H6x8fbOy06t2VsZHhMHf-1x7Y/edit?usp=sharing"",""แผน!AH53"")"),0)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377"/>
      <c r="B207" s="381"/>
      <c r="C207" s="67"/>
      <c r="D207" s="267" t="s">
        <v>88</v>
      </c>
      <c r="E207" s="67"/>
      <c r="F207" s="67"/>
      <c r="G207" s="69"/>
      <c r="H207" s="70" t="s">
        <v>14</v>
      </c>
      <c r="I207" s="71"/>
      <c r="J207" s="71"/>
      <c r="K207" s="72"/>
      <c r="L207" s="131">
        <f ca="1">IFERROR(__xludf.DUMMYFUNCTION("IMPORTRANGE(""https://docs.google.com/spreadsheets/d/1eHaY18a8A9IcSdp1K8H6x8fbOy06t2VsZHhMHf-1x7Y/edit?usp=sharing"",""แผน!AI53"")"),8000)</f>
        <v>8000</v>
      </c>
      <c r="M207" s="87"/>
      <c r="N207" s="924">
        <v>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377"/>
      <c r="B208" s="381"/>
      <c r="C208" s="67"/>
      <c r="D208" s="267" t="s">
        <v>89</v>
      </c>
      <c r="E208" s="67"/>
      <c r="F208" s="67"/>
      <c r="G208" s="69"/>
      <c r="H208" s="70" t="s">
        <v>14</v>
      </c>
      <c r="I208" s="71"/>
      <c r="J208" s="71"/>
      <c r="K208" s="72"/>
      <c r="L208" s="131">
        <f ca="1">IFERROR(__xludf.DUMMYFUNCTION("IMPORTRANGE(""https://docs.google.com/spreadsheets/d/1eHaY18a8A9IcSdp1K8H6x8fbOy06t2VsZHhMHf-1x7Y/edit?usp=sharing"",""แผน!AJ53"")"),4000)</f>
        <v>4000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22"/>
      <c r="B209" s="223"/>
      <c r="C209" s="210" t="s">
        <v>18</v>
      </c>
      <c r="D209" s="883" t="s">
        <v>38</v>
      </c>
      <c r="E209" s="225"/>
      <c r="F209" s="225"/>
      <c r="G209" s="226"/>
      <c r="H209" s="227"/>
      <c r="I209" s="219"/>
      <c r="J209" s="219"/>
      <c r="K209" s="220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22"/>
      <c r="B210" s="223"/>
      <c r="C210" s="223"/>
      <c r="D210" s="567" t="s">
        <v>90</v>
      </c>
      <c r="E210" s="231"/>
      <c r="F210" s="231"/>
      <c r="G210" s="227"/>
      <c r="H210" s="400" t="s">
        <v>85</v>
      </c>
      <c r="I210" s="321">
        <f ca="1">IFERROR(__xludf.DUMMYFUNCTION("IMPORTRANGE(""https://docs.google.com/spreadsheets/d/1eHaY18a8A9IcSdp1K8H6x8fbOy06t2VsZHhMHf-1x7Y/edit?usp=sharing"",""แผน!AK53"")"),1)</f>
        <v>1</v>
      </c>
      <c r="J210" s="884">
        <v>0</v>
      </c>
      <c r="K210" s="240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22"/>
      <c r="B211" s="223"/>
      <c r="C211" s="223"/>
      <c r="D211" s="395" t="s">
        <v>50</v>
      </c>
      <c r="E211" s="231"/>
      <c r="F211" s="231"/>
      <c r="G211" s="227"/>
      <c r="H211" s="227"/>
      <c r="I211" s="71"/>
      <c r="J211" s="71"/>
      <c r="K211" s="220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22"/>
      <c r="B212" s="223"/>
      <c r="C212" s="223"/>
      <c r="D212" s="231"/>
      <c r="E212" s="395" t="s">
        <v>91</v>
      </c>
      <c r="F212" s="231"/>
      <c r="G212" s="227"/>
      <c r="H212" s="400" t="s">
        <v>85</v>
      </c>
      <c r="I212" s="321">
        <f ca="1">IFERROR(__xludf.DUMMYFUNCTION("IMPORTRANGE(""https://docs.google.com/spreadsheets/d/1eHaY18a8A9IcSdp1K8H6x8fbOy06t2VsZHhMHf-1x7Y/edit?usp=sharing"",""แผน!JX53"")"),1)</f>
        <v>1</v>
      </c>
      <c r="J212" s="884">
        <v>0</v>
      </c>
      <c r="K212" s="240">
        <f t="shared" ref="K212:K214" ca="1" si="146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22"/>
      <c r="B213" s="223"/>
      <c r="C213" s="223"/>
      <c r="D213" s="231"/>
      <c r="E213" s="395" t="s">
        <v>92</v>
      </c>
      <c r="F213" s="231"/>
      <c r="G213" s="231"/>
      <c r="H213" s="401" t="s">
        <v>93</v>
      </c>
      <c r="I213" s="321">
        <f ca="1">IFERROR(__xludf.DUMMYFUNCTION("IMPORTRANGE(""https://docs.google.com/spreadsheets/d/1eHaY18a8A9IcSdp1K8H6x8fbOy06t2VsZHhMHf-1x7Y/edit?usp=sharing"",""แผน!JY53"")"),0)</f>
        <v>0</v>
      </c>
      <c r="J213" s="884">
        <v>0</v>
      </c>
      <c r="K213" s="240">
        <f t="shared" ca="1" si="146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x14ac:dyDescent="0.3">
      <c r="A214" s="382"/>
      <c r="B214" s="383"/>
      <c r="C214" s="384" t="s">
        <v>94</v>
      </c>
      <c r="D214" s="385"/>
      <c r="E214" s="385"/>
      <c r="F214" s="385"/>
      <c r="G214" s="386"/>
      <c r="H214" s="563" t="s">
        <v>85</v>
      </c>
      <c r="I214" s="388">
        <f t="shared" ref="I214:J214" ca="1" si="147">I221</f>
        <v>3</v>
      </c>
      <c r="J214" s="388">
        <f t="shared" si="147"/>
        <v>2</v>
      </c>
      <c r="K214" s="389">
        <f t="shared" ca="1" si="146"/>
        <v>66.666666666666671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x14ac:dyDescent="0.3">
      <c r="A215" s="209"/>
      <c r="B215" s="67"/>
      <c r="C215" s="210" t="s">
        <v>18</v>
      </c>
      <c r="D215" s="922" t="s">
        <v>19</v>
      </c>
      <c r="E215" s="67"/>
      <c r="F215" s="67"/>
      <c r="G215" s="69"/>
      <c r="H215" s="394" t="s">
        <v>14</v>
      </c>
      <c r="I215" s="219"/>
      <c r="J215" s="219"/>
      <c r="K215" s="220"/>
      <c r="L215" s="214">
        <f ca="1">L216+L217+L218</f>
        <v>42000</v>
      </c>
      <c r="M215" s="87"/>
      <c r="N215" s="215">
        <f>N216+N217+N218</f>
        <v>298200</v>
      </c>
      <c r="O215" s="215">
        <f ca="1">IF(L215&gt;0,N215*100/L215,0)</f>
        <v>710</v>
      </c>
      <c r="P215" s="215">
        <f>IF(M215&gt;0,N215*100/M215,0)</f>
        <v>0</v>
      </c>
      <c r="Q215" s="87"/>
      <c r="R215" s="87"/>
      <c r="S215" s="87"/>
      <c r="T215" s="87"/>
      <c r="U215" s="87"/>
    </row>
    <row r="216" spans="1:21" ht="18.75" x14ac:dyDescent="0.25">
      <c r="A216" s="209"/>
      <c r="B216" s="381"/>
      <c r="C216" s="67"/>
      <c r="D216" s="440" t="s">
        <v>86</v>
      </c>
      <c r="E216" s="67"/>
      <c r="F216" s="67"/>
      <c r="G216" s="69"/>
      <c r="H216" s="218" t="s">
        <v>14</v>
      </c>
      <c r="I216" s="219"/>
      <c r="J216" s="219"/>
      <c r="K216" s="220"/>
      <c r="L216" s="131">
        <f ca="1">IFERROR(__xludf.DUMMYFUNCTION("IMPORTRANGE(""https://docs.google.com/spreadsheets/d/1eHaY18a8A9IcSdp1K8H6x8fbOy06t2VsZHhMHf-1x7Y/edit?usp=sharing"",""แผน!AM53"")"),3000)</f>
        <v>3000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x14ac:dyDescent="0.25">
      <c r="A217" s="377"/>
      <c r="B217" s="381"/>
      <c r="C217" s="381"/>
      <c r="D217" s="440" t="s">
        <v>95</v>
      </c>
      <c r="E217" s="67"/>
      <c r="F217" s="67"/>
      <c r="G217" s="69"/>
      <c r="H217" s="218" t="s">
        <v>14</v>
      </c>
      <c r="I217" s="71"/>
      <c r="J217" s="71"/>
      <c r="K217" s="72"/>
      <c r="L217" s="131">
        <f ca="1">IFERROR(__xludf.DUMMYFUNCTION("IMPORTRANGE(""https://docs.google.com/spreadsheets/d/1eHaY18a8A9IcSdp1K8H6x8fbOy06t2VsZHhMHf-1x7Y/edit?usp=sharing"",""แผน!AN53"")"),15000)</f>
        <v>15000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x14ac:dyDescent="0.25">
      <c r="A218" s="377"/>
      <c r="B218" s="381"/>
      <c r="C218" s="381"/>
      <c r="D218" s="440" t="s">
        <v>88</v>
      </c>
      <c r="E218" s="67"/>
      <c r="F218" s="67"/>
      <c r="G218" s="69"/>
      <c r="H218" s="218" t="s">
        <v>14</v>
      </c>
      <c r="I218" s="71"/>
      <c r="J218" s="71"/>
      <c r="K218" s="72"/>
      <c r="L218" s="131">
        <f ca="1">IFERROR(__xludf.DUMMYFUNCTION("IMPORTRANGE(""https://docs.google.com/spreadsheets/d/1eHaY18a8A9IcSdp1K8H6x8fbOy06t2VsZHhMHf-1x7Y/edit?usp=sharing"",""แผน!AO53"")"),24000)</f>
        <v>24000</v>
      </c>
      <c r="M218" s="87"/>
      <c r="N218" s="924">
        <v>298200</v>
      </c>
      <c r="O218" s="229"/>
      <c r="P218" s="87"/>
      <c r="Q218" s="87"/>
      <c r="R218" s="87"/>
      <c r="S218" s="87"/>
      <c r="T218" s="229"/>
      <c r="U218" s="87"/>
    </row>
    <row r="219" spans="1:21" ht="19.5" x14ac:dyDescent="0.3">
      <c r="A219" s="222"/>
      <c r="B219" s="223"/>
      <c r="C219" s="402" t="s">
        <v>18</v>
      </c>
      <c r="D219" s="883" t="s">
        <v>38</v>
      </c>
      <c r="E219" s="225"/>
      <c r="F219" s="225"/>
      <c r="G219" s="226"/>
      <c r="H219" s="227"/>
      <c r="I219" s="219"/>
      <c r="J219" s="71"/>
      <c r="K219" s="72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x14ac:dyDescent="0.25">
      <c r="A220" s="222"/>
      <c r="B220" s="223"/>
      <c r="C220" s="223"/>
      <c r="D220" s="567" t="s">
        <v>96</v>
      </c>
      <c r="E220" s="231"/>
      <c r="F220" s="231"/>
      <c r="G220" s="227"/>
      <c r="H220" s="400" t="s">
        <v>85</v>
      </c>
      <c r="I220" s="321">
        <f ca="1">IFERROR(__xludf.DUMMYFUNCTION("IMPORTRANGE(""https://docs.google.com/spreadsheets/d/1eHaY18a8A9IcSdp1K8H6x8fbOy06t2VsZHhMHf-1x7Y/edit?usp=sharing"",""แผน!AP53"")"),3)</f>
        <v>3</v>
      </c>
      <c r="J220" s="884">
        <v>0</v>
      </c>
      <c r="K220" s="399">
        <f t="shared" ref="K220:K222" ca="1" si="148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x14ac:dyDescent="0.25">
      <c r="A221" s="222"/>
      <c r="B221" s="223"/>
      <c r="C221" s="223"/>
      <c r="D221" s="567" t="s">
        <v>97</v>
      </c>
      <c r="E221" s="231"/>
      <c r="F221" s="231"/>
      <c r="G221" s="227"/>
      <c r="H221" s="400" t="s">
        <v>85</v>
      </c>
      <c r="I221" s="321">
        <f ca="1">IFERROR(__xludf.DUMMYFUNCTION("IMPORTRANGE(""https://docs.google.com/spreadsheets/d/1eHaY18a8A9IcSdp1K8H6x8fbOy06t2VsZHhMHf-1x7Y/edit?usp=sharing"",""แผน!AP53"")"),3)</f>
        <v>3</v>
      </c>
      <c r="J221" s="884">
        <v>2</v>
      </c>
      <c r="K221" s="399">
        <f t="shared" ca="1" si="148"/>
        <v>66.666666666666671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382"/>
      <c r="B222" s="383"/>
      <c r="C222" s="384" t="s">
        <v>98</v>
      </c>
      <c r="D222" s="385"/>
      <c r="E222" s="385"/>
      <c r="F222" s="385"/>
      <c r="G222" s="386"/>
      <c r="H222" s="387" t="s">
        <v>99</v>
      </c>
      <c r="I222" s="388">
        <f t="shared" ref="I222:J222" ca="1" si="149">I230</f>
        <v>40000</v>
      </c>
      <c r="J222" s="388">
        <f t="shared" si="149"/>
        <v>0</v>
      </c>
      <c r="K222" s="389">
        <f t="shared" ca="1" si="148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09"/>
      <c r="B223" s="67"/>
      <c r="C223" s="210" t="s">
        <v>18</v>
      </c>
      <c r="D223" s="922" t="s">
        <v>19</v>
      </c>
      <c r="E223" s="67"/>
      <c r="F223" s="67"/>
      <c r="G223" s="69"/>
      <c r="H223" s="394" t="s">
        <v>14</v>
      </c>
      <c r="I223" s="219"/>
      <c r="J223" s="219"/>
      <c r="K223" s="220"/>
      <c r="L223" s="214">
        <f ca="1">L224+L225+L226</f>
        <v>6500</v>
      </c>
      <c r="M223" s="87"/>
      <c r="N223" s="215">
        <f>N224+N225+N226</f>
        <v>0</v>
      </c>
      <c r="O223" s="215">
        <f ca="1">IF(L223&gt;0,N223*100/L223,0)</f>
        <v>0</v>
      </c>
      <c r="P223" s="215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09"/>
      <c r="B224" s="381"/>
      <c r="C224" s="67"/>
      <c r="D224" s="440" t="s">
        <v>300</v>
      </c>
      <c r="E224" s="67"/>
      <c r="F224" s="67"/>
      <c r="G224" s="69"/>
      <c r="H224" s="218" t="s">
        <v>14</v>
      </c>
      <c r="I224" s="219"/>
      <c r="J224" s="219"/>
      <c r="K224" s="220"/>
      <c r="L224" s="131">
        <f ca="1">IFERROR(__xludf.DUMMYFUNCTION("IMPORTRANGE(""https://docs.google.com/spreadsheets/d/1eHaY18a8A9IcSdp1K8H6x8fbOy06t2VsZHhMHf-1x7Y/edit?usp=sharing"",""แผน!AR53"")"),5000)</f>
        <v>5000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377"/>
      <c r="B225" s="381"/>
      <c r="C225" s="381"/>
      <c r="D225" s="440" t="s">
        <v>301</v>
      </c>
      <c r="E225" s="67"/>
      <c r="F225" s="67"/>
      <c r="G225" s="69"/>
      <c r="H225" s="218" t="s">
        <v>14</v>
      </c>
      <c r="I225" s="71"/>
      <c r="J225" s="71"/>
      <c r="K225" s="72"/>
      <c r="L225" s="131">
        <f ca="1">IFERROR(__xludf.DUMMYFUNCTION("IMPORTRANGE(""https://docs.google.com/spreadsheets/d/1eHaY18a8A9IcSdp1K8H6x8fbOy06t2VsZHhMHf-1x7Y/edit?usp=sharing"",""แผน!AS53"")"),1500)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377"/>
      <c r="B226" s="381"/>
      <c r="C226" s="381"/>
      <c r="D226" s="440" t="s">
        <v>88</v>
      </c>
      <c r="E226" s="67"/>
      <c r="F226" s="67"/>
      <c r="G226" s="69"/>
      <c r="H226" s="218" t="s">
        <v>14</v>
      </c>
      <c r="I226" s="71"/>
      <c r="J226" s="71"/>
      <c r="K226" s="72"/>
      <c r="L226" s="131">
        <f ca="1">IFERROR(__xludf.DUMMYFUNCTION("IMPORTRANGE(""https://docs.google.com/spreadsheets/d/1eHaY18a8A9IcSdp1K8H6x8fbOy06t2VsZHhMHf-1x7Y/edit?usp=sharing"",""แผน!AT53"")"),0)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22"/>
      <c r="B227" s="223"/>
      <c r="C227" s="402" t="s">
        <v>18</v>
      </c>
      <c r="D227" s="883" t="s">
        <v>38</v>
      </c>
      <c r="E227" s="225"/>
      <c r="F227" s="225"/>
      <c r="G227" s="226"/>
      <c r="H227" s="227"/>
      <c r="I227" s="219"/>
      <c r="J227" s="219"/>
      <c r="K227" s="220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22"/>
      <c r="B228" s="223"/>
      <c r="C228" s="223"/>
      <c r="D228" s="440" t="s">
        <v>101</v>
      </c>
      <c r="E228" s="231"/>
      <c r="F228" s="231"/>
      <c r="G228" s="227"/>
      <c r="H228" s="227"/>
      <c r="I228" s="71"/>
      <c r="J228" s="71"/>
      <c r="K228" s="220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22"/>
      <c r="B229" s="223"/>
      <c r="C229" s="223"/>
      <c r="D229" s="223"/>
      <c r="E229" s="567" t="s">
        <v>102</v>
      </c>
      <c r="F229" s="231"/>
      <c r="G229" s="227"/>
      <c r="H229" s="401" t="s">
        <v>99</v>
      </c>
      <c r="I229" s="321">
        <f ca="1">IFERROR(__xludf.DUMMYFUNCTION("IMPORTRANGE(""https://docs.google.com/spreadsheets/d/1eHaY18a8A9IcSdp1K8H6x8fbOy06t2VsZHhMHf-1x7Y/edit?usp=sharing"",""แผน!AV53"")"),40000)</f>
        <v>40000</v>
      </c>
      <c r="J229" s="884">
        <v>40000</v>
      </c>
      <c r="K229" s="240">
        <f t="shared" ref="K229:K232" ca="1" si="150">IF(I229&gt;0,J229*100/I229,0)</f>
        <v>100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22"/>
      <c r="B230" s="223"/>
      <c r="C230" s="223"/>
      <c r="D230" s="223"/>
      <c r="E230" s="567" t="s">
        <v>103</v>
      </c>
      <c r="F230" s="231"/>
      <c r="G230" s="227"/>
      <c r="H230" s="401" t="s">
        <v>99</v>
      </c>
      <c r="I230" s="321">
        <f ca="1">IFERROR(__xludf.DUMMYFUNCTION("IMPORTRANGE(""https://docs.google.com/spreadsheets/d/1eHaY18a8A9IcSdp1K8H6x8fbOy06t2VsZHhMHf-1x7Y/edit?usp=sharing"",""แผน!AV53"")"),40000)</f>
        <v>40000</v>
      </c>
      <c r="J230" s="884">
        <v>0</v>
      </c>
      <c r="K230" s="240">
        <f t="shared" ca="1" si="150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22"/>
      <c r="B231" s="223"/>
      <c r="C231" s="223"/>
      <c r="D231" s="440" t="s">
        <v>104</v>
      </c>
      <c r="E231" s="231"/>
      <c r="F231" s="231"/>
      <c r="G231" s="227"/>
      <c r="H231" s="401" t="s">
        <v>35</v>
      </c>
      <c r="I231" s="321">
        <f ca="1">IFERROR(__xludf.DUMMYFUNCTION("IMPORTRANGE(""https://docs.google.com/spreadsheets/d/1eHaY18a8A9IcSdp1K8H6x8fbOy06t2VsZHhMHf-1x7Y/edit?usp=sharing"",""แผน!AU53"")"),0)</f>
        <v>0</v>
      </c>
      <c r="J231" s="884">
        <v>0</v>
      </c>
      <c r="K231" s="240">
        <f t="shared" ca="1" si="150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925"/>
      <c r="B232" s="926"/>
      <c r="C232" s="927" t="s">
        <v>105</v>
      </c>
      <c r="D232" s="928"/>
      <c r="E232" s="928"/>
      <c r="F232" s="928"/>
      <c r="G232" s="929"/>
      <c r="H232" s="930" t="s">
        <v>35</v>
      </c>
      <c r="I232" s="931">
        <f t="shared" ref="I232:J232" ca="1" si="151">I243+I254</f>
        <v>30</v>
      </c>
      <c r="J232" s="931">
        <f t="shared" si="151"/>
        <v>30</v>
      </c>
      <c r="K232" s="932">
        <f t="shared" ca="1" si="150"/>
        <v>100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880"/>
      <c r="B233" s="838"/>
      <c r="C233" s="933" t="s">
        <v>18</v>
      </c>
      <c r="D233" s="934" t="s">
        <v>19</v>
      </c>
      <c r="E233" s="838"/>
      <c r="F233" s="838"/>
      <c r="G233" s="839"/>
      <c r="H233" s="703" t="s">
        <v>14</v>
      </c>
      <c r="I233" s="881"/>
      <c r="J233" s="881"/>
      <c r="K233" s="882"/>
      <c r="L233" s="935">
        <f t="shared" ref="L233:L237" ca="1" si="152">L244+L255</f>
        <v>131600</v>
      </c>
      <c r="M233" s="87"/>
      <c r="N233" s="936">
        <f t="shared" ref="N233:N237" si="153">N244+N255</f>
        <v>97865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880"/>
      <c r="B234" s="920"/>
      <c r="C234" s="838"/>
      <c r="D234" s="398" t="s">
        <v>299</v>
      </c>
      <c r="E234" s="838"/>
      <c r="F234" s="838"/>
      <c r="G234" s="839"/>
      <c r="H234" s="273" t="s">
        <v>14</v>
      </c>
      <c r="I234" s="881"/>
      <c r="J234" s="881"/>
      <c r="K234" s="882"/>
      <c r="L234" s="217">
        <f t="shared" ca="1" si="152"/>
        <v>8000</v>
      </c>
      <c r="M234" s="87"/>
      <c r="N234" s="133">
        <f t="shared" si="153"/>
        <v>6265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919"/>
      <c r="B235" s="920"/>
      <c r="C235" s="920"/>
      <c r="D235" s="267" t="s">
        <v>87</v>
      </c>
      <c r="E235" s="838"/>
      <c r="F235" s="838"/>
      <c r="G235" s="839"/>
      <c r="H235" s="273" t="s">
        <v>14</v>
      </c>
      <c r="I235" s="841"/>
      <c r="J235" s="841"/>
      <c r="K235" s="842"/>
      <c r="L235" s="217">
        <f t="shared" ca="1" si="152"/>
        <v>2000</v>
      </c>
      <c r="M235" s="87"/>
      <c r="N235" s="133">
        <f t="shared" si="153"/>
        <v>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919"/>
      <c r="B236" s="920"/>
      <c r="C236" s="920"/>
      <c r="D236" s="267" t="s">
        <v>88</v>
      </c>
      <c r="E236" s="838"/>
      <c r="F236" s="838"/>
      <c r="G236" s="839"/>
      <c r="H236" s="273" t="s">
        <v>14</v>
      </c>
      <c r="I236" s="841"/>
      <c r="J236" s="841"/>
      <c r="K236" s="842"/>
      <c r="L236" s="217">
        <f t="shared" ca="1" si="152"/>
        <v>55600</v>
      </c>
      <c r="M236" s="87"/>
      <c r="N236" s="133">
        <f t="shared" si="153"/>
        <v>55600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919"/>
      <c r="B237" s="920"/>
      <c r="C237" s="920"/>
      <c r="D237" s="267" t="s">
        <v>89</v>
      </c>
      <c r="E237" s="838"/>
      <c r="F237" s="838"/>
      <c r="G237" s="839"/>
      <c r="H237" s="273" t="s">
        <v>14</v>
      </c>
      <c r="I237" s="841"/>
      <c r="J237" s="841"/>
      <c r="K237" s="842"/>
      <c r="L237" s="217">
        <f t="shared" ca="1" si="152"/>
        <v>66000</v>
      </c>
      <c r="M237" s="87"/>
      <c r="N237" s="133">
        <f t="shared" si="153"/>
        <v>36000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937"/>
      <c r="B238" s="938"/>
      <c r="C238" s="939" t="s">
        <v>18</v>
      </c>
      <c r="D238" s="940" t="s">
        <v>38</v>
      </c>
      <c r="E238" s="941"/>
      <c r="F238" s="941"/>
      <c r="G238" s="942"/>
      <c r="H238" s="943"/>
      <c r="I238" s="881"/>
      <c r="J238" s="841"/>
      <c r="K238" s="842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937"/>
      <c r="B239" s="938"/>
      <c r="C239" s="938"/>
      <c r="D239" s="311" t="s">
        <v>108</v>
      </c>
      <c r="E239" s="944"/>
      <c r="F239" s="944"/>
      <c r="G239" s="943"/>
      <c r="H239" s="945" t="s">
        <v>35</v>
      </c>
      <c r="I239" s="592">
        <f t="shared" ref="I239:J239" ca="1" si="154">I250+I261</f>
        <v>30</v>
      </c>
      <c r="J239" s="592">
        <f t="shared" si="154"/>
        <v>30</v>
      </c>
      <c r="K239" s="77">
        <f ca="1">IF(I239&gt;0,J239*100/I239,0)</f>
        <v>100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937"/>
      <c r="B240" s="938"/>
      <c r="C240" s="938"/>
      <c r="D240" s="946" t="s">
        <v>43</v>
      </c>
      <c r="E240" s="944"/>
      <c r="F240" s="944"/>
      <c r="G240" s="943"/>
      <c r="H240" s="943"/>
      <c r="I240" s="841"/>
      <c r="J240" s="841"/>
      <c r="K240" s="842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937"/>
      <c r="B241" s="938"/>
      <c r="C241" s="938"/>
      <c r="D241" s="938"/>
      <c r="E241" s="947" t="s">
        <v>109</v>
      </c>
      <c r="F241" s="944"/>
      <c r="G241" s="943"/>
      <c r="H241" s="945" t="s">
        <v>35</v>
      </c>
      <c r="I241" s="592">
        <f t="shared" ref="I241:J242" ca="1" si="155">I252+I263</f>
        <v>30</v>
      </c>
      <c r="J241" s="592">
        <f t="shared" si="155"/>
        <v>30</v>
      </c>
      <c r="K241" s="77">
        <f t="shared" ref="K241:K243" ca="1" si="156">IF(I241&gt;0,J241*100/I241,0)</f>
        <v>100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937"/>
      <c r="B242" s="938"/>
      <c r="C242" s="938"/>
      <c r="D242" s="938"/>
      <c r="E242" s="947" t="s">
        <v>110</v>
      </c>
      <c r="F242" s="944"/>
      <c r="G242" s="943"/>
      <c r="H242" s="945" t="s">
        <v>61</v>
      </c>
      <c r="I242" s="592">
        <f t="shared" ca="1" si="155"/>
        <v>1</v>
      </c>
      <c r="J242" s="592">
        <f t="shared" si="155"/>
        <v>0</v>
      </c>
      <c r="K242" s="77">
        <f t="shared" ca="1" si="156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x14ac:dyDescent="0.3">
      <c r="A243" s="382"/>
      <c r="B243" s="383"/>
      <c r="C243" s="384" t="s">
        <v>302</v>
      </c>
      <c r="D243" s="385"/>
      <c r="E243" s="385"/>
      <c r="F243" s="385"/>
      <c r="G243" s="386"/>
      <c r="H243" s="387" t="s">
        <v>35</v>
      </c>
      <c r="I243" s="388">
        <f t="shared" ref="I243:J243" ca="1" si="157">I250</f>
        <v>30</v>
      </c>
      <c r="J243" s="388">
        <f t="shared" si="157"/>
        <v>30</v>
      </c>
      <c r="K243" s="389">
        <f t="shared" ca="1" si="156"/>
        <v>100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x14ac:dyDescent="0.3">
      <c r="A244" s="209"/>
      <c r="B244" s="67"/>
      <c r="C244" s="210" t="s">
        <v>18</v>
      </c>
      <c r="D244" s="879" t="s">
        <v>19</v>
      </c>
      <c r="E244" s="67"/>
      <c r="F244" s="67"/>
      <c r="G244" s="69"/>
      <c r="H244" s="394" t="s">
        <v>14</v>
      </c>
      <c r="I244" s="219"/>
      <c r="J244" s="219"/>
      <c r="K244" s="220"/>
      <c r="L244" s="214">
        <f ca="1">L245+L246+L247+L248</f>
        <v>131600</v>
      </c>
      <c r="M244" s="87"/>
      <c r="N244" s="215">
        <f>N245+N246+N247+N248</f>
        <v>97865</v>
      </c>
      <c r="O244" s="215">
        <f ca="1">IF(L244&gt;0,N244*100/L244,0)</f>
        <v>74.365501519756833</v>
      </c>
      <c r="P244" s="215">
        <f>IF(M244&gt;0,N244*100/M244,0)</f>
        <v>0</v>
      </c>
      <c r="Q244" s="87"/>
      <c r="R244" s="87"/>
      <c r="S244" s="87"/>
      <c r="T244" s="87"/>
      <c r="U244" s="87"/>
    </row>
    <row r="245" spans="1:21" ht="18.75" x14ac:dyDescent="0.25">
      <c r="A245" s="209"/>
      <c r="B245" s="381"/>
      <c r="C245" s="67"/>
      <c r="D245" s="398" t="s">
        <v>299</v>
      </c>
      <c r="E245" s="67"/>
      <c r="F245" s="67"/>
      <c r="G245" s="69"/>
      <c r="H245" s="218" t="s">
        <v>14</v>
      </c>
      <c r="I245" s="219"/>
      <c r="J245" s="219"/>
      <c r="K245" s="220"/>
      <c r="L245" s="131">
        <f ca="1">IFERROR(__xludf.DUMMYFUNCTION("IMPORTRANGE(""https://docs.google.com/spreadsheets/d/1eHaY18a8A9IcSdp1K8H6x8fbOy06t2VsZHhMHf-1x7Y/edit?usp=sharing"",""แผน!AX53"")"),8000)</f>
        <v>8000</v>
      </c>
      <c r="M245" s="87"/>
      <c r="N245" s="924">
        <v>6265</v>
      </c>
      <c r="O245" s="87"/>
      <c r="P245" s="87"/>
      <c r="Q245" s="87"/>
      <c r="R245" s="87"/>
      <c r="S245" s="87"/>
      <c r="T245" s="87"/>
      <c r="U245" s="87"/>
    </row>
    <row r="246" spans="1:21" ht="18.75" x14ac:dyDescent="0.25">
      <c r="A246" s="377"/>
      <c r="B246" s="381"/>
      <c r="C246" s="381"/>
      <c r="D246" s="267" t="s">
        <v>87</v>
      </c>
      <c r="E246" s="67"/>
      <c r="F246" s="67"/>
      <c r="G246" s="69"/>
      <c r="H246" s="218" t="s">
        <v>14</v>
      </c>
      <c r="I246" s="71"/>
      <c r="J246" s="71"/>
      <c r="K246" s="72"/>
      <c r="L246" s="131">
        <f ca="1">IFERROR(__xludf.DUMMYFUNCTION("IMPORTRANGE(""https://docs.google.com/spreadsheets/d/1eHaY18a8A9IcSdp1K8H6x8fbOy06t2VsZHhMHf-1x7Y/edit?usp=sharing"",""แผน!AY53"")"),2000)</f>
        <v>2000</v>
      </c>
      <c r="M246" s="87"/>
      <c r="N246" s="924">
        <v>0</v>
      </c>
      <c r="O246" s="87"/>
      <c r="P246" s="87"/>
      <c r="Q246" s="87"/>
      <c r="R246" s="87"/>
      <c r="S246" s="87"/>
      <c r="T246" s="87"/>
      <c r="U246" s="87"/>
    </row>
    <row r="247" spans="1:21" ht="18.75" x14ac:dyDescent="0.25">
      <c r="A247" s="377"/>
      <c r="B247" s="381"/>
      <c r="C247" s="381"/>
      <c r="D247" s="267" t="s">
        <v>88</v>
      </c>
      <c r="E247" s="67"/>
      <c r="F247" s="67"/>
      <c r="G247" s="69"/>
      <c r="H247" s="218" t="s">
        <v>14</v>
      </c>
      <c r="I247" s="71"/>
      <c r="J247" s="71"/>
      <c r="K247" s="72"/>
      <c r="L247" s="131">
        <f ca="1">IFERROR(__xludf.DUMMYFUNCTION("IMPORTRANGE(""https://docs.google.com/spreadsheets/d/1eHaY18a8A9IcSdp1K8H6x8fbOy06t2VsZHhMHf-1x7Y/edit?usp=sharing"",""แผน!AZ53"")"),55600)</f>
        <v>55600</v>
      </c>
      <c r="M247" s="87"/>
      <c r="N247" s="924">
        <v>55600</v>
      </c>
      <c r="O247" s="87"/>
      <c r="P247" s="87"/>
      <c r="Q247" s="87"/>
      <c r="R247" s="87"/>
      <c r="S247" s="87"/>
      <c r="T247" s="87"/>
      <c r="U247" s="87"/>
    </row>
    <row r="248" spans="1:21" ht="18.75" x14ac:dyDescent="0.25">
      <c r="A248" s="377"/>
      <c r="B248" s="381"/>
      <c r="C248" s="381"/>
      <c r="D248" s="267" t="s">
        <v>89</v>
      </c>
      <c r="E248" s="67"/>
      <c r="F248" s="67"/>
      <c r="G248" s="69"/>
      <c r="H248" s="218" t="s">
        <v>14</v>
      </c>
      <c r="I248" s="71"/>
      <c r="J248" s="71"/>
      <c r="K248" s="72"/>
      <c r="L248" s="131">
        <f ca="1">IFERROR(__xludf.DUMMYFUNCTION("IMPORTRANGE(""https://docs.google.com/spreadsheets/d/1eHaY18a8A9IcSdp1K8H6x8fbOy06t2VsZHhMHf-1x7Y/edit?usp=sharing"",""แผน!BA53"")"),66000)</f>
        <v>66000</v>
      </c>
      <c r="M248" s="87"/>
      <c r="N248" s="924">
        <v>36000</v>
      </c>
      <c r="O248" s="87"/>
      <c r="P248" s="87"/>
      <c r="Q248" s="87"/>
      <c r="R248" s="87"/>
      <c r="S248" s="87"/>
      <c r="T248" s="87"/>
      <c r="U248" s="87"/>
    </row>
    <row r="249" spans="1:21" ht="19.5" x14ac:dyDescent="0.3">
      <c r="A249" s="222"/>
      <c r="B249" s="223"/>
      <c r="C249" s="402" t="s">
        <v>18</v>
      </c>
      <c r="D249" s="883" t="s">
        <v>38</v>
      </c>
      <c r="E249" s="225"/>
      <c r="F249" s="225"/>
      <c r="G249" s="226"/>
      <c r="H249" s="227"/>
      <c r="I249" s="219"/>
      <c r="J249" s="71"/>
      <c r="K249" s="72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x14ac:dyDescent="0.25">
      <c r="A250" s="222"/>
      <c r="B250" s="223"/>
      <c r="C250" s="223"/>
      <c r="D250" s="395" t="s">
        <v>108</v>
      </c>
      <c r="E250" s="231"/>
      <c r="F250" s="231"/>
      <c r="G250" s="227"/>
      <c r="H250" s="401" t="s">
        <v>35</v>
      </c>
      <c r="I250" s="321">
        <f ca="1">IFERROR(__xludf.DUMMYFUNCTION("IMPORTRANGE(""https://docs.google.com/spreadsheets/d/1eHaY18a8A9IcSdp1K8H6x8fbOy06t2VsZHhMHf-1x7Y/edit?usp=sharing"",""แผน!BG53"")"),30)</f>
        <v>30</v>
      </c>
      <c r="J250" s="884">
        <v>30</v>
      </c>
      <c r="K250" s="399">
        <f ca="1">IF(I250&gt;0,J250*100/I250,0)</f>
        <v>100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x14ac:dyDescent="0.25">
      <c r="A251" s="222"/>
      <c r="B251" s="223"/>
      <c r="C251" s="223"/>
      <c r="D251" s="412" t="s">
        <v>43</v>
      </c>
      <c r="E251" s="231"/>
      <c r="F251" s="231"/>
      <c r="G251" s="227"/>
      <c r="H251" s="227"/>
      <c r="I251" s="71"/>
      <c r="J251" s="71"/>
      <c r="K251" s="72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x14ac:dyDescent="0.25">
      <c r="A252" s="222"/>
      <c r="B252" s="223"/>
      <c r="C252" s="223"/>
      <c r="D252" s="223"/>
      <c r="E252" s="567" t="s">
        <v>109</v>
      </c>
      <c r="F252" s="231"/>
      <c r="G252" s="227"/>
      <c r="H252" s="401" t="s">
        <v>35</v>
      </c>
      <c r="I252" s="321">
        <f ca="1">IFERROR(__xludf.DUMMYFUNCTION("IMPORTRANGE(""https://docs.google.com/spreadsheets/d/1eHaY18a8A9IcSdp1K8H6x8fbOy06t2VsZHhMHf-1x7Y/edit?usp=sharing"",""แผน!JZ53"")"),30)</f>
        <v>30</v>
      </c>
      <c r="J252" s="884">
        <v>30</v>
      </c>
      <c r="K252" s="399">
        <f t="shared" ref="K252:K254" ca="1" si="158">IF(I252&gt;0,J252*100/I252,0)</f>
        <v>100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x14ac:dyDescent="0.25">
      <c r="A253" s="222"/>
      <c r="B253" s="223"/>
      <c r="C253" s="223"/>
      <c r="D253" s="223"/>
      <c r="E253" s="567" t="s">
        <v>110</v>
      </c>
      <c r="F253" s="231"/>
      <c r="G253" s="227"/>
      <c r="H253" s="401" t="s">
        <v>61</v>
      </c>
      <c r="I253" s="321">
        <f ca="1">IFERROR(__xludf.DUMMYFUNCTION("IMPORTRANGE(""https://docs.google.com/spreadsheets/d/1eHaY18a8A9IcSdp1K8H6x8fbOy06t2VsZHhMHf-1x7Y/edit?usp=sharing"",""แผน!KA53"")"),1)</f>
        <v>1</v>
      </c>
      <c r="J253" s="884">
        <v>0</v>
      </c>
      <c r="K253" s="399">
        <f t="shared" ca="1" si="158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925"/>
      <c r="B254" s="926"/>
      <c r="C254" s="927" t="s">
        <v>112</v>
      </c>
      <c r="D254" s="928"/>
      <c r="E254" s="928"/>
      <c r="F254" s="928"/>
      <c r="G254" s="929"/>
      <c r="H254" s="930" t="s">
        <v>35</v>
      </c>
      <c r="I254" s="931">
        <f t="shared" ref="I254:J254" ca="1" si="159">I261</f>
        <v>0</v>
      </c>
      <c r="J254" s="931">
        <f t="shared" si="159"/>
        <v>0</v>
      </c>
      <c r="K254" s="932">
        <f t="shared" ca="1" si="158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880"/>
      <c r="B255" s="838"/>
      <c r="C255" s="933" t="s">
        <v>18</v>
      </c>
      <c r="D255" s="948" t="s">
        <v>19</v>
      </c>
      <c r="E255" s="838"/>
      <c r="F255" s="838"/>
      <c r="G255" s="839"/>
      <c r="H255" s="703" t="s">
        <v>14</v>
      </c>
      <c r="I255" s="881"/>
      <c r="J255" s="881"/>
      <c r="K255" s="882"/>
      <c r="L255" s="214">
        <f ca="1">L256+L257+L258+L259</f>
        <v>0</v>
      </c>
      <c r="M255" s="87"/>
      <c r="N255" s="215">
        <f>N256+N257+N258+N259</f>
        <v>0</v>
      </c>
      <c r="O255" s="215">
        <f ca="1">IF(L255&gt;0,N255*100/L255,0)</f>
        <v>0</v>
      </c>
      <c r="P255" s="215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880"/>
      <c r="B256" s="920"/>
      <c r="C256" s="838"/>
      <c r="D256" s="398" t="s">
        <v>299</v>
      </c>
      <c r="E256" s="838"/>
      <c r="F256" s="838"/>
      <c r="G256" s="839"/>
      <c r="H256" s="273" t="s">
        <v>14</v>
      </c>
      <c r="I256" s="881"/>
      <c r="J256" s="881"/>
      <c r="K256" s="882"/>
      <c r="L256" s="131">
        <f ca="1">IFERROR(__xludf.DUMMYFUNCTION("IMPORTRANGE(""https://docs.google.com/spreadsheets/d/1eHaY18a8A9IcSdp1K8H6x8fbOy06t2VsZHhMHf-1x7Y/edit?usp=sharing"",""แผน!BB53"")"),0)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919"/>
      <c r="B257" s="920"/>
      <c r="C257" s="920"/>
      <c r="D257" s="267" t="s">
        <v>87</v>
      </c>
      <c r="E257" s="838"/>
      <c r="F257" s="838"/>
      <c r="G257" s="839"/>
      <c r="H257" s="273" t="s">
        <v>14</v>
      </c>
      <c r="I257" s="841"/>
      <c r="J257" s="841"/>
      <c r="K257" s="842"/>
      <c r="L257" s="131">
        <f ca="1">IFERROR(__xludf.DUMMYFUNCTION("IMPORTRANGE(""https://docs.google.com/spreadsheets/d/1eHaY18a8A9IcSdp1K8H6x8fbOy06t2VsZHhMHf-1x7Y/edit?usp=sharing"",""แผน!BC53"")"),0)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919"/>
      <c r="B258" s="920"/>
      <c r="C258" s="920"/>
      <c r="D258" s="267" t="s">
        <v>88</v>
      </c>
      <c r="E258" s="838"/>
      <c r="F258" s="838"/>
      <c r="G258" s="839"/>
      <c r="H258" s="273" t="s">
        <v>14</v>
      </c>
      <c r="I258" s="841"/>
      <c r="J258" s="841"/>
      <c r="K258" s="842"/>
      <c r="L258" s="131">
        <f ca="1">IFERROR(__xludf.DUMMYFUNCTION("IMPORTRANGE(""https://docs.google.com/spreadsheets/d/1eHaY18a8A9IcSdp1K8H6x8fbOy06t2VsZHhMHf-1x7Y/edit?usp=sharing"",""แผน!BD53"")"),0)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919"/>
      <c r="B259" s="920"/>
      <c r="C259" s="920"/>
      <c r="D259" s="267" t="s">
        <v>89</v>
      </c>
      <c r="E259" s="838"/>
      <c r="F259" s="838"/>
      <c r="G259" s="839"/>
      <c r="H259" s="273" t="s">
        <v>14</v>
      </c>
      <c r="I259" s="841"/>
      <c r="J259" s="841"/>
      <c r="K259" s="842"/>
      <c r="L259" s="131">
        <f ca="1">IFERROR(__xludf.DUMMYFUNCTION("IMPORTRANGE(""https://docs.google.com/spreadsheets/d/1eHaY18a8A9IcSdp1K8H6x8fbOy06t2VsZHhMHf-1x7Y/edit?usp=sharing"",""แผน!BE53"")"),0)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937"/>
      <c r="B260" s="938"/>
      <c r="C260" s="939" t="s">
        <v>18</v>
      </c>
      <c r="D260" s="940" t="s">
        <v>38</v>
      </c>
      <c r="E260" s="941"/>
      <c r="F260" s="941"/>
      <c r="G260" s="942"/>
      <c r="H260" s="943"/>
      <c r="I260" s="881"/>
      <c r="J260" s="841"/>
      <c r="K260" s="842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937"/>
      <c r="B261" s="938"/>
      <c r="C261" s="938"/>
      <c r="D261" s="311" t="s">
        <v>108</v>
      </c>
      <c r="E261" s="944"/>
      <c r="F261" s="944"/>
      <c r="G261" s="943"/>
      <c r="H261" s="945" t="s">
        <v>35</v>
      </c>
      <c r="I261" s="592">
        <f ca="1">IFERROR(__xludf.DUMMYFUNCTION("IMPORTRANGE(""https://docs.google.com/spreadsheets/d/1eHaY18a8A9IcSdp1K8H6x8fbOy06t2VsZHhMHf-1x7Y/edit?usp=sharing"",""แผน!BH53"")"),0)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937"/>
      <c r="B262" s="938"/>
      <c r="C262" s="938"/>
      <c r="D262" s="946" t="s">
        <v>43</v>
      </c>
      <c r="E262" s="944"/>
      <c r="F262" s="944"/>
      <c r="G262" s="943"/>
      <c r="H262" s="943"/>
      <c r="I262" s="841"/>
      <c r="J262" s="841"/>
      <c r="K262" s="842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937"/>
      <c r="B263" s="938"/>
      <c r="C263" s="938"/>
      <c r="D263" s="938"/>
      <c r="E263" s="947" t="s">
        <v>109</v>
      </c>
      <c r="F263" s="944"/>
      <c r="G263" s="943"/>
      <c r="H263" s="945" t="s">
        <v>35</v>
      </c>
      <c r="I263" s="841"/>
      <c r="J263" s="910">
        <v>0</v>
      </c>
      <c r="K263" s="77">
        <f t="shared" ref="K263:K264" si="160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937"/>
      <c r="B264" s="938"/>
      <c r="C264" s="938"/>
      <c r="D264" s="938"/>
      <c r="E264" s="947" t="s">
        <v>110</v>
      </c>
      <c r="F264" s="944"/>
      <c r="G264" s="943"/>
      <c r="H264" s="945" t="s">
        <v>61</v>
      </c>
      <c r="I264" s="841"/>
      <c r="J264" s="910">
        <v>0</v>
      </c>
      <c r="K264" s="77">
        <f t="shared" si="160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363"/>
      <c r="I265" s="364"/>
      <c r="J265" s="364"/>
      <c r="K265" s="365"/>
      <c r="L265" s="366"/>
      <c r="M265" s="367"/>
      <c r="N265" s="367"/>
      <c r="O265" s="367"/>
      <c r="P265" s="367"/>
      <c r="Q265" s="367"/>
      <c r="R265" s="367"/>
      <c r="S265" s="367"/>
      <c r="T265" s="367"/>
      <c r="U265" s="367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371" t="s">
        <v>35</v>
      </c>
      <c r="I266" s="439">
        <f t="shared" ref="I266:J266" ca="1" si="161">I277</f>
        <v>24</v>
      </c>
      <c r="J266" s="439">
        <f t="shared" si="161"/>
        <v>0</v>
      </c>
      <c r="K266" s="373">
        <f ca="1">IF(I266&gt;0,J266*100/I266,0)</f>
        <v>0</v>
      </c>
      <c r="L266" s="375"/>
      <c r="M266" s="376"/>
      <c r="N266" s="376"/>
      <c r="O266" s="376"/>
      <c r="P266" s="376"/>
      <c r="Q266" s="376"/>
      <c r="R266" s="376"/>
      <c r="S266" s="376"/>
      <c r="T266" s="376"/>
      <c r="U266" s="376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214">
        <f t="shared" ref="L267:N267" ca="1" si="162">L268+L269</f>
        <v>0</v>
      </c>
      <c r="M267" s="215">
        <f t="shared" ca="1" si="162"/>
        <v>5000</v>
      </c>
      <c r="N267" s="215">
        <f t="shared" ca="1" si="162"/>
        <v>0</v>
      </c>
      <c r="O267" s="215">
        <f t="shared" ref="O267:O275" ca="1" si="163">IF(L267&gt;0,N267*100/L267,0)</f>
        <v>0</v>
      </c>
      <c r="P267" s="215">
        <f t="shared" ref="P267:P275" ca="1" si="164">IF(M267&gt;0,N267*100/M267,0)</f>
        <v>0</v>
      </c>
      <c r="Q267" s="215">
        <f t="shared" ref="Q267:S267" ca="1" si="165">Q268+Q269</f>
        <v>53440</v>
      </c>
      <c r="R267" s="215">
        <f t="shared" ca="1" si="165"/>
        <v>53440</v>
      </c>
      <c r="S267" s="215">
        <f t="shared" ca="1" si="165"/>
        <v>0</v>
      </c>
      <c r="T267" s="215">
        <f t="shared" ref="T267:T275" ca="1" si="166">IF(Q267&gt;0,S267*100/Q267,0)</f>
        <v>0</v>
      </c>
      <c r="U267" s="215">
        <f t="shared" ref="U267:U275" ca="1" si="167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217">
        <f t="shared" ref="L268:N269" si="168">L271+L274</f>
        <v>0</v>
      </c>
      <c r="M268" s="133">
        <f t="shared" si="168"/>
        <v>0</v>
      </c>
      <c r="N268" s="133">
        <f t="shared" si="168"/>
        <v>0</v>
      </c>
      <c r="O268" s="133">
        <f t="shared" si="163"/>
        <v>0</v>
      </c>
      <c r="P268" s="133">
        <f t="shared" si="164"/>
        <v>0</v>
      </c>
      <c r="Q268" s="133">
        <f t="shared" ref="Q268:S269" si="169">Q271+Q274</f>
        <v>0</v>
      </c>
      <c r="R268" s="133">
        <f t="shared" si="169"/>
        <v>0</v>
      </c>
      <c r="S268" s="133">
        <f t="shared" si="169"/>
        <v>0</v>
      </c>
      <c r="T268" s="133">
        <f t="shared" si="166"/>
        <v>0</v>
      </c>
      <c r="U268" s="133">
        <f t="shared" si="167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31">
        <f t="shared" ca="1" si="168"/>
        <v>0</v>
      </c>
      <c r="M269" s="132">
        <f t="shared" ca="1" si="168"/>
        <v>5000</v>
      </c>
      <c r="N269" s="132">
        <f t="shared" ca="1" si="168"/>
        <v>0</v>
      </c>
      <c r="O269" s="132">
        <f t="shared" ca="1" si="163"/>
        <v>0</v>
      </c>
      <c r="P269" s="132">
        <f t="shared" ca="1" si="164"/>
        <v>0</v>
      </c>
      <c r="Q269" s="132">
        <f t="shared" ca="1" si="169"/>
        <v>53440</v>
      </c>
      <c r="R269" s="132">
        <f t="shared" ca="1" si="169"/>
        <v>53440</v>
      </c>
      <c r="S269" s="132">
        <f t="shared" ca="1" si="169"/>
        <v>0</v>
      </c>
      <c r="T269" s="132">
        <f t="shared" ca="1" si="166"/>
        <v>0</v>
      </c>
      <c r="U269" s="132">
        <f t="shared" ca="1" si="167"/>
        <v>0</v>
      </c>
    </row>
    <row r="270" spans="1:21" ht="18.75" x14ac:dyDescent="0.25">
      <c r="A270" s="209"/>
      <c r="B270" s="67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31">
        <f t="shared" ref="L270:N270" ca="1" si="170">L271+L272</f>
        <v>0</v>
      </c>
      <c r="M270" s="132">
        <f t="shared" ca="1" si="170"/>
        <v>5000</v>
      </c>
      <c r="N270" s="132">
        <f t="shared" ca="1" si="170"/>
        <v>0</v>
      </c>
      <c r="O270" s="132">
        <f t="shared" ca="1" si="163"/>
        <v>0</v>
      </c>
      <c r="P270" s="132">
        <f t="shared" ca="1" si="164"/>
        <v>0</v>
      </c>
      <c r="Q270" s="132">
        <f t="shared" ref="Q270:S270" ca="1" si="171">Q271+Q272</f>
        <v>53440</v>
      </c>
      <c r="R270" s="132">
        <f t="shared" ca="1" si="171"/>
        <v>53440</v>
      </c>
      <c r="S270" s="132">
        <f t="shared" ca="1" si="171"/>
        <v>0</v>
      </c>
      <c r="T270" s="132">
        <f t="shared" ca="1" si="166"/>
        <v>0</v>
      </c>
      <c r="U270" s="132">
        <f t="shared" ca="1" si="167"/>
        <v>0</v>
      </c>
    </row>
    <row r="271" spans="1:21" ht="18.75" hidden="1" x14ac:dyDescent="0.25">
      <c r="A271" s="880"/>
      <c r="B271" s="838"/>
      <c r="C271" s="838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133">
        <f t="shared" si="163"/>
        <v>0</v>
      </c>
      <c r="P271" s="133">
        <f t="shared" si="164"/>
        <v>0</v>
      </c>
      <c r="Q271" s="77">
        <v>0</v>
      </c>
      <c r="R271" s="77">
        <v>0</v>
      </c>
      <c r="S271" s="77">
        <v>0</v>
      </c>
      <c r="T271" s="133">
        <f t="shared" si="166"/>
        <v>0</v>
      </c>
      <c r="U271" s="133">
        <f t="shared" si="167"/>
        <v>0</v>
      </c>
    </row>
    <row r="272" spans="1:21" ht="18.75" hidden="1" x14ac:dyDescent="0.25">
      <c r="A272" s="209"/>
      <c r="B272" s="67"/>
      <c r="C272" s="67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31">
        <f ca="1">IFERROR(__xludf.DUMMYFUNCTION("IMPORTRANGE(""https://docs.google.com/spreadsheets/d/1-uDff_7J0KD5mKrp0Vvzr7lt3OU09vwQwhkpOPPYv2Y/edit?usp=sharing"",""งบพรบ!DE53"")"),0)</f>
        <v>0</v>
      </c>
      <c r="M272" s="132">
        <f ca="1">IFERROR(__xludf.DUMMYFUNCTION("IMPORTRANGE(""https://docs.google.com/spreadsheets/d/1-uDff_7J0KD5mKrp0Vvzr7lt3OU09vwQwhkpOPPYv2Y/edit?usp=sharing"",""งบพรบ!DJ53"")"),5000)</f>
        <v>5000</v>
      </c>
      <c r="N272" s="132">
        <f ca="1">IFERROR(__xludf.DUMMYFUNCTION("IMPORTRANGE(""https://docs.google.com/spreadsheets/d/1-uDff_7J0KD5mKrp0Vvzr7lt3OU09vwQwhkpOPPYv2Y/edit?usp=sharing"",""งบพรบ!DL53"")"),0)</f>
        <v>0</v>
      </c>
      <c r="O272" s="132">
        <f t="shared" ca="1" si="163"/>
        <v>0</v>
      </c>
      <c r="P272" s="132">
        <f t="shared" ca="1" si="164"/>
        <v>0</v>
      </c>
      <c r="Q272" s="132">
        <f ca="1">IFERROR(__xludf.DUMMYFUNCTION("IMPORTRANGE(""https://docs.google.com/spreadsheets/d/1ItG2mGa2ceCfYo0BwxsXqNm01IGEUdYcSSLTEv9YCik/edit?usp=sharing"",""เบิกจ่ายกองทุน!AJ53"")"),53440)</f>
        <v>53440</v>
      </c>
      <c r="R272" s="132">
        <f ca="1">IFERROR(__xludf.DUMMYFUNCTION("IMPORTRANGE(""https://docs.google.com/spreadsheets/d/1ItG2mGa2ceCfYo0BwxsXqNm01IGEUdYcSSLTEv9YCik/edit?usp=sharing"",""เบิกจ่ายกองทุน!AK53"")"),53440)</f>
        <v>53440</v>
      </c>
      <c r="S272" s="132">
        <f ca="1">IFERROR(__xludf.DUMMYFUNCTION("IMPORTRANGE(""https://docs.google.com/spreadsheets/d/1ItG2mGa2ceCfYo0BwxsXqNm01IGEUdYcSSLTEv9YCik/edit?usp=sharing"",""เบิกจ่ายกองทุน!AL53"")"),0)</f>
        <v>0</v>
      </c>
      <c r="T272" s="132">
        <f t="shared" ca="1" si="166"/>
        <v>0</v>
      </c>
      <c r="U272" s="132">
        <f t="shared" ca="1" si="167"/>
        <v>0</v>
      </c>
    </row>
    <row r="273" spans="1:21" ht="18.75" x14ac:dyDescent="0.25">
      <c r="A273" s="209"/>
      <c r="B273" s="67"/>
      <c r="C273" s="67"/>
      <c r="D273" s="836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31">
        <f t="shared" ref="L273:N273" ca="1" si="172">L274+L275</f>
        <v>0</v>
      </c>
      <c r="M273" s="132">
        <f t="shared" ca="1" si="172"/>
        <v>0</v>
      </c>
      <c r="N273" s="132">
        <f t="shared" ca="1" si="172"/>
        <v>0</v>
      </c>
      <c r="O273" s="132">
        <f t="shared" ca="1" si="163"/>
        <v>0</v>
      </c>
      <c r="P273" s="132">
        <f t="shared" ca="1" si="164"/>
        <v>0</v>
      </c>
      <c r="Q273" s="132">
        <f t="shared" ref="Q273:S273" si="173">Q274+Q275</f>
        <v>0</v>
      </c>
      <c r="R273" s="132">
        <f t="shared" si="173"/>
        <v>0</v>
      </c>
      <c r="S273" s="132">
        <f t="shared" si="173"/>
        <v>0</v>
      </c>
      <c r="T273" s="132">
        <f t="shared" si="166"/>
        <v>0</v>
      </c>
      <c r="U273" s="132">
        <f t="shared" si="167"/>
        <v>0</v>
      </c>
    </row>
    <row r="274" spans="1:21" ht="18.75" hidden="1" x14ac:dyDescent="0.25">
      <c r="A274" s="880"/>
      <c r="B274" s="838"/>
      <c r="C274" s="838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133">
        <f t="shared" si="163"/>
        <v>0</v>
      </c>
      <c r="P274" s="133">
        <f t="shared" si="164"/>
        <v>0</v>
      </c>
      <c r="Q274" s="77">
        <v>0</v>
      </c>
      <c r="R274" s="77">
        <v>0</v>
      </c>
      <c r="S274" s="77">
        <v>0</v>
      </c>
      <c r="T274" s="133">
        <f t="shared" si="166"/>
        <v>0</v>
      </c>
      <c r="U274" s="133">
        <f t="shared" si="167"/>
        <v>0</v>
      </c>
    </row>
    <row r="275" spans="1:21" ht="18.75" hidden="1" x14ac:dyDescent="0.25">
      <c r="A275" s="209"/>
      <c r="B275" s="67"/>
      <c r="C275" s="67"/>
      <c r="D275" s="67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31">
        <f ca="1">IFERROR(__xludf.DUMMYFUNCTION("IMPORTRANGE(""https://docs.google.com/spreadsheets/d/1-uDff_7J0KD5mKrp0Vvzr7lt3OU09vwQwhkpOPPYv2Y/edit?usp=sharing"",""งบพรบ!DH53"")"),0)</f>
        <v>0</v>
      </c>
      <c r="M275" s="132">
        <f ca="1">IFERROR(__xludf.DUMMYFUNCTION("IMPORTRANGE(""https://docs.google.com/spreadsheets/d/1-uDff_7J0KD5mKrp0Vvzr7lt3OU09vwQwhkpOPPYv2Y/edit?usp=sharing"",""งบพรบ!DK53"")"),0)</f>
        <v>0</v>
      </c>
      <c r="N275" s="132">
        <f ca="1">IFERROR(__xludf.DUMMYFUNCTION("IMPORTRANGE(""https://docs.google.com/spreadsheets/d/1-uDff_7J0KD5mKrp0Vvzr7lt3OU09vwQwhkpOPPYv2Y/edit?usp=sharing"",""งบพรบ!DM53"")"),0)</f>
        <v>0</v>
      </c>
      <c r="O275" s="132">
        <f t="shared" ca="1" si="163"/>
        <v>0</v>
      </c>
      <c r="P275" s="132">
        <f t="shared" ca="1" si="164"/>
        <v>0</v>
      </c>
      <c r="Q275" s="74">
        <v>0</v>
      </c>
      <c r="R275" s="74">
        <v>0</v>
      </c>
      <c r="S275" s="74">
        <v>0</v>
      </c>
      <c r="T275" s="132">
        <f t="shared" si="166"/>
        <v>0</v>
      </c>
      <c r="U275" s="132">
        <f t="shared" si="167"/>
        <v>0</v>
      </c>
    </row>
    <row r="276" spans="1:21" ht="19.5" x14ac:dyDescent="0.3">
      <c r="A276" s="222"/>
      <c r="B276" s="223"/>
      <c r="C276" s="440" t="s">
        <v>18</v>
      </c>
      <c r="D276" s="883" t="s">
        <v>38</v>
      </c>
      <c r="E276" s="225"/>
      <c r="F276" s="225"/>
      <c r="G276" s="226"/>
      <c r="H276" s="227"/>
      <c r="I276" s="219"/>
      <c r="J276" s="219"/>
      <c r="K276" s="220"/>
      <c r="L276" s="228"/>
      <c r="M276" s="229"/>
      <c r="N276" s="229"/>
      <c r="O276" s="229"/>
      <c r="P276" s="229"/>
      <c r="Q276" s="229"/>
      <c r="R276" s="229"/>
      <c r="S276" s="229"/>
      <c r="T276" s="229"/>
      <c r="U276" s="229"/>
    </row>
    <row r="277" spans="1:21" ht="18.75" x14ac:dyDescent="0.25">
      <c r="A277" s="949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IFERROR(__xludf.DUMMYFUNCTION("IMPORTRANGE(""https://docs.google.com/spreadsheets/d/1eHaY18a8A9IcSdp1K8H6x8fbOy06t2VsZHhMHf-1x7Y/edit?usp=sharing"",""แผน!EC53"")"),24)</f>
        <v>24</v>
      </c>
      <c r="J277" s="908">
        <v>0</v>
      </c>
      <c r="K277" s="85">
        <f ca="1">IF(I277&gt;0,J277*100/I277,0)</f>
        <v>0</v>
      </c>
      <c r="L277" s="86"/>
      <c r="M277" s="87"/>
      <c r="N277" s="87"/>
      <c r="O277" s="87"/>
      <c r="P277" s="87"/>
      <c r="Q277" s="87"/>
      <c r="R277" s="87"/>
      <c r="S277" s="87"/>
      <c r="T277" s="87"/>
      <c r="U277" s="87"/>
    </row>
    <row r="278" spans="1:21" ht="18.75" hidden="1" x14ac:dyDescent="0.25">
      <c r="A278" s="953"/>
      <c r="B278" s="954"/>
      <c r="C278" s="954"/>
      <c r="D278" s="955" t="s">
        <v>116</v>
      </c>
      <c r="E278" s="956"/>
      <c r="F278" s="956"/>
      <c r="G278" s="957"/>
      <c r="H278" s="958" t="s">
        <v>35</v>
      </c>
      <c r="I278" s="916">
        <v>0</v>
      </c>
      <c r="J278" s="916">
        <v>0</v>
      </c>
      <c r="K278" s="959">
        <v>0</v>
      </c>
      <c r="L278" s="459"/>
      <c r="M278" s="460"/>
      <c r="N278" s="460"/>
      <c r="O278" s="460"/>
      <c r="P278" s="460"/>
      <c r="Q278" s="460"/>
      <c r="R278" s="460"/>
      <c r="S278" s="460"/>
      <c r="T278" s="460"/>
      <c r="U278" s="460"/>
    </row>
    <row r="279" spans="1:21" ht="19.5" hidden="1" x14ac:dyDescent="0.3">
      <c r="A279" s="461" t="s">
        <v>117</v>
      </c>
      <c r="B279" s="462"/>
      <c r="C279" s="462"/>
      <c r="D279" s="462"/>
      <c r="E279" s="463"/>
      <c r="F279" s="463"/>
      <c r="G279" s="463"/>
      <c r="H279" s="463"/>
      <c r="I279" s="464"/>
      <c r="J279" s="464"/>
      <c r="K279" s="465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471" t="s">
        <v>118</v>
      </c>
      <c r="B280" s="472"/>
      <c r="C280" s="473"/>
      <c r="D280" s="472"/>
      <c r="E280" s="472"/>
      <c r="F280" s="472"/>
      <c r="G280" s="472"/>
      <c r="H280" s="472"/>
      <c r="I280" s="474"/>
      <c r="J280" s="475"/>
      <c r="K280" s="476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479"/>
      <c r="B281" s="480" t="s">
        <v>119</v>
      </c>
      <c r="C281" s="481"/>
      <c r="D281" s="482"/>
      <c r="E281" s="481"/>
      <c r="F281" s="481"/>
      <c r="G281" s="483"/>
      <c r="H281" s="484" t="s">
        <v>35</v>
      </c>
      <c r="I281" s="485">
        <f t="shared" ref="I281:J281" ca="1" si="174">I294</f>
        <v>0</v>
      </c>
      <c r="J281" s="485">
        <f t="shared" si="174"/>
        <v>0</v>
      </c>
      <c r="K281" s="486">
        <f t="shared" ref="K281:K282" ca="1" si="175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479"/>
      <c r="B282" s="481"/>
      <c r="C282" s="481"/>
      <c r="D282" s="482"/>
      <c r="E282" s="481"/>
      <c r="F282" s="481"/>
      <c r="G282" s="483"/>
      <c r="H282" s="484" t="s">
        <v>46</v>
      </c>
      <c r="I282" s="485">
        <f t="shared" ref="I282:J282" ca="1" si="176">I293</f>
        <v>0</v>
      </c>
      <c r="J282" s="485">
        <f t="shared" si="176"/>
        <v>0</v>
      </c>
      <c r="K282" s="486">
        <f t="shared" ca="1" si="175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09"/>
      <c r="B283" s="67"/>
      <c r="C283" s="210" t="s">
        <v>18</v>
      </c>
      <c r="D283" s="879" t="s">
        <v>19</v>
      </c>
      <c r="E283" s="67"/>
      <c r="F283" s="67"/>
      <c r="G283" s="69"/>
      <c r="H283" s="212" t="s">
        <v>14</v>
      </c>
      <c r="I283" s="71"/>
      <c r="J283" s="71"/>
      <c r="K283" s="72"/>
      <c r="L283" s="214">
        <f t="shared" ref="L283:N283" ca="1" si="177">L284+L285</f>
        <v>0</v>
      </c>
      <c r="M283" s="215">
        <f t="shared" ca="1" si="177"/>
        <v>0</v>
      </c>
      <c r="N283" s="215">
        <f t="shared" ca="1" si="177"/>
        <v>0</v>
      </c>
      <c r="O283" s="215">
        <f t="shared" ref="O283:O291" ca="1" si="178">IF(L283&gt;0,N283*100/L283,0)</f>
        <v>0</v>
      </c>
      <c r="P283" s="215">
        <f t="shared" ref="P283:P291" ca="1" si="179">IF(M283&gt;0,N283*100/M283,0)</f>
        <v>0</v>
      </c>
      <c r="Q283" s="215">
        <f t="shared" ref="Q283:S283" si="180">Q284+Q285</f>
        <v>0</v>
      </c>
      <c r="R283" s="215">
        <f t="shared" si="180"/>
        <v>0</v>
      </c>
      <c r="S283" s="215">
        <f t="shared" si="180"/>
        <v>0</v>
      </c>
      <c r="T283" s="215">
        <f t="shared" ref="T283:T291" si="181">IF(Q283&gt;0,S283*100/Q283,0)</f>
        <v>0</v>
      </c>
      <c r="U283" s="215">
        <f t="shared" ref="U283:U291" si="182">IF(R283&gt;0,S283*100/R283,0)</f>
        <v>0</v>
      </c>
    </row>
    <row r="284" spans="1:21" ht="18.75" hidden="1" x14ac:dyDescent="0.25">
      <c r="A284" s="880"/>
      <c r="B284" s="838"/>
      <c r="C284" s="838"/>
      <c r="D284" s="838"/>
      <c r="E284" s="265" t="s">
        <v>20</v>
      </c>
      <c r="F284" s="838"/>
      <c r="G284" s="839"/>
      <c r="H284" s="266" t="s">
        <v>14</v>
      </c>
      <c r="I284" s="841"/>
      <c r="J284" s="841"/>
      <c r="K284" s="842"/>
      <c r="L284" s="217">
        <f t="shared" ref="L284:N285" si="183">L287+L290</f>
        <v>0</v>
      </c>
      <c r="M284" s="133">
        <f t="shared" si="183"/>
        <v>0</v>
      </c>
      <c r="N284" s="133">
        <f t="shared" si="183"/>
        <v>0</v>
      </c>
      <c r="O284" s="133">
        <f t="shared" si="178"/>
        <v>0</v>
      </c>
      <c r="P284" s="133">
        <f t="shared" si="179"/>
        <v>0</v>
      </c>
      <c r="Q284" s="133">
        <f t="shared" ref="Q284:S285" si="184">Q287+Q290</f>
        <v>0</v>
      </c>
      <c r="R284" s="133">
        <f t="shared" si="184"/>
        <v>0</v>
      </c>
      <c r="S284" s="133">
        <f t="shared" si="184"/>
        <v>0</v>
      </c>
      <c r="T284" s="133">
        <f t="shared" si="181"/>
        <v>0</v>
      </c>
      <c r="U284" s="133">
        <f t="shared" si="182"/>
        <v>0</v>
      </c>
    </row>
    <row r="285" spans="1:21" ht="18.75" hidden="1" x14ac:dyDescent="0.25">
      <c r="A285" s="209"/>
      <c r="B285" s="67"/>
      <c r="C285" s="67"/>
      <c r="D285" s="67"/>
      <c r="E285" s="440" t="s">
        <v>21</v>
      </c>
      <c r="F285" s="67"/>
      <c r="G285" s="69"/>
      <c r="H285" s="216" t="s">
        <v>14</v>
      </c>
      <c r="I285" s="71"/>
      <c r="J285" s="71"/>
      <c r="K285" s="72"/>
      <c r="L285" s="131">
        <f t="shared" ca="1" si="183"/>
        <v>0</v>
      </c>
      <c r="M285" s="132">
        <f t="shared" ca="1" si="183"/>
        <v>0</v>
      </c>
      <c r="N285" s="132">
        <f t="shared" ca="1" si="183"/>
        <v>0</v>
      </c>
      <c r="O285" s="132">
        <f t="shared" ca="1" si="178"/>
        <v>0</v>
      </c>
      <c r="P285" s="132">
        <f t="shared" ca="1" si="179"/>
        <v>0</v>
      </c>
      <c r="Q285" s="132">
        <f t="shared" si="184"/>
        <v>0</v>
      </c>
      <c r="R285" s="132">
        <f t="shared" si="184"/>
        <v>0</v>
      </c>
      <c r="S285" s="132">
        <f t="shared" si="184"/>
        <v>0</v>
      </c>
      <c r="T285" s="132">
        <f t="shared" si="181"/>
        <v>0</v>
      </c>
      <c r="U285" s="132">
        <f t="shared" si="182"/>
        <v>0</v>
      </c>
    </row>
    <row r="286" spans="1:21" ht="18.75" hidden="1" x14ac:dyDescent="0.25">
      <c r="A286" s="209"/>
      <c r="B286" s="67"/>
      <c r="C286" s="67"/>
      <c r="D286" s="836" t="s">
        <v>22</v>
      </c>
      <c r="E286" s="67"/>
      <c r="F286" s="67"/>
      <c r="G286" s="69"/>
      <c r="H286" s="218" t="s">
        <v>14</v>
      </c>
      <c r="I286" s="219"/>
      <c r="J286" s="219"/>
      <c r="K286" s="220"/>
      <c r="L286" s="131">
        <f t="shared" ref="L286:N286" ca="1" si="185">L287+L288</f>
        <v>0</v>
      </c>
      <c r="M286" s="132">
        <f t="shared" ca="1" si="185"/>
        <v>0</v>
      </c>
      <c r="N286" s="132">
        <f t="shared" ca="1" si="185"/>
        <v>0</v>
      </c>
      <c r="O286" s="132">
        <f t="shared" ca="1" si="178"/>
        <v>0</v>
      </c>
      <c r="P286" s="132">
        <f t="shared" ca="1" si="179"/>
        <v>0</v>
      </c>
      <c r="Q286" s="132">
        <f t="shared" ref="Q286:S286" si="186">Q287+Q288</f>
        <v>0</v>
      </c>
      <c r="R286" s="132">
        <f t="shared" si="186"/>
        <v>0</v>
      </c>
      <c r="S286" s="132">
        <f t="shared" si="186"/>
        <v>0</v>
      </c>
      <c r="T286" s="132">
        <f t="shared" si="181"/>
        <v>0</v>
      </c>
      <c r="U286" s="132">
        <f t="shared" si="182"/>
        <v>0</v>
      </c>
    </row>
    <row r="287" spans="1:21" ht="18.75" hidden="1" x14ac:dyDescent="0.25">
      <c r="A287" s="880"/>
      <c r="B287" s="838"/>
      <c r="C287" s="838"/>
      <c r="D287" s="838"/>
      <c r="E287" s="265" t="s">
        <v>36</v>
      </c>
      <c r="F287" s="838"/>
      <c r="G287" s="839"/>
      <c r="H287" s="273" t="s">
        <v>14</v>
      </c>
      <c r="I287" s="881"/>
      <c r="J287" s="881"/>
      <c r="K287" s="882"/>
      <c r="L287" s="76">
        <v>0</v>
      </c>
      <c r="M287" s="77">
        <v>0</v>
      </c>
      <c r="N287" s="77">
        <v>0</v>
      </c>
      <c r="O287" s="133">
        <f t="shared" si="178"/>
        <v>0</v>
      </c>
      <c r="P287" s="133">
        <f t="shared" si="179"/>
        <v>0</v>
      </c>
      <c r="Q287" s="77">
        <v>0</v>
      </c>
      <c r="R287" s="77">
        <v>0</v>
      </c>
      <c r="S287" s="77">
        <v>0</v>
      </c>
      <c r="T287" s="133">
        <f t="shared" si="181"/>
        <v>0</v>
      </c>
      <c r="U287" s="133">
        <f t="shared" si="182"/>
        <v>0</v>
      </c>
    </row>
    <row r="288" spans="1:21" ht="18.75" hidden="1" x14ac:dyDescent="0.25">
      <c r="A288" s="209"/>
      <c r="B288" s="67"/>
      <c r="C288" s="67"/>
      <c r="D288" s="67"/>
      <c r="E288" s="440" t="s">
        <v>37</v>
      </c>
      <c r="F288" s="67"/>
      <c r="G288" s="69"/>
      <c r="H288" s="218" t="s">
        <v>14</v>
      </c>
      <c r="I288" s="219"/>
      <c r="J288" s="219"/>
      <c r="K288" s="220"/>
      <c r="L288" s="131">
        <f ca="1">IFERROR(__xludf.DUMMYFUNCTION("IMPORTRANGE(""https://docs.google.com/spreadsheets/d/1-uDff_7J0KD5mKrp0Vvzr7lt3OU09vwQwhkpOPPYv2Y/edit?usp=sharing"",""งบพรบ!DO53"")"),0)</f>
        <v>0</v>
      </c>
      <c r="M288" s="132">
        <f ca="1">IFERROR(__xludf.DUMMYFUNCTION("IMPORTRANGE(""https://docs.google.com/spreadsheets/d/1-uDff_7J0KD5mKrp0Vvzr7lt3OU09vwQwhkpOPPYv2Y/edit?usp=sharing"",""งบพรบ!DT53"")"),0)</f>
        <v>0</v>
      </c>
      <c r="N288" s="132">
        <f ca="1">IFERROR(__xludf.DUMMYFUNCTION("IMPORTRANGE(""https://docs.google.com/spreadsheets/d/1-uDff_7J0KD5mKrp0Vvzr7lt3OU09vwQwhkpOPPYv2Y/edit?usp=sharing"",""งบพรบ!DV53"")"),0)</f>
        <v>0</v>
      </c>
      <c r="O288" s="132">
        <f t="shared" ca="1" si="178"/>
        <v>0</v>
      </c>
      <c r="P288" s="132">
        <f t="shared" ca="1" si="179"/>
        <v>0</v>
      </c>
      <c r="Q288" s="74">
        <v>0</v>
      </c>
      <c r="R288" s="74">
        <v>0</v>
      </c>
      <c r="S288" s="74">
        <v>0</v>
      </c>
      <c r="T288" s="133">
        <f t="shared" si="181"/>
        <v>0</v>
      </c>
      <c r="U288" s="133">
        <f t="shared" si="182"/>
        <v>0</v>
      </c>
    </row>
    <row r="289" spans="1:21" ht="18.75" hidden="1" x14ac:dyDescent="0.25">
      <c r="A289" s="209"/>
      <c r="B289" s="67"/>
      <c r="C289" s="67"/>
      <c r="D289" s="836" t="s">
        <v>23</v>
      </c>
      <c r="E289" s="67"/>
      <c r="F289" s="67"/>
      <c r="G289" s="69"/>
      <c r="H289" s="221" t="s">
        <v>14</v>
      </c>
      <c r="I289" s="219"/>
      <c r="J289" s="219"/>
      <c r="K289" s="220"/>
      <c r="L289" s="131">
        <f t="shared" ref="L289:N289" ca="1" si="187">L290+L291</f>
        <v>0</v>
      </c>
      <c r="M289" s="132">
        <f t="shared" ca="1" si="187"/>
        <v>0</v>
      </c>
      <c r="N289" s="132">
        <f t="shared" ca="1" si="187"/>
        <v>0</v>
      </c>
      <c r="O289" s="132">
        <f t="shared" ca="1" si="178"/>
        <v>0</v>
      </c>
      <c r="P289" s="132">
        <f t="shared" ca="1" si="179"/>
        <v>0</v>
      </c>
      <c r="Q289" s="132">
        <f t="shared" ref="Q289:S289" si="188">Q290+Q291</f>
        <v>0</v>
      </c>
      <c r="R289" s="132">
        <f t="shared" si="188"/>
        <v>0</v>
      </c>
      <c r="S289" s="132">
        <f t="shared" si="188"/>
        <v>0</v>
      </c>
      <c r="T289" s="132">
        <f t="shared" si="181"/>
        <v>0</v>
      </c>
      <c r="U289" s="132">
        <f t="shared" si="182"/>
        <v>0</v>
      </c>
    </row>
    <row r="290" spans="1:21" ht="18.75" hidden="1" x14ac:dyDescent="0.25">
      <c r="A290" s="880"/>
      <c r="B290" s="838"/>
      <c r="C290" s="838"/>
      <c r="D290" s="838"/>
      <c r="E290" s="265" t="s">
        <v>20</v>
      </c>
      <c r="F290" s="838"/>
      <c r="G290" s="839"/>
      <c r="H290" s="273" t="s">
        <v>14</v>
      </c>
      <c r="I290" s="881"/>
      <c r="J290" s="881"/>
      <c r="K290" s="882"/>
      <c r="L290" s="76">
        <v>0</v>
      </c>
      <c r="M290" s="77">
        <v>0</v>
      </c>
      <c r="N290" s="77">
        <v>0</v>
      </c>
      <c r="O290" s="133">
        <f t="shared" si="178"/>
        <v>0</v>
      </c>
      <c r="P290" s="133">
        <f t="shared" si="179"/>
        <v>0</v>
      </c>
      <c r="Q290" s="77">
        <v>0</v>
      </c>
      <c r="R290" s="77">
        <v>0</v>
      </c>
      <c r="S290" s="77">
        <v>0</v>
      </c>
      <c r="T290" s="133">
        <f t="shared" si="181"/>
        <v>0</v>
      </c>
      <c r="U290" s="133">
        <f t="shared" si="182"/>
        <v>0</v>
      </c>
    </row>
    <row r="291" spans="1:21" ht="18.75" hidden="1" x14ac:dyDescent="0.25">
      <c r="A291" s="209"/>
      <c r="B291" s="67"/>
      <c r="C291" s="67"/>
      <c r="D291" s="67"/>
      <c r="E291" s="440" t="s">
        <v>21</v>
      </c>
      <c r="F291" s="67"/>
      <c r="G291" s="69"/>
      <c r="H291" s="221" t="s">
        <v>14</v>
      </c>
      <c r="I291" s="219"/>
      <c r="J291" s="219"/>
      <c r="K291" s="220"/>
      <c r="L291" s="131">
        <f ca="1">IFERROR(__xludf.DUMMYFUNCTION("IMPORTRANGE(""https://docs.google.com/spreadsheets/d/1-uDff_7J0KD5mKrp0Vvzr7lt3OU09vwQwhkpOPPYv2Y/edit?usp=sharing"",""งบพรบ!DR53"")"),0)</f>
        <v>0</v>
      </c>
      <c r="M291" s="132">
        <f ca="1">IFERROR(__xludf.DUMMYFUNCTION("IMPORTRANGE(""https://docs.google.com/spreadsheets/d/1-uDff_7J0KD5mKrp0Vvzr7lt3OU09vwQwhkpOPPYv2Y/edit?usp=sharing"",""งบพรบ!DU53"")"),0)</f>
        <v>0</v>
      </c>
      <c r="N291" s="132">
        <f ca="1">IFERROR(__xludf.DUMMYFUNCTION("IMPORTRANGE(""https://docs.google.com/spreadsheets/d/1-uDff_7J0KD5mKrp0Vvzr7lt3OU09vwQwhkpOPPYv2Y/edit?usp=sharing"",""งบพรบ!DW53"")"),0)</f>
        <v>0</v>
      </c>
      <c r="O291" s="132">
        <f t="shared" ca="1" si="178"/>
        <v>0</v>
      </c>
      <c r="P291" s="132">
        <f t="shared" ca="1" si="179"/>
        <v>0</v>
      </c>
      <c r="Q291" s="74">
        <v>0</v>
      </c>
      <c r="R291" s="74">
        <v>0</v>
      </c>
      <c r="S291" s="74">
        <v>0</v>
      </c>
      <c r="T291" s="132">
        <f t="shared" si="181"/>
        <v>0</v>
      </c>
      <c r="U291" s="132">
        <f t="shared" si="182"/>
        <v>0</v>
      </c>
    </row>
    <row r="292" spans="1:21" ht="19.5" hidden="1" x14ac:dyDescent="0.3">
      <c r="A292" s="222"/>
      <c r="B292" s="223"/>
      <c r="C292" s="210" t="s">
        <v>18</v>
      </c>
      <c r="D292" s="883" t="s">
        <v>38</v>
      </c>
      <c r="E292" s="225"/>
      <c r="F292" s="225"/>
      <c r="G292" s="226"/>
      <c r="H292" s="227"/>
      <c r="I292" s="219"/>
      <c r="J292" s="219"/>
      <c r="K292" s="220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22"/>
      <c r="B293" s="223"/>
      <c r="C293" s="223"/>
      <c r="D293" s="395" t="s">
        <v>120</v>
      </c>
      <c r="E293" s="223"/>
      <c r="F293" s="231"/>
      <c r="G293" s="227"/>
      <c r="H293" s="242" t="s">
        <v>46</v>
      </c>
      <c r="I293" s="321">
        <f ca="1">IFERROR(__xludf.DUMMYFUNCTION("IMPORTRANGE(""https://docs.google.com/spreadsheets/d/1eHaY18a8A9IcSdp1K8H6x8fbOy06t2VsZHhMHf-1x7Y/edit?usp=sharing"",""แผน!EE53"")"),0)</f>
        <v>0</v>
      </c>
      <c r="J293" s="884">
        <v>0</v>
      </c>
      <c r="K293" s="240">
        <f t="shared" ref="K293:K294" ca="1" si="189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22"/>
      <c r="B294" s="223"/>
      <c r="C294" s="223"/>
      <c r="D294" s="395" t="s">
        <v>121</v>
      </c>
      <c r="E294" s="223"/>
      <c r="F294" s="231"/>
      <c r="G294" s="227"/>
      <c r="H294" s="232" t="s">
        <v>35</v>
      </c>
      <c r="I294" s="233">
        <f ca="1">IFERROR(__xludf.DUMMYFUNCTION("IMPORTRANGE(""https://docs.google.com/spreadsheets/d/1eHaY18a8A9IcSdp1K8H6x8fbOy06t2VsZHhMHf-1x7Y/edit?usp=sharing"",""แผน!ED53"")"),0)</f>
        <v>0</v>
      </c>
      <c r="J294" s="233">
        <f>J297</f>
        <v>0</v>
      </c>
      <c r="K294" s="234">
        <f t="shared" ca="1" si="189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22"/>
      <c r="B295" s="223"/>
      <c r="C295" s="223"/>
      <c r="D295" s="231"/>
      <c r="E295" s="490" t="s">
        <v>122</v>
      </c>
      <c r="F295" s="231"/>
      <c r="G295" s="227"/>
      <c r="H295" s="227"/>
      <c r="I295" s="219"/>
      <c r="J295" s="71"/>
      <c r="K295" s="220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22"/>
      <c r="B296" s="223"/>
      <c r="C296" s="223"/>
      <c r="D296" s="231"/>
      <c r="E296" s="395" t="s">
        <v>123</v>
      </c>
      <c r="F296" s="231"/>
      <c r="G296" s="227"/>
      <c r="H296" s="401" t="s">
        <v>35</v>
      </c>
      <c r="I296" s="241">
        <f ca="1">IFERROR(__xludf.DUMMYFUNCTION("IMPORTRANGE(""https://docs.google.com/spreadsheets/d/1eHaY18a8A9IcSdp1K8H6x8fbOy06t2VsZHhMHf-1x7Y/edit?usp=sharing"",""แผน!ED53"")"),0)</f>
        <v>0</v>
      </c>
      <c r="J296" s="884">
        <v>0</v>
      </c>
      <c r="K296" s="240">
        <f t="shared" ref="K296:K297" ca="1" si="190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22"/>
      <c r="B297" s="223"/>
      <c r="C297" s="223"/>
      <c r="D297" s="231"/>
      <c r="E297" s="395" t="s">
        <v>124</v>
      </c>
      <c r="F297" s="231"/>
      <c r="G297" s="227"/>
      <c r="H297" s="401" t="s">
        <v>35</v>
      </c>
      <c r="I297" s="241">
        <f ca="1">IFERROR(__xludf.DUMMYFUNCTION("IMPORTRANGE(""https://docs.google.com/spreadsheets/d/1eHaY18a8A9IcSdp1K8H6x8fbOy06t2VsZHhMHf-1x7Y/edit?usp=sharing"",""แผน!ED53"")"),0)</f>
        <v>0</v>
      </c>
      <c r="J297" s="884">
        <v>0</v>
      </c>
      <c r="K297" s="240">
        <f t="shared" ca="1" si="190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9.5" hidden="1" x14ac:dyDescent="0.3">
      <c r="A298" s="491"/>
      <c r="B298" s="492"/>
      <c r="C298" s="492"/>
      <c r="D298" s="21"/>
      <c r="E298" s="493"/>
      <c r="F298" s="21"/>
      <c r="G298" s="24"/>
      <c r="H298" s="24"/>
      <c r="I298" s="26"/>
      <c r="J298" s="26"/>
      <c r="K298" s="27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8.75" hidden="1" x14ac:dyDescent="0.25">
      <c r="A299" s="491"/>
      <c r="B299" s="492"/>
      <c r="C299" s="492"/>
      <c r="D299" s="21"/>
      <c r="E299" s="31"/>
      <c r="F299" s="21"/>
      <c r="G299" s="24"/>
      <c r="H299" s="32"/>
      <c r="I299" s="494"/>
      <c r="J299" s="494"/>
      <c r="K299" s="33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8.75" hidden="1" x14ac:dyDescent="0.25">
      <c r="A300" s="495"/>
      <c r="B300" s="496"/>
      <c r="C300" s="496"/>
      <c r="D300" s="497"/>
      <c r="E300" s="498"/>
      <c r="F300" s="497"/>
      <c r="G300" s="499"/>
      <c r="H300" s="500"/>
      <c r="I300" s="501"/>
      <c r="J300" s="501"/>
      <c r="K300" s="502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504" t="s">
        <v>125</v>
      </c>
      <c r="B301" s="505"/>
      <c r="C301" s="505"/>
      <c r="D301" s="505"/>
      <c r="E301" s="506"/>
      <c r="F301" s="506"/>
      <c r="G301" s="506"/>
      <c r="H301" s="506"/>
      <c r="I301" s="507"/>
      <c r="J301" s="507"/>
      <c r="K301" s="508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x14ac:dyDescent="0.3">
      <c r="A302" s="513" t="s">
        <v>126</v>
      </c>
      <c r="B302" s="514"/>
      <c r="C302" s="514"/>
      <c r="D302" s="515"/>
      <c r="E302" s="515"/>
      <c r="F302" s="515"/>
      <c r="G302" s="516"/>
      <c r="H302" s="516"/>
      <c r="I302" s="517"/>
      <c r="J302" s="517"/>
      <c r="K302" s="518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x14ac:dyDescent="0.3">
      <c r="A303" s="521"/>
      <c r="B303" s="522" t="s">
        <v>127</v>
      </c>
      <c r="C303" s="523"/>
      <c r="D303" s="523"/>
      <c r="E303" s="523"/>
      <c r="F303" s="523"/>
      <c r="G303" s="524"/>
      <c r="H303" s="525" t="s">
        <v>35</v>
      </c>
      <c r="I303" s="526">
        <f t="shared" ref="I303:J303" ca="1" si="191">I315</f>
        <v>30</v>
      </c>
      <c r="J303" s="526">
        <f t="shared" si="191"/>
        <v>0</v>
      </c>
      <c r="K303" s="527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x14ac:dyDescent="0.3">
      <c r="A304" s="209"/>
      <c r="B304" s="67"/>
      <c r="C304" s="210" t="s">
        <v>18</v>
      </c>
      <c r="D304" s="879" t="s">
        <v>19</v>
      </c>
      <c r="E304" s="67"/>
      <c r="F304" s="67"/>
      <c r="G304" s="69"/>
      <c r="H304" s="212" t="s">
        <v>14</v>
      </c>
      <c r="I304" s="71"/>
      <c r="J304" s="71"/>
      <c r="K304" s="72"/>
      <c r="L304" s="214">
        <f t="shared" ref="L304:N304" ca="1" si="192">L305+L306</f>
        <v>0</v>
      </c>
      <c r="M304" s="215">
        <f t="shared" ca="1" si="192"/>
        <v>0</v>
      </c>
      <c r="N304" s="215">
        <f t="shared" ca="1" si="192"/>
        <v>0</v>
      </c>
      <c r="O304" s="215">
        <f t="shared" ref="O304:O312" ca="1" si="193">IF(L304&gt;0,N304*100/L304,0)</f>
        <v>0</v>
      </c>
      <c r="P304" s="215">
        <f t="shared" ref="P304:P312" ca="1" si="194">IF(M304&gt;0,N304*100/M304,0)</f>
        <v>0</v>
      </c>
      <c r="Q304" s="215">
        <f t="shared" ref="Q304:S304" ca="1" si="195">Q305+Q306</f>
        <v>260958.39</v>
      </c>
      <c r="R304" s="215">
        <f t="shared" ca="1" si="195"/>
        <v>260958</v>
      </c>
      <c r="S304" s="215">
        <f t="shared" ca="1" si="195"/>
        <v>0</v>
      </c>
      <c r="T304" s="215">
        <f t="shared" ref="T304:T312" ca="1" si="196">IF(Q304&gt;0,S304*100/Q304,0)</f>
        <v>0</v>
      </c>
      <c r="U304" s="215">
        <f t="shared" ref="U304:U312" ca="1" si="197">IF(R304&gt;0,S304*100/R304,0)</f>
        <v>0</v>
      </c>
    </row>
    <row r="305" spans="1:21" ht="18.75" hidden="1" x14ac:dyDescent="0.25">
      <c r="A305" s="880"/>
      <c r="B305" s="838"/>
      <c r="C305" s="838"/>
      <c r="D305" s="838"/>
      <c r="E305" s="265" t="s">
        <v>20</v>
      </c>
      <c r="F305" s="838"/>
      <c r="G305" s="839"/>
      <c r="H305" s="266" t="s">
        <v>14</v>
      </c>
      <c r="I305" s="841"/>
      <c r="J305" s="841"/>
      <c r="K305" s="842"/>
      <c r="L305" s="217">
        <f t="shared" ref="L305:N306" si="198">L308+L311</f>
        <v>0</v>
      </c>
      <c r="M305" s="133">
        <f t="shared" si="198"/>
        <v>0</v>
      </c>
      <c r="N305" s="133">
        <f t="shared" si="198"/>
        <v>0</v>
      </c>
      <c r="O305" s="133">
        <f t="shared" si="193"/>
        <v>0</v>
      </c>
      <c r="P305" s="133">
        <f t="shared" si="194"/>
        <v>0</v>
      </c>
      <c r="Q305" s="133">
        <f t="shared" ref="Q305:S306" si="199">Q308+Q311</f>
        <v>0</v>
      </c>
      <c r="R305" s="133">
        <f t="shared" si="199"/>
        <v>0</v>
      </c>
      <c r="S305" s="133">
        <f t="shared" si="199"/>
        <v>0</v>
      </c>
      <c r="T305" s="133">
        <f t="shared" si="196"/>
        <v>0</v>
      </c>
      <c r="U305" s="133">
        <f t="shared" si="197"/>
        <v>0</v>
      </c>
    </row>
    <row r="306" spans="1:21" ht="18.75" hidden="1" x14ac:dyDescent="0.25">
      <c r="A306" s="209"/>
      <c r="B306" s="67"/>
      <c r="C306" s="67"/>
      <c r="D306" s="67"/>
      <c r="E306" s="440" t="s">
        <v>21</v>
      </c>
      <c r="F306" s="67"/>
      <c r="G306" s="69"/>
      <c r="H306" s="216" t="s">
        <v>14</v>
      </c>
      <c r="I306" s="71"/>
      <c r="J306" s="71"/>
      <c r="K306" s="72"/>
      <c r="L306" s="131">
        <f t="shared" ca="1" si="198"/>
        <v>0</v>
      </c>
      <c r="M306" s="132">
        <f t="shared" ca="1" si="198"/>
        <v>0</v>
      </c>
      <c r="N306" s="132">
        <f t="shared" ca="1" si="198"/>
        <v>0</v>
      </c>
      <c r="O306" s="132">
        <f t="shared" ca="1" si="193"/>
        <v>0</v>
      </c>
      <c r="P306" s="132">
        <f t="shared" ca="1" si="194"/>
        <v>0</v>
      </c>
      <c r="Q306" s="132">
        <f t="shared" ca="1" si="199"/>
        <v>260958.39</v>
      </c>
      <c r="R306" s="132">
        <f t="shared" ca="1" si="199"/>
        <v>260958</v>
      </c>
      <c r="S306" s="132">
        <f t="shared" ca="1" si="199"/>
        <v>0</v>
      </c>
      <c r="T306" s="132">
        <f t="shared" ca="1" si="196"/>
        <v>0</v>
      </c>
      <c r="U306" s="132">
        <f t="shared" ca="1" si="197"/>
        <v>0</v>
      </c>
    </row>
    <row r="307" spans="1:21" ht="18.75" x14ac:dyDescent="0.25">
      <c r="A307" s="209"/>
      <c r="B307" s="67"/>
      <c r="C307" s="67"/>
      <c r="D307" s="836" t="s">
        <v>22</v>
      </c>
      <c r="E307" s="67"/>
      <c r="F307" s="67"/>
      <c r="G307" s="69"/>
      <c r="H307" s="218" t="s">
        <v>14</v>
      </c>
      <c r="I307" s="219"/>
      <c r="J307" s="219"/>
      <c r="K307" s="220"/>
      <c r="L307" s="131">
        <f t="shared" ref="L307:N307" ca="1" si="200">L308+L309</f>
        <v>0</v>
      </c>
      <c r="M307" s="132">
        <f t="shared" ca="1" si="200"/>
        <v>0</v>
      </c>
      <c r="N307" s="132">
        <f t="shared" ca="1" si="200"/>
        <v>0</v>
      </c>
      <c r="O307" s="132">
        <f t="shared" ca="1" si="193"/>
        <v>0</v>
      </c>
      <c r="P307" s="132">
        <f t="shared" ca="1" si="194"/>
        <v>0</v>
      </c>
      <c r="Q307" s="132">
        <f t="shared" ref="Q307:S307" ca="1" si="201">Q308+Q309</f>
        <v>260958.39</v>
      </c>
      <c r="R307" s="132">
        <f t="shared" ca="1" si="201"/>
        <v>260958</v>
      </c>
      <c r="S307" s="132">
        <f t="shared" ca="1" si="201"/>
        <v>0</v>
      </c>
      <c r="T307" s="132">
        <f t="shared" ca="1" si="196"/>
        <v>0</v>
      </c>
      <c r="U307" s="132">
        <f t="shared" ca="1" si="197"/>
        <v>0</v>
      </c>
    </row>
    <row r="308" spans="1:21" ht="18.75" hidden="1" x14ac:dyDescent="0.25">
      <c r="A308" s="880"/>
      <c r="B308" s="838"/>
      <c r="C308" s="838"/>
      <c r="D308" s="838"/>
      <c r="E308" s="265" t="s">
        <v>36</v>
      </c>
      <c r="F308" s="838"/>
      <c r="G308" s="839"/>
      <c r="H308" s="273" t="s">
        <v>14</v>
      </c>
      <c r="I308" s="881"/>
      <c r="J308" s="881"/>
      <c r="K308" s="882"/>
      <c r="L308" s="76">
        <v>0</v>
      </c>
      <c r="M308" s="77">
        <v>0</v>
      </c>
      <c r="N308" s="77">
        <v>0</v>
      </c>
      <c r="O308" s="133">
        <f t="shared" si="193"/>
        <v>0</v>
      </c>
      <c r="P308" s="133">
        <f t="shared" si="194"/>
        <v>0</v>
      </c>
      <c r="Q308" s="77">
        <v>0</v>
      </c>
      <c r="R308" s="77">
        <v>0</v>
      </c>
      <c r="S308" s="77">
        <v>0</v>
      </c>
      <c r="T308" s="133">
        <f t="shared" si="196"/>
        <v>0</v>
      </c>
      <c r="U308" s="133">
        <f t="shared" si="197"/>
        <v>0</v>
      </c>
    </row>
    <row r="309" spans="1:21" ht="18.75" hidden="1" x14ac:dyDescent="0.25">
      <c r="A309" s="209"/>
      <c r="B309" s="67"/>
      <c r="C309" s="67"/>
      <c r="D309" s="67"/>
      <c r="E309" s="440" t="s">
        <v>37</v>
      </c>
      <c r="F309" s="67"/>
      <c r="G309" s="69"/>
      <c r="H309" s="218" t="s">
        <v>14</v>
      </c>
      <c r="I309" s="219"/>
      <c r="J309" s="219"/>
      <c r="K309" s="220"/>
      <c r="L309" s="131">
        <f ca="1">IFERROR(__xludf.DUMMYFUNCTION("IMPORTRANGE(""https://docs.google.com/spreadsheets/d/1-uDff_7J0KD5mKrp0Vvzr7lt3OU09vwQwhkpOPPYv2Y/edit?usp=sharing"",""งบพรบ!DY53"")"),0)</f>
        <v>0</v>
      </c>
      <c r="M309" s="132">
        <f ca="1">IFERROR(__xludf.DUMMYFUNCTION("IMPORTRANGE(""https://docs.google.com/spreadsheets/d/1-uDff_7J0KD5mKrp0Vvzr7lt3OU09vwQwhkpOPPYv2Y/edit?usp=sharing"",""งบพรบ!ED53"")"),0)</f>
        <v>0</v>
      </c>
      <c r="N309" s="132">
        <f ca="1">IFERROR(__xludf.DUMMYFUNCTION("IMPORTRANGE(""https://docs.google.com/spreadsheets/d/1-uDff_7J0KD5mKrp0Vvzr7lt3OU09vwQwhkpOPPYv2Y/edit?usp=sharing"",""งบพรบ!EF53"")"),0)</f>
        <v>0</v>
      </c>
      <c r="O309" s="132">
        <f t="shared" ca="1" si="193"/>
        <v>0</v>
      </c>
      <c r="P309" s="132">
        <f t="shared" ca="1" si="194"/>
        <v>0</v>
      </c>
      <c r="Q309" s="132">
        <f ca="1">IFERROR(__xludf.DUMMYFUNCTION("IMPORTRANGE(""https://docs.google.com/spreadsheets/d/1ItG2mGa2ceCfYo0BwxsXqNm01IGEUdYcSSLTEv9YCik/edit?usp=sharing"",""เบิกจ่ายกองทุน!AP53"")"),260958.39)</f>
        <v>260958.39</v>
      </c>
      <c r="R309" s="132">
        <f ca="1">IFERROR(__xludf.DUMMYFUNCTION("IMPORTRANGE(""https://docs.google.com/spreadsheets/d/1ItG2mGa2ceCfYo0BwxsXqNm01IGEUdYcSSLTEv9YCik/edit?usp=sharing"",""เบิกจ่ายกองทุน!AQ53"")"),260958)</f>
        <v>260958</v>
      </c>
      <c r="S309" s="132">
        <f ca="1">IFERROR(__xludf.DUMMYFUNCTION("IMPORTRANGE(""https://docs.google.com/spreadsheets/d/1ItG2mGa2ceCfYo0BwxsXqNm01IGEUdYcSSLTEv9YCik/edit?usp=sharing"",""เบิกจ่ายกองทุน!AR53"")"),0)</f>
        <v>0</v>
      </c>
      <c r="T309" s="132">
        <f t="shared" ca="1" si="196"/>
        <v>0</v>
      </c>
      <c r="U309" s="132">
        <f t="shared" ca="1" si="197"/>
        <v>0</v>
      </c>
    </row>
    <row r="310" spans="1:21" ht="18.75" x14ac:dyDescent="0.25">
      <c r="A310" s="209"/>
      <c r="B310" s="67"/>
      <c r="C310" s="67"/>
      <c r="D310" s="836" t="s">
        <v>23</v>
      </c>
      <c r="E310" s="67"/>
      <c r="F310" s="67"/>
      <c r="G310" s="69"/>
      <c r="H310" s="221" t="s">
        <v>14</v>
      </c>
      <c r="I310" s="219"/>
      <c r="J310" s="219"/>
      <c r="K310" s="220"/>
      <c r="L310" s="131">
        <f t="shared" ref="L310:N310" ca="1" si="202">L311+L312</f>
        <v>0</v>
      </c>
      <c r="M310" s="132">
        <f t="shared" ca="1" si="202"/>
        <v>0</v>
      </c>
      <c r="N310" s="132">
        <f t="shared" ca="1" si="202"/>
        <v>0</v>
      </c>
      <c r="O310" s="132">
        <f t="shared" ca="1" si="193"/>
        <v>0</v>
      </c>
      <c r="P310" s="132">
        <f t="shared" ca="1" si="194"/>
        <v>0</v>
      </c>
      <c r="Q310" s="132">
        <f t="shared" ref="Q310:S310" si="203">Q311+Q312</f>
        <v>0</v>
      </c>
      <c r="R310" s="132">
        <f t="shared" si="203"/>
        <v>0</v>
      </c>
      <c r="S310" s="132">
        <f t="shared" si="203"/>
        <v>0</v>
      </c>
      <c r="T310" s="132">
        <f t="shared" si="196"/>
        <v>0</v>
      </c>
      <c r="U310" s="132">
        <f t="shared" si="197"/>
        <v>0</v>
      </c>
    </row>
    <row r="311" spans="1:21" ht="18.75" hidden="1" x14ac:dyDescent="0.25">
      <c r="A311" s="880"/>
      <c r="B311" s="838"/>
      <c r="C311" s="838"/>
      <c r="D311" s="838"/>
      <c r="E311" s="265" t="s">
        <v>20</v>
      </c>
      <c r="F311" s="838"/>
      <c r="G311" s="839"/>
      <c r="H311" s="273" t="s">
        <v>14</v>
      </c>
      <c r="I311" s="881"/>
      <c r="J311" s="881"/>
      <c r="K311" s="882"/>
      <c r="L311" s="76">
        <v>0</v>
      </c>
      <c r="M311" s="77">
        <v>0</v>
      </c>
      <c r="N311" s="77">
        <v>0</v>
      </c>
      <c r="O311" s="133">
        <f t="shared" si="193"/>
        <v>0</v>
      </c>
      <c r="P311" s="133">
        <f t="shared" si="194"/>
        <v>0</v>
      </c>
      <c r="Q311" s="77">
        <v>0</v>
      </c>
      <c r="R311" s="77">
        <v>0</v>
      </c>
      <c r="S311" s="77">
        <v>0</v>
      </c>
      <c r="T311" s="133">
        <f t="shared" si="196"/>
        <v>0</v>
      </c>
      <c r="U311" s="133">
        <f t="shared" si="197"/>
        <v>0</v>
      </c>
    </row>
    <row r="312" spans="1:21" ht="18.75" hidden="1" x14ac:dyDescent="0.25">
      <c r="A312" s="209"/>
      <c r="B312" s="67"/>
      <c r="C312" s="67"/>
      <c r="D312" s="67"/>
      <c r="E312" s="440" t="s">
        <v>21</v>
      </c>
      <c r="F312" s="67"/>
      <c r="G312" s="69"/>
      <c r="H312" s="221" t="s">
        <v>14</v>
      </c>
      <c r="I312" s="219"/>
      <c r="J312" s="219"/>
      <c r="K312" s="220"/>
      <c r="L312" s="131">
        <f ca="1">IFERROR(__xludf.DUMMYFUNCTION("IMPORTRANGE(""https://docs.google.com/spreadsheets/d/1-uDff_7J0KD5mKrp0Vvzr7lt3OU09vwQwhkpOPPYv2Y/edit?usp=sharing"",""งบพรบ!EB53"")"),0)</f>
        <v>0</v>
      </c>
      <c r="M312" s="132">
        <f ca="1">IFERROR(__xludf.DUMMYFUNCTION("IMPORTRANGE(""https://docs.google.com/spreadsheets/d/1-uDff_7J0KD5mKrp0Vvzr7lt3OU09vwQwhkpOPPYv2Y/edit?usp=sharing"",""งบพรบ!EE53"")"),0)</f>
        <v>0</v>
      </c>
      <c r="N312" s="132">
        <f ca="1">IFERROR(__xludf.DUMMYFUNCTION("IMPORTRANGE(""https://docs.google.com/spreadsheets/d/1-uDff_7J0KD5mKrp0Vvzr7lt3OU09vwQwhkpOPPYv2Y/edit?usp=sharing"",""งบพรบ!EG53"")"),0)</f>
        <v>0</v>
      </c>
      <c r="O312" s="132">
        <f t="shared" ca="1" si="193"/>
        <v>0</v>
      </c>
      <c r="P312" s="132">
        <f t="shared" ca="1" si="194"/>
        <v>0</v>
      </c>
      <c r="Q312" s="74">
        <v>0</v>
      </c>
      <c r="R312" s="74">
        <v>0</v>
      </c>
      <c r="S312" s="74">
        <v>0</v>
      </c>
      <c r="T312" s="132">
        <f t="shared" si="196"/>
        <v>0</v>
      </c>
      <c r="U312" s="132">
        <f t="shared" si="197"/>
        <v>0</v>
      </c>
    </row>
    <row r="313" spans="1:21" ht="19.5" x14ac:dyDescent="0.3">
      <c r="A313" s="222"/>
      <c r="B313" s="223"/>
      <c r="C313" s="210" t="s">
        <v>18</v>
      </c>
      <c r="D313" s="883" t="s">
        <v>38</v>
      </c>
      <c r="E313" s="225"/>
      <c r="F313" s="225"/>
      <c r="G313" s="226"/>
      <c r="H313" s="227"/>
      <c r="I313" s="71"/>
      <c r="J313" s="71"/>
      <c r="K313" s="72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491"/>
      <c r="B314" s="492"/>
      <c r="C314" s="492"/>
      <c r="D314" s="31"/>
      <c r="E314" s="21"/>
      <c r="F314" s="21"/>
      <c r="G314" s="24"/>
      <c r="H314" s="24"/>
      <c r="I314" s="26"/>
      <c r="J314" s="494"/>
      <c r="K314" s="27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x14ac:dyDescent="0.25">
      <c r="A315" s="222"/>
      <c r="B315" s="223"/>
      <c r="C315" s="223"/>
      <c r="D315" s="395" t="s">
        <v>121</v>
      </c>
      <c r="E315" s="231"/>
      <c r="F315" s="231"/>
      <c r="G315" s="227"/>
      <c r="H315" s="401" t="s">
        <v>35</v>
      </c>
      <c r="I315" s="321">
        <f ca="1">IFERROR(__xludf.DUMMYFUNCTION("IMPORTRANGE(""https://docs.google.com/spreadsheets/d/1eHaY18a8A9IcSdp1K8H6x8fbOy06t2VsZHhMHf-1x7Y/edit?usp=sharing"",""แผน!EF53"")"),30)</f>
        <v>30</v>
      </c>
      <c r="J315" s="884">
        <v>0</v>
      </c>
      <c r="K315" s="399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491"/>
      <c r="B316" s="492"/>
      <c r="C316" s="492"/>
      <c r="D316" s="31"/>
      <c r="E316" s="21"/>
      <c r="F316" s="21"/>
      <c r="G316" s="24"/>
      <c r="H316" s="32"/>
      <c r="I316" s="494"/>
      <c r="J316" s="494"/>
      <c r="K316" s="33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491"/>
      <c r="B317" s="492"/>
      <c r="C317" s="492"/>
      <c r="D317" s="31"/>
      <c r="E317" s="21"/>
      <c r="F317" s="21"/>
      <c r="G317" s="24"/>
      <c r="H317" s="32"/>
      <c r="I317" s="494"/>
      <c r="J317" s="494"/>
      <c r="K317" s="33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885"/>
      <c r="B318" s="886"/>
      <c r="C318" s="886"/>
      <c r="D318" s="812"/>
      <c r="E318" s="805"/>
      <c r="F318" s="805"/>
      <c r="G318" s="808"/>
      <c r="H318" s="813"/>
      <c r="I318" s="887"/>
      <c r="J318" s="887"/>
      <c r="K318" s="888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x14ac:dyDescent="0.3">
      <c r="A319" s="513" t="s">
        <v>131</v>
      </c>
      <c r="B319" s="514"/>
      <c r="C319" s="514"/>
      <c r="D319" s="515"/>
      <c r="E319" s="514"/>
      <c r="F319" s="514"/>
      <c r="G319" s="514"/>
      <c r="H319" s="515"/>
      <c r="I319" s="517"/>
      <c r="J319" s="517"/>
      <c r="K319" s="518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x14ac:dyDescent="0.3">
      <c r="A320" s="531"/>
      <c r="B320" s="522" t="s">
        <v>132</v>
      </c>
      <c r="C320" s="532"/>
      <c r="D320" s="533"/>
      <c r="E320" s="523"/>
      <c r="F320" s="523"/>
      <c r="G320" s="524"/>
      <c r="H320" s="525" t="s">
        <v>133</v>
      </c>
      <c r="I320" s="526">
        <f t="shared" ref="I320:J320" ca="1" si="204">I331</f>
        <v>1</v>
      </c>
      <c r="J320" s="526">
        <f t="shared" si="204"/>
        <v>1</v>
      </c>
      <c r="K320" s="527">
        <f ca="1">IF(I320&gt;0,J320*100/I320,0)</f>
        <v>100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x14ac:dyDescent="0.3">
      <c r="A321" s="209"/>
      <c r="B321" s="67"/>
      <c r="C321" s="210" t="s">
        <v>18</v>
      </c>
      <c r="D321" s="879" t="s">
        <v>19</v>
      </c>
      <c r="E321" s="67"/>
      <c r="F321" s="67"/>
      <c r="G321" s="69"/>
      <c r="H321" s="212" t="s">
        <v>14</v>
      </c>
      <c r="I321" s="71"/>
      <c r="J321" s="71"/>
      <c r="K321" s="72"/>
      <c r="L321" s="214">
        <f t="shared" ref="L321:N321" ca="1" si="205">L322+L323</f>
        <v>20000</v>
      </c>
      <c r="M321" s="215">
        <f t="shared" ca="1" si="205"/>
        <v>20000</v>
      </c>
      <c r="N321" s="215">
        <f t="shared" ca="1" si="205"/>
        <v>16697</v>
      </c>
      <c r="O321" s="215">
        <f t="shared" ref="O321:O329" ca="1" si="206">IF(L321&gt;0,N321*100/L321,0)</f>
        <v>83.484999999999999</v>
      </c>
      <c r="P321" s="215">
        <f t="shared" ref="P321:P329" ca="1" si="207">IF(M321&gt;0,N321*100/M321,0)</f>
        <v>83.484999999999999</v>
      </c>
      <c r="Q321" s="215">
        <f t="shared" ref="Q321:S321" si="208">Q322+Q323</f>
        <v>0</v>
      </c>
      <c r="R321" s="215">
        <f t="shared" si="208"/>
        <v>0</v>
      </c>
      <c r="S321" s="215">
        <f t="shared" si="208"/>
        <v>0</v>
      </c>
      <c r="T321" s="215">
        <f t="shared" ref="T321:T329" si="209">IF(Q321&gt;0,S321*100/Q321,0)</f>
        <v>0</v>
      </c>
      <c r="U321" s="215">
        <f t="shared" ref="U321:U329" si="210">IF(R321&gt;0,S321*100/R321,0)</f>
        <v>0</v>
      </c>
    </row>
    <row r="322" spans="1:21" ht="18.75" hidden="1" x14ac:dyDescent="0.25">
      <c r="A322" s="880"/>
      <c r="B322" s="838"/>
      <c r="C322" s="838"/>
      <c r="D322" s="838"/>
      <c r="E322" s="265" t="s">
        <v>20</v>
      </c>
      <c r="F322" s="838"/>
      <c r="G322" s="839"/>
      <c r="H322" s="266" t="s">
        <v>14</v>
      </c>
      <c r="I322" s="841"/>
      <c r="J322" s="841"/>
      <c r="K322" s="842"/>
      <c r="L322" s="217">
        <f t="shared" ref="L322:N323" si="211">L325+L328</f>
        <v>0</v>
      </c>
      <c r="M322" s="133">
        <f t="shared" si="211"/>
        <v>0</v>
      </c>
      <c r="N322" s="133">
        <f t="shared" si="211"/>
        <v>0</v>
      </c>
      <c r="O322" s="133">
        <f t="shared" si="206"/>
        <v>0</v>
      </c>
      <c r="P322" s="133">
        <f t="shared" si="207"/>
        <v>0</v>
      </c>
      <c r="Q322" s="133">
        <f t="shared" ref="Q322:S323" si="212">Q325+Q328</f>
        <v>0</v>
      </c>
      <c r="R322" s="133">
        <f t="shared" si="212"/>
        <v>0</v>
      </c>
      <c r="S322" s="133">
        <f t="shared" si="212"/>
        <v>0</v>
      </c>
      <c r="T322" s="133">
        <f t="shared" si="209"/>
        <v>0</v>
      </c>
      <c r="U322" s="133">
        <f t="shared" si="210"/>
        <v>0</v>
      </c>
    </row>
    <row r="323" spans="1:21" ht="18.75" hidden="1" x14ac:dyDescent="0.25">
      <c r="A323" s="209"/>
      <c r="B323" s="67"/>
      <c r="C323" s="67"/>
      <c r="D323" s="67"/>
      <c r="E323" s="440" t="s">
        <v>21</v>
      </c>
      <c r="F323" s="67"/>
      <c r="G323" s="69"/>
      <c r="H323" s="216" t="s">
        <v>14</v>
      </c>
      <c r="I323" s="71"/>
      <c r="J323" s="71"/>
      <c r="K323" s="72"/>
      <c r="L323" s="131">
        <f t="shared" ca="1" si="211"/>
        <v>20000</v>
      </c>
      <c r="M323" s="132">
        <f t="shared" ca="1" si="211"/>
        <v>20000</v>
      </c>
      <c r="N323" s="132">
        <f t="shared" ca="1" si="211"/>
        <v>16697</v>
      </c>
      <c r="O323" s="132">
        <f t="shared" ca="1" si="206"/>
        <v>83.484999999999999</v>
      </c>
      <c r="P323" s="132">
        <f t="shared" ca="1" si="207"/>
        <v>83.484999999999999</v>
      </c>
      <c r="Q323" s="132">
        <f t="shared" si="212"/>
        <v>0</v>
      </c>
      <c r="R323" s="132">
        <f t="shared" si="212"/>
        <v>0</v>
      </c>
      <c r="S323" s="132">
        <f t="shared" si="212"/>
        <v>0</v>
      </c>
      <c r="T323" s="132">
        <f t="shared" si="209"/>
        <v>0</v>
      </c>
      <c r="U323" s="132">
        <f t="shared" si="210"/>
        <v>0</v>
      </c>
    </row>
    <row r="324" spans="1:21" ht="18.75" x14ac:dyDescent="0.25">
      <c r="A324" s="209"/>
      <c r="B324" s="67"/>
      <c r="C324" s="67"/>
      <c r="D324" s="836" t="s">
        <v>22</v>
      </c>
      <c r="E324" s="67"/>
      <c r="F324" s="67"/>
      <c r="G324" s="69"/>
      <c r="H324" s="218" t="s">
        <v>14</v>
      </c>
      <c r="I324" s="219"/>
      <c r="J324" s="219"/>
      <c r="K324" s="220"/>
      <c r="L324" s="131">
        <f t="shared" ref="L324:N324" ca="1" si="213">L325+L326</f>
        <v>20000</v>
      </c>
      <c r="M324" s="132">
        <f t="shared" ca="1" si="213"/>
        <v>20000</v>
      </c>
      <c r="N324" s="132">
        <f t="shared" ca="1" si="213"/>
        <v>16697</v>
      </c>
      <c r="O324" s="132">
        <f t="shared" ca="1" si="206"/>
        <v>83.484999999999999</v>
      </c>
      <c r="P324" s="132">
        <f t="shared" ca="1" si="207"/>
        <v>83.484999999999999</v>
      </c>
      <c r="Q324" s="132">
        <f t="shared" ref="Q324:S324" si="214">Q325+Q326</f>
        <v>0</v>
      </c>
      <c r="R324" s="132">
        <f t="shared" si="214"/>
        <v>0</v>
      </c>
      <c r="S324" s="132">
        <f t="shared" si="214"/>
        <v>0</v>
      </c>
      <c r="T324" s="132">
        <f t="shared" si="209"/>
        <v>0</v>
      </c>
      <c r="U324" s="132">
        <f t="shared" si="210"/>
        <v>0</v>
      </c>
    </row>
    <row r="325" spans="1:21" ht="18.75" hidden="1" x14ac:dyDescent="0.25">
      <c r="A325" s="880"/>
      <c r="B325" s="838"/>
      <c r="C325" s="838"/>
      <c r="D325" s="838"/>
      <c r="E325" s="265" t="s">
        <v>36</v>
      </c>
      <c r="F325" s="838"/>
      <c r="G325" s="839"/>
      <c r="H325" s="273" t="s">
        <v>14</v>
      </c>
      <c r="I325" s="881"/>
      <c r="J325" s="881"/>
      <c r="K325" s="882"/>
      <c r="L325" s="76">
        <v>0</v>
      </c>
      <c r="M325" s="77">
        <v>0</v>
      </c>
      <c r="N325" s="77">
        <v>0</v>
      </c>
      <c r="O325" s="133">
        <f t="shared" si="206"/>
        <v>0</v>
      </c>
      <c r="P325" s="133">
        <f t="shared" si="207"/>
        <v>0</v>
      </c>
      <c r="Q325" s="77">
        <v>0</v>
      </c>
      <c r="R325" s="77">
        <v>0</v>
      </c>
      <c r="S325" s="77">
        <v>0</v>
      </c>
      <c r="T325" s="133">
        <f t="shared" si="209"/>
        <v>0</v>
      </c>
      <c r="U325" s="133">
        <f t="shared" si="210"/>
        <v>0</v>
      </c>
    </row>
    <row r="326" spans="1:21" ht="18.75" hidden="1" x14ac:dyDescent="0.25">
      <c r="A326" s="209"/>
      <c r="B326" s="67"/>
      <c r="C326" s="67"/>
      <c r="D326" s="67"/>
      <c r="E326" s="440" t="s">
        <v>37</v>
      </c>
      <c r="F326" s="67"/>
      <c r="G326" s="69"/>
      <c r="H326" s="218" t="s">
        <v>14</v>
      </c>
      <c r="I326" s="219"/>
      <c r="J326" s="219"/>
      <c r="K326" s="220"/>
      <c r="L326" s="131">
        <f ca="1">IFERROR(__xludf.DUMMYFUNCTION("IMPORTRANGE(""https://docs.google.com/spreadsheets/d/1-uDff_7J0KD5mKrp0Vvzr7lt3OU09vwQwhkpOPPYv2Y/edit?usp=sharing"",""งบพรบ!EI53"")"),20000)</f>
        <v>20000</v>
      </c>
      <c r="M326" s="132">
        <f ca="1">IFERROR(__xludf.DUMMYFUNCTION("IMPORTRANGE(""https://docs.google.com/spreadsheets/d/1-uDff_7J0KD5mKrp0Vvzr7lt3OU09vwQwhkpOPPYv2Y/edit?usp=sharing"",""งบพรบ!EN53"")"),20000)</f>
        <v>20000</v>
      </c>
      <c r="N326" s="132">
        <f ca="1">IFERROR(__xludf.DUMMYFUNCTION("IMPORTRANGE(""https://docs.google.com/spreadsheets/d/1-uDff_7J0KD5mKrp0Vvzr7lt3OU09vwQwhkpOPPYv2Y/edit?usp=sharing"",""งบพรบ!EP53"")"),16697)</f>
        <v>16697</v>
      </c>
      <c r="O326" s="132">
        <f t="shared" ca="1" si="206"/>
        <v>83.484999999999999</v>
      </c>
      <c r="P326" s="132">
        <f t="shared" ca="1" si="207"/>
        <v>83.484999999999999</v>
      </c>
      <c r="Q326" s="74">
        <v>0</v>
      </c>
      <c r="R326" s="74">
        <v>0</v>
      </c>
      <c r="S326" s="74">
        <v>0</v>
      </c>
      <c r="T326" s="132">
        <f t="shared" si="209"/>
        <v>0</v>
      </c>
      <c r="U326" s="132">
        <f t="shared" si="210"/>
        <v>0</v>
      </c>
    </row>
    <row r="327" spans="1:21" ht="18.75" x14ac:dyDescent="0.25">
      <c r="A327" s="209"/>
      <c r="B327" s="67"/>
      <c r="C327" s="67"/>
      <c r="D327" s="836" t="s">
        <v>23</v>
      </c>
      <c r="E327" s="67"/>
      <c r="F327" s="67"/>
      <c r="G327" s="69"/>
      <c r="H327" s="221" t="s">
        <v>14</v>
      </c>
      <c r="I327" s="219"/>
      <c r="J327" s="219"/>
      <c r="K327" s="220"/>
      <c r="L327" s="131">
        <f t="shared" ref="L327:N327" ca="1" si="215">L328+L329</f>
        <v>0</v>
      </c>
      <c r="M327" s="132">
        <f t="shared" ca="1" si="215"/>
        <v>0</v>
      </c>
      <c r="N327" s="132">
        <f t="shared" ca="1" si="215"/>
        <v>0</v>
      </c>
      <c r="O327" s="132">
        <f t="shared" ca="1" si="206"/>
        <v>0</v>
      </c>
      <c r="P327" s="132">
        <f t="shared" ca="1" si="207"/>
        <v>0</v>
      </c>
      <c r="Q327" s="132">
        <f t="shared" ref="Q327:S327" si="216">Q328+Q329</f>
        <v>0</v>
      </c>
      <c r="R327" s="132">
        <f t="shared" si="216"/>
        <v>0</v>
      </c>
      <c r="S327" s="132">
        <f t="shared" si="216"/>
        <v>0</v>
      </c>
      <c r="T327" s="132">
        <f t="shared" si="209"/>
        <v>0</v>
      </c>
      <c r="U327" s="132">
        <f t="shared" si="210"/>
        <v>0</v>
      </c>
    </row>
    <row r="328" spans="1:21" ht="18.75" hidden="1" x14ac:dyDescent="0.25">
      <c r="A328" s="880"/>
      <c r="B328" s="838"/>
      <c r="C328" s="838"/>
      <c r="D328" s="838"/>
      <c r="E328" s="265" t="s">
        <v>20</v>
      </c>
      <c r="F328" s="838"/>
      <c r="G328" s="839"/>
      <c r="H328" s="273" t="s">
        <v>14</v>
      </c>
      <c r="I328" s="881"/>
      <c r="J328" s="881"/>
      <c r="K328" s="882"/>
      <c r="L328" s="76">
        <v>0</v>
      </c>
      <c r="M328" s="77">
        <v>0</v>
      </c>
      <c r="N328" s="77">
        <v>0</v>
      </c>
      <c r="O328" s="133">
        <f t="shared" si="206"/>
        <v>0</v>
      </c>
      <c r="P328" s="133">
        <f t="shared" si="207"/>
        <v>0</v>
      </c>
      <c r="Q328" s="77">
        <v>0</v>
      </c>
      <c r="R328" s="77">
        <v>0</v>
      </c>
      <c r="S328" s="77">
        <v>0</v>
      </c>
      <c r="T328" s="133">
        <f t="shared" si="209"/>
        <v>0</v>
      </c>
      <c r="U328" s="133">
        <f t="shared" si="210"/>
        <v>0</v>
      </c>
    </row>
    <row r="329" spans="1:21" ht="18.75" hidden="1" x14ac:dyDescent="0.25">
      <c r="A329" s="209"/>
      <c r="B329" s="67"/>
      <c r="C329" s="67"/>
      <c r="D329" s="67"/>
      <c r="E329" s="440" t="s">
        <v>21</v>
      </c>
      <c r="F329" s="67"/>
      <c r="G329" s="69"/>
      <c r="H329" s="221" t="s">
        <v>14</v>
      </c>
      <c r="I329" s="219"/>
      <c r="J329" s="219"/>
      <c r="K329" s="220"/>
      <c r="L329" s="131">
        <f ca="1">IFERROR(__xludf.DUMMYFUNCTION("IMPORTRANGE(""https://docs.google.com/spreadsheets/d/1-uDff_7J0KD5mKrp0Vvzr7lt3OU09vwQwhkpOPPYv2Y/edit?usp=sharing"",""งบพรบ!EL53"")"),0)</f>
        <v>0</v>
      </c>
      <c r="M329" s="132">
        <f ca="1">IFERROR(__xludf.DUMMYFUNCTION("IMPORTRANGE(""https://docs.google.com/spreadsheets/d/1-uDff_7J0KD5mKrp0Vvzr7lt3OU09vwQwhkpOPPYv2Y/edit?usp=sharing"",""งบพรบ!EO53"")"),0)</f>
        <v>0</v>
      </c>
      <c r="N329" s="132">
        <f ca="1">IFERROR(__xludf.DUMMYFUNCTION("IMPORTRANGE(""https://docs.google.com/spreadsheets/d/1-uDff_7J0KD5mKrp0Vvzr7lt3OU09vwQwhkpOPPYv2Y/edit?usp=sharing"",""งบพรบ!EQ53"")"),0)</f>
        <v>0</v>
      </c>
      <c r="O329" s="132">
        <f t="shared" ca="1" si="206"/>
        <v>0</v>
      </c>
      <c r="P329" s="132">
        <f t="shared" ca="1" si="207"/>
        <v>0</v>
      </c>
      <c r="Q329" s="74">
        <v>0</v>
      </c>
      <c r="R329" s="74">
        <v>0</v>
      </c>
      <c r="S329" s="74">
        <v>0</v>
      </c>
      <c r="T329" s="132">
        <f t="shared" si="209"/>
        <v>0</v>
      </c>
      <c r="U329" s="132">
        <f t="shared" si="210"/>
        <v>0</v>
      </c>
    </row>
    <row r="330" spans="1:21" ht="19.5" x14ac:dyDescent="0.3">
      <c r="A330" s="222"/>
      <c r="B330" s="223"/>
      <c r="C330" s="210" t="s">
        <v>18</v>
      </c>
      <c r="D330" s="883" t="s">
        <v>38</v>
      </c>
      <c r="E330" s="225"/>
      <c r="F330" s="225"/>
      <c r="G330" s="226"/>
      <c r="H330" s="227"/>
      <c r="I330" s="219"/>
      <c r="J330" s="71"/>
      <c r="K330" s="72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x14ac:dyDescent="0.25">
      <c r="A331" s="222"/>
      <c r="B331" s="223"/>
      <c r="C331" s="223"/>
      <c r="D331" s="567" t="s">
        <v>134</v>
      </c>
      <c r="E331" s="231"/>
      <c r="F331" s="231"/>
      <c r="G331" s="227"/>
      <c r="H331" s="70" t="s">
        <v>133</v>
      </c>
      <c r="I331" s="321">
        <f ca="1">IFERROR(__xludf.DUMMYFUNCTION("IMPORTRANGE(""https://docs.google.com/spreadsheets/d/1eHaY18a8A9IcSdp1K8H6x8fbOy06t2VsZHhMHf-1x7Y/edit?usp=sharing"",""แผน!EJ53"")"),1)</f>
        <v>1</v>
      </c>
      <c r="J331" s="884">
        <v>1</v>
      </c>
      <c r="K331" s="399">
        <f ca="1">IF(I331&gt;0,J331*100/I331,0)</f>
        <v>100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513" t="s">
        <v>135</v>
      </c>
      <c r="B332" s="514"/>
      <c r="C332" s="514"/>
      <c r="D332" s="515"/>
      <c r="E332" s="514"/>
      <c r="F332" s="514"/>
      <c r="G332" s="514"/>
      <c r="H332" s="515"/>
      <c r="I332" s="517"/>
      <c r="J332" s="517"/>
      <c r="K332" s="518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521"/>
      <c r="B333" s="522" t="s">
        <v>136</v>
      </c>
      <c r="C333" s="533"/>
      <c r="D333" s="523"/>
      <c r="E333" s="523"/>
      <c r="F333" s="523"/>
      <c r="G333" s="524"/>
      <c r="H333" s="525" t="s">
        <v>35</v>
      </c>
      <c r="I333" s="534">
        <f ca="1">I345</f>
        <v>1060</v>
      </c>
      <c r="J333" s="535">
        <f ca="1">J345+J348+J349+J350+J354</f>
        <v>3204</v>
      </c>
      <c r="K333" s="536">
        <f ca="1">IF(I333&gt;0,J333*100/I333,0)</f>
        <v>302.2641509433962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09"/>
      <c r="B334" s="67"/>
      <c r="C334" s="210" t="s">
        <v>18</v>
      </c>
      <c r="D334" s="879" t="s">
        <v>19</v>
      </c>
      <c r="E334" s="67"/>
      <c r="F334" s="67"/>
      <c r="G334" s="69"/>
      <c r="H334" s="212" t="s">
        <v>14</v>
      </c>
      <c r="I334" s="71"/>
      <c r="J334" s="71"/>
      <c r="K334" s="72"/>
      <c r="L334" s="214">
        <f t="shared" ref="L334:N334" ca="1" si="217">L335+L336</f>
        <v>106000</v>
      </c>
      <c r="M334" s="215">
        <f t="shared" ca="1" si="217"/>
        <v>111000</v>
      </c>
      <c r="N334" s="215">
        <f t="shared" ca="1" si="217"/>
        <v>74380</v>
      </c>
      <c r="O334" s="215">
        <f t="shared" ref="O334:O342" ca="1" si="218">IF(L334&gt;0,N334*100/L334,0)</f>
        <v>70.169811320754718</v>
      </c>
      <c r="P334" s="215">
        <f t="shared" ref="P334:P342" ca="1" si="219">IF(M334&gt;0,N334*100/M334,0)</f>
        <v>67.009009009009006</v>
      </c>
      <c r="Q334" s="215">
        <f t="shared" ref="Q334:S334" si="220">Q335+Q336</f>
        <v>0</v>
      </c>
      <c r="R334" s="215">
        <f t="shared" si="220"/>
        <v>0</v>
      </c>
      <c r="S334" s="215">
        <f t="shared" si="220"/>
        <v>0</v>
      </c>
      <c r="T334" s="215">
        <f t="shared" ref="T334:T342" si="221">IF(Q334&gt;0,S334*100/Q334,0)</f>
        <v>0</v>
      </c>
      <c r="U334" s="215">
        <f t="shared" ref="U334:U342" si="222">IF(R334&gt;0,S334*100/R334,0)</f>
        <v>0</v>
      </c>
    </row>
    <row r="335" spans="1:21" ht="18.75" hidden="1" x14ac:dyDescent="0.25">
      <c r="A335" s="880"/>
      <c r="B335" s="838"/>
      <c r="C335" s="838"/>
      <c r="D335" s="838"/>
      <c r="E335" s="265" t="s">
        <v>20</v>
      </c>
      <c r="F335" s="838"/>
      <c r="G335" s="839"/>
      <c r="H335" s="266" t="s">
        <v>14</v>
      </c>
      <c r="I335" s="841"/>
      <c r="J335" s="841"/>
      <c r="K335" s="842"/>
      <c r="L335" s="217">
        <f t="shared" ref="L335:N336" si="223">L338+L341</f>
        <v>0</v>
      </c>
      <c r="M335" s="133">
        <f t="shared" si="223"/>
        <v>0</v>
      </c>
      <c r="N335" s="133">
        <f t="shared" si="223"/>
        <v>0</v>
      </c>
      <c r="O335" s="133">
        <f t="shared" si="218"/>
        <v>0</v>
      </c>
      <c r="P335" s="133">
        <f t="shared" si="219"/>
        <v>0</v>
      </c>
      <c r="Q335" s="133">
        <f t="shared" ref="Q335:S336" si="224">Q338+Q341</f>
        <v>0</v>
      </c>
      <c r="R335" s="133">
        <f t="shared" si="224"/>
        <v>0</v>
      </c>
      <c r="S335" s="133">
        <f t="shared" si="224"/>
        <v>0</v>
      </c>
      <c r="T335" s="133">
        <f t="shared" si="221"/>
        <v>0</v>
      </c>
      <c r="U335" s="133">
        <f t="shared" si="222"/>
        <v>0</v>
      </c>
    </row>
    <row r="336" spans="1:21" ht="18.75" hidden="1" x14ac:dyDescent="0.25">
      <c r="A336" s="209"/>
      <c r="B336" s="67"/>
      <c r="C336" s="67"/>
      <c r="D336" s="67"/>
      <c r="E336" s="440" t="s">
        <v>21</v>
      </c>
      <c r="F336" s="67"/>
      <c r="G336" s="69"/>
      <c r="H336" s="216" t="s">
        <v>14</v>
      </c>
      <c r="I336" s="71"/>
      <c r="J336" s="71"/>
      <c r="K336" s="72"/>
      <c r="L336" s="131">
        <f t="shared" ca="1" si="223"/>
        <v>106000</v>
      </c>
      <c r="M336" s="132">
        <f t="shared" ca="1" si="223"/>
        <v>111000</v>
      </c>
      <c r="N336" s="132">
        <f t="shared" ca="1" si="223"/>
        <v>74380</v>
      </c>
      <c r="O336" s="132">
        <f t="shared" ca="1" si="218"/>
        <v>70.169811320754718</v>
      </c>
      <c r="P336" s="132">
        <f t="shared" ca="1" si="219"/>
        <v>67.009009009009006</v>
      </c>
      <c r="Q336" s="132">
        <f t="shared" si="224"/>
        <v>0</v>
      </c>
      <c r="R336" s="132">
        <f t="shared" si="224"/>
        <v>0</v>
      </c>
      <c r="S336" s="132">
        <f t="shared" si="224"/>
        <v>0</v>
      </c>
      <c r="T336" s="132">
        <f t="shared" si="221"/>
        <v>0</v>
      </c>
      <c r="U336" s="132">
        <f t="shared" si="222"/>
        <v>0</v>
      </c>
    </row>
    <row r="337" spans="1:21" ht="18.75" x14ac:dyDescent="0.25">
      <c r="A337" s="209"/>
      <c r="B337" s="67"/>
      <c r="C337" s="67"/>
      <c r="D337" s="836" t="s">
        <v>22</v>
      </c>
      <c r="E337" s="67"/>
      <c r="F337" s="67"/>
      <c r="G337" s="69"/>
      <c r="H337" s="218" t="s">
        <v>14</v>
      </c>
      <c r="I337" s="219"/>
      <c r="J337" s="219"/>
      <c r="K337" s="220"/>
      <c r="L337" s="131">
        <f t="shared" ref="L337:N337" ca="1" si="225">L338+L339</f>
        <v>106000</v>
      </c>
      <c r="M337" s="132">
        <f t="shared" ca="1" si="225"/>
        <v>111000</v>
      </c>
      <c r="N337" s="132">
        <f t="shared" ca="1" si="225"/>
        <v>74380</v>
      </c>
      <c r="O337" s="132">
        <f t="shared" ca="1" si="218"/>
        <v>70.169811320754718</v>
      </c>
      <c r="P337" s="132">
        <f t="shared" ca="1" si="219"/>
        <v>67.009009009009006</v>
      </c>
      <c r="Q337" s="132">
        <f t="shared" ref="Q337:S337" si="226">Q338+Q339</f>
        <v>0</v>
      </c>
      <c r="R337" s="132">
        <f t="shared" si="226"/>
        <v>0</v>
      </c>
      <c r="S337" s="132">
        <f t="shared" si="226"/>
        <v>0</v>
      </c>
      <c r="T337" s="132">
        <f t="shared" si="221"/>
        <v>0</v>
      </c>
      <c r="U337" s="132">
        <f t="shared" si="222"/>
        <v>0</v>
      </c>
    </row>
    <row r="338" spans="1:21" ht="18.75" hidden="1" x14ac:dyDescent="0.25">
      <c r="A338" s="880"/>
      <c r="B338" s="838"/>
      <c r="C338" s="838"/>
      <c r="D338" s="838"/>
      <c r="E338" s="265" t="s">
        <v>36</v>
      </c>
      <c r="F338" s="838"/>
      <c r="G338" s="839"/>
      <c r="H338" s="273" t="s">
        <v>14</v>
      </c>
      <c r="I338" s="881"/>
      <c r="J338" s="881"/>
      <c r="K338" s="882"/>
      <c r="L338" s="76">
        <v>0</v>
      </c>
      <c r="M338" s="77">
        <v>0</v>
      </c>
      <c r="N338" s="77">
        <v>0</v>
      </c>
      <c r="O338" s="133">
        <f t="shared" si="218"/>
        <v>0</v>
      </c>
      <c r="P338" s="133">
        <f t="shared" si="219"/>
        <v>0</v>
      </c>
      <c r="Q338" s="77">
        <v>0</v>
      </c>
      <c r="R338" s="77">
        <v>0</v>
      </c>
      <c r="S338" s="77">
        <v>0</v>
      </c>
      <c r="T338" s="133">
        <f t="shared" si="221"/>
        <v>0</v>
      </c>
      <c r="U338" s="133">
        <f t="shared" si="222"/>
        <v>0</v>
      </c>
    </row>
    <row r="339" spans="1:21" ht="18.75" hidden="1" x14ac:dyDescent="0.25">
      <c r="A339" s="209"/>
      <c r="B339" s="67"/>
      <c r="C339" s="67"/>
      <c r="D339" s="67"/>
      <c r="E339" s="440" t="s">
        <v>37</v>
      </c>
      <c r="F339" s="67"/>
      <c r="G339" s="69"/>
      <c r="H339" s="218" t="s">
        <v>14</v>
      </c>
      <c r="I339" s="219"/>
      <c r="J339" s="219"/>
      <c r="K339" s="220"/>
      <c r="L339" s="131">
        <f ca="1">IFERROR(__xludf.DUMMYFUNCTION("IMPORTRANGE(""https://docs.google.com/spreadsheets/d/1-uDff_7J0KD5mKrp0Vvzr7lt3OU09vwQwhkpOPPYv2Y/edit?usp=sharing"",""งบพรบ!ES53"")"),106000)</f>
        <v>106000</v>
      </c>
      <c r="M339" s="132">
        <f ca="1">IFERROR(__xludf.DUMMYFUNCTION("IMPORTRANGE(""https://docs.google.com/spreadsheets/d/1-uDff_7J0KD5mKrp0Vvzr7lt3OU09vwQwhkpOPPYv2Y/edit?usp=sharing"",""งบพรบ!EX53"")"),111000)</f>
        <v>111000</v>
      </c>
      <c r="N339" s="132">
        <f ca="1">IFERROR(__xludf.DUMMYFUNCTION("IMPORTRANGE(""https://docs.google.com/spreadsheets/d/1-uDff_7J0KD5mKrp0Vvzr7lt3OU09vwQwhkpOPPYv2Y/edit?usp=sharing"",""งบพรบ!EZ53"")"),74380)</f>
        <v>74380</v>
      </c>
      <c r="O339" s="132">
        <f t="shared" ca="1" si="218"/>
        <v>70.169811320754718</v>
      </c>
      <c r="P339" s="132">
        <f t="shared" ca="1" si="219"/>
        <v>67.009009009009006</v>
      </c>
      <c r="Q339" s="74">
        <v>0</v>
      </c>
      <c r="R339" s="74">
        <v>0</v>
      </c>
      <c r="S339" s="74">
        <v>0</v>
      </c>
      <c r="T339" s="132">
        <f t="shared" si="221"/>
        <v>0</v>
      </c>
      <c r="U339" s="132">
        <f t="shared" si="222"/>
        <v>0</v>
      </c>
    </row>
    <row r="340" spans="1:21" ht="18.75" x14ac:dyDescent="0.25">
      <c r="A340" s="209"/>
      <c r="B340" s="67"/>
      <c r="C340" s="67"/>
      <c r="D340" s="836" t="s">
        <v>23</v>
      </c>
      <c r="E340" s="67"/>
      <c r="F340" s="67"/>
      <c r="G340" s="69"/>
      <c r="H340" s="221" t="s">
        <v>14</v>
      </c>
      <c r="I340" s="219"/>
      <c r="J340" s="219"/>
      <c r="K340" s="220"/>
      <c r="L340" s="131">
        <f t="shared" ref="L340:N340" ca="1" si="227">L341+L342</f>
        <v>0</v>
      </c>
      <c r="M340" s="132">
        <f t="shared" ca="1" si="227"/>
        <v>0</v>
      </c>
      <c r="N340" s="132">
        <f t="shared" ca="1" si="227"/>
        <v>0</v>
      </c>
      <c r="O340" s="132">
        <f t="shared" ca="1" si="218"/>
        <v>0</v>
      </c>
      <c r="P340" s="132">
        <f t="shared" ca="1" si="219"/>
        <v>0</v>
      </c>
      <c r="Q340" s="132">
        <f t="shared" ref="Q340:S340" si="228">Q341+Q342</f>
        <v>0</v>
      </c>
      <c r="R340" s="132">
        <f t="shared" si="228"/>
        <v>0</v>
      </c>
      <c r="S340" s="132">
        <f t="shared" si="228"/>
        <v>0</v>
      </c>
      <c r="T340" s="132">
        <f t="shared" si="221"/>
        <v>0</v>
      </c>
      <c r="U340" s="132">
        <f t="shared" si="222"/>
        <v>0</v>
      </c>
    </row>
    <row r="341" spans="1:21" ht="18.75" hidden="1" x14ac:dyDescent="0.25">
      <c r="A341" s="880"/>
      <c r="B341" s="838"/>
      <c r="C341" s="838"/>
      <c r="D341" s="838"/>
      <c r="E341" s="265" t="s">
        <v>20</v>
      </c>
      <c r="F341" s="838"/>
      <c r="G341" s="839"/>
      <c r="H341" s="273" t="s">
        <v>14</v>
      </c>
      <c r="I341" s="881"/>
      <c r="J341" s="881"/>
      <c r="K341" s="882"/>
      <c r="L341" s="76">
        <v>0</v>
      </c>
      <c r="M341" s="77">
        <v>0</v>
      </c>
      <c r="N341" s="77">
        <v>0</v>
      </c>
      <c r="O341" s="133">
        <f t="shared" si="218"/>
        <v>0</v>
      </c>
      <c r="P341" s="133">
        <f t="shared" si="219"/>
        <v>0</v>
      </c>
      <c r="Q341" s="77">
        <v>0</v>
      </c>
      <c r="R341" s="77">
        <v>0</v>
      </c>
      <c r="S341" s="77">
        <v>0</v>
      </c>
      <c r="T341" s="133">
        <f t="shared" si="221"/>
        <v>0</v>
      </c>
      <c r="U341" s="133">
        <f t="shared" si="222"/>
        <v>0</v>
      </c>
    </row>
    <row r="342" spans="1:21" ht="18.75" hidden="1" x14ac:dyDescent="0.25">
      <c r="A342" s="209"/>
      <c r="B342" s="67"/>
      <c r="C342" s="67"/>
      <c r="D342" s="67"/>
      <c r="E342" s="440" t="s">
        <v>21</v>
      </c>
      <c r="F342" s="67"/>
      <c r="G342" s="69"/>
      <c r="H342" s="221" t="s">
        <v>14</v>
      </c>
      <c r="I342" s="219"/>
      <c r="J342" s="219"/>
      <c r="K342" s="220"/>
      <c r="L342" s="131">
        <f ca="1">IFERROR(__xludf.DUMMYFUNCTION("IMPORTRANGE(""https://docs.google.com/spreadsheets/d/1-uDff_7J0KD5mKrp0Vvzr7lt3OU09vwQwhkpOPPYv2Y/edit?usp=sharing"",""งบพรบ!EV53"")"),0)</f>
        <v>0</v>
      </c>
      <c r="M342" s="132">
        <f ca="1">IFERROR(__xludf.DUMMYFUNCTION("IMPORTRANGE(""https://docs.google.com/spreadsheets/d/1-uDff_7J0KD5mKrp0Vvzr7lt3OU09vwQwhkpOPPYv2Y/edit?usp=sharing"",""งบพรบ!EY53"")"),0)</f>
        <v>0</v>
      </c>
      <c r="N342" s="132">
        <f ca="1">IFERROR(__xludf.DUMMYFUNCTION("IMPORTRANGE(""https://docs.google.com/spreadsheets/d/1-uDff_7J0KD5mKrp0Vvzr7lt3OU09vwQwhkpOPPYv2Y/edit?usp=sharing"",""งบพรบ!FA53"")"),0)</f>
        <v>0</v>
      </c>
      <c r="O342" s="132">
        <f t="shared" ca="1" si="218"/>
        <v>0</v>
      </c>
      <c r="P342" s="132">
        <f t="shared" ca="1" si="219"/>
        <v>0</v>
      </c>
      <c r="Q342" s="74">
        <v>0</v>
      </c>
      <c r="R342" s="74">
        <v>0</v>
      </c>
      <c r="S342" s="74">
        <v>0</v>
      </c>
      <c r="T342" s="132">
        <f t="shared" si="221"/>
        <v>0</v>
      </c>
      <c r="U342" s="132">
        <f t="shared" si="222"/>
        <v>0</v>
      </c>
    </row>
    <row r="343" spans="1:21" ht="19.5" x14ac:dyDescent="0.3">
      <c r="A343" s="222"/>
      <c r="B343" s="223"/>
      <c r="C343" s="210" t="s">
        <v>18</v>
      </c>
      <c r="D343" s="537" t="s">
        <v>38</v>
      </c>
      <c r="E343" s="225"/>
      <c r="F343" s="225"/>
      <c r="G343" s="225"/>
      <c r="H343" s="538"/>
      <c r="I343" s="539"/>
      <c r="J343" s="539"/>
      <c r="K343" s="540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927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551" t="s">
        <v>35</v>
      </c>
      <c r="I345" s="293">
        <f ca="1">IFERROR(__xludf.DUMMYFUNCTION("IMPORTRANGE(""https://docs.google.com/spreadsheets/d/1eHaY18a8A9IcSdp1K8H6x8fbOy06t2VsZHhMHf-1x7Y/edit?usp=sharing"",""แผน!EK53"")"),1060)</f>
        <v>1060</v>
      </c>
      <c r="J345" s="293">
        <f ca="1">IFERROR(__xludf.DUMMYFUNCTION("IMPORTRANGE(""https://docs.google.com/spreadsheets/d/1awYsYK3VOup2i3Pq_Yjnu8DRu_mYwSBnCR2QPthd0rU/edit?usp=sharing"",""ศูนย์ยกเว้นโฉนด!D53"")"),854)</f>
        <v>854</v>
      </c>
      <c r="K345" s="74">
        <f ca="1">IF(I345&gt;0,J345*100/I345,0)</f>
        <v>80.566037735849051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IFERROR(__xludf.DUMMYFUNCTION("IMPORTRANGE(""https://docs.google.com/spreadsheets/d/1eHaY18a8A9IcSdp1K8H6x8fbOy06t2VsZHhMHf-1x7Y/edit?usp=sharing"",""แผน!EL53"")"),3)</f>
        <v>3</v>
      </c>
      <c r="J347" s="293">
        <f ca="1">IFERROR(__xludf.DUMMYFUNCTION("IMPORTRANGE(""https://docs.google.com/spreadsheets/d/1awYsYK3VOup2i3Pq_Yjnu8DRu_mYwSBnCR2QPthd0rU/edit?usp=sharing"",""ศูนย์รวม!E53"")"),0)</f>
        <v>0</v>
      </c>
      <c r="K347" s="74">
        <f ca="1">IF(I347&gt;0,J347*100/I347,0)</f>
        <v>0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IFERROR(__xludf.DUMMYFUNCTION("IMPORTRANGE(""https://docs.google.com/spreadsheets/d/1awYsYK3VOup2i3Pq_Yjnu8DRu_mYwSBnCR2QPthd0rU/edit?usp=sharing"",""ศูนย์ยกเว้นโฉนด!F53"")"),0)</f>
        <v>0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IFERROR(__xludf.DUMMYFUNCTION("IMPORTRANGE(""https://docs.google.com/spreadsheets/d/1awYsYK3VOup2i3Pq_Yjnu8DRu_mYwSBnCR2QPthd0rU/edit?usp=sharing"",""ศูนย์ยกเว้นโฉนด!G53"")"),13)</f>
        <v>13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IFERROR(__xludf.DUMMYFUNCTION("IMPORTRANGE(""https://docs.google.com/spreadsheets/d/1awYsYK3VOup2i3Pq_Yjnu8DRu_mYwSBnCR2QPthd0rU/edit?usp=sharing"",""ศูนย์ยกเว้นโฉนด!H53"")"),60)</f>
        <v>60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558" t="s">
        <v>35</v>
      </c>
      <c r="I352" s="559">
        <v>0</v>
      </c>
      <c r="J352" s="559">
        <f ca="1">J353+J354</f>
        <v>2330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IFERROR(__xludf.DUMMYFUNCTION("IMPORTRANGE(""https://docs.google.com/spreadsheets/d/1awYsYK3VOup2i3Pq_Yjnu8DRu_mYwSBnCR2QPthd0rU/edit?usp=sharing"",""โฉนดM3!G53"")"),53)</f>
        <v>53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IFERROR(__xludf.DUMMYFUNCTION("IMPORTRANGE(""https://docs.google.com/spreadsheets/d/1awYsYK3VOup2i3Pq_Yjnu8DRu_mYwSBnCR2QPthd0rU/edit?usp=sharing"",""โฉนดM3!H53"")"),2277)</f>
        <v>2277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521"/>
      <c r="B356" s="522" t="s">
        <v>148</v>
      </c>
      <c r="C356" s="533"/>
      <c r="D356" s="523"/>
      <c r="E356" s="523"/>
      <c r="F356" s="523"/>
      <c r="G356" s="524"/>
      <c r="H356" s="524"/>
      <c r="I356" s="561"/>
      <c r="J356" s="561"/>
      <c r="K356" s="528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09"/>
      <c r="B357" s="67"/>
      <c r="C357" s="210" t="s">
        <v>18</v>
      </c>
      <c r="D357" s="879" t="s">
        <v>19</v>
      </c>
      <c r="E357" s="67"/>
      <c r="F357" s="67"/>
      <c r="G357" s="69"/>
      <c r="H357" s="212" t="s">
        <v>14</v>
      </c>
      <c r="I357" s="71"/>
      <c r="J357" s="71"/>
      <c r="K357" s="72"/>
      <c r="L357" s="214">
        <f t="shared" ref="L357:N357" ca="1" si="229">L358+L359</f>
        <v>756670</v>
      </c>
      <c r="M357" s="215">
        <f t="shared" ca="1" si="229"/>
        <v>802845</v>
      </c>
      <c r="N357" s="215">
        <f t="shared" ca="1" si="229"/>
        <v>221683</v>
      </c>
      <c r="O357" s="215">
        <f t="shared" ref="O357:O365" ca="1" si="230">IF(L357&gt;0,N357*100/L357,0)</f>
        <v>29.29718371284708</v>
      </c>
      <c r="P357" s="215">
        <f t="shared" ref="P357:P365" ca="1" si="231">IF(M357&gt;0,N357*100/M357,0)</f>
        <v>27.612179187763516</v>
      </c>
      <c r="Q357" s="215">
        <f t="shared" ref="Q357:S357" si="232">Q358+Q359</f>
        <v>0</v>
      </c>
      <c r="R357" s="215">
        <f t="shared" si="232"/>
        <v>0</v>
      </c>
      <c r="S357" s="215">
        <f t="shared" si="232"/>
        <v>0</v>
      </c>
      <c r="T357" s="215">
        <f t="shared" ref="T357:T365" si="233">IF(Q357&gt;0,S357*100/Q357,0)</f>
        <v>0</v>
      </c>
      <c r="U357" s="215">
        <f t="shared" ref="U357:U365" si="234">IF(R357&gt;0,S357*100/R357,0)</f>
        <v>0</v>
      </c>
    </row>
    <row r="358" spans="1:21" ht="18.75" hidden="1" x14ac:dyDescent="0.25">
      <c r="A358" s="880"/>
      <c r="B358" s="838"/>
      <c r="C358" s="838"/>
      <c r="D358" s="838"/>
      <c r="E358" s="265" t="s">
        <v>20</v>
      </c>
      <c r="F358" s="838"/>
      <c r="G358" s="839"/>
      <c r="H358" s="266" t="s">
        <v>14</v>
      </c>
      <c r="I358" s="841"/>
      <c r="J358" s="841"/>
      <c r="K358" s="842"/>
      <c r="L358" s="217">
        <f t="shared" ref="L358:N359" si="235">L361+L364</f>
        <v>0</v>
      </c>
      <c r="M358" s="133">
        <f t="shared" si="235"/>
        <v>0</v>
      </c>
      <c r="N358" s="133">
        <f t="shared" si="235"/>
        <v>0</v>
      </c>
      <c r="O358" s="133">
        <f t="shared" si="230"/>
        <v>0</v>
      </c>
      <c r="P358" s="133">
        <f t="shared" si="231"/>
        <v>0</v>
      </c>
      <c r="Q358" s="133">
        <f t="shared" ref="Q358:S359" si="236">Q361+Q364</f>
        <v>0</v>
      </c>
      <c r="R358" s="133">
        <f t="shared" si="236"/>
        <v>0</v>
      </c>
      <c r="S358" s="133">
        <f t="shared" si="236"/>
        <v>0</v>
      </c>
      <c r="T358" s="133">
        <f t="shared" si="233"/>
        <v>0</v>
      </c>
      <c r="U358" s="133">
        <f t="shared" si="234"/>
        <v>0</v>
      </c>
    </row>
    <row r="359" spans="1:21" ht="18.75" hidden="1" x14ac:dyDescent="0.25">
      <c r="A359" s="209"/>
      <c r="B359" s="67"/>
      <c r="C359" s="67"/>
      <c r="D359" s="67"/>
      <c r="E359" s="440" t="s">
        <v>21</v>
      </c>
      <c r="F359" s="67"/>
      <c r="G359" s="69"/>
      <c r="H359" s="216" t="s">
        <v>14</v>
      </c>
      <c r="I359" s="71"/>
      <c r="J359" s="71"/>
      <c r="K359" s="72"/>
      <c r="L359" s="131">
        <f t="shared" ca="1" si="235"/>
        <v>756670</v>
      </c>
      <c r="M359" s="132">
        <f t="shared" ca="1" si="235"/>
        <v>802845</v>
      </c>
      <c r="N359" s="132">
        <f t="shared" ca="1" si="235"/>
        <v>221683</v>
      </c>
      <c r="O359" s="132">
        <f t="shared" ca="1" si="230"/>
        <v>29.29718371284708</v>
      </c>
      <c r="P359" s="132">
        <f t="shared" ca="1" si="231"/>
        <v>27.612179187763516</v>
      </c>
      <c r="Q359" s="132">
        <f t="shared" si="236"/>
        <v>0</v>
      </c>
      <c r="R359" s="132">
        <f t="shared" si="236"/>
        <v>0</v>
      </c>
      <c r="S359" s="132">
        <f t="shared" si="236"/>
        <v>0</v>
      </c>
      <c r="T359" s="132">
        <f t="shared" si="233"/>
        <v>0</v>
      </c>
      <c r="U359" s="132">
        <f t="shared" si="234"/>
        <v>0</v>
      </c>
    </row>
    <row r="360" spans="1:21" ht="18.75" x14ac:dyDescent="0.25">
      <c r="A360" s="209"/>
      <c r="B360" s="67"/>
      <c r="C360" s="67"/>
      <c r="D360" s="836" t="s">
        <v>22</v>
      </c>
      <c r="E360" s="67"/>
      <c r="F360" s="67"/>
      <c r="G360" s="69"/>
      <c r="H360" s="218" t="s">
        <v>14</v>
      </c>
      <c r="I360" s="219"/>
      <c r="J360" s="219"/>
      <c r="K360" s="220"/>
      <c r="L360" s="131">
        <f t="shared" ref="L360:N360" ca="1" si="237">L361+L362</f>
        <v>756670</v>
      </c>
      <c r="M360" s="132">
        <f t="shared" ca="1" si="237"/>
        <v>802845</v>
      </c>
      <c r="N360" s="132">
        <f t="shared" ca="1" si="237"/>
        <v>221683</v>
      </c>
      <c r="O360" s="132">
        <f t="shared" ca="1" si="230"/>
        <v>29.29718371284708</v>
      </c>
      <c r="P360" s="132">
        <f t="shared" ca="1" si="231"/>
        <v>27.612179187763516</v>
      </c>
      <c r="Q360" s="132">
        <f t="shared" ref="Q360:S360" si="238">Q361+Q362</f>
        <v>0</v>
      </c>
      <c r="R360" s="132">
        <f t="shared" si="238"/>
        <v>0</v>
      </c>
      <c r="S360" s="132">
        <f t="shared" si="238"/>
        <v>0</v>
      </c>
      <c r="T360" s="132">
        <f t="shared" si="233"/>
        <v>0</v>
      </c>
      <c r="U360" s="132">
        <f t="shared" si="234"/>
        <v>0</v>
      </c>
    </row>
    <row r="361" spans="1:21" ht="18.75" hidden="1" x14ac:dyDescent="0.25">
      <c r="A361" s="880"/>
      <c r="B361" s="838"/>
      <c r="C361" s="838"/>
      <c r="D361" s="838"/>
      <c r="E361" s="265" t="s">
        <v>36</v>
      </c>
      <c r="F361" s="838"/>
      <c r="G361" s="839"/>
      <c r="H361" s="273" t="s">
        <v>14</v>
      </c>
      <c r="I361" s="881"/>
      <c r="J361" s="881"/>
      <c r="K361" s="882"/>
      <c r="L361" s="76">
        <v>0</v>
      </c>
      <c r="M361" s="77">
        <v>0</v>
      </c>
      <c r="N361" s="77">
        <v>0</v>
      </c>
      <c r="O361" s="133">
        <f t="shared" si="230"/>
        <v>0</v>
      </c>
      <c r="P361" s="133">
        <f t="shared" si="231"/>
        <v>0</v>
      </c>
      <c r="Q361" s="77">
        <v>0</v>
      </c>
      <c r="R361" s="77">
        <v>0</v>
      </c>
      <c r="S361" s="77">
        <v>0</v>
      </c>
      <c r="T361" s="133">
        <f t="shared" si="233"/>
        <v>0</v>
      </c>
      <c r="U361" s="133">
        <f t="shared" si="234"/>
        <v>0</v>
      </c>
    </row>
    <row r="362" spans="1:21" ht="18.75" hidden="1" x14ac:dyDescent="0.25">
      <c r="A362" s="209"/>
      <c r="B362" s="67"/>
      <c r="C362" s="67"/>
      <c r="D362" s="67"/>
      <c r="E362" s="440" t="s">
        <v>37</v>
      </c>
      <c r="F362" s="67"/>
      <c r="G362" s="69"/>
      <c r="H362" s="218" t="s">
        <v>14</v>
      </c>
      <c r="I362" s="219"/>
      <c r="J362" s="219"/>
      <c r="K362" s="220"/>
      <c r="L362" s="131">
        <f ca="1">IFERROR(__xludf.DUMMYFUNCTION("IMPORTRANGE(""https://docs.google.com/spreadsheets/d/1-uDff_7J0KD5mKrp0Vvzr7lt3OU09vwQwhkpOPPYv2Y/edit?usp=sharing"",""งบพรบ!FC53"")"),756670)</f>
        <v>756670</v>
      </c>
      <c r="M362" s="132">
        <f ca="1">IFERROR(__xludf.DUMMYFUNCTION("IMPORTRANGE(""https://docs.google.com/spreadsheets/d/1-uDff_7J0KD5mKrp0Vvzr7lt3OU09vwQwhkpOPPYv2Y/edit?usp=sharing"",""งบพรบ!FH53"")"),802845)</f>
        <v>802845</v>
      </c>
      <c r="N362" s="132">
        <f ca="1">IFERROR(__xludf.DUMMYFUNCTION("IMPORTRANGE(""https://docs.google.com/spreadsheets/d/1-uDff_7J0KD5mKrp0Vvzr7lt3OU09vwQwhkpOPPYv2Y/edit?usp=sharing"",""งบพรบ!FJ53"")"),221683)</f>
        <v>221683</v>
      </c>
      <c r="O362" s="132">
        <f t="shared" ca="1" si="230"/>
        <v>29.29718371284708</v>
      </c>
      <c r="P362" s="132">
        <f t="shared" ca="1" si="231"/>
        <v>27.612179187763516</v>
      </c>
      <c r="Q362" s="74">
        <v>0</v>
      </c>
      <c r="R362" s="74">
        <v>0</v>
      </c>
      <c r="S362" s="74">
        <v>0</v>
      </c>
      <c r="T362" s="132">
        <f t="shared" si="233"/>
        <v>0</v>
      </c>
      <c r="U362" s="132">
        <f t="shared" si="234"/>
        <v>0</v>
      </c>
    </row>
    <row r="363" spans="1:21" ht="18.75" x14ac:dyDescent="0.25">
      <c r="A363" s="209"/>
      <c r="B363" s="67"/>
      <c r="C363" s="67"/>
      <c r="D363" s="836" t="s">
        <v>23</v>
      </c>
      <c r="E363" s="67"/>
      <c r="F363" s="67"/>
      <c r="G363" s="69"/>
      <c r="H363" s="221" t="s">
        <v>14</v>
      </c>
      <c r="I363" s="219"/>
      <c r="J363" s="219"/>
      <c r="K363" s="220"/>
      <c r="L363" s="131">
        <f t="shared" ref="L363:N363" ca="1" si="239">L364+L365</f>
        <v>0</v>
      </c>
      <c r="M363" s="132">
        <f t="shared" ca="1" si="239"/>
        <v>0</v>
      </c>
      <c r="N363" s="132">
        <f t="shared" ca="1" si="239"/>
        <v>0</v>
      </c>
      <c r="O363" s="132">
        <f t="shared" ca="1" si="230"/>
        <v>0</v>
      </c>
      <c r="P363" s="132">
        <f t="shared" ca="1" si="231"/>
        <v>0</v>
      </c>
      <c r="Q363" s="132">
        <f t="shared" ref="Q363:S363" si="240">Q364+Q365</f>
        <v>0</v>
      </c>
      <c r="R363" s="132">
        <f t="shared" si="240"/>
        <v>0</v>
      </c>
      <c r="S363" s="132">
        <f t="shared" si="240"/>
        <v>0</v>
      </c>
      <c r="T363" s="132">
        <f t="shared" si="233"/>
        <v>0</v>
      </c>
      <c r="U363" s="132">
        <f t="shared" si="234"/>
        <v>0</v>
      </c>
    </row>
    <row r="364" spans="1:21" ht="18.75" hidden="1" x14ac:dyDescent="0.25">
      <c r="A364" s="880"/>
      <c r="B364" s="838"/>
      <c r="C364" s="838"/>
      <c r="D364" s="838"/>
      <c r="E364" s="265" t="s">
        <v>20</v>
      </c>
      <c r="F364" s="838"/>
      <c r="G364" s="839"/>
      <c r="H364" s="273" t="s">
        <v>14</v>
      </c>
      <c r="I364" s="881"/>
      <c r="J364" s="881"/>
      <c r="K364" s="882"/>
      <c r="L364" s="76">
        <v>0</v>
      </c>
      <c r="M364" s="77">
        <v>0</v>
      </c>
      <c r="N364" s="77">
        <v>0</v>
      </c>
      <c r="O364" s="133">
        <f t="shared" si="230"/>
        <v>0</v>
      </c>
      <c r="P364" s="133">
        <f t="shared" si="231"/>
        <v>0</v>
      </c>
      <c r="Q364" s="77">
        <v>0</v>
      </c>
      <c r="R364" s="77">
        <v>0</v>
      </c>
      <c r="S364" s="77">
        <v>0</v>
      </c>
      <c r="T364" s="133">
        <f t="shared" si="233"/>
        <v>0</v>
      </c>
      <c r="U364" s="133">
        <f t="shared" si="234"/>
        <v>0</v>
      </c>
    </row>
    <row r="365" spans="1:21" ht="18.75" hidden="1" x14ac:dyDescent="0.25">
      <c r="A365" s="209"/>
      <c r="B365" s="67"/>
      <c r="C365" s="67"/>
      <c r="D365" s="67"/>
      <c r="E365" s="440" t="s">
        <v>21</v>
      </c>
      <c r="F365" s="67"/>
      <c r="G365" s="69"/>
      <c r="H365" s="221" t="s">
        <v>14</v>
      </c>
      <c r="I365" s="219"/>
      <c r="J365" s="219"/>
      <c r="K365" s="220"/>
      <c r="L365" s="131">
        <f ca="1">IFERROR(__xludf.DUMMYFUNCTION("IMPORTRANGE(""https://docs.google.com/spreadsheets/d/1-uDff_7J0KD5mKrp0Vvzr7lt3OU09vwQwhkpOPPYv2Y/edit?usp=sharing"",""งบพรบ!FF53"")"),0)</f>
        <v>0</v>
      </c>
      <c r="M365" s="132">
        <f ca="1">IFERROR(__xludf.DUMMYFUNCTION("IMPORTRANGE(""https://docs.google.com/spreadsheets/d/1-uDff_7J0KD5mKrp0Vvzr7lt3OU09vwQwhkpOPPYv2Y/edit?usp=sharing"",""งบพรบ!FI53"")"),0)</f>
        <v>0</v>
      </c>
      <c r="N365" s="132">
        <f ca="1">IFERROR(__xludf.DUMMYFUNCTION("IMPORTRANGE(""https://docs.google.com/spreadsheets/d/1-uDff_7J0KD5mKrp0Vvzr7lt3OU09vwQwhkpOPPYv2Y/edit?usp=sharing"",""งบพรบ!FK53"")"),0)</f>
        <v>0</v>
      </c>
      <c r="O365" s="132">
        <f t="shared" ca="1" si="230"/>
        <v>0</v>
      </c>
      <c r="P365" s="132">
        <f t="shared" ca="1" si="231"/>
        <v>0</v>
      </c>
      <c r="Q365" s="74">
        <v>0</v>
      </c>
      <c r="R365" s="74">
        <v>0</v>
      </c>
      <c r="S365" s="74">
        <v>0</v>
      </c>
      <c r="T365" s="132">
        <f t="shared" si="233"/>
        <v>0</v>
      </c>
      <c r="U365" s="132">
        <f t="shared" si="234"/>
        <v>0</v>
      </c>
    </row>
    <row r="366" spans="1:21" ht="19.5" x14ac:dyDescent="0.3">
      <c r="A366" s="382"/>
      <c r="B366" s="383"/>
      <c r="C366" s="385"/>
      <c r="D366" s="962" t="s">
        <v>149</v>
      </c>
      <c r="E366" s="385"/>
      <c r="F366" s="385"/>
      <c r="G366" s="386"/>
      <c r="H366" s="563" t="s">
        <v>35</v>
      </c>
      <c r="I366" s="565">
        <f t="shared" ref="I366:J366" ca="1" si="241">I372</f>
        <v>138</v>
      </c>
      <c r="J366" s="565">
        <f t="shared" ca="1" si="241"/>
        <v>37</v>
      </c>
      <c r="K366" s="566">
        <f ca="1">IF(I366&gt;0,J366*100/I366,0)</f>
        <v>26.811594202898551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22"/>
      <c r="B367" s="223"/>
      <c r="C367" s="210" t="s">
        <v>18</v>
      </c>
      <c r="D367" s="883" t="s">
        <v>38</v>
      </c>
      <c r="E367" s="225"/>
      <c r="F367" s="225"/>
      <c r="G367" s="226"/>
      <c r="H367" s="227"/>
      <c r="I367" s="71"/>
      <c r="J367" s="71"/>
      <c r="K367" s="72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22"/>
      <c r="B368" s="231"/>
      <c r="C368" s="223"/>
      <c r="D368" s="231"/>
      <c r="E368" s="567" t="s">
        <v>150</v>
      </c>
      <c r="F368" s="231"/>
      <c r="G368" s="227"/>
      <c r="H368" s="242" t="s">
        <v>35</v>
      </c>
      <c r="I368" s="321">
        <v>0</v>
      </c>
      <c r="J368" s="321">
        <f ca="1">IFERROR(__xludf.DUMMYFUNCTION("IMPORTRANGE(""https://docs.google.com/spreadsheets/d/1tdoBKaGub7dwA3U6UFTqxio9LNnvDCQjHKmttSEBsFQ/edit?usp=sharing"",""จัดที่ดิน!AB53"")"),43)</f>
        <v>43</v>
      </c>
      <c r="K368" s="399">
        <f t="shared" ref="K368:K373" si="242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22"/>
      <c r="B369" s="231"/>
      <c r="C369" s="223"/>
      <c r="D369" s="231"/>
      <c r="E369" s="231"/>
      <c r="F369" s="231"/>
      <c r="G369" s="227"/>
      <c r="H369" s="242" t="s">
        <v>46</v>
      </c>
      <c r="I369" s="321">
        <f ca="1">IFERROR(__xludf.DUMMYFUNCTION("IMPORTRANGE(""https://docs.google.com/spreadsheets/d/1eHaY18a8A9IcSdp1K8H6x8fbOy06t2VsZHhMHf-1x7Y/edit?usp=sharing"",""แผน!EW53"")"),1350)</f>
        <v>1350</v>
      </c>
      <c r="J369" s="963">
        <f ca="1">IFERROR(__xludf.DUMMYFUNCTION("IMPORTRANGE(""https://docs.google.com/spreadsheets/d/1tdoBKaGub7dwA3U6UFTqxio9LNnvDCQjHKmttSEBsFQ/edit?usp=sharing"",""จัดที่ดิน!AC53"")"),544.02)</f>
        <v>544.02</v>
      </c>
      <c r="K369" s="399">
        <f t="shared" ca="1" si="242"/>
        <v>40.297777777777775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22"/>
      <c r="B370" s="231"/>
      <c r="C370" s="223"/>
      <c r="D370" s="231"/>
      <c r="E370" s="567" t="s">
        <v>151</v>
      </c>
      <c r="F370" s="231"/>
      <c r="G370" s="227"/>
      <c r="H370" s="401" t="s">
        <v>35</v>
      </c>
      <c r="I370" s="321">
        <f ca="1">IFERROR(__xludf.DUMMYFUNCTION("IMPORTRANGE(""https://docs.google.com/spreadsheets/d/1eHaY18a8A9IcSdp1K8H6x8fbOy06t2VsZHhMHf-1x7Y/edit?usp=sharing"",""แผน!EX53"")"),210)</f>
        <v>210</v>
      </c>
      <c r="J370" s="321">
        <f ca="1">IFERROR(__xludf.DUMMYFUNCTION("IMPORTRANGE(""https://docs.google.com/spreadsheets/d/1tdoBKaGub7dwA3U6UFTqxio9LNnvDCQjHKmttSEBsFQ/edit?usp=sharing"",""จัดที่ดิน!AD53"")"),38)</f>
        <v>38</v>
      </c>
      <c r="K370" s="399">
        <f t="shared" ca="1" si="242"/>
        <v>18.095238095238095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22"/>
      <c r="B371" s="231"/>
      <c r="C371" s="223"/>
      <c r="D371" s="231"/>
      <c r="E371" s="231"/>
      <c r="F371" s="231"/>
      <c r="G371" s="227"/>
      <c r="H371" s="401" t="s">
        <v>46</v>
      </c>
      <c r="I371" s="321">
        <v>0</v>
      </c>
      <c r="J371" s="963">
        <f ca="1">IFERROR(__xludf.DUMMYFUNCTION("IMPORTRANGE(""https://docs.google.com/spreadsheets/d/1tdoBKaGub7dwA3U6UFTqxio9LNnvDCQjHKmttSEBsFQ/edit?usp=sharing"",""จัดที่ดิน!AE53"")"),629.56)</f>
        <v>629.55999999999995</v>
      </c>
      <c r="K371" s="399">
        <f t="shared" si="242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22"/>
      <c r="B372" s="231"/>
      <c r="C372" s="223"/>
      <c r="D372" s="231"/>
      <c r="E372" s="567" t="s">
        <v>152</v>
      </c>
      <c r="F372" s="231"/>
      <c r="G372" s="227"/>
      <c r="H372" s="401" t="s">
        <v>35</v>
      </c>
      <c r="I372" s="321">
        <f ca="1">IFERROR(__xludf.DUMMYFUNCTION("IMPORTRANGE(""https://docs.google.com/spreadsheets/d/1eHaY18a8A9IcSdp1K8H6x8fbOy06t2VsZHhMHf-1x7Y/edit?usp=sharing"",""แผน!EY53"")"),138)</f>
        <v>138</v>
      </c>
      <c r="J372" s="321">
        <f ca="1">IFERROR(__xludf.DUMMYFUNCTION("IMPORTRANGE(""https://docs.google.com/spreadsheets/d/1tdoBKaGub7dwA3U6UFTqxio9LNnvDCQjHKmttSEBsFQ/edit?usp=sharing"",""จัดที่ดิน!AF53"")"),37)</f>
        <v>37</v>
      </c>
      <c r="K372" s="399">
        <f t="shared" ca="1" si="242"/>
        <v>26.811594202898551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568"/>
      <c r="B373" s="454"/>
      <c r="C373" s="452"/>
      <c r="D373" s="454"/>
      <c r="E373" s="454"/>
      <c r="F373" s="454"/>
      <c r="G373" s="455"/>
      <c r="H373" s="569" t="s">
        <v>46</v>
      </c>
      <c r="I373" s="456">
        <v>0</v>
      </c>
      <c r="J373" s="964">
        <f ca="1">IFERROR(__xludf.DUMMYFUNCTION("IMPORTRANGE(""https://docs.google.com/spreadsheets/d/1tdoBKaGub7dwA3U6UFTqxio9LNnvDCQjHKmttSEBsFQ/edit?usp=sharing"",""จัดที่ดิน!AG53"")"),661.65)</f>
        <v>661.65</v>
      </c>
      <c r="K373" s="180">
        <f t="shared" si="242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9.5" x14ac:dyDescent="0.3">
      <c r="A374" s="570"/>
      <c r="B374" s="571"/>
      <c r="C374" s="572"/>
      <c r="D374" s="57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574"/>
      <c r="F374" s="574"/>
      <c r="G374" s="574"/>
      <c r="H374" s="575"/>
      <c r="I374" s="576"/>
      <c r="J374" s="576"/>
      <c r="K374" s="577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hidden="1" x14ac:dyDescent="0.3">
      <c r="A375" s="578"/>
      <c r="B375" s="579" t="s">
        <v>303</v>
      </c>
      <c r="C375" s="580"/>
      <c r="D375" s="581"/>
      <c r="E375" s="582"/>
      <c r="F375" s="582"/>
      <c r="G375" s="583"/>
      <c r="H375" s="584" t="s">
        <v>46</v>
      </c>
      <c r="I375" s="965">
        <f t="shared" ref="I375:J375" si="243">I386</f>
        <v>0</v>
      </c>
      <c r="J375" s="965">
        <f t="shared" si="243"/>
        <v>0</v>
      </c>
      <c r="K375" s="586">
        <f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hidden="1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214">
        <f t="shared" ref="L376:N376" si="244">L377+L378</f>
        <v>0</v>
      </c>
      <c r="M376" s="215">
        <f t="shared" si="244"/>
        <v>0</v>
      </c>
      <c r="N376" s="215">
        <f t="shared" si="244"/>
        <v>0</v>
      </c>
      <c r="O376" s="215">
        <f t="shared" ref="O376:O384" si="245">IF(L376&gt;0,N376*100/L376,0)</f>
        <v>0</v>
      </c>
      <c r="P376" s="215">
        <f t="shared" ref="P376:P384" si="246">IF(M376&gt;0,N376*100/M376,0)</f>
        <v>0</v>
      </c>
      <c r="Q376" s="215">
        <f t="shared" ref="Q376:S376" ca="1" si="247">Q377+Q378</f>
        <v>0</v>
      </c>
      <c r="R376" s="215">
        <f t="shared" ca="1" si="247"/>
        <v>0</v>
      </c>
      <c r="S376" s="215">
        <f t="shared" ca="1" si="247"/>
        <v>0</v>
      </c>
      <c r="T376" s="215">
        <f t="shared" ref="T376:T384" ca="1" si="248">IF(Q376&gt;0,S376*100/Q376,0)</f>
        <v>0</v>
      </c>
      <c r="U376" s="215">
        <f t="shared" ref="U376:U384" ca="1" si="249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217">
        <f t="shared" ref="L377:N378" si="250">L380+L383</f>
        <v>0</v>
      </c>
      <c r="M377" s="133">
        <f t="shared" si="250"/>
        <v>0</v>
      </c>
      <c r="N377" s="133">
        <f t="shared" si="250"/>
        <v>0</v>
      </c>
      <c r="O377" s="133">
        <f t="shared" si="245"/>
        <v>0</v>
      </c>
      <c r="P377" s="133">
        <f t="shared" si="246"/>
        <v>0</v>
      </c>
      <c r="Q377" s="133">
        <f t="shared" ref="Q377:S378" si="251">Q380+Q383</f>
        <v>0</v>
      </c>
      <c r="R377" s="133">
        <f t="shared" si="251"/>
        <v>0</v>
      </c>
      <c r="S377" s="133">
        <f t="shared" si="251"/>
        <v>0</v>
      </c>
      <c r="T377" s="133">
        <f t="shared" si="248"/>
        <v>0</v>
      </c>
      <c r="U377" s="133">
        <f t="shared" si="249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131">
        <f t="shared" si="250"/>
        <v>0</v>
      </c>
      <c r="M378" s="132">
        <f t="shared" si="250"/>
        <v>0</v>
      </c>
      <c r="N378" s="132">
        <f t="shared" si="250"/>
        <v>0</v>
      </c>
      <c r="O378" s="132">
        <f t="shared" si="245"/>
        <v>0</v>
      </c>
      <c r="P378" s="132">
        <f t="shared" si="246"/>
        <v>0</v>
      </c>
      <c r="Q378" s="132">
        <f t="shared" ca="1" si="251"/>
        <v>0</v>
      </c>
      <c r="R378" s="132">
        <f t="shared" ca="1" si="251"/>
        <v>0</v>
      </c>
      <c r="S378" s="132">
        <f t="shared" ca="1" si="251"/>
        <v>0</v>
      </c>
      <c r="T378" s="132">
        <f t="shared" ca="1" si="248"/>
        <v>0</v>
      </c>
      <c r="U378" s="132">
        <f t="shared" ca="1" si="249"/>
        <v>0</v>
      </c>
    </row>
    <row r="379" spans="1:21" ht="18.75" hidden="1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131">
        <f t="shared" ref="L379:N379" si="252">L380+L381</f>
        <v>0</v>
      </c>
      <c r="M379" s="132">
        <f t="shared" si="252"/>
        <v>0</v>
      </c>
      <c r="N379" s="132">
        <f t="shared" si="252"/>
        <v>0</v>
      </c>
      <c r="O379" s="132">
        <f t="shared" si="245"/>
        <v>0</v>
      </c>
      <c r="P379" s="132">
        <f t="shared" si="246"/>
        <v>0</v>
      </c>
      <c r="Q379" s="132">
        <f t="shared" ref="Q379:S379" ca="1" si="253">Q380+Q381</f>
        <v>0</v>
      </c>
      <c r="R379" s="132">
        <f t="shared" ca="1" si="253"/>
        <v>0</v>
      </c>
      <c r="S379" s="132">
        <f t="shared" ca="1" si="253"/>
        <v>0</v>
      </c>
      <c r="T379" s="132">
        <f t="shared" ca="1" si="248"/>
        <v>0</v>
      </c>
      <c r="U379" s="132">
        <f t="shared" ca="1" si="249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133">
        <f t="shared" si="245"/>
        <v>0</v>
      </c>
      <c r="P380" s="133">
        <f t="shared" si="246"/>
        <v>0</v>
      </c>
      <c r="Q380" s="77">
        <v>0</v>
      </c>
      <c r="R380" s="77">
        <v>0</v>
      </c>
      <c r="S380" s="77">
        <v>0</v>
      </c>
      <c r="T380" s="133">
        <f t="shared" si="248"/>
        <v>0</v>
      </c>
      <c r="U380" s="133">
        <f t="shared" si="249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132">
        <f t="shared" si="245"/>
        <v>0</v>
      </c>
      <c r="P381" s="132">
        <f t="shared" si="246"/>
        <v>0</v>
      </c>
      <c r="Q381" s="132">
        <f ca="1">IFERROR(__xludf.DUMMYFUNCTION("IMPORTRANGE(""https://docs.google.com/spreadsheets/d/1ItG2mGa2ceCfYo0BwxsXqNm01IGEUdYcSSLTEv9YCik/edit?usp=sharing"",""เบิกจ่ายกองทุน!AY53"")"),0)</f>
        <v>0</v>
      </c>
      <c r="R381" s="132">
        <f ca="1">IFERROR(__xludf.DUMMYFUNCTION("IMPORTRANGE(""https://docs.google.com/spreadsheets/d/1ItG2mGa2ceCfYo0BwxsXqNm01IGEUdYcSSLTEv9YCik/edit?usp=sharing"",""เบิกจ่ายกองทุน!AZ53"")"),0)</f>
        <v>0</v>
      </c>
      <c r="S381" s="132">
        <f ca="1">IFERROR(__xludf.DUMMYFUNCTION("IMPORTRANGE(""https://docs.google.com/spreadsheets/d/1ItG2mGa2ceCfYo0BwxsXqNm01IGEUdYcSSLTEv9YCik/edit?usp=sharing"",""เบิกจ่ายกองทุน!BA53"")"),0)</f>
        <v>0</v>
      </c>
      <c r="T381" s="132">
        <f t="shared" ca="1" si="248"/>
        <v>0</v>
      </c>
      <c r="U381" s="132">
        <f t="shared" ca="1" si="249"/>
        <v>0</v>
      </c>
    </row>
    <row r="382" spans="1:21" ht="18.75" hidden="1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131">
        <f t="shared" ref="L382:N382" si="254">L383+L384</f>
        <v>0</v>
      </c>
      <c r="M382" s="132">
        <f t="shared" si="254"/>
        <v>0</v>
      </c>
      <c r="N382" s="132">
        <f t="shared" si="254"/>
        <v>0</v>
      </c>
      <c r="O382" s="132">
        <f t="shared" si="245"/>
        <v>0</v>
      </c>
      <c r="P382" s="132">
        <f t="shared" si="246"/>
        <v>0</v>
      </c>
      <c r="Q382" s="132">
        <f t="shared" ref="Q382:S382" si="255">Q383+Q384</f>
        <v>0</v>
      </c>
      <c r="R382" s="132">
        <f t="shared" si="255"/>
        <v>0</v>
      </c>
      <c r="S382" s="132">
        <f t="shared" si="255"/>
        <v>0</v>
      </c>
      <c r="T382" s="132">
        <f t="shared" si="248"/>
        <v>0</v>
      </c>
      <c r="U382" s="132">
        <f t="shared" si="249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133">
        <f t="shared" si="245"/>
        <v>0</v>
      </c>
      <c r="P383" s="133">
        <f t="shared" si="246"/>
        <v>0</v>
      </c>
      <c r="Q383" s="77">
        <v>0</v>
      </c>
      <c r="R383" s="77">
        <v>0</v>
      </c>
      <c r="S383" s="77">
        <v>0</v>
      </c>
      <c r="T383" s="133">
        <f t="shared" si="248"/>
        <v>0</v>
      </c>
      <c r="U383" s="133">
        <f t="shared" si="249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132">
        <f t="shared" si="245"/>
        <v>0</v>
      </c>
      <c r="P384" s="132">
        <f t="shared" si="246"/>
        <v>0</v>
      </c>
      <c r="Q384" s="74">
        <v>0</v>
      </c>
      <c r="R384" s="74">
        <v>0</v>
      </c>
      <c r="S384" s="74">
        <v>0</v>
      </c>
      <c r="T384" s="132">
        <f t="shared" si="248"/>
        <v>0</v>
      </c>
      <c r="U384" s="132">
        <f t="shared" si="249"/>
        <v>0</v>
      </c>
    </row>
    <row r="385" spans="1:21" ht="19.5" hidden="1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2.75" hidden="1" x14ac:dyDescent="0.2">
      <c r="A386" s="612"/>
      <c r="B386" s="593"/>
      <c r="C386" s="593"/>
      <c r="D386" s="593"/>
      <c r="E386" s="613"/>
      <c r="F386" s="613"/>
      <c r="G386" s="614"/>
      <c r="H386" s="594"/>
      <c r="I386" s="595"/>
      <c r="J386" s="595"/>
      <c r="K386" s="596"/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2.75" hidden="1" x14ac:dyDescent="0.2">
      <c r="A387" s="593"/>
      <c r="B387" s="593"/>
      <c r="C387" s="593"/>
      <c r="D387" s="593"/>
      <c r="E387" s="593"/>
      <c r="F387" s="593"/>
      <c r="G387" s="594"/>
      <c r="H387" s="594"/>
      <c r="I387" s="595"/>
      <c r="J387" s="595"/>
      <c r="K387" s="596"/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2.75" hidden="1" x14ac:dyDescent="0.2">
      <c r="A388" s="593"/>
      <c r="B388" s="593"/>
      <c r="C388" s="593"/>
      <c r="D388" s="593"/>
      <c r="E388" s="593"/>
      <c r="F388" s="593"/>
      <c r="G388" s="594"/>
      <c r="H388" s="594"/>
      <c r="I388" s="595"/>
      <c r="J388" s="595"/>
      <c r="K388" s="596"/>
      <c r="L388" s="86"/>
      <c r="M388" s="87"/>
      <c r="N388" s="87"/>
      <c r="O388" s="87"/>
      <c r="P388" s="87"/>
      <c r="Q388" s="87"/>
      <c r="R388" s="87"/>
      <c r="S388" s="87"/>
      <c r="T388" s="87"/>
      <c r="U388" s="87"/>
    </row>
    <row r="389" spans="1:21" ht="12.75" hidden="1" x14ac:dyDescent="0.2">
      <c r="A389" s="593"/>
      <c r="B389" s="593"/>
      <c r="C389" s="593"/>
      <c r="D389" s="593"/>
      <c r="E389" s="593"/>
      <c r="F389" s="593"/>
      <c r="G389" s="594"/>
      <c r="H389" s="594"/>
      <c r="I389" s="595"/>
      <c r="J389" s="595"/>
      <c r="K389" s="596"/>
      <c r="L389" s="86"/>
      <c r="M389" s="87"/>
      <c r="N389" s="87"/>
      <c r="O389" s="87"/>
      <c r="P389" s="87"/>
      <c r="Q389" s="87"/>
      <c r="R389" s="87"/>
      <c r="S389" s="87"/>
      <c r="T389" s="87"/>
      <c r="U389" s="87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304</v>
      </c>
      <c r="C392" s="605"/>
      <c r="D392" s="606"/>
      <c r="E392" s="607"/>
      <c r="F392" s="607"/>
      <c r="G392" s="608"/>
      <c r="H392" s="609" t="s">
        <v>61</v>
      </c>
      <c r="I392" s="610">
        <f t="shared" ref="I392:J392" si="256">I403</f>
        <v>0</v>
      </c>
      <c r="J392" s="610">
        <f t="shared" si="256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214">
        <f t="shared" ref="L393:N393" si="257">L394+L395</f>
        <v>0</v>
      </c>
      <c r="M393" s="215">
        <f t="shared" si="257"/>
        <v>0</v>
      </c>
      <c r="N393" s="215">
        <f t="shared" si="257"/>
        <v>0</v>
      </c>
      <c r="O393" s="215">
        <f t="shared" ref="O393:O401" si="258">IF(L393&gt;0,N393*100/L393,0)</f>
        <v>0</v>
      </c>
      <c r="P393" s="215">
        <f t="shared" ref="P393:P401" si="259">IF(M393&gt;0,N393*100/M393,0)</f>
        <v>0</v>
      </c>
      <c r="Q393" s="215">
        <f t="shared" ref="Q393:S393" si="260">Q394+Q395</f>
        <v>0</v>
      </c>
      <c r="R393" s="215">
        <f t="shared" si="260"/>
        <v>0</v>
      </c>
      <c r="S393" s="215">
        <f t="shared" si="260"/>
        <v>0</v>
      </c>
      <c r="T393" s="215">
        <f t="shared" ref="T393:T401" si="261">IF(Q393&gt;0,S393*100/Q393,0)</f>
        <v>0</v>
      </c>
      <c r="U393" s="215">
        <f t="shared" ref="U393:U401" si="262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217">
        <f t="shared" ref="L394:N395" si="263">L397+L400</f>
        <v>0</v>
      </c>
      <c r="M394" s="133">
        <f t="shared" si="263"/>
        <v>0</v>
      </c>
      <c r="N394" s="133">
        <f t="shared" si="263"/>
        <v>0</v>
      </c>
      <c r="O394" s="133">
        <f t="shared" si="258"/>
        <v>0</v>
      </c>
      <c r="P394" s="133">
        <f t="shared" si="259"/>
        <v>0</v>
      </c>
      <c r="Q394" s="133">
        <f t="shared" ref="Q394:S395" si="264">Q397+Q400</f>
        <v>0</v>
      </c>
      <c r="R394" s="133">
        <f t="shared" si="264"/>
        <v>0</v>
      </c>
      <c r="S394" s="133">
        <f t="shared" si="264"/>
        <v>0</v>
      </c>
      <c r="T394" s="133">
        <f t="shared" si="261"/>
        <v>0</v>
      </c>
      <c r="U394" s="133">
        <f t="shared" si="262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131">
        <f t="shared" si="263"/>
        <v>0</v>
      </c>
      <c r="M395" s="132">
        <f t="shared" si="263"/>
        <v>0</v>
      </c>
      <c r="N395" s="132">
        <f t="shared" si="263"/>
        <v>0</v>
      </c>
      <c r="O395" s="132">
        <f t="shared" si="258"/>
        <v>0</v>
      </c>
      <c r="P395" s="132">
        <f t="shared" si="259"/>
        <v>0</v>
      </c>
      <c r="Q395" s="132">
        <f t="shared" si="264"/>
        <v>0</v>
      </c>
      <c r="R395" s="132">
        <f t="shared" si="264"/>
        <v>0</v>
      </c>
      <c r="S395" s="132">
        <f t="shared" si="264"/>
        <v>0</v>
      </c>
      <c r="T395" s="132">
        <f t="shared" si="261"/>
        <v>0</v>
      </c>
      <c r="U395" s="132">
        <f t="shared" si="262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131">
        <f t="shared" ref="L396:N396" si="265">L397+L398</f>
        <v>0</v>
      </c>
      <c r="M396" s="132">
        <f t="shared" si="265"/>
        <v>0</v>
      </c>
      <c r="N396" s="132">
        <f t="shared" si="265"/>
        <v>0</v>
      </c>
      <c r="O396" s="132">
        <f t="shared" si="258"/>
        <v>0</v>
      </c>
      <c r="P396" s="132">
        <f t="shared" si="259"/>
        <v>0</v>
      </c>
      <c r="Q396" s="132">
        <f t="shared" ref="Q396:S396" si="266">Q397+Q398</f>
        <v>0</v>
      </c>
      <c r="R396" s="132">
        <f t="shared" si="266"/>
        <v>0</v>
      </c>
      <c r="S396" s="132">
        <f t="shared" si="266"/>
        <v>0</v>
      </c>
      <c r="T396" s="132">
        <f t="shared" si="261"/>
        <v>0</v>
      </c>
      <c r="U396" s="132">
        <f t="shared" si="262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133">
        <f t="shared" si="258"/>
        <v>0</v>
      </c>
      <c r="P397" s="133">
        <f t="shared" si="259"/>
        <v>0</v>
      </c>
      <c r="Q397" s="77">
        <v>0</v>
      </c>
      <c r="R397" s="77">
        <v>0</v>
      </c>
      <c r="S397" s="77">
        <v>0</v>
      </c>
      <c r="T397" s="133">
        <f t="shared" si="261"/>
        <v>0</v>
      </c>
      <c r="U397" s="133">
        <f t="shared" si="262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132">
        <f t="shared" si="258"/>
        <v>0</v>
      </c>
      <c r="P398" s="132">
        <f t="shared" si="259"/>
        <v>0</v>
      </c>
      <c r="Q398" s="74">
        <v>0</v>
      </c>
      <c r="R398" s="74">
        <v>0</v>
      </c>
      <c r="S398" s="74">
        <v>0</v>
      </c>
      <c r="T398" s="132">
        <f t="shared" si="261"/>
        <v>0</v>
      </c>
      <c r="U398" s="132">
        <f t="shared" si="262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131">
        <f t="shared" ref="L399:N399" si="267">L400+L401</f>
        <v>0</v>
      </c>
      <c r="M399" s="132">
        <f t="shared" si="267"/>
        <v>0</v>
      </c>
      <c r="N399" s="132">
        <f t="shared" si="267"/>
        <v>0</v>
      </c>
      <c r="O399" s="132">
        <f t="shared" si="258"/>
        <v>0</v>
      </c>
      <c r="P399" s="132">
        <f t="shared" si="259"/>
        <v>0</v>
      </c>
      <c r="Q399" s="132">
        <f t="shared" ref="Q399:S399" si="268">Q400+Q401</f>
        <v>0</v>
      </c>
      <c r="R399" s="132">
        <f t="shared" si="268"/>
        <v>0</v>
      </c>
      <c r="S399" s="132">
        <f t="shared" si="268"/>
        <v>0</v>
      </c>
      <c r="T399" s="132">
        <f t="shared" si="261"/>
        <v>0</v>
      </c>
      <c r="U399" s="132">
        <f t="shared" si="262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133">
        <f t="shared" si="258"/>
        <v>0</v>
      </c>
      <c r="P400" s="133">
        <f t="shared" si="259"/>
        <v>0</v>
      </c>
      <c r="Q400" s="77">
        <v>0</v>
      </c>
      <c r="R400" s="77">
        <v>0</v>
      </c>
      <c r="S400" s="77">
        <v>0</v>
      </c>
      <c r="T400" s="133">
        <f t="shared" si="261"/>
        <v>0</v>
      </c>
      <c r="U400" s="133">
        <f t="shared" si="262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132">
        <f t="shared" si="258"/>
        <v>0</v>
      </c>
      <c r="P401" s="132">
        <f t="shared" si="259"/>
        <v>0</v>
      </c>
      <c r="Q401" s="74">
        <v>0</v>
      </c>
      <c r="R401" s="74">
        <v>0</v>
      </c>
      <c r="S401" s="74">
        <v>0</v>
      </c>
      <c r="T401" s="132">
        <f t="shared" si="261"/>
        <v>0</v>
      </c>
      <c r="U401" s="132">
        <f t="shared" si="262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305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69">I424</f>
        <v>0</v>
      </c>
      <c r="J413" s="617">
        <f t="shared" si="269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0" t="s">
        <v>19</v>
      </c>
      <c r="E414" s="1343"/>
      <c r="F414" s="1343"/>
      <c r="G414" s="1344"/>
      <c r="H414" s="619" t="s">
        <v>14</v>
      </c>
      <c r="I414" s="263"/>
      <c r="J414" s="263"/>
      <c r="K414" s="87"/>
      <c r="L414" s="214">
        <f t="shared" ref="L414:N414" si="270">L415+L416</f>
        <v>0</v>
      </c>
      <c r="M414" s="215">
        <f t="shared" si="270"/>
        <v>0</v>
      </c>
      <c r="N414" s="215">
        <f t="shared" si="270"/>
        <v>0</v>
      </c>
      <c r="O414" s="215">
        <f t="shared" ref="O414:O422" si="271">IF(L414&gt;0,N414*100/L414,0)</f>
        <v>0</v>
      </c>
      <c r="P414" s="215">
        <f t="shared" ref="P414:P422" si="272">IF(M414&gt;0,N414*100/M414,0)</f>
        <v>0</v>
      </c>
      <c r="Q414" s="215">
        <f t="shared" ref="Q414:S414" ca="1" si="273">Q415+Q416</f>
        <v>0</v>
      </c>
      <c r="R414" s="215">
        <f t="shared" ca="1" si="273"/>
        <v>0</v>
      </c>
      <c r="S414" s="215">
        <f t="shared" ca="1" si="273"/>
        <v>0</v>
      </c>
      <c r="T414" s="215">
        <f t="shared" ref="T414:T422" ca="1" si="274">IF(Q414&gt;0,S414*100/Q414,0)</f>
        <v>0</v>
      </c>
      <c r="U414" s="215">
        <f t="shared" ref="U414:U422" ca="1" si="275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49" t="s">
        <v>158</v>
      </c>
      <c r="F415" s="269"/>
      <c r="G415" s="312"/>
      <c r="H415" s="307" t="s">
        <v>14</v>
      </c>
      <c r="I415" s="263"/>
      <c r="J415" s="263"/>
      <c r="K415" s="87"/>
      <c r="L415" s="217">
        <f t="shared" ref="L415:N416" si="276">L418+L421</f>
        <v>0</v>
      </c>
      <c r="M415" s="133">
        <f t="shared" si="276"/>
        <v>0</v>
      </c>
      <c r="N415" s="133">
        <f t="shared" si="276"/>
        <v>0</v>
      </c>
      <c r="O415" s="133">
        <f t="shared" si="271"/>
        <v>0</v>
      </c>
      <c r="P415" s="133">
        <f t="shared" si="272"/>
        <v>0</v>
      </c>
      <c r="Q415" s="133">
        <f t="shared" ref="Q415:S416" si="277">Q418+Q421</f>
        <v>0</v>
      </c>
      <c r="R415" s="133">
        <f t="shared" si="277"/>
        <v>0</v>
      </c>
      <c r="S415" s="133">
        <f t="shared" si="277"/>
        <v>0</v>
      </c>
      <c r="T415" s="133">
        <f t="shared" si="274"/>
        <v>0</v>
      </c>
      <c r="U415" s="133">
        <f t="shared" si="275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131">
        <f t="shared" si="276"/>
        <v>0</v>
      </c>
      <c r="M416" s="132">
        <f t="shared" si="276"/>
        <v>0</v>
      </c>
      <c r="N416" s="132">
        <f t="shared" si="276"/>
        <v>0</v>
      </c>
      <c r="O416" s="132">
        <f t="shared" si="271"/>
        <v>0</v>
      </c>
      <c r="P416" s="132">
        <f t="shared" si="272"/>
        <v>0</v>
      </c>
      <c r="Q416" s="132">
        <f t="shared" ca="1" si="277"/>
        <v>0</v>
      </c>
      <c r="R416" s="132">
        <f t="shared" ca="1" si="277"/>
        <v>0</v>
      </c>
      <c r="S416" s="132">
        <f t="shared" ca="1" si="277"/>
        <v>0</v>
      </c>
      <c r="T416" s="132">
        <f t="shared" ca="1" si="274"/>
        <v>0</v>
      </c>
      <c r="U416" s="132">
        <f t="shared" ca="1" si="275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131">
        <f t="shared" ref="L417:N417" si="278">L418+L419</f>
        <v>0</v>
      </c>
      <c r="M417" s="132">
        <f t="shared" si="278"/>
        <v>0</v>
      </c>
      <c r="N417" s="132">
        <f t="shared" si="278"/>
        <v>0</v>
      </c>
      <c r="O417" s="132">
        <f t="shared" si="271"/>
        <v>0</v>
      </c>
      <c r="P417" s="132">
        <f t="shared" si="272"/>
        <v>0</v>
      </c>
      <c r="Q417" s="132">
        <f t="shared" ref="Q417:S417" ca="1" si="279">Q418+Q419</f>
        <v>0</v>
      </c>
      <c r="R417" s="132">
        <f t="shared" ca="1" si="279"/>
        <v>0</v>
      </c>
      <c r="S417" s="132">
        <f t="shared" ca="1" si="279"/>
        <v>0</v>
      </c>
      <c r="T417" s="132">
        <f t="shared" ca="1" si="274"/>
        <v>0</v>
      </c>
      <c r="U417" s="132">
        <f t="shared" ca="1" si="275"/>
        <v>0</v>
      </c>
    </row>
    <row r="418" spans="1:21" ht="18.75" hidden="1" x14ac:dyDescent="0.25">
      <c r="A418" s="257"/>
      <c r="B418" s="269"/>
      <c r="C418" s="269"/>
      <c r="D418" s="269"/>
      <c r="E418" s="749" t="s">
        <v>158</v>
      </c>
      <c r="F418" s="269"/>
      <c r="G418" s="312"/>
      <c r="H418" s="307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133">
        <f t="shared" si="271"/>
        <v>0</v>
      </c>
      <c r="P418" s="133">
        <f t="shared" si="272"/>
        <v>0</v>
      </c>
      <c r="Q418" s="77">
        <v>0</v>
      </c>
      <c r="R418" s="77">
        <v>0</v>
      </c>
      <c r="S418" s="77">
        <v>0</v>
      </c>
      <c r="T418" s="133">
        <f t="shared" si="274"/>
        <v>0</v>
      </c>
      <c r="U418" s="133">
        <f t="shared" si="275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132">
        <f t="shared" si="271"/>
        <v>0</v>
      </c>
      <c r="P419" s="132">
        <f t="shared" si="272"/>
        <v>0</v>
      </c>
      <c r="Q419" s="132">
        <f ca="1">IFERROR(__xludf.DUMMYFUNCTION("IMPORTRANGE(""https://docs.google.com/spreadsheets/d/1ItG2mGa2ceCfYo0BwxsXqNm01IGEUdYcSSLTEv9YCik/edit?usp=sharing"",""เบิกจ่ายกองทุน!BH53"")"),0)</f>
        <v>0</v>
      </c>
      <c r="R419" s="132">
        <f ca="1">IFERROR(__xludf.DUMMYFUNCTION("IMPORTRANGE(""https://docs.google.com/spreadsheets/d/1ItG2mGa2ceCfYo0BwxsXqNm01IGEUdYcSSLTEv9YCik/edit?usp=sharing"",""เบิกจ่ายกองทุน!BI53"")"),0)</f>
        <v>0</v>
      </c>
      <c r="S419" s="132">
        <f ca="1">IFERROR(__xludf.DUMMYFUNCTION("IMPORTRANGE(""https://docs.google.com/spreadsheets/d/1ItG2mGa2ceCfYo0BwxsXqNm01IGEUdYcSSLTEv9YCik/edit?usp=sharing"",""เบิกจ่ายกองทุน!BJ53"")"),0)</f>
        <v>0</v>
      </c>
      <c r="T419" s="132">
        <f t="shared" ca="1" si="274"/>
        <v>0</v>
      </c>
      <c r="U419" s="132">
        <f t="shared" ca="1" si="275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131">
        <f t="shared" ref="L420:N420" si="280">L421+L422</f>
        <v>0</v>
      </c>
      <c r="M420" s="132">
        <f t="shared" si="280"/>
        <v>0</v>
      </c>
      <c r="N420" s="132">
        <f t="shared" si="280"/>
        <v>0</v>
      </c>
      <c r="O420" s="132">
        <f t="shared" si="271"/>
        <v>0</v>
      </c>
      <c r="P420" s="132">
        <f t="shared" si="272"/>
        <v>0</v>
      </c>
      <c r="Q420" s="132">
        <f t="shared" ref="Q420:S420" si="281">Q421+Q422</f>
        <v>0</v>
      </c>
      <c r="R420" s="132">
        <f t="shared" si="281"/>
        <v>0</v>
      </c>
      <c r="S420" s="132">
        <f t="shared" si="281"/>
        <v>0</v>
      </c>
      <c r="T420" s="132">
        <f t="shared" si="274"/>
        <v>0</v>
      </c>
      <c r="U420" s="132">
        <f t="shared" si="275"/>
        <v>0</v>
      </c>
    </row>
    <row r="421" spans="1:21" ht="18.75" hidden="1" x14ac:dyDescent="0.25">
      <c r="A421" s="257"/>
      <c r="B421" s="269"/>
      <c r="C421" s="269"/>
      <c r="D421" s="269"/>
      <c r="E421" s="749" t="s">
        <v>20</v>
      </c>
      <c r="F421" s="269"/>
      <c r="G421" s="312"/>
      <c r="H421" s="307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133">
        <f t="shared" si="271"/>
        <v>0</v>
      </c>
      <c r="P421" s="133">
        <f t="shared" si="272"/>
        <v>0</v>
      </c>
      <c r="Q421" s="77">
        <v>0</v>
      </c>
      <c r="R421" s="77">
        <v>0</v>
      </c>
      <c r="S421" s="77">
        <v>0</v>
      </c>
      <c r="T421" s="133">
        <f t="shared" si="274"/>
        <v>0</v>
      </c>
      <c r="U421" s="133">
        <f t="shared" si="275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132">
        <f t="shared" si="271"/>
        <v>0</v>
      </c>
      <c r="P422" s="132">
        <f t="shared" si="272"/>
        <v>0</v>
      </c>
      <c r="Q422" s="74">
        <v>0</v>
      </c>
      <c r="R422" s="74">
        <v>0</v>
      </c>
      <c r="S422" s="74">
        <v>0</v>
      </c>
      <c r="T422" s="132">
        <f t="shared" si="274"/>
        <v>0</v>
      </c>
      <c r="U422" s="132">
        <f t="shared" si="275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2">I441</f>
        <v>0</v>
      </c>
      <c r="J424" s="622">
        <f t="shared" si="282"/>
        <v>0</v>
      </c>
      <c r="K424" s="264">
        <f t="shared" ref="K424:K426" ca="1" si="283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IFERROR(__xludf.DUMMYFUNCTION("IMPORTRANGE(""https://docs.google.com/spreadsheets/d/1eHaY18a8A9IcSdp1K8H6x8fbOy06t2VsZHhMHf-1x7Y/edit?usp=sharing"",""แผน!HJ53"")"),0)</f>
        <v>0</v>
      </c>
      <c r="J425" s="622">
        <f t="shared" ref="J425:J426" si="284">J427+J429+J431</f>
        <v>0</v>
      </c>
      <c r="K425" s="264">
        <f t="shared" ca="1" si="283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IFERROR(__xludf.DUMMYFUNCTION("IMPORTRANGE(""https://docs.google.com/spreadsheets/d/1eHaY18a8A9IcSdp1K8H6x8fbOy06t2VsZHhMHf-1x7Y/edit?usp=sharing"",""แผน!HK53"")"),0)</f>
        <v>0</v>
      </c>
      <c r="J426" s="622">
        <f t="shared" si="284"/>
        <v>0</v>
      </c>
      <c r="K426" s="264">
        <f t="shared" ca="1" si="283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IFERROR(__xludf.DUMMYFUNCTION("IMPORTRANGE(""https://docs.google.com/spreadsheets/d/1eHaY18a8A9IcSdp1K8H6x8fbOy06t2VsZHhMHf-1x7Y/edit?usp=sharing"",""แผน!HJ53"")"),0)</f>
        <v>0</v>
      </c>
      <c r="J433" s="622">
        <f t="shared" ref="J433:J434" si="285">J435+J437+J439</f>
        <v>0</v>
      </c>
      <c r="K433" s="264">
        <f t="shared" ref="K433:K434" ca="1" si="286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IFERROR(__xludf.DUMMYFUNCTION("IMPORTRANGE(""https://docs.google.com/spreadsheets/d/1eHaY18a8A9IcSdp1K8H6x8fbOy06t2VsZHhMHf-1x7Y/edit?usp=sharing"",""แผน!HK53"")"),0)</f>
        <v>0</v>
      </c>
      <c r="J434" s="622">
        <f t="shared" si="285"/>
        <v>0</v>
      </c>
      <c r="K434" s="264">
        <f t="shared" ca="1" si="286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IFERROR(__xludf.DUMMYFUNCTION("IMPORTRANGE(""https://docs.google.com/spreadsheets/d/1eHaY18a8A9IcSdp1K8H6x8fbOy06t2VsZHhMHf-1x7Y/edit?usp=sharing"",""แผน!HJ53"")"),0)</f>
        <v>0</v>
      </c>
      <c r="J441" s="622">
        <f t="shared" ref="J441:J442" si="287">J443+J445+J447+J453+J455</f>
        <v>0</v>
      </c>
      <c r="K441" s="264">
        <f t="shared" ref="K441:K442" ca="1" si="288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IFERROR(__xludf.DUMMYFUNCTION("IMPORTRANGE(""https://docs.google.com/spreadsheets/d/1eHaY18a8A9IcSdp1K8H6x8fbOy06t2VsZHhMHf-1x7Y/edit?usp=sharing"",""แผน!HK53"")"),0)</f>
        <v>0</v>
      </c>
      <c r="J442" s="622">
        <f t="shared" si="287"/>
        <v>0</v>
      </c>
      <c r="K442" s="264">
        <f t="shared" ca="1" si="288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89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89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0">I458</f>
        <v>0</v>
      </c>
      <c r="J457" s="622">
        <f t="shared" si="290"/>
        <v>0</v>
      </c>
      <c r="K457" s="264">
        <f t="shared" ref="K457:K459" ca="1" si="291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IFERROR(__xludf.DUMMYFUNCTION("IMPORTRANGE(""https://docs.google.com/spreadsheets/d/1eHaY18a8A9IcSdp1K8H6x8fbOy06t2VsZHhMHf-1x7Y/edit?usp=sharing"",""แผน!HL53"")"),0)</f>
        <v>0</v>
      </c>
      <c r="J458" s="622">
        <f t="shared" ref="J458:J459" si="292">J460+J468+J474</f>
        <v>0</v>
      </c>
      <c r="K458" s="264">
        <f t="shared" ca="1" si="291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IFERROR(__xludf.DUMMYFUNCTION("IMPORTRANGE(""https://docs.google.com/spreadsheets/d/1eHaY18a8A9IcSdp1K8H6x8fbOy06t2VsZHhMHf-1x7Y/edit?usp=sharing"",""แผน!HM53"")"),0)</f>
        <v>0</v>
      </c>
      <c r="J459" s="622">
        <f t="shared" si="292"/>
        <v>0</v>
      </c>
      <c r="K459" s="264">
        <f t="shared" ca="1" si="291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3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3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4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4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5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6">J479+J481</f>
        <v>0</v>
      </c>
      <c r="K477" s="264">
        <f t="shared" si="295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6"/>
        <v>0</v>
      </c>
      <c r="K478" s="264">
        <f t="shared" si="295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IFERROR(__xludf.DUMMYFUNCTION("IMPORTRANGE(""https://docs.google.com/spreadsheets/d/1eHaY18a8A9IcSdp1K8H6x8fbOy06t2VsZHhMHf-1x7Y/edit?usp=sharing"",""แผน!HN53"")"),0)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IFERROR(__xludf.DUMMYFUNCTION("IMPORTRANGE(""https://docs.google.com/spreadsheets/d/1eHaY18a8A9IcSdp1K8H6x8fbOy06t2VsZHhMHf-1x7Y/edit?usp=sharing"",""แผน!HO53"")"),0)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7">J481</f>
        <v>0</v>
      </c>
      <c r="J485" s="622">
        <f t="shared" ref="J485:J486" si="298">J487+J489+J491</f>
        <v>0</v>
      </c>
      <c r="K485" s="264">
        <f t="shared" ref="K485:K486" si="299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7"/>
        <v>0</v>
      </c>
      <c r="J486" s="622">
        <f t="shared" si="298"/>
        <v>0</v>
      </c>
      <c r="K486" s="264">
        <f t="shared" si="299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0">I504</f>
        <v>30</v>
      </c>
      <c r="J493" s="617">
        <f t="shared" ca="1" si="300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214">
        <f t="shared" ref="L494:N494" si="301">L495+L496</f>
        <v>0</v>
      </c>
      <c r="M494" s="215">
        <f t="shared" si="301"/>
        <v>0</v>
      </c>
      <c r="N494" s="215">
        <f t="shared" si="301"/>
        <v>0</v>
      </c>
      <c r="O494" s="215">
        <f t="shared" ref="O494:O502" si="302">IF(L494&gt;0,N494*100/L494,0)</f>
        <v>0</v>
      </c>
      <c r="P494" s="215">
        <f t="shared" ref="P494:P502" si="303">IF(M494&gt;0,N494*100/M494,0)</f>
        <v>0</v>
      </c>
      <c r="Q494" s="215">
        <f t="shared" ref="Q494:S494" ca="1" si="304">Q495+Q496</f>
        <v>460185</v>
      </c>
      <c r="R494" s="215">
        <f t="shared" ca="1" si="304"/>
        <v>460185</v>
      </c>
      <c r="S494" s="215">
        <f t="shared" ca="1" si="304"/>
        <v>120</v>
      </c>
      <c r="T494" s="215">
        <f t="shared" ref="T494:T502" ca="1" si="305">IF(Q494&gt;0,S494*100/Q494,0)</f>
        <v>2.6076469246064084E-2</v>
      </c>
      <c r="U494" s="215">
        <f t="shared" ref="U494:U502" ca="1" si="306">IF(R494&gt;0,S494*100/R494,0)</f>
        <v>2.6076469246064084E-2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217">
        <f t="shared" ref="L495:N496" si="307">L498+L501</f>
        <v>0</v>
      </c>
      <c r="M495" s="133">
        <f t="shared" si="307"/>
        <v>0</v>
      </c>
      <c r="N495" s="133">
        <f t="shared" si="307"/>
        <v>0</v>
      </c>
      <c r="O495" s="133">
        <f t="shared" si="302"/>
        <v>0</v>
      </c>
      <c r="P495" s="133">
        <f t="shared" si="303"/>
        <v>0</v>
      </c>
      <c r="Q495" s="133">
        <f t="shared" ref="Q495:S496" si="308">Q498+Q501</f>
        <v>0</v>
      </c>
      <c r="R495" s="133">
        <f t="shared" si="308"/>
        <v>0</v>
      </c>
      <c r="S495" s="133">
        <f t="shared" si="308"/>
        <v>0</v>
      </c>
      <c r="T495" s="133">
        <f t="shared" si="305"/>
        <v>0</v>
      </c>
      <c r="U495" s="133">
        <f t="shared" si="306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131">
        <f t="shared" si="307"/>
        <v>0</v>
      </c>
      <c r="M496" s="132">
        <f t="shared" si="307"/>
        <v>0</v>
      </c>
      <c r="N496" s="132">
        <f t="shared" si="307"/>
        <v>0</v>
      </c>
      <c r="O496" s="132">
        <f t="shared" si="302"/>
        <v>0</v>
      </c>
      <c r="P496" s="132">
        <f t="shared" si="303"/>
        <v>0</v>
      </c>
      <c r="Q496" s="132">
        <f t="shared" ca="1" si="308"/>
        <v>460185</v>
      </c>
      <c r="R496" s="132">
        <f t="shared" ca="1" si="308"/>
        <v>460185</v>
      </c>
      <c r="S496" s="132">
        <f t="shared" ca="1" si="308"/>
        <v>120</v>
      </c>
      <c r="T496" s="132">
        <f t="shared" ca="1" si="305"/>
        <v>2.6076469246064084E-2</v>
      </c>
      <c r="U496" s="132">
        <f t="shared" ca="1" si="306"/>
        <v>2.6076469246064084E-2</v>
      </c>
    </row>
    <row r="497" spans="1:21" ht="18.75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131">
        <f t="shared" ref="L497:N497" si="309">L498+L499</f>
        <v>0</v>
      </c>
      <c r="M497" s="132">
        <f t="shared" si="309"/>
        <v>0</v>
      </c>
      <c r="N497" s="132">
        <f t="shared" si="309"/>
        <v>0</v>
      </c>
      <c r="O497" s="132">
        <f t="shared" si="302"/>
        <v>0</v>
      </c>
      <c r="P497" s="132">
        <f t="shared" si="303"/>
        <v>0</v>
      </c>
      <c r="Q497" s="132">
        <f t="shared" ref="Q497:S497" ca="1" si="310">Q498+Q499</f>
        <v>460185</v>
      </c>
      <c r="R497" s="132">
        <f t="shared" ca="1" si="310"/>
        <v>460185</v>
      </c>
      <c r="S497" s="132">
        <f t="shared" ca="1" si="310"/>
        <v>120</v>
      </c>
      <c r="T497" s="132">
        <f t="shared" ca="1" si="305"/>
        <v>2.6076469246064084E-2</v>
      </c>
      <c r="U497" s="132">
        <f t="shared" ca="1" si="306"/>
        <v>2.6076469246064084E-2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133">
        <f t="shared" si="302"/>
        <v>0</v>
      </c>
      <c r="P498" s="133">
        <f t="shared" si="303"/>
        <v>0</v>
      </c>
      <c r="Q498" s="77">
        <v>0</v>
      </c>
      <c r="R498" s="77">
        <v>0</v>
      </c>
      <c r="S498" s="77">
        <v>0</v>
      </c>
      <c r="T498" s="133">
        <f t="shared" si="305"/>
        <v>0</v>
      </c>
      <c r="U498" s="133">
        <f t="shared" si="306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132">
        <f t="shared" si="302"/>
        <v>0</v>
      </c>
      <c r="P499" s="132">
        <f t="shared" si="303"/>
        <v>0</v>
      </c>
      <c r="Q499" s="132">
        <f ca="1">IFERROR(__xludf.DUMMYFUNCTION("IMPORTRANGE(""https://docs.google.com/spreadsheets/d/1ItG2mGa2ceCfYo0BwxsXqNm01IGEUdYcSSLTEv9YCik/edit?usp=sharing"",""เบิกจ่ายกองทุน!X53"")"),460185)</f>
        <v>460185</v>
      </c>
      <c r="R499" s="132">
        <f ca="1">IFERROR(__xludf.DUMMYFUNCTION("IMPORTRANGE(""https://docs.google.com/spreadsheets/d/1ItG2mGa2ceCfYo0BwxsXqNm01IGEUdYcSSLTEv9YCik/edit?usp=sharing"",""เบิกจ่ายกองทุน!Y53"")"),460185)</f>
        <v>460185</v>
      </c>
      <c r="S499" s="132">
        <f ca="1">IFERROR(__xludf.DUMMYFUNCTION("IMPORTRANGE(""https://docs.google.com/spreadsheets/d/1ItG2mGa2ceCfYo0BwxsXqNm01IGEUdYcSSLTEv9YCik/edit?usp=sharing"",""เบิกจ่ายกองทุน!Z53"")"),120)</f>
        <v>120</v>
      </c>
      <c r="T499" s="132">
        <f t="shared" ca="1" si="305"/>
        <v>2.6076469246064084E-2</v>
      </c>
      <c r="U499" s="132">
        <f t="shared" ca="1" si="306"/>
        <v>2.6076469246064084E-2</v>
      </c>
    </row>
    <row r="500" spans="1:21" ht="18.75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131">
        <f t="shared" ref="L500:N500" si="311">L501+L502</f>
        <v>0</v>
      </c>
      <c r="M500" s="132">
        <f t="shared" si="311"/>
        <v>0</v>
      </c>
      <c r="N500" s="132">
        <f t="shared" si="311"/>
        <v>0</v>
      </c>
      <c r="O500" s="132">
        <f t="shared" si="302"/>
        <v>0</v>
      </c>
      <c r="P500" s="132">
        <f t="shared" si="303"/>
        <v>0</v>
      </c>
      <c r="Q500" s="132">
        <f t="shared" ref="Q500:S500" si="312">Q501+Q502</f>
        <v>0</v>
      </c>
      <c r="R500" s="132">
        <f t="shared" si="312"/>
        <v>0</v>
      </c>
      <c r="S500" s="132">
        <f t="shared" si="312"/>
        <v>0</v>
      </c>
      <c r="T500" s="132">
        <f t="shared" si="305"/>
        <v>0</v>
      </c>
      <c r="U500" s="132">
        <f t="shared" si="306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133">
        <f t="shared" si="302"/>
        <v>0</v>
      </c>
      <c r="P501" s="133">
        <f t="shared" si="303"/>
        <v>0</v>
      </c>
      <c r="Q501" s="77">
        <v>0</v>
      </c>
      <c r="R501" s="77">
        <v>0</v>
      </c>
      <c r="S501" s="77">
        <v>0</v>
      </c>
      <c r="T501" s="133">
        <f t="shared" si="305"/>
        <v>0</v>
      </c>
      <c r="U501" s="133">
        <f t="shared" si="306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132">
        <f t="shared" si="302"/>
        <v>0</v>
      </c>
      <c r="P502" s="132">
        <f t="shared" si="303"/>
        <v>0</v>
      </c>
      <c r="Q502" s="74">
        <v>0</v>
      </c>
      <c r="R502" s="74">
        <v>0</v>
      </c>
      <c r="S502" s="74">
        <v>0</v>
      </c>
      <c r="T502" s="132">
        <f t="shared" si="305"/>
        <v>0</v>
      </c>
      <c r="U502" s="132">
        <f t="shared" si="306"/>
        <v>0</v>
      </c>
    </row>
    <row r="503" spans="1:21" ht="19.5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IFERROR(__xludf.DUMMYFUNCTION("IMPORTRANGE(""https://docs.google.com/spreadsheets/d/1eHaY18a8A9IcSdp1K8H6x8fbOy06t2VsZHhMHf-1x7Y/edit?usp=sharing"",""แผน!GX53"")"),30)</f>
        <v>30</v>
      </c>
      <c r="J504" s="622">
        <f ca="1">IF(AND(J505=I504,J506=I504,J507=I504,J508=I504),I504,0)</f>
        <v>0</v>
      </c>
      <c r="K504" s="264">
        <f t="shared" ref="K504:K510" ca="1" si="313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IFERROR(__xludf.DUMMYFUNCTION("IMPORTRANGE(""https://docs.google.com/spreadsheets/d/1eHaY18a8A9IcSdp1K8H6x8fbOy06t2VsZHhMHf-1x7Y/edit?usp=sharing"",""แผน!GY53"")"),0)</f>
        <v>0</v>
      </c>
      <c r="J505" s="294">
        <v>0</v>
      </c>
      <c r="K505" s="74">
        <f t="shared" ca="1" si="313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IFERROR(__xludf.DUMMYFUNCTION("IMPORTRANGE(""https://docs.google.com/spreadsheets/d/1eHaY18a8A9IcSdp1K8H6x8fbOy06t2VsZHhMHf-1x7Y/edit?usp=sharing"",""แผน!GZ53"")"),0)</f>
        <v>0</v>
      </c>
      <c r="J506" s="294">
        <v>0</v>
      </c>
      <c r="K506" s="74">
        <f t="shared" ca="1" si="313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IFERROR(__xludf.DUMMYFUNCTION("IMPORTRANGE(""https://docs.google.com/spreadsheets/d/1eHaY18a8A9IcSdp1K8H6x8fbOy06t2VsZHhMHf-1x7Y/edit?usp=sharing"",""แผน!HA53"")"),0)</f>
        <v>0</v>
      </c>
      <c r="J507" s="294">
        <v>0</v>
      </c>
      <c r="K507" s="74">
        <f t="shared" ca="1" si="313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IFERROR(__xludf.DUMMYFUNCTION("IMPORTRANGE(""https://docs.google.com/spreadsheets/d/1eHaY18a8A9IcSdp1K8H6x8fbOy06t2VsZHhMHf-1x7Y/edit?usp=sharing"",""แผน!HB53"")"),0)</f>
        <v>0</v>
      </c>
      <c r="J508" s="294">
        <v>0</v>
      </c>
      <c r="K508" s="74">
        <f t="shared" ca="1" si="313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3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IFERROR(__xludf.DUMMYFUNCTION("IMPORTRANGE(""https://docs.google.com/spreadsheets/d/1eHaY18a8A9IcSdp1K8H6x8fbOy06t2VsZHhMHf-1x7Y/edit?usp=sharing"",""แผน!HC53"")"),0)</f>
        <v>0</v>
      </c>
      <c r="J510" s="761">
        <v>0</v>
      </c>
      <c r="K510" s="182">
        <f t="shared" ca="1" si="313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971" t="s">
        <v>205</v>
      </c>
      <c r="B511" s="972"/>
      <c r="C511" s="972"/>
      <c r="D511" s="972"/>
      <c r="E511" s="973"/>
      <c r="F511" s="973"/>
      <c r="G511" s="973"/>
      <c r="H511" s="973"/>
      <c r="I511" s="974"/>
      <c r="J511" s="974"/>
      <c r="K511" s="975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977"/>
      <c r="C512" s="977"/>
      <c r="D512" s="978"/>
      <c r="E512" s="977"/>
      <c r="F512" s="977"/>
      <c r="G512" s="977"/>
      <c r="H512" s="979"/>
      <c r="I512" s="980"/>
      <c r="J512" s="980"/>
      <c r="K512" s="981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982"/>
      <c r="B513" s="983" t="s">
        <v>207</v>
      </c>
      <c r="C513" s="984"/>
      <c r="D513" s="985"/>
      <c r="E513" s="985"/>
      <c r="F513" s="985"/>
      <c r="G513" s="986"/>
      <c r="H513" s="987" t="s">
        <v>61</v>
      </c>
      <c r="I513" s="988">
        <f t="shared" ref="I513:J513" si="314">I525</f>
        <v>0</v>
      </c>
      <c r="J513" s="988">
        <f t="shared" si="314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880"/>
      <c r="B514" s="838"/>
      <c r="C514" s="933" t="s">
        <v>18</v>
      </c>
      <c r="D514" s="934" t="s">
        <v>19</v>
      </c>
      <c r="E514" s="838"/>
      <c r="F514" s="838"/>
      <c r="G514" s="839"/>
      <c r="H514" s="990" t="s">
        <v>14</v>
      </c>
      <c r="I514" s="841"/>
      <c r="J514" s="841"/>
      <c r="K514" s="842"/>
      <c r="L514" s="214">
        <f t="shared" ref="L514:N514" ca="1" si="315">L515+L516</f>
        <v>0</v>
      </c>
      <c r="M514" s="215">
        <f t="shared" ca="1" si="315"/>
        <v>0</v>
      </c>
      <c r="N514" s="215">
        <f t="shared" ca="1" si="315"/>
        <v>0</v>
      </c>
      <c r="O514" s="215">
        <f t="shared" ref="O514:O522" ca="1" si="316">IF(L514&gt;0,N514*100/L514,0)</f>
        <v>0</v>
      </c>
      <c r="P514" s="215">
        <f t="shared" ref="P514:P522" ca="1" si="317">IF(M514&gt;0,N514*100/M514,0)</f>
        <v>0</v>
      </c>
      <c r="Q514" s="215">
        <f t="shared" ref="Q514:S514" si="318">Q515+Q516</f>
        <v>0</v>
      </c>
      <c r="R514" s="215">
        <f t="shared" si="318"/>
        <v>0</v>
      </c>
      <c r="S514" s="215">
        <f t="shared" si="318"/>
        <v>0</v>
      </c>
      <c r="T514" s="215">
        <f t="shared" ref="T514:T522" si="319">IF(Q514&gt;0,S514*100/Q514,0)</f>
        <v>0</v>
      </c>
      <c r="U514" s="215">
        <f t="shared" ref="U514:U522" si="320">IF(R514&gt;0,S514*100/R514,0)</f>
        <v>0</v>
      </c>
    </row>
    <row r="515" spans="1:21" ht="18.75" hidden="1" x14ac:dyDescent="0.25">
      <c r="A515" s="880"/>
      <c r="B515" s="838"/>
      <c r="C515" s="838"/>
      <c r="D515" s="838"/>
      <c r="E515" s="265" t="s">
        <v>20</v>
      </c>
      <c r="F515" s="838"/>
      <c r="G515" s="839"/>
      <c r="H515" s="266" t="s">
        <v>14</v>
      </c>
      <c r="I515" s="841"/>
      <c r="J515" s="841"/>
      <c r="K515" s="842"/>
      <c r="L515" s="217">
        <f t="shared" ref="L515:N516" si="321">L518+L521</f>
        <v>0</v>
      </c>
      <c r="M515" s="133">
        <f t="shared" si="321"/>
        <v>0</v>
      </c>
      <c r="N515" s="133">
        <f t="shared" si="321"/>
        <v>0</v>
      </c>
      <c r="O515" s="133">
        <f t="shared" si="316"/>
        <v>0</v>
      </c>
      <c r="P515" s="133">
        <f t="shared" si="317"/>
        <v>0</v>
      </c>
      <c r="Q515" s="133">
        <f t="shared" ref="Q515:S516" si="322">Q518+Q521</f>
        <v>0</v>
      </c>
      <c r="R515" s="133">
        <f t="shared" si="322"/>
        <v>0</v>
      </c>
      <c r="S515" s="133">
        <f t="shared" si="322"/>
        <v>0</v>
      </c>
      <c r="T515" s="133">
        <f t="shared" si="319"/>
        <v>0</v>
      </c>
      <c r="U515" s="133">
        <f t="shared" si="320"/>
        <v>0</v>
      </c>
    </row>
    <row r="516" spans="1:21" ht="18.75" hidden="1" x14ac:dyDescent="0.25">
      <c r="A516" s="880"/>
      <c r="B516" s="838"/>
      <c r="C516" s="838"/>
      <c r="D516" s="838"/>
      <c r="E516" s="265" t="s">
        <v>21</v>
      </c>
      <c r="F516" s="838"/>
      <c r="G516" s="839"/>
      <c r="H516" s="266" t="s">
        <v>14</v>
      </c>
      <c r="I516" s="841"/>
      <c r="J516" s="841"/>
      <c r="K516" s="842"/>
      <c r="L516" s="131">
        <f t="shared" ca="1" si="321"/>
        <v>0</v>
      </c>
      <c r="M516" s="132">
        <f t="shared" ca="1" si="321"/>
        <v>0</v>
      </c>
      <c r="N516" s="132">
        <f t="shared" ca="1" si="321"/>
        <v>0</v>
      </c>
      <c r="O516" s="132">
        <f t="shared" ca="1" si="316"/>
        <v>0</v>
      </c>
      <c r="P516" s="132">
        <f t="shared" ca="1" si="317"/>
        <v>0</v>
      </c>
      <c r="Q516" s="132">
        <f t="shared" si="322"/>
        <v>0</v>
      </c>
      <c r="R516" s="132">
        <f t="shared" si="322"/>
        <v>0</v>
      </c>
      <c r="S516" s="132">
        <f t="shared" si="322"/>
        <v>0</v>
      </c>
      <c r="T516" s="132">
        <f t="shared" si="319"/>
        <v>0</v>
      </c>
      <c r="U516" s="132">
        <f t="shared" si="320"/>
        <v>0</v>
      </c>
    </row>
    <row r="517" spans="1:21" ht="18.75" hidden="1" x14ac:dyDescent="0.25">
      <c r="A517" s="880"/>
      <c r="B517" s="838"/>
      <c r="C517" s="838"/>
      <c r="D517" s="991" t="s">
        <v>22</v>
      </c>
      <c r="E517" s="838"/>
      <c r="F517" s="838"/>
      <c r="G517" s="839"/>
      <c r="H517" s="273" t="s">
        <v>14</v>
      </c>
      <c r="I517" s="881"/>
      <c r="J517" s="881"/>
      <c r="K517" s="882"/>
      <c r="L517" s="131">
        <f t="shared" ref="L517:N517" ca="1" si="323">L518+L519</f>
        <v>0</v>
      </c>
      <c r="M517" s="132">
        <f t="shared" ca="1" si="323"/>
        <v>0</v>
      </c>
      <c r="N517" s="132">
        <f t="shared" ca="1" si="323"/>
        <v>0</v>
      </c>
      <c r="O517" s="132">
        <f t="shared" ca="1" si="316"/>
        <v>0</v>
      </c>
      <c r="P517" s="132">
        <f t="shared" ca="1" si="317"/>
        <v>0</v>
      </c>
      <c r="Q517" s="132">
        <f t="shared" ref="Q517:S517" si="324">Q518+Q519</f>
        <v>0</v>
      </c>
      <c r="R517" s="132">
        <f t="shared" si="324"/>
        <v>0</v>
      </c>
      <c r="S517" s="132">
        <f t="shared" si="324"/>
        <v>0</v>
      </c>
      <c r="T517" s="132">
        <f t="shared" si="319"/>
        <v>0</v>
      </c>
      <c r="U517" s="132">
        <f t="shared" si="320"/>
        <v>0</v>
      </c>
    </row>
    <row r="518" spans="1:21" ht="18.75" hidden="1" x14ac:dyDescent="0.25">
      <c r="A518" s="880"/>
      <c r="B518" s="838"/>
      <c r="C518" s="838"/>
      <c r="D518" s="838"/>
      <c r="E518" s="265" t="s">
        <v>36</v>
      </c>
      <c r="F518" s="838"/>
      <c r="G518" s="839"/>
      <c r="H518" s="273" t="s">
        <v>14</v>
      </c>
      <c r="I518" s="881"/>
      <c r="J518" s="881"/>
      <c r="K518" s="882"/>
      <c r="L518" s="76">
        <v>0</v>
      </c>
      <c r="M518" s="77">
        <v>0</v>
      </c>
      <c r="N518" s="77">
        <v>0</v>
      </c>
      <c r="O518" s="133">
        <f t="shared" si="316"/>
        <v>0</v>
      </c>
      <c r="P518" s="133">
        <f t="shared" si="317"/>
        <v>0</v>
      </c>
      <c r="Q518" s="77">
        <v>0</v>
      </c>
      <c r="R518" s="77">
        <v>0</v>
      </c>
      <c r="S518" s="77">
        <v>0</v>
      </c>
      <c r="T518" s="133">
        <f t="shared" si="319"/>
        <v>0</v>
      </c>
      <c r="U518" s="133">
        <f t="shared" si="320"/>
        <v>0</v>
      </c>
    </row>
    <row r="519" spans="1:21" ht="18.75" hidden="1" x14ac:dyDescent="0.25">
      <c r="A519" s="880"/>
      <c r="B519" s="838"/>
      <c r="C519" s="838"/>
      <c r="D519" s="838"/>
      <c r="E519" s="265" t="s">
        <v>37</v>
      </c>
      <c r="F519" s="838"/>
      <c r="G519" s="839"/>
      <c r="H519" s="273" t="s">
        <v>14</v>
      </c>
      <c r="I519" s="881"/>
      <c r="J519" s="881"/>
      <c r="K519" s="882"/>
      <c r="L519" s="131">
        <f ca="1">IFERROR(__xludf.DUMMYFUNCTION("IMPORTRANGE(""https://docs.google.com/spreadsheets/d/1-uDff_7J0KD5mKrp0Vvzr7lt3OU09vwQwhkpOPPYv2Y/edit?usp=sharing"",""งบพรบ!FM53"")"),0)</f>
        <v>0</v>
      </c>
      <c r="M519" s="132">
        <f ca="1">IFERROR(__xludf.DUMMYFUNCTION("IMPORTRANGE(""https://docs.google.com/spreadsheets/d/1-uDff_7J0KD5mKrp0Vvzr7lt3OU09vwQwhkpOPPYv2Y/edit?usp=sharing"",""งบพรบ!FR53"")"),0)</f>
        <v>0</v>
      </c>
      <c r="N519" s="132">
        <f ca="1">IFERROR(__xludf.DUMMYFUNCTION("IMPORTRANGE(""https://docs.google.com/spreadsheets/d/1-uDff_7J0KD5mKrp0Vvzr7lt3OU09vwQwhkpOPPYv2Y/edit?usp=sharing"",""งบพรบ!FT53"")"),0)</f>
        <v>0</v>
      </c>
      <c r="O519" s="132">
        <f t="shared" ca="1" si="316"/>
        <v>0</v>
      </c>
      <c r="P519" s="132">
        <f t="shared" ca="1" si="317"/>
        <v>0</v>
      </c>
      <c r="Q519" s="74">
        <v>0</v>
      </c>
      <c r="R519" s="74">
        <v>0</v>
      </c>
      <c r="S519" s="74">
        <v>0</v>
      </c>
      <c r="T519" s="132">
        <f t="shared" si="319"/>
        <v>0</v>
      </c>
      <c r="U519" s="132">
        <f t="shared" si="320"/>
        <v>0</v>
      </c>
    </row>
    <row r="520" spans="1:21" ht="18.75" hidden="1" x14ac:dyDescent="0.25">
      <c r="A520" s="880"/>
      <c r="B520" s="838"/>
      <c r="C520" s="838"/>
      <c r="D520" s="991" t="s">
        <v>23</v>
      </c>
      <c r="E520" s="838"/>
      <c r="F520" s="838"/>
      <c r="G520" s="839"/>
      <c r="H520" s="706" t="s">
        <v>14</v>
      </c>
      <c r="I520" s="881"/>
      <c r="J520" s="881"/>
      <c r="K520" s="882"/>
      <c r="L520" s="131">
        <f t="shared" ref="L520:N520" ca="1" si="325">L521+L522</f>
        <v>0</v>
      </c>
      <c r="M520" s="132">
        <f t="shared" ca="1" si="325"/>
        <v>0</v>
      </c>
      <c r="N520" s="132">
        <f t="shared" ca="1" si="325"/>
        <v>0</v>
      </c>
      <c r="O520" s="132">
        <f t="shared" ca="1" si="316"/>
        <v>0</v>
      </c>
      <c r="P520" s="132">
        <f t="shared" ca="1" si="317"/>
        <v>0</v>
      </c>
      <c r="Q520" s="132">
        <f t="shared" ref="Q520:S520" si="326">Q521+Q522</f>
        <v>0</v>
      </c>
      <c r="R520" s="132">
        <f t="shared" si="326"/>
        <v>0</v>
      </c>
      <c r="S520" s="132">
        <f t="shared" si="326"/>
        <v>0</v>
      </c>
      <c r="T520" s="132">
        <f t="shared" si="319"/>
        <v>0</v>
      </c>
      <c r="U520" s="132">
        <f t="shared" si="320"/>
        <v>0</v>
      </c>
    </row>
    <row r="521" spans="1:21" ht="18.75" hidden="1" x14ac:dyDescent="0.25">
      <c r="A521" s="880"/>
      <c r="B521" s="838"/>
      <c r="C521" s="838"/>
      <c r="D521" s="838"/>
      <c r="E521" s="265" t="s">
        <v>20</v>
      </c>
      <c r="F521" s="838"/>
      <c r="G521" s="839"/>
      <c r="H521" s="273" t="s">
        <v>14</v>
      </c>
      <c r="I521" s="881"/>
      <c r="J521" s="881"/>
      <c r="K521" s="882"/>
      <c r="L521" s="76">
        <v>0</v>
      </c>
      <c r="M521" s="77">
        <v>0</v>
      </c>
      <c r="N521" s="77">
        <v>0</v>
      </c>
      <c r="O521" s="133">
        <f t="shared" si="316"/>
        <v>0</v>
      </c>
      <c r="P521" s="133">
        <f t="shared" si="317"/>
        <v>0</v>
      </c>
      <c r="Q521" s="77">
        <v>0</v>
      </c>
      <c r="R521" s="77">
        <v>0</v>
      </c>
      <c r="S521" s="77">
        <v>0</v>
      </c>
      <c r="T521" s="133">
        <f t="shared" si="319"/>
        <v>0</v>
      </c>
      <c r="U521" s="133">
        <f t="shared" si="320"/>
        <v>0</v>
      </c>
    </row>
    <row r="522" spans="1:21" ht="18.75" hidden="1" x14ac:dyDescent="0.25">
      <c r="A522" s="880"/>
      <c r="B522" s="838"/>
      <c r="C522" s="838"/>
      <c r="D522" s="838"/>
      <c r="E522" s="265" t="s">
        <v>21</v>
      </c>
      <c r="F522" s="838"/>
      <c r="G522" s="839"/>
      <c r="H522" s="706" t="s">
        <v>14</v>
      </c>
      <c r="I522" s="881"/>
      <c r="J522" s="881"/>
      <c r="K522" s="882"/>
      <c r="L522" s="131">
        <f ca="1">IFERROR(__xludf.DUMMYFUNCTION("IMPORTRANGE(""https://docs.google.com/spreadsheets/d/1-uDff_7J0KD5mKrp0Vvzr7lt3OU09vwQwhkpOPPYv2Y/edit?usp=sharing"",""งบพรบ!FP53"")"),0)</f>
        <v>0</v>
      </c>
      <c r="M522" s="132">
        <f ca="1">IFERROR(__xludf.DUMMYFUNCTION("IMPORTRANGE(""https://docs.google.com/spreadsheets/d/1-uDff_7J0KD5mKrp0Vvzr7lt3OU09vwQwhkpOPPYv2Y/edit?usp=sharing"",""งบพรบ!FS53"")"),0)</f>
        <v>0</v>
      </c>
      <c r="N522" s="132">
        <f ca="1">IFERROR(__xludf.DUMMYFUNCTION("IMPORTRANGE(""https://docs.google.com/spreadsheets/d/1-uDff_7J0KD5mKrp0Vvzr7lt3OU09vwQwhkpOPPYv2Y/edit?usp=sharing"",""งบพรบ!FU53"")"),0)</f>
        <v>0</v>
      </c>
      <c r="O522" s="132">
        <f t="shared" ca="1" si="316"/>
        <v>0</v>
      </c>
      <c r="P522" s="132">
        <f t="shared" ca="1" si="317"/>
        <v>0</v>
      </c>
      <c r="Q522" s="74">
        <v>0</v>
      </c>
      <c r="R522" s="74">
        <v>0</v>
      </c>
      <c r="S522" s="74">
        <v>0</v>
      </c>
      <c r="T522" s="132">
        <f t="shared" si="319"/>
        <v>0</v>
      </c>
      <c r="U522" s="132">
        <f t="shared" si="320"/>
        <v>0</v>
      </c>
    </row>
    <row r="523" spans="1:21" ht="19.5" hidden="1" x14ac:dyDescent="0.3">
      <c r="A523" s="937"/>
      <c r="B523" s="938"/>
      <c r="C523" s="933" t="s">
        <v>18</v>
      </c>
      <c r="D523" s="940" t="s">
        <v>38</v>
      </c>
      <c r="E523" s="941"/>
      <c r="F523" s="941"/>
      <c r="G523" s="942"/>
      <c r="H523" s="943"/>
      <c r="I523" s="881"/>
      <c r="J523" s="841"/>
      <c r="K523" s="842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919"/>
      <c r="B524" s="838"/>
      <c r="C524" s="920"/>
      <c r="D524" s="311" t="s">
        <v>208</v>
      </c>
      <c r="E524" s="938"/>
      <c r="F524" s="838"/>
      <c r="G524" s="839"/>
      <c r="H524" s="921" t="s">
        <v>11</v>
      </c>
      <c r="I524" s="592">
        <v>0</v>
      </c>
      <c r="J524" s="910">
        <v>0</v>
      </c>
      <c r="K524" s="77">
        <f t="shared" ref="K524:K525" si="327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992"/>
      <c r="B525" s="993"/>
      <c r="C525" s="994"/>
      <c r="D525" s="995" t="s">
        <v>209</v>
      </c>
      <c r="E525" s="996"/>
      <c r="F525" s="993"/>
      <c r="G525" s="997"/>
      <c r="H525" s="998" t="s">
        <v>61</v>
      </c>
      <c r="I525" s="779">
        <v>0</v>
      </c>
      <c r="J525" s="999">
        <v>0</v>
      </c>
      <c r="K525" s="1000">
        <f t="shared" si="327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983" t="s">
        <v>306</v>
      </c>
      <c r="C534" s="683"/>
      <c r="D534" s="684"/>
      <c r="E534" s="684"/>
      <c r="F534" s="684"/>
      <c r="G534" s="685"/>
      <c r="H534" s="1001" t="s">
        <v>61</v>
      </c>
      <c r="I534" s="1002">
        <f t="shared" ref="I534:J534" si="328">I546</f>
        <v>0</v>
      </c>
      <c r="J534" s="1002">
        <f t="shared" si="328"/>
        <v>0</v>
      </c>
      <c r="K534" s="989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933" t="s">
        <v>18</v>
      </c>
      <c r="D535" s="934" t="s">
        <v>19</v>
      </c>
      <c r="E535" s="258"/>
      <c r="F535" s="258"/>
      <c r="G535" s="261"/>
      <c r="H535" s="990" t="s">
        <v>14</v>
      </c>
      <c r="I535" s="263"/>
      <c r="J535" s="263"/>
      <c r="K535" s="87"/>
      <c r="L535" s="214">
        <f t="shared" ref="L535:N535" si="329">L536+L537</f>
        <v>0</v>
      </c>
      <c r="M535" s="215">
        <f t="shared" si="329"/>
        <v>0</v>
      </c>
      <c r="N535" s="215">
        <f t="shared" si="329"/>
        <v>0</v>
      </c>
      <c r="O535" s="215">
        <f t="shared" ref="O535:O543" si="330">IF(L535&gt;0,N535*100/L535,0)</f>
        <v>0</v>
      </c>
      <c r="P535" s="215">
        <f t="shared" ref="P535:P543" si="331">IF(M535&gt;0,N535*100/M535,0)</f>
        <v>0</v>
      </c>
      <c r="Q535" s="215">
        <f t="shared" ref="Q535:S535" si="332">Q536+Q537</f>
        <v>0</v>
      </c>
      <c r="R535" s="215">
        <f t="shared" si="332"/>
        <v>0</v>
      </c>
      <c r="S535" s="215">
        <f t="shared" si="332"/>
        <v>0</v>
      </c>
      <c r="T535" s="215">
        <f t="shared" ref="T535:T543" si="333">IF(Q535&gt;0,S535*100/Q535,0)</f>
        <v>0</v>
      </c>
      <c r="U535" s="215">
        <f t="shared" ref="U535:U543" si="334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217">
        <f t="shared" ref="L536:N537" si="335">L539+L542</f>
        <v>0</v>
      </c>
      <c r="M536" s="133">
        <f t="shared" si="335"/>
        <v>0</v>
      </c>
      <c r="N536" s="133">
        <f t="shared" si="335"/>
        <v>0</v>
      </c>
      <c r="O536" s="133">
        <f t="shared" si="330"/>
        <v>0</v>
      </c>
      <c r="P536" s="133">
        <f t="shared" si="331"/>
        <v>0</v>
      </c>
      <c r="Q536" s="133">
        <f t="shared" ref="Q536:S537" si="336">Q539+Q542</f>
        <v>0</v>
      </c>
      <c r="R536" s="133">
        <f t="shared" si="336"/>
        <v>0</v>
      </c>
      <c r="S536" s="133">
        <f t="shared" si="336"/>
        <v>0</v>
      </c>
      <c r="T536" s="133">
        <f t="shared" si="333"/>
        <v>0</v>
      </c>
      <c r="U536" s="133">
        <f t="shared" si="334"/>
        <v>0</v>
      </c>
    </row>
    <row r="537" spans="1:21" ht="18.75" hidden="1" x14ac:dyDescent="0.25">
      <c r="A537" s="257"/>
      <c r="B537" s="258"/>
      <c r="C537" s="269"/>
      <c r="D537" s="258"/>
      <c r="E537" s="775" t="s">
        <v>21</v>
      </c>
      <c r="F537" s="258"/>
      <c r="G537" s="261"/>
      <c r="H537" s="266" t="s">
        <v>14</v>
      </c>
      <c r="I537" s="263"/>
      <c r="J537" s="263"/>
      <c r="K537" s="87"/>
      <c r="L537" s="131">
        <f t="shared" si="335"/>
        <v>0</v>
      </c>
      <c r="M537" s="132">
        <f t="shared" si="335"/>
        <v>0</v>
      </c>
      <c r="N537" s="132">
        <f t="shared" si="335"/>
        <v>0</v>
      </c>
      <c r="O537" s="132">
        <f t="shared" si="330"/>
        <v>0</v>
      </c>
      <c r="P537" s="132">
        <f t="shared" si="331"/>
        <v>0</v>
      </c>
      <c r="Q537" s="132">
        <f t="shared" si="336"/>
        <v>0</v>
      </c>
      <c r="R537" s="132">
        <f t="shared" si="336"/>
        <v>0</v>
      </c>
      <c r="S537" s="132">
        <f t="shared" si="336"/>
        <v>0</v>
      </c>
      <c r="T537" s="132">
        <f t="shared" si="333"/>
        <v>0</v>
      </c>
      <c r="U537" s="132">
        <f t="shared" si="334"/>
        <v>0</v>
      </c>
    </row>
    <row r="538" spans="1:21" ht="18.75" hidden="1" x14ac:dyDescent="0.25">
      <c r="A538" s="257"/>
      <c r="B538" s="258"/>
      <c r="C538" s="269"/>
      <c r="D538" s="991" t="s">
        <v>22</v>
      </c>
      <c r="E538" s="269"/>
      <c r="F538" s="258"/>
      <c r="G538" s="261"/>
      <c r="H538" s="273" t="s">
        <v>14</v>
      </c>
      <c r="I538" s="272"/>
      <c r="J538" s="272"/>
      <c r="K538" s="229"/>
      <c r="L538" s="131">
        <f t="shared" ref="L538:N538" si="337">L539+L540</f>
        <v>0</v>
      </c>
      <c r="M538" s="132">
        <f t="shared" si="337"/>
        <v>0</v>
      </c>
      <c r="N538" s="132">
        <f t="shared" si="337"/>
        <v>0</v>
      </c>
      <c r="O538" s="132">
        <f t="shared" si="330"/>
        <v>0</v>
      </c>
      <c r="P538" s="132">
        <f t="shared" si="331"/>
        <v>0</v>
      </c>
      <c r="Q538" s="132">
        <f t="shared" ref="Q538:S538" si="338">Q539+Q540</f>
        <v>0</v>
      </c>
      <c r="R538" s="132">
        <f t="shared" si="338"/>
        <v>0</v>
      </c>
      <c r="S538" s="132">
        <f t="shared" si="338"/>
        <v>0</v>
      </c>
      <c r="T538" s="132">
        <f t="shared" si="333"/>
        <v>0</v>
      </c>
      <c r="U538" s="132">
        <f t="shared" si="334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133">
        <f t="shared" si="330"/>
        <v>0</v>
      </c>
      <c r="P539" s="133">
        <f t="shared" si="331"/>
        <v>0</v>
      </c>
      <c r="Q539" s="77">
        <v>0</v>
      </c>
      <c r="R539" s="77">
        <v>0</v>
      </c>
      <c r="S539" s="77">
        <v>0</v>
      </c>
      <c r="T539" s="133">
        <f t="shared" si="333"/>
        <v>0</v>
      </c>
      <c r="U539" s="133">
        <f t="shared" si="334"/>
        <v>0</v>
      </c>
    </row>
    <row r="540" spans="1:21" ht="18.75" hidden="1" x14ac:dyDescent="0.25">
      <c r="A540" s="257"/>
      <c r="B540" s="258"/>
      <c r="C540" s="258"/>
      <c r="D540" s="258"/>
      <c r="E540" s="265" t="s">
        <v>37</v>
      </c>
      <c r="F540" s="258"/>
      <c r="G540" s="261"/>
      <c r="H540" s="273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132">
        <f t="shared" si="330"/>
        <v>0</v>
      </c>
      <c r="P540" s="132">
        <f t="shared" si="331"/>
        <v>0</v>
      </c>
      <c r="Q540" s="74">
        <v>0</v>
      </c>
      <c r="R540" s="74">
        <v>0</v>
      </c>
      <c r="S540" s="74">
        <v>0</v>
      </c>
      <c r="T540" s="132">
        <f t="shared" si="333"/>
        <v>0</v>
      </c>
      <c r="U540" s="132">
        <f t="shared" si="334"/>
        <v>0</v>
      </c>
    </row>
    <row r="541" spans="1:21" ht="18.75" hidden="1" x14ac:dyDescent="0.25">
      <c r="A541" s="257"/>
      <c r="B541" s="258"/>
      <c r="C541" s="258"/>
      <c r="D541" s="991" t="s">
        <v>23</v>
      </c>
      <c r="E541" s="258"/>
      <c r="F541" s="258"/>
      <c r="G541" s="261"/>
      <c r="H541" s="706" t="s">
        <v>14</v>
      </c>
      <c r="I541" s="272"/>
      <c r="J541" s="272"/>
      <c r="K541" s="229"/>
      <c r="L541" s="131">
        <f t="shared" ref="L541:N541" si="339">L542+L543</f>
        <v>0</v>
      </c>
      <c r="M541" s="132">
        <f t="shared" si="339"/>
        <v>0</v>
      </c>
      <c r="N541" s="132">
        <f t="shared" si="339"/>
        <v>0</v>
      </c>
      <c r="O541" s="132">
        <f t="shared" si="330"/>
        <v>0</v>
      </c>
      <c r="P541" s="132">
        <f t="shared" si="331"/>
        <v>0</v>
      </c>
      <c r="Q541" s="132">
        <f t="shared" ref="Q541:S541" si="340">Q542+Q543</f>
        <v>0</v>
      </c>
      <c r="R541" s="132">
        <f t="shared" si="340"/>
        <v>0</v>
      </c>
      <c r="S541" s="132">
        <f t="shared" si="340"/>
        <v>0</v>
      </c>
      <c r="T541" s="132">
        <f t="shared" si="333"/>
        <v>0</v>
      </c>
      <c r="U541" s="132">
        <f t="shared" si="334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133">
        <f t="shared" si="330"/>
        <v>0</v>
      </c>
      <c r="P542" s="133">
        <f t="shared" si="331"/>
        <v>0</v>
      </c>
      <c r="Q542" s="77">
        <v>0</v>
      </c>
      <c r="R542" s="77">
        <v>0</v>
      </c>
      <c r="S542" s="77">
        <v>0</v>
      </c>
      <c r="T542" s="133">
        <f t="shared" si="333"/>
        <v>0</v>
      </c>
      <c r="U542" s="133">
        <f t="shared" si="334"/>
        <v>0</v>
      </c>
    </row>
    <row r="543" spans="1:21" ht="18.75" hidden="1" x14ac:dyDescent="0.25">
      <c r="A543" s="257"/>
      <c r="B543" s="258"/>
      <c r="C543" s="258"/>
      <c r="D543" s="258"/>
      <c r="E543" s="265" t="s">
        <v>21</v>
      </c>
      <c r="F543" s="258"/>
      <c r="G543" s="261"/>
      <c r="H543" s="706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132">
        <f t="shared" si="330"/>
        <v>0</v>
      </c>
      <c r="P543" s="132">
        <f t="shared" si="331"/>
        <v>0</v>
      </c>
      <c r="Q543" s="74">
        <v>0</v>
      </c>
      <c r="R543" s="74">
        <v>0</v>
      </c>
      <c r="S543" s="74">
        <v>0</v>
      </c>
      <c r="T543" s="132">
        <f t="shared" si="333"/>
        <v>0</v>
      </c>
      <c r="U543" s="132">
        <f t="shared" si="334"/>
        <v>0</v>
      </c>
    </row>
    <row r="544" spans="1:21" ht="19.5" hidden="1" x14ac:dyDescent="0.3">
      <c r="A544" s="276"/>
      <c r="B544" s="277"/>
      <c r="C544" s="1003" t="s">
        <v>18</v>
      </c>
      <c r="D544" s="940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983" t="s">
        <v>307</v>
      </c>
      <c r="C555" s="683"/>
      <c r="D555" s="684"/>
      <c r="E555" s="684"/>
      <c r="F555" s="684"/>
      <c r="G555" s="685"/>
      <c r="H555" s="1001" t="s">
        <v>61</v>
      </c>
      <c r="I555" s="1002">
        <f t="shared" ref="I555:J555" si="341">I567</f>
        <v>0</v>
      </c>
      <c r="J555" s="1002">
        <f t="shared" si="341"/>
        <v>0</v>
      </c>
      <c r="K555" s="989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933" t="s">
        <v>18</v>
      </c>
      <c r="D556" s="934" t="s">
        <v>19</v>
      </c>
      <c r="E556" s="258"/>
      <c r="F556" s="258"/>
      <c r="G556" s="261"/>
      <c r="H556" s="990" t="s">
        <v>14</v>
      </c>
      <c r="I556" s="263"/>
      <c r="J556" s="263"/>
      <c r="K556" s="87"/>
      <c r="L556" s="214">
        <f t="shared" ref="L556:N556" si="342">L557+L558</f>
        <v>0</v>
      </c>
      <c r="M556" s="215">
        <f t="shared" si="342"/>
        <v>0</v>
      </c>
      <c r="N556" s="215">
        <f t="shared" si="342"/>
        <v>0</v>
      </c>
      <c r="O556" s="215">
        <f t="shared" ref="O556:O564" si="343">IF(L556&gt;0,N556*100/L556,0)</f>
        <v>0</v>
      </c>
      <c r="P556" s="215">
        <f t="shared" ref="P556:P564" si="344">IF(M556&gt;0,N556*100/M556,0)</f>
        <v>0</v>
      </c>
      <c r="Q556" s="215">
        <f t="shared" ref="Q556:S556" si="345">Q557+Q558</f>
        <v>0</v>
      </c>
      <c r="R556" s="215">
        <f t="shared" si="345"/>
        <v>0</v>
      </c>
      <c r="S556" s="215">
        <f t="shared" si="345"/>
        <v>0</v>
      </c>
      <c r="T556" s="215">
        <f t="shared" ref="T556:T564" si="346">IF(Q556&gt;0,S556*100/Q556,0)</f>
        <v>0</v>
      </c>
      <c r="U556" s="215">
        <f t="shared" ref="U556:U564" si="347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217">
        <f t="shared" ref="L557:N558" si="348">L560+L563</f>
        <v>0</v>
      </c>
      <c r="M557" s="133">
        <f t="shared" si="348"/>
        <v>0</v>
      </c>
      <c r="N557" s="133">
        <f t="shared" si="348"/>
        <v>0</v>
      </c>
      <c r="O557" s="133">
        <f t="shared" si="343"/>
        <v>0</v>
      </c>
      <c r="P557" s="133">
        <f t="shared" si="344"/>
        <v>0</v>
      </c>
      <c r="Q557" s="133">
        <f t="shared" ref="Q557:S558" si="349">Q560+Q563</f>
        <v>0</v>
      </c>
      <c r="R557" s="133">
        <f t="shared" si="349"/>
        <v>0</v>
      </c>
      <c r="S557" s="133">
        <f t="shared" si="349"/>
        <v>0</v>
      </c>
      <c r="T557" s="133">
        <f t="shared" si="346"/>
        <v>0</v>
      </c>
      <c r="U557" s="133">
        <f t="shared" si="347"/>
        <v>0</v>
      </c>
    </row>
    <row r="558" spans="1:21" ht="18.75" hidden="1" x14ac:dyDescent="0.25">
      <c r="A558" s="257"/>
      <c r="B558" s="258"/>
      <c r="C558" s="269"/>
      <c r="D558" s="258"/>
      <c r="E558" s="775" t="s">
        <v>21</v>
      </c>
      <c r="F558" s="258"/>
      <c r="G558" s="261"/>
      <c r="H558" s="266" t="s">
        <v>14</v>
      </c>
      <c r="I558" s="263"/>
      <c r="J558" s="263"/>
      <c r="K558" s="87"/>
      <c r="L558" s="131">
        <f t="shared" si="348"/>
        <v>0</v>
      </c>
      <c r="M558" s="132">
        <f t="shared" si="348"/>
        <v>0</v>
      </c>
      <c r="N558" s="132">
        <f t="shared" si="348"/>
        <v>0</v>
      </c>
      <c r="O558" s="132">
        <f t="shared" si="343"/>
        <v>0</v>
      </c>
      <c r="P558" s="132">
        <f t="shared" si="344"/>
        <v>0</v>
      </c>
      <c r="Q558" s="132">
        <f t="shared" si="349"/>
        <v>0</v>
      </c>
      <c r="R558" s="132">
        <f t="shared" si="349"/>
        <v>0</v>
      </c>
      <c r="S558" s="132">
        <f t="shared" si="349"/>
        <v>0</v>
      </c>
      <c r="T558" s="132">
        <f t="shared" si="346"/>
        <v>0</v>
      </c>
      <c r="U558" s="132">
        <f t="shared" si="347"/>
        <v>0</v>
      </c>
    </row>
    <row r="559" spans="1:21" ht="18.75" hidden="1" x14ac:dyDescent="0.25">
      <c r="A559" s="257"/>
      <c r="B559" s="258"/>
      <c r="C559" s="269"/>
      <c r="D559" s="991" t="s">
        <v>22</v>
      </c>
      <c r="E559" s="269"/>
      <c r="F559" s="258"/>
      <c r="G559" s="261"/>
      <c r="H559" s="273" t="s">
        <v>14</v>
      </c>
      <c r="I559" s="272"/>
      <c r="J559" s="272"/>
      <c r="K559" s="229"/>
      <c r="L559" s="131">
        <f t="shared" ref="L559:N559" si="350">L560+L561</f>
        <v>0</v>
      </c>
      <c r="M559" s="132">
        <f t="shared" si="350"/>
        <v>0</v>
      </c>
      <c r="N559" s="132">
        <f t="shared" si="350"/>
        <v>0</v>
      </c>
      <c r="O559" s="132">
        <f t="shared" si="343"/>
        <v>0</v>
      </c>
      <c r="P559" s="132">
        <f t="shared" si="344"/>
        <v>0</v>
      </c>
      <c r="Q559" s="132">
        <f t="shared" ref="Q559:S559" si="351">Q560+Q561</f>
        <v>0</v>
      </c>
      <c r="R559" s="132">
        <f t="shared" si="351"/>
        <v>0</v>
      </c>
      <c r="S559" s="132">
        <f t="shared" si="351"/>
        <v>0</v>
      </c>
      <c r="T559" s="132">
        <f t="shared" si="346"/>
        <v>0</v>
      </c>
      <c r="U559" s="132">
        <f t="shared" si="347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133">
        <f t="shared" si="343"/>
        <v>0</v>
      </c>
      <c r="P560" s="133">
        <f t="shared" si="344"/>
        <v>0</v>
      </c>
      <c r="Q560" s="77">
        <v>0</v>
      </c>
      <c r="R560" s="77">
        <v>0</v>
      </c>
      <c r="S560" s="77">
        <v>0</v>
      </c>
      <c r="T560" s="133">
        <f t="shared" si="346"/>
        <v>0</v>
      </c>
      <c r="U560" s="133">
        <f t="shared" si="347"/>
        <v>0</v>
      </c>
    </row>
    <row r="561" spans="1:21" ht="18.75" hidden="1" x14ac:dyDescent="0.25">
      <c r="A561" s="257"/>
      <c r="B561" s="258"/>
      <c r="C561" s="258"/>
      <c r="D561" s="258"/>
      <c r="E561" s="265" t="s">
        <v>37</v>
      </c>
      <c r="F561" s="258"/>
      <c r="G561" s="261"/>
      <c r="H561" s="273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132">
        <f t="shared" si="343"/>
        <v>0</v>
      </c>
      <c r="P561" s="132">
        <f t="shared" si="344"/>
        <v>0</v>
      </c>
      <c r="Q561" s="74">
        <v>0</v>
      </c>
      <c r="R561" s="74">
        <v>0</v>
      </c>
      <c r="S561" s="74">
        <v>0</v>
      </c>
      <c r="T561" s="132">
        <f t="shared" si="346"/>
        <v>0</v>
      </c>
      <c r="U561" s="132">
        <f t="shared" si="347"/>
        <v>0</v>
      </c>
    </row>
    <row r="562" spans="1:21" ht="18.75" hidden="1" x14ac:dyDescent="0.25">
      <c r="A562" s="257"/>
      <c r="B562" s="258"/>
      <c r="C562" s="258"/>
      <c r="D562" s="991" t="s">
        <v>23</v>
      </c>
      <c r="E562" s="258"/>
      <c r="F562" s="258"/>
      <c r="G562" s="261"/>
      <c r="H562" s="706" t="s">
        <v>14</v>
      </c>
      <c r="I562" s="272"/>
      <c r="J562" s="272"/>
      <c r="K562" s="229"/>
      <c r="L562" s="131">
        <f t="shared" ref="L562:N562" si="352">L563+L564</f>
        <v>0</v>
      </c>
      <c r="M562" s="132">
        <f t="shared" si="352"/>
        <v>0</v>
      </c>
      <c r="N562" s="132">
        <f t="shared" si="352"/>
        <v>0</v>
      </c>
      <c r="O562" s="132">
        <f t="shared" si="343"/>
        <v>0</v>
      </c>
      <c r="P562" s="132">
        <f t="shared" si="344"/>
        <v>0</v>
      </c>
      <c r="Q562" s="132">
        <f t="shared" ref="Q562:S562" si="353">Q563+Q564</f>
        <v>0</v>
      </c>
      <c r="R562" s="132">
        <f t="shared" si="353"/>
        <v>0</v>
      </c>
      <c r="S562" s="132">
        <f t="shared" si="353"/>
        <v>0</v>
      </c>
      <c r="T562" s="132">
        <f t="shared" si="346"/>
        <v>0</v>
      </c>
      <c r="U562" s="132">
        <f t="shared" si="347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133">
        <f t="shared" si="343"/>
        <v>0</v>
      </c>
      <c r="P563" s="133">
        <f t="shared" si="344"/>
        <v>0</v>
      </c>
      <c r="Q563" s="77">
        <v>0</v>
      </c>
      <c r="R563" s="77">
        <v>0</v>
      </c>
      <c r="S563" s="77">
        <v>0</v>
      </c>
      <c r="T563" s="133">
        <f t="shared" si="346"/>
        <v>0</v>
      </c>
      <c r="U563" s="133">
        <f t="shared" si="347"/>
        <v>0</v>
      </c>
    </row>
    <row r="564" spans="1:21" ht="18.75" hidden="1" x14ac:dyDescent="0.25">
      <c r="A564" s="257"/>
      <c r="B564" s="258"/>
      <c r="C564" s="258"/>
      <c r="D564" s="258"/>
      <c r="E564" s="265" t="s">
        <v>21</v>
      </c>
      <c r="F564" s="258"/>
      <c r="G564" s="261"/>
      <c r="H564" s="706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132">
        <f t="shared" si="343"/>
        <v>0</v>
      </c>
      <c r="P564" s="132">
        <f t="shared" si="344"/>
        <v>0</v>
      </c>
      <c r="Q564" s="74">
        <v>0</v>
      </c>
      <c r="R564" s="74">
        <v>0</v>
      </c>
      <c r="S564" s="74">
        <v>0</v>
      </c>
      <c r="T564" s="132">
        <f t="shared" si="346"/>
        <v>0</v>
      </c>
      <c r="U564" s="132">
        <f t="shared" si="347"/>
        <v>0</v>
      </c>
    </row>
    <row r="565" spans="1:21" ht="19.5" hidden="1" x14ac:dyDescent="0.3">
      <c r="A565" s="276"/>
      <c r="B565" s="277"/>
      <c r="C565" s="1003" t="s">
        <v>18</v>
      </c>
      <c r="D565" s="940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983" t="s">
        <v>308</v>
      </c>
      <c r="C576" s="683"/>
      <c r="D576" s="684"/>
      <c r="E576" s="684"/>
      <c r="F576" s="684"/>
      <c r="G576" s="685"/>
      <c r="H576" s="1001" t="s">
        <v>61</v>
      </c>
      <c r="I576" s="1002">
        <f t="shared" ref="I576:J576" si="354">I588</f>
        <v>0</v>
      </c>
      <c r="J576" s="1002">
        <f t="shared" si="354"/>
        <v>0</v>
      </c>
      <c r="K576" s="989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933" t="s">
        <v>18</v>
      </c>
      <c r="D577" s="934" t="s">
        <v>19</v>
      </c>
      <c r="E577" s="258"/>
      <c r="F577" s="258"/>
      <c r="G577" s="261"/>
      <c r="H577" s="990" t="s">
        <v>14</v>
      </c>
      <c r="I577" s="263"/>
      <c r="J577" s="263"/>
      <c r="K577" s="87"/>
      <c r="L577" s="214">
        <f t="shared" ref="L577:N577" si="355">L578+L579</f>
        <v>0</v>
      </c>
      <c r="M577" s="215">
        <f t="shared" si="355"/>
        <v>0</v>
      </c>
      <c r="N577" s="215">
        <f t="shared" si="355"/>
        <v>0</v>
      </c>
      <c r="O577" s="215">
        <f t="shared" ref="O577:O585" si="356">IF(L577&gt;0,N577*100/L577,0)</f>
        <v>0</v>
      </c>
      <c r="P577" s="215">
        <f t="shared" ref="P577:P585" si="357">IF(M577&gt;0,N577*100/M577,0)</f>
        <v>0</v>
      </c>
      <c r="Q577" s="215">
        <f t="shared" ref="Q577:S577" si="358">Q578+Q579</f>
        <v>0</v>
      </c>
      <c r="R577" s="215">
        <f t="shared" si="358"/>
        <v>0</v>
      </c>
      <c r="S577" s="215">
        <f t="shared" si="358"/>
        <v>0</v>
      </c>
      <c r="T577" s="215">
        <f t="shared" ref="T577:T585" si="359">IF(Q577&gt;0,S577*100/Q577,0)</f>
        <v>0</v>
      </c>
      <c r="U577" s="215">
        <f t="shared" ref="U577:U585" si="360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217">
        <f t="shared" ref="L578:N579" si="361">L581+L584</f>
        <v>0</v>
      </c>
      <c r="M578" s="133">
        <f t="shared" si="361"/>
        <v>0</v>
      </c>
      <c r="N578" s="133">
        <f t="shared" si="361"/>
        <v>0</v>
      </c>
      <c r="O578" s="133">
        <f t="shared" si="356"/>
        <v>0</v>
      </c>
      <c r="P578" s="133">
        <f t="shared" si="357"/>
        <v>0</v>
      </c>
      <c r="Q578" s="133">
        <f t="shared" ref="Q578:S579" si="362">Q581+Q584</f>
        <v>0</v>
      </c>
      <c r="R578" s="133">
        <f t="shared" si="362"/>
        <v>0</v>
      </c>
      <c r="S578" s="133">
        <f t="shared" si="362"/>
        <v>0</v>
      </c>
      <c r="T578" s="133">
        <f t="shared" si="359"/>
        <v>0</v>
      </c>
      <c r="U578" s="133">
        <f t="shared" si="360"/>
        <v>0</v>
      </c>
    </row>
    <row r="579" spans="1:21" ht="18.75" hidden="1" x14ac:dyDescent="0.25">
      <c r="A579" s="257"/>
      <c r="B579" s="258"/>
      <c r="C579" s="269"/>
      <c r="D579" s="258"/>
      <c r="E579" s="775" t="s">
        <v>21</v>
      </c>
      <c r="F579" s="258"/>
      <c r="G579" s="261"/>
      <c r="H579" s="266" t="s">
        <v>14</v>
      </c>
      <c r="I579" s="263"/>
      <c r="J579" s="263"/>
      <c r="K579" s="87"/>
      <c r="L579" s="131">
        <f t="shared" si="361"/>
        <v>0</v>
      </c>
      <c r="M579" s="132">
        <f t="shared" si="361"/>
        <v>0</v>
      </c>
      <c r="N579" s="132">
        <f t="shared" si="361"/>
        <v>0</v>
      </c>
      <c r="O579" s="132">
        <f t="shared" si="356"/>
        <v>0</v>
      </c>
      <c r="P579" s="132">
        <f t="shared" si="357"/>
        <v>0</v>
      </c>
      <c r="Q579" s="132">
        <f t="shared" si="362"/>
        <v>0</v>
      </c>
      <c r="R579" s="132">
        <f t="shared" si="362"/>
        <v>0</v>
      </c>
      <c r="S579" s="132">
        <f t="shared" si="362"/>
        <v>0</v>
      </c>
      <c r="T579" s="132">
        <f t="shared" si="359"/>
        <v>0</v>
      </c>
      <c r="U579" s="132">
        <f t="shared" si="360"/>
        <v>0</v>
      </c>
    </row>
    <row r="580" spans="1:21" ht="18.75" hidden="1" x14ac:dyDescent="0.25">
      <c r="A580" s="257"/>
      <c r="B580" s="258"/>
      <c r="C580" s="269"/>
      <c r="D580" s="991" t="s">
        <v>22</v>
      </c>
      <c r="E580" s="269"/>
      <c r="F580" s="258"/>
      <c r="G580" s="261"/>
      <c r="H580" s="273" t="s">
        <v>14</v>
      </c>
      <c r="I580" s="272"/>
      <c r="J580" s="272"/>
      <c r="K580" s="229"/>
      <c r="L580" s="131">
        <f t="shared" ref="L580:N580" si="363">L581+L582</f>
        <v>0</v>
      </c>
      <c r="M580" s="132">
        <f t="shared" si="363"/>
        <v>0</v>
      </c>
      <c r="N580" s="132">
        <f t="shared" si="363"/>
        <v>0</v>
      </c>
      <c r="O580" s="132">
        <f t="shared" si="356"/>
        <v>0</v>
      </c>
      <c r="P580" s="132">
        <f t="shared" si="357"/>
        <v>0</v>
      </c>
      <c r="Q580" s="132">
        <f t="shared" ref="Q580:S580" si="364">Q581+Q582</f>
        <v>0</v>
      </c>
      <c r="R580" s="132">
        <f t="shared" si="364"/>
        <v>0</v>
      </c>
      <c r="S580" s="132">
        <f t="shared" si="364"/>
        <v>0</v>
      </c>
      <c r="T580" s="132">
        <f t="shared" si="359"/>
        <v>0</v>
      </c>
      <c r="U580" s="132">
        <f t="shared" si="360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133">
        <f t="shared" si="356"/>
        <v>0</v>
      </c>
      <c r="P581" s="133">
        <f t="shared" si="357"/>
        <v>0</v>
      </c>
      <c r="Q581" s="77">
        <v>0</v>
      </c>
      <c r="R581" s="77">
        <v>0</v>
      </c>
      <c r="S581" s="77">
        <v>0</v>
      </c>
      <c r="T581" s="133">
        <f t="shared" si="359"/>
        <v>0</v>
      </c>
      <c r="U581" s="133">
        <f t="shared" si="360"/>
        <v>0</v>
      </c>
    </row>
    <row r="582" spans="1:21" ht="18.75" hidden="1" x14ac:dyDescent="0.25">
      <c r="A582" s="257"/>
      <c r="B582" s="258"/>
      <c r="C582" s="258"/>
      <c r="D582" s="258"/>
      <c r="E582" s="265" t="s">
        <v>37</v>
      </c>
      <c r="F582" s="258"/>
      <c r="G582" s="261"/>
      <c r="H582" s="273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132">
        <f t="shared" si="356"/>
        <v>0</v>
      </c>
      <c r="P582" s="132">
        <f t="shared" si="357"/>
        <v>0</v>
      </c>
      <c r="Q582" s="74">
        <v>0</v>
      </c>
      <c r="R582" s="74">
        <v>0</v>
      </c>
      <c r="S582" s="74">
        <v>0</v>
      </c>
      <c r="T582" s="132">
        <f t="shared" si="359"/>
        <v>0</v>
      </c>
      <c r="U582" s="132">
        <f t="shared" si="360"/>
        <v>0</v>
      </c>
    </row>
    <row r="583" spans="1:21" ht="18.75" hidden="1" x14ac:dyDescent="0.25">
      <c r="A583" s="257"/>
      <c r="B583" s="258"/>
      <c r="C583" s="258"/>
      <c r="D583" s="991" t="s">
        <v>23</v>
      </c>
      <c r="E583" s="258"/>
      <c r="F583" s="258"/>
      <c r="G583" s="261"/>
      <c r="H583" s="706" t="s">
        <v>14</v>
      </c>
      <c r="I583" s="272"/>
      <c r="J583" s="272"/>
      <c r="K583" s="229"/>
      <c r="L583" s="131">
        <f t="shared" ref="L583:N583" si="365">L584+L585</f>
        <v>0</v>
      </c>
      <c r="M583" s="132">
        <f t="shared" si="365"/>
        <v>0</v>
      </c>
      <c r="N583" s="132">
        <f t="shared" si="365"/>
        <v>0</v>
      </c>
      <c r="O583" s="132">
        <f t="shared" si="356"/>
        <v>0</v>
      </c>
      <c r="P583" s="132">
        <f t="shared" si="357"/>
        <v>0</v>
      </c>
      <c r="Q583" s="132">
        <f t="shared" ref="Q583:S583" si="366">Q584+Q585</f>
        <v>0</v>
      </c>
      <c r="R583" s="132">
        <f t="shared" si="366"/>
        <v>0</v>
      </c>
      <c r="S583" s="132">
        <f t="shared" si="366"/>
        <v>0</v>
      </c>
      <c r="T583" s="132">
        <f t="shared" si="359"/>
        <v>0</v>
      </c>
      <c r="U583" s="132">
        <f t="shared" si="360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133">
        <f t="shared" si="356"/>
        <v>0</v>
      </c>
      <c r="P584" s="133">
        <f t="shared" si="357"/>
        <v>0</v>
      </c>
      <c r="Q584" s="77">
        <v>0</v>
      </c>
      <c r="R584" s="77">
        <v>0</v>
      </c>
      <c r="S584" s="77">
        <v>0</v>
      </c>
      <c r="T584" s="133">
        <f t="shared" si="359"/>
        <v>0</v>
      </c>
      <c r="U584" s="133">
        <f t="shared" si="360"/>
        <v>0</v>
      </c>
    </row>
    <row r="585" spans="1:21" ht="18.75" hidden="1" x14ac:dyDescent="0.25">
      <c r="A585" s="257"/>
      <c r="B585" s="258"/>
      <c r="C585" s="258"/>
      <c r="D585" s="258"/>
      <c r="E585" s="265" t="s">
        <v>21</v>
      </c>
      <c r="F585" s="258"/>
      <c r="G585" s="261"/>
      <c r="H585" s="706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132">
        <f t="shared" si="356"/>
        <v>0</v>
      </c>
      <c r="P585" s="132">
        <f t="shared" si="357"/>
        <v>0</v>
      </c>
      <c r="Q585" s="74">
        <v>0</v>
      </c>
      <c r="R585" s="74">
        <v>0</v>
      </c>
      <c r="S585" s="74">
        <v>0</v>
      </c>
      <c r="T585" s="132">
        <f t="shared" si="359"/>
        <v>0</v>
      </c>
      <c r="U585" s="132">
        <f t="shared" si="360"/>
        <v>0</v>
      </c>
    </row>
    <row r="586" spans="1:21" ht="19.5" hidden="1" x14ac:dyDescent="0.3">
      <c r="A586" s="276"/>
      <c r="B586" s="277"/>
      <c r="C586" s="1003" t="s">
        <v>18</v>
      </c>
      <c r="D586" s="940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309</v>
      </c>
      <c r="C598" s="304"/>
      <c r="D598" s="253"/>
      <c r="E598" s="252"/>
      <c r="F598" s="252"/>
      <c r="G598" s="252"/>
      <c r="H598" s="697" t="s">
        <v>99</v>
      </c>
      <c r="I598" s="1004"/>
      <c r="J598" s="1005"/>
      <c r="K598" s="1006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1005"/>
      <c r="J599" s="1005"/>
      <c r="K599" s="1006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261"/>
      <c r="H600" s="703" t="s">
        <v>14</v>
      </c>
      <c r="I600" s="263"/>
      <c r="J600" s="263"/>
      <c r="K600" s="87"/>
      <c r="L600" s="214">
        <f t="shared" ref="L600:N600" si="367">L601+L602</f>
        <v>0</v>
      </c>
      <c r="M600" s="215">
        <f t="shared" si="367"/>
        <v>0</v>
      </c>
      <c r="N600" s="215">
        <f t="shared" si="367"/>
        <v>0</v>
      </c>
      <c r="O600" s="215">
        <f t="shared" ref="O600:O608" si="368">IF(L600&gt;0,N600*100/L600,0)</f>
        <v>0</v>
      </c>
      <c r="P600" s="215">
        <f t="shared" ref="P600:P608" si="369">IF(M600&gt;0,N600*100/M600,0)</f>
        <v>0</v>
      </c>
      <c r="Q600" s="215">
        <f t="shared" ref="Q600:S600" si="370">Q601+Q602</f>
        <v>0</v>
      </c>
      <c r="R600" s="215">
        <f t="shared" si="370"/>
        <v>0</v>
      </c>
      <c r="S600" s="215">
        <f t="shared" si="370"/>
        <v>0</v>
      </c>
      <c r="T600" s="215">
        <f t="shared" ref="T600:T608" si="371">IF(Q600&gt;0,S600*100/Q600,0)</f>
        <v>0</v>
      </c>
      <c r="U600" s="215">
        <f t="shared" ref="U600:U608" si="372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217">
        <f t="shared" ref="L601:N602" si="373">L604+L607</f>
        <v>0</v>
      </c>
      <c r="M601" s="133">
        <f t="shared" si="373"/>
        <v>0</v>
      </c>
      <c r="N601" s="133">
        <f t="shared" si="373"/>
        <v>0</v>
      </c>
      <c r="O601" s="133">
        <f t="shared" si="368"/>
        <v>0</v>
      </c>
      <c r="P601" s="133">
        <f t="shared" si="369"/>
        <v>0</v>
      </c>
      <c r="Q601" s="133">
        <f t="shared" ref="Q601:S602" si="374">Q604+Q607</f>
        <v>0</v>
      </c>
      <c r="R601" s="133">
        <f t="shared" si="374"/>
        <v>0</v>
      </c>
      <c r="S601" s="133">
        <f t="shared" si="374"/>
        <v>0</v>
      </c>
      <c r="T601" s="133">
        <f t="shared" si="371"/>
        <v>0</v>
      </c>
      <c r="U601" s="133">
        <f t="shared" si="372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131">
        <f t="shared" si="373"/>
        <v>0</v>
      </c>
      <c r="M602" s="132">
        <f t="shared" si="373"/>
        <v>0</v>
      </c>
      <c r="N602" s="132">
        <f t="shared" si="373"/>
        <v>0</v>
      </c>
      <c r="O602" s="132">
        <f t="shared" si="368"/>
        <v>0</v>
      </c>
      <c r="P602" s="132">
        <f t="shared" si="369"/>
        <v>0</v>
      </c>
      <c r="Q602" s="132">
        <f t="shared" si="374"/>
        <v>0</v>
      </c>
      <c r="R602" s="132">
        <f t="shared" si="374"/>
        <v>0</v>
      </c>
      <c r="S602" s="132">
        <f t="shared" si="374"/>
        <v>0</v>
      </c>
      <c r="T602" s="132">
        <f t="shared" si="371"/>
        <v>0</v>
      </c>
      <c r="U602" s="132">
        <f t="shared" si="372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131">
        <f t="shared" ref="L603:N603" si="375">L604+L605</f>
        <v>0</v>
      </c>
      <c r="M603" s="132">
        <f t="shared" si="375"/>
        <v>0</v>
      </c>
      <c r="N603" s="132">
        <f t="shared" si="375"/>
        <v>0</v>
      </c>
      <c r="O603" s="132">
        <f t="shared" si="368"/>
        <v>0</v>
      </c>
      <c r="P603" s="132">
        <f t="shared" si="369"/>
        <v>0</v>
      </c>
      <c r="Q603" s="132">
        <f t="shared" ref="Q603:S603" si="376">Q604+Q605</f>
        <v>0</v>
      </c>
      <c r="R603" s="132">
        <f t="shared" si="376"/>
        <v>0</v>
      </c>
      <c r="S603" s="132">
        <f t="shared" si="376"/>
        <v>0</v>
      </c>
      <c r="T603" s="132">
        <f t="shared" si="371"/>
        <v>0</v>
      </c>
      <c r="U603" s="132">
        <f t="shared" si="372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133">
        <f t="shared" si="368"/>
        <v>0</v>
      </c>
      <c r="P604" s="133">
        <f t="shared" si="369"/>
        <v>0</v>
      </c>
      <c r="Q604" s="77">
        <v>0</v>
      </c>
      <c r="R604" s="77">
        <v>0</v>
      </c>
      <c r="S604" s="77">
        <v>0</v>
      </c>
      <c r="T604" s="133">
        <f t="shared" si="371"/>
        <v>0</v>
      </c>
      <c r="U604" s="133">
        <f t="shared" si="372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132">
        <f t="shared" si="368"/>
        <v>0</v>
      </c>
      <c r="P605" s="132">
        <f t="shared" si="369"/>
        <v>0</v>
      </c>
      <c r="Q605" s="74">
        <v>0</v>
      </c>
      <c r="R605" s="74">
        <v>0</v>
      </c>
      <c r="S605" s="74">
        <v>0</v>
      </c>
      <c r="T605" s="132">
        <f t="shared" si="371"/>
        <v>0</v>
      </c>
      <c r="U605" s="132">
        <f t="shared" si="372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131">
        <f t="shared" ref="L606:N606" si="377">L607+L608</f>
        <v>0</v>
      </c>
      <c r="M606" s="132">
        <f t="shared" si="377"/>
        <v>0</v>
      </c>
      <c r="N606" s="132">
        <f t="shared" si="377"/>
        <v>0</v>
      </c>
      <c r="O606" s="132">
        <f t="shared" si="368"/>
        <v>0</v>
      </c>
      <c r="P606" s="132">
        <f t="shared" si="369"/>
        <v>0</v>
      </c>
      <c r="Q606" s="132">
        <f t="shared" ref="Q606:S606" si="378">Q607+Q608</f>
        <v>0</v>
      </c>
      <c r="R606" s="132">
        <f t="shared" si="378"/>
        <v>0</v>
      </c>
      <c r="S606" s="132">
        <f t="shared" si="378"/>
        <v>0</v>
      </c>
      <c r="T606" s="132">
        <f t="shared" si="371"/>
        <v>0</v>
      </c>
      <c r="U606" s="132">
        <f t="shared" si="372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133">
        <f t="shared" si="368"/>
        <v>0</v>
      </c>
      <c r="P607" s="133">
        <f t="shared" si="369"/>
        <v>0</v>
      </c>
      <c r="Q607" s="77">
        <v>0</v>
      </c>
      <c r="R607" s="77">
        <v>0</v>
      </c>
      <c r="S607" s="77">
        <v>0</v>
      </c>
      <c r="T607" s="133">
        <f t="shared" si="371"/>
        <v>0</v>
      </c>
      <c r="U607" s="133">
        <f t="shared" si="372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132">
        <f t="shared" si="368"/>
        <v>0</v>
      </c>
      <c r="P608" s="132">
        <f t="shared" si="369"/>
        <v>0</v>
      </c>
      <c r="Q608" s="74">
        <v>0</v>
      </c>
      <c r="R608" s="74">
        <v>0</v>
      </c>
      <c r="S608" s="74">
        <v>0</v>
      </c>
      <c r="T608" s="132">
        <f t="shared" si="371"/>
        <v>0</v>
      </c>
      <c r="U608" s="132">
        <f t="shared" si="372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592"/>
      <c r="J610" s="592"/>
      <c r="K610" s="1007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1008"/>
      <c r="J611" s="1008"/>
      <c r="K611" s="100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592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1010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hidden="1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740">
        <f t="shared" ref="I616:J616" ca="1" si="379">I627</f>
        <v>100</v>
      </c>
      <c r="J616" s="740">
        <f t="shared" si="379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214">
        <f t="shared" ref="L617:N617" si="380">L618+L619</f>
        <v>0</v>
      </c>
      <c r="M617" s="215">
        <f t="shared" si="380"/>
        <v>0</v>
      </c>
      <c r="N617" s="215">
        <f t="shared" si="380"/>
        <v>0</v>
      </c>
      <c r="O617" s="215">
        <f t="shared" ref="O617:O625" si="381">IF(L617&gt;0,N617*100/L617,0)</f>
        <v>0</v>
      </c>
      <c r="P617" s="215">
        <f t="shared" ref="P617:P625" si="382">IF(M617&gt;0,N617*100/M617,0)</f>
        <v>0</v>
      </c>
      <c r="Q617" s="215">
        <f t="shared" ref="Q617:S617" ca="1" si="383">Q618+Q619</f>
        <v>11825</v>
      </c>
      <c r="R617" s="215">
        <f t="shared" ca="1" si="383"/>
        <v>11825</v>
      </c>
      <c r="S617" s="215">
        <f t="shared" ca="1" si="383"/>
        <v>0</v>
      </c>
      <c r="T617" s="215">
        <f t="shared" ref="T617:T625" ca="1" si="384">IF(Q617&gt;0,S617*100/Q617,0)</f>
        <v>0</v>
      </c>
      <c r="U617" s="215">
        <f t="shared" ref="U617:U625" ca="1" si="385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217">
        <f t="shared" ref="L618:N619" si="386">L621+L624</f>
        <v>0</v>
      </c>
      <c r="M618" s="133">
        <f t="shared" si="386"/>
        <v>0</v>
      </c>
      <c r="N618" s="133">
        <f t="shared" si="386"/>
        <v>0</v>
      </c>
      <c r="O618" s="133">
        <f t="shared" si="381"/>
        <v>0</v>
      </c>
      <c r="P618" s="133">
        <f t="shared" si="382"/>
        <v>0</v>
      </c>
      <c r="Q618" s="133">
        <f t="shared" ref="Q618:S619" si="387">Q621+Q624</f>
        <v>0</v>
      </c>
      <c r="R618" s="133">
        <f t="shared" si="387"/>
        <v>0</v>
      </c>
      <c r="S618" s="133">
        <f t="shared" si="387"/>
        <v>0</v>
      </c>
      <c r="T618" s="133">
        <f t="shared" si="384"/>
        <v>0</v>
      </c>
      <c r="U618" s="133">
        <f t="shared" si="385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131">
        <f t="shared" si="386"/>
        <v>0</v>
      </c>
      <c r="M619" s="132">
        <f t="shared" si="386"/>
        <v>0</v>
      </c>
      <c r="N619" s="132">
        <f t="shared" si="386"/>
        <v>0</v>
      </c>
      <c r="O619" s="132">
        <f t="shared" si="381"/>
        <v>0</v>
      </c>
      <c r="P619" s="132">
        <f t="shared" si="382"/>
        <v>0</v>
      </c>
      <c r="Q619" s="132">
        <f t="shared" ca="1" si="387"/>
        <v>11825</v>
      </c>
      <c r="R619" s="132">
        <f t="shared" ca="1" si="387"/>
        <v>11825</v>
      </c>
      <c r="S619" s="132">
        <f t="shared" ca="1" si="387"/>
        <v>0</v>
      </c>
      <c r="T619" s="132">
        <f t="shared" ca="1" si="384"/>
        <v>0</v>
      </c>
      <c r="U619" s="132">
        <f t="shared" ca="1" si="385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131">
        <f t="shared" ref="L620:N620" si="388">L621+L622</f>
        <v>0</v>
      </c>
      <c r="M620" s="132">
        <f t="shared" si="388"/>
        <v>0</v>
      </c>
      <c r="N620" s="132">
        <f t="shared" si="388"/>
        <v>0</v>
      </c>
      <c r="O620" s="132">
        <f t="shared" si="381"/>
        <v>0</v>
      </c>
      <c r="P620" s="132">
        <f t="shared" si="382"/>
        <v>0</v>
      </c>
      <c r="Q620" s="132">
        <f t="shared" ref="Q620:S620" ca="1" si="389">Q621+Q622</f>
        <v>11825</v>
      </c>
      <c r="R620" s="132">
        <f t="shared" ca="1" si="389"/>
        <v>11825</v>
      </c>
      <c r="S620" s="132">
        <f t="shared" ca="1" si="389"/>
        <v>0</v>
      </c>
      <c r="T620" s="132">
        <f t="shared" ca="1" si="384"/>
        <v>0</v>
      </c>
      <c r="U620" s="132">
        <f t="shared" ca="1" si="385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133">
        <f t="shared" si="381"/>
        <v>0</v>
      </c>
      <c r="P621" s="133">
        <f t="shared" si="382"/>
        <v>0</v>
      </c>
      <c r="Q621" s="77">
        <v>0</v>
      </c>
      <c r="R621" s="77">
        <v>0</v>
      </c>
      <c r="S621" s="77">
        <v>0</v>
      </c>
      <c r="T621" s="133">
        <f t="shared" si="384"/>
        <v>0</v>
      </c>
      <c r="U621" s="133">
        <f t="shared" si="385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132">
        <f t="shared" si="381"/>
        <v>0</v>
      </c>
      <c r="P622" s="132">
        <f t="shared" si="382"/>
        <v>0</v>
      </c>
      <c r="Q622" s="132">
        <f ca="1">IFERROR(__xludf.DUMMYFUNCTION("IMPORTRANGE(""https://docs.google.com/spreadsheets/d/1ItG2mGa2ceCfYo0BwxsXqNm01IGEUdYcSSLTEv9YCik/edit?usp=sharing"",""เบิกจ่ายกองทุน!F53"")"),11825)</f>
        <v>11825</v>
      </c>
      <c r="R622" s="132">
        <f ca="1">IFERROR(__xludf.DUMMYFUNCTION("IMPORTRANGE(""https://docs.google.com/spreadsheets/d/1ItG2mGa2ceCfYo0BwxsXqNm01IGEUdYcSSLTEv9YCik/edit?usp=sharing"",""เบิกจ่ายกองทุน!G53"")"),11825)</f>
        <v>11825</v>
      </c>
      <c r="S622" s="132">
        <f ca="1">IFERROR(__xludf.DUMMYFUNCTION("IMPORTRANGE(""https://docs.google.com/spreadsheets/d/1ItG2mGa2ceCfYo0BwxsXqNm01IGEUdYcSSLTEv9YCik/edit?usp=sharing"",""เบิกจ่ายกองทุน!H53"")"),0)</f>
        <v>0</v>
      </c>
      <c r="T622" s="132">
        <f t="shared" ca="1" si="384"/>
        <v>0</v>
      </c>
      <c r="U622" s="132">
        <f t="shared" ca="1" si="385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131">
        <f t="shared" ref="L623:N623" si="390">L624+L625</f>
        <v>0</v>
      </c>
      <c r="M623" s="132">
        <f t="shared" si="390"/>
        <v>0</v>
      </c>
      <c r="N623" s="132">
        <f t="shared" si="390"/>
        <v>0</v>
      </c>
      <c r="O623" s="132">
        <f t="shared" si="381"/>
        <v>0</v>
      </c>
      <c r="P623" s="132">
        <f t="shared" si="382"/>
        <v>0</v>
      </c>
      <c r="Q623" s="132">
        <f t="shared" ref="Q623:S623" si="391">Q624+Q625</f>
        <v>0</v>
      </c>
      <c r="R623" s="132">
        <f t="shared" si="391"/>
        <v>0</v>
      </c>
      <c r="S623" s="132">
        <f t="shared" si="391"/>
        <v>0</v>
      </c>
      <c r="T623" s="132">
        <f t="shared" si="384"/>
        <v>0</v>
      </c>
      <c r="U623" s="132">
        <f t="shared" si="385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133">
        <f t="shared" si="381"/>
        <v>0</v>
      </c>
      <c r="P624" s="133">
        <f t="shared" si="382"/>
        <v>0</v>
      </c>
      <c r="Q624" s="77">
        <v>0</v>
      </c>
      <c r="R624" s="77">
        <v>0</v>
      </c>
      <c r="S624" s="77">
        <v>0</v>
      </c>
      <c r="T624" s="133">
        <f t="shared" si="384"/>
        <v>0</v>
      </c>
      <c r="U624" s="133">
        <f t="shared" si="385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132">
        <f t="shared" si="381"/>
        <v>0</v>
      </c>
      <c r="P625" s="132">
        <f t="shared" si="382"/>
        <v>0</v>
      </c>
      <c r="Q625" s="74">
        <v>0</v>
      </c>
      <c r="R625" s="74">
        <v>0</v>
      </c>
      <c r="S625" s="74">
        <v>0</v>
      </c>
      <c r="T625" s="132">
        <f t="shared" si="384"/>
        <v>0</v>
      </c>
      <c r="U625" s="132">
        <f t="shared" si="385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1012">
        <f ca="1">IFERROR(__xludf.DUMMYFUNCTION("IMPORTRANGE(""https://docs.google.com/spreadsheets/d/1eHaY18a8A9IcSdp1K8H6x8fbOy06t2VsZHhMHf-1x7Y/edit?usp=sharing"",""แผน!ID53"")"),100)</f>
        <v>100</v>
      </c>
      <c r="J627" s="1013">
        <f>J633</f>
        <v>0</v>
      </c>
      <c r="K627" s="101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1015">
        <f ca="1">IFERROR(__xludf.DUMMYFUNCTION("IMPORTRANGE(""https://docs.google.com/spreadsheets/d/1eHaY18a8A9IcSdp1K8H6x8fbOy06t2VsZHhMHf-1x7Y/edit?usp=sharing"",""แผน!IC53"")"),0)</f>
        <v>0</v>
      </c>
      <c r="J628" s="294">
        <v>0</v>
      </c>
      <c r="K628" s="74">
        <f t="shared" ref="K628:K629" ca="1" si="392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1015">
        <f ca="1">IFERROR(__xludf.DUMMYFUNCTION("IMPORTRANGE(""https://docs.google.com/spreadsheets/d/1eHaY18a8A9IcSdp1K8H6x8fbOy06t2VsZHhMHf-1x7Y/edit?usp=sharing"",""แผน!IC53"")"),0)</f>
        <v>0</v>
      </c>
      <c r="J629" s="294">
        <v>0</v>
      </c>
      <c r="K629" s="74">
        <f t="shared" ca="1" si="392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1016"/>
      <c r="J630" s="294">
        <v>0</v>
      </c>
      <c r="K630" s="74">
        <f t="shared" ref="K630:K632" ca="1" si="393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1016"/>
      <c r="J631" s="294">
        <v>0</v>
      </c>
      <c r="K631" s="74">
        <f t="shared" ca="1" si="393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1016"/>
      <c r="J632" s="294">
        <v>0</v>
      </c>
      <c r="K632" s="74">
        <f t="shared" ca="1" si="393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1016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1016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1016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1017">
        <f ca="1">IFERROR(__xludf.DUMMYFUNCTION("IMPORTRANGE(""https://docs.google.com/spreadsheets/d/1eHaY18a8A9IcSdp1K8H6x8fbOy06t2VsZHhMHf-1x7Y/edit?usp=sharing"",""แผน!IE53"")"),0)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1016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1016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1016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1016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1016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214">
        <f t="shared" ref="L643:N643" si="394">L644+L645</f>
        <v>0</v>
      </c>
      <c r="M643" s="215">
        <f t="shared" si="394"/>
        <v>0</v>
      </c>
      <c r="N643" s="215">
        <f t="shared" si="394"/>
        <v>0</v>
      </c>
      <c r="O643" s="215">
        <f t="shared" ref="O643:O651" si="395">IF(L643&gt;0,N643*100/L643,0)</f>
        <v>0</v>
      </c>
      <c r="P643" s="215">
        <f t="shared" ref="P643:P651" si="396">IF(M643&gt;0,N643*100/M643,0)</f>
        <v>0</v>
      </c>
      <c r="Q643" s="215">
        <f t="shared" ref="Q643:S643" ca="1" si="397">Q644+Q645</f>
        <v>7720</v>
      </c>
      <c r="R643" s="215">
        <f t="shared" ca="1" si="397"/>
        <v>7720</v>
      </c>
      <c r="S643" s="215">
        <f t="shared" ca="1" si="397"/>
        <v>0</v>
      </c>
      <c r="T643" s="215">
        <f t="shared" ref="T643:T651" ca="1" si="398">IF(Q643&gt;0,S643*100/Q643,0)</f>
        <v>0</v>
      </c>
      <c r="U643" s="215">
        <f t="shared" ref="U643:U651" ca="1" si="399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217">
        <f t="shared" ref="L644:N645" si="400">L647+L650</f>
        <v>0</v>
      </c>
      <c r="M644" s="133">
        <f t="shared" si="400"/>
        <v>0</v>
      </c>
      <c r="N644" s="133">
        <f t="shared" si="400"/>
        <v>0</v>
      </c>
      <c r="O644" s="133">
        <f t="shared" si="395"/>
        <v>0</v>
      </c>
      <c r="P644" s="133">
        <f t="shared" si="396"/>
        <v>0</v>
      </c>
      <c r="Q644" s="133">
        <f t="shared" ref="Q644:S645" si="401">Q647+Q650</f>
        <v>0</v>
      </c>
      <c r="R644" s="133">
        <f t="shared" si="401"/>
        <v>0</v>
      </c>
      <c r="S644" s="133">
        <f t="shared" si="401"/>
        <v>0</v>
      </c>
      <c r="T644" s="133">
        <f t="shared" si="398"/>
        <v>0</v>
      </c>
      <c r="U644" s="133">
        <f t="shared" si="399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131">
        <f t="shared" si="400"/>
        <v>0</v>
      </c>
      <c r="M645" s="132">
        <f t="shared" si="400"/>
        <v>0</v>
      </c>
      <c r="N645" s="132">
        <f t="shared" si="400"/>
        <v>0</v>
      </c>
      <c r="O645" s="132">
        <f t="shared" si="395"/>
        <v>0</v>
      </c>
      <c r="P645" s="132">
        <f t="shared" si="396"/>
        <v>0</v>
      </c>
      <c r="Q645" s="132">
        <f t="shared" ca="1" si="401"/>
        <v>7720</v>
      </c>
      <c r="R645" s="132">
        <f t="shared" ca="1" si="401"/>
        <v>7720</v>
      </c>
      <c r="S645" s="132">
        <f t="shared" ca="1" si="401"/>
        <v>0</v>
      </c>
      <c r="T645" s="132">
        <f t="shared" ca="1" si="398"/>
        <v>0</v>
      </c>
      <c r="U645" s="132">
        <f t="shared" ca="1" si="399"/>
        <v>0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131">
        <f t="shared" ref="L646:N646" si="402">L647+L648</f>
        <v>0</v>
      </c>
      <c r="M646" s="132">
        <f t="shared" si="402"/>
        <v>0</v>
      </c>
      <c r="N646" s="132">
        <f t="shared" si="402"/>
        <v>0</v>
      </c>
      <c r="O646" s="132">
        <f t="shared" si="395"/>
        <v>0</v>
      </c>
      <c r="P646" s="132">
        <f t="shared" si="396"/>
        <v>0</v>
      </c>
      <c r="Q646" s="132">
        <f t="shared" ref="Q646:S646" ca="1" si="403">Q647+Q648</f>
        <v>7720</v>
      </c>
      <c r="R646" s="132">
        <f t="shared" ca="1" si="403"/>
        <v>7720</v>
      </c>
      <c r="S646" s="132">
        <f t="shared" ca="1" si="403"/>
        <v>0</v>
      </c>
      <c r="T646" s="132">
        <f t="shared" ca="1" si="398"/>
        <v>0</v>
      </c>
      <c r="U646" s="132">
        <f t="shared" ca="1" si="399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133">
        <f t="shared" si="395"/>
        <v>0</v>
      </c>
      <c r="P647" s="133">
        <f t="shared" si="396"/>
        <v>0</v>
      </c>
      <c r="Q647" s="77">
        <v>0</v>
      </c>
      <c r="R647" s="77">
        <v>0</v>
      </c>
      <c r="S647" s="77">
        <v>0</v>
      </c>
      <c r="T647" s="133">
        <f t="shared" si="398"/>
        <v>0</v>
      </c>
      <c r="U647" s="133">
        <f t="shared" si="399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132">
        <f t="shared" si="395"/>
        <v>0</v>
      </c>
      <c r="P648" s="132">
        <f t="shared" si="396"/>
        <v>0</v>
      </c>
      <c r="Q648" s="132">
        <f ca="1">IFERROR(__xludf.DUMMYFUNCTION("IMPORTRANGE(""https://docs.google.com/spreadsheets/d/1ItG2mGa2ceCfYo0BwxsXqNm01IGEUdYcSSLTEv9YCik/edit?usp=sharing"",""เบิกจ่ายกองทุน!I53"")"),7720)</f>
        <v>7720</v>
      </c>
      <c r="R648" s="132">
        <f ca="1">IFERROR(__xludf.DUMMYFUNCTION("IMPORTRANGE(""https://docs.google.com/spreadsheets/d/1ItG2mGa2ceCfYo0BwxsXqNm01IGEUdYcSSLTEv9YCik/edit?usp=sharing"",""เบิกจ่ายกองทุน!J53"")"),7720)</f>
        <v>7720</v>
      </c>
      <c r="S648" s="132">
        <f ca="1">IFERROR(__xludf.DUMMYFUNCTION("IMPORTRANGE(""https://docs.google.com/spreadsheets/d/1ItG2mGa2ceCfYo0BwxsXqNm01IGEUdYcSSLTEv9YCik/edit?usp=sharing"",""เบิกจ่ายกองทุน!K53"")"),0)</f>
        <v>0</v>
      </c>
      <c r="T648" s="132">
        <f t="shared" ca="1" si="398"/>
        <v>0</v>
      </c>
      <c r="U648" s="132">
        <f t="shared" ca="1" si="399"/>
        <v>0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131">
        <f t="shared" ref="L649:N649" si="404">L650+L651</f>
        <v>0</v>
      </c>
      <c r="M649" s="132">
        <f t="shared" si="404"/>
        <v>0</v>
      </c>
      <c r="N649" s="132">
        <f t="shared" si="404"/>
        <v>0</v>
      </c>
      <c r="O649" s="132">
        <f t="shared" si="395"/>
        <v>0</v>
      </c>
      <c r="P649" s="132">
        <f t="shared" si="396"/>
        <v>0</v>
      </c>
      <c r="Q649" s="132">
        <f t="shared" ref="Q649:S649" si="405">Q650+Q651</f>
        <v>0</v>
      </c>
      <c r="R649" s="132">
        <f t="shared" si="405"/>
        <v>0</v>
      </c>
      <c r="S649" s="132">
        <f t="shared" si="405"/>
        <v>0</v>
      </c>
      <c r="T649" s="132">
        <f t="shared" si="398"/>
        <v>0</v>
      </c>
      <c r="U649" s="132">
        <f t="shared" si="399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133">
        <f t="shared" si="395"/>
        <v>0</v>
      </c>
      <c r="P650" s="133">
        <f t="shared" si="396"/>
        <v>0</v>
      </c>
      <c r="Q650" s="77">
        <v>0</v>
      </c>
      <c r="R650" s="77">
        <v>0</v>
      </c>
      <c r="S650" s="77">
        <v>0</v>
      </c>
      <c r="T650" s="133">
        <f t="shared" si="398"/>
        <v>0</v>
      </c>
      <c r="U650" s="133">
        <f t="shared" si="399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132">
        <f t="shared" si="395"/>
        <v>0</v>
      </c>
      <c r="P651" s="132">
        <f t="shared" si="396"/>
        <v>0</v>
      </c>
      <c r="Q651" s="74">
        <v>0</v>
      </c>
      <c r="R651" s="74">
        <v>0</v>
      </c>
      <c r="S651" s="74">
        <v>0</v>
      </c>
      <c r="T651" s="132">
        <f t="shared" si="398"/>
        <v>0</v>
      </c>
      <c r="U651" s="132">
        <f t="shared" si="399"/>
        <v>0</v>
      </c>
    </row>
    <row r="652" spans="1:21" ht="19.5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IFERROR(__xludf.DUMMYFUNCTION("IMPORTRANGE(""https://docs.google.com/spreadsheets/d/1eHaY18a8A9IcSdp1K8H6x8fbOy06t2VsZHhMHf-1x7Y/edit?usp=sharing"",""แผน!IF53"")"),0)</f>
        <v>0</v>
      </c>
      <c r="J653" s="293">
        <f ca="1">IFERROR(__xludf.DUMMYFUNCTION("IMPORTRANGE(""https://docs.google.com/spreadsheets/d/1tdoBKaGub7dwA3U6UFTqxio9LNnvDCQjHKmttSEBsFQ/edit?usp=sharing"",""จัดที่ดิน!AU53"")"),0)</f>
        <v>0</v>
      </c>
      <c r="K653" s="74">
        <f t="shared" ref="K653:K655" ca="1" si="406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hidden="1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IFERROR(__xludf.DUMMYFUNCTION("IMPORTRANGE(""https://docs.google.com/spreadsheets/d/1eHaY18a8A9IcSdp1K8H6x8fbOy06t2VsZHhMHf-1x7Y/edit?usp=sharing"",""แผน!IG53"")"),0)</f>
        <v>0</v>
      </c>
      <c r="J654" s="293">
        <f ca="1">IFERROR(__xludf.DUMMYFUNCTION("IMPORTRANGE(""https://docs.google.com/spreadsheets/d/1tdoBKaGub7dwA3U6UFTqxio9LNnvDCQjHKmttSEBsFQ/edit?usp=sharing"",""จัดที่ดิน!AW53"")"),0)</f>
        <v>0</v>
      </c>
      <c r="K654" s="74">
        <f t="shared" ca="1" si="406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hidden="1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IFERROR(__xludf.DUMMYFUNCTION("IMPORTRANGE(""https://docs.google.com/spreadsheets/d/1eHaY18a8A9IcSdp1K8H6x8fbOy06t2VsZHhMHf-1x7Y/edit?usp=sharing"",""แผน!IH53"")"),0)</f>
        <v>0</v>
      </c>
      <c r="J655" s="622">
        <f>J658+J661</f>
        <v>0</v>
      </c>
      <c r="K655" s="264">
        <f t="shared" ca="1" si="406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hidden="1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hidden="1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hidden="1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IFERROR(__xludf.DUMMYFUNCTION("IMPORTRANGE(""https://docs.google.com/spreadsheets/d/1eHaY18a8A9IcSdp1K8H6x8fbOy06t2VsZHhMHf-1x7Y/edit?usp=sharing"",""แผน!II53"")"),0)</f>
        <v>0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hidden="1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hidden="1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hidden="1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IFERROR(__xludf.DUMMYFUNCTION("IMPORTRANGE(""https://docs.google.com/spreadsheets/d/1eHaY18a8A9IcSdp1K8H6x8fbOy06t2VsZHhMHf-1x7Y/edit?usp=sharing"",""แผน!IJ53"")"),0)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hidden="1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IFERROR(__xludf.DUMMYFUNCTION("IMPORTRANGE(""https://docs.google.com/spreadsheets/d/1eHaY18a8A9IcSdp1K8H6x8fbOy06t2VsZHhMHf-1x7Y/edit?usp=sharing"",""แผน!IK53"")"),0)</f>
        <v>0</v>
      </c>
      <c r="J662" s="622">
        <f>J668+J671</f>
        <v>0</v>
      </c>
      <c r="K662" s="264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hidden="1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hidden="1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hidden="1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hidden="1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hidden="1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hidden="1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hidden="1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hidden="1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hidden="1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hidden="1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IFERROR(__xludf.DUMMYFUNCTION("IMPORTRANGE(""https://docs.google.com/spreadsheets/d/1tdoBKaGub7dwA3U6UFTqxio9LNnvDCQjHKmttSEBsFQ/edit?usp=sharing"",""จัดที่ดิน!AY53"")"),0)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hidden="1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IFERROR(__xludf.DUMMYFUNCTION("IMPORTRANGE(""https://docs.google.com/spreadsheets/d/1tdoBKaGub7dwA3U6UFTqxio9LNnvDCQjHKmttSEBsFQ/edit?usp=sharing"",""จัดที่ดิน!AZ53"")"),0)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hidden="1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IFERROR(__xludf.DUMMYFUNCTION("IMPORTRANGE(""https://docs.google.com/spreadsheets/d/1eHaY18a8A9IcSdp1K8H6x8fbOy06t2VsZHhMHf-1x7Y/edit?usp=sharing"",""แผน!IL53"")"),0)</f>
        <v>0</v>
      </c>
      <c r="J674" s="293">
        <f ca="1">IFERROR(__xludf.DUMMYFUNCTION("IMPORTRANGE(""https://docs.google.com/spreadsheets/d/1tdoBKaGub7dwA3U6UFTqxio9LNnvDCQjHKmttSEBsFQ/edit?usp=sharing"",""จัดที่ดิน!BA53"")"),0)</f>
        <v>0</v>
      </c>
      <c r="K674" s="74">
        <f t="shared" ref="K674:K677" ca="1" si="407">IF(I674&gt;0,J674*100/I674,0)</f>
        <v>0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IFERROR(__xludf.DUMMYFUNCTION("IMPORTRANGE(""https://docs.google.com/spreadsheets/d/1eHaY18a8A9IcSdp1K8H6x8fbOy06t2VsZHhMHf-1x7Y/edit?usp=sharing"",""แผน!IM53"")"),6)</f>
        <v>6</v>
      </c>
      <c r="J675" s="622">
        <f ca="1">J677+J680</f>
        <v>0</v>
      </c>
      <c r="K675" s="264">
        <f t="shared" ca="1" si="407"/>
        <v>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IFERROR(__xludf.DUMMYFUNCTION("IMPORTRANGE(""https://docs.google.com/spreadsheets/d/1eHaY18a8A9IcSdp1K8H6x8fbOy06t2VsZHhMHf-1x7Y/edit?usp=sharing"",""แผน!IN53"")"),60)</f>
        <v>60</v>
      </c>
      <c r="J676" s="622">
        <f ca="1">J679+J682</f>
        <v>0</v>
      </c>
      <c r="K676" s="264">
        <f t="shared" ca="1" si="407"/>
        <v>0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IFERROR(__xludf.DUMMYFUNCTION("IMPORTRANGE(""https://docs.google.com/spreadsheets/d/1eHaY18a8A9IcSdp1K8H6x8fbOy06t2VsZHhMHf-1x7Y/edit?usp=sharing"",""แผน!IO53"")"),3)</f>
        <v>3</v>
      </c>
      <c r="J677" s="293">
        <f ca="1">IFERROR(__xludf.DUMMYFUNCTION("IMPORTRANGE(""https://docs.google.com/spreadsheets/d/1tdoBKaGub7dwA3U6UFTqxio9LNnvDCQjHKmttSEBsFQ/edit?usp=sharing"",""จัดที่ดิน!BF53"")"),0)</f>
        <v>0</v>
      </c>
      <c r="K677" s="74">
        <f t="shared" ca="1" si="407"/>
        <v>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IFERROR(__xludf.DUMMYFUNCTION("IMPORTRANGE(""https://docs.google.com/spreadsheets/d/1tdoBKaGub7dwA3U6UFTqxio9LNnvDCQjHKmttSEBsFQ/edit?usp=sharing"",""จัดที่ดิน!BG53"")"),0)</f>
        <v>0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IFERROR(__xludf.DUMMYFUNCTION("IMPORTRANGE(""https://docs.google.com/spreadsheets/d/1eHaY18a8A9IcSdp1K8H6x8fbOy06t2VsZHhMHf-1x7Y/edit?usp=sharing"",""แผน!IP53"")"),30)</f>
        <v>30</v>
      </c>
      <c r="J679" s="293">
        <f ca="1">IFERROR(__xludf.DUMMYFUNCTION("IMPORTRANGE(""https://docs.google.com/spreadsheets/d/1tdoBKaGub7dwA3U6UFTqxio9LNnvDCQjHKmttSEBsFQ/edit?usp=sharing"",""จัดที่ดิน!BH53"")"),0)</f>
        <v>0</v>
      </c>
      <c r="K679" s="74">
        <f t="shared" ref="K679:K680" ca="1" si="408">IF(I679&gt;0,J679*100/I679,0)</f>
        <v>0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IFERROR(__xludf.DUMMYFUNCTION("IMPORTRANGE(""https://docs.google.com/spreadsheets/d/1eHaY18a8A9IcSdp1K8H6x8fbOy06t2VsZHhMHf-1x7Y/edit?usp=sharing"",""แผน!IQ53"")"),3)</f>
        <v>3</v>
      </c>
      <c r="J680" s="293">
        <f ca="1">IFERROR(__xludf.DUMMYFUNCTION("IMPORTRANGE(""https://docs.google.com/spreadsheets/d/1tdoBKaGub7dwA3U6UFTqxio9LNnvDCQjHKmttSEBsFQ/edit?usp=sharing"",""จัดที่ดิน!BK53"")"),0)</f>
        <v>0</v>
      </c>
      <c r="K680" s="74">
        <f t="shared" ca="1" si="408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IFERROR(__xludf.DUMMYFUNCTION("IMPORTRANGE(""https://docs.google.com/spreadsheets/d/1tdoBKaGub7dwA3U6UFTqxio9LNnvDCQjHKmttSEBsFQ/edit?usp=sharing"",""จัดที่ดิน!BL53"")"),0)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IFERROR(__xludf.DUMMYFUNCTION("IMPORTRANGE(""https://docs.google.com/spreadsheets/d/1eHaY18a8A9IcSdp1K8H6x8fbOy06t2VsZHhMHf-1x7Y/edit?usp=sharing"",""แผน!IR53"")"),30)</f>
        <v>30</v>
      </c>
      <c r="J682" s="293">
        <f ca="1">IFERROR(__xludf.DUMMYFUNCTION("IMPORTRANGE(""https://docs.google.com/spreadsheets/d/1tdoBKaGub7dwA3U6UFTqxio9LNnvDCQjHKmttSEBsFQ/edit?usp=sharing"",""จัดที่ดิน!BM53"")"),0)</f>
        <v>0</v>
      </c>
      <c r="K682" s="74">
        <f t="shared" ref="K682:K683" ca="1" si="409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IFERROR(__xludf.DUMMYFUNCTION("IMPORTRANGE(""https://docs.google.com/spreadsheets/d/1eHaY18a8A9IcSdp1K8H6x8fbOy06t2VsZHhMHf-1x7Y/edit?usp=sharing"",""แผน!IS53"")"),30)</f>
        <v>30</v>
      </c>
      <c r="J683" s="622">
        <f>J686+J689</f>
        <v>0</v>
      </c>
      <c r="K683" s="264">
        <f t="shared" ca="1" si="409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64" t="s">
        <v>35</v>
      </c>
      <c r="I690" s="765">
        <f t="shared" ref="I690:J690" ca="1" si="410">I708</f>
        <v>50</v>
      </c>
      <c r="J690" s="765">
        <f t="shared" ca="1" si="410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214">
        <f t="shared" ref="L691:N691" si="411">L692+L693</f>
        <v>0</v>
      </c>
      <c r="M691" s="215">
        <f t="shared" si="411"/>
        <v>0</v>
      </c>
      <c r="N691" s="215">
        <f t="shared" si="411"/>
        <v>0</v>
      </c>
      <c r="O691" s="215">
        <f t="shared" ref="O691:O699" si="412">IF(L691&gt;0,N691*100/L691,0)</f>
        <v>0</v>
      </c>
      <c r="P691" s="215">
        <f t="shared" ref="P691:P699" si="413">IF(M691&gt;0,N691*100/M691,0)</f>
        <v>0</v>
      </c>
      <c r="Q691" s="215">
        <f t="shared" ref="Q691:S691" ca="1" si="414">Q692+Q693</f>
        <v>173940</v>
      </c>
      <c r="R691" s="215">
        <f t="shared" ca="1" si="414"/>
        <v>173940</v>
      </c>
      <c r="S691" s="215">
        <f t="shared" ca="1" si="414"/>
        <v>17000</v>
      </c>
      <c r="T691" s="215">
        <f t="shared" ref="T691:T699" ca="1" si="415">IF(Q691&gt;0,S691*100/Q691,0)</f>
        <v>9.7734851098079805</v>
      </c>
      <c r="U691" s="215">
        <f t="shared" ref="U691:U699" ca="1" si="416">IF(R691&gt;0,S691*100/R691,0)</f>
        <v>9.7734851098079805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217">
        <f t="shared" ref="L692:N693" si="417">L695+L698</f>
        <v>0</v>
      </c>
      <c r="M692" s="133">
        <f t="shared" si="417"/>
        <v>0</v>
      </c>
      <c r="N692" s="133">
        <f t="shared" si="417"/>
        <v>0</v>
      </c>
      <c r="O692" s="133">
        <f t="shared" si="412"/>
        <v>0</v>
      </c>
      <c r="P692" s="133">
        <f t="shared" si="413"/>
        <v>0</v>
      </c>
      <c r="Q692" s="133">
        <f t="shared" ref="Q692:S693" si="418">Q695+Q698</f>
        <v>0</v>
      </c>
      <c r="R692" s="133">
        <f t="shared" si="418"/>
        <v>0</v>
      </c>
      <c r="S692" s="133">
        <f t="shared" si="418"/>
        <v>0</v>
      </c>
      <c r="T692" s="133">
        <f t="shared" si="415"/>
        <v>0</v>
      </c>
      <c r="U692" s="133">
        <f t="shared" si="416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131">
        <f t="shared" si="417"/>
        <v>0</v>
      </c>
      <c r="M693" s="132">
        <f t="shared" si="417"/>
        <v>0</v>
      </c>
      <c r="N693" s="132">
        <f t="shared" si="417"/>
        <v>0</v>
      </c>
      <c r="O693" s="132">
        <f t="shared" si="412"/>
        <v>0</v>
      </c>
      <c r="P693" s="132">
        <f t="shared" si="413"/>
        <v>0</v>
      </c>
      <c r="Q693" s="132">
        <f t="shared" ca="1" si="418"/>
        <v>173940</v>
      </c>
      <c r="R693" s="132">
        <f t="shared" ca="1" si="418"/>
        <v>173940</v>
      </c>
      <c r="S693" s="132">
        <f t="shared" ca="1" si="418"/>
        <v>17000</v>
      </c>
      <c r="T693" s="132">
        <f t="shared" ca="1" si="415"/>
        <v>9.7734851098079805</v>
      </c>
      <c r="U693" s="132">
        <f t="shared" ca="1" si="416"/>
        <v>9.7734851098079805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131">
        <f t="shared" ref="L694:N694" si="419">L695+L696</f>
        <v>0</v>
      </c>
      <c r="M694" s="132">
        <f t="shared" si="419"/>
        <v>0</v>
      </c>
      <c r="N694" s="132">
        <f t="shared" si="419"/>
        <v>0</v>
      </c>
      <c r="O694" s="132">
        <f t="shared" si="412"/>
        <v>0</v>
      </c>
      <c r="P694" s="132">
        <f t="shared" si="413"/>
        <v>0</v>
      </c>
      <c r="Q694" s="132">
        <f t="shared" ref="Q694:S694" ca="1" si="420">Q695+Q696</f>
        <v>173940</v>
      </c>
      <c r="R694" s="132">
        <f t="shared" ca="1" si="420"/>
        <v>173940</v>
      </c>
      <c r="S694" s="132">
        <f t="shared" ca="1" si="420"/>
        <v>17000</v>
      </c>
      <c r="T694" s="132">
        <f t="shared" ca="1" si="415"/>
        <v>9.7734851098079805</v>
      </c>
      <c r="U694" s="132">
        <f t="shared" ca="1" si="416"/>
        <v>9.7734851098079805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133">
        <f t="shared" si="412"/>
        <v>0</v>
      </c>
      <c r="P695" s="133">
        <f t="shared" si="413"/>
        <v>0</v>
      </c>
      <c r="Q695" s="77">
        <v>0</v>
      </c>
      <c r="R695" s="77">
        <v>0</v>
      </c>
      <c r="S695" s="77">
        <v>0</v>
      </c>
      <c r="T695" s="133">
        <f t="shared" si="415"/>
        <v>0</v>
      </c>
      <c r="U695" s="133">
        <f t="shared" si="416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132">
        <f t="shared" si="412"/>
        <v>0</v>
      </c>
      <c r="P696" s="132">
        <f t="shared" si="413"/>
        <v>0</v>
      </c>
      <c r="Q696" s="132">
        <f ca="1">IFERROR(__xludf.DUMMYFUNCTION("IMPORTRANGE(""https://docs.google.com/spreadsheets/d/1ItG2mGa2ceCfYo0BwxsXqNm01IGEUdYcSSLTEv9YCik/edit?usp=sharing"",""เบิกจ่ายกองทุน!L53"")"),173940)</f>
        <v>173940</v>
      </c>
      <c r="R696" s="132">
        <f ca="1">IFERROR(__xludf.DUMMYFUNCTION("IMPORTRANGE(""https://docs.google.com/spreadsheets/d/1ItG2mGa2ceCfYo0BwxsXqNm01IGEUdYcSSLTEv9YCik/edit?usp=sharing"",""เบิกจ่ายกองทุน!M53"")"),173940)</f>
        <v>173940</v>
      </c>
      <c r="S696" s="132">
        <f ca="1">IFERROR(__xludf.DUMMYFUNCTION("IMPORTRANGE(""https://docs.google.com/spreadsheets/d/1ItG2mGa2ceCfYo0BwxsXqNm01IGEUdYcSSLTEv9YCik/edit?usp=sharing"",""เบิกจ่ายกองทุน!N53"")"),17000)</f>
        <v>17000</v>
      </c>
      <c r="T696" s="132">
        <f t="shared" ca="1" si="415"/>
        <v>9.7734851098079805</v>
      </c>
      <c r="U696" s="132">
        <f t="shared" ca="1" si="416"/>
        <v>9.7734851098079805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131">
        <f t="shared" ref="L697:N697" si="421">L698+L699</f>
        <v>0</v>
      </c>
      <c r="M697" s="132">
        <f t="shared" si="421"/>
        <v>0</v>
      </c>
      <c r="N697" s="132">
        <f t="shared" si="421"/>
        <v>0</v>
      </c>
      <c r="O697" s="132">
        <f t="shared" si="412"/>
        <v>0</v>
      </c>
      <c r="P697" s="132">
        <f t="shared" si="413"/>
        <v>0</v>
      </c>
      <c r="Q697" s="132">
        <f t="shared" ref="Q697:S697" si="422">Q698+Q699</f>
        <v>0</v>
      </c>
      <c r="R697" s="132">
        <f t="shared" si="422"/>
        <v>0</v>
      </c>
      <c r="S697" s="132">
        <f t="shared" si="422"/>
        <v>0</v>
      </c>
      <c r="T697" s="132">
        <f t="shared" si="415"/>
        <v>0</v>
      </c>
      <c r="U697" s="132">
        <f t="shared" si="416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133">
        <f t="shared" si="412"/>
        <v>0</v>
      </c>
      <c r="P698" s="133">
        <f t="shared" si="413"/>
        <v>0</v>
      </c>
      <c r="Q698" s="77">
        <v>0</v>
      </c>
      <c r="R698" s="77">
        <v>0</v>
      </c>
      <c r="S698" s="77">
        <v>0</v>
      </c>
      <c r="T698" s="133">
        <f t="shared" si="415"/>
        <v>0</v>
      </c>
      <c r="U698" s="133">
        <f t="shared" si="416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132">
        <f t="shared" si="412"/>
        <v>0</v>
      </c>
      <c r="P699" s="132">
        <f t="shared" si="413"/>
        <v>0</v>
      </c>
      <c r="Q699" s="74">
        <v>0</v>
      </c>
      <c r="R699" s="74">
        <v>0</v>
      </c>
      <c r="S699" s="74">
        <v>0</v>
      </c>
      <c r="T699" s="132">
        <f t="shared" si="415"/>
        <v>0</v>
      </c>
      <c r="U699" s="132">
        <f t="shared" si="416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1020">
        <f ca="1">IFERROR(__xludf.DUMMYFUNCTION("IMPORTRANGE(""https://docs.google.com/spreadsheets/d/1eHaY18a8A9IcSdp1K8H6x8fbOy06t2VsZHhMHf-1x7Y/edit?usp=sharing"",""แผน!LC53"")"),0)</f>
        <v>0</v>
      </c>
      <c r="J701" s="897">
        <v>0</v>
      </c>
      <c r="K701" s="1021">
        <f t="shared" ref="K701:K711" ca="1" si="423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x14ac:dyDescent="0.3">
      <c r="A702" s="1022"/>
      <c r="B702" s="1023"/>
      <c r="C702" s="1023"/>
      <c r="D702" s="1024"/>
      <c r="E702" s="769" t="s">
        <v>258</v>
      </c>
      <c r="F702" s="1024"/>
      <c r="G702" s="1025"/>
      <c r="H702" s="262" t="s">
        <v>35</v>
      </c>
      <c r="I702" s="1026">
        <f t="shared" ref="I702:J702" ca="1" si="424">I704+I706</f>
        <v>56</v>
      </c>
      <c r="J702" s="1027">
        <f t="shared" ca="1" si="424"/>
        <v>1</v>
      </c>
      <c r="K702" s="215">
        <f t="shared" ca="1" si="423"/>
        <v>1.7857142857142858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x14ac:dyDescent="0.3">
      <c r="A703" s="1022"/>
      <c r="B703" s="1023"/>
      <c r="C703" s="1023"/>
      <c r="D703" s="1024"/>
      <c r="E703" s="1024"/>
      <c r="F703" s="1024"/>
      <c r="G703" s="1025"/>
      <c r="H703" s="262" t="s">
        <v>46</v>
      </c>
      <c r="I703" s="1017">
        <v>0</v>
      </c>
      <c r="J703" s="1028">
        <f ca="1">J705+J707</f>
        <v>0.8</v>
      </c>
      <c r="K703" s="215">
        <f t="shared" si="423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1029">
        <f ca="1">IFERROR(__xludf.DUMMYFUNCTION("IMPORTRANGE(""https://docs.google.com/spreadsheets/d/1eHaY18a8A9IcSdp1K8H6x8fbOy06t2VsZHhMHf-1x7Y/edit?usp=sharing"",""แผน!LJ53"")"),50)</f>
        <v>50</v>
      </c>
      <c r="J704" s="623">
        <f ca="1">IFERROR(__xludf.DUMMYFUNCTION("IMPORTRANGE(""https://docs.google.com/spreadsheets/d/1tdoBKaGub7dwA3U6UFTqxio9LNnvDCQjHKmttSEBsFQ/edit?usp=sharing"",""จัดที่ดิน!AP53"")"),1)</f>
        <v>1</v>
      </c>
      <c r="K704" s="132">
        <f t="shared" ca="1" si="423"/>
        <v>2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1015">
        <v>0</v>
      </c>
      <c r="J705" s="624">
        <f ca="1">IFERROR(__xludf.DUMMYFUNCTION("IMPORTRANGE(""https://docs.google.com/spreadsheets/d/1tdoBKaGub7dwA3U6UFTqxio9LNnvDCQjHKmttSEBsFQ/edit?usp=sharing"",""จัดที่ดิน!AQ53"")"),0.8)</f>
        <v>0.8</v>
      </c>
      <c r="K705" s="132">
        <f t="shared" si="423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1029">
        <f ca="1">IFERROR(__xludf.DUMMYFUNCTION("IMPORTRANGE(""https://docs.google.com/spreadsheets/d/1eHaY18a8A9IcSdp1K8H6x8fbOy06t2VsZHhMHf-1x7Y/edit?usp=sharing"",""แผน!LK53"")"),6)</f>
        <v>6</v>
      </c>
      <c r="J706" s="623">
        <f ca="1">IFERROR(__xludf.DUMMYFUNCTION("IMPORTRANGE(""https://docs.google.com/spreadsheets/d/1tdoBKaGub7dwA3U6UFTqxio9LNnvDCQjHKmttSEBsFQ/edit?usp=sharing"",""จัดที่ดิน!AR53"")"),0)</f>
        <v>0</v>
      </c>
      <c r="K706" s="1030">
        <f t="shared" ca="1" si="423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1015">
        <v>0</v>
      </c>
      <c r="J707" s="623">
        <f ca="1">IFERROR(__xludf.DUMMYFUNCTION("IMPORTRANGE(""https://docs.google.com/spreadsheets/d/1tdoBKaGub7dwA3U6UFTqxio9LNnvDCQjHKmttSEBsFQ/edit?usp=sharing"",""จัดที่ดิน!AS53"")"),0)</f>
        <v>0</v>
      </c>
      <c r="K707" s="132">
        <f t="shared" si="423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1029">
        <f ca="1">IFERROR(__xludf.DUMMYFUNCTION("IMPORTRANGE(""https://docs.google.com/spreadsheets/d/1eHaY18a8A9IcSdp1K8H6x8fbOy06t2VsZHhMHf-1x7Y/edit?usp=sharing"",""แผน!LJ53"")"),50)</f>
        <v>50</v>
      </c>
      <c r="J708" s="623">
        <f ca="1">IFERROR(__xludf.DUMMYFUNCTION("IMPORTRANGE(""https://docs.google.com/spreadsheets/d/1tdoBKaGub7dwA3U6UFTqxio9LNnvDCQjHKmttSEBsFQ/edit?usp=sharing"",""จัดที่ดิน!BN53"")"),0)</f>
        <v>0</v>
      </c>
      <c r="K708" s="132">
        <f t="shared" ca="1" si="423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1015">
        <v>0</v>
      </c>
      <c r="J709" s="623">
        <f ca="1">IFERROR(__xludf.DUMMYFUNCTION("IMPORTRANGE(""https://docs.google.com/spreadsheets/d/1tdoBKaGub7dwA3U6UFTqxio9LNnvDCQjHKmttSEBsFQ/edit?usp=sharing"",""จัดที่ดิน!BO53"")"),0)</f>
        <v>0</v>
      </c>
      <c r="K709" s="132">
        <f t="shared" si="423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1029">
        <f ca="1">IFERROR(__xludf.DUMMYFUNCTION("IMPORTRANGE(""https://docs.google.com/spreadsheets/d/1eHaY18a8A9IcSdp1K8H6x8fbOy06t2VsZHhMHf-1x7Y/edit?usp=sharing"",""แผน!LK53"")"),6)</f>
        <v>6</v>
      </c>
      <c r="J710" s="623">
        <f ca="1">IFERROR(__xludf.DUMMYFUNCTION("IMPORTRANGE(""https://docs.google.com/spreadsheets/d/1tdoBKaGub7dwA3U6UFTqxio9LNnvDCQjHKmttSEBsFQ/edit?usp=sharing"",""จัดที่ดิน!BP53"")"),0)</f>
        <v>0</v>
      </c>
      <c r="K710" s="132">
        <f t="shared" ca="1" si="423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1015">
        <v>0</v>
      </c>
      <c r="J711" s="623">
        <f ca="1">IFERROR(__xludf.DUMMYFUNCTION("IMPORTRANGE(""https://docs.google.com/spreadsheets/d/1tdoBKaGub7dwA3U6UFTqxio9LNnvDCQjHKmttSEBsFQ/edit?usp=sharing"",""จัดที่ดิน!BQ53"")"),0)</f>
        <v>0</v>
      </c>
      <c r="K711" s="132">
        <f t="shared" si="423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310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214">
        <f t="shared" ref="L715:N715" si="425">L716+L717</f>
        <v>0</v>
      </c>
      <c r="M715" s="215">
        <f t="shared" si="425"/>
        <v>0</v>
      </c>
      <c r="N715" s="215">
        <f t="shared" si="425"/>
        <v>0</v>
      </c>
      <c r="O715" s="215">
        <f t="shared" ref="O715:O723" si="426">IF(L715&gt;0,N715*100/L715,0)</f>
        <v>0</v>
      </c>
      <c r="P715" s="215">
        <f t="shared" ref="P715:P723" si="427">IF(M715&gt;0,N715*100/M715,0)</f>
        <v>0</v>
      </c>
      <c r="Q715" s="215">
        <f t="shared" ref="Q715:S715" si="428">Q716+Q717</f>
        <v>0</v>
      </c>
      <c r="R715" s="215">
        <f t="shared" si="428"/>
        <v>0</v>
      </c>
      <c r="S715" s="215">
        <f t="shared" si="428"/>
        <v>0</v>
      </c>
      <c r="T715" s="215">
        <f t="shared" ref="T715:T723" si="429">IF(Q715&gt;0,S715*100/Q715,0)</f>
        <v>0</v>
      </c>
      <c r="U715" s="215">
        <f t="shared" ref="U715:U723" si="430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217">
        <f t="shared" ref="L716:N717" si="431">L719+L722</f>
        <v>0</v>
      </c>
      <c r="M716" s="133">
        <f t="shared" si="431"/>
        <v>0</v>
      </c>
      <c r="N716" s="133">
        <f t="shared" si="431"/>
        <v>0</v>
      </c>
      <c r="O716" s="133">
        <f t="shared" si="426"/>
        <v>0</v>
      </c>
      <c r="P716" s="133">
        <f t="shared" si="427"/>
        <v>0</v>
      </c>
      <c r="Q716" s="133">
        <f t="shared" ref="Q716:S717" si="432">Q719+Q722</f>
        <v>0</v>
      </c>
      <c r="R716" s="133">
        <f t="shared" si="432"/>
        <v>0</v>
      </c>
      <c r="S716" s="133">
        <f t="shared" si="432"/>
        <v>0</v>
      </c>
      <c r="T716" s="133">
        <f t="shared" si="429"/>
        <v>0</v>
      </c>
      <c r="U716" s="133">
        <f t="shared" si="430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131">
        <f t="shared" si="431"/>
        <v>0</v>
      </c>
      <c r="M717" s="132">
        <f t="shared" si="431"/>
        <v>0</v>
      </c>
      <c r="N717" s="132">
        <f t="shared" si="431"/>
        <v>0</v>
      </c>
      <c r="O717" s="132">
        <f t="shared" si="426"/>
        <v>0</v>
      </c>
      <c r="P717" s="132">
        <f t="shared" si="427"/>
        <v>0</v>
      </c>
      <c r="Q717" s="132">
        <f t="shared" si="432"/>
        <v>0</v>
      </c>
      <c r="R717" s="132">
        <f t="shared" si="432"/>
        <v>0</v>
      </c>
      <c r="S717" s="132">
        <f t="shared" si="432"/>
        <v>0</v>
      </c>
      <c r="T717" s="132">
        <f t="shared" si="429"/>
        <v>0</v>
      </c>
      <c r="U717" s="132">
        <f t="shared" si="430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131">
        <f t="shared" ref="L718:N718" si="433">L719+L720</f>
        <v>0</v>
      </c>
      <c r="M718" s="132">
        <f t="shared" si="433"/>
        <v>0</v>
      </c>
      <c r="N718" s="132">
        <f t="shared" si="433"/>
        <v>0</v>
      </c>
      <c r="O718" s="132">
        <f t="shared" si="426"/>
        <v>0</v>
      </c>
      <c r="P718" s="132">
        <f t="shared" si="427"/>
        <v>0</v>
      </c>
      <c r="Q718" s="132">
        <f t="shared" ref="Q718:S718" si="434">Q719+Q720</f>
        <v>0</v>
      </c>
      <c r="R718" s="132">
        <f t="shared" si="434"/>
        <v>0</v>
      </c>
      <c r="S718" s="132">
        <f t="shared" si="434"/>
        <v>0</v>
      </c>
      <c r="T718" s="132">
        <f t="shared" si="429"/>
        <v>0</v>
      </c>
      <c r="U718" s="132">
        <f t="shared" si="430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133">
        <f t="shared" si="426"/>
        <v>0</v>
      </c>
      <c r="P719" s="133">
        <f t="shared" si="427"/>
        <v>0</v>
      </c>
      <c r="Q719" s="77">
        <v>0</v>
      </c>
      <c r="R719" s="77">
        <v>0</v>
      </c>
      <c r="S719" s="77">
        <v>0</v>
      </c>
      <c r="T719" s="133">
        <f t="shared" si="429"/>
        <v>0</v>
      </c>
      <c r="U719" s="133">
        <f t="shared" si="430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132">
        <f t="shared" si="426"/>
        <v>0</v>
      </c>
      <c r="P720" s="132">
        <f t="shared" si="427"/>
        <v>0</v>
      </c>
      <c r="Q720" s="74">
        <v>0</v>
      </c>
      <c r="R720" s="74">
        <v>0</v>
      </c>
      <c r="S720" s="74">
        <v>0</v>
      </c>
      <c r="T720" s="132">
        <f t="shared" si="429"/>
        <v>0</v>
      </c>
      <c r="U720" s="132">
        <f t="shared" si="430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131">
        <f t="shared" ref="L721:N721" si="435">L722+L723</f>
        <v>0</v>
      </c>
      <c r="M721" s="132">
        <f t="shared" si="435"/>
        <v>0</v>
      </c>
      <c r="N721" s="132">
        <f t="shared" si="435"/>
        <v>0</v>
      </c>
      <c r="O721" s="132">
        <f t="shared" si="426"/>
        <v>0</v>
      </c>
      <c r="P721" s="132">
        <f t="shared" si="427"/>
        <v>0</v>
      </c>
      <c r="Q721" s="132">
        <f t="shared" ref="Q721:S721" si="436">Q722+Q723</f>
        <v>0</v>
      </c>
      <c r="R721" s="132">
        <f t="shared" si="436"/>
        <v>0</v>
      </c>
      <c r="S721" s="132">
        <f t="shared" si="436"/>
        <v>0</v>
      </c>
      <c r="T721" s="132">
        <f t="shared" si="429"/>
        <v>0</v>
      </c>
      <c r="U721" s="132">
        <f t="shared" si="430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133">
        <f t="shared" si="426"/>
        <v>0</v>
      </c>
      <c r="P722" s="133">
        <f t="shared" si="427"/>
        <v>0</v>
      </c>
      <c r="Q722" s="77">
        <v>0</v>
      </c>
      <c r="R722" s="77">
        <v>0</v>
      </c>
      <c r="S722" s="77">
        <v>0</v>
      </c>
      <c r="T722" s="133">
        <f t="shared" si="429"/>
        <v>0</v>
      </c>
      <c r="U722" s="133">
        <f t="shared" si="430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132">
        <f t="shared" si="426"/>
        <v>0</v>
      </c>
      <c r="P723" s="132">
        <f t="shared" si="427"/>
        <v>0</v>
      </c>
      <c r="Q723" s="74">
        <v>0</v>
      </c>
      <c r="R723" s="74">
        <v>0</v>
      </c>
      <c r="S723" s="74">
        <v>0</v>
      </c>
      <c r="T723" s="132">
        <f t="shared" si="429"/>
        <v>0</v>
      </c>
      <c r="U723" s="132">
        <f t="shared" si="430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IFERROR(__xludf.DUMMYFUNCTION("IMPORTRANGE(""https://docs.google.com/spreadsheets/d/1eHaY18a8A9IcSdp1K8H6x8fbOy06t2VsZHhMHf-1x7Y/edit?usp=sharing"",""แผน!GA53"")"),128)</f>
        <v>128</v>
      </c>
      <c r="J727" s="781">
        <f>J743+J747+J750</f>
        <v>0</v>
      </c>
      <c r="K727" s="766">
        <f t="shared" ref="K727:K728" ca="1" si="437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IFERROR(__xludf.DUMMYFUNCTION("IMPORTRANGE(""https://docs.google.com/spreadsheets/d/1eHaY18a8A9IcSdp1K8H6x8fbOy06t2VsZHhMHf-1x7Y/edit?usp=sharing"",""แผน!FZ53"")"),1250)</f>
        <v>1250</v>
      </c>
      <c r="J728" s="781">
        <f>J753+J756</f>
        <v>0</v>
      </c>
      <c r="K728" s="766">
        <f t="shared" ca="1" si="437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214">
        <f t="shared" ref="L729:N729" si="438">L730+L731</f>
        <v>0</v>
      </c>
      <c r="M729" s="215">
        <f t="shared" si="438"/>
        <v>0</v>
      </c>
      <c r="N729" s="215">
        <f t="shared" si="438"/>
        <v>0</v>
      </c>
      <c r="O729" s="215">
        <f t="shared" ref="O729:O737" si="439">IF(L729&gt;0,N729*100/L729,0)</f>
        <v>0</v>
      </c>
      <c r="P729" s="215">
        <f t="shared" ref="P729:P737" si="440">IF(M729&gt;0,N729*100/M729,0)</f>
        <v>0</v>
      </c>
      <c r="Q729" s="215">
        <f t="shared" ref="Q729:S729" ca="1" si="441">Q730+Q731</f>
        <v>1008470</v>
      </c>
      <c r="R729" s="215">
        <f t="shared" ca="1" si="441"/>
        <v>1008470</v>
      </c>
      <c r="S729" s="215">
        <f t="shared" ca="1" si="441"/>
        <v>5760</v>
      </c>
      <c r="T729" s="215">
        <f t="shared" ref="T729:T737" ca="1" si="442">IF(Q729&gt;0,S729*100/Q729,0)</f>
        <v>0.57116225569426948</v>
      </c>
      <c r="U729" s="215">
        <f t="shared" ref="U729:U737" ca="1" si="443">IF(R729&gt;0,S729*100/R729,0)</f>
        <v>0.57116225569426948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217">
        <f t="shared" ref="L730:N731" si="444">L733+L736</f>
        <v>0</v>
      </c>
      <c r="M730" s="133">
        <f t="shared" si="444"/>
        <v>0</v>
      </c>
      <c r="N730" s="133">
        <f t="shared" si="444"/>
        <v>0</v>
      </c>
      <c r="O730" s="133">
        <f t="shared" si="439"/>
        <v>0</v>
      </c>
      <c r="P730" s="133">
        <f t="shared" si="440"/>
        <v>0</v>
      </c>
      <c r="Q730" s="133">
        <f t="shared" ref="Q730:S731" si="445">Q733+Q736</f>
        <v>0</v>
      </c>
      <c r="R730" s="133">
        <f t="shared" si="445"/>
        <v>0</v>
      </c>
      <c r="S730" s="133">
        <f t="shared" si="445"/>
        <v>0</v>
      </c>
      <c r="T730" s="133">
        <f t="shared" si="442"/>
        <v>0</v>
      </c>
      <c r="U730" s="133">
        <f t="shared" si="443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131">
        <f t="shared" si="444"/>
        <v>0</v>
      </c>
      <c r="M731" s="132">
        <f t="shared" si="444"/>
        <v>0</v>
      </c>
      <c r="N731" s="132">
        <f t="shared" si="444"/>
        <v>0</v>
      </c>
      <c r="O731" s="132">
        <f t="shared" si="439"/>
        <v>0</v>
      </c>
      <c r="P731" s="132">
        <f t="shared" si="440"/>
        <v>0</v>
      </c>
      <c r="Q731" s="132">
        <f t="shared" ca="1" si="445"/>
        <v>1008470</v>
      </c>
      <c r="R731" s="132">
        <f t="shared" ca="1" si="445"/>
        <v>1008470</v>
      </c>
      <c r="S731" s="132">
        <f t="shared" ca="1" si="445"/>
        <v>5760</v>
      </c>
      <c r="T731" s="132">
        <f t="shared" ca="1" si="442"/>
        <v>0.57116225569426948</v>
      </c>
      <c r="U731" s="132">
        <f t="shared" ca="1" si="443"/>
        <v>0.57116225569426948</v>
      </c>
    </row>
    <row r="732" spans="1:21" ht="18.75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131">
        <f t="shared" ref="L732:N732" si="446">L733+L734</f>
        <v>0</v>
      </c>
      <c r="M732" s="132">
        <f t="shared" si="446"/>
        <v>0</v>
      </c>
      <c r="N732" s="132">
        <f t="shared" si="446"/>
        <v>0</v>
      </c>
      <c r="O732" s="132">
        <f t="shared" si="439"/>
        <v>0</v>
      </c>
      <c r="P732" s="132">
        <f t="shared" si="440"/>
        <v>0</v>
      </c>
      <c r="Q732" s="132">
        <f t="shared" ref="Q732:S732" ca="1" si="447">Q733+Q734</f>
        <v>1008470</v>
      </c>
      <c r="R732" s="132">
        <f t="shared" ca="1" si="447"/>
        <v>1008470</v>
      </c>
      <c r="S732" s="132">
        <f t="shared" ca="1" si="447"/>
        <v>5760</v>
      </c>
      <c r="T732" s="132">
        <f t="shared" ca="1" si="442"/>
        <v>0.57116225569426948</v>
      </c>
      <c r="U732" s="132">
        <f t="shared" ca="1" si="443"/>
        <v>0.57116225569426948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133">
        <f t="shared" si="439"/>
        <v>0</v>
      </c>
      <c r="P733" s="133">
        <f t="shared" si="440"/>
        <v>0</v>
      </c>
      <c r="Q733" s="77">
        <v>0</v>
      </c>
      <c r="R733" s="77">
        <v>0</v>
      </c>
      <c r="S733" s="77">
        <v>0</v>
      </c>
      <c r="T733" s="133">
        <f t="shared" si="442"/>
        <v>0</v>
      </c>
      <c r="U733" s="133">
        <f t="shared" si="443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132">
        <f t="shared" si="439"/>
        <v>0</v>
      </c>
      <c r="P734" s="132">
        <f t="shared" si="440"/>
        <v>0</v>
      </c>
      <c r="Q734" s="132">
        <f ca="1">IFERROR(__xludf.DUMMYFUNCTION("IMPORTRANGE(""https://docs.google.com/spreadsheets/d/1ItG2mGa2ceCfYo0BwxsXqNm01IGEUdYcSSLTEv9YCik/edit?usp=sharing"",""เบิกจ่ายกองทุน!O53"")"),1008470)</f>
        <v>1008470</v>
      </c>
      <c r="R734" s="132">
        <f ca="1">IFERROR(__xludf.DUMMYFUNCTION("IMPORTRANGE(""https://docs.google.com/spreadsheets/d/1ItG2mGa2ceCfYo0BwxsXqNm01IGEUdYcSSLTEv9YCik/edit?usp=sharing"",""เบิกจ่ายกองทุน!P53"")"),1008470)</f>
        <v>1008470</v>
      </c>
      <c r="S734" s="132">
        <f ca="1">IFERROR(__xludf.DUMMYFUNCTION("IMPORTRANGE(""https://docs.google.com/spreadsheets/d/1ItG2mGa2ceCfYo0BwxsXqNm01IGEUdYcSSLTEv9YCik/edit?usp=sharing"",""เบิกจ่ายกองทุน!Q53"")"),5760)</f>
        <v>5760</v>
      </c>
      <c r="T734" s="132">
        <f t="shared" ca="1" si="442"/>
        <v>0.57116225569426948</v>
      </c>
      <c r="U734" s="132">
        <f t="shared" ca="1" si="443"/>
        <v>0.57116225569426948</v>
      </c>
    </row>
    <row r="735" spans="1:21" ht="18.75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131">
        <f t="shared" ref="L735:N735" si="448">L736+L737</f>
        <v>0</v>
      </c>
      <c r="M735" s="132">
        <f t="shared" si="448"/>
        <v>0</v>
      </c>
      <c r="N735" s="132">
        <f t="shared" si="448"/>
        <v>0</v>
      </c>
      <c r="O735" s="132">
        <f t="shared" si="439"/>
        <v>0</v>
      </c>
      <c r="P735" s="132">
        <f t="shared" si="440"/>
        <v>0</v>
      </c>
      <c r="Q735" s="132">
        <f t="shared" ref="Q735:S735" si="449">Q736+Q737</f>
        <v>0</v>
      </c>
      <c r="R735" s="132">
        <f t="shared" si="449"/>
        <v>0</v>
      </c>
      <c r="S735" s="132">
        <f t="shared" si="449"/>
        <v>0</v>
      </c>
      <c r="T735" s="132">
        <f t="shared" si="442"/>
        <v>0</v>
      </c>
      <c r="U735" s="132">
        <f t="shared" si="443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133">
        <f t="shared" si="439"/>
        <v>0</v>
      </c>
      <c r="P736" s="133">
        <f t="shared" si="440"/>
        <v>0</v>
      </c>
      <c r="Q736" s="77">
        <v>0</v>
      </c>
      <c r="R736" s="77">
        <v>0</v>
      </c>
      <c r="S736" s="77">
        <v>0</v>
      </c>
      <c r="T736" s="133">
        <f t="shared" si="442"/>
        <v>0</v>
      </c>
      <c r="U736" s="133">
        <f t="shared" si="443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132">
        <f t="shared" si="439"/>
        <v>0</v>
      </c>
      <c r="P737" s="132">
        <f t="shared" si="440"/>
        <v>0</v>
      </c>
      <c r="Q737" s="74">
        <v>0</v>
      </c>
      <c r="R737" s="74">
        <v>0</v>
      </c>
      <c r="S737" s="74">
        <v>0</v>
      </c>
      <c r="T737" s="132">
        <f t="shared" si="442"/>
        <v>0</v>
      </c>
      <c r="U737" s="132">
        <f t="shared" si="443"/>
        <v>0</v>
      </c>
    </row>
    <row r="738" spans="1:21" ht="19.5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x14ac:dyDescent="0.25">
      <c r="A741" s="222"/>
      <c r="B741" s="223"/>
      <c r="C741" s="223"/>
      <c r="D741" s="223"/>
      <c r="E741" s="223"/>
      <c r="F741" s="1032" t="s">
        <v>271</v>
      </c>
      <c r="G741" s="227"/>
      <c r="H741" s="216" t="s">
        <v>46</v>
      </c>
      <c r="I741" s="321">
        <f ca="1">IFERROR(__xludf.DUMMYFUNCTION("IMPORTRANGE(""https://docs.google.com/spreadsheets/d/1eHaY18a8A9IcSdp1K8H6x8fbOy06t2VsZHhMHf-1x7Y/edit?usp=sharing"",""แผน!GB53"")"),1000)</f>
        <v>1000</v>
      </c>
      <c r="J741" s="884">
        <v>0</v>
      </c>
      <c r="K741" s="399">
        <f ca="1">IF(I741&gt;0,J741*100/I741,0)</f>
        <v>0</v>
      </c>
      <c r="L741" s="540"/>
      <c r="M741" s="72"/>
      <c r="N741" s="72"/>
      <c r="O741" s="72"/>
      <c r="P741" s="72"/>
      <c r="Q741" s="72"/>
      <c r="R741" s="72"/>
      <c r="S741" s="72"/>
      <c r="T741" s="72"/>
      <c r="U741" s="72"/>
    </row>
    <row r="742" spans="1:21" ht="18.75" x14ac:dyDescent="0.25">
      <c r="A742" s="222"/>
      <c r="B742" s="223"/>
      <c r="C742" s="223"/>
      <c r="D742" s="223"/>
      <c r="E742" s="223"/>
      <c r="F742" s="1032" t="s">
        <v>311</v>
      </c>
      <c r="G742" s="227"/>
      <c r="H742" s="216" t="s">
        <v>35</v>
      </c>
      <c r="I742" s="71"/>
      <c r="J742" s="884">
        <v>0</v>
      </c>
      <c r="K742" s="72"/>
      <c r="L742" s="540"/>
      <c r="M742" s="72"/>
      <c r="N742" s="72"/>
      <c r="O742" s="72"/>
      <c r="P742" s="72"/>
      <c r="Q742" s="72"/>
      <c r="R742" s="72"/>
      <c r="S742" s="72"/>
      <c r="T742" s="72"/>
      <c r="U742" s="72"/>
    </row>
    <row r="743" spans="1:21" ht="18.75" x14ac:dyDescent="0.25">
      <c r="A743" s="222"/>
      <c r="B743" s="223"/>
      <c r="C743" s="223"/>
      <c r="D743" s="223"/>
      <c r="E743" s="223"/>
      <c r="F743" s="1032" t="s">
        <v>312</v>
      </c>
      <c r="G743" s="227"/>
      <c r="H743" s="216" t="s">
        <v>35</v>
      </c>
      <c r="I743" s="321">
        <f ca="1">IFERROR(__xludf.DUMMYFUNCTION("IMPORTRANGE(""https://docs.google.com/spreadsheets/d/1eHaY18a8A9IcSdp1K8H6x8fbOy06t2VsZHhMHf-1x7Y/edit?usp=sharing"",""แผน!GC53"")"),100)</f>
        <v>100</v>
      </c>
      <c r="J743" s="884">
        <v>0</v>
      </c>
      <c r="K743" s="399">
        <f ca="1">IF(I743&gt;0,J743*100/I743,0)</f>
        <v>0</v>
      </c>
      <c r="L743" s="540"/>
      <c r="M743" s="72"/>
      <c r="N743" s="72"/>
      <c r="O743" s="72"/>
      <c r="P743" s="72"/>
      <c r="Q743" s="72"/>
      <c r="R743" s="72"/>
      <c r="S743" s="72"/>
      <c r="T743" s="72"/>
      <c r="U743" s="72"/>
    </row>
    <row r="744" spans="1:21" ht="18.75" x14ac:dyDescent="0.25">
      <c r="A744" s="222"/>
      <c r="B744" s="223"/>
      <c r="C744" s="223"/>
      <c r="D744" s="223"/>
      <c r="E744" s="1032" t="s">
        <v>274</v>
      </c>
      <c r="F744" s="223"/>
      <c r="G744" s="227"/>
      <c r="H744" s="1033"/>
      <c r="I744" s="71"/>
      <c r="J744" s="71"/>
      <c r="K744" s="72"/>
      <c r="L744" s="540"/>
      <c r="M744" s="72"/>
      <c r="N744" s="72"/>
      <c r="O744" s="72"/>
      <c r="P744" s="72"/>
      <c r="Q744" s="72"/>
      <c r="R744" s="72"/>
      <c r="S744" s="72"/>
      <c r="T744" s="72"/>
      <c r="U744" s="72"/>
    </row>
    <row r="745" spans="1:21" ht="18.75" x14ac:dyDescent="0.25">
      <c r="A745" s="222"/>
      <c r="B745" s="223"/>
      <c r="C745" s="223"/>
      <c r="D745" s="223"/>
      <c r="E745" s="223"/>
      <c r="F745" s="1032" t="s">
        <v>271</v>
      </c>
      <c r="G745" s="227"/>
      <c r="H745" s="216" t="s">
        <v>46</v>
      </c>
      <c r="I745" s="321">
        <f ca="1">IFERROR(__xludf.DUMMYFUNCTION("IMPORTRANGE(""https://docs.google.com/spreadsheets/d/1eHaY18a8A9IcSdp1K8H6x8fbOy06t2VsZHhMHf-1x7Y/edit?usp=sharing"",""แผน!GD53"")"),250)</f>
        <v>250</v>
      </c>
      <c r="J745" s="884">
        <v>0</v>
      </c>
      <c r="K745" s="399">
        <f ca="1">IF(I745&gt;0,J745*100/I745,0)</f>
        <v>0</v>
      </c>
      <c r="L745" s="540"/>
      <c r="M745" s="72"/>
      <c r="N745" s="72"/>
      <c r="O745" s="72"/>
      <c r="P745" s="72"/>
      <c r="Q745" s="72"/>
      <c r="R745" s="72"/>
      <c r="S745" s="72"/>
      <c r="T745" s="72"/>
      <c r="U745" s="72"/>
    </row>
    <row r="746" spans="1:21" ht="18.75" x14ac:dyDescent="0.25">
      <c r="A746" s="222"/>
      <c r="B746" s="223"/>
      <c r="C746" s="223"/>
      <c r="D746" s="223"/>
      <c r="E746" s="223"/>
      <c r="F746" s="1032" t="s">
        <v>313</v>
      </c>
      <c r="G746" s="227"/>
      <c r="H746" s="216" t="s">
        <v>35</v>
      </c>
      <c r="I746" s="71"/>
      <c r="J746" s="884">
        <v>0</v>
      </c>
      <c r="K746" s="72"/>
      <c r="L746" s="540"/>
      <c r="M746" s="72"/>
      <c r="N746" s="72"/>
      <c r="O746" s="72"/>
      <c r="P746" s="72"/>
      <c r="Q746" s="72"/>
      <c r="R746" s="72"/>
      <c r="S746" s="72"/>
      <c r="T746" s="72"/>
      <c r="U746" s="72"/>
    </row>
    <row r="747" spans="1:21" ht="18.75" x14ac:dyDescent="0.25">
      <c r="A747" s="222"/>
      <c r="B747" s="223"/>
      <c r="C747" s="223"/>
      <c r="D747" s="223"/>
      <c r="E747" s="223"/>
      <c r="F747" s="1032" t="s">
        <v>314</v>
      </c>
      <c r="G747" s="227"/>
      <c r="H747" s="216" t="s">
        <v>35</v>
      </c>
      <c r="I747" s="321">
        <f ca="1">IFERROR(__xludf.DUMMYFUNCTION("IMPORTRANGE(""https://docs.google.com/spreadsheets/d/1eHaY18a8A9IcSdp1K8H6x8fbOy06t2VsZHhMHf-1x7Y/edit?usp=sharing"",""แผน!GE53"")"),25)</f>
        <v>25</v>
      </c>
      <c r="J747" s="884">
        <v>0</v>
      </c>
      <c r="K747" s="399">
        <f ca="1">IF(I747&gt;0,J747*100/I747,0)</f>
        <v>0</v>
      </c>
      <c r="L747" s="540"/>
      <c r="M747" s="72"/>
      <c r="N747" s="72"/>
      <c r="O747" s="72"/>
      <c r="P747" s="72"/>
      <c r="Q747" s="72"/>
      <c r="R747" s="72"/>
      <c r="S747" s="72"/>
      <c r="T747" s="72"/>
      <c r="U747" s="72"/>
    </row>
    <row r="748" spans="1:21" ht="18.75" x14ac:dyDescent="0.25">
      <c r="A748" s="222"/>
      <c r="B748" s="223"/>
      <c r="C748" s="223"/>
      <c r="D748" s="223"/>
      <c r="E748" s="1032" t="s">
        <v>277</v>
      </c>
      <c r="F748" s="231"/>
      <c r="G748" s="227"/>
      <c r="H748" s="1033"/>
      <c r="I748" s="71"/>
      <c r="J748" s="71"/>
      <c r="K748" s="72"/>
      <c r="L748" s="540"/>
      <c r="M748" s="72"/>
      <c r="N748" s="72"/>
      <c r="O748" s="72"/>
      <c r="P748" s="72"/>
      <c r="Q748" s="72"/>
      <c r="R748" s="72"/>
      <c r="S748" s="72"/>
      <c r="T748" s="72"/>
      <c r="U748" s="72"/>
    </row>
    <row r="749" spans="1:21" ht="18.75" x14ac:dyDescent="0.25">
      <c r="A749" s="222"/>
      <c r="B749" s="223"/>
      <c r="C749" s="223"/>
      <c r="D749" s="223"/>
      <c r="E749" s="223"/>
      <c r="F749" s="1032" t="s">
        <v>315</v>
      </c>
      <c r="G749" s="227"/>
      <c r="H749" s="216" t="s">
        <v>35</v>
      </c>
      <c r="I749" s="71"/>
      <c r="J749" s="884">
        <v>0</v>
      </c>
      <c r="K749" s="72"/>
      <c r="L749" s="540"/>
      <c r="M749" s="72"/>
      <c r="N749" s="72"/>
      <c r="O749" s="72"/>
      <c r="P749" s="72"/>
      <c r="Q749" s="72"/>
      <c r="R749" s="72"/>
      <c r="S749" s="72"/>
      <c r="T749" s="72"/>
      <c r="U749" s="72"/>
    </row>
    <row r="750" spans="1:21" ht="18.75" x14ac:dyDescent="0.25">
      <c r="A750" s="222"/>
      <c r="B750" s="223"/>
      <c r="C750" s="223"/>
      <c r="D750" s="223"/>
      <c r="E750" s="223"/>
      <c r="F750" s="1032" t="s">
        <v>316</v>
      </c>
      <c r="G750" s="227"/>
      <c r="H750" s="216" t="s">
        <v>35</v>
      </c>
      <c r="I750" s="321">
        <f ca="1">IFERROR(__xludf.DUMMYFUNCTION("IMPORTRANGE(""https://docs.google.com/spreadsheets/d/1eHaY18a8A9IcSdp1K8H6x8fbOy06t2VsZHhMHf-1x7Y/edit?usp=sharing"",""แผน!GF53"")"),3)</f>
        <v>3</v>
      </c>
      <c r="J750" s="884">
        <v>0</v>
      </c>
      <c r="K750" s="399">
        <f ca="1">IF(I750&gt;0,J750*100/I750,0)</f>
        <v>0</v>
      </c>
      <c r="L750" s="540"/>
      <c r="M750" s="72"/>
      <c r="N750" s="72"/>
      <c r="O750" s="72"/>
      <c r="P750" s="72"/>
      <c r="Q750" s="72"/>
      <c r="R750" s="72"/>
      <c r="S750" s="72"/>
      <c r="T750" s="72"/>
      <c r="U750" s="72"/>
    </row>
    <row r="751" spans="1:21" ht="19.5" x14ac:dyDescent="0.3">
      <c r="A751" s="222"/>
      <c r="B751" s="223"/>
      <c r="C751" s="223"/>
      <c r="D751" s="1034" t="s">
        <v>50</v>
      </c>
      <c r="E751" s="223"/>
      <c r="F751" s="231"/>
      <c r="G751" s="227"/>
      <c r="H751" s="1033"/>
      <c r="I751" s="71"/>
      <c r="J751" s="71"/>
      <c r="K751" s="72"/>
      <c r="L751" s="540"/>
      <c r="M751" s="72"/>
      <c r="N751" s="72"/>
      <c r="O751" s="72"/>
      <c r="P751" s="72"/>
      <c r="Q751" s="72"/>
      <c r="R751" s="72"/>
      <c r="S751" s="72"/>
      <c r="T751" s="72"/>
      <c r="U751" s="72"/>
    </row>
    <row r="752" spans="1:21" ht="18.75" x14ac:dyDescent="0.25">
      <c r="A752" s="222"/>
      <c r="B752" s="223"/>
      <c r="C752" s="223"/>
      <c r="D752" s="223"/>
      <c r="E752" s="1032" t="s">
        <v>270</v>
      </c>
      <c r="F752" s="231"/>
      <c r="G752" s="227"/>
      <c r="H752" s="1033"/>
      <c r="I752" s="71"/>
      <c r="J752" s="71"/>
      <c r="K752" s="72"/>
      <c r="L752" s="540"/>
      <c r="M752" s="72"/>
      <c r="N752" s="72"/>
      <c r="O752" s="72"/>
      <c r="P752" s="72"/>
      <c r="Q752" s="72"/>
      <c r="R752" s="72"/>
      <c r="S752" s="72"/>
      <c r="T752" s="72"/>
      <c r="U752" s="72"/>
    </row>
    <row r="753" spans="1:21" ht="18.75" x14ac:dyDescent="0.25">
      <c r="A753" s="222"/>
      <c r="B753" s="223"/>
      <c r="C753" s="223"/>
      <c r="D753" s="223"/>
      <c r="E753" s="223"/>
      <c r="F753" s="395" t="s">
        <v>317</v>
      </c>
      <c r="G753" s="227"/>
      <c r="H753" s="216" t="s">
        <v>46</v>
      </c>
      <c r="I753" s="321">
        <f ca="1">IFERROR(__xludf.DUMMYFUNCTION("IMPORTRANGE(""https://docs.google.com/spreadsheets/d/1eHaY18a8A9IcSdp1K8H6x8fbOy06t2VsZHhMHf-1x7Y/edit?usp=sharing"",""แผน!GC53"")"),100)</f>
        <v>100</v>
      </c>
      <c r="J753" s="884">
        <v>0</v>
      </c>
      <c r="K753" s="399">
        <f ca="1">IF(I753&gt;0,J753*100/I753,0)</f>
        <v>0</v>
      </c>
      <c r="L753" s="540"/>
      <c r="M753" s="72"/>
      <c r="N753" s="72"/>
      <c r="O753" s="72"/>
      <c r="P753" s="72"/>
      <c r="Q753" s="72"/>
      <c r="R753" s="72"/>
      <c r="S753" s="72"/>
      <c r="T753" s="72"/>
      <c r="U753" s="72"/>
    </row>
    <row r="754" spans="1:21" ht="18.75" x14ac:dyDescent="0.25">
      <c r="A754" s="222"/>
      <c r="B754" s="223"/>
      <c r="C754" s="223"/>
      <c r="D754" s="223"/>
      <c r="E754" s="223"/>
      <c r="F754" s="395" t="s">
        <v>318</v>
      </c>
      <c r="G754" s="227"/>
      <c r="H754" s="216" t="s">
        <v>46</v>
      </c>
      <c r="I754" s="71"/>
      <c r="J754" s="884">
        <v>0</v>
      </c>
      <c r="K754" s="72"/>
      <c r="L754" s="540"/>
      <c r="M754" s="72"/>
      <c r="N754" s="72"/>
      <c r="O754" s="72"/>
      <c r="P754" s="72"/>
      <c r="Q754" s="72"/>
      <c r="R754" s="72"/>
      <c r="S754" s="72"/>
      <c r="T754" s="72"/>
      <c r="U754" s="72"/>
    </row>
    <row r="755" spans="1:21" ht="18.75" x14ac:dyDescent="0.25">
      <c r="A755" s="222"/>
      <c r="B755" s="223"/>
      <c r="C755" s="223"/>
      <c r="D755" s="223"/>
      <c r="E755" s="1032" t="s">
        <v>274</v>
      </c>
      <c r="F755" s="231"/>
      <c r="G755" s="227"/>
      <c r="H755" s="1033"/>
      <c r="I755" s="71"/>
      <c r="J755" s="71"/>
      <c r="K755" s="72"/>
      <c r="L755" s="540"/>
      <c r="M755" s="72"/>
      <c r="N755" s="72"/>
      <c r="O755" s="72"/>
      <c r="P755" s="72"/>
      <c r="Q755" s="72"/>
      <c r="R755" s="72"/>
      <c r="S755" s="72"/>
      <c r="T755" s="72"/>
      <c r="U755" s="72"/>
    </row>
    <row r="756" spans="1:21" ht="18.75" x14ac:dyDescent="0.25">
      <c r="A756" s="222"/>
      <c r="B756" s="223"/>
      <c r="C756" s="223"/>
      <c r="D756" s="223"/>
      <c r="E756" s="231"/>
      <c r="F756" s="395" t="s">
        <v>319</v>
      </c>
      <c r="G756" s="227"/>
      <c r="H756" s="216" t="s">
        <v>46</v>
      </c>
      <c r="I756" s="321">
        <f ca="1">IFERROR(__xludf.DUMMYFUNCTION("IMPORTRANGE(""https://docs.google.com/spreadsheets/d/1eHaY18a8A9IcSdp1K8H6x8fbOy06t2VsZHhMHf-1x7Y/edit?usp=sharing"",""แผน!GE53"")"),25)</f>
        <v>25</v>
      </c>
      <c r="J756" s="884">
        <v>0</v>
      </c>
      <c r="K756" s="399">
        <f ca="1">IF(I756&gt;0,J756*100/I756,0)</f>
        <v>0</v>
      </c>
      <c r="L756" s="540"/>
      <c r="M756" s="72"/>
      <c r="N756" s="72"/>
      <c r="O756" s="72"/>
      <c r="P756" s="72"/>
      <c r="Q756" s="72"/>
      <c r="R756" s="72"/>
      <c r="S756" s="72"/>
      <c r="T756" s="72"/>
      <c r="U756" s="72"/>
    </row>
    <row r="757" spans="1:21" ht="18.75" x14ac:dyDescent="0.25">
      <c r="A757" s="222"/>
      <c r="B757" s="223"/>
      <c r="C757" s="223"/>
      <c r="D757" s="223"/>
      <c r="E757" s="231"/>
      <c r="F757" s="395" t="s">
        <v>320</v>
      </c>
      <c r="G757" s="227"/>
      <c r="H757" s="216" t="s">
        <v>46</v>
      </c>
      <c r="I757" s="71"/>
      <c r="J757" s="884">
        <v>0</v>
      </c>
      <c r="K757" s="72"/>
      <c r="L757" s="540"/>
      <c r="M757" s="72"/>
      <c r="N757" s="72"/>
      <c r="O757" s="72"/>
      <c r="P757" s="72"/>
      <c r="Q757" s="72"/>
      <c r="R757" s="72"/>
      <c r="S757" s="72"/>
      <c r="T757" s="72"/>
      <c r="U757" s="72"/>
    </row>
    <row r="758" spans="1:21" ht="19.5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0">I772</f>
        <v>85</v>
      </c>
      <c r="J758" s="781">
        <f t="shared" si="450"/>
        <v>0</v>
      </c>
      <c r="K758" s="766">
        <f t="shared" ref="K758:K759" ca="1" si="451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2">I774</f>
        <v>220</v>
      </c>
      <c r="J759" s="781">
        <f t="shared" si="452"/>
        <v>0</v>
      </c>
      <c r="K759" s="766">
        <f t="shared" ca="1" si="451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214">
        <f t="shared" ref="L760:N760" si="453">L761+L762</f>
        <v>0</v>
      </c>
      <c r="M760" s="215">
        <f t="shared" si="453"/>
        <v>0</v>
      </c>
      <c r="N760" s="215">
        <f t="shared" si="453"/>
        <v>0</v>
      </c>
      <c r="O760" s="215">
        <f t="shared" ref="O760:O768" si="454">IF(L760&gt;0,N760*100/L760,0)</f>
        <v>0</v>
      </c>
      <c r="P760" s="215">
        <f t="shared" ref="P760:P768" si="455">IF(M760&gt;0,N760*100/M760,0)</f>
        <v>0</v>
      </c>
      <c r="Q760" s="215">
        <f t="shared" ref="Q760:S760" ca="1" si="456">Q761+Q762</f>
        <v>574850</v>
      </c>
      <c r="R760" s="215">
        <f t="shared" ca="1" si="456"/>
        <v>574850</v>
      </c>
      <c r="S760" s="215">
        <f t="shared" ca="1" si="456"/>
        <v>1320</v>
      </c>
      <c r="T760" s="215">
        <f t="shared" ref="T760:T768" ca="1" si="457">IF(Q760&gt;0,S760*100/Q760,0)</f>
        <v>0.22962511959641646</v>
      </c>
      <c r="U760" s="215">
        <f t="shared" ref="U760:U768" ca="1" si="458">IF(R760&gt;0,S760*100/R760,0)</f>
        <v>0.22962511959641646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217">
        <f t="shared" ref="L761:N762" si="459">L764+L767</f>
        <v>0</v>
      </c>
      <c r="M761" s="133">
        <f t="shared" si="459"/>
        <v>0</v>
      </c>
      <c r="N761" s="133">
        <f t="shared" si="459"/>
        <v>0</v>
      </c>
      <c r="O761" s="133">
        <f t="shared" si="454"/>
        <v>0</v>
      </c>
      <c r="P761" s="133">
        <f t="shared" si="455"/>
        <v>0</v>
      </c>
      <c r="Q761" s="133">
        <f t="shared" ref="Q761:S762" si="460">Q764+Q767</f>
        <v>0</v>
      </c>
      <c r="R761" s="133">
        <f t="shared" si="460"/>
        <v>0</v>
      </c>
      <c r="S761" s="133">
        <f t="shared" si="460"/>
        <v>0</v>
      </c>
      <c r="T761" s="133">
        <f t="shared" si="457"/>
        <v>0</v>
      </c>
      <c r="U761" s="133">
        <f t="shared" si="458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131">
        <f t="shared" si="459"/>
        <v>0</v>
      </c>
      <c r="M762" s="132">
        <f t="shared" si="459"/>
        <v>0</v>
      </c>
      <c r="N762" s="132">
        <f t="shared" si="459"/>
        <v>0</v>
      </c>
      <c r="O762" s="132">
        <f t="shared" si="454"/>
        <v>0</v>
      </c>
      <c r="P762" s="132">
        <f t="shared" si="455"/>
        <v>0</v>
      </c>
      <c r="Q762" s="132">
        <f t="shared" ca="1" si="460"/>
        <v>574850</v>
      </c>
      <c r="R762" s="132">
        <f t="shared" ca="1" si="460"/>
        <v>574850</v>
      </c>
      <c r="S762" s="132">
        <f t="shared" ca="1" si="460"/>
        <v>1320</v>
      </c>
      <c r="T762" s="132">
        <f t="shared" ca="1" si="457"/>
        <v>0.22962511959641646</v>
      </c>
      <c r="U762" s="132">
        <f t="shared" ca="1" si="458"/>
        <v>0.22962511959641646</v>
      </c>
    </row>
    <row r="763" spans="1:21" ht="18.75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131">
        <f t="shared" ref="L763:N763" si="461">L764+L765</f>
        <v>0</v>
      </c>
      <c r="M763" s="132">
        <f t="shared" si="461"/>
        <v>0</v>
      </c>
      <c r="N763" s="132">
        <f t="shared" si="461"/>
        <v>0</v>
      </c>
      <c r="O763" s="132">
        <f t="shared" si="454"/>
        <v>0</v>
      </c>
      <c r="P763" s="132">
        <f t="shared" si="455"/>
        <v>0</v>
      </c>
      <c r="Q763" s="132">
        <f t="shared" ref="Q763:S763" ca="1" si="462">Q764+Q765</f>
        <v>574850</v>
      </c>
      <c r="R763" s="132">
        <f t="shared" ca="1" si="462"/>
        <v>574850</v>
      </c>
      <c r="S763" s="132">
        <f t="shared" ca="1" si="462"/>
        <v>1320</v>
      </c>
      <c r="T763" s="132">
        <f t="shared" ca="1" si="457"/>
        <v>0.22962511959641646</v>
      </c>
      <c r="U763" s="132">
        <f t="shared" ca="1" si="458"/>
        <v>0.22962511959641646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133">
        <f t="shared" si="454"/>
        <v>0</v>
      </c>
      <c r="P764" s="133">
        <f t="shared" si="455"/>
        <v>0</v>
      </c>
      <c r="Q764" s="77">
        <v>0</v>
      </c>
      <c r="R764" s="77">
        <v>0</v>
      </c>
      <c r="S764" s="77">
        <v>0</v>
      </c>
      <c r="T764" s="133">
        <f t="shared" si="457"/>
        <v>0</v>
      </c>
      <c r="U764" s="133">
        <f t="shared" si="458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132">
        <f t="shared" si="454"/>
        <v>0</v>
      </c>
      <c r="P765" s="132">
        <f t="shared" si="455"/>
        <v>0</v>
      </c>
      <c r="Q765" s="132">
        <f ca="1">IFERROR(__xludf.DUMMYFUNCTION("IMPORTRANGE(""https://docs.google.com/spreadsheets/d/1ItG2mGa2ceCfYo0BwxsXqNm01IGEUdYcSSLTEv9YCik/edit?usp=sharing"",""เบิกจ่ายกองทุน!U53"")"),574850)</f>
        <v>574850</v>
      </c>
      <c r="R765" s="132">
        <f ca="1">IFERROR(__xludf.DUMMYFUNCTION("IMPORTRANGE(""https://docs.google.com/spreadsheets/d/1ItG2mGa2ceCfYo0BwxsXqNm01IGEUdYcSSLTEv9YCik/edit?usp=sharing"",""เบิกจ่ายกองทุน!V53"")"),574850)</f>
        <v>574850</v>
      </c>
      <c r="S765" s="132">
        <f ca="1">IFERROR(__xludf.DUMMYFUNCTION("IMPORTRANGE(""https://docs.google.com/spreadsheets/d/1ItG2mGa2ceCfYo0BwxsXqNm01IGEUdYcSSLTEv9YCik/edit?usp=sharing"",""เบิกจ่ายกองทุน!W53"")"),1320)</f>
        <v>1320</v>
      </c>
      <c r="T765" s="132">
        <f t="shared" ca="1" si="457"/>
        <v>0.22962511959641646</v>
      </c>
      <c r="U765" s="132">
        <f t="shared" ca="1" si="458"/>
        <v>0.22962511959641646</v>
      </c>
    </row>
    <row r="766" spans="1:21" ht="18.75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131">
        <f t="shared" ref="L766:N766" si="463">L767+L768</f>
        <v>0</v>
      </c>
      <c r="M766" s="132">
        <f t="shared" si="463"/>
        <v>0</v>
      </c>
      <c r="N766" s="132">
        <f t="shared" si="463"/>
        <v>0</v>
      </c>
      <c r="O766" s="132">
        <f t="shared" si="454"/>
        <v>0</v>
      </c>
      <c r="P766" s="132">
        <f t="shared" si="455"/>
        <v>0</v>
      </c>
      <c r="Q766" s="132">
        <f t="shared" ref="Q766:S766" si="464">Q767+Q768</f>
        <v>0</v>
      </c>
      <c r="R766" s="132">
        <f t="shared" si="464"/>
        <v>0</v>
      </c>
      <c r="S766" s="132">
        <f t="shared" si="464"/>
        <v>0</v>
      </c>
      <c r="T766" s="132">
        <f t="shared" si="457"/>
        <v>0</v>
      </c>
      <c r="U766" s="132">
        <f t="shared" si="458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133">
        <f t="shared" si="454"/>
        <v>0</v>
      </c>
      <c r="P767" s="133">
        <f t="shared" si="455"/>
        <v>0</v>
      </c>
      <c r="Q767" s="77">
        <v>0</v>
      </c>
      <c r="R767" s="77">
        <v>0</v>
      </c>
      <c r="S767" s="77">
        <v>0</v>
      </c>
      <c r="T767" s="133">
        <f t="shared" si="457"/>
        <v>0</v>
      </c>
      <c r="U767" s="133">
        <f t="shared" si="458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132">
        <f t="shared" si="454"/>
        <v>0</v>
      </c>
      <c r="P768" s="132">
        <f t="shared" si="455"/>
        <v>0</v>
      </c>
      <c r="Q768" s="74">
        <v>0</v>
      </c>
      <c r="R768" s="74">
        <v>0</v>
      </c>
      <c r="S768" s="74">
        <v>0</v>
      </c>
      <c r="T768" s="132">
        <f t="shared" si="457"/>
        <v>0</v>
      </c>
      <c r="U768" s="132">
        <f t="shared" si="458"/>
        <v>0</v>
      </c>
    </row>
    <row r="769" spans="1:21" ht="19.5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IFERROR(__xludf.DUMMYFUNCTION("IMPORTRANGE(""https://docs.google.com/spreadsheets/d/1eHaY18a8A9IcSdp1K8H6x8fbOy06t2VsZHhMHf-1x7Y/edit?usp=sharing"",""แผน!FI53"")"),0)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IFERROR(__xludf.DUMMYFUNCTION("IMPORTRANGE(""https://docs.google.com/spreadsheets/d/1eHaY18a8A9IcSdp1K8H6x8fbOy06t2VsZHhMHf-1x7Y/edit?usp=sharing"",""แผน!FQ53"")"),85)</f>
        <v>85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IFERROR(__xludf.DUMMYFUNCTION("IMPORTRANGE(""https://docs.google.com/spreadsheets/d/1eHaY18a8A9IcSdp1K8H6x8fbOy06t2VsZHhMHf-1x7Y/edit?usp=sharing"",""แผน!FR53"")"),220)</f>
        <v>220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IFERROR(__xludf.DUMMYFUNCTION("IMPORTRANGE(""https://docs.google.com/spreadsheets/d/1eHaY18a8A9IcSdp1K8H6x8fbOy06t2VsZHhMHf-1x7Y/edit?usp=sharing"",""แผน!FS53"")"),220)</f>
        <v>220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IFERROR(__xludf.DUMMYFUNCTION("IMPORTRANGE(""https://docs.google.com/spreadsheets/d/1eHaY18a8A9IcSdp1K8H6x8fbOy06t2VsZHhMHf-1x7Y/edit?usp=sharing"",""แผน!FT53"")"),85)</f>
        <v>85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787" t="s">
        <v>290</v>
      </c>
      <c r="B777" s="788"/>
      <c r="C777" s="788"/>
      <c r="D777" s="788"/>
      <c r="E777" s="789"/>
      <c r="F777" s="789"/>
      <c r="G777" s="790"/>
      <c r="H777" s="791" t="str">
        <f ca="1">IFERROR(__xludf.DUMMYFUNCTION("IMPORTRANGE(""https://docs.google.com/spreadsheets/d/1gNPQPjxUj63ZZXIIIm2aX4x3w7PhAZpC9JuXdbpWwUQ/edit?usp=sharing"",""Sheet1!b2"")")," (ข้อมูล ณ 31 ม.ค. 67)")</f>
        <v xml:space="preserve"> 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550"/>
      <c r="B778" s="749" t="s">
        <v>291</v>
      </c>
      <c r="C778" s="269"/>
      <c r="D778" s="269"/>
      <c r="E778" s="258"/>
      <c r="F778" s="258"/>
      <c r="G778" s="261"/>
      <c r="H778" s="268" t="s">
        <v>14</v>
      </c>
      <c r="I778" s="293">
        <f ca="1">IFERROR(__xludf.DUMMYFUNCTION("IMPORTRANGE(""https://docs.google.com/spreadsheets/d/10OvvATaaLtwErnr3qtWFcTmtbfpFEt5Bsqel9sXx0uE/edit?usp=sharing"",""งานกองทุน!D53"")"),1905000)</f>
        <v>1905000</v>
      </c>
      <c r="J778" s="293">
        <f ca="1">IFERROR(__xludf.DUMMYFUNCTION("IMPORTRANGE(""https://docs.google.com/spreadsheets/d/10OvvATaaLtwErnr3qtWFcTmtbfpFEt5Bsqel9sXx0uE/edit?usp=sharing"",""งานกองทุน!F53"")"),0)</f>
        <v>0</v>
      </c>
      <c r="K778" s="74">
        <f t="shared" ref="K778:K785" ca="1" si="465">IF(I778&gt;0,J778*100/I778,0)</f>
        <v>0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550"/>
      <c r="B779" s="269"/>
      <c r="C779" s="269"/>
      <c r="D779" s="269"/>
      <c r="E779" s="258"/>
      <c r="F779" s="258"/>
      <c r="G779" s="261"/>
      <c r="H779" s="268" t="s">
        <v>35</v>
      </c>
      <c r="I779" s="293">
        <f ca="1">IFERROR(__xludf.DUMMYFUNCTION("IMPORTRANGE(""https://docs.google.com/spreadsheets/d/10OvvATaaLtwErnr3qtWFcTmtbfpFEt5Bsqel9sXx0uE/edit?usp=sharing"",""งานกองทุน!C53"")"),104)</f>
        <v>104</v>
      </c>
      <c r="J779" s="293">
        <f ca="1">IFERROR(__xludf.DUMMYFUNCTION("IMPORTRANGE(""https://docs.google.com/spreadsheets/d/10OvvATaaLtwErnr3qtWFcTmtbfpFEt5Bsqel9sXx0uE/edit?usp=sharing"",""งานกองทุน!E53"")"),0)</f>
        <v>0</v>
      </c>
      <c r="K779" s="74">
        <f t="shared" ca="1" si="465"/>
        <v>0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550"/>
      <c r="B780" s="749" t="s">
        <v>292</v>
      </c>
      <c r="C780" s="269"/>
      <c r="D780" s="269"/>
      <c r="E780" s="258"/>
      <c r="F780" s="258"/>
      <c r="G780" s="261"/>
      <c r="H780" s="268" t="s">
        <v>14</v>
      </c>
      <c r="I780" s="293">
        <f ca="1">IFERROR(__xludf.DUMMYFUNCTION("IMPORTRANGE(""https://docs.google.com/spreadsheets/d/10OvvATaaLtwErnr3qtWFcTmtbfpFEt5Bsqel9sXx0uE/edit?usp=sharing"",""งานกองทุน!I53"")"),19129709.33)</f>
        <v>19129709.329999998</v>
      </c>
      <c r="J780" s="293">
        <f ca="1">IFERROR(__xludf.DUMMYFUNCTION("IMPORTRANGE(""https://docs.google.com/spreadsheets/d/10OvvATaaLtwErnr3qtWFcTmtbfpFEt5Bsqel9sXx0uE/edit?usp=sharing"",""งานกองทุน!K53"")"),455094.36)</f>
        <v>455094.36</v>
      </c>
      <c r="K780" s="74">
        <f t="shared" ca="1" si="465"/>
        <v>2.3789925510593215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550"/>
      <c r="B781" s="269"/>
      <c r="C781" s="269"/>
      <c r="D781" s="269"/>
      <c r="E781" s="258"/>
      <c r="F781" s="258"/>
      <c r="G781" s="261"/>
      <c r="H781" s="268" t="s">
        <v>35</v>
      </c>
      <c r="I781" s="293">
        <f ca="1">IFERROR(__xludf.DUMMYFUNCTION("IMPORTRANGE(""https://docs.google.com/spreadsheets/d/10OvvATaaLtwErnr3qtWFcTmtbfpFEt5Bsqel9sXx0uE/edit?usp=sharing"",""งานกองทุน!H53"")"),654)</f>
        <v>654</v>
      </c>
      <c r="J781" s="293">
        <f ca="1">IFERROR(__xludf.DUMMYFUNCTION("IMPORTRANGE(""https://docs.google.com/spreadsheets/d/10OvvATaaLtwErnr3qtWFcTmtbfpFEt5Bsqel9sXx0uE/edit?usp=sharing"",""งานกองทุน!J53"")"),45)</f>
        <v>45</v>
      </c>
      <c r="K781" s="74">
        <f t="shared" ca="1" si="465"/>
        <v>6.8807339449541285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550"/>
      <c r="B782" s="749" t="s">
        <v>293</v>
      </c>
      <c r="C782" s="269"/>
      <c r="D782" s="269"/>
      <c r="E782" s="258"/>
      <c r="F782" s="258"/>
      <c r="G782" s="261"/>
      <c r="H782" s="268" t="s">
        <v>14</v>
      </c>
      <c r="I782" s="293">
        <f ca="1">IFERROR(__xludf.DUMMYFUNCTION("IMPORTRANGE(""https://docs.google.com/spreadsheets/d/10OvvATaaLtwErnr3qtWFcTmtbfpFEt5Bsqel9sXx0uE/edit?usp=sharing"",""งานกองทุน!N53"")"),894930.13)</f>
        <v>894930.13</v>
      </c>
      <c r="J782" s="293">
        <f ca="1">IFERROR(__xludf.DUMMYFUNCTION("IMPORTRANGE(""https://docs.google.com/spreadsheets/d/10OvvATaaLtwErnr3qtWFcTmtbfpFEt5Bsqel9sXx0uE/edit?usp=sharing"",""งานกองทุน!P53"")"),62519.31)</f>
        <v>62519.31</v>
      </c>
      <c r="K782" s="74">
        <f t="shared" ca="1" si="465"/>
        <v>6.985943137259218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550"/>
      <c r="B783" s="269"/>
      <c r="C783" s="269"/>
      <c r="D783" s="269"/>
      <c r="E783" s="258"/>
      <c r="F783" s="258"/>
      <c r="G783" s="261"/>
      <c r="H783" s="268" t="s">
        <v>35</v>
      </c>
      <c r="I783" s="293">
        <f ca="1">IFERROR(__xludf.DUMMYFUNCTION("IMPORTRANGE(""https://docs.google.com/spreadsheets/d/10OvvATaaLtwErnr3qtWFcTmtbfpFEt5Bsqel9sXx0uE/edit?usp=sharing"",""งานกองทุน!M53"")"),262)</f>
        <v>262</v>
      </c>
      <c r="J783" s="293">
        <f ca="1">IFERROR(__xludf.DUMMYFUNCTION("IMPORTRANGE(""https://docs.google.com/spreadsheets/d/10OvvATaaLtwErnr3qtWFcTmtbfpFEt5Bsqel9sXx0uE/edit?usp=sharing"",""งานกองทุน!O53"")"),22)</f>
        <v>22</v>
      </c>
      <c r="K783" s="74">
        <f t="shared" ca="1" si="465"/>
        <v>8.3969465648854964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550"/>
      <c r="B784" s="749" t="s">
        <v>294</v>
      </c>
      <c r="C784" s="269"/>
      <c r="D784" s="269"/>
      <c r="E784" s="258"/>
      <c r="F784" s="258"/>
      <c r="G784" s="261"/>
      <c r="H784" s="268" t="s">
        <v>14</v>
      </c>
      <c r="I784" s="293">
        <f ca="1">IFERROR(__xludf.DUMMYFUNCTION("IMPORTRANGE(""https://docs.google.com/spreadsheets/d/10OvvATaaLtwErnr3qtWFcTmtbfpFEt5Bsqel9sXx0uE/edit?usp=sharing"",""งานกองทุน!S53"")"),2550000)</f>
        <v>2550000</v>
      </c>
      <c r="J784" s="293">
        <f ca="1">IFERROR(__xludf.DUMMYFUNCTION("IMPORTRANGE(""https://docs.google.com/spreadsheets/d/10OvvATaaLtwErnr3qtWFcTmtbfpFEt5Bsqel9sXx0uE/edit?usp=sharing"",""งานกองทุน!U53"")"),1050000)</f>
        <v>1050000</v>
      </c>
      <c r="K784" s="74">
        <f t="shared" ca="1" si="465"/>
        <v>41.176470588235297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627"/>
      <c r="B785" s="628"/>
      <c r="C785" s="628"/>
      <c r="D785" s="628"/>
      <c r="E785" s="636"/>
      <c r="F785" s="636"/>
      <c r="G785" s="637"/>
      <c r="H785" s="630" t="s">
        <v>35</v>
      </c>
      <c r="I785" s="786">
        <f ca="1">IFERROR(__xludf.DUMMYFUNCTION("IMPORTRANGE(""https://docs.google.com/spreadsheets/d/10OvvATaaLtwErnr3qtWFcTmtbfpFEt5Bsqel9sXx0uE/edit?usp=sharing"",""งานกองทุน!R53"")"),87)</f>
        <v>87</v>
      </c>
      <c r="J785" s="786">
        <f ca="1">IFERROR(__xludf.DUMMYFUNCTION("IMPORTRANGE(""https://docs.google.com/spreadsheets/d/10OvvATaaLtwErnr3qtWFcTmtbfpFEt5Bsqel9sXx0uE/edit?usp=sharing"",""งานกองทุน!T53"")"),21)</f>
        <v>21</v>
      </c>
      <c r="K785" s="182">
        <f t="shared" ca="1" si="465"/>
        <v>24.137931034482758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795"/>
      <c r="B786" s="795"/>
      <c r="C786" s="795"/>
      <c r="D786" s="795"/>
      <c r="E786" s="289"/>
      <c r="F786" s="289"/>
      <c r="G786" s="289"/>
      <c r="H786" s="795"/>
      <c r="I786" s="796"/>
      <c r="J786" s="796"/>
      <c r="K786" s="797"/>
      <c r="L786" s="797"/>
      <c r="M786" s="797"/>
      <c r="N786" s="797"/>
      <c r="O786" s="797"/>
      <c r="P786" s="797"/>
      <c r="Q786" s="797"/>
      <c r="R786" s="797"/>
      <c r="S786" s="797"/>
      <c r="T786" s="797"/>
      <c r="U786" s="797"/>
    </row>
    <row r="787" spans="1:21" ht="16.5" x14ac:dyDescent="0.25">
      <c r="A787" s="798" t="s">
        <v>295</v>
      </c>
      <c r="B787" s="795"/>
      <c r="C787" s="795"/>
      <c r="D787" s="795"/>
      <c r="E787" s="289"/>
      <c r="F787" s="289"/>
      <c r="G787" s="289"/>
      <c r="H787" s="795"/>
      <c r="I787" s="796"/>
      <c r="J787" s="796"/>
      <c r="K787" s="797"/>
      <c r="L787" s="797"/>
      <c r="M787" s="797"/>
      <c r="N787" s="797"/>
      <c r="O787" s="797"/>
      <c r="P787" s="797"/>
      <c r="Q787" s="797"/>
      <c r="R787" s="797"/>
      <c r="S787" s="797"/>
      <c r="T787" s="797"/>
      <c r="U787" s="797"/>
    </row>
    <row r="788" spans="1:21" ht="16.5" x14ac:dyDescent="0.25">
      <c r="A788" s="79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795"/>
      <c r="C788" s="795"/>
      <c r="D788" s="795"/>
      <c r="E788" s="289"/>
      <c r="F788" s="289"/>
      <c r="G788" s="289"/>
      <c r="H788" s="795"/>
      <c r="I788" s="796"/>
      <c r="J788" s="796"/>
      <c r="K788" s="797"/>
      <c r="L788" s="797"/>
      <c r="M788" s="797"/>
      <c r="N788" s="797"/>
      <c r="O788" s="797"/>
      <c r="P788" s="797"/>
      <c r="Q788" s="797"/>
      <c r="R788" s="797"/>
      <c r="S788" s="797"/>
      <c r="T788" s="797"/>
      <c r="U788" s="797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F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03AFC-0415-4D8B-BFE3-80655E50DC1B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4.42578125" bestFit="1" customWidth="1"/>
    <col min="10" max="11" width="15.140625" customWidth="1"/>
    <col min="12" max="13" width="21.28515625" bestFit="1" customWidth="1"/>
    <col min="14" max="14" width="18.7109375" bestFit="1" customWidth="1"/>
    <col min="15" max="16" width="12.5703125" bestFit="1" customWidth="1"/>
    <col min="17" max="18" width="18.710937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356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4" t="s">
        <v>4</v>
      </c>
      <c r="B6" s="1385"/>
      <c r="C6" s="1385"/>
      <c r="D6" s="1385"/>
      <c r="E6" s="1385"/>
      <c r="F6" s="1385"/>
      <c r="G6" s="1386"/>
      <c r="H6" s="1341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8">
        <f t="shared" ref="L19:N19" ca="1" si="0">L20+L21</f>
        <v>1234275</v>
      </c>
      <c r="M19" s="59">
        <f t="shared" ca="1" si="0"/>
        <v>1254369</v>
      </c>
      <c r="N19" s="59">
        <f t="shared" ca="1" si="0"/>
        <v>806935.63</v>
      </c>
      <c r="O19" s="59">
        <f t="shared" ref="O19:O27" ca="1" si="1">IF(L19&gt;0,N19*100/L19,0)</f>
        <v>65.3772967936643</v>
      </c>
      <c r="P19" s="59">
        <f t="shared" ref="P19:P27" ca="1" si="2">IF(M19&gt;0,N19*100/M19,0)</f>
        <v>64.330004169427013</v>
      </c>
      <c r="Q19" s="59">
        <f t="shared" ref="Q19:S19" ca="1" si="3">Q20+Q21</f>
        <v>222630</v>
      </c>
      <c r="R19" s="59">
        <f t="shared" ca="1" si="3"/>
        <v>222630</v>
      </c>
      <c r="S19" s="59">
        <f t="shared" ca="1" si="3"/>
        <v>10594.5</v>
      </c>
      <c r="T19" s="59">
        <f t="shared" ref="T19:T27" ca="1" si="4">IF(Q19&gt;0,S19*100/Q19,0)</f>
        <v>4.7587926155504645</v>
      </c>
      <c r="U19" s="59">
        <f t="shared" ref="U19:U27" ca="1" si="5">IF(R19&gt;0,S19*100/R19,0)</f>
        <v>4.7587926155504645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2">
        <f t="shared" ref="L20:N21" si="6">L23+L26</f>
        <v>0</v>
      </c>
      <c r="M20" s="63">
        <f t="shared" si="6"/>
        <v>0</v>
      </c>
      <c r="N20" s="63">
        <f t="shared" si="6"/>
        <v>0</v>
      </c>
      <c r="O20" s="63">
        <f t="shared" si="1"/>
        <v>0</v>
      </c>
      <c r="P20" s="63">
        <f t="shared" si="2"/>
        <v>0</v>
      </c>
      <c r="Q20" s="63">
        <f t="shared" ref="Q20:S21" si="7">Q23+Q26</f>
        <v>0</v>
      </c>
      <c r="R20" s="63">
        <f t="shared" si="7"/>
        <v>0</v>
      </c>
      <c r="S20" s="63">
        <f t="shared" si="7"/>
        <v>0</v>
      </c>
      <c r="T20" s="63">
        <f t="shared" si="4"/>
        <v>0</v>
      </c>
      <c r="U20" s="6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4">
        <f t="shared" ca="1" si="6"/>
        <v>1234275</v>
      </c>
      <c r="M21" s="65">
        <f t="shared" ca="1" si="6"/>
        <v>1254369</v>
      </c>
      <c r="N21" s="65">
        <f t="shared" ca="1" si="6"/>
        <v>806935.63</v>
      </c>
      <c r="O21" s="65">
        <f t="shared" ca="1" si="1"/>
        <v>65.3772967936643</v>
      </c>
      <c r="P21" s="65">
        <f t="shared" ca="1" si="2"/>
        <v>64.330004169427013</v>
      </c>
      <c r="Q21" s="65">
        <f t="shared" ca="1" si="7"/>
        <v>222630</v>
      </c>
      <c r="R21" s="65">
        <f t="shared" ca="1" si="7"/>
        <v>222630</v>
      </c>
      <c r="S21" s="65">
        <f t="shared" ca="1" si="7"/>
        <v>10594.5</v>
      </c>
      <c r="T21" s="65">
        <f t="shared" ca="1" si="4"/>
        <v>4.7587926155504645</v>
      </c>
      <c r="U21" s="65">
        <f t="shared" ca="1" si="5"/>
        <v>4.7587926155504645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3">
        <f t="shared" ref="L22:N22" ca="1" si="8">L23+L24</f>
        <v>1234275</v>
      </c>
      <c r="M22" s="74">
        <f t="shared" ca="1" si="8"/>
        <v>1254369</v>
      </c>
      <c r="N22" s="74">
        <f t="shared" ca="1" si="8"/>
        <v>806935.63</v>
      </c>
      <c r="O22" s="74">
        <f t="shared" ca="1" si="1"/>
        <v>65.3772967936643</v>
      </c>
      <c r="P22" s="74">
        <f t="shared" ca="1" si="2"/>
        <v>64.330004169427013</v>
      </c>
      <c r="Q22" s="74">
        <f t="shared" ref="Q22:S22" ca="1" si="9">Q23+Q24</f>
        <v>222630</v>
      </c>
      <c r="R22" s="74">
        <f t="shared" ca="1" si="9"/>
        <v>222630</v>
      </c>
      <c r="S22" s="74">
        <f t="shared" ca="1" si="9"/>
        <v>10594.5</v>
      </c>
      <c r="T22" s="74">
        <f t="shared" ca="1" si="4"/>
        <v>4.7587926155504645</v>
      </c>
      <c r="U22" s="74">
        <f t="shared" ca="1" si="5"/>
        <v>4.7587926155504645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6">
        <f t="shared" ref="L23:N24" si="10">L49+L64+L77+L99+L130+L144+L162+L191+L178+L271+L287+L308+L325+L338+L361+L518</f>
        <v>0</v>
      </c>
      <c r="M23" s="77">
        <f t="shared" si="10"/>
        <v>0</v>
      </c>
      <c r="N23" s="77">
        <f t="shared" si="10"/>
        <v>0</v>
      </c>
      <c r="O23" s="77">
        <f t="shared" si="1"/>
        <v>0</v>
      </c>
      <c r="P23" s="77">
        <f t="shared" si="2"/>
        <v>0</v>
      </c>
      <c r="Q23" s="77">
        <f t="shared" ref="Q23:S24" si="11">Q77+Q99+Q122+Q144+Q162+Q178+Q191+Q271+Q287+Q308+Q338+Q380+Q397+Q418+Q498+Q604+Q621+Q647+Q695+Q719+Q733+Q764</f>
        <v>0</v>
      </c>
      <c r="R23" s="77">
        <f t="shared" si="11"/>
        <v>0</v>
      </c>
      <c r="S23" s="77">
        <f t="shared" si="11"/>
        <v>0</v>
      </c>
      <c r="T23" s="77">
        <f t="shared" si="4"/>
        <v>0</v>
      </c>
      <c r="U23" s="77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3">
        <f t="shared" ca="1" si="10"/>
        <v>1234275</v>
      </c>
      <c r="M24" s="74">
        <f t="shared" ca="1" si="10"/>
        <v>1254369</v>
      </c>
      <c r="N24" s="74">
        <f t="shared" ca="1" si="10"/>
        <v>806935.63</v>
      </c>
      <c r="O24" s="74">
        <f t="shared" ca="1" si="1"/>
        <v>65.3772967936643</v>
      </c>
      <c r="P24" s="74">
        <f t="shared" ca="1" si="2"/>
        <v>64.330004169427013</v>
      </c>
      <c r="Q24" s="74">
        <f t="shared" ca="1" si="11"/>
        <v>222630</v>
      </c>
      <c r="R24" s="74">
        <f t="shared" ca="1" si="11"/>
        <v>222630</v>
      </c>
      <c r="S24" s="74">
        <f t="shared" ca="1" si="11"/>
        <v>10594.5</v>
      </c>
      <c r="T24" s="74">
        <f t="shared" ca="1" si="4"/>
        <v>4.7587926155504645</v>
      </c>
      <c r="U24" s="74">
        <f t="shared" ca="1" si="5"/>
        <v>4.7587926155504645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3">
        <f t="shared" ref="L25:N25" ca="1" si="12">L26+L27</f>
        <v>0</v>
      </c>
      <c r="M25" s="74">
        <f t="shared" ca="1" si="12"/>
        <v>0</v>
      </c>
      <c r="N25" s="74">
        <f t="shared" ca="1" si="12"/>
        <v>0</v>
      </c>
      <c r="O25" s="74">
        <f t="shared" ca="1" si="1"/>
        <v>0</v>
      </c>
      <c r="P25" s="74">
        <f t="shared" ca="1" si="2"/>
        <v>0</v>
      </c>
      <c r="Q25" s="74">
        <f t="shared" ref="Q25:S25" si="13">Q26+Q27</f>
        <v>0</v>
      </c>
      <c r="R25" s="74">
        <f t="shared" si="13"/>
        <v>0</v>
      </c>
      <c r="S25" s="74">
        <f t="shared" si="13"/>
        <v>0</v>
      </c>
      <c r="T25" s="74">
        <f t="shared" si="4"/>
        <v>0</v>
      </c>
      <c r="U25" s="74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6">
        <f t="shared" ref="L26:N27" si="14">L52+L67+L80+L102+L133+L147+L165+L194+L181+L274+L290+L311+L328+L341+L364+L521</f>
        <v>0</v>
      </c>
      <c r="M26" s="77">
        <f t="shared" si="14"/>
        <v>0</v>
      </c>
      <c r="N26" s="77">
        <f t="shared" si="14"/>
        <v>0</v>
      </c>
      <c r="O26" s="77">
        <f t="shared" si="1"/>
        <v>0</v>
      </c>
      <c r="P26" s="77">
        <f t="shared" si="2"/>
        <v>0</v>
      </c>
      <c r="Q26" s="77">
        <f t="shared" ref="Q26:S27" si="15">Q80+Q102+Q125+Q147+Q165+Q181+Q194+Q274+Q290+Q311+Q341+Q383+Q400+Q421+Q501+Q607+Q624+Q650+Q698+Q722+Q736+Q767</f>
        <v>0</v>
      </c>
      <c r="R26" s="77">
        <f t="shared" si="15"/>
        <v>0</v>
      </c>
      <c r="S26" s="77">
        <f t="shared" si="15"/>
        <v>0</v>
      </c>
      <c r="T26" s="77">
        <f t="shared" si="4"/>
        <v>0</v>
      </c>
      <c r="U26" s="77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3">
        <f t="shared" ca="1" si="14"/>
        <v>0</v>
      </c>
      <c r="M27" s="74">
        <f t="shared" ca="1" si="14"/>
        <v>0</v>
      </c>
      <c r="N27" s="74">
        <f t="shared" ca="1" si="14"/>
        <v>0</v>
      </c>
      <c r="O27" s="74">
        <f t="shared" ca="1" si="1"/>
        <v>0</v>
      </c>
      <c r="P27" s="74">
        <f t="shared" ca="1" si="2"/>
        <v>0</v>
      </c>
      <c r="Q27" s="77">
        <f t="shared" si="15"/>
        <v>0</v>
      </c>
      <c r="R27" s="77">
        <f t="shared" si="15"/>
        <v>0</v>
      </c>
      <c r="S27" s="77">
        <f t="shared" si="15"/>
        <v>0</v>
      </c>
      <c r="T27" s="74">
        <f t="shared" si="4"/>
        <v>0</v>
      </c>
      <c r="U27" s="74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4.25" hidden="1" x14ac:dyDescent="0.2">
      <c r="A31" s="1390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80">
        <f t="shared" ref="L41:N41" ca="1" si="16">L45+L60+L73+L95+L126+L140+L158+L174+L187+L267+L283+L304+L321+L334+L357</f>
        <v>1234275</v>
      </c>
      <c r="M41" s="1279">
        <f t="shared" ca="1" si="16"/>
        <v>1254369</v>
      </c>
      <c r="N41" s="1279">
        <f t="shared" ca="1" si="16"/>
        <v>806935.63</v>
      </c>
      <c r="O41" s="1279">
        <f ca="1">IF(L41&gt;0,N41*100/L41,0)</f>
        <v>65.3772967936643</v>
      </c>
      <c r="P41" s="1279">
        <f ca="1">IF(M41&gt;0,N41*100/M41,0)</f>
        <v>64.330004169427013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6">
        <f t="shared" ref="L45:N45" ca="1" si="17">L46+L47</f>
        <v>204500</v>
      </c>
      <c r="M45" s="1275">
        <f t="shared" ca="1" si="17"/>
        <v>209324</v>
      </c>
      <c r="N45" s="1275">
        <f t="shared" ca="1" si="17"/>
        <v>109214.5</v>
      </c>
      <c r="O45" s="1275">
        <f t="shared" ref="O45:O53" ca="1" si="18">IF(L45&gt;0,N45*100/L45,0)</f>
        <v>53.405623471882642</v>
      </c>
      <c r="P45" s="1275">
        <f t="shared" ref="P45:P53" ca="1" si="19">IF(M45&gt;0,N45*100/M45,0)</f>
        <v>52.174858114693009</v>
      </c>
      <c r="Q45" s="1275">
        <f t="shared" ref="Q45:S45" si="20">Q46+Q47</f>
        <v>0</v>
      </c>
      <c r="R45" s="1275">
        <f t="shared" si="20"/>
        <v>0</v>
      </c>
      <c r="S45" s="1275">
        <f t="shared" si="20"/>
        <v>0</v>
      </c>
      <c r="T45" s="1275">
        <f t="shared" ref="T45:T53" si="21">IF(Q45&gt;0,S45*100/Q45,0)</f>
        <v>0</v>
      </c>
      <c r="U45" s="1275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4">
        <f t="shared" ref="L46:N47" si="23">L49+L52</f>
        <v>0</v>
      </c>
      <c r="M46" s="1273">
        <f t="shared" si="23"/>
        <v>0</v>
      </c>
      <c r="N46" s="1273">
        <f t="shared" si="23"/>
        <v>0</v>
      </c>
      <c r="O46" s="1273">
        <f t="shared" si="18"/>
        <v>0</v>
      </c>
      <c r="P46" s="1273">
        <f t="shared" si="19"/>
        <v>0</v>
      </c>
      <c r="Q46" s="1273">
        <f t="shared" ref="Q46:S47" si="24">Q49+Q52</f>
        <v>0</v>
      </c>
      <c r="R46" s="1273">
        <f t="shared" si="24"/>
        <v>0</v>
      </c>
      <c r="S46" s="1273">
        <f t="shared" si="24"/>
        <v>0</v>
      </c>
      <c r="T46" s="1273">
        <f t="shared" si="21"/>
        <v>0</v>
      </c>
      <c r="U46" s="1273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2">
        <f t="shared" ca="1" si="23"/>
        <v>204500</v>
      </c>
      <c r="M47" s="1271">
        <f t="shared" ca="1" si="23"/>
        <v>209324</v>
      </c>
      <c r="N47" s="1271">
        <f t="shared" ca="1" si="23"/>
        <v>109214.5</v>
      </c>
      <c r="O47" s="1271">
        <f t="shared" ca="1" si="18"/>
        <v>53.405623471882642</v>
      </c>
      <c r="P47" s="1271">
        <f t="shared" ca="1" si="19"/>
        <v>52.174858114693009</v>
      </c>
      <c r="Q47" s="1271">
        <f t="shared" si="24"/>
        <v>0</v>
      </c>
      <c r="R47" s="1271">
        <f t="shared" si="24"/>
        <v>0</v>
      </c>
      <c r="S47" s="1271">
        <f t="shared" si="24"/>
        <v>0</v>
      </c>
      <c r="T47" s="1271">
        <f t="shared" si="21"/>
        <v>0</v>
      </c>
      <c r="U47" s="1271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3">
        <f t="shared" ref="L48:N48" ca="1" si="25">L49+L50</f>
        <v>204500</v>
      </c>
      <c r="M48" s="74">
        <f t="shared" ca="1" si="25"/>
        <v>209324</v>
      </c>
      <c r="N48" s="74">
        <f t="shared" ca="1" si="25"/>
        <v>109214.5</v>
      </c>
      <c r="O48" s="74">
        <f t="shared" ca="1" si="18"/>
        <v>53.405623471882642</v>
      </c>
      <c r="P48" s="74">
        <f t="shared" ca="1" si="19"/>
        <v>52.174858114693009</v>
      </c>
      <c r="Q48" s="74">
        <f t="shared" ref="Q48:S48" si="26">Q49+Q50</f>
        <v>0</v>
      </c>
      <c r="R48" s="74">
        <f t="shared" si="26"/>
        <v>0</v>
      </c>
      <c r="S48" s="74">
        <f t="shared" si="26"/>
        <v>0</v>
      </c>
      <c r="T48" s="74">
        <f t="shared" si="21"/>
        <v>0</v>
      </c>
      <c r="U48" s="74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77">
        <f t="shared" si="18"/>
        <v>0</v>
      </c>
      <c r="P49" s="77">
        <f t="shared" si="19"/>
        <v>0</v>
      </c>
      <c r="Q49" s="77">
        <v>0</v>
      </c>
      <c r="R49" s="77">
        <v>0</v>
      </c>
      <c r="S49" s="77">
        <v>0</v>
      </c>
      <c r="T49" s="77">
        <f t="shared" si="21"/>
        <v>0</v>
      </c>
      <c r="U49" s="77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3">
        <f ca="1">IFERROR(__xludf.DUMMYFUNCTION("IMPORTRANGE(""https://docs.google.com/spreadsheets/d/1-uDff_7J0KD5mKrp0Vvzr7lt3OU09vwQwhkpOPPYv2Y/edit?usp=sharing"",""งบพรบ!P71"")"),204500)</f>
        <v>204500</v>
      </c>
      <c r="M50" s="74">
        <f ca="1">IFERROR(__xludf.DUMMYFUNCTION("IMPORTRANGE(""https://docs.google.com/spreadsheets/d/1-uDff_7J0KD5mKrp0Vvzr7lt3OU09vwQwhkpOPPYv2Y/edit?usp=sharing"",""งบพรบ!V71"")"),209324)</f>
        <v>209324</v>
      </c>
      <c r="N50" s="74">
        <f ca="1">IFERROR(__xludf.DUMMYFUNCTION("IMPORTRANGE(""https://docs.google.com/spreadsheets/d/1-uDff_7J0KD5mKrp0Vvzr7lt3OU09vwQwhkpOPPYv2Y/edit?usp=sharing"",""งบพรบ!Y71"")"),109214.5)</f>
        <v>109214.5</v>
      </c>
      <c r="O50" s="74">
        <f t="shared" ca="1" si="18"/>
        <v>53.405623471882642</v>
      </c>
      <c r="P50" s="74">
        <f t="shared" ca="1" si="19"/>
        <v>52.174858114693009</v>
      </c>
      <c r="Q50" s="74">
        <v>0</v>
      </c>
      <c r="R50" s="74">
        <v>0</v>
      </c>
      <c r="S50" s="74">
        <v>0</v>
      </c>
      <c r="T50" s="74">
        <f t="shared" si="21"/>
        <v>0</v>
      </c>
      <c r="U50" s="74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3">
        <f t="shared" ref="L51:N51" ca="1" si="27">L52+L53</f>
        <v>0</v>
      </c>
      <c r="M51" s="74">
        <f t="shared" ca="1" si="27"/>
        <v>0</v>
      </c>
      <c r="N51" s="74">
        <f t="shared" ca="1" si="27"/>
        <v>0</v>
      </c>
      <c r="O51" s="74">
        <f t="shared" ca="1" si="18"/>
        <v>0</v>
      </c>
      <c r="P51" s="74">
        <f t="shared" ca="1" si="19"/>
        <v>0</v>
      </c>
      <c r="Q51" s="74">
        <f t="shared" ref="Q51:S51" si="28">Q52+Q53</f>
        <v>0</v>
      </c>
      <c r="R51" s="74">
        <f t="shared" si="28"/>
        <v>0</v>
      </c>
      <c r="S51" s="74">
        <f t="shared" si="28"/>
        <v>0</v>
      </c>
      <c r="T51" s="74">
        <f t="shared" si="21"/>
        <v>0</v>
      </c>
      <c r="U51" s="74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77">
        <f t="shared" si="18"/>
        <v>0</v>
      </c>
      <c r="P52" s="77">
        <f t="shared" si="19"/>
        <v>0</v>
      </c>
      <c r="Q52" s="77">
        <v>0</v>
      </c>
      <c r="R52" s="77">
        <v>0</v>
      </c>
      <c r="S52" s="77">
        <v>0</v>
      </c>
      <c r="T52" s="77">
        <f t="shared" si="21"/>
        <v>0</v>
      </c>
      <c r="U52" s="77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3">
        <f ca="1">IFERROR(__xludf.DUMMYFUNCTION("IMPORTRANGE(""https://docs.google.com/spreadsheets/d/1-uDff_7J0KD5mKrp0Vvzr7lt3OU09vwQwhkpOPPYv2Y/edit?usp=sharing"",""งบพรบ!S71"")"),0)</f>
        <v>0</v>
      </c>
      <c r="M53" s="74">
        <f ca="1">IFERROR(__xludf.DUMMYFUNCTION("IMPORTRANGE(""https://docs.google.com/spreadsheets/d/1-uDff_7J0KD5mKrp0Vvzr7lt3OU09vwQwhkpOPPYv2Y/edit?usp=sharing"",""งบพรบ!W71"")"),0)</f>
        <v>0</v>
      </c>
      <c r="N53" s="74">
        <f ca="1">IFERROR(__xludf.DUMMYFUNCTION("IMPORTRANGE(""https://docs.google.com/spreadsheets/d/1-uDff_7J0KD5mKrp0Vvzr7lt3OU09vwQwhkpOPPYv2Y/edit?usp=sharing"",""งบพรบ!Z71"")"),0)</f>
        <v>0</v>
      </c>
      <c r="O53" s="74">
        <f t="shared" ca="1" si="18"/>
        <v>0</v>
      </c>
      <c r="P53" s="74">
        <f t="shared" ca="1" si="19"/>
        <v>0</v>
      </c>
      <c r="Q53" s="74">
        <v>0</v>
      </c>
      <c r="R53" s="74">
        <v>0</v>
      </c>
      <c r="S53" s="74">
        <v>0</v>
      </c>
      <c r="T53" s="74">
        <f t="shared" si="21"/>
        <v>0</v>
      </c>
      <c r="U53" s="74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9">
        <f t="shared" ref="L60:N60" ca="1" si="29">L61+L62</f>
        <v>599400</v>
      </c>
      <c r="M60" s="1268">
        <f t="shared" ca="1" si="29"/>
        <v>599400</v>
      </c>
      <c r="N60" s="1268">
        <f t="shared" ca="1" si="29"/>
        <v>525496.14</v>
      </c>
      <c r="O60" s="1268">
        <f t="shared" ref="O60:O68" ca="1" si="30">IF(L60&gt;0,N60*100/L60,0)</f>
        <v>87.670360360360363</v>
      </c>
      <c r="P60" s="1268">
        <f t="shared" ref="P60:P68" ca="1" si="31">IF(M60&gt;0,N60*100/M60,0)</f>
        <v>87.670360360360363</v>
      </c>
      <c r="Q60" s="1268">
        <f t="shared" ref="Q60:S60" si="32">Q61+Q62</f>
        <v>0</v>
      </c>
      <c r="R60" s="1268">
        <f t="shared" si="32"/>
        <v>0</v>
      </c>
      <c r="S60" s="1268">
        <f t="shared" si="32"/>
        <v>0</v>
      </c>
      <c r="T60" s="1268">
        <f t="shared" ref="T60:T68" si="33">IF(Q60&gt;0,S60*100/Q60,0)</f>
        <v>0</v>
      </c>
      <c r="U60" s="1268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7">
        <f t="shared" ref="L61:N62" si="35">L64+L67</f>
        <v>0</v>
      </c>
      <c r="M61" s="1266">
        <f t="shared" si="35"/>
        <v>0</v>
      </c>
      <c r="N61" s="1266">
        <f t="shared" si="35"/>
        <v>0</v>
      </c>
      <c r="O61" s="1266">
        <f t="shared" si="30"/>
        <v>0</v>
      </c>
      <c r="P61" s="1266">
        <f t="shared" si="31"/>
        <v>0</v>
      </c>
      <c r="Q61" s="1266">
        <f t="shared" ref="Q61:S62" si="36">Q64+Q67</f>
        <v>0</v>
      </c>
      <c r="R61" s="1266">
        <f t="shared" si="36"/>
        <v>0</v>
      </c>
      <c r="S61" s="1266">
        <f t="shared" si="36"/>
        <v>0</v>
      </c>
      <c r="T61" s="1266">
        <f t="shared" si="33"/>
        <v>0</v>
      </c>
      <c r="U61" s="1266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5">
        <f t="shared" ca="1" si="35"/>
        <v>599400</v>
      </c>
      <c r="M62" s="1264">
        <f t="shared" ca="1" si="35"/>
        <v>599400</v>
      </c>
      <c r="N62" s="1264">
        <f t="shared" ca="1" si="35"/>
        <v>525496.14</v>
      </c>
      <c r="O62" s="1264">
        <f t="shared" ca="1" si="30"/>
        <v>87.670360360360363</v>
      </c>
      <c r="P62" s="1264">
        <f t="shared" ca="1" si="31"/>
        <v>87.670360360360363</v>
      </c>
      <c r="Q62" s="1264">
        <f t="shared" si="36"/>
        <v>0</v>
      </c>
      <c r="R62" s="1264">
        <f t="shared" si="36"/>
        <v>0</v>
      </c>
      <c r="S62" s="1264">
        <f t="shared" si="36"/>
        <v>0</v>
      </c>
      <c r="T62" s="1264">
        <f t="shared" si="33"/>
        <v>0</v>
      </c>
      <c r="U62" s="1264">
        <f t="shared" si="34"/>
        <v>0</v>
      </c>
    </row>
    <row r="63" spans="1:21" ht="18.75" x14ac:dyDescent="0.25">
      <c r="A63" s="847"/>
      <c r="B63" s="258"/>
      <c r="C63" s="258"/>
      <c r="D63" s="270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3">
        <f t="shared" ref="L63:N63" ca="1" si="37">L64+L65</f>
        <v>599400</v>
      </c>
      <c r="M63" s="74">
        <f t="shared" ca="1" si="37"/>
        <v>599400</v>
      </c>
      <c r="N63" s="74">
        <f t="shared" ca="1" si="37"/>
        <v>525496.14</v>
      </c>
      <c r="O63" s="74">
        <f t="shared" ca="1" si="30"/>
        <v>87.670360360360363</v>
      </c>
      <c r="P63" s="74">
        <f t="shared" ca="1" si="31"/>
        <v>87.670360360360363</v>
      </c>
      <c r="Q63" s="74">
        <f t="shared" ref="Q63:S63" si="38">Q64+Q65</f>
        <v>0</v>
      </c>
      <c r="R63" s="74">
        <f t="shared" si="38"/>
        <v>0</v>
      </c>
      <c r="S63" s="74">
        <f t="shared" si="38"/>
        <v>0</v>
      </c>
      <c r="T63" s="74">
        <f t="shared" si="33"/>
        <v>0</v>
      </c>
      <c r="U63" s="74">
        <f t="shared" si="34"/>
        <v>0</v>
      </c>
    </row>
    <row r="64" spans="1:21" ht="18.75" hidden="1" x14ac:dyDescent="0.25">
      <c r="A64" s="847"/>
      <c r="B64" s="258"/>
      <c r="C64" s="258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77">
        <f t="shared" si="30"/>
        <v>0</v>
      </c>
      <c r="P64" s="77">
        <f t="shared" si="31"/>
        <v>0</v>
      </c>
      <c r="Q64" s="77">
        <v>0</v>
      </c>
      <c r="R64" s="77">
        <v>0</v>
      </c>
      <c r="S64" s="77">
        <v>0</v>
      </c>
      <c r="T64" s="77">
        <f t="shared" si="33"/>
        <v>0</v>
      </c>
      <c r="U64" s="77">
        <f t="shared" si="34"/>
        <v>0</v>
      </c>
    </row>
    <row r="65" spans="1:21" ht="18.75" hidden="1" x14ac:dyDescent="0.25">
      <c r="A65" s="847"/>
      <c r="B65" s="258"/>
      <c r="C65" s="258"/>
      <c r="D65" s="258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3">
        <f ca="1">IFERROR(__xludf.DUMMYFUNCTION("IMPORTRANGE(""https://docs.google.com/spreadsheets/d/1-uDff_7J0KD5mKrp0Vvzr7lt3OU09vwQwhkpOPPYv2Y/edit?usp=sharing"",""งบพรบ!AC71"")"),599400)</f>
        <v>599400</v>
      </c>
      <c r="M65" s="74">
        <f ca="1">IFERROR(__xludf.DUMMYFUNCTION("IMPORTRANGE(""https://docs.google.com/spreadsheets/d/1-uDff_7J0KD5mKrp0Vvzr7lt3OU09vwQwhkpOPPYv2Y/edit?usp=sharing"",""งบพรบ!AH71"")"),599400)</f>
        <v>599400</v>
      </c>
      <c r="N65" s="74">
        <f ca="1">IFERROR(__xludf.DUMMYFUNCTION("IMPORTRANGE(""https://docs.google.com/spreadsheets/d/1-uDff_7J0KD5mKrp0Vvzr7lt3OU09vwQwhkpOPPYv2Y/edit?usp=sharing"",""งบพรบ!AJ71"")"),525496.14)</f>
        <v>525496.14</v>
      </c>
      <c r="O65" s="74">
        <f t="shared" ca="1" si="30"/>
        <v>87.670360360360363</v>
      </c>
      <c r="P65" s="74">
        <f t="shared" ca="1" si="31"/>
        <v>87.670360360360363</v>
      </c>
      <c r="Q65" s="74">
        <v>0</v>
      </c>
      <c r="R65" s="74">
        <v>0</v>
      </c>
      <c r="S65" s="74">
        <v>0</v>
      </c>
      <c r="T65" s="74">
        <f t="shared" si="33"/>
        <v>0</v>
      </c>
      <c r="U65" s="74">
        <f t="shared" si="34"/>
        <v>0</v>
      </c>
    </row>
    <row r="66" spans="1:21" ht="18.75" x14ac:dyDescent="0.25">
      <c r="A66" s="847"/>
      <c r="B66" s="258"/>
      <c r="C66" s="258"/>
      <c r="D66" s="270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3">
        <f t="shared" ref="L66:N66" ca="1" si="39">L67+L68</f>
        <v>0</v>
      </c>
      <c r="M66" s="74">
        <f t="shared" ca="1" si="39"/>
        <v>0</v>
      </c>
      <c r="N66" s="74">
        <f t="shared" ca="1" si="39"/>
        <v>0</v>
      </c>
      <c r="O66" s="74">
        <f t="shared" ca="1" si="30"/>
        <v>0</v>
      </c>
      <c r="P66" s="74">
        <f t="shared" ca="1" si="31"/>
        <v>0</v>
      </c>
      <c r="Q66" s="74">
        <f t="shared" ref="Q66:S66" si="40">Q67+Q68</f>
        <v>0</v>
      </c>
      <c r="R66" s="74">
        <f t="shared" si="40"/>
        <v>0</v>
      </c>
      <c r="S66" s="74">
        <f t="shared" si="40"/>
        <v>0</v>
      </c>
      <c r="T66" s="74">
        <f t="shared" si="33"/>
        <v>0</v>
      </c>
      <c r="U66" s="74">
        <f t="shared" si="34"/>
        <v>0</v>
      </c>
    </row>
    <row r="67" spans="1:21" ht="18.75" hidden="1" x14ac:dyDescent="0.25">
      <c r="A67" s="847"/>
      <c r="B67" s="258"/>
      <c r="C67" s="258"/>
      <c r="D67" s="258"/>
      <c r="E67" s="265" t="s">
        <v>20</v>
      </c>
      <c r="F67" s="258"/>
      <c r="G67" s="261"/>
      <c r="H67" s="840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77">
        <f t="shared" si="30"/>
        <v>0</v>
      </c>
      <c r="P67" s="77">
        <f t="shared" si="31"/>
        <v>0</v>
      </c>
      <c r="Q67" s="77">
        <v>0</v>
      </c>
      <c r="R67" s="77">
        <v>0</v>
      </c>
      <c r="S67" s="77">
        <v>0</v>
      </c>
      <c r="T67" s="77">
        <f t="shared" si="33"/>
        <v>0</v>
      </c>
      <c r="U67" s="77">
        <f t="shared" si="34"/>
        <v>0</v>
      </c>
    </row>
    <row r="68" spans="1:21" ht="18.75" hidden="1" x14ac:dyDescent="0.25">
      <c r="A68" s="848"/>
      <c r="B68" s="636"/>
      <c r="C68" s="636"/>
      <c r="D68" s="636"/>
      <c r="E68" s="849" t="s">
        <v>21</v>
      </c>
      <c r="F68" s="636"/>
      <c r="G68" s="637"/>
      <c r="H68" s="850" t="s">
        <v>14</v>
      </c>
      <c r="I68" s="631"/>
      <c r="J68" s="631"/>
      <c r="K68" s="98"/>
      <c r="L68" s="181">
        <f ca="1">IFERROR(__xludf.DUMMYFUNCTION("IMPORTRANGE(""https://docs.google.com/spreadsheets/d/1-uDff_7J0KD5mKrp0Vvzr7lt3OU09vwQwhkpOPPYv2Y/edit?usp=sharing"",""งบพรบ!AF71"")"),0)</f>
        <v>0</v>
      </c>
      <c r="M68" s="182">
        <f ca="1">IFERROR(__xludf.DUMMYFUNCTION("IMPORTRANGE(""https://docs.google.com/spreadsheets/d/1-uDff_7J0KD5mKrp0Vvzr7lt3OU09vwQwhkpOPPYv2Y/edit?usp=sharing"",""งบพรบ!AI71"")"),0)</f>
        <v>0</v>
      </c>
      <c r="N68" s="182">
        <f ca="1">IFERROR(__xludf.DUMMYFUNCTION("IMPORTRANGE(""https://docs.google.com/spreadsheets/d/1-uDff_7J0KD5mKrp0Vvzr7lt3OU09vwQwhkpOPPYv2Y/edit?usp=sharing"",""งบพรบ!AK71"")"),0)</f>
        <v>0</v>
      </c>
      <c r="O68" s="182">
        <f t="shared" ca="1" si="30"/>
        <v>0</v>
      </c>
      <c r="P68" s="182">
        <f t="shared" ca="1" si="31"/>
        <v>0</v>
      </c>
      <c r="Q68" s="182">
        <v>0</v>
      </c>
      <c r="R68" s="182">
        <v>0</v>
      </c>
      <c r="S68" s="182">
        <v>0</v>
      </c>
      <c r="T68" s="182">
        <f t="shared" si="33"/>
        <v>0</v>
      </c>
      <c r="U68" s="182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7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hidden="1" x14ac:dyDescent="0.3">
      <c r="A70" s="1099" t="s">
        <v>32</v>
      </c>
      <c r="B70" s="691"/>
      <c r="C70" s="693"/>
      <c r="D70" s="691"/>
      <c r="E70" s="691"/>
      <c r="F70" s="691"/>
      <c r="G70" s="1100"/>
      <c r="H70" s="1100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19.5" hidden="1" x14ac:dyDescent="0.3">
      <c r="A71" s="250"/>
      <c r="B71" s="251" t="s">
        <v>33</v>
      </c>
      <c r="C71" s="252"/>
      <c r="D71" s="253"/>
      <c r="E71" s="252"/>
      <c r="F71" s="252"/>
      <c r="G71" s="254"/>
      <c r="H71" s="1296" t="s">
        <v>34</v>
      </c>
      <c r="I71" s="256">
        <f t="shared" ref="I71:J72" ca="1" si="41">I83</f>
        <v>0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hidden="1" x14ac:dyDescent="0.3">
      <c r="A72" s="250"/>
      <c r="B72" s="252"/>
      <c r="C72" s="252"/>
      <c r="D72" s="253"/>
      <c r="E72" s="252"/>
      <c r="F72" s="252"/>
      <c r="G72" s="254"/>
      <c r="H72" s="1296" t="s">
        <v>35</v>
      </c>
      <c r="I72" s="256">
        <f t="shared" ca="1" si="41"/>
        <v>0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hidden="1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1257">
        <f t="shared" ref="L73:N73" ca="1" si="43">L74+L75</f>
        <v>0</v>
      </c>
      <c r="M73" s="264">
        <f t="shared" ca="1" si="43"/>
        <v>0</v>
      </c>
      <c r="N73" s="264">
        <f t="shared" ca="1" si="43"/>
        <v>0</v>
      </c>
      <c r="O73" s="264">
        <f t="shared" ref="O73:O81" ca="1" si="44">IF(L73&gt;0,N73*100/L73,0)</f>
        <v>0</v>
      </c>
      <c r="P73" s="264">
        <f t="shared" ref="P73:P81" ca="1" si="45">IF(M73&gt;0,N73*100/M73,0)</f>
        <v>0</v>
      </c>
      <c r="Q73" s="264">
        <f t="shared" ref="Q73:S73" ca="1" si="46">Q74+Q75</f>
        <v>0</v>
      </c>
      <c r="R73" s="264">
        <f t="shared" ca="1" si="46"/>
        <v>0</v>
      </c>
      <c r="S73" s="264">
        <f t="shared" ca="1" si="46"/>
        <v>0</v>
      </c>
      <c r="T73" s="264">
        <f t="shared" ref="T73:T81" ca="1" si="47">IF(Q73&gt;0,S73*100/Q73,0)</f>
        <v>0</v>
      </c>
      <c r="U73" s="264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6">
        <f t="shared" ref="L74:N75" si="49">L77+L80</f>
        <v>0</v>
      </c>
      <c r="M74" s="77">
        <f t="shared" si="49"/>
        <v>0</v>
      </c>
      <c r="N74" s="77">
        <f t="shared" si="49"/>
        <v>0</v>
      </c>
      <c r="O74" s="77">
        <f t="shared" si="44"/>
        <v>0</v>
      </c>
      <c r="P74" s="77">
        <f t="shared" si="45"/>
        <v>0</v>
      </c>
      <c r="Q74" s="77">
        <f t="shared" ref="Q74:S75" si="50">Q77+Q80</f>
        <v>0</v>
      </c>
      <c r="R74" s="77">
        <f t="shared" si="50"/>
        <v>0</v>
      </c>
      <c r="S74" s="77">
        <f t="shared" si="50"/>
        <v>0</v>
      </c>
      <c r="T74" s="77">
        <f t="shared" si="47"/>
        <v>0</v>
      </c>
      <c r="U74" s="77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3">
        <f t="shared" ca="1" si="49"/>
        <v>0</v>
      </c>
      <c r="M75" s="74">
        <f t="shared" ca="1" si="49"/>
        <v>0</v>
      </c>
      <c r="N75" s="74">
        <f t="shared" ca="1" si="49"/>
        <v>0</v>
      </c>
      <c r="O75" s="74">
        <f t="shared" ca="1" si="44"/>
        <v>0</v>
      </c>
      <c r="P75" s="74">
        <f t="shared" ca="1" si="45"/>
        <v>0</v>
      </c>
      <c r="Q75" s="74">
        <f t="shared" ca="1" si="50"/>
        <v>0</v>
      </c>
      <c r="R75" s="74">
        <f t="shared" ca="1" si="50"/>
        <v>0</v>
      </c>
      <c r="S75" s="74">
        <f t="shared" ca="1" si="50"/>
        <v>0</v>
      </c>
      <c r="T75" s="74">
        <f t="shared" ca="1" si="47"/>
        <v>0</v>
      </c>
      <c r="U75" s="74">
        <f t="shared" ca="1" si="48"/>
        <v>0</v>
      </c>
    </row>
    <row r="76" spans="1:21" ht="18.75" hidden="1" x14ac:dyDescent="0.25">
      <c r="A76" s="257"/>
      <c r="B76" s="258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3">
        <f t="shared" ref="L76:N76" ca="1" si="51">L77+L78</f>
        <v>0</v>
      </c>
      <c r="M76" s="74">
        <f t="shared" ca="1" si="51"/>
        <v>0</v>
      </c>
      <c r="N76" s="74">
        <f t="shared" ca="1" si="51"/>
        <v>0</v>
      </c>
      <c r="O76" s="74">
        <f t="shared" ca="1" si="44"/>
        <v>0</v>
      </c>
      <c r="P76" s="74">
        <f t="shared" ca="1" si="45"/>
        <v>0</v>
      </c>
      <c r="Q76" s="74">
        <f t="shared" ref="Q76:S76" ca="1" si="52">Q77+Q78</f>
        <v>0</v>
      </c>
      <c r="R76" s="74">
        <f t="shared" ca="1" si="52"/>
        <v>0</v>
      </c>
      <c r="S76" s="74">
        <f t="shared" ca="1" si="52"/>
        <v>0</v>
      </c>
      <c r="T76" s="74">
        <f t="shared" ca="1" si="47"/>
        <v>0</v>
      </c>
      <c r="U76" s="74">
        <f t="shared" ca="1" si="48"/>
        <v>0</v>
      </c>
    </row>
    <row r="77" spans="1:21" ht="18.75" hidden="1" x14ac:dyDescent="0.25">
      <c r="A77" s="257"/>
      <c r="B77" s="258"/>
      <c r="C77" s="258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77">
        <f t="shared" si="44"/>
        <v>0</v>
      </c>
      <c r="P77" s="77">
        <f t="shared" si="45"/>
        <v>0</v>
      </c>
      <c r="Q77" s="77">
        <v>0</v>
      </c>
      <c r="R77" s="77">
        <v>0</v>
      </c>
      <c r="S77" s="77">
        <v>0</v>
      </c>
      <c r="T77" s="77">
        <f t="shared" si="47"/>
        <v>0</v>
      </c>
      <c r="U77" s="77">
        <f t="shared" si="48"/>
        <v>0</v>
      </c>
    </row>
    <row r="78" spans="1:21" ht="18.75" hidden="1" x14ac:dyDescent="0.25">
      <c r="A78" s="257"/>
      <c r="B78" s="258"/>
      <c r="C78" s="258"/>
      <c r="D78" s="258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3">
        <f ca="1">IFERROR(__xludf.DUMMYFUNCTION("IMPORTRANGE(""https://docs.google.com/spreadsheets/d/1-uDff_7J0KD5mKrp0Vvzr7lt3OU09vwQwhkpOPPYv2Y/edit?usp=sharing"",""งบพรบ!AM71"")"),0)</f>
        <v>0</v>
      </c>
      <c r="M78" s="74">
        <f ca="1">IFERROR(__xludf.DUMMYFUNCTION("IMPORTRANGE(""https://docs.google.com/spreadsheets/d/1-uDff_7J0KD5mKrp0Vvzr7lt3OU09vwQwhkpOPPYv2Y/edit?usp=sharing"",""งบพรบ!AR71"")"),0)</f>
        <v>0</v>
      </c>
      <c r="N78" s="74">
        <f ca="1">IFERROR(__xludf.DUMMYFUNCTION("IMPORTRANGE(""https://docs.google.com/spreadsheets/d/1-uDff_7J0KD5mKrp0Vvzr7lt3OU09vwQwhkpOPPYv2Y/edit?usp=sharing"",""งบพรบ!AT71"")"),0)</f>
        <v>0</v>
      </c>
      <c r="O78" s="74">
        <f t="shared" ca="1" si="44"/>
        <v>0</v>
      </c>
      <c r="P78" s="74">
        <f t="shared" ca="1" si="45"/>
        <v>0</v>
      </c>
      <c r="Q78" s="74">
        <f ca="1">IFERROR(__xludf.DUMMYFUNCTION("IMPORTRANGE(""https://docs.google.com/spreadsheets/d/1ItG2mGa2ceCfYo0BwxsXqNm01IGEUdYcSSLTEv9YCik/edit?usp=sharing"",""เบิกจ่ายกองทุน!AS71"")"),0)</f>
        <v>0</v>
      </c>
      <c r="R78" s="74">
        <f ca="1">IFERROR(__xludf.DUMMYFUNCTION("IMPORTRANGE(""https://docs.google.com/spreadsheets/d/1ItG2mGa2ceCfYo0BwxsXqNm01IGEUdYcSSLTEv9YCik/edit?usp=sharing"",""เบิกจ่ายกองทุน!AT71"")"),0)</f>
        <v>0</v>
      </c>
      <c r="S78" s="74">
        <f ca="1">IFERROR(__xludf.DUMMYFUNCTION("IMPORTRANGE(""https://docs.google.com/spreadsheets/d/1ItG2mGa2ceCfYo0BwxsXqNm01IGEUdYcSSLTEv9YCik/edit?usp=sharing"",""เบิกจ่ายกองทุน!AU71"")"),0)</f>
        <v>0</v>
      </c>
      <c r="T78" s="74">
        <f t="shared" ca="1" si="47"/>
        <v>0</v>
      </c>
      <c r="U78" s="74">
        <f t="shared" ca="1" si="48"/>
        <v>0</v>
      </c>
    </row>
    <row r="79" spans="1:21" ht="18.75" hidden="1" x14ac:dyDescent="0.25">
      <c r="A79" s="257"/>
      <c r="B79" s="258"/>
      <c r="C79" s="258"/>
      <c r="D79" s="270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3">
        <f t="shared" ref="L79:N79" ca="1" si="53">L80+L81</f>
        <v>0</v>
      </c>
      <c r="M79" s="74">
        <f t="shared" ca="1" si="53"/>
        <v>0</v>
      </c>
      <c r="N79" s="74">
        <f t="shared" ca="1" si="53"/>
        <v>0</v>
      </c>
      <c r="O79" s="74">
        <f t="shared" ca="1" si="44"/>
        <v>0</v>
      </c>
      <c r="P79" s="74">
        <f t="shared" ca="1" si="45"/>
        <v>0</v>
      </c>
      <c r="Q79" s="74">
        <f t="shared" ref="Q79:S79" si="54">Q80+Q81</f>
        <v>0</v>
      </c>
      <c r="R79" s="74">
        <f t="shared" si="54"/>
        <v>0</v>
      </c>
      <c r="S79" s="74">
        <f t="shared" si="54"/>
        <v>0</v>
      </c>
      <c r="T79" s="74">
        <f t="shared" si="47"/>
        <v>0</v>
      </c>
      <c r="U79" s="74">
        <f t="shared" si="48"/>
        <v>0</v>
      </c>
    </row>
    <row r="80" spans="1:21" ht="18.75" hidden="1" x14ac:dyDescent="0.25">
      <c r="A80" s="257"/>
      <c r="B80" s="258"/>
      <c r="C80" s="258"/>
      <c r="D80" s="258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77">
        <f t="shared" si="44"/>
        <v>0</v>
      </c>
      <c r="P80" s="77">
        <f t="shared" si="45"/>
        <v>0</v>
      </c>
      <c r="Q80" s="77">
        <v>0</v>
      </c>
      <c r="R80" s="74">
        <v>0</v>
      </c>
      <c r="S80" s="74">
        <v>0</v>
      </c>
      <c r="T80" s="77">
        <f t="shared" si="47"/>
        <v>0</v>
      </c>
      <c r="U80" s="77">
        <f t="shared" si="48"/>
        <v>0</v>
      </c>
    </row>
    <row r="81" spans="1:21" ht="18.75" hidden="1" x14ac:dyDescent="0.25">
      <c r="A81" s="257"/>
      <c r="B81" s="258"/>
      <c r="C81" s="258"/>
      <c r="D81" s="258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3">
        <f ca="1">IFERROR(__xludf.DUMMYFUNCTION("IMPORTRANGE(""https://docs.google.com/spreadsheets/d/1-uDff_7J0KD5mKrp0Vvzr7lt3OU09vwQwhkpOPPYv2Y/edit?usp=sharing"",""งบพรบ!AP71"")"),0)</f>
        <v>0</v>
      </c>
      <c r="M81" s="74">
        <f ca="1">IFERROR(__xludf.DUMMYFUNCTION("IMPORTRANGE(""https://docs.google.com/spreadsheets/d/1-uDff_7J0KD5mKrp0Vvzr7lt3OU09vwQwhkpOPPYv2Y/edit?usp=sharing"",""งบพรบ!AS71"")"),0)</f>
        <v>0</v>
      </c>
      <c r="N81" s="74">
        <f ca="1">IFERROR(__xludf.DUMMYFUNCTION("IMPORTRANGE(""https://docs.google.com/spreadsheets/d/1-uDff_7J0KD5mKrp0Vvzr7lt3OU09vwQwhkpOPPYv2Y/edit?usp=sharing"",""งบพรบ!AU71"")"),0)</f>
        <v>0</v>
      </c>
      <c r="O81" s="74">
        <f t="shared" ca="1" si="44"/>
        <v>0</v>
      </c>
      <c r="P81" s="74">
        <f t="shared" ca="1" si="45"/>
        <v>0</v>
      </c>
      <c r="Q81" s="74">
        <v>0</v>
      </c>
      <c r="R81" s="74">
        <v>0</v>
      </c>
      <c r="S81" s="74">
        <v>0</v>
      </c>
      <c r="T81" s="74">
        <f t="shared" si="47"/>
        <v>0</v>
      </c>
      <c r="U81" s="74">
        <f t="shared" si="48"/>
        <v>0</v>
      </c>
    </row>
    <row r="82" spans="1:21" ht="19.5" hidden="1" x14ac:dyDescent="0.3">
      <c r="A82" s="276"/>
      <c r="B82" s="277"/>
      <c r="C82" s="259" t="s">
        <v>18</v>
      </c>
      <c r="D82" s="1019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hidden="1" x14ac:dyDescent="0.3">
      <c r="A83" s="276"/>
      <c r="B83" s="277"/>
      <c r="C83" s="277"/>
      <c r="D83" s="767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0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hidden="1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0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hidden="1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IFERROR(__xludf.DUMMYFUNCTION("IMPORTRANGE(""https://docs.google.com/spreadsheets/d/1eHaY18a8A9IcSdp1K8H6x8fbOy06t2VsZHhMHf-1x7Y/edit?usp=sharing"",""แผน!H71"")"),0)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hidden="1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IFERROR(__xludf.DUMMYFUNCTION("IMPORTRANGE(""https://docs.google.com/spreadsheets/d/1eHaY18a8A9IcSdp1K8H6x8fbOy06t2VsZHhMHf-1x7Y/edit?usp=sharing"",""แผน!I71"")"),0)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hidden="1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IFERROR(__xludf.DUMMYFUNCTION("IMPORTRANGE(""https://docs.google.com/spreadsheets/d/1eHaY18a8A9IcSdp1K8H6x8fbOy06t2VsZHhMHf-1x7Y/edit?usp=sharing"",""แผน!F71"")"),0)</f>
        <v>0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hidden="1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IFERROR(__xludf.DUMMYFUNCTION("IMPORTRANGE(""https://docs.google.com/spreadsheets/d/1eHaY18a8A9IcSdp1K8H6x8fbOy06t2VsZHhMHf-1x7Y/edit?usp=sharing"",""แผน!G71"")"),0)</f>
        <v>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hidden="1" x14ac:dyDescent="0.25">
      <c r="A89" s="276"/>
      <c r="B89" s="277"/>
      <c r="C89" s="277"/>
      <c r="D89" s="277"/>
      <c r="E89" s="295" t="s">
        <v>42</v>
      </c>
      <c r="F89" s="296"/>
      <c r="G89" s="282"/>
      <c r="H89" s="299" t="s">
        <v>34</v>
      </c>
      <c r="I89" s="298">
        <f ca="1">IFERROR(__xludf.DUMMYFUNCTION("IMPORTRANGE(""https://docs.google.com/spreadsheets/d/1eHaY18a8A9IcSdp1K8H6x8fbOy06t2VsZHhMHf-1x7Y/edit?usp=sharing"",""แผน!D71"")"),0)</f>
        <v>0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hidden="1" x14ac:dyDescent="0.25">
      <c r="A90" s="276"/>
      <c r="B90" s="277"/>
      <c r="C90" s="277"/>
      <c r="D90" s="277"/>
      <c r="E90" s="296"/>
      <c r="F90" s="296"/>
      <c r="G90" s="282"/>
      <c r="H90" s="299" t="s">
        <v>35</v>
      </c>
      <c r="I90" s="298">
        <f ca="1">IFERROR(__xludf.DUMMYFUNCTION("IMPORTRANGE(""https://docs.google.com/spreadsheets/d/1eHaY18a8A9IcSdp1K8H6x8fbOy06t2VsZHhMHf-1x7Y/edit?usp=sharing"",""แผน!E71"")"),0)</f>
        <v>0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hidden="1" x14ac:dyDescent="0.25">
      <c r="A91" s="276"/>
      <c r="B91" s="277"/>
      <c r="C91" s="277"/>
      <c r="D91" s="767" t="s">
        <v>43</v>
      </c>
      <c r="E91" s="296"/>
      <c r="F91" s="296"/>
      <c r="G91" s="282"/>
      <c r="H91" s="1165" t="s">
        <v>34</v>
      </c>
      <c r="I91" s="298">
        <f ca="1">IFERROR(__xludf.DUMMYFUNCTION("IMPORTRANGE(""https://docs.google.com/spreadsheets/d/1eHaY18a8A9IcSdp1K8H6x8fbOy06t2VsZHhMHf-1x7Y/edit?usp=sharing"",""แผน!J71"")"),0)</f>
        <v>0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hidden="1" x14ac:dyDescent="0.3">
      <c r="A92" s="1099" t="s">
        <v>44</v>
      </c>
      <c r="B92" s="691"/>
      <c r="C92" s="693"/>
      <c r="D92" s="691"/>
      <c r="E92" s="691"/>
      <c r="F92" s="691"/>
      <c r="G92" s="1100"/>
      <c r="H92" s="1100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hidden="1" x14ac:dyDescent="0.3">
      <c r="A93" s="250"/>
      <c r="B93" s="251" t="s">
        <v>45</v>
      </c>
      <c r="C93" s="252"/>
      <c r="D93" s="253"/>
      <c r="E93" s="252"/>
      <c r="F93" s="252"/>
      <c r="G93" s="254"/>
      <c r="H93" s="1296" t="s">
        <v>46</v>
      </c>
      <c r="I93" s="256">
        <f t="shared" ref="I93:J94" ca="1" si="57">I109</f>
        <v>0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hidden="1" x14ac:dyDescent="0.3">
      <c r="A94" s="250"/>
      <c r="B94" s="252"/>
      <c r="C94" s="252"/>
      <c r="D94" s="253"/>
      <c r="E94" s="252"/>
      <c r="F94" s="252"/>
      <c r="G94" s="254"/>
      <c r="H94" s="1296" t="s">
        <v>35</v>
      </c>
      <c r="I94" s="256">
        <f t="shared" ca="1" si="57"/>
        <v>0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hidden="1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1257">
        <f t="shared" ref="L95:N95" ca="1" si="59">L96+L97</f>
        <v>0</v>
      </c>
      <c r="M95" s="264">
        <f t="shared" ca="1" si="59"/>
        <v>0</v>
      </c>
      <c r="N95" s="264">
        <f t="shared" ca="1" si="59"/>
        <v>0</v>
      </c>
      <c r="O95" s="264">
        <f t="shared" ref="O95:O103" ca="1" si="60">IF(L95&gt;0,N95*100/L95,0)</f>
        <v>0</v>
      </c>
      <c r="P95" s="264">
        <f t="shared" ref="P95:P103" ca="1" si="61">IF(M95&gt;0,N95*100/M95,0)</f>
        <v>0</v>
      </c>
      <c r="Q95" s="264">
        <f t="shared" ref="Q95:S95" ca="1" si="62">Q96+Q97</f>
        <v>0</v>
      </c>
      <c r="R95" s="264">
        <f t="shared" ca="1" si="62"/>
        <v>0</v>
      </c>
      <c r="S95" s="264">
        <f t="shared" ca="1" si="62"/>
        <v>0</v>
      </c>
      <c r="T95" s="264">
        <f t="shared" ref="T95:T103" ca="1" si="63">IF(Q95&gt;0,S95*100/Q95,0)</f>
        <v>0</v>
      </c>
      <c r="U95" s="264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6">
        <f t="shared" ref="L96:N97" si="65">L99+L102</f>
        <v>0</v>
      </c>
      <c r="M96" s="77">
        <f t="shared" si="65"/>
        <v>0</v>
      </c>
      <c r="N96" s="77">
        <f t="shared" si="65"/>
        <v>0</v>
      </c>
      <c r="O96" s="77">
        <f t="shared" si="60"/>
        <v>0</v>
      </c>
      <c r="P96" s="77">
        <f t="shared" si="61"/>
        <v>0</v>
      </c>
      <c r="Q96" s="77">
        <f t="shared" ref="Q96:S97" si="66">Q99+Q102</f>
        <v>0</v>
      </c>
      <c r="R96" s="77">
        <f t="shared" si="66"/>
        <v>0</v>
      </c>
      <c r="S96" s="77">
        <f t="shared" si="66"/>
        <v>0</v>
      </c>
      <c r="T96" s="77">
        <f t="shared" si="63"/>
        <v>0</v>
      </c>
      <c r="U96" s="77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3">
        <f t="shared" ca="1" si="65"/>
        <v>0</v>
      </c>
      <c r="M97" s="74">
        <f t="shared" ca="1" si="65"/>
        <v>0</v>
      </c>
      <c r="N97" s="74">
        <f t="shared" ca="1" si="65"/>
        <v>0</v>
      </c>
      <c r="O97" s="74">
        <f t="shared" ca="1" si="60"/>
        <v>0</v>
      </c>
      <c r="P97" s="74">
        <f t="shared" ca="1" si="61"/>
        <v>0</v>
      </c>
      <c r="Q97" s="74">
        <f t="shared" ca="1" si="66"/>
        <v>0</v>
      </c>
      <c r="R97" s="74">
        <f t="shared" ca="1" si="66"/>
        <v>0</v>
      </c>
      <c r="S97" s="74">
        <f t="shared" ca="1" si="66"/>
        <v>0</v>
      </c>
      <c r="T97" s="74">
        <f t="shared" ca="1" si="63"/>
        <v>0</v>
      </c>
      <c r="U97" s="74">
        <f t="shared" ca="1" si="64"/>
        <v>0</v>
      </c>
    </row>
    <row r="98" spans="1:21" ht="18.75" hidden="1" x14ac:dyDescent="0.25">
      <c r="A98" s="257"/>
      <c r="B98" s="258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3">
        <f t="shared" ref="L98:N98" ca="1" si="67">L99+L100</f>
        <v>0</v>
      </c>
      <c r="M98" s="74">
        <f t="shared" ca="1" si="67"/>
        <v>0</v>
      </c>
      <c r="N98" s="74">
        <f t="shared" ca="1" si="67"/>
        <v>0</v>
      </c>
      <c r="O98" s="74">
        <f t="shared" ca="1" si="60"/>
        <v>0</v>
      </c>
      <c r="P98" s="74">
        <f t="shared" ca="1" si="61"/>
        <v>0</v>
      </c>
      <c r="Q98" s="74">
        <f t="shared" ref="Q98:S98" ca="1" si="68">Q99+Q100</f>
        <v>0</v>
      </c>
      <c r="R98" s="74">
        <f t="shared" ca="1" si="68"/>
        <v>0</v>
      </c>
      <c r="S98" s="74">
        <f t="shared" ca="1" si="68"/>
        <v>0</v>
      </c>
      <c r="T98" s="74">
        <f t="shared" ca="1" si="63"/>
        <v>0</v>
      </c>
      <c r="U98" s="74">
        <f t="shared" ca="1" si="64"/>
        <v>0</v>
      </c>
    </row>
    <row r="99" spans="1:21" ht="18.75" hidden="1" x14ac:dyDescent="0.25">
      <c r="A99" s="257"/>
      <c r="B99" s="258"/>
      <c r="C99" s="258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77">
        <f t="shared" si="60"/>
        <v>0</v>
      </c>
      <c r="P99" s="77">
        <f t="shared" si="61"/>
        <v>0</v>
      </c>
      <c r="Q99" s="77">
        <v>0</v>
      </c>
      <c r="R99" s="77">
        <v>0</v>
      </c>
      <c r="S99" s="77">
        <v>0</v>
      </c>
      <c r="T99" s="77">
        <f t="shared" si="63"/>
        <v>0</v>
      </c>
      <c r="U99" s="77">
        <f t="shared" si="64"/>
        <v>0</v>
      </c>
    </row>
    <row r="100" spans="1:21" ht="18.75" hidden="1" x14ac:dyDescent="0.25">
      <c r="A100" s="257"/>
      <c r="B100" s="258"/>
      <c r="C100" s="258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3">
        <f ca="1">IFERROR(__xludf.DUMMYFUNCTION("IMPORTRANGE(""https://docs.google.com/spreadsheets/d/1-uDff_7J0KD5mKrp0Vvzr7lt3OU09vwQwhkpOPPYv2Y/edit?usp=sharing"",""งบพรบ!AW71"")"),0)</f>
        <v>0</v>
      </c>
      <c r="M100" s="74">
        <f ca="1">IFERROR(__xludf.DUMMYFUNCTION("IMPORTRANGE(""https://docs.google.com/spreadsheets/d/1-uDff_7J0KD5mKrp0Vvzr7lt3OU09vwQwhkpOPPYv2Y/edit?usp=sharing"",""งบพรบ!BB71"")"),0)</f>
        <v>0</v>
      </c>
      <c r="N100" s="74">
        <f ca="1">IFERROR(__xludf.DUMMYFUNCTION("IMPORTRANGE(""https://docs.google.com/spreadsheets/d/1-uDff_7J0KD5mKrp0Vvzr7lt3OU09vwQwhkpOPPYv2Y/edit?usp=sharing"",""งบพรบ!BD71"")"),0)</f>
        <v>0</v>
      </c>
      <c r="O100" s="74">
        <f t="shared" ca="1" si="60"/>
        <v>0</v>
      </c>
      <c r="P100" s="74">
        <f t="shared" ca="1" si="61"/>
        <v>0</v>
      </c>
      <c r="Q100" s="74">
        <f ca="1">IFERROR(__xludf.DUMMYFUNCTION("IMPORTRANGE(""https://docs.google.com/spreadsheets/d/1ItG2mGa2ceCfYo0BwxsXqNm01IGEUdYcSSLTEv9YCik/edit?usp=sharing"",""เบิกจ่ายกองทุน!AD71"")"),0)</f>
        <v>0</v>
      </c>
      <c r="R100" s="74">
        <f ca="1">IFERROR(__xludf.DUMMYFUNCTION("IMPORTRANGE(""https://docs.google.com/spreadsheets/d/1ItG2mGa2ceCfYo0BwxsXqNm01IGEUdYcSSLTEv9YCik/edit?usp=sharing"",""เบิกจ่ายกองทุน!AE71"")"),0)</f>
        <v>0</v>
      </c>
      <c r="S100" s="74">
        <f ca="1">IFERROR(__xludf.DUMMYFUNCTION("IMPORTRANGE(""https://docs.google.com/spreadsheets/d/1ItG2mGa2ceCfYo0BwxsXqNm01IGEUdYcSSLTEv9YCik/edit?usp=sharing"",""เบิกจ่ายกองทุน!AF71"")"),0)</f>
        <v>0</v>
      </c>
      <c r="T100" s="74">
        <f t="shared" ca="1" si="63"/>
        <v>0</v>
      </c>
      <c r="U100" s="74">
        <f t="shared" ca="1" si="64"/>
        <v>0</v>
      </c>
    </row>
    <row r="101" spans="1:21" ht="18.75" hidden="1" x14ac:dyDescent="0.25">
      <c r="A101" s="257"/>
      <c r="B101" s="258"/>
      <c r="C101" s="258"/>
      <c r="D101" s="270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3">
        <f t="shared" ref="L101:N101" ca="1" si="69">L102+L103</f>
        <v>0</v>
      </c>
      <c r="M101" s="74">
        <f t="shared" ca="1" si="69"/>
        <v>0</v>
      </c>
      <c r="N101" s="74">
        <f t="shared" ca="1" si="69"/>
        <v>0</v>
      </c>
      <c r="O101" s="74">
        <f t="shared" ca="1" si="60"/>
        <v>0</v>
      </c>
      <c r="P101" s="74">
        <f t="shared" ca="1" si="61"/>
        <v>0</v>
      </c>
      <c r="Q101" s="74">
        <f t="shared" ref="Q101:S101" si="70">Q102+Q103</f>
        <v>0</v>
      </c>
      <c r="R101" s="74">
        <f t="shared" si="70"/>
        <v>0</v>
      </c>
      <c r="S101" s="74">
        <f t="shared" si="70"/>
        <v>0</v>
      </c>
      <c r="T101" s="74">
        <f t="shared" si="63"/>
        <v>0</v>
      </c>
      <c r="U101" s="74">
        <f t="shared" si="64"/>
        <v>0</v>
      </c>
    </row>
    <row r="102" spans="1:21" ht="18.75" hidden="1" x14ac:dyDescent="0.25">
      <c r="A102" s="257"/>
      <c r="B102" s="258"/>
      <c r="C102" s="258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77">
        <f t="shared" si="60"/>
        <v>0</v>
      </c>
      <c r="P102" s="77">
        <f t="shared" si="61"/>
        <v>0</v>
      </c>
      <c r="Q102" s="77">
        <v>0</v>
      </c>
      <c r="R102" s="77">
        <v>0</v>
      </c>
      <c r="S102" s="77">
        <v>0</v>
      </c>
      <c r="T102" s="77">
        <f t="shared" si="63"/>
        <v>0</v>
      </c>
      <c r="U102" s="77">
        <f t="shared" si="64"/>
        <v>0</v>
      </c>
    </row>
    <row r="103" spans="1:21" ht="18.75" hidden="1" x14ac:dyDescent="0.25">
      <c r="A103" s="257"/>
      <c r="B103" s="258"/>
      <c r="C103" s="258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3">
        <f ca="1">IFERROR(__xludf.DUMMYFUNCTION("IMPORTRANGE(""https://docs.google.com/spreadsheets/d/1-uDff_7J0KD5mKrp0Vvzr7lt3OU09vwQwhkpOPPYv2Y/edit?usp=sharing"",""งบพรบ!AZ71"")"),0)</f>
        <v>0</v>
      </c>
      <c r="M103" s="74">
        <f ca="1">IFERROR(__xludf.DUMMYFUNCTION("IMPORTRANGE(""https://docs.google.com/spreadsheets/d/1-uDff_7J0KD5mKrp0Vvzr7lt3OU09vwQwhkpOPPYv2Y/edit?usp=sharing"",""งบพรบ!BC71"")"),0)</f>
        <v>0</v>
      </c>
      <c r="N103" s="74">
        <f ca="1">IFERROR(__xludf.DUMMYFUNCTION("IMPORTRANGE(""https://docs.google.com/spreadsheets/d/1-uDff_7J0KD5mKrp0Vvzr7lt3OU09vwQwhkpOPPYv2Y/edit?usp=sharing"",""งบพรบ!BE71"")"),0)</f>
        <v>0</v>
      </c>
      <c r="O103" s="74">
        <f t="shared" ca="1" si="60"/>
        <v>0</v>
      </c>
      <c r="P103" s="74">
        <f t="shared" ca="1" si="61"/>
        <v>0</v>
      </c>
      <c r="Q103" s="74">
        <v>0</v>
      </c>
      <c r="R103" s="74">
        <v>0</v>
      </c>
      <c r="S103" s="74">
        <v>0</v>
      </c>
      <c r="T103" s="74">
        <f t="shared" si="63"/>
        <v>0</v>
      </c>
      <c r="U103" s="74">
        <f t="shared" si="64"/>
        <v>0</v>
      </c>
    </row>
    <row r="104" spans="1:21" ht="19.5" hidden="1" x14ac:dyDescent="0.3">
      <c r="A104" s="276"/>
      <c r="B104" s="277"/>
      <c r="C104" s="259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hidden="1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IFERROR(__xludf.DUMMYFUNCTION("IMPORTRANGE(""https://docs.google.com/spreadsheets/d/1eHaY18a8A9IcSdp1K8H6x8fbOy06t2VsZHhMHf-1x7Y/edit?usp=sharing"",""แผน!N71"")"),0)</f>
        <v>0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hidden="1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IFERROR(__xludf.DUMMYFUNCTION("IMPORTRANGE(""https://docs.google.com/spreadsheets/d/1eHaY18a8A9IcSdp1K8H6x8fbOy06t2VsZHhMHf-1x7Y/edit?usp=sharing"",""แผน!O71"")"),0)</f>
        <v>0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5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2.75" hidden="1" x14ac:dyDescent="0.2">
      <c r="A114" s="283"/>
      <c r="B114" s="284"/>
      <c r="C114" s="284"/>
      <c r="D114" s="285"/>
      <c r="E114" s="285"/>
      <c r="F114" s="285"/>
      <c r="G114" s="286"/>
      <c r="H114" s="286"/>
      <c r="I114" s="287">
        <v>0</v>
      </c>
      <c r="J114" s="287">
        <v>0</v>
      </c>
      <c r="K114" s="30"/>
      <c r="L114" s="29"/>
      <c r="M114" s="30"/>
      <c r="N114" s="30"/>
      <c r="O114" s="30"/>
      <c r="P114" s="30"/>
      <c r="Q114" s="30"/>
      <c r="R114" s="30"/>
      <c r="S114" s="30"/>
      <c r="T114" s="30"/>
      <c r="U114" s="30"/>
    </row>
    <row r="115" spans="1:21" ht="18.75" hidden="1" x14ac:dyDescent="0.25">
      <c r="A115" s="276"/>
      <c r="B115" s="277"/>
      <c r="C115" s="277"/>
      <c r="D115" s="295" t="s">
        <v>50</v>
      </c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IFERROR(__xludf.DUMMYFUNCTION("IMPORTRANGE(""https://docs.google.com/spreadsheets/d/1eHaY18a8A9IcSdp1K8H6x8fbOy06t2VsZHhMHf-1x7Y/edit?usp=sharing"",""แผน!R71"")"),0)</f>
        <v>0</v>
      </c>
      <c r="J115" s="294">
        <v>0</v>
      </c>
      <c r="K115" s="74">
        <f ca="1">IF(I115&gt;0,J115*100/I115,0)</f>
        <v>0</v>
      </c>
      <c r="L115" s="86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243" t="s">
        <v>51</v>
      </c>
      <c r="B116" s="245"/>
      <c r="C116" s="300"/>
      <c r="D116" s="244"/>
      <c r="E116" s="244"/>
      <c r="F116" s="244"/>
      <c r="G116" s="244"/>
      <c r="H116" s="245"/>
      <c r="I116" s="301"/>
      <c r="J116" s="301"/>
      <c r="K116" s="302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50"/>
      <c r="B117" s="303" t="s">
        <v>52</v>
      </c>
      <c r="C117" s="304"/>
      <c r="D117" s="253"/>
      <c r="E117" s="252"/>
      <c r="F117" s="252"/>
      <c r="G117" s="254"/>
      <c r="H117" s="305" t="s">
        <v>35</v>
      </c>
      <c r="I117" s="256">
        <f t="shared" ref="I117:J117" ca="1" si="72">I128</f>
        <v>10</v>
      </c>
      <c r="J117" s="256">
        <f t="shared" si="72"/>
        <v>0</v>
      </c>
      <c r="K117" s="59">
        <f ca="1">IF(I117&gt;0,J117*100/I117,0)</f>
        <v>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69"/>
      <c r="C118" s="621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1257">
        <f t="shared" ref="L118:N118" ca="1" si="73">L119+L120</f>
        <v>0</v>
      </c>
      <c r="M118" s="264">
        <f t="shared" ca="1" si="73"/>
        <v>0</v>
      </c>
      <c r="N118" s="264">
        <f t="shared" ca="1" si="73"/>
        <v>0</v>
      </c>
      <c r="O118" s="264">
        <f t="shared" ref="O118:O126" ca="1" si="74">IF(L118&gt;0,N118*100/L118,0)</f>
        <v>0</v>
      </c>
      <c r="P118" s="264">
        <f t="shared" ref="P118:P126" ca="1" si="75">IF(M118&gt;0,N118*100/M118,0)</f>
        <v>0</v>
      </c>
      <c r="Q118" s="264">
        <f t="shared" ref="Q118:S118" ca="1" si="76">Q119+Q120</f>
        <v>173660</v>
      </c>
      <c r="R118" s="264">
        <f t="shared" ca="1" si="76"/>
        <v>173660</v>
      </c>
      <c r="S118" s="264">
        <f t="shared" ca="1" si="76"/>
        <v>9944.5</v>
      </c>
      <c r="T118" s="264">
        <f t="shared" ref="T118:T126" ca="1" si="77">IF(Q118&gt;0,S118*100/Q118,0)</f>
        <v>5.7264194402856159</v>
      </c>
      <c r="U118" s="264">
        <f t="shared" ref="U118:U126" ca="1" si="78">IF(R118&gt;0,S118*100/R118,0)</f>
        <v>5.7264194402856159</v>
      </c>
    </row>
    <row r="119" spans="1:21" ht="18.75" hidden="1" x14ac:dyDescent="0.25">
      <c r="A119" s="257"/>
      <c r="B119" s="269"/>
      <c r="C119" s="269"/>
      <c r="D119" s="269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6">
        <f t="shared" ref="L119:N120" si="79">L122+L125</f>
        <v>0</v>
      </c>
      <c r="M119" s="77">
        <f t="shared" si="79"/>
        <v>0</v>
      </c>
      <c r="N119" s="77">
        <f t="shared" si="79"/>
        <v>0</v>
      </c>
      <c r="O119" s="77">
        <f t="shared" si="74"/>
        <v>0</v>
      </c>
      <c r="P119" s="77">
        <f t="shared" si="75"/>
        <v>0</v>
      </c>
      <c r="Q119" s="77">
        <f t="shared" ref="Q119:S120" si="80">Q122+Q125</f>
        <v>0</v>
      </c>
      <c r="R119" s="77">
        <f t="shared" si="80"/>
        <v>0</v>
      </c>
      <c r="S119" s="77">
        <f t="shared" si="80"/>
        <v>0</v>
      </c>
      <c r="T119" s="77">
        <f t="shared" si="77"/>
        <v>0</v>
      </c>
      <c r="U119" s="77">
        <f t="shared" si="78"/>
        <v>0</v>
      </c>
    </row>
    <row r="120" spans="1:21" ht="18.75" hidden="1" x14ac:dyDescent="0.25">
      <c r="A120" s="257"/>
      <c r="B120" s="269"/>
      <c r="C120" s="269"/>
      <c r="D120" s="269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3">
        <f t="shared" ca="1" si="79"/>
        <v>0</v>
      </c>
      <c r="M120" s="74">
        <f t="shared" ca="1" si="79"/>
        <v>0</v>
      </c>
      <c r="N120" s="74">
        <f t="shared" ca="1" si="79"/>
        <v>0</v>
      </c>
      <c r="O120" s="74">
        <f t="shared" ca="1" si="74"/>
        <v>0</v>
      </c>
      <c r="P120" s="74">
        <f t="shared" ca="1" si="75"/>
        <v>0</v>
      </c>
      <c r="Q120" s="74">
        <f t="shared" ca="1" si="80"/>
        <v>173660</v>
      </c>
      <c r="R120" s="74">
        <f t="shared" ca="1" si="80"/>
        <v>173660</v>
      </c>
      <c r="S120" s="74">
        <f t="shared" ca="1" si="80"/>
        <v>9944.5</v>
      </c>
      <c r="T120" s="74">
        <f t="shared" ca="1" si="77"/>
        <v>5.7264194402856159</v>
      </c>
      <c r="U120" s="74">
        <f t="shared" ca="1" si="78"/>
        <v>5.7264194402856159</v>
      </c>
    </row>
    <row r="121" spans="1:21" ht="18.75" x14ac:dyDescent="0.25">
      <c r="A121" s="257"/>
      <c r="B121" s="269"/>
      <c r="C121" s="306"/>
      <c r="D121" s="967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3">
        <f t="shared" ref="L121:N121" ca="1" si="81">L122+L123</f>
        <v>0</v>
      </c>
      <c r="M121" s="74">
        <f t="shared" ca="1" si="81"/>
        <v>0</v>
      </c>
      <c r="N121" s="74">
        <f t="shared" ca="1" si="81"/>
        <v>0</v>
      </c>
      <c r="O121" s="74">
        <f t="shared" ca="1" si="74"/>
        <v>0</v>
      </c>
      <c r="P121" s="74">
        <f t="shared" ca="1" si="75"/>
        <v>0</v>
      </c>
      <c r="Q121" s="74">
        <f t="shared" ref="Q121:S121" ca="1" si="82">Q122+Q123</f>
        <v>173660</v>
      </c>
      <c r="R121" s="74">
        <f t="shared" ca="1" si="82"/>
        <v>173660</v>
      </c>
      <c r="S121" s="74">
        <f t="shared" ca="1" si="82"/>
        <v>9944.5</v>
      </c>
      <c r="T121" s="74">
        <f t="shared" ca="1" si="77"/>
        <v>5.7264194402856159</v>
      </c>
      <c r="U121" s="74">
        <f t="shared" ca="1" si="78"/>
        <v>5.7264194402856159</v>
      </c>
    </row>
    <row r="122" spans="1:21" ht="18.75" hidden="1" x14ac:dyDescent="0.25">
      <c r="A122" s="257"/>
      <c r="B122" s="269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77">
        <f t="shared" si="74"/>
        <v>0</v>
      </c>
      <c r="P122" s="77">
        <f t="shared" si="75"/>
        <v>0</v>
      </c>
      <c r="Q122" s="77">
        <v>0</v>
      </c>
      <c r="R122" s="77">
        <v>0</v>
      </c>
      <c r="S122" s="77">
        <v>0</v>
      </c>
      <c r="T122" s="77">
        <f t="shared" si="77"/>
        <v>0</v>
      </c>
      <c r="U122" s="77">
        <f t="shared" si="78"/>
        <v>0</v>
      </c>
    </row>
    <row r="123" spans="1:21" ht="18.75" hidden="1" x14ac:dyDescent="0.25">
      <c r="A123" s="257"/>
      <c r="B123" s="269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3">
        <f ca="1">IFERROR(__xludf.DUMMYFUNCTION("IMPORTRANGE(""https://docs.google.com/spreadsheets/d/1-uDff_7J0KD5mKrp0Vvzr7lt3OU09vwQwhkpOPPYv2Y/edit?usp=sharing"",""งบพรบ!BG71"")"),0)</f>
        <v>0</v>
      </c>
      <c r="M123" s="74">
        <f ca="1">IFERROR(__xludf.DUMMYFUNCTION("IMPORTRANGE(""https://docs.google.com/spreadsheets/d/1-uDff_7J0KD5mKrp0Vvzr7lt3OU09vwQwhkpOPPYv2Y/edit?usp=sharing"",""งบพรบ!BL71"")"),0)</f>
        <v>0</v>
      </c>
      <c r="N123" s="74">
        <f ca="1">IFERROR(__xludf.DUMMYFUNCTION("IMPORTRANGE(""https://docs.google.com/spreadsheets/d/1-uDff_7J0KD5mKrp0Vvzr7lt3OU09vwQwhkpOPPYv2Y/edit?usp=sharing"",""งบพรบ!BN71"")"),0)</f>
        <v>0</v>
      </c>
      <c r="O123" s="74">
        <f t="shared" ca="1" si="74"/>
        <v>0</v>
      </c>
      <c r="P123" s="74">
        <f t="shared" ca="1" si="75"/>
        <v>0</v>
      </c>
      <c r="Q123" s="74">
        <f ca="1">IFERROR(__xludf.DUMMYFUNCTION("IMPORTRANGE(""https://docs.google.com/spreadsheets/d/1ItG2mGa2ceCfYo0BwxsXqNm01IGEUdYcSSLTEv9YCik/edit?usp=sharing"",""เบิกจ่ายกองทุน!R71"")"),173660)</f>
        <v>173660</v>
      </c>
      <c r="R123" s="74">
        <f ca="1">IFERROR(__xludf.DUMMYFUNCTION("IMPORTRANGE(""https://docs.google.com/spreadsheets/d/1ItG2mGa2ceCfYo0BwxsXqNm01IGEUdYcSSLTEv9YCik/edit?usp=sharing"",""เบิกจ่ายกองทุน!S71"")"),173660)</f>
        <v>173660</v>
      </c>
      <c r="S123" s="74">
        <f ca="1">IFERROR(__xludf.DUMMYFUNCTION("IMPORTRANGE(""https://docs.google.com/spreadsheets/d/1ItG2mGa2ceCfYo0BwxsXqNm01IGEUdYcSSLTEv9YCik/edit?usp=sharing"",""เบิกจ่ายกองทุน!T71"")"),9944.5)</f>
        <v>9944.5</v>
      </c>
      <c r="T123" s="74">
        <f t="shared" ca="1" si="77"/>
        <v>5.7264194402856159</v>
      </c>
      <c r="U123" s="74">
        <f t="shared" ca="1" si="78"/>
        <v>5.7264194402856159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3">
        <f t="shared" ref="L124:N124" ca="1" si="83">L125+L126</f>
        <v>0</v>
      </c>
      <c r="M124" s="74">
        <f t="shared" ca="1" si="83"/>
        <v>0</v>
      </c>
      <c r="N124" s="74">
        <f t="shared" ca="1" si="83"/>
        <v>0</v>
      </c>
      <c r="O124" s="74">
        <f t="shared" ca="1" si="74"/>
        <v>0</v>
      </c>
      <c r="P124" s="74">
        <f t="shared" ca="1" si="75"/>
        <v>0</v>
      </c>
      <c r="Q124" s="74">
        <f t="shared" ref="Q124:S124" si="84">Q125+Q126</f>
        <v>0</v>
      </c>
      <c r="R124" s="74">
        <f t="shared" si="84"/>
        <v>0</v>
      </c>
      <c r="S124" s="74">
        <f t="shared" si="84"/>
        <v>0</v>
      </c>
      <c r="T124" s="74">
        <f t="shared" si="77"/>
        <v>0</v>
      </c>
      <c r="U124" s="74">
        <f t="shared" si="78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77">
        <f t="shared" si="74"/>
        <v>0</v>
      </c>
      <c r="P125" s="77">
        <f t="shared" si="75"/>
        <v>0</v>
      </c>
      <c r="Q125" s="77">
        <v>0</v>
      </c>
      <c r="R125" s="77">
        <v>0</v>
      </c>
      <c r="S125" s="77">
        <v>0</v>
      </c>
      <c r="T125" s="77">
        <f t="shared" si="77"/>
        <v>0</v>
      </c>
      <c r="U125" s="77">
        <f t="shared" si="78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3">
        <f ca="1">IFERROR(__xludf.DUMMYFUNCTION("IMPORTRANGE(""https://docs.google.com/spreadsheets/d/1-uDff_7J0KD5mKrp0Vvzr7lt3OU09vwQwhkpOPPYv2Y/edit?usp=sharing"",""งบพรบ!BJ71"")"),0)</f>
        <v>0</v>
      </c>
      <c r="M126" s="74">
        <f ca="1">IFERROR(__xludf.DUMMYFUNCTION("IMPORTRANGE(""https://docs.google.com/spreadsheets/d/1-uDff_7J0KD5mKrp0Vvzr7lt3OU09vwQwhkpOPPYv2Y/edit?usp=sharing"",""งบพรบ!BM71"")"),0)</f>
        <v>0</v>
      </c>
      <c r="N126" s="74">
        <f ca="1">IFERROR(__xludf.DUMMYFUNCTION("IMPORTRANGE(""https://docs.google.com/spreadsheets/d/1-uDff_7J0KD5mKrp0Vvzr7lt3OU09vwQwhkpOPPYv2Y/edit?usp=sharing"",""งบพรบ!BO71"")"),0)</f>
        <v>0</v>
      </c>
      <c r="O126" s="74">
        <f t="shared" ca="1" si="74"/>
        <v>0</v>
      </c>
      <c r="P126" s="74">
        <f t="shared" ca="1" si="75"/>
        <v>0</v>
      </c>
      <c r="Q126" s="74">
        <v>0</v>
      </c>
      <c r="R126" s="74">
        <v>0</v>
      </c>
      <c r="S126" s="74">
        <v>0</v>
      </c>
      <c r="T126" s="74">
        <f t="shared" si="77"/>
        <v>0</v>
      </c>
      <c r="U126" s="74">
        <f t="shared" si="78"/>
        <v>0</v>
      </c>
    </row>
    <row r="127" spans="1:21" ht="19.5" x14ac:dyDescent="0.3">
      <c r="A127" s="276"/>
      <c r="B127" s="277"/>
      <c r="C127" s="309" t="s">
        <v>18</v>
      </c>
      <c r="D127" s="1019" t="s">
        <v>38</v>
      </c>
      <c r="E127" s="280"/>
      <c r="F127" s="280"/>
      <c r="G127" s="281"/>
      <c r="H127" s="310"/>
      <c r="I127" s="263"/>
      <c r="J127" s="263"/>
      <c r="K127" s="87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IFERROR(__xludf.DUMMYFUNCTION("IMPORTRANGE(""https://docs.google.com/spreadsheets/d/1eHaY18a8A9IcSdp1K8H6x8fbOy06t2VsZHhMHf-1x7Y/edit?usp=sharing"",""แผน!FF71"")"),10)</f>
        <v>10</v>
      </c>
      <c r="J128" s="294">
        <v>0</v>
      </c>
      <c r="K128" s="74">
        <f t="shared" ref="K128:K131" ca="1" si="85">IF(I128&gt;0,J128*100/I128,0)</f>
        <v>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IFERROR(__xludf.DUMMYFUNCTION("IMPORTRANGE(""https://docs.google.com/spreadsheets/d/1eHaY18a8A9IcSdp1K8H6x8fbOy06t2VsZHhMHf-1x7Y/edit?usp=sharing"",""แผน!FG71"")"),0)</f>
        <v>0</v>
      </c>
      <c r="J129" s="294">
        <v>0</v>
      </c>
      <c r="K129" s="74">
        <f t="shared" ca="1" si="85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29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IFERROR(__xludf.DUMMYFUNCTION("IMPORTRANGE(""https://docs.google.com/spreadsheets/d/1eHaY18a8A9IcSdp1K8H6x8fbOy06t2VsZHhMHf-1x7Y/edit?usp=sharing"",""แผน!FH71"")"),10)</f>
        <v>10</v>
      </c>
      <c r="J130" s="294">
        <v>0</v>
      </c>
      <c r="K130" s="74">
        <f t="shared" ca="1" si="85"/>
        <v>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96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IFERROR(__xludf.DUMMYFUNCTION("IMPORTRANGE(""https://docs.google.com/spreadsheets/d/1eHaY18a8A9IcSdp1K8H6x8fbOy06t2VsZHhMHf-1x7Y/edit?usp=sharing"",""แผน!FI71"")"),0)</f>
        <v>0</v>
      </c>
      <c r="J131" s="294">
        <v>0</v>
      </c>
      <c r="K131" s="74">
        <f t="shared" ca="1" si="85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311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311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hidden="1" x14ac:dyDescent="0.3">
      <c r="A135" s="1099" t="s">
        <v>58</v>
      </c>
      <c r="B135" s="691"/>
      <c r="C135" s="692"/>
      <c r="D135" s="691"/>
      <c r="E135" s="691"/>
      <c r="F135" s="691"/>
      <c r="G135" s="691"/>
      <c r="H135" s="691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hidden="1" x14ac:dyDescent="0.3">
      <c r="A136" s="250"/>
      <c r="B136" s="251" t="s">
        <v>59</v>
      </c>
      <c r="C136" s="304"/>
      <c r="D136" s="253"/>
      <c r="E136" s="252"/>
      <c r="F136" s="252"/>
      <c r="G136" s="252"/>
      <c r="H136" s="252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hidden="1" x14ac:dyDescent="0.3">
      <c r="A137" s="250"/>
      <c r="B137" s="252"/>
      <c r="C137" s="1112" t="s">
        <v>60</v>
      </c>
      <c r="D137" s="253"/>
      <c r="E137" s="252"/>
      <c r="F137" s="252"/>
      <c r="G137" s="254"/>
      <c r="H137" s="1296" t="s">
        <v>61</v>
      </c>
      <c r="I137" s="256">
        <f t="shared" ref="I137:J137" ca="1" si="86">I155</f>
        <v>0</v>
      </c>
      <c r="J137" s="256">
        <f t="shared" si="86"/>
        <v>0</v>
      </c>
      <c r="K137" s="59">
        <f t="shared" ref="K137:K139" ca="1" si="87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hidden="1" x14ac:dyDescent="0.3">
      <c r="A138" s="250"/>
      <c r="B138" s="252"/>
      <c r="C138" s="1112" t="s">
        <v>62</v>
      </c>
      <c r="D138" s="253"/>
      <c r="E138" s="252"/>
      <c r="F138" s="252"/>
      <c r="G138" s="254"/>
      <c r="H138" s="1296" t="s">
        <v>35</v>
      </c>
      <c r="I138" s="256">
        <f t="shared" ref="I138:J139" ca="1" si="88">I153</f>
        <v>0</v>
      </c>
      <c r="J138" s="256">
        <f t="shared" si="88"/>
        <v>0</v>
      </c>
      <c r="K138" s="59">
        <f t="shared" ca="1" si="87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hidden="1" x14ac:dyDescent="0.3">
      <c r="A139" s="250"/>
      <c r="B139" s="252"/>
      <c r="C139" s="304"/>
      <c r="D139" s="253"/>
      <c r="E139" s="252"/>
      <c r="F139" s="252"/>
      <c r="G139" s="254"/>
      <c r="H139" s="1296" t="s">
        <v>54</v>
      </c>
      <c r="I139" s="256">
        <f t="shared" ca="1" si="88"/>
        <v>0</v>
      </c>
      <c r="J139" s="256">
        <f t="shared" si="88"/>
        <v>0</v>
      </c>
      <c r="K139" s="59">
        <f t="shared" ca="1" si="87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hidden="1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1257">
        <f t="shared" ref="L140:N140" ca="1" si="89">L141+L142</f>
        <v>0</v>
      </c>
      <c r="M140" s="264">
        <f t="shared" ca="1" si="89"/>
        <v>0</v>
      </c>
      <c r="N140" s="264">
        <f t="shared" ca="1" si="89"/>
        <v>0</v>
      </c>
      <c r="O140" s="264">
        <f t="shared" ref="O140:O148" ca="1" si="90">IF(L140&gt;0,N140*100/L140,0)</f>
        <v>0</v>
      </c>
      <c r="P140" s="264">
        <f t="shared" ref="P140:P148" ca="1" si="91">IF(M140&gt;0,N140*100/M140,0)</f>
        <v>0</v>
      </c>
      <c r="Q140" s="264">
        <f t="shared" ref="Q140:S140" ca="1" si="92">Q141+Q142</f>
        <v>0</v>
      </c>
      <c r="R140" s="264">
        <f t="shared" ca="1" si="92"/>
        <v>0</v>
      </c>
      <c r="S140" s="264">
        <f t="shared" ca="1" si="92"/>
        <v>0</v>
      </c>
      <c r="T140" s="264">
        <f t="shared" ref="T140:T148" ca="1" si="93">IF(Q140&gt;0,S140*100/Q140,0)</f>
        <v>0</v>
      </c>
      <c r="U140" s="264">
        <f t="shared" ref="U140:U148" ca="1" si="94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6">
        <f t="shared" ref="L141:N142" si="95">L144+L147</f>
        <v>0</v>
      </c>
      <c r="M141" s="77">
        <f t="shared" si="95"/>
        <v>0</v>
      </c>
      <c r="N141" s="77">
        <f t="shared" si="95"/>
        <v>0</v>
      </c>
      <c r="O141" s="77">
        <f t="shared" si="90"/>
        <v>0</v>
      </c>
      <c r="P141" s="77">
        <f t="shared" si="91"/>
        <v>0</v>
      </c>
      <c r="Q141" s="77">
        <f t="shared" ref="Q141:S142" si="96">Q144+Q147</f>
        <v>0</v>
      </c>
      <c r="R141" s="77">
        <f t="shared" si="96"/>
        <v>0</v>
      </c>
      <c r="S141" s="77">
        <f t="shared" si="96"/>
        <v>0</v>
      </c>
      <c r="T141" s="77">
        <f t="shared" si="93"/>
        <v>0</v>
      </c>
      <c r="U141" s="77">
        <f t="shared" si="94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3">
        <f t="shared" ca="1" si="95"/>
        <v>0</v>
      </c>
      <c r="M142" s="74">
        <f t="shared" ca="1" si="95"/>
        <v>0</v>
      </c>
      <c r="N142" s="74">
        <f t="shared" ca="1" si="95"/>
        <v>0</v>
      </c>
      <c r="O142" s="74">
        <f t="shared" ca="1" si="90"/>
        <v>0</v>
      </c>
      <c r="P142" s="74">
        <f t="shared" ca="1" si="91"/>
        <v>0</v>
      </c>
      <c r="Q142" s="74">
        <f t="shared" ca="1" si="96"/>
        <v>0</v>
      </c>
      <c r="R142" s="74">
        <f t="shared" ca="1" si="96"/>
        <v>0</v>
      </c>
      <c r="S142" s="74">
        <f t="shared" ca="1" si="96"/>
        <v>0</v>
      </c>
      <c r="T142" s="74">
        <f t="shared" ca="1" si="93"/>
        <v>0</v>
      </c>
      <c r="U142" s="74">
        <f t="shared" ca="1" si="94"/>
        <v>0</v>
      </c>
    </row>
    <row r="143" spans="1:21" ht="18.75" hidden="1" x14ac:dyDescent="0.25">
      <c r="A143" s="257"/>
      <c r="B143" s="258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3">
        <f t="shared" ref="L143:N143" ca="1" si="97">L144+L145</f>
        <v>0</v>
      </c>
      <c r="M143" s="74">
        <f t="shared" ca="1" si="97"/>
        <v>0</v>
      </c>
      <c r="N143" s="74">
        <f t="shared" ca="1" si="97"/>
        <v>0</v>
      </c>
      <c r="O143" s="74">
        <f t="shared" ca="1" si="90"/>
        <v>0</v>
      </c>
      <c r="P143" s="74">
        <f t="shared" ca="1" si="91"/>
        <v>0</v>
      </c>
      <c r="Q143" s="74">
        <f t="shared" ref="Q143:S143" ca="1" si="98">Q144+Q145</f>
        <v>0</v>
      </c>
      <c r="R143" s="74">
        <f t="shared" ca="1" si="98"/>
        <v>0</v>
      </c>
      <c r="S143" s="74">
        <f t="shared" ca="1" si="98"/>
        <v>0</v>
      </c>
      <c r="T143" s="74">
        <f t="shared" ca="1" si="93"/>
        <v>0</v>
      </c>
      <c r="U143" s="74">
        <f t="shared" ca="1" si="94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77">
        <f t="shared" si="90"/>
        <v>0</v>
      </c>
      <c r="P144" s="77">
        <f t="shared" si="91"/>
        <v>0</v>
      </c>
      <c r="Q144" s="77">
        <v>0</v>
      </c>
      <c r="R144" s="77">
        <v>0</v>
      </c>
      <c r="S144" s="77">
        <v>0</v>
      </c>
      <c r="T144" s="77">
        <f t="shared" si="93"/>
        <v>0</v>
      </c>
      <c r="U144" s="77">
        <f t="shared" si="94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3">
        <f ca="1">IFERROR(__xludf.DUMMYFUNCTION("IMPORTRANGE(""https://docs.google.com/spreadsheets/d/1-uDff_7J0KD5mKrp0Vvzr7lt3OU09vwQwhkpOPPYv2Y/edit?usp=sharing"",""งบพรบ!BQ71"")"),0)</f>
        <v>0</v>
      </c>
      <c r="M145" s="74">
        <f ca="1">IFERROR(__xludf.DUMMYFUNCTION("IMPORTRANGE(""https://docs.google.com/spreadsheets/d/1-uDff_7J0KD5mKrp0Vvzr7lt3OU09vwQwhkpOPPYv2Y/edit?usp=sharing"",""งบพรบ!BV71"")"),0)</f>
        <v>0</v>
      </c>
      <c r="N145" s="74">
        <f ca="1">IFERROR(__xludf.DUMMYFUNCTION("IMPORTRANGE(""https://docs.google.com/spreadsheets/d/1-uDff_7J0KD5mKrp0Vvzr7lt3OU09vwQwhkpOPPYv2Y/edit?usp=sharing"",""งบพรบ!BX71"")"),0)</f>
        <v>0</v>
      </c>
      <c r="O145" s="74">
        <f t="shared" ca="1" si="90"/>
        <v>0</v>
      </c>
      <c r="P145" s="74">
        <f t="shared" ca="1" si="91"/>
        <v>0</v>
      </c>
      <c r="Q145" s="74">
        <f ca="1">IFERROR(__xludf.DUMMYFUNCTION("IMPORTRANGE(""https://docs.google.com/spreadsheets/d/1ItG2mGa2ceCfYo0BwxsXqNm01IGEUdYcSSLTEv9YCik/edit?usp=sharing"",""เบิกจ่ายกองทุน!BB71"")"),0)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IFERROR(__xludf.DUMMYFUNCTION("IMPORTRANGE(""https://docs.google.com/spreadsheets/d/1ItG2mGa2ceCfYo0BwxsXqNm01IGEUdYcSSLTEv9YCik/edit?usp=sharing"",""เบิกจ่ายกองทุน!BC71"")"),0)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IFERROR(__xludf.DUMMYFUNCTION("IMPORTRANGE(""https://docs.google.com/spreadsheets/d/1ItG2mGa2ceCfYo0BwxsXqNm01IGEUdYcSSLTEv9YCik/edit?usp=sharing"",""เบิกจ่ายกองทุน!BD71"")"),0)</f>
        <v>0</v>
      </c>
      <c r="T145" s="74">
        <f t="shared" ca="1" si="93"/>
        <v>0</v>
      </c>
      <c r="U145" s="74">
        <f t="shared" ca="1" si="94"/>
        <v>0</v>
      </c>
    </row>
    <row r="146" spans="1:21" ht="18.75" hidden="1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3">
        <f t="shared" ref="L146:N146" ca="1" si="99">L147+L148</f>
        <v>0</v>
      </c>
      <c r="M146" s="74">
        <f t="shared" ca="1" si="99"/>
        <v>0</v>
      </c>
      <c r="N146" s="74">
        <f t="shared" ca="1" si="99"/>
        <v>0</v>
      </c>
      <c r="O146" s="74">
        <f t="shared" ca="1" si="90"/>
        <v>0</v>
      </c>
      <c r="P146" s="74">
        <f t="shared" ca="1" si="91"/>
        <v>0</v>
      </c>
      <c r="Q146" s="74">
        <f t="shared" ref="Q146:S146" si="100">Q147+Q148</f>
        <v>0</v>
      </c>
      <c r="R146" s="74">
        <f t="shared" si="100"/>
        <v>0</v>
      </c>
      <c r="S146" s="74">
        <f t="shared" si="100"/>
        <v>0</v>
      </c>
      <c r="T146" s="74">
        <f t="shared" si="93"/>
        <v>0</v>
      </c>
      <c r="U146" s="74">
        <f t="shared" si="94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77">
        <f t="shared" si="90"/>
        <v>0</v>
      </c>
      <c r="P147" s="77">
        <f t="shared" si="91"/>
        <v>0</v>
      </c>
      <c r="Q147" s="77">
        <v>0</v>
      </c>
      <c r="R147" s="77">
        <v>0</v>
      </c>
      <c r="S147" s="77">
        <v>0</v>
      </c>
      <c r="T147" s="77">
        <f t="shared" si="93"/>
        <v>0</v>
      </c>
      <c r="U147" s="77">
        <f t="shared" si="94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3">
        <f ca="1">IFERROR(__xludf.DUMMYFUNCTION("IMPORTRANGE(""https://docs.google.com/spreadsheets/d/1-uDff_7J0KD5mKrp0Vvzr7lt3OU09vwQwhkpOPPYv2Y/edit?usp=sharing"",""งบพรบ!BT71"")"),0)</f>
        <v>0</v>
      </c>
      <c r="M148" s="74">
        <f ca="1">IFERROR(__xludf.DUMMYFUNCTION("IMPORTRANGE(""https://docs.google.com/spreadsheets/d/1-uDff_7J0KD5mKrp0Vvzr7lt3OU09vwQwhkpOPPYv2Y/edit?usp=sharing"",""งบพรบ!BW71"")"),0)</f>
        <v>0</v>
      </c>
      <c r="N148" s="74">
        <f ca="1">IFERROR(__xludf.DUMMYFUNCTION("IMPORTRANGE(""https://docs.google.com/spreadsheets/d/1-uDff_7J0KD5mKrp0Vvzr7lt3OU09vwQwhkpOPPYv2Y/edit?usp=sharing"",""งบพรบ!BY71"")"),0)</f>
        <v>0</v>
      </c>
      <c r="O148" s="74">
        <f t="shared" ca="1" si="90"/>
        <v>0</v>
      </c>
      <c r="P148" s="74">
        <f t="shared" ca="1" si="91"/>
        <v>0</v>
      </c>
      <c r="Q148" s="74">
        <v>0</v>
      </c>
      <c r="R148" s="74">
        <v>0</v>
      </c>
      <c r="S148" s="74">
        <v>0</v>
      </c>
      <c r="T148" s="74">
        <f t="shared" si="93"/>
        <v>0</v>
      </c>
      <c r="U148" s="74">
        <f t="shared" si="94"/>
        <v>0</v>
      </c>
    </row>
    <row r="149" spans="1:21" ht="19.5" hidden="1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hidden="1" x14ac:dyDescent="0.25">
      <c r="A150" s="257"/>
      <c r="B150" s="258"/>
      <c r="C150" s="258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hidden="1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IFERROR(__xludf.DUMMYFUNCTION("IMPORTRANGE(""https://docs.google.com/spreadsheets/d/1eHaY18a8A9IcSdp1K8H6x8fbOy06t2VsZHhMHf-1x7Y/edit?usp=sharing"",""แผน!U71"")"),0)</f>
        <v>0</v>
      </c>
      <c r="J151" s="294">
        <v>0</v>
      </c>
      <c r="K151" s="74">
        <f t="shared" ref="K151:K155" ca="1" si="101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hidden="1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IFERROR(__xludf.DUMMYFUNCTION("IMPORTRANGE(""https://docs.google.com/spreadsheets/d/1eHaY18a8A9IcSdp1K8H6x8fbOy06t2VsZHhMHf-1x7Y/edit?usp=sharing"",""แผน!V71"")"),0)</f>
        <v>0</v>
      </c>
      <c r="J152" s="294">
        <v>0</v>
      </c>
      <c r="K152" s="74">
        <f t="shared" ca="1" si="101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hidden="1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IFERROR(__xludf.DUMMYFUNCTION("IMPORTRANGE(""https://docs.google.com/spreadsheets/d/1eHaY18a8A9IcSdp1K8H6x8fbOy06t2VsZHhMHf-1x7Y/edit?usp=sharing"",""แผน!W71"")"),0)</f>
        <v>0</v>
      </c>
      <c r="J153" s="294">
        <v>0</v>
      </c>
      <c r="K153" s="74">
        <f t="shared" ca="1" si="101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hidden="1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IFERROR(__xludf.DUMMYFUNCTION("IMPORTRANGE(""https://docs.google.com/spreadsheets/d/1eHaY18a8A9IcSdp1K8H6x8fbOy06t2VsZHhMHf-1x7Y/edit?usp=sharing"",""แผน!X71"")"),0)</f>
        <v>0</v>
      </c>
      <c r="J154" s="294">
        <v>0</v>
      </c>
      <c r="K154" s="74">
        <f t="shared" ca="1" si="101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hidden="1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IFERROR(__xludf.DUMMYFUNCTION("IMPORTRANGE(""https://docs.google.com/spreadsheets/d/1eHaY18a8A9IcSdp1K8H6x8fbOy06t2VsZHhMHf-1x7Y/edit?usp=sharing"",""แผน!Y71"")"),0)</f>
        <v>0</v>
      </c>
      <c r="J155" s="294">
        <v>0</v>
      </c>
      <c r="K155" s="74">
        <f t="shared" ca="1" si="101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hidden="1" x14ac:dyDescent="0.3">
      <c r="A156" s="1099" t="s">
        <v>67</v>
      </c>
      <c r="B156" s="691"/>
      <c r="C156" s="692"/>
      <c r="D156" s="691"/>
      <c r="E156" s="691"/>
      <c r="F156" s="691"/>
      <c r="G156" s="691"/>
      <c r="H156" s="691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hidden="1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2">I170</f>
        <v>0</v>
      </c>
      <c r="J157" s="256">
        <f t="shared" si="102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hidden="1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1257">
        <f t="shared" ref="L158:N158" ca="1" si="103">L159+L160</f>
        <v>0</v>
      </c>
      <c r="M158" s="264">
        <f t="shared" ca="1" si="103"/>
        <v>0</v>
      </c>
      <c r="N158" s="264">
        <f t="shared" ca="1" si="103"/>
        <v>0</v>
      </c>
      <c r="O158" s="264">
        <f t="shared" ref="O158:O166" ca="1" si="104">IF(L158&gt;0,N158*100/L158,0)</f>
        <v>0</v>
      </c>
      <c r="P158" s="264">
        <f t="shared" ref="P158:P166" ca="1" si="105">IF(M158&gt;0,N158*100/M158,0)</f>
        <v>0</v>
      </c>
      <c r="Q158" s="264">
        <f t="shared" ref="Q158:S158" ca="1" si="106">Q159+Q160</f>
        <v>0</v>
      </c>
      <c r="R158" s="264">
        <f t="shared" ca="1" si="106"/>
        <v>0</v>
      </c>
      <c r="S158" s="264">
        <f t="shared" ca="1" si="106"/>
        <v>0</v>
      </c>
      <c r="T158" s="264">
        <f t="shared" ref="T158:T166" ca="1" si="107">IF(Q158&gt;0,S158*100/Q158,0)</f>
        <v>0</v>
      </c>
      <c r="U158" s="264">
        <f t="shared" ref="U158:U166" ca="1" si="108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6">
        <f t="shared" ref="L159:N160" si="109">L162+L165</f>
        <v>0</v>
      </c>
      <c r="M159" s="77">
        <f t="shared" si="109"/>
        <v>0</v>
      </c>
      <c r="N159" s="77">
        <f t="shared" si="109"/>
        <v>0</v>
      </c>
      <c r="O159" s="77">
        <f t="shared" si="104"/>
        <v>0</v>
      </c>
      <c r="P159" s="77">
        <f t="shared" si="105"/>
        <v>0</v>
      </c>
      <c r="Q159" s="77">
        <f t="shared" ref="Q159:S160" si="110">Q162+Q165</f>
        <v>0</v>
      </c>
      <c r="R159" s="77">
        <f t="shared" si="110"/>
        <v>0</v>
      </c>
      <c r="S159" s="77">
        <f t="shared" si="110"/>
        <v>0</v>
      </c>
      <c r="T159" s="77">
        <f t="shared" si="107"/>
        <v>0</v>
      </c>
      <c r="U159" s="77">
        <f t="shared" si="108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3">
        <f t="shared" ca="1" si="109"/>
        <v>0</v>
      </c>
      <c r="M160" s="74">
        <f t="shared" ca="1" si="109"/>
        <v>0</v>
      </c>
      <c r="N160" s="74">
        <f t="shared" ca="1" si="109"/>
        <v>0</v>
      </c>
      <c r="O160" s="74">
        <f t="shared" ca="1" si="104"/>
        <v>0</v>
      </c>
      <c r="P160" s="74">
        <f t="shared" ca="1" si="105"/>
        <v>0</v>
      </c>
      <c r="Q160" s="74">
        <f t="shared" ca="1" si="110"/>
        <v>0</v>
      </c>
      <c r="R160" s="74">
        <f t="shared" ca="1" si="110"/>
        <v>0</v>
      </c>
      <c r="S160" s="74">
        <f t="shared" ca="1" si="110"/>
        <v>0</v>
      </c>
      <c r="T160" s="74">
        <f t="shared" ca="1" si="107"/>
        <v>0</v>
      </c>
      <c r="U160" s="74">
        <f t="shared" ca="1" si="108"/>
        <v>0</v>
      </c>
    </row>
    <row r="161" spans="1:21" ht="18.75" hidden="1" x14ac:dyDescent="0.25">
      <c r="A161" s="257"/>
      <c r="B161" s="258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3">
        <f t="shared" ref="L161:N161" ca="1" si="111">L162+L163</f>
        <v>0</v>
      </c>
      <c r="M161" s="74">
        <f t="shared" ca="1" si="111"/>
        <v>0</v>
      </c>
      <c r="N161" s="74">
        <f t="shared" ca="1" si="111"/>
        <v>0</v>
      </c>
      <c r="O161" s="74">
        <f t="shared" ca="1" si="104"/>
        <v>0</v>
      </c>
      <c r="P161" s="74">
        <f t="shared" ca="1" si="105"/>
        <v>0</v>
      </c>
      <c r="Q161" s="74">
        <f t="shared" ref="Q161:S161" ca="1" si="112">Q162+Q163</f>
        <v>0</v>
      </c>
      <c r="R161" s="74">
        <f t="shared" ca="1" si="112"/>
        <v>0</v>
      </c>
      <c r="S161" s="74">
        <f t="shared" ca="1" si="112"/>
        <v>0</v>
      </c>
      <c r="T161" s="74">
        <f t="shared" ca="1" si="107"/>
        <v>0</v>
      </c>
      <c r="U161" s="74">
        <f t="shared" ca="1" si="108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77">
        <f t="shared" si="104"/>
        <v>0</v>
      </c>
      <c r="P162" s="77">
        <f t="shared" si="105"/>
        <v>0</v>
      </c>
      <c r="Q162" s="77">
        <v>0</v>
      </c>
      <c r="R162" s="77">
        <v>0</v>
      </c>
      <c r="S162" s="77">
        <v>0</v>
      </c>
      <c r="T162" s="77">
        <f t="shared" si="107"/>
        <v>0</v>
      </c>
      <c r="U162" s="77">
        <f t="shared" si="108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3">
        <f ca="1">IFERROR(__xludf.DUMMYFUNCTION("IMPORTRANGE(""https://docs.google.com/spreadsheets/d/1-uDff_7J0KD5mKrp0Vvzr7lt3OU09vwQwhkpOPPYv2Y/edit?usp=sharing"",""งบพรบ!CA71"")"),0)</f>
        <v>0</v>
      </c>
      <c r="M163" s="74">
        <f ca="1">IFERROR(__xludf.DUMMYFUNCTION("IMPORTRANGE(""https://docs.google.com/spreadsheets/d/1-uDff_7J0KD5mKrp0Vvzr7lt3OU09vwQwhkpOPPYv2Y/edit?usp=sharing"",""งบพรบ!CF71"")"),0)</f>
        <v>0</v>
      </c>
      <c r="N163" s="74">
        <f ca="1">IFERROR(__xludf.DUMMYFUNCTION("IMPORTRANGE(""https://docs.google.com/spreadsheets/d/1-uDff_7J0KD5mKrp0Vvzr7lt3OU09vwQwhkpOPPYv2Y/edit?usp=sharing"",""งบพรบ!CH71"")"),0)</f>
        <v>0</v>
      </c>
      <c r="O163" s="74">
        <f t="shared" ca="1" si="104"/>
        <v>0</v>
      </c>
      <c r="P163" s="74">
        <f t="shared" ca="1" si="105"/>
        <v>0</v>
      </c>
      <c r="Q163" s="74">
        <f ca="1">IFERROR(__xludf.DUMMYFUNCTION("IMPORTRANGE(""https://docs.google.com/spreadsheets/d/1ItG2mGa2ceCfYo0BwxsXqNm01IGEUdYcSSLTEv9YCik/edit?usp=sharing"",""เบิกจ่ายกองทุน!AG71"")"),0)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IFERROR(__xludf.DUMMYFUNCTION("IMPORTRANGE(""https://docs.google.com/spreadsheets/d/1ItG2mGa2ceCfYo0BwxsXqNm01IGEUdYcSSLTEv9YCik/edit?usp=sharing"",""เบิกจ่ายกองทุน!AH71"")"),0)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IFERROR(__xludf.DUMMYFUNCTION("IMPORTRANGE(""https://docs.google.com/spreadsheets/d/1ItG2mGa2ceCfYo0BwxsXqNm01IGEUdYcSSLTEv9YCik/edit?usp=sharing"",""เบิกจ่ายกองทุน!AI71"")"),0)</f>
        <v>0</v>
      </c>
      <c r="T163" s="74">
        <f t="shared" ca="1" si="107"/>
        <v>0</v>
      </c>
      <c r="U163" s="74">
        <f t="shared" ca="1" si="108"/>
        <v>0</v>
      </c>
    </row>
    <row r="164" spans="1:21" ht="18.75" hidden="1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3">
        <f t="shared" ref="L164:N164" ca="1" si="113">L165+L166</f>
        <v>0</v>
      </c>
      <c r="M164" s="74">
        <f t="shared" ca="1" si="113"/>
        <v>0</v>
      </c>
      <c r="N164" s="74">
        <f t="shared" ca="1" si="113"/>
        <v>0</v>
      </c>
      <c r="O164" s="74">
        <f t="shared" ca="1" si="104"/>
        <v>0</v>
      </c>
      <c r="P164" s="74">
        <f t="shared" ca="1" si="105"/>
        <v>0</v>
      </c>
      <c r="Q164" s="74">
        <f t="shared" ref="Q164:S164" si="114">Q165+Q166</f>
        <v>0</v>
      </c>
      <c r="R164" s="74">
        <f t="shared" si="114"/>
        <v>0</v>
      </c>
      <c r="S164" s="74">
        <f t="shared" si="114"/>
        <v>0</v>
      </c>
      <c r="T164" s="74">
        <f t="shared" si="107"/>
        <v>0</v>
      </c>
      <c r="U164" s="74">
        <f t="shared" si="108"/>
        <v>0</v>
      </c>
    </row>
    <row r="165" spans="1:21" ht="18.75" hidden="1" x14ac:dyDescent="0.25">
      <c r="A165" s="257"/>
      <c r="B165" s="258"/>
      <c r="C165" s="258"/>
      <c r="D165" s="258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77">
        <f t="shared" si="104"/>
        <v>0</v>
      </c>
      <c r="P165" s="77">
        <f t="shared" si="105"/>
        <v>0</v>
      </c>
      <c r="Q165" s="77">
        <v>0</v>
      </c>
      <c r="R165" s="77">
        <v>0</v>
      </c>
      <c r="S165" s="77">
        <v>0</v>
      </c>
      <c r="T165" s="77">
        <f t="shared" si="107"/>
        <v>0</v>
      </c>
      <c r="U165" s="77">
        <f t="shared" si="108"/>
        <v>0</v>
      </c>
    </row>
    <row r="166" spans="1:21" ht="18.75" hidden="1" x14ac:dyDescent="0.25">
      <c r="A166" s="257"/>
      <c r="B166" s="258"/>
      <c r="C166" s="258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3">
        <f ca="1">IFERROR(__xludf.DUMMYFUNCTION("IMPORTRANGE(""https://docs.google.com/spreadsheets/d/1-uDff_7J0KD5mKrp0Vvzr7lt3OU09vwQwhkpOPPYv2Y/edit?usp=sharing"",""งบพรบ!CD71"")"),0)</f>
        <v>0</v>
      </c>
      <c r="M166" s="74">
        <f ca="1">IFERROR(__xludf.DUMMYFUNCTION("IMPORTRANGE(""https://docs.google.com/spreadsheets/d/1-uDff_7J0KD5mKrp0Vvzr7lt3OU09vwQwhkpOPPYv2Y/edit?usp=sharing"",""งบพรบ!CG71"")"),0)</f>
        <v>0</v>
      </c>
      <c r="N166" s="74">
        <f ca="1">IFERROR(__xludf.DUMMYFUNCTION("IMPORTRANGE(""https://docs.google.com/spreadsheets/d/1-uDff_7J0KD5mKrp0Vvzr7lt3OU09vwQwhkpOPPYv2Y/edit?usp=sharing"",""งบพรบ!CI71"")"),0)</f>
        <v>0</v>
      </c>
      <c r="O166" s="74">
        <f t="shared" ca="1" si="104"/>
        <v>0</v>
      </c>
      <c r="P166" s="74">
        <f t="shared" ca="1" si="105"/>
        <v>0</v>
      </c>
      <c r="Q166" s="74">
        <v>0</v>
      </c>
      <c r="R166" s="74">
        <v>0</v>
      </c>
      <c r="S166" s="74">
        <v>0</v>
      </c>
      <c r="T166" s="74">
        <f t="shared" si="107"/>
        <v>0</v>
      </c>
      <c r="U166" s="74">
        <f t="shared" si="108"/>
        <v>0</v>
      </c>
    </row>
    <row r="167" spans="1:21" ht="19.5" hidden="1" x14ac:dyDescent="0.3">
      <c r="A167" s="276"/>
      <c r="B167" s="277"/>
      <c r="C167" s="259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hidden="1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IFERROR(__xludf.DUMMYFUNCTION("IMPORTRANGE(""https://docs.google.com/spreadsheets/d/1eHaY18a8A9IcSdp1K8H6x8fbOy06t2VsZHhMHf-1x7Y/edit?usp=sharing"",""แผน!Z71"")"),0)</f>
        <v>0</v>
      </c>
      <c r="J168" s="294">
        <v>0</v>
      </c>
      <c r="K168" s="74">
        <f t="shared" ref="K168:K170" ca="1" si="115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IFERROR(__xludf.DUMMYFUNCTION("IMPORTRANGE(""https://docs.google.com/spreadsheets/d/1eHaY18a8A9IcSdp1K8H6x8fbOy06t2VsZHhMHf-1x7Y/edit?usp=sharing"",""แผน!Z71"")"),0)</f>
        <v>0</v>
      </c>
      <c r="J169" s="910">
        <v>0</v>
      </c>
      <c r="K169" s="77">
        <f t="shared" ca="1" si="115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IFERROR(__xludf.DUMMYFUNCTION("IMPORTRANGE(""https://docs.google.com/spreadsheets/d/1eHaY18a8A9IcSdp1K8H6x8fbOy06t2VsZHhMHf-1x7Y/edit?usp=sharing"",""แผน!Z71"")"),0)</f>
        <v>0</v>
      </c>
      <c r="J170" s="999">
        <v>0</v>
      </c>
      <c r="K170" s="1000">
        <f t="shared" ca="1" si="115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6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302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303" t="s">
        <v>35</v>
      </c>
      <c r="I173" s="1126">
        <f t="shared" ref="I173:J173" ca="1" si="116">I184+I185</f>
        <v>7</v>
      </c>
      <c r="J173" s="1126">
        <f t="shared" si="116"/>
        <v>7</v>
      </c>
      <c r="K173" s="1127">
        <f ca="1">IF(I173&gt;0,J173*100/I173,0)</f>
        <v>100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1257">
        <f t="shared" ref="L174:N174" ca="1" si="117">L175+L176</f>
        <v>19590</v>
      </c>
      <c r="M174" s="264">
        <f t="shared" ca="1" si="117"/>
        <v>29860</v>
      </c>
      <c r="N174" s="264">
        <f t="shared" ca="1" si="117"/>
        <v>29860</v>
      </c>
      <c r="O174" s="264">
        <f t="shared" ref="O174:O182" ca="1" si="118">IF(L174&gt;0,N174*100/L174,0)</f>
        <v>152.42470648289944</v>
      </c>
      <c r="P174" s="264">
        <f t="shared" ref="P174:P182" ca="1" si="119">IF(M174&gt;0,N174*100/M174,0)</f>
        <v>100</v>
      </c>
      <c r="Q174" s="264">
        <f t="shared" ref="Q174:S174" ca="1" si="120">Q175+Q176</f>
        <v>0</v>
      </c>
      <c r="R174" s="264">
        <f t="shared" ca="1" si="120"/>
        <v>0</v>
      </c>
      <c r="S174" s="264">
        <f t="shared" ca="1" si="120"/>
        <v>0</v>
      </c>
      <c r="T174" s="264">
        <f t="shared" ref="T174:T182" ca="1" si="121">IF(Q174&gt;0,S174*100/Q174,0)</f>
        <v>0</v>
      </c>
      <c r="U174" s="264">
        <f t="shared" ref="U174:U182" ca="1" si="122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6">
        <f t="shared" ref="L175:N176" si="123">L178+L181</f>
        <v>0</v>
      </c>
      <c r="M175" s="77">
        <f t="shared" si="123"/>
        <v>0</v>
      </c>
      <c r="N175" s="77">
        <f t="shared" si="123"/>
        <v>0</v>
      </c>
      <c r="O175" s="77">
        <f t="shared" si="118"/>
        <v>0</v>
      </c>
      <c r="P175" s="77">
        <f t="shared" si="119"/>
        <v>0</v>
      </c>
      <c r="Q175" s="77">
        <f t="shared" ref="Q175:S176" si="124">Q178+Q181</f>
        <v>0</v>
      </c>
      <c r="R175" s="77">
        <f t="shared" si="124"/>
        <v>0</v>
      </c>
      <c r="S175" s="77">
        <f t="shared" si="124"/>
        <v>0</v>
      </c>
      <c r="T175" s="77">
        <f t="shared" si="121"/>
        <v>0</v>
      </c>
      <c r="U175" s="77">
        <f t="shared" si="122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3">
        <f t="shared" ca="1" si="123"/>
        <v>19590</v>
      </c>
      <c r="M176" s="74">
        <f t="shared" ca="1" si="123"/>
        <v>29860</v>
      </c>
      <c r="N176" s="74">
        <f t="shared" ca="1" si="123"/>
        <v>29860</v>
      </c>
      <c r="O176" s="74">
        <f t="shared" ca="1" si="118"/>
        <v>152.42470648289944</v>
      </c>
      <c r="P176" s="74">
        <f t="shared" ca="1" si="119"/>
        <v>100</v>
      </c>
      <c r="Q176" s="74">
        <f t="shared" ca="1" si="124"/>
        <v>0</v>
      </c>
      <c r="R176" s="74">
        <f t="shared" ca="1" si="124"/>
        <v>0</v>
      </c>
      <c r="S176" s="74">
        <f t="shared" ca="1" si="124"/>
        <v>0</v>
      </c>
      <c r="T176" s="74">
        <f t="shared" ca="1" si="121"/>
        <v>0</v>
      </c>
      <c r="U176" s="74">
        <f t="shared" ca="1" si="122"/>
        <v>0</v>
      </c>
    </row>
    <row r="177" spans="1:21" ht="18.75" x14ac:dyDescent="0.25">
      <c r="A177" s="257"/>
      <c r="B177" s="258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3">
        <f t="shared" ref="L177:N177" ca="1" si="125">L178+L179</f>
        <v>19590</v>
      </c>
      <c r="M177" s="74">
        <f t="shared" ca="1" si="125"/>
        <v>29860</v>
      </c>
      <c r="N177" s="74">
        <f t="shared" ca="1" si="125"/>
        <v>29860</v>
      </c>
      <c r="O177" s="74">
        <f t="shared" ca="1" si="118"/>
        <v>152.42470648289944</v>
      </c>
      <c r="P177" s="74">
        <f t="shared" ca="1" si="119"/>
        <v>100</v>
      </c>
      <c r="Q177" s="74">
        <f t="shared" ref="Q177:S177" ca="1" si="126">Q178+Q179</f>
        <v>0</v>
      </c>
      <c r="R177" s="74">
        <f t="shared" ca="1" si="126"/>
        <v>0</v>
      </c>
      <c r="S177" s="74">
        <f t="shared" ca="1" si="126"/>
        <v>0</v>
      </c>
      <c r="T177" s="74">
        <f t="shared" ca="1" si="121"/>
        <v>0</v>
      </c>
      <c r="U177" s="74">
        <f t="shared" ca="1" si="122"/>
        <v>0</v>
      </c>
    </row>
    <row r="178" spans="1:21" ht="18.75" hidden="1" x14ac:dyDescent="0.25">
      <c r="A178" s="257"/>
      <c r="B178" s="258"/>
      <c r="C178" s="258"/>
      <c r="D178" s="258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77">
        <f t="shared" si="118"/>
        <v>0</v>
      </c>
      <c r="P178" s="77">
        <f t="shared" si="119"/>
        <v>0</v>
      </c>
      <c r="Q178" s="77">
        <v>0</v>
      </c>
      <c r="R178" s="77">
        <v>0</v>
      </c>
      <c r="S178" s="77">
        <v>0</v>
      </c>
      <c r="T178" s="77">
        <f t="shared" si="121"/>
        <v>0</v>
      </c>
      <c r="U178" s="77">
        <f t="shared" si="122"/>
        <v>0</v>
      </c>
    </row>
    <row r="179" spans="1:21" ht="18.75" hidden="1" x14ac:dyDescent="0.25">
      <c r="A179" s="257"/>
      <c r="B179" s="258"/>
      <c r="C179" s="258"/>
      <c r="D179" s="258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3">
        <f ca="1">IFERROR(__xludf.DUMMYFUNCTION("IMPORTRANGE(""https://docs.google.com/spreadsheets/d/1-uDff_7J0KD5mKrp0Vvzr7lt3OU09vwQwhkpOPPYv2Y/edit?usp=sharing"",""งบพรบ!CK71"")"),19590)</f>
        <v>19590</v>
      </c>
      <c r="M179" s="74">
        <f ca="1">IFERROR(__xludf.DUMMYFUNCTION("IMPORTRANGE(""https://docs.google.com/spreadsheets/d/1-uDff_7J0KD5mKrp0Vvzr7lt3OU09vwQwhkpOPPYv2Y/edit?usp=sharing"",""งบพรบ!CP71"")"),29860)</f>
        <v>29860</v>
      </c>
      <c r="N179" s="74">
        <f ca="1">IFERROR(__xludf.DUMMYFUNCTION("IMPORTRANGE(""https://docs.google.com/spreadsheets/d/1-uDff_7J0KD5mKrp0Vvzr7lt3OU09vwQwhkpOPPYv2Y/edit?usp=sharing"",""งบพรบ!CR71"")"),29860)</f>
        <v>29860</v>
      </c>
      <c r="O179" s="74">
        <f t="shared" ca="1" si="118"/>
        <v>152.42470648289944</v>
      </c>
      <c r="P179" s="74">
        <f t="shared" ca="1" si="119"/>
        <v>100</v>
      </c>
      <c r="Q179" s="74">
        <f ca="1">IFERROR(__xludf.DUMMYFUNCTION("IMPORTRANGE(""https://docs.google.com/spreadsheets/d/1ItG2mGa2ceCfYo0BwxsXqNm01IGEUdYcSSLTEv9YCik/edit?usp=sharing"",""เบิกจ่ายกองทุน!BE71"")"),0)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IFERROR(__xludf.DUMMYFUNCTION("IMPORTRANGE(""https://docs.google.com/spreadsheets/d/1ItG2mGa2ceCfYo0BwxsXqNm01IGEUdYcSSLTEv9YCik/edit?usp=sharing"",""เบิกจ่ายกองทุน!BF71"")"),0)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IFERROR(__xludf.DUMMYFUNCTION("IMPORTRANGE(""https://docs.google.com/spreadsheets/d/1ItG2mGa2ceCfYo0BwxsXqNm01IGEUdYcSSLTEv9YCik/edit?usp=sharing"",""เบิกจ่ายกองทุน!BG71"")"),0)</f>
        <v>0</v>
      </c>
      <c r="T179" s="74">
        <f t="shared" ca="1" si="121"/>
        <v>0</v>
      </c>
      <c r="U179" s="74">
        <f t="shared" ca="1" si="122"/>
        <v>0</v>
      </c>
    </row>
    <row r="180" spans="1:21" ht="18.75" x14ac:dyDescent="0.25">
      <c r="A180" s="257"/>
      <c r="B180" s="258"/>
      <c r="C180" s="258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3">
        <f t="shared" ref="L180:N180" ca="1" si="127">L181+L182</f>
        <v>0</v>
      </c>
      <c r="M180" s="74">
        <f t="shared" ca="1" si="127"/>
        <v>0</v>
      </c>
      <c r="N180" s="74">
        <f t="shared" ca="1" si="127"/>
        <v>0</v>
      </c>
      <c r="O180" s="74">
        <f t="shared" ca="1" si="118"/>
        <v>0</v>
      </c>
      <c r="P180" s="74">
        <f t="shared" ca="1" si="119"/>
        <v>0</v>
      </c>
      <c r="Q180" s="74">
        <f t="shared" ref="Q180:S180" si="128">Q181+Q182</f>
        <v>0</v>
      </c>
      <c r="R180" s="74">
        <f t="shared" si="128"/>
        <v>0</v>
      </c>
      <c r="S180" s="74">
        <f t="shared" si="128"/>
        <v>0</v>
      </c>
      <c r="T180" s="74">
        <f t="shared" si="121"/>
        <v>0</v>
      </c>
      <c r="U180" s="74">
        <f t="shared" si="122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77">
        <f t="shared" si="118"/>
        <v>0</v>
      </c>
      <c r="P181" s="77">
        <f t="shared" si="119"/>
        <v>0</v>
      </c>
      <c r="Q181" s="77">
        <v>0</v>
      </c>
      <c r="R181" s="77">
        <v>0</v>
      </c>
      <c r="S181" s="77">
        <v>0</v>
      </c>
      <c r="T181" s="77">
        <f t="shared" si="121"/>
        <v>0</v>
      </c>
      <c r="U181" s="77">
        <f t="shared" si="122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3">
        <f ca="1">IFERROR(__xludf.DUMMYFUNCTION("IMPORTRANGE(""https://docs.google.com/spreadsheets/d/1-uDff_7J0KD5mKrp0Vvzr7lt3OU09vwQwhkpOPPYv2Y/edit?usp=sharing"",""งบพรบ!CN71"")"),0)</f>
        <v>0</v>
      </c>
      <c r="M182" s="74">
        <f ca="1">IFERROR(__xludf.DUMMYFUNCTION("IMPORTRANGE(""https://docs.google.com/spreadsheets/d/1-uDff_7J0KD5mKrp0Vvzr7lt3OU09vwQwhkpOPPYv2Y/edit?usp=sharing"",""งบพรบ!CQ71"")"),0)</f>
        <v>0</v>
      </c>
      <c r="N182" s="74">
        <f ca="1">IFERROR(__xludf.DUMMYFUNCTION("IMPORTRANGE(""https://docs.google.com/spreadsheets/d/1-uDff_7J0KD5mKrp0Vvzr7lt3OU09vwQwhkpOPPYv2Y/edit?usp=sharing"",""งบพรบ!CS71"")"),0)</f>
        <v>0</v>
      </c>
      <c r="O182" s="74">
        <f t="shared" ca="1" si="118"/>
        <v>0</v>
      </c>
      <c r="P182" s="74">
        <f t="shared" ca="1" si="119"/>
        <v>0</v>
      </c>
      <c r="Q182" s="74">
        <v>0</v>
      </c>
      <c r="R182" s="74">
        <v>0</v>
      </c>
      <c r="S182" s="74">
        <v>0</v>
      </c>
      <c r="T182" s="74">
        <f t="shared" si="121"/>
        <v>0</v>
      </c>
      <c r="U182" s="74">
        <f t="shared" si="122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551" t="s">
        <v>35</v>
      </c>
      <c r="I184" s="293">
        <f ca="1">IFERROR(__xludf.DUMMYFUNCTION("IMPORTRANGE(""https://docs.google.com/spreadsheets/d/1eHaY18a8A9IcSdp1K8H6x8fbOy06t2VsZHhMHf-1x7Y/edit?usp=sharing"",""แผน!AA71"")"),7)</f>
        <v>7</v>
      </c>
      <c r="J184" s="294">
        <v>7</v>
      </c>
      <c r="K184" s="74">
        <f t="shared" ref="K184:K186" ca="1" si="129">IF(I184&gt;0,J184*100/I184,0)</f>
        <v>100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921" t="s">
        <v>35</v>
      </c>
      <c r="I185" s="592">
        <v>0</v>
      </c>
      <c r="J185" s="592">
        <v>0</v>
      </c>
      <c r="K185" s="77">
        <f t="shared" si="129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303" t="s">
        <v>35</v>
      </c>
      <c r="I186" s="1126">
        <f t="shared" ref="I186:J186" ca="1" si="130">I231+I232</f>
        <v>0</v>
      </c>
      <c r="J186" s="1126">
        <f t="shared" si="130"/>
        <v>0</v>
      </c>
      <c r="K186" s="1127">
        <f t="shared" ca="1" si="129"/>
        <v>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1257">
        <f t="shared" ref="L187:N187" ca="1" si="131">L188+L189</f>
        <v>84200</v>
      </c>
      <c r="M187" s="264">
        <f t="shared" ca="1" si="131"/>
        <v>84200</v>
      </c>
      <c r="N187" s="264">
        <f t="shared" ca="1" si="131"/>
        <v>27510.32</v>
      </c>
      <c r="O187" s="264">
        <f t="shared" ref="O187:O195" ca="1" si="132">IF(L187&gt;0,N187*100/L187,0)</f>
        <v>32.672589073634207</v>
      </c>
      <c r="P187" s="264">
        <f t="shared" ref="P187:P195" ca="1" si="133">IF(M187&gt;0,N187*100/M187,0)</f>
        <v>32.672589073634207</v>
      </c>
      <c r="Q187" s="264">
        <f t="shared" ref="Q187:S187" ca="1" si="134">Q188+Q189</f>
        <v>0</v>
      </c>
      <c r="R187" s="264">
        <f t="shared" ca="1" si="134"/>
        <v>0</v>
      </c>
      <c r="S187" s="264">
        <f t="shared" ca="1" si="134"/>
        <v>0</v>
      </c>
      <c r="T187" s="264">
        <f t="shared" ref="T187:T195" ca="1" si="135">IF(Q187&gt;0,S187*100/Q187,0)</f>
        <v>0</v>
      </c>
      <c r="U187" s="264">
        <f t="shared" ref="U187:U195" ca="1" si="136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6">
        <f t="shared" ref="L188:N189" si="137">L191+L194</f>
        <v>0</v>
      </c>
      <c r="M188" s="77">
        <f t="shared" si="137"/>
        <v>0</v>
      </c>
      <c r="N188" s="77">
        <f t="shared" si="137"/>
        <v>0</v>
      </c>
      <c r="O188" s="77">
        <f t="shared" si="132"/>
        <v>0</v>
      </c>
      <c r="P188" s="77">
        <f t="shared" si="133"/>
        <v>0</v>
      </c>
      <c r="Q188" s="77">
        <f t="shared" ref="Q188:S189" si="138">Q191+Q194</f>
        <v>0</v>
      </c>
      <c r="R188" s="77">
        <f t="shared" si="138"/>
        <v>0</v>
      </c>
      <c r="S188" s="77">
        <f t="shared" si="138"/>
        <v>0</v>
      </c>
      <c r="T188" s="77">
        <f t="shared" si="135"/>
        <v>0</v>
      </c>
      <c r="U188" s="77">
        <f t="shared" si="136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3">
        <f t="shared" ca="1" si="137"/>
        <v>84200</v>
      </c>
      <c r="M189" s="74">
        <f t="shared" ca="1" si="137"/>
        <v>84200</v>
      </c>
      <c r="N189" s="74">
        <f t="shared" ca="1" si="137"/>
        <v>27510.32</v>
      </c>
      <c r="O189" s="74">
        <f t="shared" ca="1" si="132"/>
        <v>32.672589073634207</v>
      </c>
      <c r="P189" s="74">
        <f t="shared" ca="1" si="133"/>
        <v>32.672589073634207</v>
      </c>
      <c r="Q189" s="74">
        <f t="shared" ca="1" si="138"/>
        <v>0</v>
      </c>
      <c r="R189" s="74">
        <f t="shared" ca="1" si="138"/>
        <v>0</v>
      </c>
      <c r="S189" s="74">
        <f t="shared" ca="1" si="138"/>
        <v>0</v>
      </c>
      <c r="T189" s="74">
        <f t="shared" ca="1" si="135"/>
        <v>0</v>
      </c>
      <c r="U189" s="74">
        <f t="shared" ca="1" si="136"/>
        <v>0</v>
      </c>
    </row>
    <row r="190" spans="1:21" ht="18.75" x14ac:dyDescent="0.25">
      <c r="A190" s="257"/>
      <c r="B190" s="258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3">
        <f t="shared" ref="L190:N190" ca="1" si="139">L191+L192</f>
        <v>84200</v>
      </c>
      <c r="M190" s="74">
        <f t="shared" ca="1" si="139"/>
        <v>84200</v>
      </c>
      <c r="N190" s="74">
        <f t="shared" ca="1" si="139"/>
        <v>27510.32</v>
      </c>
      <c r="O190" s="74">
        <f t="shared" ca="1" si="132"/>
        <v>32.672589073634207</v>
      </c>
      <c r="P190" s="74">
        <f t="shared" ca="1" si="133"/>
        <v>32.672589073634207</v>
      </c>
      <c r="Q190" s="74">
        <f t="shared" ref="Q190:S190" ca="1" si="140">Q191+Q192</f>
        <v>0</v>
      </c>
      <c r="R190" s="74">
        <f t="shared" ca="1" si="140"/>
        <v>0</v>
      </c>
      <c r="S190" s="74">
        <f t="shared" ca="1" si="140"/>
        <v>0</v>
      </c>
      <c r="T190" s="74">
        <f t="shared" ca="1" si="135"/>
        <v>0</v>
      </c>
      <c r="U190" s="74">
        <f t="shared" ca="1" si="136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77">
        <f t="shared" si="132"/>
        <v>0</v>
      </c>
      <c r="P191" s="77">
        <f t="shared" si="133"/>
        <v>0</v>
      </c>
      <c r="Q191" s="77">
        <v>0</v>
      </c>
      <c r="R191" s="77">
        <v>0</v>
      </c>
      <c r="S191" s="77">
        <v>0</v>
      </c>
      <c r="T191" s="77">
        <f t="shared" si="135"/>
        <v>0</v>
      </c>
      <c r="U191" s="77">
        <f t="shared" si="136"/>
        <v>0</v>
      </c>
    </row>
    <row r="192" spans="1:21" ht="18.75" hidden="1" x14ac:dyDescent="0.25">
      <c r="A192" s="257"/>
      <c r="B192" s="258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3">
        <f ca="1">IFERROR(__xludf.DUMMYFUNCTION("IMPORTRANGE(""https://docs.google.com/spreadsheets/d/1-uDff_7J0KD5mKrp0Vvzr7lt3OU09vwQwhkpOPPYv2Y/edit?usp=sharing"",""งบพรบ!CU71"")"),84200)</f>
        <v>84200</v>
      </c>
      <c r="M192" s="74">
        <f ca="1">IFERROR(__xludf.DUMMYFUNCTION("IMPORTRANGE(""https://docs.google.com/spreadsheets/d/1-uDff_7J0KD5mKrp0Vvzr7lt3OU09vwQwhkpOPPYv2Y/edit?usp=sharing"",""งบพรบ!CZ71"")"),84200)</f>
        <v>84200</v>
      </c>
      <c r="N192" s="74">
        <f ca="1">IFERROR(__xludf.DUMMYFUNCTION("IMPORTRANGE(""https://docs.google.com/spreadsheets/d/1-uDff_7J0KD5mKrp0Vvzr7lt3OU09vwQwhkpOPPYv2Y/edit?usp=sharing"",""งบพรบ!DB71"")"),27510.32)</f>
        <v>27510.32</v>
      </c>
      <c r="O192" s="74">
        <f t="shared" ca="1" si="132"/>
        <v>32.672589073634207</v>
      </c>
      <c r="P192" s="74">
        <f t="shared" ca="1" si="133"/>
        <v>32.672589073634207</v>
      </c>
      <c r="Q192" s="74">
        <f ca="1">IFERROR(__xludf.DUMMYFUNCTION("IMPORTRANGE(""https://docs.google.com/spreadsheets/d/1ItG2mGa2ceCfYo0BwxsXqNm01IGEUdYcSSLTEv9YCik/edit?usp=sharing"",""เบิกจ่ายกองทุน!AV71"")"),0)</f>
        <v>0</v>
      </c>
      <c r="R192" s="74">
        <f ca="1">IFERROR(__xludf.DUMMYFUNCTION("IMPORTRANGE(""https://docs.google.com/spreadsheets/d/1ItG2mGa2ceCfYo0BwxsXqNm01IGEUdYcSSLTEv9YCik/edit?usp=sharing"",""เบิกจ่ายกองทุน!AW71"")"),0)</f>
        <v>0</v>
      </c>
      <c r="S192" s="74">
        <f ca="1">IFERROR(__xludf.DUMMYFUNCTION("IMPORTRANGE(""https://docs.google.com/spreadsheets/d/1ItG2mGa2ceCfYo0BwxsXqNm01IGEUdYcSSLTEv9YCik/edit?usp=sharing"",""เบิกจ่ายกองทุน!AX71"")"),0)</f>
        <v>0</v>
      </c>
      <c r="T192" s="74">
        <f t="shared" ca="1" si="135"/>
        <v>0</v>
      </c>
      <c r="U192" s="74">
        <f t="shared" ca="1" si="136"/>
        <v>0</v>
      </c>
    </row>
    <row r="193" spans="1:21" ht="18.75" x14ac:dyDescent="0.25">
      <c r="A193" s="257"/>
      <c r="B193" s="258"/>
      <c r="C193" s="258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3">
        <f t="shared" ref="L193:N193" ca="1" si="141">L194+L195</f>
        <v>0</v>
      </c>
      <c r="M193" s="74">
        <f t="shared" ca="1" si="141"/>
        <v>0</v>
      </c>
      <c r="N193" s="74">
        <f t="shared" ca="1" si="141"/>
        <v>0</v>
      </c>
      <c r="O193" s="74">
        <f t="shared" ca="1" si="132"/>
        <v>0</v>
      </c>
      <c r="P193" s="74">
        <f t="shared" ca="1" si="133"/>
        <v>0</v>
      </c>
      <c r="Q193" s="74">
        <f t="shared" ref="Q193:S193" si="142">Q194+Q195</f>
        <v>0</v>
      </c>
      <c r="R193" s="74">
        <f t="shared" si="142"/>
        <v>0</v>
      </c>
      <c r="S193" s="74">
        <f t="shared" si="142"/>
        <v>0</v>
      </c>
      <c r="T193" s="74">
        <f t="shared" si="135"/>
        <v>0</v>
      </c>
      <c r="U193" s="74">
        <f t="shared" si="136"/>
        <v>0</v>
      </c>
    </row>
    <row r="194" spans="1:21" ht="18.75" hidden="1" x14ac:dyDescent="0.25">
      <c r="A194" s="257"/>
      <c r="B194" s="258"/>
      <c r="C194" s="258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77">
        <f t="shared" si="132"/>
        <v>0</v>
      </c>
      <c r="P194" s="77">
        <f t="shared" si="133"/>
        <v>0</v>
      </c>
      <c r="Q194" s="77">
        <v>0</v>
      </c>
      <c r="R194" s="77">
        <v>0</v>
      </c>
      <c r="S194" s="77">
        <v>0</v>
      </c>
      <c r="T194" s="77">
        <f t="shared" si="135"/>
        <v>0</v>
      </c>
      <c r="U194" s="77">
        <f t="shared" si="136"/>
        <v>0</v>
      </c>
    </row>
    <row r="195" spans="1:21" ht="18.75" hidden="1" x14ac:dyDescent="0.25">
      <c r="A195" s="257"/>
      <c r="B195" s="258"/>
      <c r="C195" s="258"/>
      <c r="D195" s="258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3">
        <f ca="1">IFERROR(__xludf.DUMMYFUNCTION("IMPORTRANGE(""https://docs.google.com/spreadsheets/d/1-uDff_7J0KD5mKrp0Vvzr7lt3OU09vwQwhkpOPPYv2Y/edit?usp=sharing"",""งบพรบ!CX71"")"),0)</f>
        <v>0</v>
      </c>
      <c r="M195" s="74">
        <f ca="1">IFERROR(__xludf.DUMMYFUNCTION("IMPORTRANGE(""https://docs.google.com/spreadsheets/d/1-uDff_7J0KD5mKrp0Vvzr7lt3OU09vwQwhkpOPPYv2Y/edit?usp=sharing"",""งบพรบ!DA71"")"),0)</f>
        <v>0</v>
      </c>
      <c r="N195" s="74">
        <f ca="1">IFERROR(__xludf.DUMMYFUNCTION("IMPORTRANGE(""https://docs.google.com/spreadsheets/d/1-uDff_7J0KD5mKrp0Vvzr7lt3OU09vwQwhkpOPPYv2Y/edit?usp=sharing"",""งบพรบ!DC71"")"),0)</f>
        <v>0</v>
      </c>
      <c r="O195" s="74">
        <f t="shared" ca="1" si="132"/>
        <v>0</v>
      </c>
      <c r="P195" s="74">
        <f t="shared" ca="1" si="133"/>
        <v>0</v>
      </c>
      <c r="Q195" s="74">
        <v>0</v>
      </c>
      <c r="R195" s="74">
        <v>0</v>
      </c>
      <c r="S195" s="74">
        <v>0</v>
      </c>
      <c r="T195" s="74">
        <f t="shared" si="135"/>
        <v>0</v>
      </c>
      <c r="U195" s="74">
        <f t="shared" si="136"/>
        <v>0</v>
      </c>
    </row>
    <row r="196" spans="1:21" ht="19.5" x14ac:dyDescent="0.3">
      <c r="A196" s="553"/>
      <c r="B196" s="555"/>
      <c r="C196" s="1130" t="s">
        <v>78</v>
      </c>
      <c r="D196" s="554"/>
      <c r="E196" s="554"/>
      <c r="F196" s="554"/>
      <c r="G196" s="557"/>
      <c r="H196" s="558" t="s">
        <v>79</v>
      </c>
      <c r="I196" s="559">
        <f t="shared" ref="I196:J196" ca="1" si="143">I199</f>
        <v>4</v>
      </c>
      <c r="J196" s="559">
        <f t="shared" si="143"/>
        <v>2</v>
      </c>
      <c r="K196" s="560">
        <f ca="1">IF(I196&gt;0,J196*100/I196,0)</f>
        <v>50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58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1257">
        <f ca="1">IFERROR(__xludf.DUMMYFUNCTION("IMPORTRANGE(""https://docs.google.com/spreadsheets/d/1eHaY18a8A9IcSdp1K8H6x8fbOy06t2VsZHhMHf-1x7Y/edit?usp=sharing"",""แผน!AB71"")"),6000)</f>
        <v>6000</v>
      </c>
      <c r="M197" s="87"/>
      <c r="N197" s="923">
        <v>1500</v>
      </c>
      <c r="O197" s="264">
        <f ca="1">IF(L197&gt;0,N197*100/L197,0)</f>
        <v>25</v>
      </c>
      <c r="P197" s="264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282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99" t="s">
        <v>79</v>
      </c>
      <c r="I199" s="293">
        <f ca="1">IFERROR(__xludf.DUMMYFUNCTION("IMPORTRANGE(""https://docs.google.com/spreadsheets/d/1eHaY18a8A9IcSdp1K8H6x8fbOy06t2VsZHhMHf-1x7Y/edit?usp=sharing"",""แผน!AE71"")"),4)</f>
        <v>4</v>
      </c>
      <c r="J199" s="294">
        <v>2</v>
      </c>
      <c r="K199" s="74">
        <f ca="1">IF(I199&gt;0,J199*100/I199,0)</f>
        <v>50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80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80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4">I210</f>
        <v>0</v>
      </c>
      <c r="J203" s="559">
        <f t="shared" si="144"/>
        <v>0</v>
      </c>
      <c r="K203" s="560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58"/>
      <c r="C204" s="259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1257">
        <f ca="1">L205+L206+L207+L208</f>
        <v>0</v>
      </c>
      <c r="M204" s="87"/>
      <c r="N204" s="264">
        <f>N205+N206+N207+N208</f>
        <v>0</v>
      </c>
      <c r="O204" s="264">
        <f ca="1">IF(L204&gt;0,N204*100/L204,0)</f>
        <v>0</v>
      </c>
      <c r="P204" s="264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58"/>
      <c r="D205" s="267" t="s">
        <v>86</v>
      </c>
      <c r="E205" s="258"/>
      <c r="F205" s="258"/>
      <c r="G205" s="261"/>
      <c r="H205" s="271" t="s">
        <v>14</v>
      </c>
      <c r="I205" s="272"/>
      <c r="J205" s="272"/>
      <c r="K205" s="229"/>
      <c r="L205" s="73">
        <f ca="1">IFERROR(__xludf.DUMMYFUNCTION("IMPORTRANGE(""https://docs.google.com/spreadsheets/d/1eHaY18a8A9IcSdp1K8H6x8fbOy06t2VsZHhMHf-1x7Y/edit?usp=sharing"",""แผน!AG71"")"),0)</f>
        <v>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58"/>
      <c r="D206" s="267" t="s">
        <v>88</v>
      </c>
      <c r="E206" s="258"/>
      <c r="F206" s="258"/>
      <c r="G206" s="261"/>
      <c r="H206" s="292" t="s">
        <v>14</v>
      </c>
      <c r="I206" s="263"/>
      <c r="J206" s="263"/>
      <c r="K206" s="87"/>
      <c r="L206" s="73">
        <f ca="1">IFERROR(__xludf.DUMMYFUNCTION("IMPORTRANGE(""https://docs.google.com/spreadsheets/d/1eHaY18a8A9IcSdp1K8H6x8fbOy06t2VsZHhMHf-1x7Y/edit?usp=sharing"",""แผน!AH71"")"),0)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58"/>
      <c r="D207" s="267" t="s">
        <v>95</v>
      </c>
      <c r="E207" s="258"/>
      <c r="F207" s="258"/>
      <c r="G207" s="261"/>
      <c r="H207" s="292" t="s">
        <v>14</v>
      </c>
      <c r="I207" s="263"/>
      <c r="J207" s="263"/>
      <c r="K207" s="87"/>
      <c r="L207" s="73">
        <f ca="1">IFERROR(__xludf.DUMMYFUNCTION("IMPORTRANGE(""https://docs.google.com/spreadsheets/d/1eHaY18a8A9IcSdp1K8H6x8fbOy06t2VsZHhMHf-1x7Y/edit?usp=sharing"",""แผน!AI71"")"),0)</f>
        <v>0</v>
      </c>
      <c r="M207" s="87"/>
      <c r="N207" s="924">
        <v>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58"/>
      <c r="D208" s="258"/>
      <c r="E208" s="258"/>
      <c r="F208" s="258"/>
      <c r="G208" s="261"/>
      <c r="H208" s="261"/>
      <c r="I208" s="263"/>
      <c r="J208" s="263"/>
      <c r="K208" s="87"/>
      <c r="L208" s="73">
        <f ca="1">IFERROR(__xludf.DUMMYFUNCTION("IMPORTRANGE(""https://docs.google.com/spreadsheets/d/1eHaY18a8A9IcSdp1K8H6x8fbOy06t2VsZHhMHf-1x7Y/edit?usp=sharing"",""แผน!AJ71"")"),0)</f>
        <v>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282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3" t="s">
        <v>85</v>
      </c>
      <c r="I210" s="293">
        <f ca="1">IFERROR(__xludf.DUMMYFUNCTION("IMPORTRANGE(""https://docs.google.com/spreadsheets/d/1eHaY18a8A9IcSdp1K8H6x8fbOy06t2VsZHhMHf-1x7Y/edit?usp=sharing"",""แผน!AK71"")"),0)</f>
        <v>0</v>
      </c>
      <c r="J210" s="294">
        <v>0</v>
      </c>
      <c r="K210" s="768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282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3" t="s">
        <v>85</v>
      </c>
      <c r="I212" s="293">
        <f ca="1">IFERROR(__xludf.DUMMYFUNCTION("IMPORTRANGE(""https://docs.google.com/spreadsheets/d/1eHaY18a8A9IcSdp1K8H6x8fbOy06t2VsZHhMHf-1x7Y/edit?usp=sharing"",""แผน!AK71"")"),0)</f>
        <v>0</v>
      </c>
      <c r="J212" s="294">
        <v>0</v>
      </c>
      <c r="K212" s="768">
        <f t="shared" ref="K212:K214" ca="1" si="145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IFERROR(__xludf.DUMMYFUNCTION("IMPORTRANGE(""https://docs.google.com/spreadsheets/d/1eHaY18a8A9IcSdp1K8H6x8fbOy06t2VsZHhMHf-1x7Y/edit?usp=sharing"",""แผน!AK71"")"),0)</f>
        <v>0</v>
      </c>
      <c r="J213" s="294">
        <v>0</v>
      </c>
      <c r="K213" s="768">
        <f t="shared" ca="1" si="145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hidden="1" x14ac:dyDescent="0.3">
      <c r="A214" s="553"/>
      <c r="B214" s="555"/>
      <c r="C214" s="1130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6">I221</f>
        <v>0</v>
      </c>
      <c r="J214" s="559">
        <f t="shared" si="146"/>
        <v>0</v>
      </c>
      <c r="K214" s="560">
        <f t="shared" ca="1" si="145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hidden="1" x14ac:dyDescent="0.3">
      <c r="A215" s="257"/>
      <c r="B215" s="258"/>
      <c r="C215" s="259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1257">
        <f ca="1">L216+L217+L218</f>
        <v>0</v>
      </c>
      <c r="M215" s="87"/>
      <c r="N215" s="264">
        <f>N216+N217+N218</f>
        <v>0</v>
      </c>
      <c r="O215" s="264">
        <f ca="1">IF(L215&gt;0,N215*100/L215,0)</f>
        <v>0</v>
      </c>
      <c r="P215" s="264">
        <f>IF(M215&gt;0,N215*100/M215,0)</f>
        <v>0</v>
      </c>
      <c r="Q215" s="87"/>
      <c r="R215" s="87"/>
      <c r="S215" s="87"/>
      <c r="T215" s="87"/>
      <c r="U215" s="87"/>
    </row>
    <row r="216" spans="1:21" ht="18.75" hidden="1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3">
        <f ca="1">IFERROR(__xludf.DUMMYFUNCTION("IMPORTRANGE(""https://docs.google.com/spreadsheets/d/1eHaY18a8A9IcSdp1K8H6x8fbOy06t2VsZHhMHf-1x7Y/edit?usp=sharing"",""แผน!AM71"")"),0)</f>
        <v>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hidden="1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3">
        <f ca="1">IFERROR(__xludf.DUMMYFUNCTION("IMPORTRANGE(""https://docs.google.com/spreadsheets/d/1eHaY18a8A9IcSdp1K8H6x8fbOy06t2VsZHhMHf-1x7Y/edit?usp=sharing"",""แผน!AN71"")"),0)</f>
        <v>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hidden="1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3">
        <f ca="1">IFERROR(__xludf.DUMMYFUNCTION("IMPORTRANGE(""https://docs.google.com/spreadsheets/d/1eHaY18a8A9IcSdp1K8H6x8fbOy06t2VsZHhMHf-1x7Y/edit?usp=sharing"",""แผน!AO71"")"),0)</f>
        <v>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hidden="1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282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hidden="1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3" t="s">
        <v>85</v>
      </c>
      <c r="I220" s="293">
        <f ca="1">IFERROR(__xludf.DUMMYFUNCTION("IMPORTRANGE(""https://docs.google.com/spreadsheets/d/1eHaY18a8A9IcSdp1K8H6x8fbOy06t2VsZHhMHf-1x7Y/edit?usp=sharing"",""แผน!AP71"")"),0)</f>
        <v>0</v>
      </c>
      <c r="J220" s="294">
        <v>0</v>
      </c>
      <c r="K220" s="74">
        <f t="shared" ref="K220:K222" ca="1" si="147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hidden="1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IFERROR(__xludf.DUMMYFUNCTION("IMPORTRANGE(""https://docs.google.com/spreadsheets/d/1eHaY18a8A9IcSdp1K8H6x8fbOy06t2VsZHhMHf-1x7Y/edit?usp=sharing"",""แผน!AP71"")"),0)</f>
        <v>0</v>
      </c>
      <c r="J221" s="294">
        <v>0</v>
      </c>
      <c r="K221" s="74">
        <f t="shared" ca="1" si="147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30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8">I230</f>
        <v>12000</v>
      </c>
      <c r="J222" s="559">
        <f t="shared" si="148"/>
        <v>0</v>
      </c>
      <c r="K222" s="560">
        <f t="shared" ca="1" si="147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58"/>
      <c r="C223" s="259" t="s">
        <v>18</v>
      </c>
      <c r="D223" s="112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1257">
        <f ca="1">L224+L225+L226</f>
        <v>4500</v>
      </c>
      <c r="M223" s="87"/>
      <c r="N223" s="264">
        <f>N224+N225+N226</f>
        <v>0</v>
      </c>
      <c r="O223" s="264">
        <f ca="1">IF(L223&gt;0,N223*100/L223,0)</f>
        <v>0</v>
      </c>
      <c r="P223" s="264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58"/>
      <c r="D224" s="398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3">
        <f ca="1">IFERROR(__xludf.DUMMYFUNCTION("IMPORTRANGE(""https://docs.google.com/spreadsheets/d/1eHaY18a8A9IcSdp1K8H6x8fbOy06t2VsZHhMHf-1x7Y/edit?usp=sharing"",""แผน!AR71"")"),3000)</f>
        <v>3000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3">
        <f ca="1">IFERROR(__xludf.DUMMYFUNCTION("IMPORTRANGE(""https://docs.google.com/spreadsheets/d/1eHaY18a8A9IcSdp1K8H6x8fbOy06t2VsZHhMHf-1x7Y/edit?usp=sharing"",""แผน!AS71"")"),1500)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3">
        <f ca="1">IFERROR(__xludf.DUMMYFUNCTION("IMPORTRANGE(""https://docs.google.com/spreadsheets/d/1eHaY18a8A9IcSdp1K8H6x8fbOy06t2VsZHhMHf-1x7Y/edit?usp=sharing"",""แผน!AT71"")"),0)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282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282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99" t="s">
        <v>99</v>
      </c>
      <c r="I229" s="293">
        <f ca="1">IFERROR(__xludf.DUMMYFUNCTION("IMPORTRANGE(""https://docs.google.com/spreadsheets/d/1eHaY18a8A9IcSdp1K8H6x8fbOy06t2VsZHhMHf-1x7Y/edit?usp=sharing"",""แผน!AV71"")"),12000)</f>
        <v>12000</v>
      </c>
      <c r="J229" s="294">
        <v>0</v>
      </c>
      <c r="K229" s="768">
        <f t="shared" ref="K229:K232" ca="1" si="149">IF(I229&gt;0,J229*100/I229,0)</f>
        <v>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99" t="s">
        <v>99</v>
      </c>
      <c r="I230" s="293">
        <f ca="1">IFERROR(__xludf.DUMMYFUNCTION("IMPORTRANGE(""https://docs.google.com/spreadsheets/d/1eHaY18a8A9IcSdp1K8H6x8fbOy06t2VsZHhMHf-1x7Y/edit?usp=sharing"",""แผน!AV71"")"),12000)</f>
        <v>12000</v>
      </c>
      <c r="J230" s="294">
        <v>0</v>
      </c>
      <c r="K230" s="768">
        <f t="shared" ca="1" si="149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99" t="s">
        <v>35</v>
      </c>
      <c r="I231" s="293">
        <f ca="1">IFERROR(__xludf.DUMMYFUNCTION("IMPORTRANGE(""https://docs.google.com/spreadsheets/d/1eHaY18a8A9IcSdp1K8H6x8fbOy06t2VsZHhMHf-1x7Y/edit?usp=sharing"",""แผน!AU71"")"),0)</f>
        <v>0</v>
      </c>
      <c r="J231" s="294">
        <v>0</v>
      </c>
      <c r="K231" s="768">
        <f t="shared" ca="1" si="149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553"/>
      <c r="B232" s="555"/>
      <c r="C232" s="1130" t="s">
        <v>105</v>
      </c>
      <c r="D232" s="554"/>
      <c r="E232" s="554"/>
      <c r="F232" s="554"/>
      <c r="G232" s="557"/>
      <c r="H232" s="558" t="s">
        <v>35</v>
      </c>
      <c r="I232" s="559">
        <f t="shared" ref="I232:J232" ca="1" si="150">I243+I254</f>
        <v>0</v>
      </c>
      <c r="J232" s="559">
        <f t="shared" si="150"/>
        <v>0</v>
      </c>
      <c r="K232" s="560">
        <f t="shared" ca="1" si="149"/>
        <v>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257"/>
      <c r="B233" s="258"/>
      <c r="C233" s="259" t="s">
        <v>18</v>
      </c>
      <c r="D233" s="260" t="s">
        <v>19</v>
      </c>
      <c r="E233" s="258"/>
      <c r="F233" s="258"/>
      <c r="G233" s="261"/>
      <c r="H233" s="633" t="s">
        <v>14</v>
      </c>
      <c r="I233" s="272"/>
      <c r="J233" s="272"/>
      <c r="K233" s="229"/>
      <c r="L233" s="1281">
        <f t="shared" ref="L233:L237" ca="1" si="151">L244+L255</f>
        <v>0</v>
      </c>
      <c r="M233" s="87"/>
      <c r="N233" s="1258">
        <f t="shared" ref="N233:N237" si="152">N244+N255</f>
        <v>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257"/>
      <c r="B234" s="269"/>
      <c r="C234" s="258"/>
      <c r="D234" s="267" t="s">
        <v>86</v>
      </c>
      <c r="E234" s="258"/>
      <c r="F234" s="258"/>
      <c r="G234" s="261"/>
      <c r="H234" s="271" t="s">
        <v>14</v>
      </c>
      <c r="I234" s="272"/>
      <c r="J234" s="272"/>
      <c r="K234" s="229"/>
      <c r="L234" s="76">
        <f t="shared" ca="1" si="151"/>
        <v>0</v>
      </c>
      <c r="M234" s="87"/>
      <c r="N234" s="77">
        <f t="shared" si="152"/>
        <v>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550"/>
      <c r="B235" s="269"/>
      <c r="C235" s="269"/>
      <c r="D235" s="267" t="s">
        <v>88</v>
      </c>
      <c r="E235" s="258"/>
      <c r="F235" s="258"/>
      <c r="G235" s="261"/>
      <c r="H235" s="271" t="s">
        <v>14</v>
      </c>
      <c r="I235" s="263"/>
      <c r="J235" s="263"/>
      <c r="K235" s="87"/>
      <c r="L235" s="76">
        <f t="shared" ca="1" si="151"/>
        <v>0</v>
      </c>
      <c r="M235" s="87"/>
      <c r="N235" s="77">
        <f t="shared" si="152"/>
        <v>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550"/>
      <c r="B236" s="269"/>
      <c r="C236" s="269"/>
      <c r="D236" s="267" t="s">
        <v>106</v>
      </c>
      <c r="E236" s="258"/>
      <c r="F236" s="258"/>
      <c r="G236" s="261"/>
      <c r="H236" s="271" t="s">
        <v>14</v>
      </c>
      <c r="I236" s="263"/>
      <c r="J236" s="263"/>
      <c r="K236" s="87"/>
      <c r="L236" s="76">
        <f t="shared" ca="1" si="151"/>
        <v>0</v>
      </c>
      <c r="M236" s="87"/>
      <c r="N236" s="77">
        <f t="shared" si="152"/>
        <v>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550"/>
      <c r="B237" s="269"/>
      <c r="C237" s="269"/>
      <c r="D237" s="267" t="s">
        <v>107</v>
      </c>
      <c r="E237" s="258"/>
      <c r="F237" s="258"/>
      <c r="G237" s="261"/>
      <c r="H237" s="271" t="s">
        <v>14</v>
      </c>
      <c r="I237" s="263"/>
      <c r="J237" s="263"/>
      <c r="K237" s="87"/>
      <c r="L237" s="76">
        <f t="shared" ca="1" si="151"/>
        <v>0</v>
      </c>
      <c r="M237" s="87"/>
      <c r="N237" s="77">
        <f t="shared" si="152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276"/>
      <c r="B238" s="277"/>
      <c r="C238" s="621" t="s">
        <v>18</v>
      </c>
      <c r="D238" s="1019" t="s">
        <v>38</v>
      </c>
      <c r="E238" s="280"/>
      <c r="F238" s="280"/>
      <c r="G238" s="281"/>
      <c r="H238" s="282"/>
      <c r="I238" s="272"/>
      <c r="J238" s="263"/>
      <c r="K238" s="87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276"/>
      <c r="B239" s="277"/>
      <c r="C239" s="277"/>
      <c r="D239" s="295" t="s">
        <v>108</v>
      </c>
      <c r="E239" s="296"/>
      <c r="F239" s="296"/>
      <c r="G239" s="282"/>
      <c r="H239" s="299" t="s">
        <v>35</v>
      </c>
      <c r="I239" s="293">
        <f t="shared" ref="I239:J239" ca="1" si="153">I250+I261</f>
        <v>0</v>
      </c>
      <c r="J239" s="293">
        <f t="shared" si="153"/>
        <v>0</v>
      </c>
      <c r="K239" s="74">
        <f ca="1">IF(I239&gt;0,J239*100/I239,0)</f>
        <v>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276"/>
      <c r="B240" s="277"/>
      <c r="C240" s="277"/>
      <c r="D240" s="1103" t="s">
        <v>43</v>
      </c>
      <c r="E240" s="296"/>
      <c r="F240" s="296"/>
      <c r="G240" s="282"/>
      <c r="H240" s="282"/>
      <c r="I240" s="263"/>
      <c r="J240" s="263"/>
      <c r="K240" s="87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276"/>
      <c r="B241" s="277"/>
      <c r="C241" s="277"/>
      <c r="D241" s="277"/>
      <c r="E241" s="767" t="s">
        <v>109</v>
      </c>
      <c r="F241" s="296"/>
      <c r="G241" s="282"/>
      <c r="H241" s="299" t="s">
        <v>35</v>
      </c>
      <c r="I241" s="293">
        <f t="shared" ref="I241:J242" si="154">I252+I263</f>
        <v>0</v>
      </c>
      <c r="J241" s="293">
        <f t="shared" si="154"/>
        <v>0</v>
      </c>
      <c r="K241" s="74">
        <f t="shared" ref="K241:K243" si="155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276"/>
      <c r="B242" s="277"/>
      <c r="C242" s="277"/>
      <c r="D242" s="277"/>
      <c r="E242" s="767" t="s">
        <v>110</v>
      </c>
      <c r="F242" s="296"/>
      <c r="G242" s="282"/>
      <c r="H242" s="299" t="s">
        <v>61</v>
      </c>
      <c r="I242" s="293">
        <f t="shared" si="154"/>
        <v>0</v>
      </c>
      <c r="J242" s="293">
        <f t="shared" si="154"/>
        <v>0</v>
      </c>
      <c r="K242" s="74">
        <f t="shared" si="155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hidden="1" x14ac:dyDescent="0.3">
      <c r="A243" s="553"/>
      <c r="B243" s="555"/>
      <c r="C243" s="927" t="s">
        <v>111</v>
      </c>
      <c r="D243" s="554"/>
      <c r="E243" s="554"/>
      <c r="F243" s="554"/>
      <c r="G243" s="557"/>
      <c r="H243" s="930" t="s">
        <v>35</v>
      </c>
      <c r="I243" s="931">
        <f t="shared" ref="I243:J243" ca="1" si="156">I250</f>
        <v>0</v>
      </c>
      <c r="J243" s="931">
        <f t="shared" si="156"/>
        <v>0</v>
      </c>
      <c r="K243" s="932">
        <f t="shared" ca="1" si="155"/>
        <v>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hidden="1" x14ac:dyDescent="0.3">
      <c r="A244" s="257"/>
      <c r="B244" s="258"/>
      <c r="C244" s="933" t="s">
        <v>18</v>
      </c>
      <c r="D244" s="934" t="s">
        <v>19</v>
      </c>
      <c r="E244" s="258"/>
      <c r="F244" s="258"/>
      <c r="G244" s="261"/>
      <c r="H244" s="703" t="s">
        <v>14</v>
      </c>
      <c r="I244" s="272"/>
      <c r="J244" s="272"/>
      <c r="K244" s="229"/>
      <c r="L244" s="1257">
        <f ca="1">L245+L246+L247+L248</f>
        <v>0</v>
      </c>
      <c r="M244" s="87"/>
      <c r="N244" s="264">
        <f>N245+N246+N247+N248</f>
        <v>0</v>
      </c>
      <c r="O244" s="264">
        <f ca="1">IF(L244&gt;0,N244*100/L244,0)</f>
        <v>0</v>
      </c>
      <c r="P244" s="264">
        <f>IF(M244&gt;0,N244*100/M244,0)</f>
        <v>0</v>
      </c>
      <c r="Q244" s="87"/>
      <c r="R244" s="87"/>
      <c r="S244" s="87"/>
      <c r="T244" s="87"/>
      <c r="U244" s="87"/>
    </row>
    <row r="245" spans="1:21" ht="18.75" hidden="1" x14ac:dyDescent="0.25">
      <c r="A245" s="257"/>
      <c r="B245" s="269"/>
      <c r="C245" s="258"/>
      <c r="D245" s="265" t="s">
        <v>86</v>
      </c>
      <c r="E245" s="258"/>
      <c r="F245" s="258"/>
      <c r="G245" s="261"/>
      <c r="H245" s="273" t="s">
        <v>14</v>
      </c>
      <c r="I245" s="272"/>
      <c r="J245" s="272"/>
      <c r="K245" s="229"/>
      <c r="L245" s="73">
        <f ca="1">IFERROR(__xludf.DUMMYFUNCTION("IMPORTRANGE(""https://docs.google.com/spreadsheets/d/1eHaY18a8A9IcSdp1K8H6x8fbOy06t2VsZHhMHf-1x7Y/edit?usp=sharing"",""แผน!AX71"")"),0)</f>
        <v>0</v>
      </c>
      <c r="M245" s="87"/>
      <c r="N245" s="924">
        <v>0</v>
      </c>
      <c r="O245" s="87"/>
      <c r="P245" s="87"/>
      <c r="Q245" s="87"/>
      <c r="R245" s="87"/>
      <c r="S245" s="87"/>
      <c r="T245" s="87"/>
      <c r="U245" s="87"/>
    </row>
    <row r="246" spans="1:21" ht="18.75" hidden="1" x14ac:dyDescent="0.25">
      <c r="A246" s="550"/>
      <c r="B246" s="269"/>
      <c r="C246" s="269"/>
      <c r="D246" s="265" t="s">
        <v>88</v>
      </c>
      <c r="E246" s="258"/>
      <c r="F246" s="258"/>
      <c r="G246" s="261"/>
      <c r="H246" s="273" t="s">
        <v>14</v>
      </c>
      <c r="I246" s="263"/>
      <c r="J246" s="263"/>
      <c r="K246" s="87"/>
      <c r="L246" s="73">
        <f ca="1">IFERROR(__xludf.DUMMYFUNCTION("IMPORTRANGE(""https://docs.google.com/spreadsheets/d/1eHaY18a8A9IcSdp1K8H6x8fbOy06t2VsZHhMHf-1x7Y/edit?usp=sharing"",""แผน!AY71"")"),0)</f>
        <v>0</v>
      </c>
      <c r="M246" s="87"/>
      <c r="N246" s="924">
        <v>0</v>
      </c>
      <c r="O246" s="87"/>
      <c r="P246" s="87"/>
      <c r="Q246" s="87"/>
      <c r="R246" s="87"/>
      <c r="S246" s="87"/>
      <c r="T246" s="87"/>
      <c r="U246" s="87"/>
    </row>
    <row r="247" spans="1:21" ht="18.75" hidden="1" x14ac:dyDescent="0.25">
      <c r="A247" s="550"/>
      <c r="B247" s="269"/>
      <c r="C247" s="269"/>
      <c r="D247" s="265" t="s">
        <v>106</v>
      </c>
      <c r="E247" s="258"/>
      <c r="F247" s="258"/>
      <c r="G247" s="261"/>
      <c r="H247" s="273" t="s">
        <v>14</v>
      </c>
      <c r="I247" s="263"/>
      <c r="J247" s="263"/>
      <c r="K247" s="87"/>
      <c r="L247" s="73">
        <f ca="1">IFERROR(__xludf.DUMMYFUNCTION("IMPORTRANGE(""https://docs.google.com/spreadsheets/d/1eHaY18a8A9IcSdp1K8H6x8fbOy06t2VsZHhMHf-1x7Y/edit?usp=sharing"",""แผน!AZ71"")"),0)</f>
        <v>0</v>
      </c>
      <c r="M247" s="87"/>
      <c r="N247" s="924">
        <v>0</v>
      </c>
      <c r="O247" s="87"/>
      <c r="P247" s="87"/>
      <c r="Q247" s="87"/>
      <c r="R247" s="87"/>
      <c r="S247" s="87"/>
      <c r="T247" s="87"/>
      <c r="U247" s="87"/>
    </row>
    <row r="248" spans="1:21" ht="18.75" hidden="1" x14ac:dyDescent="0.25">
      <c r="A248" s="550"/>
      <c r="B248" s="269"/>
      <c r="C248" s="269"/>
      <c r="D248" s="265" t="s">
        <v>107</v>
      </c>
      <c r="E248" s="258"/>
      <c r="F248" s="258"/>
      <c r="G248" s="261"/>
      <c r="H248" s="273" t="s">
        <v>14</v>
      </c>
      <c r="I248" s="263"/>
      <c r="J248" s="263"/>
      <c r="K248" s="87"/>
      <c r="L248" s="73">
        <f ca="1">IFERROR(__xludf.DUMMYFUNCTION("IMPORTRANGE(""https://docs.google.com/spreadsheets/d/1eHaY18a8A9IcSdp1K8H6x8fbOy06t2VsZHhMHf-1x7Y/edit?usp=sharing"",""แผน!BA71"")"),0)</f>
        <v>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hidden="1" x14ac:dyDescent="0.3">
      <c r="A249" s="276"/>
      <c r="B249" s="277"/>
      <c r="C249" s="939" t="s">
        <v>18</v>
      </c>
      <c r="D249" s="940" t="s">
        <v>38</v>
      </c>
      <c r="E249" s="280"/>
      <c r="F249" s="280"/>
      <c r="G249" s="281"/>
      <c r="H249" s="282"/>
      <c r="I249" s="272"/>
      <c r="J249" s="263"/>
      <c r="K249" s="87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hidden="1" x14ac:dyDescent="0.25">
      <c r="A250" s="276"/>
      <c r="B250" s="277"/>
      <c r="C250" s="277"/>
      <c r="D250" s="311" t="s">
        <v>108</v>
      </c>
      <c r="E250" s="296"/>
      <c r="F250" s="296"/>
      <c r="G250" s="282"/>
      <c r="H250" s="945" t="s">
        <v>35</v>
      </c>
      <c r="I250" s="592">
        <f ca="1">IFERROR(__xludf.DUMMYFUNCTION("IMPORTRANGE(""https://docs.google.com/spreadsheets/d/1eHaY18a8A9IcSdp1K8H6x8fbOy06t2VsZHhMHf-1x7Y/edit?usp=sharing"",""แผน!BG71"")"),0)</f>
        <v>0</v>
      </c>
      <c r="J250" s="910">
        <v>0</v>
      </c>
      <c r="K250" s="77">
        <f ca="1">IF(I250&gt;0,J250*100/I250,0)</f>
        <v>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hidden="1" x14ac:dyDescent="0.25">
      <c r="A251" s="276"/>
      <c r="B251" s="277"/>
      <c r="C251" s="277"/>
      <c r="D251" s="946" t="s">
        <v>43</v>
      </c>
      <c r="E251" s="296"/>
      <c r="F251" s="296"/>
      <c r="G251" s="282"/>
      <c r="H251" s="282"/>
      <c r="I251" s="263"/>
      <c r="J251" s="263"/>
      <c r="K251" s="87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hidden="1" x14ac:dyDescent="0.25">
      <c r="A252" s="276"/>
      <c r="B252" s="277"/>
      <c r="C252" s="277"/>
      <c r="D252" s="277"/>
      <c r="E252" s="947" t="s">
        <v>109</v>
      </c>
      <c r="F252" s="296"/>
      <c r="G252" s="282"/>
      <c r="H252" s="945" t="s">
        <v>35</v>
      </c>
      <c r="I252" s="592">
        <v>0</v>
      </c>
      <c r="J252" s="910">
        <v>0</v>
      </c>
      <c r="K252" s="77">
        <f t="shared" ref="K252:K254" si="157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hidden="1" x14ac:dyDescent="0.25">
      <c r="A253" s="276"/>
      <c r="B253" s="277"/>
      <c r="C253" s="277"/>
      <c r="D253" s="277"/>
      <c r="E253" s="947" t="s">
        <v>110</v>
      </c>
      <c r="F253" s="296"/>
      <c r="G253" s="282"/>
      <c r="H253" s="945" t="s">
        <v>61</v>
      </c>
      <c r="I253" s="592">
        <v>0</v>
      </c>
      <c r="J253" s="910">
        <v>0</v>
      </c>
      <c r="K253" s="77">
        <f t="shared" si="157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553"/>
      <c r="B254" s="555"/>
      <c r="C254" s="927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8">I261</f>
        <v>0</v>
      </c>
      <c r="J254" s="931">
        <f t="shared" si="158"/>
        <v>0</v>
      </c>
      <c r="K254" s="932">
        <f t="shared" ca="1" si="157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257"/>
      <c r="B255" s="258"/>
      <c r="C255" s="933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1257">
        <f ca="1">L256+L257+L258+L259</f>
        <v>0</v>
      </c>
      <c r="M255" s="87"/>
      <c r="N255" s="264">
        <f>N256+N257+N258+N259</f>
        <v>0</v>
      </c>
      <c r="O255" s="264">
        <f ca="1">IF(L255&gt;0,N255*100/L255,0)</f>
        <v>0</v>
      </c>
      <c r="P255" s="264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257"/>
      <c r="B256" s="269"/>
      <c r="C256" s="258"/>
      <c r="D256" s="265" t="s">
        <v>86</v>
      </c>
      <c r="E256" s="258"/>
      <c r="F256" s="258"/>
      <c r="G256" s="261"/>
      <c r="H256" s="273" t="s">
        <v>14</v>
      </c>
      <c r="I256" s="272"/>
      <c r="J256" s="272"/>
      <c r="K256" s="229"/>
      <c r="L256" s="73">
        <f ca="1">IFERROR(__xludf.DUMMYFUNCTION("IMPORTRANGE(""https://docs.google.com/spreadsheets/d/1eHaY18a8A9IcSdp1K8H6x8fbOy06t2VsZHhMHf-1x7Y/edit?usp=sharing"",""แผน!BB71"")"),0)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265" t="s">
        <v>88</v>
      </c>
      <c r="E257" s="258"/>
      <c r="F257" s="258"/>
      <c r="G257" s="261"/>
      <c r="H257" s="273" t="s">
        <v>14</v>
      </c>
      <c r="I257" s="263"/>
      <c r="J257" s="263"/>
      <c r="K257" s="87"/>
      <c r="L257" s="73">
        <f ca="1">IFERROR(__xludf.DUMMYFUNCTION("IMPORTRANGE(""https://docs.google.com/spreadsheets/d/1eHaY18a8A9IcSdp1K8H6x8fbOy06t2VsZHhMHf-1x7Y/edit?usp=sharing"",""แผน!BC71"")"),0)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265" t="s">
        <v>106</v>
      </c>
      <c r="E258" s="258"/>
      <c r="F258" s="258"/>
      <c r="G258" s="261"/>
      <c r="H258" s="273" t="s">
        <v>14</v>
      </c>
      <c r="I258" s="263"/>
      <c r="J258" s="263"/>
      <c r="K258" s="87"/>
      <c r="L258" s="73">
        <f ca="1">IFERROR(__xludf.DUMMYFUNCTION("IMPORTRANGE(""https://docs.google.com/spreadsheets/d/1eHaY18a8A9IcSdp1K8H6x8fbOy06t2VsZHhMHf-1x7Y/edit?usp=sharing"",""แผน!BD71"")"),0)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5" t="s">
        <v>107</v>
      </c>
      <c r="E259" s="258"/>
      <c r="F259" s="258"/>
      <c r="G259" s="261"/>
      <c r="H259" s="273" t="s">
        <v>14</v>
      </c>
      <c r="I259" s="263"/>
      <c r="J259" s="263"/>
      <c r="K259" s="87"/>
      <c r="L259" s="73">
        <f ca="1">IFERROR(__xludf.DUMMYFUNCTION("IMPORTRANGE(""https://docs.google.com/spreadsheets/d/1eHaY18a8A9IcSdp1K8H6x8fbOy06t2VsZHhMHf-1x7Y/edit?usp=sharing"",""แผน!BE71"")"),0)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945" t="s">
        <v>35</v>
      </c>
      <c r="I261" s="592">
        <f ca="1">IFERROR(__xludf.DUMMYFUNCTION("IMPORTRANGE(""https://docs.google.com/spreadsheets/d/1eHaY18a8A9IcSdp1K8H6x8fbOy06t2VsZHhMHf-1x7Y/edit?usp=sharing"",""แผน!BH71"")"),0)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282"/>
      <c r="I262" s="263"/>
      <c r="J262" s="263"/>
      <c r="K262" s="87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945" t="s">
        <v>35</v>
      </c>
      <c r="I263" s="263"/>
      <c r="J263" s="910">
        <v>0</v>
      </c>
      <c r="K263" s="77">
        <f t="shared" ref="K263:K264" si="159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945" t="s">
        <v>61</v>
      </c>
      <c r="I264" s="263"/>
      <c r="J264" s="910">
        <v>0</v>
      </c>
      <c r="K264" s="77">
        <f t="shared" si="159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363"/>
      <c r="I265" s="364"/>
      <c r="J265" s="364"/>
      <c r="K265" s="365"/>
      <c r="L265" s="1230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371" t="s">
        <v>35</v>
      </c>
      <c r="I266" s="1140">
        <f t="shared" ref="I266:J266" ca="1" si="160">I277</f>
        <v>12</v>
      </c>
      <c r="J266" s="1140">
        <f t="shared" si="160"/>
        <v>0</v>
      </c>
      <c r="K266" s="373">
        <f ca="1">IF(I266&gt;0,J266*100/I266,0)</f>
        <v>0</v>
      </c>
      <c r="L266" s="1231"/>
      <c r="M266" s="374"/>
      <c r="N266" s="374"/>
      <c r="O266" s="374"/>
      <c r="P266" s="374"/>
      <c r="Q266" s="374"/>
      <c r="R266" s="374"/>
      <c r="S266" s="374"/>
      <c r="T266" s="374"/>
      <c r="U266" s="374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1262">
        <f t="shared" ref="L267:N267" ca="1" si="161">L268+L269</f>
        <v>0</v>
      </c>
      <c r="M267" s="213">
        <f t="shared" ca="1" si="161"/>
        <v>5000</v>
      </c>
      <c r="N267" s="213">
        <f t="shared" ca="1" si="161"/>
        <v>0</v>
      </c>
      <c r="O267" s="213">
        <f t="shared" ref="O267:O275" ca="1" si="162">IF(L267&gt;0,N267*100/L267,0)</f>
        <v>0</v>
      </c>
      <c r="P267" s="213">
        <f t="shared" ref="P267:P275" ca="1" si="163">IF(M267&gt;0,N267*100/M267,0)</f>
        <v>0</v>
      </c>
      <c r="Q267" s="213">
        <f t="shared" ref="Q267:S267" ca="1" si="164">Q268+Q269</f>
        <v>36760</v>
      </c>
      <c r="R267" s="213">
        <f t="shared" ca="1" si="164"/>
        <v>36760</v>
      </c>
      <c r="S267" s="213">
        <f t="shared" ca="1" si="164"/>
        <v>0</v>
      </c>
      <c r="T267" s="213">
        <f t="shared" ref="T267:T275" ca="1" si="165">IF(Q267&gt;0,S267*100/Q267,0)</f>
        <v>0</v>
      </c>
      <c r="U267" s="213">
        <f t="shared" ref="U267:U275" ca="1" si="166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76">
        <f t="shared" ref="L268:N269" si="167">L271+L274</f>
        <v>0</v>
      </c>
      <c r="M268" s="77">
        <f t="shared" si="167"/>
        <v>0</v>
      </c>
      <c r="N268" s="77">
        <f t="shared" si="167"/>
        <v>0</v>
      </c>
      <c r="O268" s="77">
        <f t="shared" si="162"/>
        <v>0</v>
      </c>
      <c r="P268" s="77">
        <f t="shared" si="163"/>
        <v>0</v>
      </c>
      <c r="Q268" s="77">
        <f t="shared" ref="Q268:S269" si="168">Q271+Q274</f>
        <v>0</v>
      </c>
      <c r="R268" s="77">
        <f t="shared" si="168"/>
        <v>0</v>
      </c>
      <c r="S268" s="77">
        <f t="shared" si="168"/>
        <v>0</v>
      </c>
      <c r="T268" s="77">
        <f t="shared" si="165"/>
        <v>0</v>
      </c>
      <c r="U268" s="77">
        <f t="shared" si="166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261">
        <f t="shared" ca="1" si="167"/>
        <v>0</v>
      </c>
      <c r="M269" s="399">
        <f t="shared" ca="1" si="167"/>
        <v>5000</v>
      </c>
      <c r="N269" s="399">
        <f t="shared" ca="1" si="167"/>
        <v>0</v>
      </c>
      <c r="O269" s="399">
        <f t="shared" ca="1" si="162"/>
        <v>0</v>
      </c>
      <c r="P269" s="399">
        <f t="shared" ca="1" si="163"/>
        <v>0</v>
      </c>
      <c r="Q269" s="399">
        <f t="shared" ca="1" si="168"/>
        <v>36760</v>
      </c>
      <c r="R269" s="399">
        <f t="shared" ca="1" si="168"/>
        <v>36760</v>
      </c>
      <c r="S269" s="399">
        <f t="shared" ca="1" si="168"/>
        <v>0</v>
      </c>
      <c r="T269" s="399">
        <f t="shared" ca="1" si="165"/>
        <v>0</v>
      </c>
      <c r="U269" s="399">
        <f t="shared" ca="1" si="166"/>
        <v>0</v>
      </c>
    </row>
    <row r="270" spans="1:21" ht="18.75" x14ac:dyDescent="0.25">
      <c r="A270" s="209"/>
      <c r="B270" s="67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261">
        <f t="shared" ref="L270:N270" ca="1" si="169">L271+L272</f>
        <v>0</v>
      </c>
      <c r="M270" s="399">
        <f t="shared" ca="1" si="169"/>
        <v>5000</v>
      </c>
      <c r="N270" s="399">
        <f t="shared" ca="1" si="169"/>
        <v>0</v>
      </c>
      <c r="O270" s="399">
        <f t="shared" ca="1" si="162"/>
        <v>0</v>
      </c>
      <c r="P270" s="399">
        <f t="shared" ca="1" si="163"/>
        <v>0</v>
      </c>
      <c r="Q270" s="399">
        <f t="shared" ref="Q270:S270" ca="1" si="170">Q271+Q272</f>
        <v>36760</v>
      </c>
      <c r="R270" s="399">
        <f t="shared" ca="1" si="170"/>
        <v>36760</v>
      </c>
      <c r="S270" s="399">
        <f t="shared" ca="1" si="170"/>
        <v>0</v>
      </c>
      <c r="T270" s="399">
        <f t="shared" ca="1" si="165"/>
        <v>0</v>
      </c>
      <c r="U270" s="399">
        <f t="shared" ca="1" si="166"/>
        <v>0</v>
      </c>
    </row>
    <row r="271" spans="1:21" ht="18.75" hidden="1" x14ac:dyDescent="0.25">
      <c r="A271" s="880"/>
      <c r="B271" s="838"/>
      <c r="C271" s="838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77">
        <f t="shared" si="162"/>
        <v>0</v>
      </c>
      <c r="P271" s="77">
        <f t="shared" si="163"/>
        <v>0</v>
      </c>
      <c r="Q271" s="77">
        <v>0</v>
      </c>
      <c r="R271" s="77">
        <v>0</v>
      </c>
      <c r="S271" s="77">
        <v>0</v>
      </c>
      <c r="T271" s="77">
        <f t="shared" si="165"/>
        <v>0</v>
      </c>
      <c r="U271" s="77">
        <f t="shared" si="166"/>
        <v>0</v>
      </c>
    </row>
    <row r="272" spans="1:21" ht="18.75" hidden="1" x14ac:dyDescent="0.25">
      <c r="A272" s="209"/>
      <c r="B272" s="67"/>
      <c r="C272" s="67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261">
        <f ca="1">IFERROR(__xludf.DUMMYFUNCTION("IMPORTRANGE(""https://docs.google.com/spreadsheets/d/1-uDff_7J0KD5mKrp0Vvzr7lt3OU09vwQwhkpOPPYv2Y/edit?usp=sharing"",""งบพรบ!DE71"")"),0)</f>
        <v>0</v>
      </c>
      <c r="M272" s="399">
        <f ca="1">IFERROR(__xludf.DUMMYFUNCTION("IMPORTRANGE(""https://docs.google.com/spreadsheets/d/1-uDff_7J0KD5mKrp0Vvzr7lt3OU09vwQwhkpOPPYv2Y/edit?usp=sharing"",""งบพรบ!DJ71"")"),5000)</f>
        <v>5000</v>
      </c>
      <c r="N272" s="399">
        <f ca="1">IFERROR(__xludf.DUMMYFUNCTION("IMPORTRANGE(""https://docs.google.com/spreadsheets/d/1-uDff_7J0KD5mKrp0Vvzr7lt3OU09vwQwhkpOPPYv2Y/edit?usp=sharing"",""งบพรบ!DL71"")"),0)</f>
        <v>0</v>
      </c>
      <c r="O272" s="399">
        <f t="shared" ca="1" si="162"/>
        <v>0</v>
      </c>
      <c r="P272" s="399">
        <f t="shared" ca="1" si="163"/>
        <v>0</v>
      </c>
      <c r="Q272" s="399">
        <f ca="1">IFERROR(__xludf.DUMMYFUNCTION("IMPORTRANGE(""https://docs.google.com/spreadsheets/d/1ItG2mGa2ceCfYo0BwxsXqNm01IGEUdYcSSLTEv9YCik/edit?usp=sharing"",""เบิกจ่ายกองทุน!AJ71"")"),36760)</f>
        <v>36760</v>
      </c>
      <c r="R272" s="399">
        <f ca="1">IFERROR(__xludf.DUMMYFUNCTION("IMPORTRANGE(""https://docs.google.com/spreadsheets/d/1ItG2mGa2ceCfYo0BwxsXqNm01IGEUdYcSSLTEv9YCik/edit?usp=sharing"",""เบิกจ่ายกองทุน!AK71"")"),36760)</f>
        <v>36760</v>
      </c>
      <c r="S272" s="399">
        <f ca="1">IFERROR(__xludf.DUMMYFUNCTION("IMPORTRANGE(""https://docs.google.com/spreadsheets/d/1ItG2mGa2ceCfYo0BwxsXqNm01IGEUdYcSSLTEv9YCik/edit?usp=sharing"",""เบิกจ่ายกองทุน!AL71"")"),0)</f>
        <v>0</v>
      </c>
      <c r="T272" s="399">
        <f t="shared" ca="1" si="165"/>
        <v>0</v>
      </c>
      <c r="U272" s="399">
        <f t="shared" ca="1" si="166"/>
        <v>0</v>
      </c>
    </row>
    <row r="273" spans="1:21" ht="18.75" x14ac:dyDescent="0.25">
      <c r="A273" s="209"/>
      <c r="B273" s="67"/>
      <c r="C273" s="67"/>
      <c r="D273" s="836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261">
        <f t="shared" ref="L273:N273" ca="1" si="171">L274+L275</f>
        <v>0</v>
      </c>
      <c r="M273" s="399">
        <f t="shared" ca="1" si="171"/>
        <v>0</v>
      </c>
      <c r="N273" s="399">
        <f t="shared" ca="1" si="171"/>
        <v>0</v>
      </c>
      <c r="O273" s="399">
        <f t="shared" ca="1" si="162"/>
        <v>0</v>
      </c>
      <c r="P273" s="399">
        <f t="shared" ca="1" si="163"/>
        <v>0</v>
      </c>
      <c r="Q273" s="399">
        <f t="shared" ref="Q273:S273" si="172">Q274+Q275</f>
        <v>0</v>
      </c>
      <c r="R273" s="399">
        <f t="shared" si="172"/>
        <v>0</v>
      </c>
      <c r="S273" s="399">
        <f t="shared" si="172"/>
        <v>0</v>
      </c>
      <c r="T273" s="399">
        <f t="shared" si="165"/>
        <v>0</v>
      </c>
      <c r="U273" s="399">
        <f t="shared" si="166"/>
        <v>0</v>
      </c>
    </row>
    <row r="274" spans="1:21" ht="18.75" hidden="1" x14ac:dyDescent="0.25">
      <c r="A274" s="880"/>
      <c r="B274" s="838"/>
      <c r="C274" s="838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77">
        <f t="shared" si="162"/>
        <v>0</v>
      </c>
      <c r="P274" s="77">
        <f t="shared" si="163"/>
        <v>0</v>
      </c>
      <c r="Q274" s="77">
        <v>0</v>
      </c>
      <c r="R274" s="77">
        <v>0</v>
      </c>
      <c r="S274" s="77">
        <v>0</v>
      </c>
      <c r="T274" s="77">
        <f t="shared" si="165"/>
        <v>0</v>
      </c>
      <c r="U274" s="77">
        <f t="shared" si="166"/>
        <v>0</v>
      </c>
    </row>
    <row r="275" spans="1:21" ht="18.75" hidden="1" x14ac:dyDescent="0.25">
      <c r="A275" s="209"/>
      <c r="B275" s="67"/>
      <c r="C275" s="67"/>
      <c r="D275" s="67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261">
        <f ca="1">IFERROR(__xludf.DUMMYFUNCTION("IMPORTRANGE(""https://docs.google.com/spreadsheets/d/1-uDff_7J0KD5mKrp0Vvzr7lt3OU09vwQwhkpOPPYv2Y/edit?usp=sharing"",""งบพรบ!DH71"")"),0)</f>
        <v>0</v>
      </c>
      <c r="M275" s="399">
        <f ca="1">IFERROR(__xludf.DUMMYFUNCTION("IMPORTRANGE(""https://docs.google.com/spreadsheets/d/1-uDff_7J0KD5mKrp0Vvzr7lt3OU09vwQwhkpOPPYv2Y/edit?usp=sharing"",""งบพรบ!DK71"")"),0)</f>
        <v>0</v>
      </c>
      <c r="N275" s="399">
        <f ca="1">IFERROR(__xludf.DUMMYFUNCTION("IMPORTRANGE(""https://docs.google.com/spreadsheets/d/1-uDff_7J0KD5mKrp0Vvzr7lt3OU09vwQwhkpOPPYv2Y/edit?usp=sharing"",""งบพรบ!DM71"")"),0)</f>
        <v>0</v>
      </c>
      <c r="O275" s="399">
        <f t="shared" ca="1" si="162"/>
        <v>0</v>
      </c>
      <c r="P275" s="399">
        <f t="shared" ca="1" si="163"/>
        <v>0</v>
      </c>
      <c r="Q275" s="399">
        <v>0</v>
      </c>
      <c r="R275" s="399">
        <v>0</v>
      </c>
      <c r="S275" s="399">
        <v>0</v>
      </c>
      <c r="T275" s="399">
        <f t="shared" si="165"/>
        <v>0</v>
      </c>
      <c r="U275" s="399">
        <f t="shared" si="166"/>
        <v>0</v>
      </c>
    </row>
    <row r="276" spans="1:21" ht="19.5" x14ac:dyDescent="0.3">
      <c r="A276" s="222"/>
      <c r="B276" s="223"/>
      <c r="C276" s="440" t="s">
        <v>18</v>
      </c>
      <c r="D276" s="883" t="s">
        <v>38</v>
      </c>
      <c r="E276" s="225"/>
      <c r="F276" s="225"/>
      <c r="G276" s="226"/>
      <c r="H276" s="227"/>
      <c r="I276" s="219"/>
      <c r="J276" s="219"/>
      <c r="K276" s="220"/>
      <c r="L276" s="1235"/>
      <c r="M276" s="220"/>
      <c r="N276" s="220"/>
      <c r="O276" s="220"/>
      <c r="P276" s="220"/>
      <c r="Q276" s="220"/>
      <c r="R276" s="220"/>
      <c r="S276" s="220"/>
      <c r="T276" s="220"/>
      <c r="U276" s="220"/>
    </row>
    <row r="277" spans="1:21" ht="18.75" x14ac:dyDescent="0.25">
      <c r="A277" s="1340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IFERROR(__xludf.DUMMYFUNCTION("IMPORTRANGE(""https://docs.google.com/spreadsheets/d/1eHaY18a8A9IcSdp1K8H6x8fbOy06t2VsZHhMHf-1x7Y/edit?usp=sharing"",""แผน!EC71"")"),12)</f>
        <v>12</v>
      </c>
      <c r="J277" s="908">
        <v>0</v>
      </c>
      <c r="K277" s="85">
        <f ca="1">IF(I277&gt;0,J277*100/I277,0)</f>
        <v>0</v>
      </c>
      <c r="L277" s="540"/>
      <c r="M277" s="72"/>
      <c r="N277" s="72"/>
      <c r="O277" s="72"/>
      <c r="P277" s="72"/>
      <c r="Q277" s="72"/>
      <c r="R277" s="72"/>
      <c r="S277" s="72"/>
      <c r="T277" s="72"/>
      <c r="U277" s="72"/>
    </row>
    <row r="278" spans="1:21" ht="18.75" hidden="1" x14ac:dyDescent="0.25">
      <c r="A278" s="1236"/>
      <c r="B278" s="996"/>
      <c r="C278" s="996"/>
      <c r="D278" s="1145" t="s">
        <v>116</v>
      </c>
      <c r="E278" s="1237"/>
      <c r="F278" s="1237"/>
      <c r="G278" s="1238"/>
      <c r="H278" s="1305" t="s">
        <v>35</v>
      </c>
      <c r="I278" s="779">
        <v>0</v>
      </c>
      <c r="J278" s="779">
        <v>0</v>
      </c>
      <c r="K278" s="1147">
        <v>0</v>
      </c>
      <c r="L278" s="1239"/>
      <c r="M278" s="1240"/>
      <c r="N278" s="1240"/>
      <c r="O278" s="1240"/>
      <c r="P278" s="1240"/>
      <c r="Q278" s="1240"/>
      <c r="R278" s="1240"/>
      <c r="S278" s="1240"/>
      <c r="T278" s="1240"/>
      <c r="U278" s="124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50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3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306" t="s">
        <v>35</v>
      </c>
      <c r="I281" s="1163">
        <f t="shared" ref="I281:J281" ca="1" si="173">I294</f>
        <v>0</v>
      </c>
      <c r="J281" s="1163">
        <f t="shared" si="173"/>
        <v>0</v>
      </c>
      <c r="K281" s="1164">
        <f t="shared" ref="K281:K282" ca="1" si="174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306" t="s">
        <v>46</v>
      </c>
      <c r="I282" s="1163">
        <f t="shared" ref="I282:J282" ca="1" si="175">I293</f>
        <v>0</v>
      </c>
      <c r="J282" s="1163">
        <f t="shared" si="175"/>
        <v>0</v>
      </c>
      <c r="K282" s="1164">
        <f t="shared" ca="1" si="174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1257">
        <f t="shared" ref="L283:N283" ca="1" si="176">L284+L285</f>
        <v>0</v>
      </c>
      <c r="M283" s="264">
        <f t="shared" ca="1" si="176"/>
        <v>0</v>
      </c>
      <c r="N283" s="264">
        <f t="shared" ca="1" si="176"/>
        <v>0</v>
      </c>
      <c r="O283" s="264">
        <f t="shared" ref="O283:O291" ca="1" si="177">IF(L283&gt;0,N283*100/L283,0)</f>
        <v>0</v>
      </c>
      <c r="P283" s="264">
        <f t="shared" ref="P283:P291" ca="1" si="178">IF(M283&gt;0,N283*100/M283,0)</f>
        <v>0</v>
      </c>
      <c r="Q283" s="264">
        <f t="shared" ref="Q283:S283" si="179">Q284+Q285</f>
        <v>0</v>
      </c>
      <c r="R283" s="264">
        <f t="shared" si="179"/>
        <v>0</v>
      </c>
      <c r="S283" s="264">
        <f t="shared" si="179"/>
        <v>0</v>
      </c>
      <c r="T283" s="264">
        <f t="shared" ref="T283:T291" si="180">IF(Q283&gt;0,S283*100/Q283,0)</f>
        <v>0</v>
      </c>
      <c r="U283" s="264">
        <f t="shared" ref="U283:U291" si="181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6">
        <f t="shared" ref="L284:N285" si="182">L287+L290</f>
        <v>0</v>
      </c>
      <c r="M284" s="77">
        <f t="shared" si="182"/>
        <v>0</v>
      </c>
      <c r="N284" s="77">
        <f t="shared" si="182"/>
        <v>0</v>
      </c>
      <c r="O284" s="77">
        <f t="shared" si="177"/>
        <v>0</v>
      </c>
      <c r="P284" s="77">
        <f t="shared" si="178"/>
        <v>0</v>
      </c>
      <c r="Q284" s="77">
        <f t="shared" ref="Q284:S285" si="183">Q287+Q290</f>
        <v>0</v>
      </c>
      <c r="R284" s="77">
        <f t="shared" si="183"/>
        <v>0</v>
      </c>
      <c r="S284" s="77">
        <f t="shared" si="183"/>
        <v>0</v>
      </c>
      <c r="T284" s="77">
        <f t="shared" si="180"/>
        <v>0</v>
      </c>
      <c r="U284" s="77">
        <f t="shared" si="181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3">
        <f t="shared" ca="1" si="182"/>
        <v>0</v>
      </c>
      <c r="M285" s="74">
        <f t="shared" ca="1" si="182"/>
        <v>0</v>
      </c>
      <c r="N285" s="74">
        <f t="shared" ca="1" si="182"/>
        <v>0</v>
      </c>
      <c r="O285" s="74">
        <f t="shared" ca="1" si="177"/>
        <v>0</v>
      </c>
      <c r="P285" s="74">
        <f t="shared" ca="1" si="178"/>
        <v>0</v>
      </c>
      <c r="Q285" s="74">
        <f t="shared" si="183"/>
        <v>0</v>
      </c>
      <c r="R285" s="74">
        <f t="shared" si="183"/>
        <v>0</v>
      </c>
      <c r="S285" s="74">
        <f t="shared" si="183"/>
        <v>0</v>
      </c>
      <c r="T285" s="74">
        <f t="shared" si="180"/>
        <v>0</v>
      </c>
      <c r="U285" s="74">
        <f t="shared" si="181"/>
        <v>0</v>
      </c>
    </row>
    <row r="286" spans="1:21" ht="18.75" hidden="1" x14ac:dyDescent="0.25">
      <c r="A286" s="257"/>
      <c r="B286" s="258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3">
        <f t="shared" ref="L286:N286" ca="1" si="184">L287+L288</f>
        <v>0</v>
      </c>
      <c r="M286" s="74">
        <f t="shared" ca="1" si="184"/>
        <v>0</v>
      </c>
      <c r="N286" s="74">
        <f t="shared" ca="1" si="184"/>
        <v>0</v>
      </c>
      <c r="O286" s="74">
        <f t="shared" ca="1" si="177"/>
        <v>0</v>
      </c>
      <c r="P286" s="74">
        <f t="shared" ca="1" si="178"/>
        <v>0</v>
      </c>
      <c r="Q286" s="74">
        <f t="shared" ref="Q286:S286" si="185">Q287+Q288</f>
        <v>0</v>
      </c>
      <c r="R286" s="74">
        <f t="shared" si="185"/>
        <v>0</v>
      </c>
      <c r="S286" s="74">
        <f t="shared" si="185"/>
        <v>0</v>
      </c>
      <c r="T286" s="74">
        <f t="shared" si="180"/>
        <v>0</v>
      </c>
      <c r="U286" s="74">
        <f t="shared" si="181"/>
        <v>0</v>
      </c>
    </row>
    <row r="287" spans="1:21" ht="18.75" hidden="1" x14ac:dyDescent="0.25">
      <c r="A287" s="257"/>
      <c r="B287" s="258"/>
      <c r="C287" s="258"/>
      <c r="D287" s="258"/>
      <c r="E287" s="26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77">
        <f t="shared" si="177"/>
        <v>0</v>
      </c>
      <c r="P287" s="77">
        <f t="shared" si="178"/>
        <v>0</v>
      </c>
      <c r="Q287" s="77">
        <v>0</v>
      </c>
      <c r="R287" s="77">
        <v>0</v>
      </c>
      <c r="S287" s="77">
        <v>0</v>
      </c>
      <c r="T287" s="77">
        <f t="shared" si="180"/>
        <v>0</v>
      </c>
      <c r="U287" s="77">
        <f t="shared" si="181"/>
        <v>0</v>
      </c>
    </row>
    <row r="288" spans="1:21" ht="18.75" hidden="1" x14ac:dyDescent="0.25">
      <c r="A288" s="257"/>
      <c r="B288" s="258"/>
      <c r="C288" s="258"/>
      <c r="D288" s="258"/>
      <c r="E288" s="267" t="s">
        <v>37</v>
      </c>
      <c r="F288" s="258"/>
      <c r="G288" s="261"/>
      <c r="H288" s="271" t="s">
        <v>14</v>
      </c>
      <c r="I288" s="272"/>
      <c r="J288" s="272"/>
      <c r="K288" s="229"/>
      <c r="L288" s="73">
        <f ca="1">IFERROR(__xludf.DUMMYFUNCTION("IMPORTRANGE(""https://docs.google.com/spreadsheets/d/1-uDff_7J0KD5mKrp0Vvzr7lt3OU09vwQwhkpOPPYv2Y/edit?usp=sharing"",""งบพรบ!DO71"")"),0)</f>
        <v>0</v>
      </c>
      <c r="M288" s="74">
        <f ca="1">IFERROR(__xludf.DUMMYFUNCTION("IMPORTRANGE(""https://docs.google.com/spreadsheets/d/1-uDff_7J0KD5mKrp0Vvzr7lt3OU09vwQwhkpOPPYv2Y/edit?usp=sharing"",""งบพรบ!DT71"")"),0)</f>
        <v>0</v>
      </c>
      <c r="N288" s="74">
        <f ca="1">IFERROR(__xludf.DUMMYFUNCTION("IMPORTRANGE(""https://docs.google.com/spreadsheets/d/1-uDff_7J0KD5mKrp0Vvzr7lt3OU09vwQwhkpOPPYv2Y/edit?usp=sharing"",""งบพรบ!DV71"")"),0)</f>
        <v>0</v>
      </c>
      <c r="O288" s="74">
        <f t="shared" ca="1" si="177"/>
        <v>0</v>
      </c>
      <c r="P288" s="74">
        <f t="shared" ca="1" si="178"/>
        <v>0</v>
      </c>
      <c r="Q288" s="74">
        <v>0</v>
      </c>
      <c r="R288" s="74">
        <v>0</v>
      </c>
      <c r="S288" s="74">
        <v>0</v>
      </c>
      <c r="T288" s="77">
        <f t="shared" si="180"/>
        <v>0</v>
      </c>
      <c r="U288" s="77">
        <f t="shared" si="181"/>
        <v>0</v>
      </c>
    </row>
    <row r="289" spans="1:21" ht="18.75" hidden="1" x14ac:dyDescent="0.25">
      <c r="A289" s="257"/>
      <c r="B289" s="258"/>
      <c r="C289" s="258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3">
        <f t="shared" ref="L289:N289" ca="1" si="186">L290+L291</f>
        <v>0</v>
      </c>
      <c r="M289" s="74">
        <f t="shared" ca="1" si="186"/>
        <v>0</v>
      </c>
      <c r="N289" s="74">
        <f t="shared" ca="1" si="186"/>
        <v>0</v>
      </c>
      <c r="O289" s="74">
        <f t="shared" ca="1" si="177"/>
        <v>0</v>
      </c>
      <c r="P289" s="74">
        <f t="shared" ca="1" si="178"/>
        <v>0</v>
      </c>
      <c r="Q289" s="74">
        <f t="shared" ref="Q289:S289" si="187">Q290+Q291</f>
        <v>0</v>
      </c>
      <c r="R289" s="74">
        <f t="shared" si="187"/>
        <v>0</v>
      </c>
      <c r="S289" s="74">
        <f t="shared" si="187"/>
        <v>0</v>
      </c>
      <c r="T289" s="74">
        <f t="shared" si="180"/>
        <v>0</v>
      </c>
      <c r="U289" s="74">
        <f t="shared" si="181"/>
        <v>0</v>
      </c>
    </row>
    <row r="290" spans="1:21" ht="18.75" hidden="1" x14ac:dyDescent="0.25">
      <c r="A290" s="257"/>
      <c r="B290" s="258"/>
      <c r="C290" s="258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77">
        <f t="shared" si="177"/>
        <v>0</v>
      </c>
      <c r="P290" s="77">
        <f t="shared" si="178"/>
        <v>0</v>
      </c>
      <c r="Q290" s="77">
        <v>0</v>
      </c>
      <c r="R290" s="77">
        <v>0</v>
      </c>
      <c r="S290" s="77">
        <v>0</v>
      </c>
      <c r="T290" s="77">
        <f t="shared" si="180"/>
        <v>0</v>
      </c>
      <c r="U290" s="77">
        <f t="shared" si="181"/>
        <v>0</v>
      </c>
    </row>
    <row r="291" spans="1:21" ht="18.75" hidden="1" x14ac:dyDescent="0.25">
      <c r="A291" s="257"/>
      <c r="B291" s="258"/>
      <c r="C291" s="258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3">
        <f ca="1">IFERROR(__xludf.DUMMYFUNCTION("IMPORTRANGE(""https://docs.google.com/spreadsheets/d/1-uDff_7J0KD5mKrp0Vvzr7lt3OU09vwQwhkpOPPYv2Y/edit?usp=sharing"",""งบพรบ!DR71"")"),0)</f>
        <v>0</v>
      </c>
      <c r="M291" s="74">
        <f ca="1">IFERROR(__xludf.DUMMYFUNCTION("IMPORTRANGE(""https://docs.google.com/spreadsheets/d/1-uDff_7J0KD5mKrp0Vvzr7lt3OU09vwQwhkpOPPYv2Y/edit?usp=sharing"",""งบพรบ!DU71"")"),0)</f>
        <v>0</v>
      </c>
      <c r="N291" s="74">
        <f ca="1">IFERROR(__xludf.DUMMYFUNCTION("IMPORTRANGE(""https://docs.google.com/spreadsheets/d/1-uDff_7J0KD5mKrp0Vvzr7lt3OU09vwQwhkpOPPYv2Y/edit?usp=sharing"",""งบพรบ!DW71"")"),0)</f>
        <v>0</v>
      </c>
      <c r="O291" s="74">
        <f t="shared" ca="1" si="177"/>
        <v>0</v>
      </c>
      <c r="P291" s="74">
        <f t="shared" ca="1" si="178"/>
        <v>0</v>
      </c>
      <c r="Q291" s="74">
        <v>0</v>
      </c>
      <c r="R291" s="74">
        <v>0</v>
      </c>
      <c r="S291" s="74">
        <v>0</v>
      </c>
      <c r="T291" s="74">
        <f t="shared" si="180"/>
        <v>0</v>
      </c>
      <c r="U291" s="74">
        <f t="shared" si="181"/>
        <v>0</v>
      </c>
    </row>
    <row r="292" spans="1:21" ht="19.5" hidden="1" x14ac:dyDescent="0.3">
      <c r="A292" s="276"/>
      <c r="B292" s="277"/>
      <c r="C292" s="259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IFERROR(__xludf.DUMMYFUNCTION("IMPORTRANGE(""https://docs.google.com/spreadsheets/d/1eHaY18a8A9IcSdp1K8H6x8fbOy06t2VsZHhMHf-1x7Y/edit?usp=sharing"",""แผน!EE71"")"),0)</f>
        <v>0</v>
      </c>
      <c r="J293" s="294">
        <v>0</v>
      </c>
      <c r="K293" s="768">
        <f t="shared" ref="K293:K294" ca="1" si="188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IFERROR(__xludf.DUMMYFUNCTION("IMPORTRANGE(""https://docs.google.com/spreadsheets/d/1eHaY18a8A9IcSdp1K8H6x8fbOy06t2VsZHhMHf-1x7Y/edit?usp=sharing"",""แผน!ED71"")"),0)</f>
        <v>0</v>
      </c>
      <c r="J294" s="622">
        <f>J297</f>
        <v>0</v>
      </c>
      <c r="K294" s="1105">
        <f t="shared" ca="1" si="188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96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IFERROR(__xludf.DUMMYFUNCTION("IMPORTRANGE(""https://docs.google.com/spreadsheets/d/1eHaY18a8A9IcSdp1K8H6x8fbOy06t2VsZHhMHf-1x7Y/edit?usp=sharing"",""แผน!ED71"")"),0)</f>
        <v>0</v>
      </c>
      <c r="J296" s="294">
        <v>0</v>
      </c>
      <c r="K296" s="768">
        <f t="shared" ref="K296:K297" ca="1" si="189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IFERROR(__xludf.DUMMYFUNCTION("IMPORTRANGE(""https://docs.google.com/spreadsheets/d/1eHaY18a8A9IcSdp1K8H6x8fbOy06t2VsZHhMHf-1x7Y/edit?usp=sharing"",""แผน!ED71"")"),0)</f>
        <v>0</v>
      </c>
      <c r="J297" s="294">
        <v>0</v>
      </c>
      <c r="K297" s="768">
        <f t="shared" ca="1" si="189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286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286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041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1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hidden="1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6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hidden="1" x14ac:dyDescent="0.3">
      <c r="A303" s="1179"/>
      <c r="B303" s="1180" t="s">
        <v>127</v>
      </c>
      <c r="C303" s="607"/>
      <c r="D303" s="607"/>
      <c r="E303" s="607"/>
      <c r="F303" s="607"/>
      <c r="G303" s="608"/>
      <c r="H303" s="1307" t="s">
        <v>35</v>
      </c>
      <c r="I303" s="617">
        <f t="shared" ref="I303:J303" ca="1" si="190">I315</f>
        <v>0</v>
      </c>
      <c r="J303" s="617">
        <f t="shared" si="190"/>
        <v>0</v>
      </c>
      <c r="K303" s="611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hidden="1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1257">
        <f t="shared" ref="L304:N304" ca="1" si="191">L305+L306</f>
        <v>0</v>
      </c>
      <c r="M304" s="264">
        <f t="shared" ca="1" si="191"/>
        <v>0</v>
      </c>
      <c r="N304" s="264">
        <f t="shared" ca="1" si="191"/>
        <v>0</v>
      </c>
      <c r="O304" s="264">
        <f t="shared" ref="O304:O312" ca="1" si="192">IF(L304&gt;0,N304*100/L304,0)</f>
        <v>0</v>
      </c>
      <c r="P304" s="264">
        <f t="shared" ref="P304:P312" ca="1" si="193">IF(M304&gt;0,N304*100/M304,0)</f>
        <v>0</v>
      </c>
      <c r="Q304" s="264">
        <f t="shared" ref="Q304:S304" ca="1" si="194">Q305+Q306</f>
        <v>0</v>
      </c>
      <c r="R304" s="264">
        <f t="shared" ca="1" si="194"/>
        <v>0</v>
      </c>
      <c r="S304" s="264">
        <f t="shared" ca="1" si="194"/>
        <v>0</v>
      </c>
      <c r="T304" s="264">
        <f t="shared" ref="T304:T312" ca="1" si="195">IF(Q304&gt;0,S304*100/Q304,0)</f>
        <v>0</v>
      </c>
      <c r="U304" s="264">
        <f t="shared" ref="U304:U312" ca="1" si="196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6">
        <f t="shared" ref="L305:N306" si="197">L308+L311</f>
        <v>0</v>
      </c>
      <c r="M305" s="77">
        <f t="shared" si="197"/>
        <v>0</v>
      </c>
      <c r="N305" s="77">
        <f t="shared" si="197"/>
        <v>0</v>
      </c>
      <c r="O305" s="77">
        <f t="shared" si="192"/>
        <v>0</v>
      </c>
      <c r="P305" s="77">
        <f t="shared" si="193"/>
        <v>0</v>
      </c>
      <c r="Q305" s="77">
        <f t="shared" ref="Q305:S306" si="198">Q308+Q311</f>
        <v>0</v>
      </c>
      <c r="R305" s="77">
        <f t="shared" si="198"/>
        <v>0</v>
      </c>
      <c r="S305" s="77">
        <f t="shared" si="198"/>
        <v>0</v>
      </c>
      <c r="T305" s="77">
        <f t="shared" si="195"/>
        <v>0</v>
      </c>
      <c r="U305" s="77">
        <f t="shared" si="196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3">
        <f t="shared" ca="1" si="197"/>
        <v>0</v>
      </c>
      <c r="M306" s="74">
        <f t="shared" ca="1" si="197"/>
        <v>0</v>
      </c>
      <c r="N306" s="74">
        <f t="shared" ca="1" si="197"/>
        <v>0</v>
      </c>
      <c r="O306" s="74">
        <f t="shared" ca="1" si="192"/>
        <v>0</v>
      </c>
      <c r="P306" s="74">
        <f t="shared" ca="1" si="193"/>
        <v>0</v>
      </c>
      <c r="Q306" s="74">
        <f t="shared" ca="1" si="198"/>
        <v>0</v>
      </c>
      <c r="R306" s="74">
        <f t="shared" ca="1" si="198"/>
        <v>0</v>
      </c>
      <c r="S306" s="74">
        <f t="shared" ca="1" si="198"/>
        <v>0</v>
      </c>
      <c r="T306" s="74">
        <f t="shared" ca="1" si="195"/>
        <v>0</v>
      </c>
      <c r="U306" s="74">
        <f t="shared" ca="1" si="196"/>
        <v>0</v>
      </c>
    </row>
    <row r="307" spans="1:21" ht="18.75" hidden="1" x14ac:dyDescent="0.25">
      <c r="A307" s="257"/>
      <c r="B307" s="258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3">
        <f t="shared" ref="L307:N307" ca="1" si="199">L308+L309</f>
        <v>0</v>
      </c>
      <c r="M307" s="74">
        <f t="shared" ca="1" si="199"/>
        <v>0</v>
      </c>
      <c r="N307" s="74">
        <f t="shared" ca="1" si="199"/>
        <v>0</v>
      </c>
      <c r="O307" s="74">
        <f t="shared" ca="1" si="192"/>
        <v>0</v>
      </c>
      <c r="P307" s="74">
        <f t="shared" ca="1" si="193"/>
        <v>0</v>
      </c>
      <c r="Q307" s="74">
        <f t="shared" ref="Q307:S307" ca="1" si="200">Q308+Q309</f>
        <v>0</v>
      </c>
      <c r="R307" s="74">
        <f t="shared" ca="1" si="200"/>
        <v>0</v>
      </c>
      <c r="S307" s="74">
        <f t="shared" ca="1" si="200"/>
        <v>0</v>
      </c>
      <c r="T307" s="74">
        <f t="shared" ca="1" si="195"/>
        <v>0</v>
      </c>
      <c r="U307" s="74">
        <f t="shared" ca="1" si="196"/>
        <v>0</v>
      </c>
    </row>
    <row r="308" spans="1:21" ht="18.75" hidden="1" x14ac:dyDescent="0.25">
      <c r="A308" s="257"/>
      <c r="B308" s="258"/>
      <c r="C308" s="258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77">
        <f t="shared" si="192"/>
        <v>0</v>
      </c>
      <c r="P308" s="77">
        <f t="shared" si="193"/>
        <v>0</v>
      </c>
      <c r="Q308" s="77">
        <v>0</v>
      </c>
      <c r="R308" s="77">
        <v>0</v>
      </c>
      <c r="S308" s="77">
        <v>0</v>
      </c>
      <c r="T308" s="77">
        <f t="shared" si="195"/>
        <v>0</v>
      </c>
      <c r="U308" s="77">
        <f t="shared" si="196"/>
        <v>0</v>
      </c>
    </row>
    <row r="309" spans="1:21" ht="18.75" hidden="1" x14ac:dyDescent="0.25">
      <c r="A309" s="257"/>
      <c r="B309" s="258"/>
      <c r="C309" s="258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3">
        <f ca="1">IFERROR(__xludf.DUMMYFUNCTION("IMPORTRANGE(""https://docs.google.com/spreadsheets/d/1-uDff_7J0KD5mKrp0Vvzr7lt3OU09vwQwhkpOPPYv2Y/edit?usp=sharing"",""งบพรบ!DY71"")"),0)</f>
        <v>0</v>
      </c>
      <c r="M309" s="74">
        <f ca="1">IFERROR(__xludf.DUMMYFUNCTION("IMPORTRANGE(""https://docs.google.com/spreadsheets/d/1-uDff_7J0KD5mKrp0Vvzr7lt3OU09vwQwhkpOPPYv2Y/edit?usp=sharing"",""งบพรบ!ED71"")"),0)</f>
        <v>0</v>
      </c>
      <c r="N309" s="74">
        <f ca="1">IFERROR(__xludf.DUMMYFUNCTION("IMPORTRANGE(""https://docs.google.com/spreadsheets/d/1-uDff_7J0KD5mKrp0Vvzr7lt3OU09vwQwhkpOPPYv2Y/edit?usp=sharing"",""งบพรบ!EF71"")"),0)</f>
        <v>0</v>
      </c>
      <c r="O309" s="74">
        <f t="shared" ca="1" si="192"/>
        <v>0</v>
      </c>
      <c r="P309" s="74">
        <f t="shared" ca="1" si="193"/>
        <v>0</v>
      </c>
      <c r="Q309" s="74">
        <f ca="1">IFERROR(__xludf.DUMMYFUNCTION("IMPORTRANGE(""https://docs.google.com/spreadsheets/d/1ItG2mGa2ceCfYo0BwxsXqNm01IGEUdYcSSLTEv9YCik/edit?usp=sharing"",""เบิกจ่ายกองทุน!AP71"")"),0)</f>
        <v>0</v>
      </c>
      <c r="R309" s="74">
        <f ca="1">IFERROR(__xludf.DUMMYFUNCTION("IMPORTRANGE(""https://docs.google.com/spreadsheets/d/1ItG2mGa2ceCfYo0BwxsXqNm01IGEUdYcSSLTEv9YCik/edit?usp=sharing"",""เบิกจ่ายกองทุน!AQ71"")"),0)</f>
        <v>0</v>
      </c>
      <c r="S309" s="74">
        <f ca="1">IFERROR(__xludf.DUMMYFUNCTION("IMPORTRANGE(""https://docs.google.com/spreadsheets/d/1ItG2mGa2ceCfYo0BwxsXqNm01IGEUdYcSSLTEv9YCik/edit?usp=sharing"",""เบิกจ่ายกองทุน!AR71"")"),0)</f>
        <v>0</v>
      </c>
      <c r="T309" s="74">
        <f t="shared" ca="1" si="195"/>
        <v>0</v>
      </c>
      <c r="U309" s="74">
        <f t="shared" ca="1" si="196"/>
        <v>0</v>
      </c>
    </row>
    <row r="310" spans="1:21" ht="18.75" hidden="1" x14ac:dyDescent="0.25">
      <c r="A310" s="257"/>
      <c r="B310" s="258"/>
      <c r="C310" s="258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3">
        <f t="shared" ref="L310:N310" ca="1" si="201">L311+L312</f>
        <v>0</v>
      </c>
      <c r="M310" s="74">
        <f t="shared" ca="1" si="201"/>
        <v>0</v>
      </c>
      <c r="N310" s="74">
        <f t="shared" ca="1" si="201"/>
        <v>0</v>
      </c>
      <c r="O310" s="74">
        <f t="shared" ca="1" si="192"/>
        <v>0</v>
      </c>
      <c r="P310" s="74">
        <f t="shared" ca="1" si="193"/>
        <v>0</v>
      </c>
      <c r="Q310" s="74">
        <f t="shared" ref="Q310:S310" si="202">Q311+Q312</f>
        <v>0</v>
      </c>
      <c r="R310" s="74">
        <f t="shared" si="202"/>
        <v>0</v>
      </c>
      <c r="S310" s="74">
        <f t="shared" si="202"/>
        <v>0</v>
      </c>
      <c r="T310" s="74">
        <f t="shared" si="195"/>
        <v>0</v>
      </c>
      <c r="U310" s="74">
        <f t="shared" si="196"/>
        <v>0</v>
      </c>
    </row>
    <row r="311" spans="1:21" ht="18.75" hidden="1" x14ac:dyDescent="0.25">
      <c r="A311" s="257"/>
      <c r="B311" s="258"/>
      <c r="C311" s="258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77">
        <f t="shared" si="192"/>
        <v>0</v>
      </c>
      <c r="P311" s="77">
        <f t="shared" si="193"/>
        <v>0</v>
      </c>
      <c r="Q311" s="77">
        <v>0</v>
      </c>
      <c r="R311" s="77">
        <v>0</v>
      </c>
      <c r="S311" s="77">
        <v>0</v>
      </c>
      <c r="T311" s="77">
        <f t="shared" si="195"/>
        <v>0</v>
      </c>
      <c r="U311" s="77">
        <f t="shared" si="196"/>
        <v>0</v>
      </c>
    </row>
    <row r="312" spans="1:21" ht="18.75" hidden="1" x14ac:dyDescent="0.25">
      <c r="A312" s="257"/>
      <c r="B312" s="258"/>
      <c r="C312" s="258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3">
        <f ca="1">IFERROR(__xludf.DUMMYFUNCTION("IMPORTRANGE(""https://docs.google.com/spreadsheets/d/1-uDff_7J0KD5mKrp0Vvzr7lt3OU09vwQwhkpOPPYv2Y/edit?usp=sharing"",""งบพรบ!EB71"")"),0)</f>
        <v>0</v>
      </c>
      <c r="M312" s="74">
        <f ca="1">IFERROR(__xludf.DUMMYFUNCTION("IMPORTRANGE(""https://docs.google.com/spreadsheets/d/1-uDff_7J0KD5mKrp0Vvzr7lt3OU09vwQwhkpOPPYv2Y/edit?usp=sharing"",""งบพรบ!EE71"")"),0)</f>
        <v>0</v>
      </c>
      <c r="N312" s="74">
        <f ca="1">IFERROR(__xludf.DUMMYFUNCTION("IMPORTRANGE(""https://docs.google.com/spreadsheets/d/1-uDff_7J0KD5mKrp0Vvzr7lt3OU09vwQwhkpOPPYv2Y/edit?usp=sharing"",""งบพรบ!EG71"")"),0)</f>
        <v>0</v>
      </c>
      <c r="O312" s="74">
        <f t="shared" ca="1" si="192"/>
        <v>0</v>
      </c>
      <c r="P312" s="74">
        <f t="shared" ca="1" si="193"/>
        <v>0</v>
      </c>
      <c r="Q312" s="74">
        <v>0</v>
      </c>
      <c r="R312" s="74">
        <v>0</v>
      </c>
      <c r="S312" s="74">
        <v>0</v>
      </c>
      <c r="T312" s="74">
        <f t="shared" si="195"/>
        <v>0</v>
      </c>
      <c r="U312" s="74">
        <f t="shared" si="196"/>
        <v>0</v>
      </c>
    </row>
    <row r="313" spans="1:21" ht="19.5" hidden="1" x14ac:dyDescent="0.3">
      <c r="A313" s="276"/>
      <c r="B313" s="277"/>
      <c r="C313" s="259" t="s">
        <v>18</v>
      </c>
      <c r="D313" s="1019" t="s">
        <v>38</v>
      </c>
      <c r="E313" s="280"/>
      <c r="F313" s="280"/>
      <c r="G313" s="2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3"/>
      <c r="E314" s="285"/>
      <c r="F314" s="285"/>
      <c r="G314" s="286"/>
      <c r="H314" s="286"/>
      <c r="I314" s="287"/>
      <c r="J314" s="1252"/>
      <c r="K314" s="30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hidden="1" x14ac:dyDescent="0.25">
      <c r="A315" s="276"/>
      <c r="B315" s="277"/>
      <c r="C315" s="277"/>
      <c r="D315" s="295" t="s">
        <v>121</v>
      </c>
      <c r="E315" s="296"/>
      <c r="F315" s="296"/>
      <c r="G315" s="282"/>
      <c r="H315" s="299" t="s">
        <v>35</v>
      </c>
      <c r="I315" s="293">
        <f ca="1">IFERROR(__xludf.DUMMYFUNCTION("IMPORTRANGE(""https://docs.google.com/spreadsheets/d/1eHaY18a8A9IcSdp1K8H6x8fbOy06t2VsZHhMHf-1x7Y/edit?usp=sharing"",""แผน!EF71"")"),0)</f>
        <v>0</v>
      </c>
      <c r="J315" s="294">
        <v>0</v>
      </c>
      <c r="K315" s="74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308"/>
      <c r="I316" s="1252"/>
      <c r="J316" s="1252"/>
      <c r="K316" s="1255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308"/>
      <c r="I317" s="1252"/>
      <c r="J317" s="1252"/>
      <c r="K317" s="1255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283"/>
      <c r="B318" s="284"/>
      <c r="C318" s="284"/>
      <c r="D318" s="812"/>
      <c r="E318" s="285"/>
      <c r="F318" s="285"/>
      <c r="G318" s="286"/>
      <c r="H318" s="813"/>
      <c r="I318" s="887"/>
      <c r="J318" s="887"/>
      <c r="K318" s="888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5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1307" t="s">
        <v>133</v>
      </c>
      <c r="I320" s="617">
        <f t="shared" ref="I320:J320" ca="1" si="203">I331</f>
        <v>0</v>
      </c>
      <c r="J320" s="617">
        <f t="shared" si="203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1257">
        <f t="shared" ref="L321:N321" ca="1" si="204">L322+L323</f>
        <v>0</v>
      </c>
      <c r="M321" s="264">
        <f t="shared" ca="1" si="204"/>
        <v>0</v>
      </c>
      <c r="N321" s="264">
        <f t="shared" ca="1" si="204"/>
        <v>0</v>
      </c>
      <c r="O321" s="264">
        <f t="shared" ref="O321:O329" ca="1" si="205">IF(L321&gt;0,N321*100/L321,0)</f>
        <v>0</v>
      </c>
      <c r="P321" s="264">
        <f t="shared" ref="P321:P329" ca="1" si="206">IF(M321&gt;0,N321*100/M321,0)</f>
        <v>0</v>
      </c>
      <c r="Q321" s="264">
        <f t="shared" ref="Q321:S321" si="207">Q322+Q323</f>
        <v>0</v>
      </c>
      <c r="R321" s="264">
        <f t="shared" si="207"/>
        <v>0</v>
      </c>
      <c r="S321" s="264">
        <f t="shared" si="207"/>
        <v>0</v>
      </c>
      <c r="T321" s="264">
        <f t="shared" ref="T321:T329" si="208">IF(Q321&gt;0,S321*100/Q321,0)</f>
        <v>0</v>
      </c>
      <c r="U321" s="264">
        <f t="shared" ref="U321:U329" si="209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6">
        <f t="shared" ref="L322:N323" si="210">L325+L328</f>
        <v>0</v>
      </c>
      <c r="M322" s="77">
        <f t="shared" si="210"/>
        <v>0</v>
      </c>
      <c r="N322" s="77">
        <f t="shared" si="210"/>
        <v>0</v>
      </c>
      <c r="O322" s="77">
        <f t="shared" si="205"/>
        <v>0</v>
      </c>
      <c r="P322" s="77">
        <f t="shared" si="206"/>
        <v>0</v>
      </c>
      <c r="Q322" s="77">
        <f t="shared" ref="Q322:S323" si="211">Q325+Q328</f>
        <v>0</v>
      </c>
      <c r="R322" s="77">
        <f t="shared" si="211"/>
        <v>0</v>
      </c>
      <c r="S322" s="77">
        <f t="shared" si="211"/>
        <v>0</v>
      </c>
      <c r="T322" s="77">
        <f t="shared" si="208"/>
        <v>0</v>
      </c>
      <c r="U322" s="77">
        <f t="shared" si="209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3">
        <f t="shared" ca="1" si="210"/>
        <v>0</v>
      </c>
      <c r="M323" s="74">
        <f t="shared" ca="1" si="210"/>
        <v>0</v>
      </c>
      <c r="N323" s="74">
        <f t="shared" ca="1" si="210"/>
        <v>0</v>
      </c>
      <c r="O323" s="74">
        <f t="shared" ca="1" si="205"/>
        <v>0</v>
      </c>
      <c r="P323" s="74">
        <f t="shared" ca="1" si="206"/>
        <v>0</v>
      </c>
      <c r="Q323" s="74">
        <f t="shared" si="211"/>
        <v>0</v>
      </c>
      <c r="R323" s="74">
        <f t="shared" si="211"/>
        <v>0</v>
      </c>
      <c r="S323" s="74">
        <f t="shared" si="211"/>
        <v>0</v>
      </c>
      <c r="T323" s="74">
        <f t="shared" si="208"/>
        <v>0</v>
      </c>
      <c r="U323" s="74">
        <f t="shared" si="209"/>
        <v>0</v>
      </c>
    </row>
    <row r="324" spans="1:21" ht="18.75" hidden="1" x14ac:dyDescent="0.25">
      <c r="A324" s="257"/>
      <c r="B324" s="258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3">
        <f t="shared" ref="L324:N324" ca="1" si="212">L325+L326</f>
        <v>0</v>
      </c>
      <c r="M324" s="74">
        <f t="shared" ca="1" si="212"/>
        <v>0</v>
      </c>
      <c r="N324" s="74">
        <f t="shared" ca="1" si="212"/>
        <v>0</v>
      </c>
      <c r="O324" s="74">
        <f t="shared" ca="1" si="205"/>
        <v>0</v>
      </c>
      <c r="P324" s="74">
        <f t="shared" ca="1" si="206"/>
        <v>0</v>
      </c>
      <c r="Q324" s="74">
        <f t="shared" ref="Q324:S324" si="213">Q325+Q326</f>
        <v>0</v>
      </c>
      <c r="R324" s="74">
        <f t="shared" si="213"/>
        <v>0</v>
      </c>
      <c r="S324" s="74">
        <f t="shared" si="213"/>
        <v>0</v>
      </c>
      <c r="T324" s="74">
        <f t="shared" si="208"/>
        <v>0</v>
      </c>
      <c r="U324" s="74">
        <f t="shared" si="209"/>
        <v>0</v>
      </c>
    </row>
    <row r="325" spans="1:21" ht="18.75" hidden="1" x14ac:dyDescent="0.25">
      <c r="A325" s="257"/>
      <c r="B325" s="258"/>
      <c r="C325" s="258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77">
        <f t="shared" si="205"/>
        <v>0</v>
      </c>
      <c r="P325" s="77">
        <f t="shared" si="206"/>
        <v>0</v>
      </c>
      <c r="Q325" s="77">
        <v>0</v>
      </c>
      <c r="R325" s="77">
        <v>0</v>
      </c>
      <c r="S325" s="77">
        <v>0</v>
      </c>
      <c r="T325" s="77">
        <f t="shared" si="208"/>
        <v>0</v>
      </c>
      <c r="U325" s="77">
        <f t="shared" si="209"/>
        <v>0</v>
      </c>
    </row>
    <row r="326" spans="1:21" ht="18.75" hidden="1" x14ac:dyDescent="0.25">
      <c r="A326" s="257"/>
      <c r="B326" s="258"/>
      <c r="C326" s="258"/>
      <c r="D326" s="258"/>
      <c r="E326" s="267" t="s">
        <v>37</v>
      </c>
      <c r="F326" s="258"/>
      <c r="G326" s="261"/>
      <c r="H326" s="271" t="s">
        <v>14</v>
      </c>
      <c r="I326" s="272"/>
      <c r="J326" s="272"/>
      <c r="K326" s="229"/>
      <c r="L326" s="73">
        <f ca="1">IFERROR(__xludf.DUMMYFUNCTION("IMPORTRANGE(""https://docs.google.com/spreadsheets/d/1-uDff_7J0KD5mKrp0Vvzr7lt3OU09vwQwhkpOPPYv2Y/edit?usp=sharing"",""งบพรบ!EI71"")"),0)</f>
        <v>0</v>
      </c>
      <c r="M326" s="74">
        <f ca="1">IFERROR(__xludf.DUMMYFUNCTION("IMPORTRANGE(""https://docs.google.com/spreadsheets/d/1-uDff_7J0KD5mKrp0Vvzr7lt3OU09vwQwhkpOPPYv2Y/edit?usp=sharing"",""งบพรบ!EN71"")"),0)</f>
        <v>0</v>
      </c>
      <c r="N326" s="74">
        <f ca="1">IFERROR(__xludf.DUMMYFUNCTION("IMPORTRANGE(""https://docs.google.com/spreadsheets/d/1-uDff_7J0KD5mKrp0Vvzr7lt3OU09vwQwhkpOPPYv2Y/edit?usp=sharing"",""งบพรบ!EP71"")"),0)</f>
        <v>0</v>
      </c>
      <c r="O326" s="74">
        <f t="shared" ca="1" si="205"/>
        <v>0</v>
      </c>
      <c r="P326" s="74">
        <f t="shared" ca="1" si="206"/>
        <v>0</v>
      </c>
      <c r="Q326" s="74">
        <v>0</v>
      </c>
      <c r="R326" s="74">
        <v>0</v>
      </c>
      <c r="S326" s="74">
        <v>0</v>
      </c>
      <c r="T326" s="74">
        <f t="shared" si="208"/>
        <v>0</v>
      </c>
      <c r="U326" s="74">
        <f t="shared" si="209"/>
        <v>0</v>
      </c>
    </row>
    <row r="327" spans="1:21" ht="18.75" hidden="1" x14ac:dyDescent="0.25">
      <c r="A327" s="257"/>
      <c r="B327" s="258"/>
      <c r="C327" s="258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3">
        <f t="shared" ref="L327:N327" ca="1" si="214">L328+L329</f>
        <v>0</v>
      </c>
      <c r="M327" s="74">
        <f t="shared" ca="1" si="214"/>
        <v>0</v>
      </c>
      <c r="N327" s="74">
        <f t="shared" ca="1" si="214"/>
        <v>0</v>
      </c>
      <c r="O327" s="74">
        <f t="shared" ca="1" si="205"/>
        <v>0</v>
      </c>
      <c r="P327" s="74">
        <f t="shared" ca="1" si="206"/>
        <v>0</v>
      </c>
      <c r="Q327" s="74">
        <f t="shared" ref="Q327:S327" si="215">Q328+Q329</f>
        <v>0</v>
      </c>
      <c r="R327" s="74">
        <f t="shared" si="215"/>
        <v>0</v>
      </c>
      <c r="S327" s="74">
        <f t="shared" si="215"/>
        <v>0</v>
      </c>
      <c r="T327" s="74">
        <f t="shared" si="208"/>
        <v>0</v>
      </c>
      <c r="U327" s="74">
        <f t="shared" si="209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77">
        <f t="shared" si="205"/>
        <v>0</v>
      </c>
      <c r="P328" s="77">
        <f t="shared" si="206"/>
        <v>0</v>
      </c>
      <c r="Q328" s="77">
        <v>0</v>
      </c>
      <c r="R328" s="77">
        <v>0</v>
      </c>
      <c r="S328" s="77">
        <v>0</v>
      </c>
      <c r="T328" s="77">
        <f t="shared" si="208"/>
        <v>0</v>
      </c>
      <c r="U328" s="77">
        <f t="shared" si="209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3">
        <f ca="1">IFERROR(__xludf.DUMMYFUNCTION("IMPORTRANGE(""https://docs.google.com/spreadsheets/d/1-uDff_7J0KD5mKrp0Vvzr7lt3OU09vwQwhkpOPPYv2Y/edit?usp=sharing"",""งบพรบ!EL71"")"),0)</f>
        <v>0</v>
      </c>
      <c r="M329" s="74">
        <f ca="1">IFERROR(__xludf.DUMMYFUNCTION("IMPORTRANGE(""https://docs.google.com/spreadsheets/d/1-uDff_7J0KD5mKrp0Vvzr7lt3OU09vwQwhkpOPPYv2Y/edit?usp=sharing"",""งบพรบ!EO71"")"),0)</f>
        <v>0</v>
      </c>
      <c r="N329" s="74">
        <f ca="1">IFERROR(__xludf.DUMMYFUNCTION("IMPORTRANGE(""https://docs.google.com/spreadsheets/d/1-uDff_7J0KD5mKrp0Vvzr7lt3OU09vwQwhkpOPPYv2Y/edit?usp=sharing"",""งบพรบ!EQ71"")"),0)</f>
        <v>0</v>
      </c>
      <c r="O329" s="74">
        <f t="shared" ca="1" si="205"/>
        <v>0</v>
      </c>
      <c r="P329" s="74">
        <f t="shared" ca="1" si="206"/>
        <v>0</v>
      </c>
      <c r="Q329" s="74">
        <v>0</v>
      </c>
      <c r="R329" s="74">
        <v>0</v>
      </c>
      <c r="S329" s="74">
        <v>0</v>
      </c>
      <c r="T329" s="74">
        <f t="shared" si="208"/>
        <v>0</v>
      </c>
      <c r="U329" s="74">
        <f t="shared" si="209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282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92" t="s">
        <v>133</v>
      </c>
      <c r="I331" s="293">
        <f ca="1">IFERROR(__xludf.DUMMYFUNCTION("IMPORTRANGE(""https://docs.google.com/spreadsheets/d/1eHaY18a8A9IcSdp1K8H6x8fbOy06t2VsZHhMHf-1x7Y/edit?usp=sharing"",""แผน!EJ71"")"),0)</f>
        <v>0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5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1307" t="s">
        <v>35</v>
      </c>
      <c r="I333" s="534">
        <f ca="1">I345</f>
        <v>40</v>
      </c>
      <c r="J333" s="535">
        <f ca="1">J345+J348+J349+J350+J354</f>
        <v>30</v>
      </c>
      <c r="K333" s="536">
        <f ca="1">IF(I333&gt;0,J333*100/I333,0)</f>
        <v>75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1257">
        <f t="shared" ref="L334:N334" ca="1" si="216">L335+L336</f>
        <v>213600</v>
      </c>
      <c r="M334" s="264">
        <f t="shared" ca="1" si="216"/>
        <v>213600</v>
      </c>
      <c r="N334" s="264">
        <f t="shared" ca="1" si="216"/>
        <v>65086.67</v>
      </c>
      <c r="O334" s="264">
        <f t="shared" ref="O334:O342" ca="1" si="217">IF(L334&gt;0,N334*100/L334,0)</f>
        <v>30.471287453183521</v>
      </c>
      <c r="P334" s="264">
        <f t="shared" ref="P334:P342" ca="1" si="218">IF(M334&gt;0,N334*100/M334,0)</f>
        <v>30.471287453183521</v>
      </c>
      <c r="Q334" s="264">
        <f t="shared" ref="Q334:S334" si="219">Q335+Q336</f>
        <v>0</v>
      </c>
      <c r="R334" s="264">
        <f t="shared" si="219"/>
        <v>0</v>
      </c>
      <c r="S334" s="264">
        <f t="shared" si="219"/>
        <v>0</v>
      </c>
      <c r="T334" s="264">
        <f t="shared" ref="T334:T342" si="220">IF(Q334&gt;0,S334*100/Q334,0)</f>
        <v>0</v>
      </c>
      <c r="U334" s="264">
        <f t="shared" ref="U334:U342" si="221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6">
        <f t="shared" ref="L335:N336" si="222">L338+L341</f>
        <v>0</v>
      </c>
      <c r="M335" s="77">
        <f t="shared" si="222"/>
        <v>0</v>
      </c>
      <c r="N335" s="77">
        <f t="shared" si="222"/>
        <v>0</v>
      </c>
      <c r="O335" s="77">
        <f t="shared" si="217"/>
        <v>0</v>
      </c>
      <c r="P335" s="77">
        <f t="shared" si="218"/>
        <v>0</v>
      </c>
      <c r="Q335" s="77">
        <f t="shared" ref="Q335:S336" si="223">Q338+Q341</f>
        <v>0</v>
      </c>
      <c r="R335" s="77">
        <f t="shared" si="223"/>
        <v>0</v>
      </c>
      <c r="S335" s="77">
        <f t="shared" si="223"/>
        <v>0</v>
      </c>
      <c r="T335" s="77">
        <f t="shared" si="220"/>
        <v>0</v>
      </c>
      <c r="U335" s="77">
        <f t="shared" si="221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3">
        <f t="shared" ca="1" si="222"/>
        <v>213600</v>
      </c>
      <c r="M336" s="74">
        <f t="shared" ca="1" si="222"/>
        <v>213600</v>
      </c>
      <c r="N336" s="74">
        <f t="shared" ca="1" si="222"/>
        <v>65086.67</v>
      </c>
      <c r="O336" s="74">
        <f t="shared" ca="1" si="217"/>
        <v>30.471287453183521</v>
      </c>
      <c r="P336" s="74">
        <f t="shared" ca="1" si="218"/>
        <v>30.471287453183521</v>
      </c>
      <c r="Q336" s="74">
        <f t="shared" si="223"/>
        <v>0</v>
      </c>
      <c r="R336" s="74">
        <f t="shared" si="223"/>
        <v>0</v>
      </c>
      <c r="S336" s="74">
        <f t="shared" si="223"/>
        <v>0</v>
      </c>
      <c r="T336" s="74">
        <f t="shared" si="220"/>
        <v>0</v>
      </c>
      <c r="U336" s="74">
        <f t="shared" si="221"/>
        <v>0</v>
      </c>
    </row>
    <row r="337" spans="1:21" ht="18.75" x14ac:dyDescent="0.25">
      <c r="A337" s="257"/>
      <c r="B337" s="258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3">
        <f t="shared" ref="L337:N337" ca="1" si="224">L338+L339</f>
        <v>213600</v>
      </c>
      <c r="M337" s="74">
        <f t="shared" ca="1" si="224"/>
        <v>213600</v>
      </c>
      <c r="N337" s="74">
        <f t="shared" ca="1" si="224"/>
        <v>65086.67</v>
      </c>
      <c r="O337" s="74">
        <f t="shared" ca="1" si="217"/>
        <v>30.471287453183521</v>
      </c>
      <c r="P337" s="74">
        <f t="shared" ca="1" si="218"/>
        <v>30.471287453183521</v>
      </c>
      <c r="Q337" s="74">
        <f t="shared" ref="Q337:S337" si="225">Q338+Q339</f>
        <v>0</v>
      </c>
      <c r="R337" s="74">
        <f t="shared" si="225"/>
        <v>0</v>
      </c>
      <c r="S337" s="74">
        <f t="shared" si="225"/>
        <v>0</v>
      </c>
      <c r="T337" s="74">
        <f t="shared" si="220"/>
        <v>0</v>
      </c>
      <c r="U337" s="74">
        <f t="shared" si="221"/>
        <v>0</v>
      </c>
    </row>
    <row r="338" spans="1:21" ht="18.75" hidden="1" x14ac:dyDescent="0.25">
      <c r="A338" s="257"/>
      <c r="B338" s="258"/>
      <c r="C338" s="258"/>
      <c r="D338" s="258"/>
      <c r="E338" s="26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77">
        <f t="shared" si="217"/>
        <v>0</v>
      </c>
      <c r="P338" s="77">
        <f t="shared" si="218"/>
        <v>0</v>
      </c>
      <c r="Q338" s="77">
        <v>0</v>
      </c>
      <c r="R338" s="77">
        <v>0</v>
      </c>
      <c r="S338" s="77">
        <v>0</v>
      </c>
      <c r="T338" s="77">
        <f t="shared" si="220"/>
        <v>0</v>
      </c>
      <c r="U338" s="77">
        <f t="shared" si="221"/>
        <v>0</v>
      </c>
    </row>
    <row r="339" spans="1:21" ht="18.75" hidden="1" x14ac:dyDescent="0.25">
      <c r="A339" s="257"/>
      <c r="B339" s="258"/>
      <c r="C339" s="258"/>
      <c r="D339" s="258"/>
      <c r="E339" s="267" t="s">
        <v>37</v>
      </c>
      <c r="F339" s="258"/>
      <c r="G339" s="261"/>
      <c r="H339" s="271" t="s">
        <v>14</v>
      </c>
      <c r="I339" s="272"/>
      <c r="J339" s="272"/>
      <c r="K339" s="229"/>
      <c r="L339" s="73">
        <f ca="1">IFERROR(__xludf.DUMMYFUNCTION("IMPORTRANGE(""https://docs.google.com/spreadsheets/d/1-uDff_7J0KD5mKrp0Vvzr7lt3OU09vwQwhkpOPPYv2Y/edit?usp=sharing"",""งบพรบ!ES71"")"),213600)</f>
        <v>213600</v>
      </c>
      <c r="M339" s="74">
        <f ca="1">IFERROR(__xludf.DUMMYFUNCTION("IMPORTRANGE(""https://docs.google.com/spreadsheets/d/1-uDff_7J0KD5mKrp0Vvzr7lt3OU09vwQwhkpOPPYv2Y/edit?usp=sharing"",""งบพรบ!EX71"")"),213600)</f>
        <v>213600</v>
      </c>
      <c r="N339" s="74">
        <f ca="1">IFERROR(__xludf.DUMMYFUNCTION("IMPORTRANGE(""https://docs.google.com/spreadsheets/d/1-uDff_7J0KD5mKrp0Vvzr7lt3OU09vwQwhkpOPPYv2Y/edit?usp=sharing"",""งบพรบ!EZ71"")"),65086.67)</f>
        <v>65086.67</v>
      </c>
      <c r="O339" s="74">
        <f t="shared" ca="1" si="217"/>
        <v>30.471287453183521</v>
      </c>
      <c r="P339" s="74">
        <f t="shared" ca="1" si="218"/>
        <v>30.471287453183521</v>
      </c>
      <c r="Q339" s="74">
        <v>0</v>
      </c>
      <c r="R339" s="74">
        <v>0</v>
      </c>
      <c r="S339" s="74">
        <v>0</v>
      </c>
      <c r="T339" s="74">
        <f t="shared" si="220"/>
        <v>0</v>
      </c>
      <c r="U339" s="74">
        <f t="shared" si="221"/>
        <v>0</v>
      </c>
    </row>
    <row r="340" spans="1:21" ht="18.75" x14ac:dyDescent="0.25">
      <c r="A340" s="257"/>
      <c r="B340" s="258"/>
      <c r="C340" s="258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3">
        <f t="shared" ref="L340:N340" ca="1" si="226">L341+L342</f>
        <v>0</v>
      </c>
      <c r="M340" s="74">
        <f t="shared" ca="1" si="226"/>
        <v>0</v>
      </c>
      <c r="N340" s="74">
        <f t="shared" ca="1" si="226"/>
        <v>0</v>
      </c>
      <c r="O340" s="74">
        <f t="shared" ca="1" si="217"/>
        <v>0</v>
      </c>
      <c r="P340" s="74">
        <f t="shared" ca="1" si="218"/>
        <v>0</v>
      </c>
      <c r="Q340" s="74">
        <f t="shared" ref="Q340:S340" si="227">Q341+Q342</f>
        <v>0</v>
      </c>
      <c r="R340" s="74">
        <f t="shared" si="227"/>
        <v>0</v>
      </c>
      <c r="S340" s="74">
        <f t="shared" si="227"/>
        <v>0</v>
      </c>
      <c r="T340" s="74">
        <f t="shared" si="220"/>
        <v>0</v>
      </c>
      <c r="U340" s="74">
        <f t="shared" si="221"/>
        <v>0</v>
      </c>
    </row>
    <row r="341" spans="1:21" ht="18.75" hidden="1" x14ac:dyDescent="0.25">
      <c r="A341" s="257"/>
      <c r="B341" s="258"/>
      <c r="C341" s="258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77">
        <f t="shared" si="217"/>
        <v>0</v>
      </c>
      <c r="P341" s="77">
        <f t="shared" si="218"/>
        <v>0</v>
      </c>
      <c r="Q341" s="77">
        <v>0</v>
      </c>
      <c r="R341" s="77">
        <v>0</v>
      </c>
      <c r="S341" s="77">
        <v>0</v>
      </c>
      <c r="T341" s="77">
        <f t="shared" si="220"/>
        <v>0</v>
      </c>
      <c r="U341" s="77">
        <f t="shared" si="221"/>
        <v>0</v>
      </c>
    </row>
    <row r="342" spans="1:21" ht="18.75" hidden="1" x14ac:dyDescent="0.25">
      <c r="A342" s="257"/>
      <c r="B342" s="258"/>
      <c r="C342" s="258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3">
        <f ca="1">IFERROR(__xludf.DUMMYFUNCTION("IMPORTRANGE(""https://docs.google.com/spreadsheets/d/1-uDff_7J0KD5mKrp0Vvzr7lt3OU09vwQwhkpOPPYv2Y/edit?usp=sharing"",""งบพรบ!EV71"")"),0)</f>
        <v>0</v>
      </c>
      <c r="M342" s="74">
        <f ca="1">IFERROR(__xludf.DUMMYFUNCTION("IMPORTRANGE(""https://docs.google.com/spreadsheets/d/1-uDff_7J0KD5mKrp0Vvzr7lt3OU09vwQwhkpOPPYv2Y/edit?usp=sharing"",""งบพรบ!EY71"")"),0)</f>
        <v>0</v>
      </c>
      <c r="N342" s="74">
        <f ca="1">IFERROR(__xludf.DUMMYFUNCTION("IMPORTRANGE(""https://docs.google.com/spreadsheets/d/1-uDff_7J0KD5mKrp0Vvzr7lt3OU09vwQwhkpOPPYv2Y/edit?usp=sharing"",""งบพรบ!FA71"")"),0)</f>
        <v>0</v>
      </c>
      <c r="O342" s="74">
        <f t="shared" ca="1" si="217"/>
        <v>0</v>
      </c>
      <c r="P342" s="74">
        <f t="shared" ca="1" si="218"/>
        <v>0</v>
      </c>
      <c r="Q342" s="74">
        <v>0</v>
      </c>
      <c r="R342" s="74">
        <v>0</v>
      </c>
      <c r="S342" s="74">
        <v>0</v>
      </c>
      <c r="T342" s="74">
        <f t="shared" si="220"/>
        <v>0</v>
      </c>
      <c r="U342" s="74">
        <f t="shared" si="221"/>
        <v>0</v>
      </c>
    </row>
    <row r="343" spans="1:21" ht="19.5" x14ac:dyDescent="0.3">
      <c r="A343" s="276"/>
      <c r="B343" s="277"/>
      <c r="C343" s="259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30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551" t="s">
        <v>35</v>
      </c>
      <c r="I345" s="293">
        <f ca="1">IFERROR(__xludf.DUMMYFUNCTION("IMPORTRANGE(""https://docs.google.com/spreadsheets/d/1eHaY18a8A9IcSdp1K8H6x8fbOy06t2VsZHhMHf-1x7Y/edit?usp=sharing"",""แผน!EK71"")"),40)</f>
        <v>40</v>
      </c>
      <c r="J345" s="293">
        <f ca="1">IFERROR(__xludf.DUMMYFUNCTION("IMPORTRANGE(""https://docs.google.com/spreadsheets/d/1awYsYK3VOup2i3Pq_Yjnu8DRu_mYwSBnCR2QPthd0rU/edit?usp=sharing"",""ศูนย์ยกเว้นโฉนด!D71"")"),14)</f>
        <v>14</v>
      </c>
      <c r="K345" s="74">
        <f ca="1">IF(I345&gt;0,J345*100/I345,0)</f>
        <v>35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IFERROR(__xludf.DUMMYFUNCTION("IMPORTRANGE(""https://docs.google.com/spreadsheets/d/1eHaY18a8A9IcSdp1K8H6x8fbOy06t2VsZHhMHf-1x7Y/edit?usp=sharing"",""แผน!EL71"")"),1)</f>
        <v>1</v>
      </c>
      <c r="J347" s="293">
        <f ca="1">IFERROR(__xludf.DUMMYFUNCTION("IMPORTRANGE(""https://docs.google.com/spreadsheets/d/1awYsYK3VOup2i3Pq_Yjnu8DRu_mYwSBnCR2QPthd0rU/edit?usp=sharing"",""ศูนย์รวม!E71"")"),1)</f>
        <v>1</v>
      </c>
      <c r="K347" s="74">
        <f ca="1">IF(I347&gt;0,J347*100/I347,0)</f>
        <v>100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IFERROR(__xludf.DUMMYFUNCTION("IMPORTRANGE(""https://docs.google.com/spreadsheets/d/1awYsYK3VOup2i3Pq_Yjnu8DRu_mYwSBnCR2QPthd0rU/edit?usp=sharing"",""ศูนย์ยกเว้นโฉนด!F71"")"),14)</f>
        <v>14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IFERROR(__xludf.DUMMYFUNCTION("IMPORTRANGE(""https://docs.google.com/spreadsheets/d/1awYsYK3VOup2i3Pq_Yjnu8DRu_mYwSBnCR2QPthd0rU/edit?usp=sharing"",""ศูนย์ยกเว้นโฉนด!G71"")"),2)</f>
        <v>2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IFERROR(__xludf.DUMMYFUNCTION("IMPORTRANGE(""https://docs.google.com/spreadsheets/d/1awYsYK3VOup2i3Pq_Yjnu8DRu_mYwSBnCR2QPthd0rU/edit?usp=sharing"",""ศูนย์ยกเว้นโฉนด!H71"")"),0)</f>
        <v>0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558" t="s">
        <v>35</v>
      </c>
      <c r="I352" s="559">
        <v>0</v>
      </c>
      <c r="J352" s="559">
        <f ca="1">J353+J354</f>
        <v>0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IFERROR(__xludf.DUMMYFUNCTION("IMPORTRANGE(""https://docs.google.com/spreadsheets/d/1awYsYK3VOup2i3Pq_Yjnu8DRu_mYwSBnCR2QPthd0rU/edit?usp=sharing"",""โฉนดM3!G71"")"),0)</f>
        <v>0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IFERROR(__xludf.DUMMYFUNCTION("IMPORTRANGE(""https://docs.google.com/spreadsheets/d/1awYsYK3VOup2i3Pq_Yjnu8DRu_mYwSBnCR2QPthd0rU/edit?usp=sharing"",""โฉนดM3!H71"")"),0)</f>
        <v>0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08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1257">
        <f t="shared" ref="L357:N357" ca="1" si="228">L358+L359</f>
        <v>112985</v>
      </c>
      <c r="M357" s="264">
        <f t="shared" ca="1" si="228"/>
        <v>112985</v>
      </c>
      <c r="N357" s="264">
        <f t="shared" ca="1" si="228"/>
        <v>49768</v>
      </c>
      <c r="O357" s="264">
        <f t="shared" ref="O357:O365" ca="1" si="229">IF(L357&gt;0,N357*100/L357,0)</f>
        <v>44.048324998893655</v>
      </c>
      <c r="P357" s="264">
        <f t="shared" ref="P357:P365" ca="1" si="230">IF(M357&gt;0,N357*100/M357,0)</f>
        <v>44.048324998893655</v>
      </c>
      <c r="Q357" s="264">
        <f t="shared" ref="Q357:S357" si="231">Q358+Q359</f>
        <v>0</v>
      </c>
      <c r="R357" s="264">
        <f t="shared" si="231"/>
        <v>0</v>
      </c>
      <c r="S357" s="264">
        <f t="shared" si="231"/>
        <v>0</v>
      </c>
      <c r="T357" s="264">
        <f t="shared" ref="T357:T365" si="232">IF(Q357&gt;0,S357*100/Q357,0)</f>
        <v>0</v>
      </c>
      <c r="U357" s="264">
        <f t="shared" ref="U357:U365" si="233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6">
        <f t="shared" ref="L358:N359" si="234">L361+L364</f>
        <v>0</v>
      </c>
      <c r="M358" s="77">
        <f t="shared" si="234"/>
        <v>0</v>
      </c>
      <c r="N358" s="77">
        <f t="shared" si="234"/>
        <v>0</v>
      </c>
      <c r="O358" s="77">
        <f t="shared" si="229"/>
        <v>0</v>
      </c>
      <c r="P358" s="77">
        <f t="shared" si="230"/>
        <v>0</v>
      </c>
      <c r="Q358" s="77">
        <f t="shared" ref="Q358:S359" si="235">Q361+Q364</f>
        <v>0</v>
      </c>
      <c r="R358" s="77">
        <f t="shared" si="235"/>
        <v>0</v>
      </c>
      <c r="S358" s="77">
        <f t="shared" si="235"/>
        <v>0</v>
      </c>
      <c r="T358" s="77">
        <f t="shared" si="232"/>
        <v>0</v>
      </c>
      <c r="U358" s="77">
        <f t="shared" si="233"/>
        <v>0</v>
      </c>
    </row>
    <row r="359" spans="1:21" ht="18.75" hidden="1" x14ac:dyDescent="0.25">
      <c r="A359" s="257"/>
      <c r="B359" s="258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3">
        <f t="shared" ca="1" si="234"/>
        <v>112985</v>
      </c>
      <c r="M359" s="74">
        <f t="shared" ca="1" si="234"/>
        <v>112985</v>
      </c>
      <c r="N359" s="74">
        <f t="shared" ca="1" si="234"/>
        <v>49768</v>
      </c>
      <c r="O359" s="74">
        <f t="shared" ca="1" si="229"/>
        <v>44.048324998893655</v>
      </c>
      <c r="P359" s="74">
        <f t="shared" ca="1" si="230"/>
        <v>44.048324998893655</v>
      </c>
      <c r="Q359" s="74">
        <f t="shared" si="235"/>
        <v>0</v>
      </c>
      <c r="R359" s="74">
        <f t="shared" si="235"/>
        <v>0</v>
      </c>
      <c r="S359" s="74">
        <f t="shared" si="235"/>
        <v>0</v>
      </c>
      <c r="T359" s="74">
        <f t="shared" si="232"/>
        <v>0</v>
      </c>
      <c r="U359" s="74">
        <f t="shared" si="233"/>
        <v>0</v>
      </c>
    </row>
    <row r="360" spans="1:21" ht="18.75" x14ac:dyDescent="0.25">
      <c r="A360" s="257"/>
      <c r="B360" s="258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3">
        <f t="shared" ref="L360:N360" ca="1" si="236">L361+L362</f>
        <v>112985</v>
      </c>
      <c r="M360" s="74">
        <f t="shared" ca="1" si="236"/>
        <v>112985</v>
      </c>
      <c r="N360" s="74">
        <f t="shared" ca="1" si="236"/>
        <v>49768</v>
      </c>
      <c r="O360" s="74">
        <f t="shared" ca="1" si="229"/>
        <v>44.048324998893655</v>
      </c>
      <c r="P360" s="74">
        <f t="shared" ca="1" si="230"/>
        <v>44.048324998893655</v>
      </c>
      <c r="Q360" s="74">
        <f t="shared" ref="Q360:S360" si="237">Q361+Q362</f>
        <v>0</v>
      </c>
      <c r="R360" s="74">
        <f t="shared" si="237"/>
        <v>0</v>
      </c>
      <c r="S360" s="74">
        <f t="shared" si="237"/>
        <v>0</v>
      </c>
      <c r="T360" s="74">
        <f t="shared" si="232"/>
        <v>0</v>
      </c>
      <c r="U360" s="74">
        <f t="shared" si="233"/>
        <v>0</v>
      </c>
    </row>
    <row r="361" spans="1:21" ht="18.75" hidden="1" x14ac:dyDescent="0.25">
      <c r="A361" s="257"/>
      <c r="B361" s="258"/>
      <c r="C361" s="258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77">
        <f t="shared" si="229"/>
        <v>0</v>
      </c>
      <c r="P361" s="77">
        <f t="shared" si="230"/>
        <v>0</v>
      </c>
      <c r="Q361" s="77">
        <v>0</v>
      </c>
      <c r="R361" s="77">
        <v>0</v>
      </c>
      <c r="S361" s="77">
        <v>0</v>
      </c>
      <c r="T361" s="77">
        <f t="shared" si="232"/>
        <v>0</v>
      </c>
      <c r="U361" s="77">
        <f t="shared" si="233"/>
        <v>0</v>
      </c>
    </row>
    <row r="362" spans="1:21" ht="18.75" hidden="1" x14ac:dyDescent="0.25">
      <c r="A362" s="257"/>
      <c r="B362" s="258"/>
      <c r="C362" s="258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3">
        <f ca="1">IFERROR(__xludf.DUMMYFUNCTION("IMPORTRANGE(""https://docs.google.com/spreadsheets/d/1-uDff_7J0KD5mKrp0Vvzr7lt3OU09vwQwhkpOPPYv2Y/edit?usp=sharing"",""งบพรบ!FC71"")"),112985)</f>
        <v>112985</v>
      </c>
      <c r="M362" s="74">
        <f ca="1">IFERROR(__xludf.DUMMYFUNCTION("IMPORTRANGE(""https://docs.google.com/spreadsheets/d/1-uDff_7J0KD5mKrp0Vvzr7lt3OU09vwQwhkpOPPYv2Y/edit?usp=sharing"",""งบพรบ!FH71"")"),112985)</f>
        <v>112985</v>
      </c>
      <c r="N362" s="74">
        <f ca="1">IFERROR(__xludf.DUMMYFUNCTION("IMPORTRANGE(""https://docs.google.com/spreadsheets/d/1-uDff_7J0KD5mKrp0Vvzr7lt3OU09vwQwhkpOPPYv2Y/edit?usp=sharing"",""งบพรบ!FJ71"")"),49768)</f>
        <v>49768</v>
      </c>
      <c r="O362" s="74">
        <f t="shared" ca="1" si="229"/>
        <v>44.048324998893655</v>
      </c>
      <c r="P362" s="74">
        <f t="shared" ca="1" si="230"/>
        <v>44.048324998893655</v>
      </c>
      <c r="Q362" s="74">
        <v>0</v>
      </c>
      <c r="R362" s="74">
        <v>0</v>
      </c>
      <c r="S362" s="74">
        <v>0</v>
      </c>
      <c r="T362" s="74">
        <f t="shared" si="232"/>
        <v>0</v>
      </c>
      <c r="U362" s="74">
        <f t="shared" si="233"/>
        <v>0</v>
      </c>
    </row>
    <row r="363" spans="1:21" ht="18.75" x14ac:dyDescent="0.25">
      <c r="A363" s="257"/>
      <c r="B363" s="258"/>
      <c r="C363" s="258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3">
        <f t="shared" ref="L363:N363" ca="1" si="238">L364+L365</f>
        <v>0</v>
      </c>
      <c r="M363" s="74">
        <f t="shared" ca="1" si="238"/>
        <v>0</v>
      </c>
      <c r="N363" s="74">
        <f t="shared" ca="1" si="238"/>
        <v>0</v>
      </c>
      <c r="O363" s="74">
        <f t="shared" ca="1" si="229"/>
        <v>0</v>
      </c>
      <c r="P363" s="74">
        <f t="shared" ca="1" si="230"/>
        <v>0</v>
      </c>
      <c r="Q363" s="74">
        <f t="shared" ref="Q363:S363" si="239">Q364+Q365</f>
        <v>0</v>
      </c>
      <c r="R363" s="74">
        <f t="shared" si="239"/>
        <v>0</v>
      </c>
      <c r="S363" s="74">
        <f t="shared" si="239"/>
        <v>0</v>
      </c>
      <c r="T363" s="74">
        <f t="shared" si="232"/>
        <v>0</v>
      </c>
      <c r="U363" s="74">
        <f t="shared" si="233"/>
        <v>0</v>
      </c>
    </row>
    <row r="364" spans="1:21" ht="18.75" hidden="1" x14ac:dyDescent="0.25">
      <c r="A364" s="257"/>
      <c r="B364" s="258"/>
      <c r="C364" s="258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77">
        <f t="shared" si="229"/>
        <v>0</v>
      </c>
      <c r="P364" s="77">
        <f t="shared" si="230"/>
        <v>0</v>
      </c>
      <c r="Q364" s="77">
        <v>0</v>
      </c>
      <c r="R364" s="77">
        <v>0</v>
      </c>
      <c r="S364" s="77">
        <v>0</v>
      </c>
      <c r="T364" s="77">
        <f t="shared" si="232"/>
        <v>0</v>
      </c>
      <c r="U364" s="77">
        <f t="shared" si="233"/>
        <v>0</v>
      </c>
    </row>
    <row r="365" spans="1:21" ht="18.75" hidden="1" x14ac:dyDescent="0.25">
      <c r="A365" s="257"/>
      <c r="B365" s="258"/>
      <c r="C365" s="258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3">
        <f ca="1">IFERROR(__xludf.DUMMYFUNCTION("IMPORTRANGE(""https://docs.google.com/spreadsheets/d/1-uDff_7J0KD5mKrp0Vvzr7lt3OU09vwQwhkpOPPYv2Y/edit?usp=sharing"",""งบพรบ!FF71"")"),0)</f>
        <v>0</v>
      </c>
      <c r="M365" s="74">
        <f ca="1">IFERROR(__xludf.DUMMYFUNCTION("IMPORTRANGE(""https://docs.google.com/spreadsheets/d/1-uDff_7J0KD5mKrp0Vvzr7lt3OU09vwQwhkpOPPYv2Y/edit?usp=sharing"",""งบพรบ!FI71"")"),0)</f>
        <v>0</v>
      </c>
      <c r="N365" s="74">
        <f ca="1">IFERROR(__xludf.DUMMYFUNCTION("IMPORTRANGE(""https://docs.google.com/spreadsheets/d/1-uDff_7J0KD5mKrp0Vvzr7lt3OU09vwQwhkpOPPYv2Y/edit?usp=sharing"",""งบพรบ!FK71"")"),0)</f>
        <v>0</v>
      </c>
      <c r="O365" s="74">
        <f t="shared" ca="1" si="229"/>
        <v>0</v>
      </c>
      <c r="P365" s="74">
        <f t="shared" ca="1" si="230"/>
        <v>0</v>
      </c>
      <c r="Q365" s="74">
        <v>0</v>
      </c>
      <c r="R365" s="74">
        <v>0</v>
      </c>
      <c r="S365" s="74">
        <v>0</v>
      </c>
      <c r="T365" s="74">
        <f t="shared" si="232"/>
        <v>0</v>
      </c>
      <c r="U365" s="74">
        <f t="shared" si="233"/>
        <v>0</v>
      </c>
    </row>
    <row r="366" spans="1:21" ht="19.5" x14ac:dyDescent="0.3">
      <c r="A366" s="553"/>
      <c r="B366" s="555"/>
      <c r="C366" s="554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0">I372</f>
        <v>0</v>
      </c>
      <c r="J366" s="559">
        <f t="shared" ca="1" si="240"/>
        <v>0</v>
      </c>
      <c r="K366" s="560">
        <f ca="1">IF(I366&gt;0,J366*100/I366,0)</f>
        <v>0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259" t="s">
        <v>18</v>
      </c>
      <c r="D367" s="1019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96"/>
      <c r="C368" s="277"/>
      <c r="D368" s="296"/>
      <c r="E368" s="767" t="s">
        <v>150</v>
      </c>
      <c r="F368" s="296"/>
      <c r="G368" s="282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IFERROR(__xludf.DUMMYFUNCTION("IMPORTRANGE(""https://docs.google.com/spreadsheets/d/1tdoBKaGub7dwA3U6UFTqxio9LNnvDCQjHKmttSEBsFQ/edit?usp=sharing"",""จัดที่ดิน!AB71"")"),0)</f>
        <v>0</v>
      </c>
      <c r="K368" s="74">
        <f t="shared" ref="K368:K373" si="241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IFERROR(__xludf.DUMMYFUNCTION("IMPORTRANGE(""https://docs.google.com/spreadsheets/d/1eHaY18a8A9IcSdp1K8H6x8fbOy06t2VsZHhMHf-1x7Y/edit?usp=sharing"",""แผน!EW71"")"),0)</f>
        <v>0</v>
      </c>
      <c r="J369" s="1190">
        <f ca="1">IFERROR(__xludf.DUMMYFUNCTION("IMPORTRANGE(""https://docs.google.com/spreadsheets/d/1tdoBKaGub7dwA3U6UFTqxio9LNnvDCQjHKmttSEBsFQ/edit?usp=sharing"",""จัดที่ดิน!AC71"")"),0)</f>
        <v>0</v>
      </c>
      <c r="K369" s="74">
        <f t="shared" ca="1" si="241"/>
        <v>0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99" t="s">
        <v>35</v>
      </c>
      <c r="I370" s="293">
        <f ca="1">IFERROR(__xludf.DUMMYFUNCTION("IMPORTRANGE(""https://docs.google.com/spreadsheets/d/1eHaY18a8A9IcSdp1K8H6x8fbOy06t2VsZHhMHf-1x7Y/edit?usp=sharing"",""แผน!EX71"")"),0)</f>
        <v>0</v>
      </c>
      <c r="J370" s="293">
        <f ca="1">IFERROR(__xludf.DUMMYFUNCTION("IMPORTRANGE(""https://docs.google.com/spreadsheets/d/1tdoBKaGub7dwA3U6UFTqxio9LNnvDCQjHKmttSEBsFQ/edit?usp=sharing"",""จัดที่ดิน!AD71"")"),0)</f>
        <v>0</v>
      </c>
      <c r="K370" s="74">
        <f t="shared" ca="1" si="241"/>
        <v>0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99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IFERROR(__xludf.DUMMYFUNCTION("IMPORTRANGE(""https://docs.google.com/spreadsheets/d/1tdoBKaGub7dwA3U6UFTqxio9LNnvDCQjHKmttSEBsFQ/edit?usp=sharing"",""จัดที่ดิน!AE71"")"),0)</f>
        <v>0</v>
      </c>
      <c r="K371" s="74">
        <f t="shared" si="241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99" t="s">
        <v>35</v>
      </c>
      <c r="I372" s="293">
        <f ca="1">IFERROR(__xludf.DUMMYFUNCTION("IMPORTRANGE(""https://docs.google.com/spreadsheets/d/1eHaY18a8A9IcSdp1K8H6x8fbOy06t2VsZHhMHf-1x7Y/edit?usp=sharing"",""แผน!EY71"")"),0)</f>
        <v>0</v>
      </c>
      <c r="J372" s="293">
        <f ca="1">IFERROR(__xludf.DUMMYFUNCTION("IMPORTRANGE(""https://docs.google.com/spreadsheets/d/1tdoBKaGub7dwA3U6UFTqxio9LNnvDCQjHKmttSEBsFQ/edit?usp=sharing"",""จัดที่ดิน!AF71"")"),0)</f>
        <v>0</v>
      </c>
      <c r="K372" s="74">
        <f t="shared" ca="1" si="241"/>
        <v>0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99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IFERROR(__xludf.DUMMYFUNCTION("IMPORTRANGE(""https://docs.google.com/spreadsheets/d/1tdoBKaGub7dwA3U6UFTqxio9LNnvDCQjHKmttSEBsFQ/edit?usp=sharing"",""จัดที่ดิน!AG71"")"),0)</f>
        <v>0</v>
      </c>
      <c r="K373" s="74">
        <f t="shared" si="241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37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hidden="1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2">I386</f>
        <v>0</v>
      </c>
      <c r="J375" s="585">
        <f t="shared" si="242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hidden="1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1257">
        <f t="shared" ref="L376:N376" si="243">L377+L378</f>
        <v>0</v>
      </c>
      <c r="M376" s="264">
        <f t="shared" si="243"/>
        <v>0</v>
      </c>
      <c r="N376" s="264">
        <f t="shared" si="243"/>
        <v>0</v>
      </c>
      <c r="O376" s="264">
        <f t="shared" ref="O376:O384" si="244">IF(L376&gt;0,N376*100/L376,0)</f>
        <v>0</v>
      </c>
      <c r="P376" s="264">
        <f t="shared" ref="P376:P384" si="245">IF(M376&gt;0,N376*100/M376,0)</f>
        <v>0</v>
      </c>
      <c r="Q376" s="264">
        <f t="shared" ref="Q376:S376" ca="1" si="246">Q377+Q378</f>
        <v>0</v>
      </c>
      <c r="R376" s="264">
        <f t="shared" ca="1" si="246"/>
        <v>0</v>
      </c>
      <c r="S376" s="264">
        <f t="shared" ca="1" si="246"/>
        <v>0</v>
      </c>
      <c r="T376" s="264">
        <f t="shared" ref="T376:T384" ca="1" si="247">IF(Q376&gt;0,S376*100/Q376,0)</f>
        <v>0</v>
      </c>
      <c r="U376" s="264">
        <f t="shared" ref="U376:U384" ca="1" si="248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6">
        <f t="shared" ref="L377:N378" si="249">L380+L383</f>
        <v>0</v>
      </c>
      <c r="M377" s="77">
        <f t="shared" si="249"/>
        <v>0</v>
      </c>
      <c r="N377" s="77">
        <f t="shared" si="249"/>
        <v>0</v>
      </c>
      <c r="O377" s="77">
        <f t="shared" si="244"/>
        <v>0</v>
      </c>
      <c r="P377" s="77">
        <f t="shared" si="245"/>
        <v>0</v>
      </c>
      <c r="Q377" s="77">
        <f t="shared" ref="Q377:S378" si="250">Q380+Q383</f>
        <v>0</v>
      </c>
      <c r="R377" s="77">
        <f t="shared" si="250"/>
        <v>0</v>
      </c>
      <c r="S377" s="77">
        <f t="shared" si="250"/>
        <v>0</v>
      </c>
      <c r="T377" s="77">
        <f t="shared" si="247"/>
        <v>0</v>
      </c>
      <c r="U377" s="77">
        <f t="shared" si="248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3">
        <f t="shared" si="249"/>
        <v>0</v>
      </c>
      <c r="M378" s="74">
        <f t="shared" si="249"/>
        <v>0</v>
      </c>
      <c r="N378" s="74">
        <f t="shared" si="249"/>
        <v>0</v>
      </c>
      <c r="O378" s="74">
        <f t="shared" si="244"/>
        <v>0</v>
      </c>
      <c r="P378" s="74">
        <f t="shared" si="245"/>
        <v>0</v>
      </c>
      <c r="Q378" s="74">
        <f t="shared" ca="1" si="250"/>
        <v>0</v>
      </c>
      <c r="R378" s="74">
        <f t="shared" ca="1" si="250"/>
        <v>0</v>
      </c>
      <c r="S378" s="74">
        <f t="shared" ca="1" si="250"/>
        <v>0</v>
      </c>
      <c r="T378" s="74">
        <f t="shared" ca="1" si="247"/>
        <v>0</v>
      </c>
      <c r="U378" s="74">
        <f t="shared" ca="1" si="248"/>
        <v>0</v>
      </c>
    </row>
    <row r="379" spans="1:21" ht="18.75" hidden="1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3">
        <f t="shared" ref="L379:N379" si="251">L380+L381</f>
        <v>0</v>
      </c>
      <c r="M379" s="74">
        <f t="shared" si="251"/>
        <v>0</v>
      </c>
      <c r="N379" s="74">
        <f t="shared" si="251"/>
        <v>0</v>
      </c>
      <c r="O379" s="74">
        <f t="shared" si="244"/>
        <v>0</v>
      </c>
      <c r="P379" s="74">
        <f t="shared" si="245"/>
        <v>0</v>
      </c>
      <c r="Q379" s="74">
        <f t="shared" ref="Q379:S379" ca="1" si="252">Q380+Q381</f>
        <v>0</v>
      </c>
      <c r="R379" s="74">
        <f t="shared" ca="1" si="252"/>
        <v>0</v>
      </c>
      <c r="S379" s="74">
        <f t="shared" ca="1" si="252"/>
        <v>0</v>
      </c>
      <c r="T379" s="74">
        <f t="shared" ca="1" si="247"/>
        <v>0</v>
      </c>
      <c r="U379" s="74">
        <f t="shared" ca="1" si="248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77">
        <f t="shared" si="244"/>
        <v>0</v>
      </c>
      <c r="P380" s="77">
        <f t="shared" si="245"/>
        <v>0</v>
      </c>
      <c r="Q380" s="77">
        <v>0</v>
      </c>
      <c r="R380" s="77">
        <v>0</v>
      </c>
      <c r="S380" s="77">
        <v>0</v>
      </c>
      <c r="T380" s="77">
        <f t="shared" si="247"/>
        <v>0</v>
      </c>
      <c r="U380" s="77">
        <f t="shared" si="248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74">
        <f t="shared" si="244"/>
        <v>0</v>
      </c>
      <c r="P381" s="74">
        <f t="shared" si="245"/>
        <v>0</v>
      </c>
      <c r="Q381" s="74">
        <f ca="1">IFERROR(__xludf.DUMMYFUNCTION("IMPORTRANGE(""https://docs.google.com/spreadsheets/d/1ItG2mGa2ceCfYo0BwxsXqNm01IGEUdYcSSLTEv9YCik/edit?usp=sharing"",""เบิกจ่ายกองทุน!AY71"")"),0)</f>
        <v>0</v>
      </c>
      <c r="R381" s="74">
        <f ca="1">IFERROR(__xludf.DUMMYFUNCTION("IMPORTRANGE(""https://docs.google.com/spreadsheets/d/1ItG2mGa2ceCfYo0BwxsXqNm01IGEUdYcSSLTEv9YCik/edit?usp=sharing"",""เบิกจ่ายกองทุน!AZ71"")"),0)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IFERROR(__xludf.DUMMYFUNCTION("IMPORTRANGE(""https://docs.google.com/spreadsheets/d/1ItG2mGa2ceCfYo0BwxsXqNm01IGEUdYcSSLTEv9YCik/edit?usp=sharing"",""เบิกจ่ายกองทุน!BA71"")"),0)</f>
        <v>0</v>
      </c>
      <c r="T381" s="74">
        <f t="shared" ca="1" si="247"/>
        <v>0</v>
      </c>
      <c r="U381" s="74">
        <f t="shared" ca="1" si="248"/>
        <v>0</v>
      </c>
    </row>
    <row r="382" spans="1:21" ht="18.75" hidden="1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3">
        <f t="shared" ref="L382:N382" si="253">L383+L384</f>
        <v>0</v>
      </c>
      <c r="M382" s="74">
        <f t="shared" si="253"/>
        <v>0</v>
      </c>
      <c r="N382" s="74">
        <f t="shared" si="253"/>
        <v>0</v>
      </c>
      <c r="O382" s="74">
        <f t="shared" si="244"/>
        <v>0</v>
      </c>
      <c r="P382" s="74">
        <f t="shared" si="245"/>
        <v>0</v>
      </c>
      <c r="Q382" s="74">
        <f t="shared" ref="Q382:S382" si="254">Q383+Q384</f>
        <v>0</v>
      </c>
      <c r="R382" s="74">
        <f t="shared" si="254"/>
        <v>0</v>
      </c>
      <c r="S382" s="74">
        <f t="shared" si="254"/>
        <v>0</v>
      </c>
      <c r="T382" s="74">
        <f t="shared" si="247"/>
        <v>0</v>
      </c>
      <c r="U382" s="74">
        <f t="shared" si="248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77">
        <f t="shared" si="244"/>
        <v>0</v>
      </c>
      <c r="P383" s="77">
        <f t="shared" si="245"/>
        <v>0</v>
      </c>
      <c r="Q383" s="77">
        <v>0</v>
      </c>
      <c r="R383" s="77">
        <v>0</v>
      </c>
      <c r="S383" s="77">
        <v>0</v>
      </c>
      <c r="T383" s="77">
        <f t="shared" si="247"/>
        <v>0</v>
      </c>
      <c r="U383" s="77">
        <f t="shared" si="248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74">
        <f t="shared" si="244"/>
        <v>0</v>
      </c>
      <c r="P384" s="74">
        <f t="shared" si="245"/>
        <v>0</v>
      </c>
      <c r="Q384" s="74">
        <v>0</v>
      </c>
      <c r="R384" s="74">
        <v>0</v>
      </c>
      <c r="S384" s="74">
        <v>0</v>
      </c>
      <c r="T384" s="74">
        <f t="shared" si="247"/>
        <v>0</v>
      </c>
      <c r="U384" s="74">
        <f t="shared" si="248"/>
        <v>0</v>
      </c>
    </row>
    <row r="385" spans="1:21" ht="19.5" hidden="1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hidden="1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f ca="1">IFERROR(__xludf.DUMMYFUNCTION("IMPORTRANGE(""https://docs.google.com/spreadsheets/d/1eHaY18a8A9IcSdp1K8H6x8fbOy06t2VsZHhMHf-1x7Y/edit?usp=sharing"",""แผน!JQ71"")"),0)</f>
        <v>0</v>
      </c>
      <c r="J386" s="293">
        <v>0</v>
      </c>
      <c r="K386" s="74">
        <f t="shared" ref="K386:K389" ca="1" si="255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hidden="1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IFERROR(__xludf.DUMMYFUNCTION("IMPORTRANGE(""https://docs.google.com/spreadsheets/d/1eHaY18a8A9IcSdp1K8H6x8fbOy06t2VsZHhMHf-1x7Y/edit?usp=sharing"",""แผน!JQ71"")"),0)</f>
        <v>0</v>
      </c>
      <c r="J387" s="293">
        <v>0</v>
      </c>
      <c r="K387" s="74">
        <f t="shared" ca="1" si="255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hidden="1" x14ac:dyDescent="0.25">
      <c r="A388" s="269"/>
      <c r="B388" s="269"/>
      <c r="C388" s="269"/>
      <c r="D388" s="269"/>
      <c r="E388" s="775" t="s">
        <v>155</v>
      </c>
      <c r="F388" s="269"/>
      <c r="G388" s="312"/>
      <c r="H388" s="266" t="s">
        <v>34</v>
      </c>
      <c r="I388" s="592">
        <v>0</v>
      </c>
      <c r="J388" s="592">
        <v>0</v>
      </c>
      <c r="K388" s="77">
        <f t="shared" si="255"/>
        <v>0</v>
      </c>
      <c r="L388" s="86"/>
      <c r="M388" s="87"/>
      <c r="N388" s="87"/>
      <c r="O388" s="87"/>
      <c r="P388" s="87"/>
      <c r="Q388" s="87"/>
      <c r="R388" s="87"/>
      <c r="S388" s="87"/>
      <c r="T388" s="87"/>
      <c r="U388" s="87"/>
    </row>
    <row r="389" spans="1:21" ht="18.75" hidden="1" x14ac:dyDescent="0.25">
      <c r="A389" s="269"/>
      <c r="B389" s="269"/>
      <c r="C389" s="269"/>
      <c r="D389" s="269"/>
      <c r="E389" s="269"/>
      <c r="F389" s="269"/>
      <c r="G389" s="312"/>
      <c r="H389" s="266" t="s">
        <v>46</v>
      </c>
      <c r="I389" s="592">
        <v>0</v>
      </c>
      <c r="J389" s="592">
        <v>0</v>
      </c>
      <c r="K389" s="77">
        <f t="shared" si="255"/>
        <v>0</v>
      </c>
      <c r="L389" s="86"/>
      <c r="M389" s="87"/>
      <c r="N389" s="87"/>
      <c r="O389" s="87"/>
      <c r="P389" s="87"/>
      <c r="Q389" s="87"/>
      <c r="R389" s="87"/>
      <c r="S389" s="87"/>
      <c r="T389" s="87"/>
      <c r="U389" s="87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6">I403</f>
        <v>0</v>
      </c>
      <c r="J392" s="1189">
        <f t="shared" si="256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1257">
        <f t="shared" ref="L393:N393" si="257">L394+L395</f>
        <v>0</v>
      </c>
      <c r="M393" s="264">
        <f t="shared" si="257"/>
        <v>0</v>
      </c>
      <c r="N393" s="264">
        <f t="shared" si="257"/>
        <v>0</v>
      </c>
      <c r="O393" s="264">
        <f t="shared" ref="O393:O401" si="258">IF(L393&gt;0,N393*100/L393,0)</f>
        <v>0</v>
      </c>
      <c r="P393" s="264">
        <f t="shared" ref="P393:P401" si="259">IF(M393&gt;0,N393*100/M393,0)</f>
        <v>0</v>
      </c>
      <c r="Q393" s="264">
        <f t="shared" ref="Q393:S393" si="260">Q394+Q395</f>
        <v>0</v>
      </c>
      <c r="R393" s="264">
        <f t="shared" si="260"/>
        <v>0</v>
      </c>
      <c r="S393" s="264">
        <f t="shared" si="260"/>
        <v>0</v>
      </c>
      <c r="T393" s="264">
        <f t="shared" ref="T393:T401" si="261">IF(Q393&gt;0,S393*100/Q393,0)</f>
        <v>0</v>
      </c>
      <c r="U393" s="264">
        <f t="shared" ref="U393:U401" si="262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6">
        <f t="shared" ref="L394:N395" si="263">L397+L400</f>
        <v>0</v>
      </c>
      <c r="M394" s="77">
        <f t="shared" si="263"/>
        <v>0</v>
      </c>
      <c r="N394" s="77">
        <f t="shared" si="263"/>
        <v>0</v>
      </c>
      <c r="O394" s="77">
        <f t="shared" si="258"/>
        <v>0</v>
      </c>
      <c r="P394" s="77">
        <f t="shared" si="259"/>
        <v>0</v>
      </c>
      <c r="Q394" s="77">
        <f t="shared" ref="Q394:S395" si="264">Q397+Q400</f>
        <v>0</v>
      </c>
      <c r="R394" s="77">
        <f t="shared" si="264"/>
        <v>0</v>
      </c>
      <c r="S394" s="77">
        <f t="shared" si="264"/>
        <v>0</v>
      </c>
      <c r="T394" s="77">
        <f t="shared" si="261"/>
        <v>0</v>
      </c>
      <c r="U394" s="77">
        <f t="shared" si="262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3">
        <f t="shared" si="263"/>
        <v>0</v>
      </c>
      <c r="M395" s="74">
        <f t="shared" si="263"/>
        <v>0</v>
      </c>
      <c r="N395" s="74">
        <f t="shared" si="263"/>
        <v>0</v>
      </c>
      <c r="O395" s="74">
        <f t="shared" si="258"/>
        <v>0</v>
      </c>
      <c r="P395" s="74">
        <f t="shared" si="259"/>
        <v>0</v>
      </c>
      <c r="Q395" s="74">
        <f t="shared" si="264"/>
        <v>0</v>
      </c>
      <c r="R395" s="74">
        <f t="shared" si="264"/>
        <v>0</v>
      </c>
      <c r="S395" s="74">
        <f t="shared" si="264"/>
        <v>0</v>
      </c>
      <c r="T395" s="74">
        <f t="shared" si="261"/>
        <v>0</v>
      </c>
      <c r="U395" s="74">
        <f t="shared" si="262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3">
        <f t="shared" ref="L396:N396" si="265">L397+L398</f>
        <v>0</v>
      </c>
      <c r="M396" s="74">
        <f t="shared" si="265"/>
        <v>0</v>
      </c>
      <c r="N396" s="74">
        <f t="shared" si="265"/>
        <v>0</v>
      </c>
      <c r="O396" s="74">
        <f t="shared" si="258"/>
        <v>0</v>
      </c>
      <c r="P396" s="74">
        <f t="shared" si="259"/>
        <v>0</v>
      </c>
      <c r="Q396" s="74">
        <f t="shared" ref="Q396:S396" si="266">Q397+Q398</f>
        <v>0</v>
      </c>
      <c r="R396" s="74">
        <f t="shared" si="266"/>
        <v>0</v>
      </c>
      <c r="S396" s="74">
        <f t="shared" si="266"/>
        <v>0</v>
      </c>
      <c r="T396" s="74">
        <f t="shared" si="261"/>
        <v>0</v>
      </c>
      <c r="U396" s="74">
        <f t="shared" si="262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77">
        <f t="shared" si="258"/>
        <v>0</v>
      </c>
      <c r="P397" s="77">
        <f t="shared" si="259"/>
        <v>0</v>
      </c>
      <c r="Q397" s="77">
        <v>0</v>
      </c>
      <c r="R397" s="77">
        <v>0</v>
      </c>
      <c r="S397" s="77">
        <v>0</v>
      </c>
      <c r="T397" s="77">
        <f t="shared" si="261"/>
        <v>0</v>
      </c>
      <c r="U397" s="77">
        <f t="shared" si="262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74">
        <f t="shared" si="258"/>
        <v>0</v>
      </c>
      <c r="P398" s="74">
        <f t="shared" si="259"/>
        <v>0</v>
      </c>
      <c r="Q398" s="74">
        <v>0</v>
      </c>
      <c r="R398" s="74">
        <v>0</v>
      </c>
      <c r="S398" s="74">
        <v>0</v>
      </c>
      <c r="T398" s="74">
        <f t="shared" si="261"/>
        <v>0</v>
      </c>
      <c r="U398" s="74">
        <f t="shared" si="262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3">
        <f t="shared" ref="L399:N399" si="267">L400+L401</f>
        <v>0</v>
      </c>
      <c r="M399" s="74">
        <f t="shared" si="267"/>
        <v>0</v>
      </c>
      <c r="N399" s="74">
        <f t="shared" si="267"/>
        <v>0</v>
      </c>
      <c r="O399" s="74">
        <f t="shared" si="258"/>
        <v>0</v>
      </c>
      <c r="P399" s="74">
        <f t="shared" si="259"/>
        <v>0</v>
      </c>
      <c r="Q399" s="74">
        <f t="shared" ref="Q399:S399" si="268">Q400+Q401</f>
        <v>0</v>
      </c>
      <c r="R399" s="74">
        <f t="shared" si="268"/>
        <v>0</v>
      </c>
      <c r="S399" s="74">
        <f t="shared" si="268"/>
        <v>0</v>
      </c>
      <c r="T399" s="74">
        <f t="shared" si="261"/>
        <v>0</v>
      </c>
      <c r="U399" s="74">
        <f t="shared" si="262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77">
        <f t="shared" si="258"/>
        <v>0</v>
      </c>
      <c r="P400" s="77">
        <f t="shared" si="259"/>
        <v>0</v>
      </c>
      <c r="Q400" s="77">
        <v>0</v>
      </c>
      <c r="R400" s="77">
        <v>0</v>
      </c>
      <c r="S400" s="77">
        <v>0</v>
      </c>
      <c r="T400" s="77">
        <f t="shared" si="261"/>
        <v>0</v>
      </c>
      <c r="U400" s="77">
        <f t="shared" si="262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74">
        <f t="shared" si="258"/>
        <v>0</v>
      </c>
      <c r="P401" s="74">
        <f t="shared" si="259"/>
        <v>0</v>
      </c>
      <c r="Q401" s="74">
        <v>0</v>
      </c>
      <c r="R401" s="74">
        <v>0</v>
      </c>
      <c r="S401" s="74">
        <v>0</v>
      </c>
      <c r="T401" s="74">
        <f t="shared" si="261"/>
        <v>0</v>
      </c>
      <c r="U401" s="74">
        <f t="shared" si="262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69">I424</f>
        <v>0</v>
      </c>
      <c r="J413" s="617">
        <f t="shared" si="269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1257">
        <f t="shared" ref="L414:N414" si="270">L415+L416</f>
        <v>0</v>
      </c>
      <c r="M414" s="264">
        <f t="shared" si="270"/>
        <v>0</v>
      </c>
      <c r="N414" s="264">
        <f t="shared" si="270"/>
        <v>0</v>
      </c>
      <c r="O414" s="264">
        <f t="shared" ref="O414:O422" si="271">IF(L414&gt;0,N414*100/L414,0)</f>
        <v>0</v>
      </c>
      <c r="P414" s="264">
        <f t="shared" ref="P414:P422" si="272">IF(M414&gt;0,N414*100/M414,0)</f>
        <v>0</v>
      </c>
      <c r="Q414" s="264">
        <f t="shared" ref="Q414:S414" ca="1" si="273">Q415+Q416</f>
        <v>0</v>
      </c>
      <c r="R414" s="264">
        <f t="shared" ca="1" si="273"/>
        <v>0</v>
      </c>
      <c r="S414" s="264">
        <f t="shared" ca="1" si="273"/>
        <v>0</v>
      </c>
      <c r="T414" s="264">
        <f t="shared" ref="T414:T422" ca="1" si="274">IF(Q414&gt;0,S414*100/Q414,0)</f>
        <v>0</v>
      </c>
      <c r="U414" s="264">
        <f t="shared" ref="U414:U422" ca="1" si="275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6">
        <f t="shared" ref="L415:N416" si="276">L418+L421</f>
        <v>0</v>
      </c>
      <c r="M415" s="77">
        <f t="shared" si="276"/>
        <v>0</v>
      </c>
      <c r="N415" s="77">
        <f t="shared" si="276"/>
        <v>0</v>
      </c>
      <c r="O415" s="77">
        <f t="shared" si="271"/>
        <v>0</v>
      </c>
      <c r="P415" s="77">
        <f t="shared" si="272"/>
        <v>0</v>
      </c>
      <c r="Q415" s="77">
        <f t="shared" ref="Q415:S416" si="277">Q418+Q421</f>
        <v>0</v>
      </c>
      <c r="R415" s="77">
        <f t="shared" si="277"/>
        <v>0</v>
      </c>
      <c r="S415" s="77">
        <f t="shared" si="277"/>
        <v>0</v>
      </c>
      <c r="T415" s="77">
        <f t="shared" si="274"/>
        <v>0</v>
      </c>
      <c r="U415" s="77">
        <f t="shared" si="275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3">
        <f t="shared" si="276"/>
        <v>0</v>
      </c>
      <c r="M416" s="74">
        <f t="shared" si="276"/>
        <v>0</v>
      </c>
      <c r="N416" s="74">
        <f t="shared" si="276"/>
        <v>0</v>
      </c>
      <c r="O416" s="74">
        <f t="shared" si="271"/>
        <v>0</v>
      </c>
      <c r="P416" s="74">
        <f t="shared" si="272"/>
        <v>0</v>
      </c>
      <c r="Q416" s="74">
        <f t="shared" ca="1" si="277"/>
        <v>0</v>
      </c>
      <c r="R416" s="74">
        <f t="shared" ca="1" si="277"/>
        <v>0</v>
      </c>
      <c r="S416" s="74">
        <f t="shared" ca="1" si="277"/>
        <v>0</v>
      </c>
      <c r="T416" s="74">
        <f t="shared" ca="1" si="274"/>
        <v>0</v>
      </c>
      <c r="U416" s="74">
        <f t="shared" ca="1" si="275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3">
        <f t="shared" ref="L417:N417" si="278">L418+L419</f>
        <v>0</v>
      </c>
      <c r="M417" s="74">
        <f t="shared" si="278"/>
        <v>0</v>
      </c>
      <c r="N417" s="74">
        <f t="shared" si="278"/>
        <v>0</v>
      </c>
      <c r="O417" s="74">
        <f t="shared" si="271"/>
        <v>0</v>
      </c>
      <c r="P417" s="74">
        <f t="shared" si="272"/>
        <v>0</v>
      </c>
      <c r="Q417" s="74">
        <f t="shared" ref="Q417:S417" ca="1" si="279">Q418+Q419</f>
        <v>0</v>
      </c>
      <c r="R417" s="74">
        <f t="shared" ca="1" si="279"/>
        <v>0</v>
      </c>
      <c r="S417" s="74">
        <f t="shared" ca="1" si="279"/>
        <v>0</v>
      </c>
      <c r="T417" s="74">
        <f t="shared" ca="1" si="274"/>
        <v>0</v>
      </c>
      <c r="U417" s="74">
        <f t="shared" ca="1" si="275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77">
        <f t="shared" si="271"/>
        <v>0</v>
      </c>
      <c r="P418" s="77">
        <f t="shared" si="272"/>
        <v>0</v>
      </c>
      <c r="Q418" s="77">
        <v>0</v>
      </c>
      <c r="R418" s="77">
        <v>0</v>
      </c>
      <c r="S418" s="77">
        <v>0</v>
      </c>
      <c r="T418" s="77">
        <f t="shared" si="274"/>
        <v>0</v>
      </c>
      <c r="U418" s="77">
        <f t="shared" si="275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74">
        <f t="shared" si="271"/>
        <v>0</v>
      </c>
      <c r="P419" s="74">
        <f t="shared" si="272"/>
        <v>0</v>
      </c>
      <c r="Q419" s="74">
        <f ca="1">IFERROR(__xludf.DUMMYFUNCTION("IMPORTRANGE(""https://docs.google.com/spreadsheets/d/1ItG2mGa2ceCfYo0BwxsXqNm01IGEUdYcSSLTEv9YCik/edit?usp=sharing"",""เบิกจ่ายกองทุน!BH71"")"),0)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IFERROR(__xludf.DUMMYFUNCTION("IMPORTRANGE(""https://docs.google.com/spreadsheets/d/1ItG2mGa2ceCfYo0BwxsXqNm01IGEUdYcSSLTEv9YCik/edit?usp=sharing"",""เบิกจ่ายกองทุน!BI71"")"),0)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IFERROR(__xludf.DUMMYFUNCTION("IMPORTRANGE(""https://docs.google.com/spreadsheets/d/1ItG2mGa2ceCfYo0BwxsXqNm01IGEUdYcSSLTEv9YCik/edit?usp=sharing"",""เบิกจ่ายกองทุน!BJ71"")"),0)</f>
        <v>0</v>
      </c>
      <c r="T419" s="74">
        <f t="shared" ca="1" si="274"/>
        <v>0</v>
      </c>
      <c r="U419" s="74">
        <f t="shared" ca="1" si="275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3">
        <f t="shared" ref="L420:N420" si="280">L421+L422</f>
        <v>0</v>
      </c>
      <c r="M420" s="74">
        <f t="shared" si="280"/>
        <v>0</v>
      </c>
      <c r="N420" s="74">
        <f t="shared" si="280"/>
        <v>0</v>
      </c>
      <c r="O420" s="74">
        <f t="shared" si="271"/>
        <v>0</v>
      </c>
      <c r="P420" s="74">
        <f t="shared" si="272"/>
        <v>0</v>
      </c>
      <c r="Q420" s="74">
        <f t="shared" ref="Q420:S420" si="281">Q421+Q422</f>
        <v>0</v>
      </c>
      <c r="R420" s="74">
        <f t="shared" si="281"/>
        <v>0</v>
      </c>
      <c r="S420" s="74">
        <f t="shared" si="281"/>
        <v>0</v>
      </c>
      <c r="T420" s="74">
        <f t="shared" si="274"/>
        <v>0</v>
      </c>
      <c r="U420" s="74">
        <f t="shared" si="275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77">
        <f t="shared" si="271"/>
        <v>0</v>
      </c>
      <c r="P421" s="77">
        <f t="shared" si="272"/>
        <v>0</v>
      </c>
      <c r="Q421" s="77">
        <v>0</v>
      </c>
      <c r="R421" s="77">
        <v>0</v>
      </c>
      <c r="S421" s="77">
        <v>0</v>
      </c>
      <c r="T421" s="77">
        <f t="shared" si="274"/>
        <v>0</v>
      </c>
      <c r="U421" s="77">
        <f t="shared" si="275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74">
        <f t="shared" si="271"/>
        <v>0</v>
      </c>
      <c r="P422" s="74">
        <f t="shared" si="272"/>
        <v>0</v>
      </c>
      <c r="Q422" s="74">
        <v>0</v>
      </c>
      <c r="R422" s="74">
        <v>0</v>
      </c>
      <c r="S422" s="74">
        <v>0</v>
      </c>
      <c r="T422" s="74">
        <f t="shared" si="274"/>
        <v>0</v>
      </c>
      <c r="U422" s="74">
        <f t="shared" si="275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2">I441</f>
        <v>0</v>
      </c>
      <c r="J424" s="622">
        <f t="shared" si="282"/>
        <v>0</v>
      </c>
      <c r="K424" s="264">
        <f t="shared" ref="K424:K426" ca="1" si="283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IFERROR(__xludf.DUMMYFUNCTION("IMPORTRANGE(""https://docs.google.com/spreadsheets/d/1eHaY18a8A9IcSdp1K8H6x8fbOy06t2VsZHhMHf-1x7Y/edit?usp=sharing"",""แผน!HJ71"")"),0)</f>
        <v>0</v>
      </c>
      <c r="J425" s="622">
        <f t="shared" ref="J425:J426" si="284">J427+J429+J431</f>
        <v>0</v>
      </c>
      <c r="K425" s="264">
        <f t="shared" ca="1" si="283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IFERROR(__xludf.DUMMYFUNCTION("IMPORTRANGE(""https://docs.google.com/spreadsheets/d/1eHaY18a8A9IcSdp1K8H6x8fbOy06t2VsZHhMHf-1x7Y/edit?usp=sharing"",""แผน!HK71"")"),0)</f>
        <v>0</v>
      </c>
      <c r="J426" s="622">
        <f t="shared" si="284"/>
        <v>0</v>
      </c>
      <c r="K426" s="264">
        <f t="shared" ca="1" si="283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IFERROR(__xludf.DUMMYFUNCTION("IMPORTRANGE(""https://docs.google.com/spreadsheets/d/1eHaY18a8A9IcSdp1K8H6x8fbOy06t2VsZHhMHf-1x7Y/edit?usp=sharing"",""แผน!HJ71"")"),0)</f>
        <v>0</v>
      </c>
      <c r="J433" s="622">
        <f t="shared" ref="J433:J434" si="285">J435+J437+J439</f>
        <v>0</v>
      </c>
      <c r="K433" s="264">
        <f t="shared" ref="K433:K434" ca="1" si="286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IFERROR(__xludf.DUMMYFUNCTION("IMPORTRANGE(""https://docs.google.com/spreadsheets/d/1eHaY18a8A9IcSdp1K8H6x8fbOy06t2VsZHhMHf-1x7Y/edit?usp=sharing"",""แผน!HK71"")"),0)</f>
        <v>0</v>
      </c>
      <c r="J434" s="622">
        <f t="shared" si="285"/>
        <v>0</v>
      </c>
      <c r="K434" s="264">
        <f t="shared" ca="1" si="286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IFERROR(__xludf.DUMMYFUNCTION("IMPORTRANGE(""https://docs.google.com/spreadsheets/d/1eHaY18a8A9IcSdp1K8H6x8fbOy06t2VsZHhMHf-1x7Y/edit?usp=sharing"",""แผน!HJ71"")"),0)</f>
        <v>0</v>
      </c>
      <c r="J441" s="622">
        <f t="shared" ref="J441:J442" si="287">J443+J445+J447+J453+J455</f>
        <v>0</v>
      </c>
      <c r="K441" s="264">
        <f t="shared" ref="K441:K442" ca="1" si="288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IFERROR(__xludf.DUMMYFUNCTION("IMPORTRANGE(""https://docs.google.com/spreadsheets/d/1eHaY18a8A9IcSdp1K8H6x8fbOy06t2VsZHhMHf-1x7Y/edit?usp=sharing"",""แผน!HK71"")"),0)</f>
        <v>0</v>
      </c>
      <c r="J442" s="622">
        <f t="shared" si="287"/>
        <v>0</v>
      </c>
      <c r="K442" s="264">
        <f t="shared" ca="1" si="288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89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89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0">I458</f>
        <v>0</v>
      </c>
      <c r="J457" s="622">
        <f t="shared" si="290"/>
        <v>0</v>
      </c>
      <c r="K457" s="264">
        <f t="shared" ref="K457:K459" ca="1" si="291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IFERROR(__xludf.DUMMYFUNCTION("IMPORTRANGE(""https://docs.google.com/spreadsheets/d/1eHaY18a8A9IcSdp1K8H6x8fbOy06t2VsZHhMHf-1x7Y/edit?usp=sharing"",""แผน!HL71"")"),0)</f>
        <v>0</v>
      </c>
      <c r="J458" s="622">
        <f t="shared" ref="J458:J459" si="292">J460+J468+J474</f>
        <v>0</v>
      </c>
      <c r="K458" s="264">
        <f t="shared" ca="1" si="291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IFERROR(__xludf.DUMMYFUNCTION("IMPORTRANGE(""https://docs.google.com/spreadsheets/d/1eHaY18a8A9IcSdp1K8H6x8fbOy06t2VsZHhMHf-1x7Y/edit?usp=sharing"",""แผน!HM71"")"),0)</f>
        <v>0</v>
      </c>
      <c r="J459" s="622">
        <f t="shared" si="292"/>
        <v>0</v>
      </c>
      <c r="K459" s="264">
        <f t="shared" ca="1" si="291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3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3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4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4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5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6">J479+J481</f>
        <v>0</v>
      </c>
      <c r="K477" s="264">
        <f t="shared" si="295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6"/>
        <v>0</v>
      </c>
      <c r="K478" s="264">
        <f t="shared" si="295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IFERROR(__xludf.DUMMYFUNCTION("IMPORTRANGE(""https://docs.google.com/spreadsheets/d/1eHaY18a8A9IcSdp1K8H6x8fbOy06t2VsZHhMHf-1x7Y/edit?usp=sharing"",""แผน!HN71"")"),0)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IFERROR(__xludf.DUMMYFUNCTION("IMPORTRANGE(""https://docs.google.com/spreadsheets/d/1eHaY18a8A9IcSdp1K8H6x8fbOy06t2VsZHhMHf-1x7Y/edit?usp=sharing"",""แผน!HO71"")"),0)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7">J481</f>
        <v>0</v>
      </c>
      <c r="J485" s="622">
        <f t="shared" ref="J485:J486" si="298">J487+J489+J491</f>
        <v>0</v>
      </c>
      <c r="K485" s="264">
        <f t="shared" ref="K485:K486" si="299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7"/>
        <v>0</v>
      </c>
      <c r="J486" s="622">
        <f t="shared" si="298"/>
        <v>0</v>
      </c>
      <c r="K486" s="264">
        <f t="shared" si="299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hidden="1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0">I504</f>
        <v>0</v>
      </c>
      <c r="J493" s="617">
        <f t="shared" ca="1" si="300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1257">
        <f t="shared" ref="L494:N494" si="301">L495+L496</f>
        <v>0</v>
      </c>
      <c r="M494" s="264">
        <f t="shared" si="301"/>
        <v>0</v>
      </c>
      <c r="N494" s="264">
        <f t="shared" si="301"/>
        <v>0</v>
      </c>
      <c r="O494" s="264">
        <f t="shared" ref="O494:O502" si="302">IF(L494&gt;0,N494*100/L494,0)</f>
        <v>0</v>
      </c>
      <c r="P494" s="264">
        <f t="shared" ref="P494:P502" si="303">IF(M494&gt;0,N494*100/M494,0)</f>
        <v>0</v>
      </c>
      <c r="Q494" s="264">
        <f t="shared" ref="Q494:S494" ca="1" si="304">Q495+Q496</f>
        <v>0</v>
      </c>
      <c r="R494" s="264">
        <f t="shared" ca="1" si="304"/>
        <v>0</v>
      </c>
      <c r="S494" s="264">
        <f t="shared" ca="1" si="304"/>
        <v>0</v>
      </c>
      <c r="T494" s="264">
        <f t="shared" ref="T494:T502" ca="1" si="305">IF(Q494&gt;0,S494*100/Q494,0)</f>
        <v>0</v>
      </c>
      <c r="U494" s="264">
        <f t="shared" ref="U494:U502" ca="1" si="306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6">
        <f t="shared" ref="L495:N496" si="307">L498+L501</f>
        <v>0</v>
      </c>
      <c r="M495" s="77">
        <f t="shared" si="307"/>
        <v>0</v>
      </c>
      <c r="N495" s="77">
        <f t="shared" si="307"/>
        <v>0</v>
      </c>
      <c r="O495" s="77">
        <f t="shared" si="302"/>
        <v>0</v>
      </c>
      <c r="P495" s="77">
        <f t="shared" si="303"/>
        <v>0</v>
      </c>
      <c r="Q495" s="77">
        <f t="shared" ref="Q495:S496" si="308">Q498+Q501</f>
        <v>0</v>
      </c>
      <c r="R495" s="77">
        <f t="shared" si="308"/>
        <v>0</v>
      </c>
      <c r="S495" s="77">
        <f t="shared" si="308"/>
        <v>0</v>
      </c>
      <c r="T495" s="77">
        <f t="shared" si="305"/>
        <v>0</v>
      </c>
      <c r="U495" s="77">
        <f t="shared" si="306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3">
        <f t="shared" si="307"/>
        <v>0</v>
      </c>
      <c r="M496" s="74">
        <f t="shared" si="307"/>
        <v>0</v>
      </c>
      <c r="N496" s="74">
        <f t="shared" si="307"/>
        <v>0</v>
      </c>
      <c r="O496" s="74">
        <f t="shared" si="302"/>
        <v>0</v>
      </c>
      <c r="P496" s="74">
        <f t="shared" si="303"/>
        <v>0</v>
      </c>
      <c r="Q496" s="74">
        <f t="shared" ca="1" si="308"/>
        <v>0</v>
      </c>
      <c r="R496" s="74">
        <f t="shared" ca="1" si="308"/>
        <v>0</v>
      </c>
      <c r="S496" s="74">
        <f t="shared" ca="1" si="308"/>
        <v>0</v>
      </c>
      <c r="T496" s="74">
        <f t="shared" ca="1" si="305"/>
        <v>0</v>
      </c>
      <c r="U496" s="74">
        <f t="shared" ca="1" si="306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3">
        <f t="shared" ref="L497:N497" si="309">L498+L499</f>
        <v>0</v>
      </c>
      <c r="M497" s="74">
        <f t="shared" si="309"/>
        <v>0</v>
      </c>
      <c r="N497" s="74">
        <f t="shared" si="309"/>
        <v>0</v>
      </c>
      <c r="O497" s="74">
        <f t="shared" si="302"/>
        <v>0</v>
      </c>
      <c r="P497" s="74">
        <f t="shared" si="303"/>
        <v>0</v>
      </c>
      <c r="Q497" s="74">
        <f t="shared" ref="Q497:S497" ca="1" si="310">Q498+Q499</f>
        <v>0</v>
      </c>
      <c r="R497" s="74">
        <f t="shared" ca="1" si="310"/>
        <v>0</v>
      </c>
      <c r="S497" s="74">
        <f t="shared" ca="1" si="310"/>
        <v>0</v>
      </c>
      <c r="T497" s="74">
        <f t="shared" ca="1" si="305"/>
        <v>0</v>
      </c>
      <c r="U497" s="74">
        <f t="shared" ca="1" si="306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77">
        <f t="shared" si="302"/>
        <v>0</v>
      </c>
      <c r="P498" s="77">
        <f t="shared" si="303"/>
        <v>0</v>
      </c>
      <c r="Q498" s="77">
        <v>0</v>
      </c>
      <c r="R498" s="77">
        <v>0</v>
      </c>
      <c r="S498" s="77">
        <v>0</v>
      </c>
      <c r="T498" s="77">
        <f t="shared" si="305"/>
        <v>0</v>
      </c>
      <c r="U498" s="77">
        <f t="shared" si="306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74">
        <f t="shared" si="302"/>
        <v>0</v>
      </c>
      <c r="P499" s="74">
        <f t="shared" si="303"/>
        <v>0</v>
      </c>
      <c r="Q499" s="74">
        <f ca="1">IFERROR(__xludf.DUMMYFUNCTION("IMPORTRANGE(""https://docs.google.com/spreadsheets/d/1ItG2mGa2ceCfYo0BwxsXqNm01IGEUdYcSSLTEv9YCik/edit?usp=sharing"",""เบิกจ่ายกองทุน!X71"")"),0)</f>
        <v>0</v>
      </c>
      <c r="R499" s="74">
        <f ca="1">IFERROR(__xludf.DUMMYFUNCTION("IMPORTRANGE(""https://docs.google.com/spreadsheets/d/1ItG2mGa2ceCfYo0BwxsXqNm01IGEUdYcSSLTEv9YCik/edit?usp=sharing"",""เบิกจ่ายกองทุน!Y71"")"),0)</f>
        <v>0</v>
      </c>
      <c r="S499" s="74">
        <f ca="1">IFERROR(__xludf.DUMMYFUNCTION("IMPORTRANGE(""https://docs.google.com/spreadsheets/d/1ItG2mGa2ceCfYo0BwxsXqNm01IGEUdYcSSLTEv9YCik/edit?usp=sharing"",""เบิกจ่ายกองทุน!Z71"")"),0)</f>
        <v>0</v>
      </c>
      <c r="T499" s="74">
        <f t="shared" ca="1" si="305"/>
        <v>0</v>
      </c>
      <c r="U499" s="74">
        <f t="shared" ca="1" si="306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3">
        <f t="shared" ref="L500:N500" si="311">L501+L502</f>
        <v>0</v>
      </c>
      <c r="M500" s="74">
        <f t="shared" si="311"/>
        <v>0</v>
      </c>
      <c r="N500" s="74">
        <f t="shared" si="311"/>
        <v>0</v>
      </c>
      <c r="O500" s="74">
        <f t="shared" si="302"/>
        <v>0</v>
      </c>
      <c r="P500" s="74">
        <f t="shared" si="303"/>
        <v>0</v>
      </c>
      <c r="Q500" s="74">
        <f t="shared" ref="Q500:S500" si="312">Q501+Q502</f>
        <v>0</v>
      </c>
      <c r="R500" s="74">
        <f t="shared" si="312"/>
        <v>0</v>
      </c>
      <c r="S500" s="74">
        <f t="shared" si="312"/>
        <v>0</v>
      </c>
      <c r="T500" s="74">
        <f t="shared" si="305"/>
        <v>0</v>
      </c>
      <c r="U500" s="74">
        <f t="shared" si="306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77">
        <f t="shared" si="302"/>
        <v>0</v>
      </c>
      <c r="P501" s="77">
        <f t="shared" si="303"/>
        <v>0</v>
      </c>
      <c r="Q501" s="77">
        <v>0</v>
      </c>
      <c r="R501" s="77">
        <v>0</v>
      </c>
      <c r="S501" s="77">
        <v>0</v>
      </c>
      <c r="T501" s="77">
        <f t="shared" si="305"/>
        <v>0</v>
      </c>
      <c r="U501" s="77">
        <f t="shared" si="306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74">
        <f t="shared" si="302"/>
        <v>0</v>
      </c>
      <c r="P502" s="74">
        <f t="shared" si="303"/>
        <v>0</v>
      </c>
      <c r="Q502" s="74">
        <v>0</v>
      </c>
      <c r="R502" s="74">
        <v>0</v>
      </c>
      <c r="S502" s="74">
        <v>0</v>
      </c>
      <c r="T502" s="74">
        <f t="shared" si="305"/>
        <v>0</v>
      </c>
      <c r="U502" s="74">
        <f t="shared" si="306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IFERROR(__xludf.DUMMYFUNCTION("IMPORTRANGE(""https://docs.google.com/spreadsheets/d/1eHaY18a8A9IcSdp1K8H6x8fbOy06t2VsZHhMHf-1x7Y/edit?usp=sharing"",""แผน!GX71"")"),0)</f>
        <v>0</v>
      </c>
      <c r="J504" s="622">
        <f ca="1">IF(AND(J505=I505,J506=I506,J507=I507,J508=I508),I504,0)</f>
        <v>0</v>
      </c>
      <c r="K504" s="264">
        <f t="shared" ref="K504:K510" ca="1" si="313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IFERROR(__xludf.DUMMYFUNCTION("IMPORTRANGE(""https://docs.google.com/spreadsheets/d/1eHaY18a8A9IcSdp1K8H6x8fbOy06t2VsZHhMHf-1x7Y/edit?usp=sharing"",""แผน!GY71"")"),0)</f>
        <v>0</v>
      </c>
      <c r="J505" s="294">
        <v>0</v>
      </c>
      <c r="K505" s="74">
        <f t="shared" ca="1" si="313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IFERROR(__xludf.DUMMYFUNCTION("IMPORTRANGE(""https://docs.google.com/spreadsheets/d/1eHaY18a8A9IcSdp1K8H6x8fbOy06t2VsZHhMHf-1x7Y/edit?usp=sharing"",""แผน!GZ71"")"),0)</f>
        <v>0</v>
      </c>
      <c r="J506" s="294">
        <v>0</v>
      </c>
      <c r="K506" s="74">
        <f t="shared" ca="1" si="313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IFERROR(__xludf.DUMMYFUNCTION("IMPORTRANGE(""https://docs.google.com/spreadsheets/d/1eHaY18a8A9IcSdp1K8H6x8fbOy06t2VsZHhMHf-1x7Y/edit?usp=sharing"",""แผน!HA71"")"),0)</f>
        <v>0</v>
      </c>
      <c r="J507" s="294">
        <v>0</v>
      </c>
      <c r="K507" s="74">
        <f t="shared" ca="1" si="313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IFERROR(__xludf.DUMMYFUNCTION("IMPORTRANGE(""https://docs.google.com/spreadsheets/d/1eHaY18a8A9IcSdp1K8H6x8fbOy06t2VsZHhMHf-1x7Y/edit?usp=sharing"",""แผน!HB71"")"),0)</f>
        <v>0</v>
      </c>
      <c r="J508" s="294">
        <v>0</v>
      </c>
      <c r="K508" s="74">
        <f t="shared" ca="1" si="313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3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IFERROR(__xludf.DUMMYFUNCTION("IMPORTRANGE(""https://docs.google.com/spreadsheets/d/1eHaY18a8A9IcSdp1K8H6x8fbOy06t2VsZHhMHf-1x7Y/edit?usp=sharing"",""แผน!HC71"")"),0)</f>
        <v>0</v>
      </c>
      <c r="J510" s="761">
        <v>0</v>
      </c>
      <c r="K510" s="182">
        <f t="shared" ca="1" si="313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9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309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987" t="s">
        <v>61</v>
      </c>
      <c r="I513" s="988">
        <f t="shared" ref="I513:J513" si="314">I525</f>
        <v>0</v>
      </c>
      <c r="J513" s="988">
        <f t="shared" si="314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7">
        <f t="shared" ref="L514:N514" ca="1" si="315">L515+L516</f>
        <v>0</v>
      </c>
      <c r="M514" s="264">
        <f t="shared" ca="1" si="315"/>
        <v>0</v>
      </c>
      <c r="N514" s="264">
        <f t="shared" ca="1" si="315"/>
        <v>0</v>
      </c>
      <c r="O514" s="264">
        <f t="shared" ref="O514:O522" ca="1" si="316">IF(L514&gt;0,N514*100/L514,0)</f>
        <v>0</v>
      </c>
      <c r="P514" s="264">
        <f t="shared" ref="P514:P522" ca="1" si="317">IF(M514&gt;0,N514*100/M514,0)</f>
        <v>0</v>
      </c>
      <c r="Q514" s="264">
        <f t="shared" ref="Q514:S514" si="318">Q515+Q516</f>
        <v>0</v>
      </c>
      <c r="R514" s="264">
        <f t="shared" si="318"/>
        <v>0</v>
      </c>
      <c r="S514" s="264">
        <f t="shared" si="318"/>
        <v>0</v>
      </c>
      <c r="T514" s="264">
        <f t="shared" ref="T514:T522" si="319">IF(Q514&gt;0,S514*100/Q514,0)</f>
        <v>0</v>
      </c>
      <c r="U514" s="264">
        <f t="shared" ref="U514:U522" si="320">IF(R514&gt;0,S514*100/R514,0)</f>
        <v>0</v>
      </c>
    </row>
    <row r="515" spans="1:21" ht="18.75" hidden="1" x14ac:dyDescent="0.25">
      <c r="A515" s="257"/>
      <c r="B515" s="258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6">
        <f t="shared" ref="L515:N516" si="321">L518+L521</f>
        <v>0</v>
      </c>
      <c r="M515" s="77">
        <f t="shared" si="321"/>
        <v>0</v>
      </c>
      <c r="N515" s="77">
        <f t="shared" si="321"/>
        <v>0</v>
      </c>
      <c r="O515" s="77">
        <f t="shared" si="316"/>
        <v>0</v>
      </c>
      <c r="P515" s="77">
        <f t="shared" si="317"/>
        <v>0</v>
      </c>
      <c r="Q515" s="77">
        <f t="shared" ref="Q515:S516" si="322">Q518+Q521</f>
        <v>0</v>
      </c>
      <c r="R515" s="77">
        <f t="shared" si="322"/>
        <v>0</v>
      </c>
      <c r="S515" s="77">
        <f t="shared" si="322"/>
        <v>0</v>
      </c>
      <c r="T515" s="77">
        <f t="shared" si="319"/>
        <v>0</v>
      </c>
      <c r="U515" s="77">
        <f t="shared" si="320"/>
        <v>0</v>
      </c>
    </row>
    <row r="516" spans="1:21" ht="18.75" hidden="1" x14ac:dyDescent="0.25">
      <c r="A516" s="257"/>
      <c r="B516" s="258"/>
      <c r="C516" s="258"/>
      <c r="D516" s="258"/>
      <c r="E516" s="265" t="s">
        <v>21</v>
      </c>
      <c r="F516" s="258"/>
      <c r="G516" s="261"/>
      <c r="H516" s="266" t="s">
        <v>14</v>
      </c>
      <c r="I516" s="263"/>
      <c r="J516" s="263"/>
      <c r="K516" s="87"/>
      <c r="L516" s="73">
        <f t="shared" ca="1" si="321"/>
        <v>0</v>
      </c>
      <c r="M516" s="74">
        <f t="shared" ca="1" si="321"/>
        <v>0</v>
      </c>
      <c r="N516" s="74">
        <f t="shared" ca="1" si="321"/>
        <v>0</v>
      </c>
      <c r="O516" s="74">
        <f t="shared" ca="1" si="316"/>
        <v>0</v>
      </c>
      <c r="P516" s="74">
        <f t="shared" ca="1" si="317"/>
        <v>0</v>
      </c>
      <c r="Q516" s="74">
        <f t="shared" si="322"/>
        <v>0</v>
      </c>
      <c r="R516" s="74">
        <f t="shared" si="322"/>
        <v>0</v>
      </c>
      <c r="S516" s="74">
        <f t="shared" si="322"/>
        <v>0</v>
      </c>
      <c r="T516" s="74">
        <f t="shared" si="319"/>
        <v>0</v>
      </c>
      <c r="U516" s="74">
        <f t="shared" si="320"/>
        <v>0</v>
      </c>
    </row>
    <row r="517" spans="1:21" ht="18.75" hidden="1" x14ac:dyDescent="0.25">
      <c r="A517" s="257"/>
      <c r="B517" s="258"/>
      <c r="C517" s="258"/>
      <c r="D517" s="991" t="s">
        <v>22</v>
      </c>
      <c r="E517" s="258"/>
      <c r="F517" s="258"/>
      <c r="G517" s="261"/>
      <c r="H517" s="273" t="s">
        <v>14</v>
      </c>
      <c r="I517" s="272"/>
      <c r="J517" s="272"/>
      <c r="K517" s="229"/>
      <c r="L517" s="73">
        <f t="shared" ref="L517:N517" ca="1" si="323">L518+L519</f>
        <v>0</v>
      </c>
      <c r="M517" s="74">
        <f t="shared" ca="1" si="323"/>
        <v>0</v>
      </c>
      <c r="N517" s="74">
        <f t="shared" ca="1" si="323"/>
        <v>0</v>
      </c>
      <c r="O517" s="74">
        <f t="shared" ca="1" si="316"/>
        <v>0</v>
      </c>
      <c r="P517" s="74">
        <f t="shared" ca="1" si="317"/>
        <v>0</v>
      </c>
      <c r="Q517" s="74">
        <f t="shared" ref="Q517:S517" si="324">Q518+Q519</f>
        <v>0</v>
      </c>
      <c r="R517" s="74">
        <f t="shared" si="324"/>
        <v>0</v>
      </c>
      <c r="S517" s="74">
        <f t="shared" si="324"/>
        <v>0</v>
      </c>
      <c r="T517" s="74">
        <f t="shared" si="319"/>
        <v>0</v>
      </c>
      <c r="U517" s="74">
        <f t="shared" si="320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77">
        <f t="shared" si="316"/>
        <v>0</v>
      </c>
      <c r="P518" s="77">
        <f t="shared" si="317"/>
        <v>0</v>
      </c>
      <c r="Q518" s="77">
        <v>0</v>
      </c>
      <c r="R518" s="77">
        <v>0</v>
      </c>
      <c r="S518" s="77">
        <v>0</v>
      </c>
      <c r="T518" s="77">
        <f t="shared" si="319"/>
        <v>0</v>
      </c>
      <c r="U518" s="77">
        <f t="shared" si="320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3">
        <f ca="1">IFERROR(__xludf.DUMMYFUNCTION("IMPORTRANGE(""https://docs.google.com/spreadsheets/d/1-uDff_7J0KD5mKrp0Vvzr7lt3OU09vwQwhkpOPPYv2Y/edit?usp=sharing"",""งบพรบ!FM71"")"),0)</f>
        <v>0</v>
      </c>
      <c r="M519" s="74">
        <f ca="1">IFERROR(__xludf.DUMMYFUNCTION("IMPORTRANGE(""https://docs.google.com/spreadsheets/d/1-uDff_7J0KD5mKrp0Vvzr7lt3OU09vwQwhkpOPPYv2Y/edit?usp=sharing"",""งบพรบ!FR71"")"),0)</f>
        <v>0</v>
      </c>
      <c r="N519" s="74">
        <f ca="1">IFERROR(__xludf.DUMMYFUNCTION("IMPORTRANGE(""https://docs.google.com/spreadsheets/d/1-uDff_7J0KD5mKrp0Vvzr7lt3OU09vwQwhkpOPPYv2Y/edit?usp=sharing"",""งบพรบ!FT71"")"),0)</f>
        <v>0</v>
      </c>
      <c r="O519" s="74">
        <f t="shared" ca="1" si="316"/>
        <v>0</v>
      </c>
      <c r="P519" s="74">
        <f t="shared" ca="1" si="317"/>
        <v>0</v>
      </c>
      <c r="Q519" s="74">
        <v>0</v>
      </c>
      <c r="R519" s="74">
        <v>0</v>
      </c>
      <c r="S519" s="74">
        <v>0</v>
      </c>
      <c r="T519" s="74">
        <f t="shared" si="319"/>
        <v>0</v>
      </c>
      <c r="U519" s="74">
        <f t="shared" si="320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3">
        <f t="shared" ref="L520:N520" ca="1" si="325">L521+L522</f>
        <v>0</v>
      </c>
      <c r="M520" s="74">
        <f t="shared" ca="1" si="325"/>
        <v>0</v>
      </c>
      <c r="N520" s="74">
        <f t="shared" ca="1" si="325"/>
        <v>0</v>
      </c>
      <c r="O520" s="74">
        <f t="shared" ca="1" si="316"/>
        <v>0</v>
      </c>
      <c r="P520" s="74">
        <f t="shared" ca="1" si="317"/>
        <v>0</v>
      </c>
      <c r="Q520" s="74">
        <f t="shared" ref="Q520:S520" si="326">Q521+Q522</f>
        <v>0</v>
      </c>
      <c r="R520" s="74">
        <f t="shared" si="326"/>
        <v>0</v>
      </c>
      <c r="S520" s="74">
        <f t="shared" si="326"/>
        <v>0</v>
      </c>
      <c r="T520" s="74">
        <f t="shared" si="319"/>
        <v>0</v>
      </c>
      <c r="U520" s="74">
        <f t="shared" si="320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77">
        <f t="shared" si="316"/>
        <v>0</v>
      </c>
      <c r="P521" s="77">
        <f t="shared" si="317"/>
        <v>0</v>
      </c>
      <c r="Q521" s="77">
        <v>0</v>
      </c>
      <c r="R521" s="77">
        <v>0</v>
      </c>
      <c r="S521" s="77">
        <v>0</v>
      </c>
      <c r="T521" s="77">
        <f t="shared" si="319"/>
        <v>0</v>
      </c>
      <c r="U521" s="77">
        <f t="shared" si="320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3">
        <f ca="1">IFERROR(__xludf.DUMMYFUNCTION("IMPORTRANGE(""https://docs.google.com/spreadsheets/d/1-uDff_7J0KD5mKrp0Vvzr7lt3OU09vwQwhkpOPPYv2Y/edit?usp=sharing"",""งบพรบ!FP71"")"),0)</f>
        <v>0</v>
      </c>
      <c r="M522" s="74">
        <f ca="1">IFERROR(__xludf.DUMMYFUNCTION("IMPORTRANGE(""https://docs.google.com/spreadsheets/d/1-uDff_7J0KD5mKrp0Vvzr7lt3OU09vwQwhkpOPPYv2Y/edit?usp=sharing"",""งบพรบ!FS71"")"),0)</f>
        <v>0</v>
      </c>
      <c r="N522" s="74">
        <f ca="1">IFERROR(__xludf.DUMMYFUNCTION("IMPORTRANGE(""https://docs.google.com/spreadsheets/d/1-uDff_7J0KD5mKrp0Vvzr7lt3OU09vwQwhkpOPPYv2Y/edit?usp=sharing"",""งบพรบ!FU71"")"),0)</f>
        <v>0</v>
      </c>
      <c r="O522" s="74">
        <f t="shared" ca="1" si="316"/>
        <v>0</v>
      </c>
      <c r="P522" s="74">
        <f t="shared" ca="1" si="317"/>
        <v>0</v>
      </c>
      <c r="Q522" s="74">
        <v>0</v>
      </c>
      <c r="R522" s="74">
        <v>0</v>
      </c>
      <c r="S522" s="74">
        <v>0</v>
      </c>
      <c r="T522" s="74">
        <f t="shared" si="319"/>
        <v>0</v>
      </c>
      <c r="U522" s="74">
        <f t="shared" si="320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7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7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8">I546</f>
        <v>0</v>
      </c>
      <c r="J534" s="1002">
        <f t="shared" si="328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1257">
        <f t="shared" ref="L535:N535" si="329">L536+L537</f>
        <v>0</v>
      </c>
      <c r="M535" s="264">
        <f t="shared" si="329"/>
        <v>0</v>
      </c>
      <c r="N535" s="264">
        <f t="shared" si="329"/>
        <v>0</v>
      </c>
      <c r="O535" s="264">
        <f t="shared" ref="O535:O543" si="330">IF(L535&gt;0,N535*100/L535,0)</f>
        <v>0</v>
      </c>
      <c r="P535" s="264">
        <f t="shared" ref="P535:P543" si="331">IF(M535&gt;0,N535*100/M535,0)</f>
        <v>0</v>
      </c>
      <c r="Q535" s="264">
        <f t="shared" ref="Q535:S535" si="332">Q536+Q537</f>
        <v>0</v>
      </c>
      <c r="R535" s="264">
        <f t="shared" si="332"/>
        <v>0</v>
      </c>
      <c r="S535" s="264">
        <f t="shared" si="332"/>
        <v>0</v>
      </c>
      <c r="T535" s="264">
        <f t="shared" ref="T535:T543" si="333">IF(Q535&gt;0,S535*100/Q535,0)</f>
        <v>0</v>
      </c>
      <c r="U535" s="264">
        <f t="shared" ref="U535:U543" si="334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6">
        <f t="shared" ref="L536:N537" si="335">L539+L542</f>
        <v>0</v>
      </c>
      <c r="M536" s="77">
        <f t="shared" si="335"/>
        <v>0</v>
      </c>
      <c r="N536" s="77">
        <f t="shared" si="335"/>
        <v>0</v>
      </c>
      <c r="O536" s="77">
        <f t="shared" si="330"/>
        <v>0</v>
      </c>
      <c r="P536" s="77">
        <f t="shared" si="331"/>
        <v>0</v>
      </c>
      <c r="Q536" s="77">
        <f t="shared" ref="Q536:S537" si="336">Q539+Q542</f>
        <v>0</v>
      </c>
      <c r="R536" s="77">
        <f t="shared" si="336"/>
        <v>0</v>
      </c>
      <c r="S536" s="77">
        <f t="shared" si="336"/>
        <v>0</v>
      </c>
      <c r="T536" s="77">
        <f t="shared" si="333"/>
        <v>0</v>
      </c>
      <c r="U536" s="77">
        <f t="shared" si="334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3">
        <f t="shared" si="335"/>
        <v>0</v>
      </c>
      <c r="M537" s="74">
        <f t="shared" si="335"/>
        <v>0</v>
      </c>
      <c r="N537" s="74">
        <f t="shared" si="335"/>
        <v>0</v>
      </c>
      <c r="O537" s="74">
        <f t="shared" si="330"/>
        <v>0</v>
      </c>
      <c r="P537" s="74">
        <f t="shared" si="331"/>
        <v>0</v>
      </c>
      <c r="Q537" s="74">
        <f t="shared" si="336"/>
        <v>0</v>
      </c>
      <c r="R537" s="74">
        <f t="shared" si="336"/>
        <v>0</v>
      </c>
      <c r="S537" s="74">
        <f t="shared" si="336"/>
        <v>0</v>
      </c>
      <c r="T537" s="74">
        <f t="shared" si="333"/>
        <v>0</v>
      </c>
      <c r="U537" s="74">
        <f t="shared" si="334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3">
        <f t="shared" ref="L538:N538" si="337">L539+L540</f>
        <v>0</v>
      </c>
      <c r="M538" s="74">
        <f t="shared" si="337"/>
        <v>0</v>
      </c>
      <c r="N538" s="74">
        <f t="shared" si="337"/>
        <v>0</v>
      </c>
      <c r="O538" s="74">
        <f t="shared" si="330"/>
        <v>0</v>
      </c>
      <c r="P538" s="74">
        <f t="shared" si="331"/>
        <v>0</v>
      </c>
      <c r="Q538" s="74">
        <f t="shared" ref="Q538:S538" si="338">Q539+Q540</f>
        <v>0</v>
      </c>
      <c r="R538" s="74">
        <f t="shared" si="338"/>
        <v>0</v>
      </c>
      <c r="S538" s="74">
        <f t="shared" si="338"/>
        <v>0</v>
      </c>
      <c r="T538" s="74">
        <f t="shared" si="333"/>
        <v>0</v>
      </c>
      <c r="U538" s="74">
        <f t="shared" si="334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77">
        <f t="shared" si="330"/>
        <v>0</v>
      </c>
      <c r="P539" s="77">
        <f t="shared" si="331"/>
        <v>0</v>
      </c>
      <c r="Q539" s="77">
        <v>0</v>
      </c>
      <c r="R539" s="77">
        <v>0</v>
      </c>
      <c r="S539" s="77">
        <v>0</v>
      </c>
      <c r="T539" s="77">
        <f t="shared" si="333"/>
        <v>0</v>
      </c>
      <c r="U539" s="77">
        <f t="shared" si="334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74">
        <f t="shared" si="330"/>
        <v>0</v>
      </c>
      <c r="P540" s="74">
        <f t="shared" si="331"/>
        <v>0</v>
      </c>
      <c r="Q540" s="74">
        <v>0</v>
      </c>
      <c r="R540" s="74">
        <v>0</v>
      </c>
      <c r="S540" s="74">
        <v>0</v>
      </c>
      <c r="T540" s="74">
        <f t="shared" si="333"/>
        <v>0</v>
      </c>
      <c r="U540" s="74">
        <f t="shared" si="334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3">
        <f t="shared" ref="L541:N541" si="339">L542+L543</f>
        <v>0</v>
      </c>
      <c r="M541" s="74">
        <f t="shared" si="339"/>
        <v>0</v>
      </c>
      <c r="N541" s="74">
        <f t="shared" si="339"/>
        <v>0</v>
      </c>
      <c r="O541" s="74">
        <f t="shared" si="330"/>
        <v>0</v>
      </c>
      <c r="P541" s="74">
        <f t="shared" si="331"/>
        <v>0</v>
      </c>
      <c r="Q541" s="74">
        <f t="shared" ref="Q541:S541" si="340">Q542+Q543</f>
        <v>0</v>
      </c>
      <c r="R541" s="74">
        <f t="shared" si="340"/>
        <v>0</v>
      </c>
      <c r="S541" s="74">
        <f t="shared" si="340"/>
        <v>0</v>
      </c>
      <c r="T541" s="74">
        <f t="shared" si="333"/>
        <v>0</v>
      </c>
      <c r="U541" s="74">
        <f t="shared" si="334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77">
        <f t="shared" si="330"/>
        <v>0</v>
      </c>
      <c r="P542" s="77">
        <f t="shared" si="331"/>
        <v>0</v>
      </c>
      <c r="Q542" s="77">
        <v>0</v>
      </c>
      <c r="R542" s="77">
        <v>0</v>
      </c>
      <c r="S542" s="77">
        <v>0</v>
      </c>
      <c r="T542" s="77">
        <f t="shared" si="333"/>
        <v>0</v>
      </c>
      <c r="U542" s="77">
        <f t="shared" si="334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74">
        <f t="shared" si="330"/>
        <v>0</v>
      </c>
      <c r="P543" s="74">
        <f t="shared" si="331"/>
        <v>0</v>
      </c>
      <c r="Q543" s="74">
        <v>0</v>
      </c>
      <c r="R543" s="74">
        <v>0</v>
      </c>
      <c r="S543" s="74">
        <v>0</v>
      </c>
      <c r="T543" s="74">
        <f t="shared" si="333"/>
        <v>0</v>
      </c>
      <c r="U543" s="74">
        <f t="shared" si="334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1">I567</f>
        <v>0</v>
      </c>
      <c r="J555" s="1002">
        <f t="shared" si="341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1257">
        <f t="shared" ref="L556:N556" si="342">L557+L558</f>
        <v>0</v>
      </c>
      <c r="M556" s="264">
        <f t="shared" si="342"/>
        <v>0</v>
      </c>
      <c r="N556" s="264">
        <f t="shared" si="342"/>
        <v>0</v>
      </c>
      <c r="O556" s="264">
        <f t="shared" ref="O556:O564" si="343">IF(L556&gt;0,N556*100/L556,0)</f>
        <v>0</v>
      </c>
      <c r="P556" s="264">
        <f t="shared" ref="P556:P564" si="344">IF(M556&gt;0,N556*100/M556,0)</f>
        <v>0</v>
      </c>
      <c r="Q556" s="264">
        <f t="shared" ref="Q556:S556" si="345">Q557+Q558</f>
        <v>0</v>
      </c>
      <c r="R556" s="264">
        <f t="shared" si="345"/>
        <v>0</v>
      </c>
      <c r="S556" s="264">
        <f t="shared" si="345"/>
        <v>0</v>
      </c>
      <c r="T556" s="264">
        <f t="shared" ref="T556:T564" si="346">IF(Q556&gt;0,S556*100/Q556,0)</f>
        <v>0</v>
      </c>
      <c r="U556" s="264">
        <f t="shared" ref="U556:U564" si="347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6">
        <f t="shared" ref="L557:N558" si="348">L560+L563</f>
        <v>0</v>
      </c>
      <c r="M557" s="77">
        <f t="shared" si="348"/>
        <v>0</v>
      </c>
      <c r="N557" s="77">
        <f t="shared" si="348"/>
        <v>0</v>
      </c>
      <c r="O557" s="77">
        <f t="shared" si="343"/>
        <v>0</v>
      </c>
      <c r="P557" s="77">
        <f t="shared" si="344"/>
        <v>0</v>
      </c>
      <c r="Q557" s="77">
        <f t="shared" ref="Q557:S558" si="349">Q560+Q563</f>
        <v>0</v>
      </c>
      <c r="R557" s="77">
        <f t="shared" si="349"/>
        <v>0</v>
      </c>
      <c r="S557" s="77">
        <f t="shared" si="349"/>
        <v>0</v>
      </c>
      <c r="T557" s="77">
        <f t="shared" si="346"/>
        <v>0</v>
      </c>
      <c r="U557" s="77">
        <f t="shared" si="347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3">
        <f t="shared" si="348"/>
        <v>0</v>
      </c>
      <c r="M558" s="74">
        <f t="shared" si="348"/>
        <v>0</v>
      </c>
      <c r="N558" s="74">
        <f t="shared" si="348"/>
        <v>0</v>
      </c>
      <c r="O558" s="74">
        <f t="shared" si="343"/>
        <v>0</v>
      </c>
      <c r="P558" s="74">
        <f t="shared" si="344"/>
        <v>0</v>
      </c>
      <c r="Q558" s="74">
        <f t="shared" si="349"/>
        <v>0</v>
      </c>
      <c r="R558" s="74">
        <f t="shared" si="349"/>
        <v>0</v>
      </c>
      <c r="S558" s="74">
        <f t="shared" si="349"/>
        <v>0</v>
      </c>
      <c r="T558" s="74">
        <f t="shared" si="346"/>
        <v>0</v>
      </c>
      <c r="U558" s="74">
        <f t="shared" si="347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3">
        <f t="shared" ref="L559:N559" si="350">L560+L561</f>
        <v>0</v>
      </c>
      <c r="M559" s="74">
        <f t="shared" si="350"/>
        <v>0</v>
      </c>
      <c r="N559" s="74">
        <f t="shared" si="350"/>
        <v>0</v>
      </c>
      <c r="O559" s="74">
        <f t="shared" si="343"/>
        <v>0</v>
      </c>
      <c r="P559" s="74">
        <f t="shared" si="344"/>
        <v>0</v>
      </c>
      <c r="Q559" s="74">
        <f t="shared" ref="Q559:S559" si="351">Q560+Q561</f>
        <v>0</v>
      </c>
      <c r="R559" s="74">
        <f t="shared" si="351"/>
        <v>0</v>
      </c>
      <c r="S559" s="74">
        <f t="shared" si="351"/>
        <v>0</v>
      </c>
      <c r="T559" s="74">
        <f t="shared" si="346"/>
        <v>0</v>
      </c>
      <c r="U559" s="74">
        <f t="shared" si="347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77">
        <f t="shared" si="343"/>
        <v>0</v>
      </c>
      <c r="P560" s="77">
        <f t="shared" si="344"/>
        <v>0</v>
      </c>
      <c r="Q560" s="77">
        <v>0</v>
      </c>
      <c r="R560" s="77">
        <v>0</v>
      </c>
      <c r="S560" s="77">
        <v>0</v>
      </c>
      <c r="T560" s="77">
        <f t="shared" si="346"/>
        <v>0</v>
      </c>
      <c r="U560" s="77">
        <f t="shared" si="347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74">
        <f t="shared" si="343"/>
        <v>0</v>
      </c>
      <c r="P561" s="74">
        <f t="shared" si="344"/>
        <v>0</v>
      </c>
      <c r="Q561" s="74">
        <v>0</v>
      </c>
      <c r="R561" s="74">
        <v>0</v>
      </c>
      <c r="S561" s="74">
        <v>0</v>
      </c>
      <c r="T561" s="74">
        <f t="shared" si="346"/>
        <v>0</v>
      </c>
      <c r="U561" s="74">
        <f t="shared" si="347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3">
        <f t="shared" ref="L562:N562" si="352">L563+L564</f>
        <v>0</v>
      </c>
      <c r="M562" s="74">
        <f t="shared" si="352"/>
        <v>0</v>
      </c>
      <c r="N562" s="74">
        <f t="shared" si="352"/>
        <v>0</v>
      </c>
      <c r="O562" s="74">
        <f t="shared" si="343"/>
        <v>0</v>
      </c>
      <c r="P562" s="74">
        <f t="shared" si="344"/>
        <v>0</v>
      </c>
      <c r="Q562" s="74">
        <f t="shared" ref="Q562:S562" si="353">Q563+Q564</f>
        <v>0</v>
      </c>
      <c r="R562" s="74">
        <f t="shared" si="353"/>
        <v>0</v>
      </c>
      <c r="S562" s="74">
        <f t="shared" si="353"/>
        <v>0</v>
      </c>
      <c r="T562" s="74">
        <f t="shared" si="346"/>
        <v>0</v>
      </c>
      <c r="U562" s="74">
        <f t="shared" si="347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77">
        <f t="shared" si="343"/>
        <v>0</v>
      </c>
      <c r="P563" s="77">
        <f t="shared" si="344"/>
        <v>0</v>
      </c>
      <c r="Q563" s="77">
        <v>0</v>
      </c>
      <c r="R563" s="77">
        <v>0</v>
      </c>
      <c r="S563" s="77">
        <v>0</v>
      </c>
      <c r="T563" s="77">
        <f t="shared" si="346"/>
        <v>0</v>
      </c>
      <c r="U563" s="77">
        <f t="shared" si="347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74">
        <f t="shared" si="343"/>
        <v>0</v>
      </c>
      <c r="P564" s="74">
        <f t="shared" si="344"/>
        <v>0</v>
      </c>
      <c r="Q564" s="74">
        <v>0</v>
      </c>
      <c r="R564" s="74">
        <v>0</v>
      </c>
      <c r="S564" s="74">
        <v>0</v>
      </c>
      <c r="T564" s="74">
        <f t="shared" si="346"/>
        <v>0</v>
      </c>
      <c r="U564" s="74">
        <f t="shared" si="347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4">I588</f>
        <v>0</v>
      </c>
      <c r="J576" s="1002">
        <f t="shared" si="354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1257">
        <f t="shared" ref="L577:N577" si="355">L578+L579</f>
        <v>0</v>
      </c>
      <c r="M577" s="264">
        <f t="shared" si="355"/>
        <v>0</v>
      </c>
      <c r="N577" s="264">
        <f t="shared" si="355"/>
        <v>0</v>
      </c>
      <c r="O577" s="264">
        <f t="shared" ref="O577:O585" si="356">IF(L577&gt;0,N577*100/L577,0)</f>
        <v>0</v>
      </c>
      <c r="P577" s="264">
        <f t="shared" ref="P577:P585" si="357">IF(M577&gt;0,N577*100/M577,0)</f>
        <v>0</v>
      </c>
      <c r="Q577" s="264">
        <f t="shared" ref="Q577:S577" si="358">Q578+Q579</f>
        <v>0</v>
      </c>
      <c r="R577" s="264">
        <f t="shared" si="358"/>
        <v>0</v>
      </c>
      <c r="S577" s="264">
        <f t="shared" si="358"/>
        <v>0</v>
      </c>
      <c r="T577" s="264">
        <f t="shared" ref="T577:T585" si="359">IF(Q577&gt;0,S577*100/Q577,0)</f>
        <v>0</v>
      </c>
      <c r="U577" s="264">
        <f t="shared" ref="U577:U585" si="360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6">
        <f t="shared" ref="L578:N579" si="361">L581+L584</f>
        <v>0</v>
      </c>
      <c r="M578" s="77">
        <f t="shared" si="361"/>
        <v>0</v>
      </c>
      <c r="N578" s="77">
        <f t="shared" si="361"/>
        <v>0</v>
      </c>
      <c r="O578" s="77">
        <f t="shared" si="356"/>
        <v>0</v>
      </c>
      <c r="P578" s="77">
        <f t="shared" si="357"/>
        <v>0</v>
      </c>
      <c r="Q578" s="77">
        <f t="shared" ref="Q578:S579" si="362">Q581+Q584</f>
        <v>0</v>
      </c>
      <c r="R578" s="77">
        <f t="shared" si="362"/>
        <v>0</v>
      </c>
      <c r="S578" s="77">
        <f t="shared" si="362"/>
        <v>0</v>
      </c>
      <c r="T578" s="77">
        <f t="shared" si="359"/>
        <v>0</v>
      </c>
      <c r="U578" s="77">
        <f t="shared" si="360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3">
        <f t="shared" si="361"/>
        <v>0</v>
      </c>
      <c r="M579" s="74">
        <f t="shared" si="361"/>
        <v>0</v>
      </c>
      <c r="N579" s="74">
        <f t="shared" si="361"/>
        <v>0</v>
      </c>
      <c r="O579" s="74">
        <f t="shared" si="356"/>
        <v>0</v>
      </c>
      <c r="P579" s="74">
        <f t="shared" si="357"/>
        <v>0</v>
      </c>
      <c r="Q579" s="74">
        <f t="shared" si="362"/>
        <v>0</v>
      </c>
      <c r="R579" s="74">
        <f t="shared" si="362"/>
        <v>0</v>
      </c>
      <c r="S579" s="74">
        <f t="shared" si="362"/>
        <v>0</v>
      </c>
      <c r="T579" s="74">
        <f t="shared" si="359"/>
        <v>0</v>
      </c>
      <c r="U579" s="74">
        <f t="shared" si="360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3">
        <f t="shared" ref="L580:N580" si="363">L581+L582</f>
        <v>0</v>
      </c>
      <c r="M580" s="74">
        <f t="shared" si="363"/>
        <v>0</v>
      </c>
      <c r="N580" s="74">
        <f t="shared" si="363"/>
        <v>0</v>
      </c>
      <c r="O580" s="74">
        <f t="shared" si="356"/>
        <v>0</v>
      </c>
      <c r="P580" s="74">
        <f t="shared" si="357"/>
        <v>0</v>
      </c>
      <c r="Q580" s="74">
        <f t="shared" ref="Q580:S580" si="364">Q581+Q582</f>
        <v>0</v>
      </c>
      <c r="R580" s="74">
        <f t="shared" si="364"/>
        <v>0</v>
      </c>
      <c r="S580" s="74">
        <f t="shared" si="364"/>
        <v>0</v>
      </c>
      <c r="T580" s="74">
        <f t="shared" si="359"/>
        <v>0</v>
      </c>
      <c r="U580" s="74">
        <f t="shared" si="360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77">
        <f t="shared" si="356"/>
        <v>0</v>
      </c>
      <c r="P581" s="77">
        <f t="shared" si="357"/>
        <v>0</v>
      </c>
      <c r="Q581" s="77">
        <v>0</v>
      </c>
      <c r="R581" s="77">
        <v>0</v>
      </c>
      <c r="S581" s="77">
        <v>0</v>
      </c>
      <c r="T581" s="77">
        <f t="shared" si="359"/>
        <v>0</v>
      </c>
      <c r="U581" s="77">
        <f t="shared" si="360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74">
        <f t="shared" si="356"/>
        <v>0</v>
      </c>
      <c r="P582" s="74">
        <f t="shared" si="357"/>
        <v>0</v>
      </c>
      <c r="Q582" s="74">
        <v>0</v>
      </c>
      <c r="R582" s="74">
        <v>0</v>
      </c>
      <c r="S582" s="74">
        <v>0</v>
      </c>
      <c r="T582" s="74">
        <f t="shared" si="359"/>
        <v>0</v>
      </c>
      <c r="U582" s="74">
        <f t="shared" si="360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3">
        <f t="shared" ref="L583:N583" si="365">L584+L585</f>
        <v>0</v>
      </c>
      <c r="M583" s="74">
        <f t="shared" si="365"/>
        <v>0</v>
      </c>
      <c r="N583" s="74">
        <f t="shared" si="365"/>
        <v>0</v>
      </c>
      <c r="O583" s="74">
        <f t="shared" si="356"/>
        <v>0</v>
      </c>
      <c r="P583" s="74">
        <f t="shared" si="357"/>
        <v>0</v>
      </c>
      <c r="Q583" s="74">
        <f t="shared" ref="Q583:S583" si="366">Q584+Q585</f>
        <v>0</v>
      </c>
      <c r="R583" s="74">
        <f t="shared" si="366"/>
        <v>0</v>
      </c>
      <c r="S583" s="74">
        <f t="shared" si="366"/>
        <v>0</v>
      </c>
      <c r="T583" s="74">
        <f t="shared" si="359"/>
        <v>0</v>
      </c>
      <c r="U583" s="74">
        <f t="shared" si="360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77">
        <f t="shared" si="356"/>
        <v>0</v>
      </c>
      <c r="P584" s="77">
        <f t="shared" si="357"/>
        <v>0</v>
      </c>
      <c r="Q584" s="77">
        <v>0</v>
      </c>
      <c r="R584" s="77">
        <v>0</v>
      </c>
      <c r="S584" s="77">
        <v>0</v>
      </c>
      <c r="T584" s="77">
        <f t="shared" si="359"/>
        <v>0</v>
      </c>
      <c r="U584" s="77">
        <f t="shared" si="360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74">
        <f t="shared" si="356"/>
        <v>0</v>
      </c>
      <c r="P585" s="74">
        <f t="shared" si="357"/>
        <v>0</v>
      </c>
      <c r="Q585" s="74">
        <v>0</v>
      </c>
      <c r="R585" s="74">
        <v>0</v>
      </c>
      <c r="S585" s="74">
        <v>0</v>
      </c>
      <c r="T585" s="74">
        <f t="shared" si="359"/>
        <v>0</v>
      </c>
      <c r="U585" s="74">
        <f t="shared" si="360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1257">
        <f t="shared" ref="L600:N600" si="367">L601+L602</f>
        <v>0</v>
      </c>
      <c r="M600" s="264">
        <f t="shared" si="367"/>
        <v>0</v>
      </c>
      <c r="N600" s="264">
        <f t="shared" si="367"/>
        <v>0</v>
      </c>
      <c r="O600" s="264">
        <f t="shared" ref="O600:O608" si="368">IF(L600&gt;0,N600*100/L600,0)</f>
        <v>0</v>
      </c>
      <c r="P600" s="264">
        <f t="shared" ref="P600:P608" si="369">IF(M600&gt;0,N600*100/M600,0)</f>
        <v>0</v>
      </c>
      <c r="Q600" s="264">
        <f t="shared" ref="Q600:S600" si="370">Q601+Q602</f>
        <v>0</v>
      </c>
      <c r="R600" s="264">
        <f t="shared" si="370"/>
        <v>0</v>
      </c>
      <c r="S600" s="264">
        <f t="shared" si="370"/>
        <v>0</v>
      </c>
      <c r="T600" s="264">
        <f t="shared" ref="T600:T608" si="371">IF(Q600&gt;0,S600*100/Q600,0)</f>
        <v>0</v>
      </c>
      <c r="U600" s="264">
        <f t="shared" ref="U600:U608" si="372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6">
        <f t="shared" ref="L601:N602" si="373">L604+L607</f>
        <v>0</v>
      </c>
      <c r="M601" s="77">
        <f t="shared" si="373"/>
        <v>0</v>
      </c>
      <c r="N601" s="77">
        <f t="shared" si="373"/>
        <v>0</v>
      </c>
      <c r="O601" s="77">
        <f t="shared" si="368"/>
        <v>0</v>
      </c>
      <c r="P601" s="77">
        <f t="shared" si="369"/>
        <v>0</v>
      </c>
      <c r="Q601" s="77">
        <f t="shared" ref="Q601:S602" si="374">Q604+Q607</f>
        <v>0</v>
      </c>
      <c r="R601" s="77">
        <f t="shared" si="374"/>
        <v>0</v>
      </c>
      <c r="S601" s="77">
        <f t="shared" si="374"/>
        <v>0</v>
      </c>
      <c r="T601" s="77">
        <f t="shared" si="371"/>
        <v>0</v>
      </c>
      <c r="U601" s="77">
        <f t="shared" si="372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3">
        <f t="shared" si="373"/>
        <v>0</v>
      </c>
      <c r="M602" s="74">
        <f t="shared" si="373"/>
        <v>0</v>
      </c>
      <c r="N602" s="74">
        <f t="shared" si="373"/>
        <v>0</v>
      </c>
      <c r="O602" s="74">
        <f t="shared" si="368"/>
        <v>0</v>
      </c>
      <c r="P602" s="74">
        <f t="shared" si="369"/>
        <v>0</v>
      </c>
      <c r="Q602" s="74">
        <f t="shared" si="374"/>
        <v>0</v>
      </c>
      <c r="R602" s="74">
        <f t="shared" si="374"/>
        <v>0</v>
      </c>
      <c r="S602" s="74">
        <f t="shared" si="374"/>
        <v>0</v>
      </c>
      <c r="T602" s="74">
        <f t="shared" si="371"/>
        <v>0</v>
      </c>
      <c r="U602" s="74">
        <f t="shared" si="372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3">
        <f t="shared" ref="L603:N603" si="375">L604+L605</f>
        <v>0</v>
      </c>
      <c r="M603" s="74">
        <f t="shared" si="375"/>
        <v>0</v>
      </c>
      <c r="N603" s="74">
        <f t="shared" si="375"/>
        <v>0</v>
      </c>
      <c r="O603" s="74">
        <f t="shared" si="368"/>
        <v>0</v>
      </c>
      <c r="P603" s="74">
        <f t="shared" si="369"/>
        <v>0</v>
      </c>
      <c r="Q603" s="74">
        <f t="shared" ref="Q603:S603" si="376">Q604+Q605</f>
        <v>0</v>
      </c>
      <c r="R603" s="74">
        <f t="shared" si="376"/>
        <v>0</v>
      </c>
      <c r="S603" s="74">
        <f t="shared" si="376"/>
        <v>0</v>
      </c>
      <c r="T603" s="74">
        <f t="shared" si="371"/>
        <v>0</v>
      </c>
      <c r="U603" s="74">
        <f t="shared" si="372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77">
        <f t="shared" si="368"/>
        <v>0</v>
      </c>
      <c r="P604" s="77">
        <f t="shared" si="369"/>
        <v>0</v>
      </c>
      <c r="Q604" s="77">
        <v>0</v>
      </c>
      <c r="R604" s="77">
        <v>0</v>
      </c>
      <c r="S604" s="77">
        <v>0</v>
      </c>
      <c r="T604" s="77">
        <f t="shared" si="371"/>
        <v>0</v>
      </c>
      <c r="U604" s="77">
        <f t="shared" si="372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74">
        <f t="shared" si="368"/>
        <v>0</v>
      </c>
      <c r="P605" s="74">
        <f t="shared" si="369"/>
        <v>0</v>
      </c>
      <c r="Q605" s="74">
        <v>0</v>
      </c>
      <c r="R605" s="74">
        <v>0</v>
      </c>
      <c r="S605" s="74">
        <v>0</v>
      </c>
      <c r="T605" s="74">
        <f t="shared" si="371"/>
        <v>0</v>
      </c>
      <c r="U605" s="74">
        <f t="shared" si="372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3">
        <f t="shared" ref="L606:N606" si="377">L607+L608</f>
        <v>0</v>
      </c>
      <c r="M606" s="74">
        <f t="shared" si="377"/>
        <v>0</v>
      </c>
      <c r="N606" s="74">
        <f t="shared" si="377"/>
        <v>0</v>
      </c>
      <c r="O606" s="74">
        <f t="shared" si="368"/>
        <v>0</v>
      </c>
      <c r="P606" s="74">
        <f t="shared" si="369"/>
        <v>0</v>
      </c>
      <c r="Q606" s="74">
        <f t="shared" ref="Q606:S606" si="378">Q607+Q608</f>
        <v>0</v>
      </c>
      <c r="R606" s="74">
        <f t="shared" si="378"/>
        <v>0</v>
      </c>
      <c r="S606" s="74">
        <f t="shared" si="378"/>
        <v>0</v>
      </c>
      <c r="T606" s="74">
        <f t="shared" si="371"/>
        <v>0</v>
      </c>
      <c r="U606" s="74">
        <f t="shared" si="372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77">
        <f t="shared" si="368"/>
        <v>0</v>
      </c>
      <c r="P607" s="77">
        <f t="shared" si="369"/>
        <v>0</v>
      </c>
      <c r="Q607" s="77">
        <v>0</v>
      </c>
      <c r="R607" s="77">
        <v>0</v>
      </c>
      <c r="S607" s="77">
        <v>0</v>
      </c>
      <c r="T607" s="77">
        <f t="shared" si="371"/>
        <v>0</v>
      </c>
      <c r="U607" s="77">
        <f t="shared" si="372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74">
        <f t="shared" si="368"/>
        <v>0</v>
      </c>
      <c r="P608" s="74">
        <f t="shared" si="369"/>
        <v>0</v>
      </c>
      <c r="Q608" s="74">
        <v>0</v>
      </c>
      <c r="R608" s="74">
        <v>0</v>
      </c>
      <c r="S608" s="74">
        <v>0</v>
      </c>
      <c r="T608" s="74">
        <f t="shared" si="371"/>
        <v>0</v>
      </c>
      <c r="U608" s="74">
        <f t="shared" si="372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740">
        <f t="shared" ref="I616:J616" ca="1" si="379">I627</f>
        <v>30</v>
      </c>
      <c r="J616" s="740">
        <f t="shared" si="379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1257">
        <f t="shared" ref="L617:N617" si="380">L618+L619</f>
        <v>0</v>
      </c>
      <c r="M617" s="264">
        <f t="shared" si="380"/>
        <v>0</v>
      </c>
      <c r="N617" s="264">
        <f t="shared" si="380"/>
        <v>0</v>
      </c>
      <c r="O617" s="264">
        <f t="shared" ref="O617:O625" si="381">IF(L617&gt;0,N617*100/L617,0)</f>
        <v>0</v>
      </c>
      <c r="P617" s="264">
        <f t="shared" ref="P617:P625" si="382">IF(M617&gt;0,N617*100/M617,0)</f>
        <v>0</v>
      </c>
      <c r="Q617" s="264">
        <f t="shared" ref="Q617:S617" ca="1" si="383">Q618+Q619</f>
        <v>4650</v>
      </c>
      <c r="R617" s="264">
        <f t="shared" ca="1" si="383"/>
        <v>4650</v>
      </c>
      <c r="S617" s="264">
        <f t="shared" ca="1" si="383"/>
        <v>650</v>
      </c>
      <c r="T617" s="264">
        <f t="shared" ref="T617:T625" ca="1" si="384">IF(Q617&gt;0,S617*100/Q617,0)</f>
        <v>13.978494623655914</v>
      </c>
      <c r="U617" s="264">
        <f t="shared" ref="U617:U625" ca="1" si="385">IF(R617&gt;0,S617*100/R617,0)</f>
        <v>13.978494623655914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6">
        <f t="shared" ref="L618:N619" si="386">L621+L624</f>
        <v>0</v>
      </c>
      <c r="M618" s="77">
        <f t="shared" si="386"/>
        <v>0</v>
      </c>
      <c r="N618" s="77">
        <f t="shared" si="386"/>
        <v>0</v>
      </c>
      <c r="O618" s="77">
        <f t="shared" si="381"/>
        <v>0</v>
      </c>
      <c r="P618" s="77">
        <f t="shared" si="382"/>
        <v>0</v>
      </c>
      <c r="Q618" s="77">
        <f t="shared" ref="Q618:S619" si="387">Q621+Q624</f>
        <v>0</v>
      </c>
      <c r="R618" s="77">
        <f t="shared" si="387"/>
        <v>0</v>
      </c>
      <c r="S618" s="77">
        <f t="shared" si="387"/>
        <v>0</v>
      </c>
      <c r="T618" s="77">
        <f t="shared" si="384"/>
        <v>0</v>
      </c>
      <c r="U618" s="77">
        <f t="shared" si="385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3">
        <f t="shared" si="386"/>
        <v>0</v>
      </c>
      <c r="M619" s="74">
        <f t="shared" si="386"/>
        <v>0</v>
      </c>
      <c r="N619" s="74">
        <f t="shared" si="386"/>
        <v>0</v>
      </c>
      <c r="O619" s="74">
        <f t="shared" si="381"/>
        <v>0</v>
      </c>
      <c r="P619" s="74">
        <f t="shared" si="382"/>
        <v>0</v>
      </c>
      <c r="Q619" s="74">
        <f t="shared" ca="1" si="387"/>
        <v>4650</v>
      </c>
      <c r="R619" s="74">
        <f t="shared" ca="1" si="387"/>
        <v>4650</v>
      </c>
      <c r="S619" s="74">
        <f t="shared" ca="1" si="387"/>
        <v>650</v>
      </c>
      <c r="T619" s="74">
        <f t="shared" ca="1" si="384"/>
        <v>13.978494623655914</v>
      </c>
      <c r="U619" s="74">
        <f t="shared" ca="1" si="385"/>
        <v>13.978494623655914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3">
        <f t="shared" ref="L620:N620" si="388">L621+L622</f>
        <v>0</v>
      </c>
      <c r="M620" s="74">
        <f t="shared" si="388"/>
        <v>0</v>
      </c>
      <c r="N620" s="74">
        <f t="shared" si="388"/>
        <v>0</v>
      </c>
      <c r="O620" s="74">
        <f t="shared" si="381"/>
        <v>0</v>
      </c>
      <c r="P620" s="74">
        <f t="shared" si="382"/>
        <v>0</v>
      </c>
      <c r="Q620" s="74">
        <f t="shared" ref="Q620:S620" ca="1" si="389">Q621+Q622</f>
        <v>4650</v>
      </c>
      <c r="R620" s="74">
        <f t="shared" ca="1" si="389"/>
        <v>4650</v>
      </c>
      <c r="S620" s="74">
        <f t="shared" ca="1" si="389"/>
        <v>650</v>
      </c>
      <c r="T620" s="74">
        <f t="shared" ca="1" si="384"/>
        <v>13.978494623655914</v>
      </c>
      <c r="U620" s="74">
        <f t="shared" ca="1" si="385"/>
        <v>13.978494623655914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77">
        <f t="shared" si="381"/>
        <v>0</v>
      </c>
      <c r="P621" s="77">
        <f t="shared" si="382"/>
        <v>0</v>
      </c>
      <c r="Q621" s="77">
        <v>0</v>
      </c>
      <c r="R621" s="77">
        <v>0</v>
      </c>
      <c r="S621" s="77">
        <v>0</v>
      </c>
      <c r="T621" s="77">
        <f t="shared" si="384"/>
        <v>0</v>
      </c>
      <c r="U621" s="77">
        <f t="shared" si="385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74">
        <f t="shared" si="381"/>
        <v>0</v>
      </c>
      <c r="P622" s="74">
        <f t="shared" si="382"/>
        <v>0</v>
      </c>
      <c r="Q622" s="74">
        <f ca="1">IFERROR(__xludf.DUMMYFUNCTION("IMPORTRANGE(""https://docs.google.com/spreadsheets/d/1ItG2mGa2ceCfYo0BwxsXqNm01IGEUdYcSSLTEv9YCik/edit?usp=sharing"",""เบิกจ่ายกองทุน!F71"")"),4650)</f>
        <v>4650</v>
      </c>
      <c r="R622" s="74">
        <f ca="1">IFERROR(__xludf.DUMMYFUNCTION("IMPORTRANGE(""https://docs.google.com/spreadsheets/d/1ItG2mGa2ceCfYo0BwxsXqNm01IGEUdYcSSLTEv9YCik/edit?usp=sharing"",""เบิกจ่ายกองทุน!G71"")"),4650)</f>
        <v>4650</v>
      </c>
      <c r="S622" s="74">
        <f ca="1">IFERROR(__xludf.DUMMYFUNCTION("IMPORTRANGE(""https://docs.google.com/spreadsheets/d/1ItG2mGa2ceCfYo0BwxsXqNm01IGEUdYcSSLTEv9YCik/edit?usp=sharing"",""เบิกจ่ายกองทุน!H71"")"),650)</f>
        <v>650</v>
      </c>
      <c r="T622" s="74">
        <f t="shared" ca="1" si="384"/>
        <v>13.978494623655914</v>
      </c>
      <c r="U622" s="74">
        <f t="shared" ca="1" si="385"/>
        <v>13.978494623655914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3">
        <f t="shared" ref="L623:N623" si="390">L624+L625</f>
        <v>0</v>
      </c>
      <c r="M623" s="74">
        <f t="shared" si="390"/>
        <v>0</v>
      </c>
      <c r="N623" s="74">
        <f t="shared" si="390"/>
        <v>0</v>
      </c>
      <c r="O623" s="74">
        <f t="shared" si="381"/>
        <v>0</v>
      </c>
      <c r="P623" s="74">
        <f t="shared" si="382"/>
        <v>0</v>
      </c>
      <c r="Q623" s="74">
        <f t="shared" ref="Q623:S623" si="391">Q624+Q625</f>
        <v>0</v>
      </c>
      <c r="R623" s="74">
        <f t="shared" si="391"/>
        <v>0</v>
      </c>
      <c r="S623" s="74">
        <f t="shared" si="391"/>
        <v>0</v>
      </c>
      <c r="T623" s="74">
        <f t="shared" si="384"/>
        <v>0</v>
      </c>
      <c r="U623" s="74">
        <f t="shared" si="385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77">
        <f t="shared" si="381"/>
        <v>0</v>
      </c>
      <c r="P624" s="77">
        <f t="shared" si="382"/>
        <v>0</v>
      </c>
      <c r="Q624" s="77">
        <v>0</v>
      </c>
      <c r="R624" s="77">
        <v>0</v>
      </c>
      <c r="S624" s="77">
        <v>0</v>
      </c>
      <c r="T624" s="77">
        <f t="shared" si="384"/>
        <v>0</v>
      </c>
      <c r="U624" s="77">
        <f t="shared" si="385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74">
        <f t="shared" si="381"/>
        <v>0</v>
      </c>
      <c r="P625" s="74">
        <f t="shared" si="382"/>
        <v>0</v>
      </c>
      <c r="Q625" s="74">
        <v>0</v>
      </c>
      <c r="R625" s="74">
        <v>0</v>
      </c>
      <c r="S625" s="74">
        <v>0</v>
      </c>
      <c r="T625" s="74">
        <f t="shared" si="384"/>
        <v>0</v>
      </c>
      <c r="U625" s="74">
        <f t="shared" si="385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IFERROR(__xludf.DUMMYFUNCTION("IMPORTRANGE(""https://docs.google.com/spreadsheets/d/1eHaY18a8A9IcSdp1K8H6x8fbOy06t2VsZHhMHf-1x7Y/edit?usp=sharing"",""แผน!ID71"")"),30)</f>
        <v>30</v>
      </c>
      <c r="J627" s="622">
        <f>J633</f>
        <v>0</v>
      </c>
      <c r="K627" s="26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IFERROR(__xludf.DUMMYFUNCTION("IMPORTRANGE(""https://docs.google.com/spreadsheets/d/1eHaY18a8A9IcSdp1K8H6x8fbOy06t2VsZHhMHf-1x7Y/edit?usp=sharing"",""แผน!IC71"")"),0)</f>
        <v>0</v>
      </c>
      <c r="J628" s="294">
        <v>0</v>
      </c>
      <c r="K628" s="74">
        <f t="shared" ref="K628:K629" ca="1" si="392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IFERROR(__xludf.DUMMYFUNCTION("IMPORTRANGE(""https://docs.google.com/spreadsheets/d/1eHaY18a8A9IcSdp1K8H6x8fbOy06t2VsZHhMHf-1x7Y/edit?usp=sharing"",""แผน!IC71"")"),0)</f>
        <v>0</v>
      </c>
      <c r="J629" s="294">
        <v>6</v>
      </c>
      <c r="K629" s="74">
        <f t="shared" ca="1" si="392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0</v>
      </c>
      <c r="K630" s="74">
        <f t="shared" ref="K630:K632" ca="1" si="393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t="shared" ca="1" si="393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t="shared" ca="1" si="393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IFERROR(__xludf.DUMMYFUNCTION("IMPORTRANGE(""https://docs.google.com/spreadsheets/d/1eHaY18a8A9IcSdp1K8H6x8fbOy06t2VsZHhMHf-1x7Y/edit?usp=sharing"",""แผน!IE71"")"),0)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1257">
        <f t="shared" ref="L643:N643" si="394">L644+L645</f>
        <v>0</v>
      </c>
      <c r="M643" s="264">
        <f t="shared" si="394"/>
        <v>0</v>
      </c>
      <c r="N643" s="264">
        <f t="shared" si="394"/>
        <v>0</v>
      </c>
      <c r="O643" s="264">
        <f t="shared" ref="O643:O651" si="395">IF(L643&gt;0,N643*100/L643,0)</f>
        <v>0</v>
      </c>
      <c r="P643" s="264">
        <f t="shared" ref="P643:P651" si="396">IF(M643&gt;0,N643*100/M643,0)</f>
        <v>0</v>
      </c>
      <c r="Q643" s="264">
        <f t="shared" ref="Q643:S643" ca="1" si="397">Q644+Q645</f>
        <v>7560</v>
      </c>
      <c r="R643" s="264">
        <f t="shared" ca="1" si="397"/>
        <v>7560</v>
      </c>
      <c r="S643" s="264">
        <f t="shared" ca="1" si="397"/>
        <v>0</v>
      </c>
      <c r="T643" s="264">
        <f t="shared" ref="T643:T651" ca="1" si="398">IF(Q643&gt;0,S643*100/Q643,0)</f>
        <v>0</v>
      </c>
      <c r="U643" s="264">
        <f t="shared" ref="U643:U651" ca="1" si="399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6">
        <f t="shared" ref="L644:N645" si="400">L647+L650</f>
        <v>0</v>
      </c>
      <c r="M644" s="77">
        <f t="shared" si="400"/>
        <v>0</v>
      </c>
      <c r="N644" s="77">
        <f t="shared" si="400"/>
        <v>0</v>
      </c>
      <c r="O644" s="77">
        <f t="shared" si="395"/>
        <v>0</v>
      </c>
      <c r="P644" s="77">
        <f t="shared" si="396"/>
        <v>0</v>
      </c>
      <c r="Q644" s="77">
        <f t="shared" ref="Q644:S645" si="401">Q647+Q650</f>
        <v>0</v>
      </c>
      <c r="R644" s="77">
        <f t="shared" si="401"/>
        <v>0</v>
      </c>
      <c r="S644" s="77">
        <f t="shared" si="401"/>
        <v>0</v>
      </c>
      <c r="T644" s="77">
        <f t="shared" si="398"/>
        <v>0</v>
      </c>
      <c r="U644" s="77">
        <f t="shared" si="399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3">
        <f t="shared" si="400"/>
        <v>0</v>
      </c>
      <c r="M645" s="74">
        <f t="shared" si="400"/>
        <v>0</v>
      </c>
      <c r="N645" s="74">
        <f t="shared" si="400"/>
        <v>0</v>
      </c>
      <c r="O645" s="74">
        <f t="shared" si="395"/>
        <v>0</v>
      </c>
      <c r="P645" s="74">
        <f t="shared" si="396"/>
        <v>0</v>
      </c>
      <c r="Q645" s="74">
        <f t="shared" ca="1" si="401"/>
        <v>7560</v>
      </c>
      <c r="R645" s="74">
        <f t="shared" ca="1" si="401"/>
        <v>7560</v>
      </c>
      <c r="S645" s="74">
        <f t="shared" ca="1" si="401"/>
        <v>0</v>
      </c>
      <c r="T645" s="74">
        <f t="shared" ca="1" si="398"/>
        <v>0</v>
      </c>
      <c r="U645" s="74">
        <f t="shared" ca="1" si="399"/>
        <v>0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3">
        <f t="shared" ref="L646:N646" si="402">L647+L648</f>
        <v>0</v>
      </c>
      <c r="M646" s="74">
        <f t="shared" si="402"/>
        <v>0</v>
      </c>
      <c r="N646" s="74">
        <f t="shared" si="402"/>
        <v>0</v>
      </c>
      <c r="O646" s="74">
        <f t="shared" si="395"/>
        <v>0</v>
      </c>
      <c r="P646" s="74">
        <f t="shared" si="396"/>
        <v>0</v>
      </c>
      <c r="Q646" s="74">
        <f t="shared" ref="Q646:S646" ca="1" si="403">Q647+Q648</f>
        <v>7560</v>
      </c>
      <c r="R646" s="74">
        <f t="shared" ca="1" si="403"/>
        <v>7560</v>
      </c>
      <c r="S646" s="74">
        <f t="shared" ca="1" si="403"/>
        <v>0</v>
      </c>
      <c r="T646" s="74">
        <f t="shared" ca="1" si="398"/>
        <v>0</v>
      </c>
      <c r="U646" s="74">
        <f t="shared" ca="1" si="399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77">
        <f t="shared" si="395"/>
        <v>0</v>
      </c>
      <c r="P647" s="77">
        <f t="shared" si="396"/>
        <v>0</v>
      </c>
      <c r="Q647" s="77">
        <v>0</v>
      </c>
      <c r="R647" s="77">
        <v>0</v>
      </c>
      <c r="S647" s="77">
        <v>0</v>
      </c>
      <c r="T647" s="77">
        <f t="shared" si="398"/>
        <v>0</v>
      </c>
      <c r="U647" s="77">
        <f t="shared" si="399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74">
        <f t="shared" si="395"/>
        <v>0</v>
      </c>
      <c r="P648" s="74">
        <f t="shared" si="396"/>
        <v>0</v>
      </c>
      <c r="Q648" s="74">
        <f ca="1">IFERROR(__xludf.DUMMYFUNCTION("IMPORTRANGE(""https://docs.google.com/spreadsheets/d/1ItG2mGa2ceCfYo0BwxsXqNm01IGEUdYcSSLTEv9YCik/edit?usp=sharing"",""เบิกจ่ายกองทุน!I71"")"),7560)</f>
        <v>7560</v>
      </c>
      <c r="R648" s="74">
        <f ca="1">IFERROR(__xludf.DUMMYFUNCTION("IMPORTRANGE(""https://docs.google.com/spreadsheets/d/1ItG2mGa2ceCfYo0BwxsXqNm01IGEUdYcSSLTEv9YCik/edit?usp=sharing"",""เบิกจ่ายกองทุน!J71"")"),7560)</f>
        <v>7560</v>
      </c>
      <c r="S648" s="74">
        <f ca="1">IFERROR(__xludf.DUMMYFUNCTION("IMPORTRANGE(""https://docs.google.com/spreadsheets/d/1ItG2mGa2ceCfYo0BwxsXqNm01IGEUdYcSSLTEv9YCik/edit?usp=sharing"",""เบิกจ่ายกองทุน!K71"")"),0)</f>
        <v>0</v>
      </c>
      <c r="T648" s="74">
        <f t="shared" ca="1" si="398"/>
        <v>0</v>
      </c>
      <c r="U648" s="74">
        <f t="shared" ca="1" si="399"/>
        <v>0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3">
        <f t="shared" ref="L649:N649" si="404">L650+L651</f>
        <v>0</v>
      </c>
      <c r="M649" s="74">
        <f t="shared" si="404"/>
        <v>0</v>
      </c>
      <c r="N649" s="74">
        <f t="shared" si="404"/>
        <v>0</v>
      </c>
      <c r="O649" s="74">
        <f t="shared" si="395"/>
        <v>0</v>
      </c>
      <c r="P649" s="74">
        <f t="shared" si="396"/>
        <v>0</v>
      </c>
      <c r="Q649" s="74">
        <f t="shared" ref="Q649:S649" si="405">Q650+Q651</f>
        <v>0</v>
      </c>
      <c r="R649" s="74">
        <f t="shared" si="405"/>
        <v>0</v>
      </c>
      <c r="S649" s="74">
        <f t="shared" si="405"/>
        <v>0</v>
      </c>
      <c r="T649" s="74">
        <f t="shared" si="398"/>
        <v>0</v>
      </c>
      <c r="U649" s="74">
        <f t="shared" si="399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77">
        <f t="shared" si="395"/>
        <v>0</v>
      </c>
      <c r="P650" s="77">
        <f t="shared" si="396"/>
        <v>0</v>
      </c>
      <c r="Q650" s="77">
        <v>0</v>
      </c>
      <c r="R650" s="77">
        <v>0</v>
      </c>
      <c r="S650" s="77">
        <v>0</v>
      </c>
      <c r="T650" s="77">
        <f t="shared" si="398"/>
        <v>0</v>
      </c>
      <c r="U650" s="77">
        <f t="shared" si="399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74">
        <f t="shared" si="395"/>
        <v>0</v>
      </c>
      <c r="P651" s="74">
        <f t="shared" si="396"/>
        <v>0</v>
      </c>
      <c r="Q651" s="74">
        <v>0</v>
      </c>
      <c r="R651" s="74">
        <v>0</v>
      </c>
      <c r="S651" s="74">
        <v>0</v>
      </c>
      <c r="T651" s="74">
        <f t="shared" si="398"/>
        <v>0</v>
      </c>
      <c r="U651" s="74">
        <f t="shared" si="399"/>
        <v>0</v>
      </c>
    </row>
    <row r="652" spans="1:21" ht="19.5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IFERROR(__xludf.DUMMYFUNCTION("IMPORTRANGE(""https://docs.google.com/spreadsheets/d/1eHaY18a8A9IcSdp1K8H6x8fbOy06t2VsZHhMHf-1x7Y/edit?usp=sharing"",""แผน!IF71"")"),0)</f>
        <v>0</v>
      </c>
      <c r="J653" s="293">
        <f ca="1">IFERROR(__xludf.DUMMYFUNCTION("IMPORTRANGE(""https://docs.google.com/spreadsheets/d/1tdoBKaGub7dwA3U6UFTqxio9LNnvDCQjHKmttSEBsFQ/edit?usp=sharing"",""จัดที่ดิน!AU71"")"),0)</f>
        <v>0</v>
      </c>
      <c r="K653" s="74">
        <f t="shared" ref="K653:K655" ca="1" si="406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IFERROR(__xludf.DUMMYFUNCTION("IMPORTRANGE(""https://docs.google.com/spreadsheets/d/1eHaY18a8A9IcSdp1K8H6x8fbOy06t2VsZHhMHf-1x7Y/edit?usp=sharing"",""แผน!IG71"")"),1)</f>
        <v>1</v>
      </c>
      <c r="J654" s="293">
        <f ca="1">IFERROR(__xludf.DUMMYFUNCTION("IMPORTRANGE(""https://docs.google.com/spreadsheets/d/1tdoBKaGub7dwA3U6UFTqxio9LNnvDCQjHKmttSEBsFQ/edit?usp=sharing"",""จัดที่ดิน!AW71"")"),0)</f>
        <v>0</v>
      </c>
      <c r="K654" s="74">
        <f t="shared" ca="1" si="406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hidden="1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IFERROR(__xludf.DUMMYFUNCTION("IMPORTRANGE(""https://docs.google.com/spreadsheets/d/1eHaY18a8A9IcSdp1K8H6x8fbOy06t2VsZHhMHf-1x7Y/edit?usp=sharing"",""แผน!IH71"")"),0)</f>
        <v>0</v>
      </c>
      <c r="J655" s="622">
        <f>J658+J661</f>
        <v>0</v>
      </c>
      <c r="K655" s="264">
        <f t="shared" ca="1" si="406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hidden="1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hidden="1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hidden="1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IFERROR(__xludf.DUMMYFUNCTION("IMPORTRANGE(""https://docs.google.com/spreadsheets/d/1eHaY18a8A9IcSdp1K8H6x8fbOy06t2VsZHhMHf-1x7Y/edit?usp=sharing"",""แผน!II71"")"),0)</f>
        <v>0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hidden="1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hidden="1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hidden="1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IFERROR(__xludf.DUMMYFUNCTION("IMPORTRANGE(""https://docs.google.com/spreadsheets/d/1eHaY18a8A9IcSdp1K8H6x8fbOy06t2VsZHhMHf-1x7Y/edit?usp=sharing"",""แผน!IJ71"")"),0)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hidden="1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IFERROR(__xludf.DUMMYFUNCTION("IMPORTRANGE(""https://docs.google.com/spreadsheets/d/1eHaY18a8A9IcSdp1K8H6x8fbOy06t2VsZHhMHf-1x7Y/edit?usp=sharing"",""แผน!IK71"")"),0)</f>
        <v>0</v>
      </c>
      <c r="J662" s="622">
        <f>J668+J671</f>
        <v>0</v>
      </c>
      <c r="K662" s="264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hidden="1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hidden="1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hidden="1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hidden="1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hidden="1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hidden="1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hidden="1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hidden="1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hidden="1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IFERROR(__xludf.DUMMYFUNCTION("IMPORTRANGE(""https://docs.google.com/spreadsheets/d/1tdoBKaGub7dwA3U6UFTqxio9LNnvDCQjHKmttSEBsFQ/edit?usp=sharing"",""จัดที่ดิน!AY71"")"),0)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IFERROR(__xludf.DUMMYFUNCTION("IMPORTRANGE(""https://docs.google.com/spreadsheets/d/1tdoBKaGub7dwA3U6UFTqxio9LNnvDCQjHKmttSEBsFQ/edit?usp=sharing"",""จัดที่ดิน!AZ71"")"),0)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IFERROR(__xludf.DUMMYFUNCTION("IMPORTRANGE(""https://docs.google.com/spreadsheets/d/1eHaY18a8A9IcSdp1K8H6x8fbOy06t2VsZHhMHf-1x7Y/edit?usp=sharing"",""แผน!IL71"")"),69)</f>
        <v>69</v>
      </c>
      <c r="J674" s="293">
        <f ca="1">IFERROR(__xludf.DUMMYFUNCTION("IMPORTRANGE(""https://docs.google.com/spreadsheets/d/1tdoBKaGub7dwA3U6UFTqxio9LNnvDCQjHKmttSEBsFQ/edit?usp=sharing"",""จัดที่ดิน!BA71"")"),0)</f>
        <v>0</v>
      </c>
      <c r="K674" s="74">
        <f t="shared" ref="K674:K677" ca="1" si="407">IF(I674&gt;0,J674*100/I674,0)</f>
        <v>0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IFERROR(__xludf.DUMMYFUNCTION("IMPORTRANGE(""https://docs.google.com/spreadsheets/d/1eHaY18a8A9IcSdp1K8H6x8fbOy06t2VsZHhMHf-1x7Y/edit?usp=sharing"",""แผน!IM71"")"),5)</f>
        <v>5</v>
      </c>
      <c r="J675" s="622">
        <f ca="1">J677+J680</f>
        <v>0</v>
      </c>
      <c r="K675" s="264">
        <f t="shared" ca="1" si="407"/>
        <v>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IFERROR(__xludf.DUMMYFUNCTION("IMPORTRANGE(""https://docs.google.com/spreadsheets/d/1eHaY18a8A9IcSdp1K8H6x8fbOy06t2VsZHhMHf-1x7Y/edit?usp=sharing"",""แผน!IN71"")"),48)</f>
        <v>48</v>
      </c>
      <c r="J676" s="622">
        <f ca="1">J679+J682</f>
        <v>0</v>
      </c>
      <c r="K676" s="264">
        <f t="shared" ca="1" si="407"/>
        <v>0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IFERROR(__xludf.DUMMYFUNCTION("IMPORTRANGE(""https://docs.google.com/spreadsheets/d/1eHaY18a8A9IcSdp1K8H6x8fbOy06t2VsZHhMHf-1x7Y/edit?usp=sharing"",""แผน!IO71"")"),3)</f>
        <v>3</v>
      </c>
      <c r="J677" s="293">
        <f ca="1">IFERROR(__xludf.DUMMYFUNCTION("IMPORTRANGE(""https://docs.google.com/spreadsheets/d/1tdoBKaGub7dwA3U6UFTqxio9LNnvDCQjHKmttSEBsFQ/edit?usp=sharing"",""จัดที่ดิน!BF71"")"),0)</f>
        <v>0</v>
      </c>
      <c r="K677" s="74">
        <f t="shared" ca="1" si="407"/>
        <v>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IFERROR(__xludf.DUMMYFUNCTION("IMPORTRANGE(""https://docs.google.com/spreadsheets/d/1tdoBKaGub7dwA3U6UFTqxio9LNnvDCQjHKmttSEBsFQ/edit?usp=sharing"",""จัดที่ดิน!BG71"")"),0)</f>
        <v>0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IFERROR(__xludf.DUMMYFUNCTION("IMPORTRANGE(""https://docs.google.com/spreadsheets/d/1eHaY18a8A9IcSdp1K8H6x8fbOy06t2VsZHhMHf-1x7Y/edit?usp=sharing"",""แผน!IP71"")"),31)</f>
        <v>31</v>
      </c>
      <c r="J679" s="293">
        <f ca="1">IFERROR(__xludf.DUMMYFUNCTION("IMPORTRANGE(""https://docs.google.com/spreadsheets/d/1tdoBKaGub7dwA3U6UFTqxio9LNnvDCQjHKmttSEBsFQ/edit?usp=sharing"",""จัดที่ดิน!BH71"")"),0)</f>
        <v>0</v>
      </c>
      <c r="K679" s="74">
        <f t="shared" ref="K679:K680" ca="1" si="408">IF(I679&gt;0,J679*100/I679,0)</f>
        <v>0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IFERROR(__xludf.DUMMYFUNCTION("IMPORTRANGE(""https://docs.google.com/spreadsheets/d/1eHaY18a8A9IcSdp1K8H6x8fbOy06t2VsZHhMHf-1x7Y/edit?usp=sharing"",""แผน!IQ71"")"),2)</f>
        <v>2</v>
      </c>
      <c r="J680" s="293">
        <f ca="1">IFERROR(__xludf.DUMMYFUNCTION("IMPORTRANGE(""https://docs.google.com/spreadsheets/d/1tdoBKaGub7dwA3U6UFTqxio9LNnvDCQjHKmttSEBsFQ/edit?usp=sharing"",""จัดที่ดิน!BK71"")"),0)</f>
        <v>0</v>
      </c>
      <c r="K680" s="74">
        <f t="shared" ca="1" si="408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IFERROR(__xludf.DUMMYFUNCTION("IMPORTRANGE(""https://docs.google.com/spreadsheets/d/1tdoBKaGub7dwA3U6UFTqxio9LNnvDCQjHKmttSEBsFQ/edit?usp=sharing"",""จัดที่ดิน!BL71"")"),0)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IFERROR(__xludf.DUMMYFUNCTION("IMPORTRANGE(""https://docs.google.com/spreadsheets/d/1eHaY18a8A9IcSdp1K8H6x8fbOy06t2VsZHhMHf-1x7Y/edit?usp=sharing"",""แผน!IR71"")"),17)</f>
        <v>17</v>
      </c>
      <c r="J682" s="293">
        <f ca="1">IFERROR(__xludf.DUMMYFUNCTION("IMPORTRANGE(""https://docs.google.com/spreadsheets/d/1tdoBKaGub7dwA3U6UFTqxio9LNnvDCQjHKmttSEBsFQ/edit?usp=sharing"",""จัดที่ดิน!BM71"")"),0)</f>
        <v>0</v>
      </c>
      <c r="K682" s="74">
        <f t="shared" ref="K682:K683" ca="1" si="409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hidden="1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IFERROR(__xludf.DUMMYFUNCTION("IMPORTRANGE(""https://docs.google.com/spreadsheets/d/1eHaY18a8A9IcSdp1K8H6x8fbOy06t2VsZHhMHf-1x7Y/edit?usp=sharing"",""แผน!IS71"")"),0)</f>
        <v>0</v>
      </c>
      <c r="J683" s="622">
        <f>J686+J689</f>
        <v>0</v>
      </c>
      <c r="K683" s="264">
        <f t="shared" ca="1" si="409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hidden="1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hidden="1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hidden="1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hidden="1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hidden="1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hidden="1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hidden="1" x14ac:dyDescent="0.3">
      <c r="A690" s="727"/>
      <c r="B690" s="728" t="s">
        <v>255</v>
      </c>
      <c r="C690" s="727"/>
      <c r="D690" s="729"/>
      <c r="E690" s="729"/>
      <c r="F690" s="729"/>
      <c r="G690" s="730"/>
      <c r="H690" s="764" t="s">
        <v>35</v>
      </c>
      <c r="I690" s="765">
        <f t="shared" ref="I690:J690" ca="1" si="410">I708</f>
        <v>0</v>
      </c>
      <c r="J690" s="765">
        <f t="shared" ca="1" si="410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hidden="1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1257">
        <f t="shared" ref="L691:N691" si="411">L692+L693</f>
        <v>0</v>
      </c>
      <c r="M691" s="264">
        <f t="shared" si="411"/>
        <v>0</v>
      </c>
      <c r="N691" s="264">
        <f t="shared" si="411"/>
        <v>0</v>
      </c>
      <c r="O691" s="264">
        <f t="shared" ref="O691:O699" si="412">IF(L691&gt;0,N691*100/L691,0)</f>
        <v>0</v>
      </c>
      <c r="P691" s="264">
        <f t="shared" ref="P691:P699" si="413">IF(M691&gt;0,N691*100/M691,0)</f>
        <v>0</v>
      </c>
      <c r="Q691" s="264">
        <f t="shared" ref="Q691:S691" ca="1" si="414">Q692+Q693</f>
        <v>0</v>
      </c>
      <c r="R691" s="264">
        <f t="shared" ca="1" si="414"/>
        <v>0</v>
      </c>
      <c r="S691" s="264">
        <f t="shared" ca="1" si="414"/>
        <v>0</v>
      </c>
      <c r="T691" s="264">
        <f t="shared" ref="T691:T699" ca="1" si="415">IF(Q691&gt;0,S691*100/Q691,0)</f>
        <v>0</v>
      </c>
      <c r="U691" s="264">
        <f t="shared" ref="U691:U699" ca="1" si="416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6">
        <f t="shared" ref="L692:N693" si="417">L695+L698</f>
        <v>0</v>
      </c>
      <c r="M692" s="77">
        <f t="shared" si="417"/>
        <v>0</v>
      </c>
      <c r="N692" s="77">
        <f t="shared" si="417"/>
        <v>0</v>
      </c>
      <c r="O692" s="77">
        <f t="shared" si="412"/>
        <v>0</v>
      </c>
      <c r="P692" s="77">
        <f t="shared" si="413"/>
        <v>0</v>
      </c>
      <c r="Q692" s="77">
        <f t="shared" ref="Q692:S693" si="418">Q695+Q698</f>
        <v>0</v>
      </c>
      <c r="R692" s="77">
        <f t="shared" si="418"/>
        <v>0</v>
      </c>
      <c r="S692" s="77">
        <f t="shared" si="418"/>
        <v>0</v>
      </c>
      <c r="T692" s="77">
        <f t="shared" si="415"/>
        <v>0</v>
      </c>
      <c r="U692" s="77">
        <f t="shared" si="416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3">
        <f t="shared" si="417"/>
        <v>0</v>
      </c>
      <c r="M693" s="74">
        <f t="shared" si="417"/>
        <v>0</v>
      </c>
      <c r="N693" s="74">
        <f t="shared" si="417"/>
        <v>0</v>
      </c>
      <c r="O693" s="74">
        <f t="shared" si="412"/>
        <v>0</v>
      </c>
      <c r="P693" s="74">
        <f t="shared" si="413"/>
        <v>0</v>
      </c>
      <c r="Q693" s="74">
        <f t="shared" ca="1" si="418"/>
        <v>0</v>
      </c>
      <c r="R693" s="74">
        <f t="shared" ca="1" si="418"/>
        <v>0</v>
      </c>
      <c r="S693" s="74">
        <f t="shared" ca="1" si="418"/>
        <v>0</v>
      </c>
      <c r="T693" s="74">
        <f t="shared" ca="1" si="415"/>
        <v>0</v>
      </c>
      <c r="U693" s="74">
        <f t="shared" ca="1" si="416"/>
        <v>0</v>
      </c>
    </row>
    <row r="694" spans="1:21" ht="18.75" hidden="1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3">
        <f t="shared" ref="L694:N694" si="419">L695+L696</f>
        <v>0</v>
      </c>
      <c r="M694" s="74">
        <f t="shared" si="419"/>
        <v>0</v>
      </c>
      <c r="N694" s="74">
        <f t="shared" si="419"/>
        <v>0</v>
      </c>
      <c r="O694" s="74">
        <f t="shared" si="412"/>
        <v>0</v>
      </c>
      <c r="P694" s="74">
        <f t="shared" si="413"/>
        <v>0</v>
      </c>
      <c r="Q694" s="74">
        <f t="shared" ref="Q694:S694" ca="1" si="420">Q695+Q696</f>
        <v>0</v>
      </c>
      <c r="R694" s="74">
        <f t="shared" ca="1" si="420"/>
        <v>0</v>
      </c>
      <c r="S694" s="74">
        <f t="shared" ca="1" si="420"/>
        <v>0</v>
      </c>
      <c r="T694" s="74">
        <f t="shared" ca="1" si="415"/>
        <v>0</v>
      </c>
      <c r="U694" s="74">
        <f t="shared" ca="1" si="416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77">
        <f t="shared" si="412"/>
        <v>0</v>
      </c>
      <c r="P695" s="77">
        <f t="shared" si="413"/>
        <v>0</v>
      </c>
      <c r="Q695" s="77">
        <v>0</v>
      </c>
      <c r="R695" s="77">
        <v>0</v>
      </c>
      <c r="S695" s="77">
        <v>0</v>
      </c>
      <c r="T695" s="77">
        <f t="shared" si="415"/>
        <v>0</v>
      </c>
      <c r="U695" s="77">
        <f t="shared" si="416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74">
        <f t="shared" si="412"/>
        <v>0</v>
      </c>
      <c r="P696" s="74">
        <f t="shared" si="413"/>
        <v>0</v>
      </c>
      <c r="Q696" s="74">
        <f ca="1">IFERROR(__xludf.DUMMYFUNCTION("IMPORTRANGE(""https://docs.google.com/spreadsheets/d/1ItG2mGa2ceCfYo0BwxsXqNm01IGEUdYcSSLTEv9YCik/edit?usp=sharing"",""เบิกจ่ายกองทุน!L71"")"),0)</f>
        <v>0</v>
      </c>
      <c r="R696" s="74">
        <f ca="1">IFERROR(__xludf.DUMMYFUNCTION("IMPORTRANGE(""https://docs.google.com/spreadsheets/d/1ItG2mGa2ceCfYo0BwxsXqNm01IGEUdYcSSLTEv9YCik/edit?usp=sharing"",""เบิกจ่ายกองทุน!M71"")"),0)</f>
        <v>0</v>
      </c>
      <c r="S696" s="74">
        <f ca="1">IFERROR(__xludf.DUMMYFUNCTION("IMPORTRANGE(""https://docs.google.com/spreadsheets/d/1ItG2mGa2ceCfYo0BwxsXqNm01IGEUdYcSSLTEv9YCik/edit?usp=sharing"",""เบิกจ่ายกองทุน!N71"")"),0)</f>
        <v>0</v>
      </c>
      <c r="T696" s="74">
        <f t="shared" ca="1" si="415"/>
        <v>0</v>
      </c>
      <c r="U696" s="74">
        <f t="shared" ca="1" si="416"/>
        <v>0</v>
      </c>
    </row>
    <row r="697" spans="1:21" ht="18.75" hidden="1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3">
        <f t="shared" ref="L697:N697" si="421">L698+L699</f>
        <v>0</v>
      </c>
      <c r="M697" s="74">
        <f t="shared" si="421"/>
        <v>0</v>
      </c>
      <c r="N697" s="74">
        <f t="shared" si="421"/>
        <v>0</v>
      </c>
      <c r="O697" s="74">
        <f t="shared" si="412"/>
        <v>0</v>
      </c>
      <c r="P697" s="74">
        <f t="shared" si="413"/>
        <v>0</v>
      </c>
      <c r="Q697" s="74">
        <f t="shared" ref="Q697:S697" si="422">Q698+Q699</f>
        <v>0</v>
      </c>
      <c r="R697" s="74">
        <f t="shared" si="422"/>
        <v>0</v>
      </c>
      <c r="S697" s="74">
        <f t="shared" si="422"/>
        <v>0</v>
      </c>
      <c r="T697" s="74">
        <f t="shared" si="415"/>
        <v>0</v>
      </c>
      <c r="U697" s="74">
        <f t="shared" si="416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77">
        <f t="shared" si="412"/>
        <v>0</v>
      </c>
      <c r="P698" s="77">
        <f t="shared" si="413"/>
        <v>0</v>
      </c>
      <c r="Q698" s="77">
        <v>0</v>
      </c>
      <c r="R698" s="77">
        <v>0</v>
      </c>
      <c r="S698" s="77">
        <v>0</v>
      </c>
      <c r="T698" s="77">
        <f t="shared" si="415"/>
        <v>0</v>
      </c>
      <c r="U698" s="77">
        <f t="shared" si="416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74">
        <f t="shared" si="412"/>
        <v>0</v>
      </c>
      <c r="P699" s="74">
        <f t="shared" si="413"/>
        <v>0</v>
      </c>
      <c r="Q699" s="74">
        <v>0</v>
      </c>
      <c r="R699" s="74">
        <v>0</v>
      </c>
      <c r="S699" s="74">
        <v>0</v>
      </c>
      <c r="T699" s="74">
        <f t="shared" si="415"/>
        <v>0</v>
      </c>
      <c r="U699" s="74">
        <f t="shared" si="416"/>
        <v>0</v>
      </c>
    </row>
    <row r="700" spans="1:21" ht="19.5" hidden="1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hidden="1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IFERROR(__xludf.DUMMYFUNCTION("IMPORTRANGE(""https://docs.google.com/spreadsheets/d/1eHaY18a8A9IcSdp1K8H6x8fbOy06t2VsZHhMHf-1x7Y/edit?usp=sharing"",""แผน!LC71"")"),0)</f>
        <v>0</v>
      </c>
      <c r="J701" s="294">
        <v>0</v>
      </c>
      <c r="K701" s="768">
        <f t="shared" ref="K701:K711" ca="1" si="423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hidden="1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t="shared" ref="I702:J702" ca="1" si="424">I704+I706</f>
        <v>0</v>
      </c>
      <c r="J702" s="622">
        <f t="shared" ca="1" si="424"/>
        <v>0</v>
      </c>
      <c r="K702" s="264">
        <f t="shared" ca="1" si="423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hidden="1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0</v>
      </c>
      <c r="K703" s="264">
        <f t="shared" si="423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hidden="1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IFERROR(__xludf.DUMMYFUNCTION("IMPORTRANGE(""https://docs.google.com/spreadsheets/d/1eHaY18a8A9IcSdp1K8H6x8fbOy06t2VsZHhMHf-1x7Y/edit?usp=sharing"",""แผน!LJ71"")"),0)</f>
        <v>0</v>
      </c>
      <c r="J704" s="293">
        <f ca="1">IFERROR(__xludf.DUMMYFUNCTION("IMPORTRANGE(""https://docs.google.com/spreadsheets/d/1tdoBKaGub7dwA3U6UFTqxio9LNnvDCQjHKmttSEBsFQ/edit?usp=sharing"",""จัดที่ดิน!AP71"")"),0)</f>
        <v>0</v>
      </c>
      <c r="K704" s="74">
        <f t="shared" ca="1" si="423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hidden="1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IFERROR(__xludf.DUMMYFUNCTION("IMPORTRANGE(""https://docs.google.com/spreadsheets/d/1tdoBKaGub7dwA3U6UFTqxio9LNnvDCQjHKmttSEBsFQ/edit?usp=sharing"",""จัดที่ดิน!AQ71"")"),0)</f>
        <v>0</v>
      </c>
      <c r="K705" s="74">
        <f t="shared" si="423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hidden="1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IFERROR(__xludf.DUMMYFUNCTION("IMPORTRANGE(""https://docs.google.com/spreadsheets/d/1eHaY18a8A9IcSdp1K8H6x8fbOy06t2VsZHhMHf-1x7Y/edit?usp=sharing"",""แผน!LK71"")"),0)</f>
        <v>0</v>
      </c>
      <c r="J706" s="293">
        <f ca="1">IFERROR(__xludf.DUMMYFUNCTION("IMPORTRANGE(""https://docs.google.com/spreadsheets/d/1tdoBKaGub7dwA3U6UFTqxio9LNnvDCQjHKmttSEBsFQ/edit?usp=sharing"",""จัดที่ดิน!AR71"")"),0)</f>
        <v>0</v>
      </c>
      <c r="K706" s="768">
        <f t="shared" ca="1" si="423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hidden="1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IFERROR(__xludf.DUMMYFUNCTION("IMPORTRANGE(""https://docs.google.com/spreadsheets/d/1tdoBKaGub7dwA3U6UFTqxio9LNnvDCQjHKmttSEBsFQ/edit?usp=sharing"",""จัดที่ดิน!AS71"")"),0)</f>
        <v>0</v>
      </c>
      <c r="K707" s="74">
        <f t="shared" si="423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hidden="1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IFERROR(__xludf.DUMMYFUNCTION("IMPORTRANGE(""https://docs.google.com/spreadsheets/d/1eHaY18a8A9IcSdp1K8H6x8fbOy06t2VsZHhMHf-1x7Y/edit?usp=sharing"",""แผน!LJ71"")"),0)</f>
        <v>0</v>
      </c>
      <c r="J708" s="293">
        <f ca="1">IFERROR(__xludf.DUMMYFUNCTION("IMPORTRANGE(""https://docs.google.com/spreadsheets/d/1tdoBKaGub7dwA3U6UFTqxio9LNnvDCQjHKmttSEBsFQ/edit?usp=sharing"",""จัดที่ดิน!BN71"")"),0)</f>
        <v>0</v>
      </c>
      <c r="K708" s="74">
        <f t="shared" ca="1" si="423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hidden="1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IFERROR(__xludf.DUMMYFUNCTION("IMPORTRANGE(""https://docs.google.com/spreadsheets/d/1tdoBKaGub7dwA3U6UFTqxio9LNnvDCQjHKmttSEBsFQ/edit?usp=sharing"",""จัดที่ดิน!BO71"")"),0)</f>
        <v>0</v>
      </c>
      <c r="K709" s="74">
        <f t="shared" si="423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hidden="1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IFERROR(__xludf.DUMMYFUNCTION("IMPORTRANGE(""https://docs.google.com/spreadsheets/d/1eHaY18a8A9IcSdp1K8H6x8fbOy06t2VsZHhMHf-1x7Y/edit?usp=sharing"",""แผน!LK71"")"),0)</f>
        <v>0</v>
      </c>
      <c r="J710" s="293">
        <f ca="1">IFERROR(__xludf.DUMMYFUNCTION("IMPORTRANGE(""https://docs.google.com/spreadsheets/d/1tdoBKaGub7dwA3U6UFTqxio9LNnvDCQjHKmttSEBsFQ/edit?usp=sharing"",""จัดที่ดิน!BP71"")"),0)</f>
        <v>0</v>
      </c>
      <c r="K710" s="74">
        <f t="shared" ca="1" si="423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hidden="1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IFERROR(__xludf.DUMMYFUNCTION("IMPORTRANGE(""https://docs.google.com/spreadsheets/d/1tdoBKaGub7dwA3U6UFTqxio9LNnvDCQjHKmttSEBsFQ/edit?usp=sharing"",""จัดที่ดิน!BQ71"")"),0)</f>
        <v>0</v>
      </c>
      <c r="K711" s="74">
        <f t="shared" si="423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1257">
        <f t="shared" ref="L715:N715" si="425">L716+L717</f>
        <v>0</v>
      </c>
      <c r="M715" s="264">
        <f t="shared" si="425"/>
        <v>0</v>
      </c>
      <c r="N715" s="264">
        <f t="shared" si="425"/>
        <v>0</v>
      </c>
      <c r="O715" s="264">
        <f t="shared" ref="O715:O723" si="426">IF(L715&gt;0,N715*100/L715,0)</f>
        <v>0</v>
      </c>
      <c r="P715" s="264">
        <f t="shared" ref="P715:P723" si="427">IF(M715&gt;0,N715*100/M715,0)</f>
        <v>0</v>
      </c>
      <c r="Q715" s="264">
        <f t="shared" ref="Q715:S715" si="428">Q716+Q717</f>
        <v>0</v>
      </c>
      <c r="R715" s="264">
        <f t="shared" si="428"/>
        <v>0</v>
      </c>
      <c r="S715" s="264">
        <f t="shared" si="428"/>
        <v>0</v>
      </c>
      <c r="T715" s="264">
        <f t="shared" ref="T715:T723" si="429">IF(Q715&gt;0,S715*100/Q715,0)</f>
        <v>0</v>
      </c>
      <c r="U715" s="264">
        <f t="shared" ref="U715:U723" si="430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6">
        <f t="shared" ref="L716:N717" si="431">L719+L722</f>
        <v>0</v>
      </c>
      <c r="M716" s="77">
        <f t="shared" si="431"/>
        <v>0</v>
      </c>
      <c r="N716" s="77">
        <f t="shared" si="431"/>
        <v>0</v>
      </c>
      <c r="O716" s="77">
        <f t="shared" si="426"/>
        <v>0</v>
      </c>
      <c r="P716" s="77">
        <f t="shared" si="427"/>
        <v>0</v>
      </c>
      <c r="Q716" s="77">
        <f t="shared" ref="Q716:S717" si="432">Q719+Q722</f>
        <v>0</v>
      </c>
      <c r="R716" s="77">
        <f t="shared" si="432"/>
        <v>0</v>
      </c>
      <c r="S716" s="77">
        <f t="shared" si="432"/>
        <v>0</v>
      </c>
      <c r="T716" s="77">
        <f t="shared" si="429"/>
        <v>0</v>
      </c>
      <c r="U716" s="77">
        <f t="shared" si="430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3">
        <f t="shared" si="431"/>
        <v>0</v>
      </c>
      <c r="M717" s="74">
        <f t="shared" si="431"/>
        <v>0</v>
      </c>
      <c r="N717" s="74">
        <f t="shared" si="431"/>
        <v>0</v>
      </c>
      <c r="O717" s="74">
        <f t="shared" si="426"/>
        <v>0</v>
      </c>
      <c r="P717" s="74">
        <f t="shared" si="427"/>
        <v>0</v>
      </c>
      <c r="Q717" s="74">
        <f t="shared" si="432"/>
        <v>0</v>
      </c>
      <c r="R717" s="74">
        <f t="shared" si="432"/>
        <v>0</v>
      </c>
      <c r="S717" s="74">
        <f t="shared" si="432"/>
        <v>0</v>
      </c>
      <c r="T717" s="74">
        <f t="shared" si="429"/>
        <v>0</v>
      </c>
      <c r="U717" s="74">
        <f t="shared" si="430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3">
        <f t="shared" ref="L718:N718" si="433">L719+L720</f>
        <v>0</v>
      </c>
      <c r="M718" s="74">
        <f t="shared" si="433"/>
        <v>0</v>
      </c>
      <c r="N718" s="74">
        <f t="shared" si="433"/>
        <v>0</v>
      </c>
      <c r="O718" s="74">
        <f t="shared" si="426"/>
        <v>0</v>
      </c>
      <c r="P718" s="74">
        <f t="shared" si="427"/>
        <v>0</v>
      </c>
      <c r="Q718" s="74">
        <f t="shared" ref="Q718:S718" si="434">Q719+Q720</f>
        <v>0</v>
      </c>
      <c r="R718" s="74">
        <f t="shared" si="434"/>
        <v>0</v>
      </c>
      <c r="S718" s="74">
        <f t="shared" si="434"/>
        <v>0</v>
      </c>
      <c r="T718" s="74">
        <f t="shared" si="429"/>
        <v>0</v>
      </c>
      <c r="U718" s="74">
        <f t="shared" si="430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77">
        <f t="shared" si="426"/>
        <v>0</v>
      </c>
      <c r="P719" s="77">
        <f t="shared" si="427"/>
        <v>0</v>
      </c>
      <c r="Q719" s="77">
        <v>0</v>
      </c>
      <c r="R719" s="77">
        <v>0</v>
      </c>
      <c r="S719" s="77">
        <v>0</v>
      </c>
      <c r="T719" s="77">
        <f t="shared" si="429"/>
        <v>0</v>
      </c>
      <c r="U719" s="77">
        <f t="shared" si="430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74">
        <f t="shared" si="426"/>
        <v>0</v>
      </c>
      <c r="P720" s="74">
        <f t="shared" si="427"/>
        <v>0</v>
      </c>
      <c r="Q720" s="74">
        <v>0</v>
      </c>
      <c r="R720" s="74">
        <v>0</v>
      </c>
      <c r="S720" s="74">
        <v>0</v>
      </c>
      <c r="T720" s="74">
        <f t="shared" si="429"/>
        <v>0</v>
      </c>
      <c r="U720" s="74">
        <f t="shared" si="430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3">
        <f t="shared" ref="L721:N721" si="435">L722+L723</f>
        <v>0</v>
      </c>
      <c r="M721" s="74">
        <f t="shared" si="435"/>
        <v>0</v>
      </c>
      <c r="N721" s="74">
        <f t="shared" si="435"/>
        <v>0</v>
      </c>
      <c r="O721" s="74">
        <f t="shared" si="426"/>
        <v>0</v>
      </c>
      <c r="P721" s="74">
        <f t="shared" si="427"/>
        <v>0</v>
      </c>
      <c r="Q721" s="74">
        <f t="shared" ref="Q721:S721" si="436">Q722+Q723</f>
        <v>0</v>
      </c>
      <c r="R721" s="74">
        <f t="shared" si="436"/>
        <v>0</v>
      </c>
      <c r="S721" s="74">
        <f t="shared" si="436"/>
        <v>0</v>
      </c>
      <c r="T721" s="74">
        <f t="shared" si="429"/>
        <v>0</v>
      </c>
      <c r="U721" s="74">
        <f t="shared" si="430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77">
        <f t="shared" si="426"/>
        <v>0</v>
      </c>
      <c r="P722" s="77">
        <f t="shared" si="427"/>
        <v>0</v>
      </c>
      <c r="Q722" s="77">
        <v>0</v>
      </c>
      <c r="R722" s="77">
        <v>0</v>
      </c>
      <c r="S722" s="77">
        <v>0</v>
      </c>
      <c r="T722" s="77">
        <f t="shared" si="429"/>
        <v>0</v>
      </c>
      <c r="U722" s="77">
        <f t="shared" si="430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74">
        <f t="shared" si="426"/>
        <v>0</v>
      </c>
      <c r="P723" s="74">
        <f t="shared" si="427"/>
        <v>0</v>
      </c>
      <c r="Q723" s="74">
        <v>0</v>
      </c>
      <c r="R723" s="74">
        <v>0</v>
      </c>
      <c r="S723" s="74">
        <v>0</v>
      </c>
      <c r="T723" s="74">
        <f t="shared" si="429"/>
        <v>0</v>
      </c>
      <c r="U723" s="74">
        <f t="shared" si="430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hidden="1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IFERROR(__xludf.DUMMYFUNCTION("IMPORTRANGE(""https://docs.google.com/spreadsheets/d/1eHaY18a8A9IcSdp1K8H6x8fbOy06t2VsZHhMHf-1x7Y/edit?usp=sharing"",""แผน!FZ71"")"),0)</f>
        <v>0</v>
      </c>
      <c r="J727" s="781">
        <f>J743+J747+J750</f>
        <v>0</v>
      </c>
      <c r="K727" s="766">
        <f t="shared" ref="K727:K728" ca="1" si="437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hidden="1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IFERROR(__xludf.DUMMYFUNCTION("IMPORTRANGE(""https://docs.google.com/spreadsheets/d/1eHaY18a8A9IcSdp1K8H6x8fbOy06t2VsZHhMHf-1x7Y/edit?usp=sharing"",""แผน!GA71"")"),0)</f>
        <v>0</v>
      </c>
      <c r="J728" s="781">
        <f>J753+J756</f>
        <v>0</v>
      </c>
      <c r="K728" s="766">
        <f t="shared" ca="1" si="437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hidden="1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1257">
        <f t="shared" ref="L729:N729" si="438">L730+L731</f>
        <v>0</v>
      </c>
      <c r="M729" s="264">
        <f t="shared" si="438"/>
        <v>0</v>
      </c>
      <c r="N729" s="264">
        <f t="shared" si="438"/>
        <v>0</v>
      </c>
      <c r="O729" s="264">
        <f t="shared" ref="O729:O737" si="439">IF(L729&gt;0,N729*100/L729,0)</f>
        <v>0</v>
      </c>
      <c r="P729" s="264">
        <f t="shared" ref="P729:P737" si="440">IF(M729&gt;0,N729*100/M729,0)</f>
        <v>0</v>
      </c>
      <c r="Q729" s="264">
        <f t="shared" ref="Q729:S729" ca="1" si="441">Q730+Q731</f>
        <v>0</v>
      </c>
      <c r="R729" s="264">
        <f t="shared" ca="1" si="441"/>
        <v>0</v>
      </c>
      <c r="S729" s="264">
        <f t="shared" ca="1" si="441"/>
        <v>0</v>
      </c>
      <c r="T729" s="264">
        <f t="shared" ref="T729:T737" ca="1" si="442">IF(Q729&gt;0,S729*100/Q729,0)</f>
        <v>0</v>
      </c>
      <c r="U729" s="264">
        <f t="shared" ref="U729:U737" ca="1" si="443">IF(R729&gt;0,S729*100/R729,0)</f>
        <v>0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6">
        <f t="shared" ref="L730:N731" si="444">L733+L736</f>
        <v>0</v>
      </c>
      <c r="M730" s="77">
        <f t="shared" si="444"/>
        <v>0</v>
      </c>
      <c r="N730" s="77">
        <f t="shared" si="444"/>
        <v>0</v>
      </c>
      <c r="O730" s="77">
        <f t="shared" si="439"/>
        <v>0</v>
      </c>
      <c r="P730" s="77">
        <f t="shared" si="440"/>
        <v>0</v>
      </c>
      <c r="Q730" s="77">
        <f t="shared" ref="Q730:S731" si="445">Q733+Q736</f>
        <v>0</v>
      </c>
      <c r="R730" s="77">
        <f t="shared" si="445"/>
        <v>0</v>
      </c>
      <c r="S730" s="77">
        <f t="shared" si="445"/>
        <v>0</v>
      </c>
      <c r="T730" s="77">
        <f t="shared" si="442"/>
        <v>0</v>
      </c>
      <c r="U730" s="77">
        <f t="shared" si="443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3">
        <f t="shared" si="444"/>
        <v>0</v>
      </c>
      <c r="M731" s="74">
        <f t="shared" si="444"/>
        <v>0</v>
      </c>
      <c r="N731" s="74">
        <f t="shared" si="444"/>
        <v>0</v>
      </c>
      <c r="O731" s="74">
        <f t="shared" si="439"/>
        <v>0</v>
      </c>
      <c r="P731" s="74">
        <f t="shared" si="440"/>
        <v>0</v>
      </c>
      <c r="Q731" s="74">
        <f t="shared" ca="1" si="445"/>
        <v>0</v>
      </c>
      <c r="R731" s="74">
        <f t="shared" ca="1" si="445"/>
        <v>0</v>
      </c>
      <c r="S731" s="74">
        <f t="shared" ca="1" si="445"/>
        <v>0</v>
      </c>
      <c r="T731" s="74">
        <f t="shared" ca="1" si="442"/>
        <v>0</v>
      </c>
      <c r="U731" s="74">
        <f t="shared" ca="1" si="443"/>
        <v>0</v>
      </c>
    </row>
    <row r="732" spans="1:21" ht="18.75" hidden="1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3">
        <f t="shared" ref="L732:N732" si="446">L733+L734</f>
        <v>0</v>
      </c>
      <c r="M732" s="74">
        <f t="shared" si="446"/>
        <v>0</v>
      </c>
      <c r="N732" s="74">
        <f t="shared" si="446"/>
        <v>0</v>
      </c>
      <c r="O732" s="74">
        <f t="shared" si="439"/>
        <v>0</v>
      </c>
      <c r="P732" s="74">
        <f t="shared" si="440"/>
        <v>0</v>
      </c>
      <c r="Q732" s="74">
        <f t="shared" ref="Q732:S732" ca="1" si="447">Q733+Q734</f>
        <v>0</v>
      </c>
      <c r="R732" s="74">
        <f t="shared" ca="1" si="447"/>
        <v>0</v>
      </c>
      <c r="S732" s="74">
        <f t="shared" ca="1" si="447"/>
        <v>0</v>
      </c>
      <c r="T732" s="74">
        <f t="shared" ca="1" si="442"/>
        <v>0</v>
      </c>
      <c r="U732" s="74">
        <f t="shared" ca="1" si="443"/>
        <v>0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77">
        <f t="shared" si="439"/>
        <v>0</v>
      </c>
      <c r="P733" s="77">
        <f t="shared" si="440"/>
        <v>0</v>
      </c>
      <c r="Q733" s="77">
        <v>0</v>
      </c>
      <c r="R733" s="77">
        <v>0</v>
      </c>
      <c r="S733" s="77">
        <v>0</v>
      </c>
      <c r="T733" s="77">
        <f t="shared" si="442"/>
        <v>0</v>
      </c>
      <c r="U733" s="77">
        <f t="shared" si="443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74">
        <f t="shared" si="439"/>
        <v>0</v>
      </c>
      <c r="P734" s="74">
        <f t="shared" si="440"/>
        <v>0</v>
      </c>
      <c r="Q734" s="74">
        <f ca="1">IFERROR(__xludf.DUMMYFUNCTION("IMPORTRANGE(""https://docs.google.com/spreadsheets/d/1ItG2mGa2ceCfYo0BwxsXqNm01IGEUdYcSSLTEv9YCik/edit?usp=sharing"",""เบิกจ่ายกองทุน!O71"")"),0)</f>
        <v>0</v>
      </c>
      <c r="R734" s="74">
        <f ca="1">IFERROR(__xludf.DUMMYFUNCTION("IMPORTRANGE(""https://docs.google.com/spreadsheets/d/1ItG2mGa2ceCfYo0BwxsXqNm01IGEUdYcSSLTEv9YCik/edit?usp=sharing"",""เบิกจ่ายกองทุน!P71"")"),0)</f>
        <v>0</v>
      </c>
      <c r="S734" s="74">
        <f ca="1">IFERROR(__xludf.DUMMYFUNCTION("IMPORTRANGE(""https://docs.google.com/spreadsheets/d/1ItG2mGa2ceCfYo0BwxsXqNm01IGEUdYcSSLTEv9YCik/edit?usp=sharing"",""เบิกจ่ายกองทุน!Q71"")"),0)</f>
        <v>0</v>
      </c>
      <c r="T734" s="74">
        <f t="shared" ca="1" si="442"/>
        <v>0</v>
      </c>
      <c r="U734" s="74">
        <f t="shared" ca="1" si="443"/>
        <v>0</v>
      </c>
    </row>
    <row r="735" spans="1:21" ht="18.75" hidden="1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3">
        <f t="shared" ref="L735:N735" si="448">L736+L737</f>
        <v>0</v>
      </c>
      <c r="M735" s="74">
        <f t="shared" si="448"/>
        <v>0</v>
      </c>
      <c r="N735" s="74">
        <f t="shared" si="448"/>
        <v>0</v>
      </c>
      <c r="O735" s="74">
        <f t="shared" si="439"/>
        <v>0</v>
      </c>
      <c r="P735" s="74">
        <f t="shared" si="440"/>
        <v>0</v>
      </c>
      <c r="Q735" s="74">
        <f t="shared" ref="Q735:S735" si="449">Q736+Q737</f>
        <v>0</v>
      </c>
      <c r="R735" s="74">
        <f t="shared" si="449"/>
        <v>0</v>
      </c>
      <c r="S735" s="74">
        <f t="shared" si="449"/>
        <v>0</v>
      </c>
      <c r="T735" s="74">
        <f t="shared" si="442"/>
        <v>0</v>
      </c>
      <c r="U735" s="74">
        <f t="shared" si="443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77">
        <f t="shared" si="439"/>
        <v>0</v>
      </c>
      <c r="P736" s="77">
        <f t="shared" si="440"/>
        <v>0</v>
      </c>
      <c r="Q736" s="77">
        <v>0</v>
      </c>
      <c r="R736" s="77">
        <v>0</v>
      </c>
      <c r="S736" s="77">
        <v>0</v>
      </c>
      <c r="T736" s="77">
        <f t="shared" si="442"/>
        <v>0</v>
      </c>
      <c r="U736" s="77">
        <f t="shared" si="443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74">
        <f t="shared" si="439"/>
        <v>0</v>
      </c>
      <c r="P737" s="74">
        <f t="shared" si="440"/>
        <v>0</v>
      </c>
      <c r="Q737" s="74">
        <v>0</v>
      </c>
      <c r="R737" s="74">
        <v>0</v>
      </c>
      <c r="S737" s="74">
        <v>0</v>
      </c>
      <c r="T737" s="74">
        <f t="shared" si="442"/>
        <v>0</v>
      </c>
      <c r="U737" s="74">
        <f t="shared" si="443"/>
        <v>0</v>
      </c>
    </row>
    <row r="738" spans="1:21" ht="19.5" hidden="1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hidden="1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hidden="1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hidden="1" x14ac:dyDescent="0.25">
      <c r="A741" s="276"/>
      <c r="B741" s="277"/>
      <c r="C741" s="277"/>
      <c r="D741" s="277"/>
      <c r="E741" s="277"/>
      <c r="F741" s="745" t="s">
        <v>271</v>
      </c>
      <c r="G741" s="282"/>
      <c r="H741" s="268" t="s">
        <v>46</v>
      </c>
      <c r="I741" s="293">
        <f ca="1">IFERROR(__xludf.DUMMYFUNCTION("IMPORTRANGE(""https://docs.google.com/spreadsheets/d/1eHaY18a8A9IcSdp1K8H6x8fbOy06t2VsZHhMHf-1x7Y/edit?usp=sharing"",""แผน!GB71"")"),0)</f>
        <v>0</v>
      </c>
      <c r="J741" s="294">
        <v>0</v>
      </c>
      <c r="K741" s="74">
        <f ca="1">IF(I741&gt;0,J741*100/I741,0)</f>
        <v>0</v>
      </c>
      <c r="L741" s="86"/>
      <c r="M741" s="87"/>
      <c r="N741" s="87"/>
      <c r="O741" s="87"/>
      <c r="P741" s="87"/>
      <c r="Q741" s="87"/>
      <c r="R741" s="87"/>
      <c r="S741" s="87"/>
      <c r="T741" s="87"/>
      <c r="U741" s="87"/>
    </row>
    <row r="742" spans="1:21" ht="18.75" hidden="1" x14ac:dyDescent="0.25">
      <c r="A742" s="276"/>
      <c r="B742" s="277"/>
      <c r="C742" s="277"/>
      <c r="D742" s="277"/>
      <c r="E742" s="277"/>
      <c r="F742" s="745" t="s">
        <v>272</v>
      </c>
      <c r="G742" s="282"/>
      <c r="H742" s="268" t="s">
        <v>35</v>
      </c>
      <c r="I742" s="263"/>
      <c r="J742" s="294">
        <v>0</v>
      </c>
      <c r="K742" s="87"/>
      <c r="L742" s="86"/>
      <c r="M742" s="87"/>
      <c r="N742" s="87"/>
      <c r="O742" s="87"/>
      <c r="P742" s="87"/>
      <c r="Q742" s="87"/>
      <c r="R742" s="87"/>
      <c r="S742" s="87"/>
      <c r="T742" s="87"/>
      <c r="U742" s="87"/>
    </row>
    <row r="743" spans="1:21" ht="18.75" hidden="1" x14ac:dyDescent="0.25">
      <c r="A743" s="276"/>
      <c r="B743" s="277"/>
      <c r="C743" s="277"/>
      <c r="D743" s="277"/>
      <c r="E743" s="277"/>
      <c r="F743" s="745" t="s">
        <v>273</v>
      </c>
      <c r="G743" s="282"/>
      <c r="H743" s="268" t="s">
        <v>35</v>
      </c>
      <c r="I743" s="293">
        <f ca="1">IFERROR(__xludf.DUMMYFUNCTION("IMPORTRANGE(""https://docs.google.com/spreadsheets/d/1eHaY18a8A9IcSdp1K8H6x8fbOy06t2VsZHhMHf-1x7Y/edit?usp=sharing"",""แผน!GC71"")"),0)</f>
        <v>0</v>
      </c>
      <c r="J743" s="294">
        <v>0</v>
      </c>
      <c r="K743" s="74">
        <f ca="1">IF(I743&gt;0,J743*100/I743,0)</f>
        <v>0</v>
      </c>
      <c r="L743" s="86"/>
      <c r="M743" s="87"/>
      <c r="N743" s="87"/>
      <c r="O743" s="87"/>
      <c r="P743" s="87"/>
      <c r="Q743" s="87"/>
      <c r="R743" s="87"/>
      <c r="S743" s="87"/>
      <c r="T743" s="87"/>
      <c r="U743" s="87"/>
    </row>
    <row r="744" spans="1:21" ht="18.75" hidden="1" x14ac:dyDescent="0.25">
      <c r="A744" s="276"/>
      <c r="B744" s="277"/>
      <c r="C744" s="277"/>
      <c r="D744" s="277"/>
      <c r="E744" s="745" t="s">
        <v>274</v>
      </c>
      <c r="F744" s="277"/>
      <c r="G744" s="282"/>
      <c r="H744" s="312"/>
      <c r="I744" s="263"/>
      <c r="J744" s="263"/>
      <c r="K744" s="87"/>
      <c r="L744" s="86"/>
      <c r="M744" s="87"/>
      <c r="N744" s="87"/>
      <c r="O744" s="87"/>
      <c r="P744" s="87"/>
      <c r="Q744" s="87"/>
      <c r="R744" s="87"/>
      <c r="S744" s="87"/>
      <c r="T744" s="87"/>
      <c r="U744" s="87"/>
    </row>
    <row r="745" spans="1:21" ht="18.75" hidden="1" x14ac:dyDescent="0.25">
      <c r="A745" s="276"/>
      <c r="B745" s="277"/>
      <c r="C745" s="277"/>
      <c r="D745" s="277"/>
      <c r="E745" s="277"/>
      <c r="F745" s="745" t="s">
        <v>271</v>
      </c>
      <c r="G745" s="282"/>
      <c r="H745" s="268" t="s">
        <v>46</v>
      </c>
      <c r="I745" s="293">
        <f ca="1">IFERROR(__xludf.DUMMYFUNCTION("IMPORTRANGE(""https://docs.google.com/spreadsheets/d/1eHaY18a8A9IcSdp1K8H6x8fbOy06t2VsZHhMHf-1x7Y/edit?usp=sharing"",""แผน!GD71"")"),0)</f>
        <v>0</v>
      </c>
      <c r="J745" s="294">
        <v>0</v>
      </c>
      <c r="K745" s="74">
        <f ca="1">IF(I745&gt;0,J745*100/I745,0)</f>
        <v>0</v>
      </c>
      <c r="L745" s="86"/>
      <c r="M745" s="87"/>
      <c r="N745" s="87"/>
      <c r="O745" s="87"/>
      <c r="P745" s="87"/>
      <c r="Q745" s="87"/>
      <c r="R745" s="87"/>
      <c r="S745" s="87"/>
      <c r="T745" s="87"/>
      <c r="U745" s="87"/>
    </row>
    <row r="746" spans="1:21" ht="18.75" hidden="1" x14ac:dyDescent="0.25">
      <c r="A746" s="276"/>
      <c r="B746" s="277"/>
      <c r="C746" s="277"/>
      <c r="D746" s="277"/>
      <c r="E746" s="277"/>
      <c r="F746" s="745" t="s">
        <v>275</v>
      </c>
      <c r="G746" s="282"/>
      <c r="H746" s="268" t="s">
        <v>35</v>
      </c>
      <c r="I746" s="263"/>
      <c r="J746" s="294">
        <v>0</v>
      </c>
      <c r="K746" s="87"/>
      <c r="L746" s="86"/>
      <c r="M746" s="87"/>
      <c r="N746" s="87"/>
      <c r="O746" s="87"/>
      <c r="P746" s="87"/>
      <c r="Q746" s="87"/>
      <c r="R746" s="87"/>
      <c r="S746" s="87"/>
      <c r="T746" s="87"/>
      <c r="U746" s="87"/>
    </row>
    <row r="747" spans="1:21" ht="18.75" hidden="1" x14ac:dyDescent="0.25">
      <c r="A747" s="276"/>
      <c r="B747" s="277"/>
      <c r="C747" s="277"/>
      <c r="D747" s="277"/>
      <c r="E747" s="277"/>
      <c r="F747" s="745" t="s">
        <v>276</v>
      </c>
      <c r="G747" s="282"/>
      <c r="H747" s="268" t="s">
        <v>35</v>
      </c>
      <c r="I747" s="293">
        <f ca="1">IFERROR(__xludf.DUMMYFUNCTION("IMPORTRANGE(""https://docs.google.com/spreadsheets/d/1eHaY18a8A9IcSdp1K8H6x8fbOy06t2VsZHhMHf-1x7Y/edit?usp=sharing"",""แผน!GE71"")"),0)</f>
        <v>0</v>
      </c>
      <c r="J747" s="294">
        <v>0</v>
      </c>
      <c r="K747" s="74">
        <f ca="1">IF(I747&gt;0,J747*100/I747,0)</f>
        <v>0</v>
      </c>
      <c r="L747" s="86"/>
      <c r="M747" s="87"/>
      <c r="N747" s="87"/>
      <c r="O747" s="87"/>
      <c r="P747" s="87"/>
      <c r="Q747" s="87"/>
      <c r="R747" s="87"/>
      <c r="S747" s="87"/>
      <c r="T747" s="87"/>
      <c r="U747" s="87"/>
    </row>
    <row r="748" spans="1:21" ht="18.75" hidden="1" x14ac:dyDescent="0.25">
      <c r="A748" s="276"/>
      <c r="B748" s="277"/>
      <c r="C748" s="277"/>
      <c r="D748" s="277"/>
      <c r="E748" s="745" t="s">
        <v>277</v>
      </c>
      <c r="F748" s="296"/>
      <c r="G748" s="282"/>
      <c r="H748" s="312"/>
      <c r="I748" s="263"/>
      <c r="J748" s="263"/>
      <c r="K748" s="87"/>
      <c r="L748" s="86"/>
      <c r="M748" s="87"/>
      <c r="N748" s="87"/>
      <c r="O748" s="87"/>
      <c r="P748" s="87"/>
      <c r="Q748" s="87"/>
      <c r="R748" s="87"/>
      <c r="S748" s="87"/>
      <c r="T748" s="87"/>
      <c r="U748" s="87"/>
    </row>
    <row r="749" spans="1:21" ht="18.75" hidden="1" x14ac:dyDescent="0.25">
      <c r="A749" s="276"/>
      <c r="B749" s="277"/>
      <c r="C749" s="277"/>
      <c r="D749" s="277"/>
      <c r="E749" s="277"/>
      <c r="F749" s="745" t="s">
        <v>278</v>
      </c>
      <c r="G749" s="282"/>
      <c r="H749" s="268" t="s">
        <v>35</v>
      </c>
      <c r="I749" s="263"/>
      <c r="J749" s="294">
        <v>0</v>
      </c>
      <c r="K749" s="87"/>
      <c r="L749" s="86"/>
      <c r="M749" s="87"/>
      <c r="N749" s="87"/>
      <c r="O749" s="87"/>
      <c r="P749" s="87"/>
      <c r="Q749" s="87"/>
      <c r="R749" s="87"/>
      <c r="S749" s="87"/>
      <c r="T749" s="87"/>
      <c r="U749" s="87"/>
    </row>
    <row r="750" spans="1:21" ht="18.75" hidden="1" x14ac:dyDescent="0.25">
      <c r="A750" s="276"/>
      <c r="B750" s="277"/>
      <c r="C750" s="277"/>
      <c r="D750" s="277"/>
      <c r="E750" s="277"/>
      <c r="F750" s="745" t="s">
        <v>279</v>
      </c>
      <c r="G750" s="282"/>
      <c r="H750" s="268" t="s">
        <v>35</v>
      </c>
      <c r="I750" s="293">
        <f ca="1">IFERROR(__xludf.DUMMYFUNCTION("IMPORTRANGE(""https://docs.google.com/spreadsheets/d/1eHaY18a8A9IcSdp1K8H6x8fbOy06t2VsZHhMHf-1x7Y/edit?usp=sharing"",""แผน!GF71"")"),0)</f>
        <v>0</v>
      </c>
      <c r="J750" s="294">
        <v>0</v>
      </c>
      <c r="K750" s="74">
        <f ca="1">IF(I750&gt;0,J750*100/I750,0)</f>
        <v>0</v>
      </c>
      <c r="L750" s="86"/>
      <c r="M750" s="87"/>
      <c r="N750" s="87"/>
      <c r="O750" s="87"/>
      <c r="P750" s="87"/>
      <c r="Q750" s="87"/>
      <c r="R750" s="87"/>
      <c r="S750" s="87"/>
      <c r="T750" s="87"/>
      <c r="U750" s="87"/>
    </row>
    <row r="751" spans="1:21" ht="19.5" hidden="1" x14ac:dyDescent="0.3">
      <c r="A751" s="276"/>
      <c r="B751" s="277"/>
      <c r="C751" s="277"/>
      <c r="D751" s="784" t="s">
        <v>50</v>
      </c>
      <c r="E751" s="277"/>
      <c r="F751" s="296"/>
      <c r="G751" s="282"/>
      <c r="H751" s="312"/>
      <c r="I751" s="263"/>
      <c r="J751" s="263"/>
      <c r="K751" s="87"/>
      <c r="L751" s="86"/>
      <c r="M751" s="87"/>
      <c r="N751" s="87"/>
      <c r="O751" s="87"/>
      <c r="P751" s="87"/>
      <c r="Q751" s="87"/>
      <c r="R751" s="87"/>
      <c r="S751" s="87"/>
      <c r="T751" s="87"/>
      <c r="U751" s="87"/>
    </row>
    <row r="752" spans="1:21" ht="18.75" hidden="1" x14ac:dyDescent="0.25">
      <c r="A752" s="276"/>
      <c r="B752" s="277"/>
      <c r="C752" s="277"/>
      <c r="D752" s="277"/>
      <c r="E752" s="745" t="s">
        <v>270</v>
      </c>
      <c r="F752" s="296"/>
      <c r="G752" s="282"/>
      <c r="H752" s="312"/>
      <c r="I752" s="263"/>
      <c r="J752" s="263"/>
      <c r="K752" s="87"/>
      <c r="L752" s="86"/>
      <c r="M752" s="87"/>
      <c r="N752" s="87"/>
      <c r="O752" s="87"/>
      <c r="P752" s="87"/>
      <c r="Q752" s="87"/>
      <c r="R752" s="87"/>
      <c r="S752" s="87"/>
      <c r="T752" s="87"/>
      <c r="U752" s="87"/>
    </row>
    <row r="753" spans="1:21" ht="18.75" hidden="1" x14ac:dyDescent="0.25">
      <c r="A753" s="276"/>
      <c r="B753" s="277"/>
      <c r="C753" s="277"/>
      <c r="D753" s="277"/>
      <c r="E753" s="277"/>
      <c r="F753" s="295" t="s">
        <v>280</v>
      </c>
      <c r="G753" s="282"/>
      <c r="H753" s="268" t="s">
        <v>46</v>
      </c>
      <c r="I753" s="293">
        <f ca="1">IFERROR(__xludf.DUMMYFUNCTION("IMPORTRANGE(""https://docs.google.com/spreadsheets/d/1eHaY18a8A9IcSdp1K8H6x8fbOy06t2VsZHhMHf-1x7Y/edit?usp=sharing"",""แผน!GC71"")"),0)</f>
        <v>0</v>
      </c>
      <c r="J753" s="294">
        <v>0</v>
      </c>
      <c r="K753" s="74">
        <f ca="1">IF(I753&gt;0,J753*100/I753,0)</f>
        <v>0</v>
      </c>
      <c r="L753" s="86"/>
      <c r="M753" s="87"/>
      <c r="N753" s="87"/>
      <c r="O753" s="87"/>
      <c r="P753" s="87"/>
      <c r="Q753" s="87"/>
      <c r="R753" s="87"/>
      <c r="S753" s="87"/>
      <c r="T753" s="87"/>
      <c r="U753" s="87"/>
    </row>
    <row r="754" spans="1:21" ht="18.75" hidden="1" x14ac:dyDescent="0.25">
      <c r="A754" s="276"/>
      <c r="B754" s="277"/>
      <c r="C754" s="277"/>
      <c r="D754" s="277"/>
      <c r="E754" s="277"/>
      <c r="F754" s="295" t="s">
        <v>281</v>
      </c>
      <c r="G754" s="282"/>
      <c r="H754" s="268" t="s">
        <v>46</v>
      </c>
      <c r="I754" s="263"/>
      <c r="J754" s="294">
        <v>0</v>
      </c>
      <c r="K754" s="87"/>
      <c r="L754" s="86"/>
      <c r="M754" s="87"/>
      <c r="N754" s="87"/>
      <c r="O754" s="87"/>
      <c r="P754" s="87"/>
      <c r="Q754" s="87"/>
      <c r="R754" s="87"/>
      <c r="S754" s="87"/>
      <c r="T754" s="87"/>
      <c r="U754" s="87"/>
    </row>
    <row r="755" spans="1:21" ht="18.75" hidden="1" x14ac:dyDescent="0.25">
      <c r="A755" s="276"/>
      <c r="B755" s="277"/>
      <c r="C755" s="277"/>
      <c r="D755" s="277"/>
      <c r="E755" s="745" t="s">
        <v>274</v>
      </c>
      <c r="F755" s="296"/>
      <c r="G755" s="282"/>
      <c r="H755" s="312"/>
      <c r="I755" s="263"/>
      <c r="J755" s="263"/>
      <c r="K755" s="87"/>
      <c r="L755" s="86"/>
      <c r="M755" s="87"/>
      <c r="N755" s="87"/>
      <c r="O755" s="87"/>
      <c r="P755" s="87"/>
      <c r="Q755" s="87"/>
      <c r="R755" s="87"/>
      <c r="S755" s="87"/>
      <c r="T755" s="87"/>
      <c r="U755" s="87"/>
    </row>
    <row r="756" spans="1:21" ht="18.75" hidden="1" x14ac:dyDescent="0.25">
      <c r="A756" s="276"/>
      <c r="B756" s="277"/>
      <c r="C756" s="277"/>
      <c r="D756" s="277"/>
      <c r="E756" s="296"/>
      <c r="F756" s="295" t="s">
        <v>282</v>
      </c>
      <c r="G756" s="282"/>
      <c r="H756" s="268" t="s">
        <v>46</v>
      </c>
      <c r="I756" s="293">
        <f ca="1">IFERROR(__xludf.DUMMYFUNCTION("IMPORTRANGE(""https://docs.google.com/spreadsheets/d/1eHaY18a8A9IcSdp1K8H6x8fbOy06t2VsZHhMHf-1x7Y/edit?usp=sharing"",""แผน!GE71"")"),0)</f>
        <v>0</v>
      </c>
      <c r="J756" s="294">
        <v>0</v>
      </c>
      <c r="K756" s="74">
        <f ca="1">IF(I756&gt;0,J756*100/I756,0)</f>
        <v>0</v>
      </c>
      <c r="L756" s="86"/>
      <c r="M756" s="87"/>
      <c r="N756" s="87"/>
      <c r="O756" s="87"/>
      <c r="P756" s="87"/>
      <c r="Q756" s="87"/>
      <c r="R756" s="87"/>
      <c r="S756" s="87"/>
      <c r="T756" s="87"/>
      <c r="U756" s="87"/>
    </row>
    <row r="757" spans="1:21" ht="18.75" hidden="1" x14ac:dyDescent="0.25">
      <c r="A757" s="276"/>
      <c r="B757" s="277"/>
      <c r="C757" s="277"/>
      <c r="D757" s="277"/>
      <c r="E757" s="296"/>
      <c r="F757" s="295" t="s">
        <v>283</v>
      </c>
      <c r="G757" s="282"/>
      <c r="H757" s="268" t="s">
        <v>46</v>
      </c>
      <c r="I757" s="263"/>
      <c r="J757" s="294">
        <v>0</v>
      </c>
      <c r="K757" s="87"/>
      <c r="L757" s="86"/>
      <c r="M757" s="87"/>
      <c r="N757" s="87"/>
      <c r="O757" s="87"/>
      <c r="P757" s="87"/>
      <c r="Q757" s="87"/>
      <c r="R757" s="87"/>
      <c r="S757" s="87"/>
      <c r="T757" s="87"/>
      <c r="U757" s="87"/>
    </row>
    <row r="758" spans="1:21" ht="19.5" hidden="1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0">I772</f>
        <v>0</v>
      </c>
      <c r="J758" s="781">
        <f t="shared" si="450"/>
        <v>0</v>
      </c>
      <c r="K758" s="766">
        <f t="shared" ref="K758:K759" ca="1" si="451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hidden="1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2">I774</f>
        <v>0</v>
      </c>
      <c r="J759" s="781">
        <f t="shared" si="452"/>
        <v>0</v>
      </c>
      <c r="K759" s="766">
        <f t="shared" ca="1" si="451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hidden="1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1257">
        <f t="shared" ref="L760:N760" si="453">L761+L762</f>
        <v>0</v>
      </c>
      <c r="M760" s="264">
        <f t="shared" si="453"/>
        <v>0</v>
      </c>
      <c r="N760" s="264">
        <f t="shared" si="453"/>
        <v>0</v>
      </c>
      <c r="O760" s="264">
        <f t="shared" ref="O760:O768" si="454">IF(L760&gt;0,N760*100/L760,0)</f>
        <v>0</v>
      </c>
      <c r="P760" s="264">
        <f t="shared" ref="P760:P768" si="455">IF(M760&gt;0,N760*100/M760,0)</f>
        <v>0</v>
      </c>
      <c r="Q760" s="264">
        <f t="shared" ref="Q760:S760" ca="1" si="456">Q761+Q762</f>
        <v>0</v>
      </c>
      <c r="R760" s="264">
        <f t="shared" ca="1" si="456"/>
        <v>0</v>
      </c>
      <c r="S760" s="264">
        <f t="shared" ca="1" si="456"/>
        <v>0</v>
      </c>
      <c r="T760" s="264">
        <f t="shared" ref="T760:T768" ca="1" si="457">IF(Q760&gt;0,S760*100/Q760,0)</f>
        <v>0</v>
      </c>
      <c r="U760" s="264">
        <f t="shared" ref="U760:U768" ca="1" si="458">IF(R760&gt;0,S760*100/R760,0)</f>
        <v>0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6">
        <f t="shared" ref="L761:N762" si="459">L764+L767</f>
        <v>0</v>
      </c>
      <c r="M761" s="77">
        <f t="shared" si="459"/>
        <v>0</v>
      </c>
      <c r="N761" s="77">
        <f t="shared" si="459"/>
        <v>0</v>
      </c>
      <c r="O761" s="77">
        <f t="shared" si="454"/>
        <v>0</v>
      </c>
      <c r="P761" s="77">
        <f t="shared" si="455"/>
        <v>0</v>
      </c>
      <c r="Q761" s="77">
        <f t="shared" ref="Q761:S762" si="460">Q764+Q767</f>
        <v>0</v>
      </c>
      <c r="R761" s="77">
        <f t="shared" si="460"/>
        <v>0</v>
      </c>
      <c r="S761" s="77">
        <f t="shared" si="460"/>
        <v>0</v>
      </c>
      <c r="T761" s="77">
        <f t="shared" si="457"/>
        <v>0</v>
      </c>
      <c r="U761" s="77">
        <f t="shared" si="458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3">
        <f t="shared" si="459"/>
        <v>0</v>
      </c>
      <c r="M762" s="74">
        <f t="shared" si="459"/>
        <v>0</v>
      </c>
      <c r="N762" s="74">
        <f t="shared" si="459"/>
        <v>0</v>
      </c>
      <c r="O762" s="74">
        <f t="shared" si="454"/>
        <v>0</v>
      </c>
      <c r="P762" s="74">
        <f t="shared" si="455"/>
        <v>0</v>
      </c>
      <c r="Q762" s="74">
        <f t="shared" ca="1" si="460"/>
        <v>0</v>
      </c>
      <c r="R762" s="74">
        <f t="shared" ca="1" si="460"/>
        <v>0</v>
      </c>
      <c r="S762" s="74">
        <f t="shared" ca="1" si="460"/>
        <v>0</v>
      </c>
      <c r="T762" s="74">
        <f t="shared" ca="1" si="457"/>
        <v>0</v>
      </c>
      <c r="U762" s="74">
        <f t="shared" ca="1" si="458"/>
        <v>0</v>
      </c>
    </row>
    <row r="763" spans="1:21" ht="18.75" hidden="1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3">
        <f t="shared" ref="L763:N763" si="461">L764+L765</f>
        <v>0</v>
      </c>
      <c r="M763" s="74">
        <f t="shared" si="461"/>
        <v>0</v>
      </c>
      <c r="N763" s="74">
        <f t="shared" si="461"/>
        <v>0</v>
      </c>
      <c r="O763" s="74">
        <f t="shared" si="454"/>
        <v>0</v>
      </c>
      <c r="P763" s="74">
        <f t="shared" si="455"/>
        <v>0</v>
      </c>
      <c r="Q763" s="74">
        <f t="shared" ref="Q763:S763" ca="1" si="462">Q764+Q765</f>
        <v>0</v>
      </c>
      <c r="R763" s="74">
        <f t="shared" ca="1" si="462"/>
        <v>0</v>
      </c>
      <c r="S763" s="74">
        <f t="shared" ca="1" si="462"/>
        <v>0</v>
      </c>
      <c r="T763" s="74">
        <f t="shared" ca="1" si="457"/>
        <v>0</v>
      </c>
      <c r="U763" s="74">
        <f t="shared" ca="1" si="458"/>
        <v>0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77">
        <f t="shared" si="454"/>
        <v>0</v>
      </c>
      <c r="P764" s="77">
        <f t="shared" si="455"/>
        <v>0</v>
      </c>
      <c r="Q764" s="77">
        <v>0</v>
      </c>
      <c r="R764" s="77">
        <v>0</v>
      </c>
      <c r="S764" s="77">
        <v>0</v>
      </c>
      <c r="T764" s="77">
        <f t="shared" si="457"/>
        <v>0</v>
      </c>
      <c r="U764" s="77">
        <f t="shared" si="458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74">
        <f t="shared" si="454"/>
        <v>0</v>
      </c>
      <c r="P765" s="74">
        <f t="shared" si="455"/>
        <v>0</v>
      </c>
      <c r="Q765" s="74">
        <f ca="1">IFERROR(__xludf.DUMMYFUNCTION("IMPORTRANGE(""https://docs.google.com/spreadsheets/d/1ItG2mGa2ceCfYo0BwxsXqNm01IGEUdYcSSLTEv9YCik/edit?usp=sharing"",""เบิกจ่ายกองทุน!U71"")"),0)</f>
        <v>0</v>
      </c>
      <c r="R765" s="74">
        <f ca="1">IFERROR(__xludf.DUMMYFUNCTION("IMPORTRANGE(""https://docs.google.com/spreadsheets/d/1ItG2mGa2ceCfYo0BwxsXqNm01IGEUdYcSSLTEv9YCik/edit?usp=sharing"",""เบิกจ่ายกองทุน!V71"")"),0)</f>
        <v>0</v>
      </c>
      <c r="S765" s="74">
        <f ca="1">IFERROR(__xludf.DUMMYFUNCTION("IMPORTRANGE(""https://docs.google.com/spreadsheets/d/1ItG2mGa2ceCfYo0BwxsXqNm01IGEUdYcSSLTEv9YCik/edit?usp=sharing"",""เบิกจ่ายกองทุน!W71"")"),0)</f>
        <v>0</v>
      </c>
      <c r="T765" s="74">
        <f t="shared" ca="1" si="457"/>
        <v>0</v>
      </c>
      <c r="U765" s="74">
        <f t="shared" ca="1" si="458"/>
        <v>0</v>
      </c>
    </row>
    <row r="766" spans="1:21" ht="18.75" hidden="1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3">
        <f t="shared" ref="L766:N766" si="463">L767+L768</f>
        <v>0</v>
      </c>
      <c r="M766" s="74">
        <f t="shared" si="463"/>
        <v>0</v>
      </c>
      <c r="N766" s="74">
        <f t="shared" si="463"/>
        <v>0</v>
      </c>
      <c r="O766" s="74">
        <f t="shared" si="454"/>
        <v>0</v>
      </c>
      <c r="P766" s="74">
        <f t="shared" si="455"/>
        <v>0</v>
      </c>
      <c r="Q766" s="74">
        <f t="shared" ref="Q766:S766" si="464">Q767+Q768</f>
        <v>0</v>
      </c>
      <c r="R766" s="74">
        <f t="shared" si="464"/>
        <v>0</v>
      </c>
      <c r="S766" s="74">
        <f t="shared" si="464"/>
        <v>0</v>
      </c>
      <c r="T766" s="74">
        <f t="shared" si="457"/>
        <v>0</v>
      </c>
      <c r="U766" s="74">
        <f t="shared" si="458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77">
        <f t="shared" si="454"/>
        <v>0</v>
      </c>
      <c r="P767" s="77">
        <f t="shared" si="455"/>
        <v>0</v>
      </c>
      <c r="Q767" s="77">
        <v>0</v>
      </c>
      <c r="R767" s="77">
        <v>0</v>
      </c>
      <c r="S767" s="77">
        <v>0</v>
      </c>
      <c r="T767" s="77">
        <f t="shared" si="457"/>
        <v>0</v>
      </c>
      <c r="U767" s="77">
        <f t="shared" si="458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74">
        <f t="shared" si="454"/>
        <v>0</v>
      </c>
      <c r="P768" s="74">
        <f t="shared" si="455"/>
        <v>0</v>
      </c>
      <c r="Q768" s="74">
        <v>0</v>
      </c>
      <c r="R768" s="74">
        <v>0</v>
      </c>
      <c r="S768" s="74">
        <v>0</v>
      </c>
      <c r="T768" s="74">
        <f t="shared" si="457"/>
        <v>0</v>
      </c>
      <c r="U768" s="74">
        <f t="shared" si="458"/>
        <v>0</v>
      </c>
    </row>
    <row r="769" spans="1:21" ht="19.5" hidden="1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IFERROR(__xludf.DUMMYFUNCTION("IMPORTRANGE(""https://docs.google.com/spreadsheets/d/1eHaY18a8A9IcSdp1K8H6x8fbOy06t2VsZHhMHf-1x7Y/edit?usp=sharing"",""แผน!FI71"")"),0)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hidden="1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IFERROR(__xludf.DUMMYFUNCTION("IMPORTRANGE(""https://docs.google.com/spreadsheets/d/1eHaY18a8A9IcSdp1K8H6x8fbOy06t2VsZHhMHf-1x7Y/edit?usp=sharing"",""แผน!FQ71"")"),0)</f>
        <v>0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hidden="1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hidden="1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IFERROR(__xludf.DUMMYFUNCTION("IMPORTRANGE(""https://docs.google.com/spreadsheets/d/1eHaY18a8A9IcSdp1K8H6x8fbOy06t2VsZHhMHf-1x7Y/edit?usp=sharing"",""แผน!FR71"")"),0)</f>
        <v>0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hidden="1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IFERROR(__xludf.DUMMYFUNCTION("IMPORTRANGE(""https://docs.google.com/spreadsheets/d/1eHaY18a8A9IcSdp1K8H6x8fbOy06t2VsZHhMHf-1x7Y/edit?usp=sharing"",""แผน!FS71"")"),0)</f>
        <v>0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hidden="1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IFERROR(__xludf.DUMMYFUNCTION("IMPORTRANGE(""https://docs.google.com/spreadsheets/d/1eHaY18a8A9IcSdp1K8H6x8fbOy06t2VsZHhMHf-1x7Y/edit?usp=sharing"",""แผน!FT71"")"),0)</f>
        <v>0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IFERROR(__xludf.DUMMYFUNCTION("IMPORTRANGE(""https://docs.google.com/spreadsheets/d/10OvvATaaLtwErnr3qtWFcTmtbfpFEt5Bsqel9sXx0uE/edit?usp=sharing"",""งานกองทุน!D71"")"),560000)</f>
        <v>560000</v>
      </c>
      <c r="J778" s="293">
        <f ca="1">IFERROR(__xludf.DUMMYFUNCTION("IMPORTRANGE(""https://docs.google.com/spreadsheets/d/10OvvATaaLtwErnr3qtWFcTmtbfpFEt5Bsqel9sXx0uE/edit?usp=sharing"",""งานกองทุน!F71"")"),0)</f>
        <v>0</v>
      </c>
      <c r="K778" s="74">
        <f t="shared" ref="K778:K785" ca="1" si="465">IF(I778&gt;0,J778*100/I778,0)</f>
        <v>0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IFERROR(__xludf.DUMMYFUNCTION("IMPORTRANGE(""https://docs.google.com/spreadsheets/d/10OvvATaaLtwErnr3qtWFcTmtbfpFEt5Bsqel9sXx0uE/edit?usp=sharing"",""งานกองทุน!C71"")"),19)</f>
        <v>19</v>
      </c>
      <c r="J779" s="293">
        <f ca="1">IFERROR(__xludf.DUMMYFUNCTION("IMPORTRANGE(""https://docs.google.com/spreadsheets/d/10OvvATaaLtwErnr3qtWFcTmtbfpFEt5Bsqel9sXx0uE/edit?usp=sharing"",""งานกองทุน!E71"")"),0)</f>
        <v>0</v>
      </c>
      <c r="K779" s="74">
        <f t="shared" ca="1" si="465"/>
        <v>0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IFERROR(__xludf.DUMMYFUNCTION("IMPORTRANGE(""https://docs.google.com/spreadsheets/d/10OvvATaaLtwErnr3qtWFcTmtbfpFEt5Bsqel9sXx0uE/edit?usp=sharing"",""งานกองทุน!I71"")"),0)</f>
        <v>0</v>
      </c>
      <c r="J780" s="293">
        <f ca="1">IFERROR(__xludf.DUMMYFUNCTION("IMPORTRANGE(""https://docs.google.com/spreadsheets/d/10OvvATaaLtwErnr3qtWFcTmtbfpFEt5Bsqel9sXx0uE/edit?usp=sharing"",""งานกองทุน!K71"")"),0)</f>
        <v>0</v>
      </c>
      <c r="K780" s="74">
        <f t="shared" ca="1" si="465"/>
        <v>0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IFERROR(__xludf.DUMMYFUNCTION("IMPORTRANGE(""https://docs.google.com/spreadsheets/d/10OvvATaaLtwErnr3qtWFcTmtbfpFEt5Bsqel9sXx0uE/edit?usp=sharing"",""งานกองทุน!H71"")"),0)</f>
        <v>0</v>
      </c>
      <c r="J781" s="293">
        <f ca="1">IFERROR(__xludf.DUMMYFUNCTION("IMPORTRANGE(""https://docs.google.com/spreadsheets/d/10OvvATaaLtwErnr3qtWFcTmtbfpFEt5Bsqel9sXx0uE/edit?usp=sharing"",""งานกองทุน!J71"")"),0)</f>
        <v>0</v>
      </c>
      <c r="K781" s="74">
        <f t="shared" ca="1" si="465"/>
        <v>0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IFERROR(__xludf.DUMMYFUNCTION("IMPORTRANGE(""https://docs.google.com/spreadsheets/d/10OvvATaaLtwErnr3qtWFcTmtbfpFEt5Bsqel9sXx0uE/edit?usp=sharing"",""งานกองทุน!N71"")"),49884.9)</f>
        <v>49884.9</v>
      </c>
      <c r="J782" s="293">
        <f ca="1">IFERROR(__xludf.DUMMYFUNCTION("IMPORTRANGE(""https://docs.google.com/spreadsheets/d/10OvvATaaLtwErnr3qtWFcTmtbfpFEt5Bsqel9sXx0uE/edit?usp=sharing"",""งานกองทุน!P71"")"),1050)</f>
        <v>1050</v>
      </c>
      <c r="K782" s="74">
        <f t="shared" ca="1" si="465"/>
        <v>2.1048453540049192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IFERROR(__xludf.DUMMYFUNCTION("IMPORTRANGE(""https://docs.google.com/spreadsheets/d/10OvvATaaLtwErnr3qtWFcTmtbfpFEt5Bsqel9sXx0uE/edit?usp=sharing"",""งานกองทุน!M71"")"),18)</f>
        <v>18</v>
      </c>
      <c r="J783" s="293">
        <f ca="1">IFERROR(__xludf.DUMMYFUNCTION("IMPORTRANGE(""https://docs.google.com/spreadsheets/d/10OvvATaaLtwErnr3qtWFcTmtbfpFEt5Bsqel9sXx0uE/edit?usp=sharing"",""งานกองทุน!O71"")"),1)</f>
        <v>1</v>
      </c>
      <c r="K783" s="74">
        <f t="shared" ca="1" si="465"/>
        <v>5.5555555555555554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IFERROR(__xludf.DUMMYFUNCTION("IMPORTRANGE(""https://docs.google.com/spreadsheets/d/10OvvATaaLtwErnr3qtWFcTmtbfpFEt5Bsqel9sXx0uE/edit?usp=sharing"",""งานกองทุน!S71"")"),588000)</f>
        <v>588000</v>
      </c>
      <c r="J784" s="293">
        <f ca="1">IFERROR(__xludf.DUMMYFUNCTION("IMPORTRANGE(""https://docs.google.com/spreadsheets/d/10OvvATaaLtwErnr3qtWFcTmtbfpFEt5Bsqel9sXx0uE/edit?usp=sharing"",""งานกองทุน!U71"")"),0)</f>
        <v>0</v>
      </c>
      <c r="K784" s="74">
        <f t="shared" ca="1" si="465"/>
        <v>0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IFERROR(__xludf.DUMMYFUNCTION("IMPORTRANGE(""https://docs.google.com/spreadsheets/d/10OvvATaaLtwErnr3qtWFcTmtbfpFEt5Bsqel9sXx0uE/edit?usp=sharing"",""งานกองทุน!R71"")"),21)</f>
        <v>21</v>
      </c>
      <c r="J785" s="786">
        <f ca="1">IFERROR(__xludf.DUMMYFUNCTION("IMPORTRANGE(""https://docs.google.com/spreadsheets/d/10OvvATaaLtwErnr3qtWFcTmtbfpFEt5Bsqel9sXx0uE/edit?usp=sharing"",""งานกองทุน!T71"")"),0)</f>
        <v>0</v>
      </c>
      <c r="K785" s="182">
        <f t="shared" ca="1" si="465"/>
        <v>0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3549E-6706-4DD9-BB72-A0D0617F1E23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5" width="10.8554687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357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9" t="s">
        <v>4</v>
      </c>
      <c r="B6" s="1385"/>
      <c r="C6" s="1385"/>
      <c r="D6" s="1385"/>
      <c r="E6" s="1385"/>
      <c r="F6" s="1385"/>
      <c r="G6" s="1386"/>
      <c r="H6" s="1284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8">
        <f t="shared" ref="L19:N19" ca="1" si="0">L20+L21</f>
        <v>2204925</v>
      </c>
      <c r="M19" s="59">
        <f t="shared" ca="1" si="0"/>
        <v>2229110</v>
      </c>
      <c r="N19" s="59">
        <f t="shared" ca="1" si="0"/>
        <v>1299612.1000000001</v>
      </c>
      <c r="O19" s="59">
        <f t="shared" ref="O19:O27" ca="1" si="1">IF(L19&gt;0,N19*100/L19,0)</f>
        <v>58.941329070149784</v>
      </c>
      <c r="P19" s="59">
        <f t="shared" ref="P19:P27" ca="1" si="2">IF(M19&gt;0,N19*100/M19,0)</f>
        <v>58.301837953263863</v>
      </c>
      <c r="Q19" s="59">
        <f t="shared" ref="Q19:S19" ca="1" si="3">Q20+Q21</f>
        <v>3066497.24</v>
      </c>
      <c r="R19" s="59">
        <f t="shared" ca="1" si="3"/>
        <v>3003997</v>
      </c>
      <c r="S19" s="59">
        <f t="shared" ca="1" si="3"/>
        <v>42010</v>
      </c>
      <c r="T19" s="59">
        <f t="shared" ref="T19:T27" ca="1" si="4">IF(Q19&gt;0,S19*100/Q19,0)</f>
        <v>1.3699669920459474</v>
      </c>
      <c r="U19" s="59">
        <f t="shared" ref="U19:U27" ca="1" si="5">IF(R19&gt;0,S19*100/R19,0)</f>
        <v>1.398470104996776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2">
        <f t="shared" ref="L20:N21" si="6">L23+L26</f>
        <v>0</v>
      </c>
      <c r="M20" s="63">
        <f t="shared" si="6"/>
        <v>0</v>
      </c>
      <c r="N20" s="63">
        <f t="shared" si="6"/>
        <v>0</v>
      </c>
      <c r="O20" s="63">
        <f t="shared" si="1"/>
        <v>0</v>
      </c>
      <c r="P20" s="63">
        <f t="shared" si="2"/>
        <v>0</v>
      </c>
      <c r="Q20" s="63">
        <f t="shared" ref="Q20:S21" si="7">Q23+Q26</f>
        <v>0</v>
      </c>
      <c r="R20" s="63">
        <f t="shared" si="7"/>
        <v>0</v>
      </c>
      <c r="S20" s="63">
        <f t="shared" si="7"/>
        <v>0</v>
      </c>
      <c r="T20" s="63">
        <f t="shared" si="4"/>
        <v>0</v>
      </c>
      <c r="U20" s="6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4">
        <f t="shared" ca="1" si="6"/>
        <v>2204925</v>
      </c>
      <c r="M21" s="65">
        <f t="shared" ca="1" si="6"/>
        <v>2229110</v>
      </c>
      <c r="N21" s="65">
        <f t="shared" ca="1" si="6"/>
        <v>1299612.1000000001</v>
      </c>
      <c r="O21" s="65">
        <f t="shared" ca="1" si="1"/>
        <v>58.941329070149784</v>
      </c>
      <c r="P21" s="65">
        <f t="shared" ca="1" si="2"/>
        <v>58.301837953263863</v>
      </c>
      <c r="Q21" s="65">
        <f t="shared" ca="1" si="7"/>
        <v>3066497.24</v>
      </c>
      <c r="R21" s="65">
        <f t="shared" ca="1" si="7"/>
        <v>3003997</v>
      </c>
      <c r="S21" s="65">
        <f t="shared" ca="1" si="7"/>
        <v>42010</v>
      </c>
      <c r="T21" s="65">
        <f t="shared" ca="1" si="4"/>
        <v>1.3699669920459474</v>
      </c>
      <c r="U21" s="65">
        <f t="shared" ca="1" si="5"/>
        <v>1.398470104996776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3">
        <f t="shared" ref="L22:N22" ca="1" si="8">L23+L24</f>
        <v>2204925</v>
      </c>
      <c r="M22" s="74">
        <f t="shared" ca="1" si="8"/>
        <v>2229110</v>
      </c>
      <c r="N22" s="74">
        <f t="shared" ca="1" si="8"/>
        <v>1299612.1000000001</v>
      </c>
      <c r="O22" s="74">
        <f t="shared" ca="1" si="1"/>
        <v>58.941329070149784</v>
      </c>
      <c r="P22" s="74">
        <f t="shared" ca="1" si="2"/>
        <v>58.301837953263863</v>
      </c>
      <c r="Q22" s="74">
        <f t="shared" ref="Q22:S22" ca="1" si="9">Q23+Q24</f>
        <v>3066497.24</v>
      </c>
      <c r="R22" s="74">
        <f t="shared" ca="1" si="9"/>
        <v>3003997</v>
      </c>
      <c r="S22" s="74">
        <f t="shared" ca="1" si="9"/>
        <v>42010</v>
      </c>
      <c r="T22" s="74">
        <f t="shared" ca="1" si="4"/>
        <v>1.3699669920459474</v>
      </c>
      <c r="U22" s="74">
        <f t="shared" ca="1" si="5"/>
        <v>1.398470104996776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6">
        <f t="shared" ref="L23:N24" si="10">L49+L64+L77+L99+L130+L144+L162+L191+L178+L271+L287+L308+L325+L338+L361+L518</f>
        <v>0</v>
      </c>
      <c r="M23" s="77">
        <f t="shared" si="10"/>
        <v>0</v>
      </c>
      <c r="N23" s="77">
        <f t="shared" si="10"/>
        <v>0</v>
      </c>
      <c r="O23" s="77">
        <f t="shared" si="1"/>
        <v>0</v>
      </c>
      <c r="P23" s="77">
        <f t="shared" si="2"/>
        <v>0</v>
      </c>
      <c r="Q23" s="77">
        <f t="shared" ref="Q23:S24" si="11">Q77+Q99+Q122+Q144+Q162+Q178+Q191+Q271+Q287+Q308+Q338+Q380+Q397+Q418+Q498+Q604+Q621+Q647+Q695+Q719+Q733+Q764</f>
        <v>0</v>
      </c>
      <c r="R23" s="77">
        <f t="shared" si="11"/>
        <v>0</v>
      </c>
      <c r="S23" s="77">
        <f t="shared" si="11"/>
        <v>0</v>
      </c>
      <c r="T23" s="77">
        <f t="shared" si="4"/>
        <v>0</v>
      </c>
      <c r="U23" s="77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3">
        <f t="shared" ca="1" si="10"/>
        <v>2204925</v>
      </c>
      <c r="M24" s="74">
        <f t="shared" ca="1" si="10"/>
        <v>2229110</v>
      </c>
      <c r="N24" s="74">
        <f t="shared" ca="1" si="10"/>
        <v>1299612.1000000001</v>
      </c>
      <c r="O24" s="74">
        <f t="shared" ca="1" si="1"/>
        <v>58.941329070149784</v>
      </c>
      <c r="P24" s="74">
        <f t="shared" ca="1" si="2"/>
        <v>58.301837953263863</v>
      </c>
      <c r="Q24" s="74">
        <f t="shared" ca="1" si="11"/>
        <v>3066497.24</v>
      </c>
      <c r="R24" s="74">
        <f t="shared" ca="1" si="11"/>
        <v>3003997</v>
      </c>
      <c r="S24" s="74">
        <f t="shared" ca="1" si="11"/>
        <v>42010</v>
      </c>
      <c r="T24" s="74">
        <f t="shared" ca="1" si="4"/>
        <v>1.3699669920459474</v>
      </c>
      <c r="U24" s="74">
        <f t="shared" ca="1" si="5"/>
        <v>1.398470104996776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3">
        <f t="shared" ref="L25:N25" ca="1" si="12">L26+L27</f>
        <v>0</v>
      </c>
      <c r="M25" s="74">
        <f t="shared" ca="1" si="12"/>
        <v>0</v>
      </c>
      <c r="N25" s="74">
        <f t="shared" ca="1" si="12"/>
        <v>0</v>
      </c>
      <c r="O25" s="74">
        <f t="shared" ca="1" si="1"/>
        <v>0</v>
      </c>
      <c r="P25" s="74">
        <f t="shared" ca="1" si="2"/>
        <v>0</v>
      </c>
      <c r="Q25" s="74">
        <f t="shared" ref="Q25:S25" si="13">Q26+Q27</f>
        <v>0</v>
      </c>
      <c r="R25" s="74">
        <f t="shared" si="13"/>
        <v>0</v>
      </c>
      <c r="S25" s="74">
        <f t="shared" si="13"/>
        <v>0</v>
      </c>
      <c r="T25" s="74">
        <f t="shared" si="4"/>
        <v>0</v>
      </c>
      <c r="U25" s="74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6">
        <f t="shared" ref="L26:N27" si="14">L52+L67+L80+L102+L133+L147+L165+L194+L181+L274+L290+L311+L328+L341+L364+L521</f>
        <v>0</v>
      </c>
      <c r="M26" s="77">
        <f t="shared" si="14"/>
        <v>0</v>
      </c>
      <c r="N26" s="77">
        <f t="shared" si="14"/>
        <v>0</v>
      </c>
      <c r="O26" s="77">
        <f t="shared" si="1"/>
        <v>0</v>
      </c>
      <c r="P26" s="77">
        <f t="shared" si="2"/>
        <v>0</v>
      </c>
      <c r="Q26" s="77">
        <f t="shared" ref="Q26:S27" si="15">Q80+Q102+Q125+Q147+Q165+Q181+Q194+Q274+Q290+Q311+Q341+Q383+Q400+Q421+Q501+Q607+Q624+Q650+Q698+Q722+Q736+Q767</f>
        <v>0</v>
      </c>
      <c r="R26" s="77">
        <f t="shared" si="15"/>
        <v>0</v>
      </c>
      <c r="S26" s="77">
        <f t="shared" si="15"/>
        <v>0</v>
      </c>
      <c r="T26" s="77">
        <f t="shared" si="4"/>
        <v>0</v>
      </c>
      <c r="U26" s="77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3">
        <f t="shared" ca="1" si="14"/>
        <v>0</v>
      </c>
      <c r="M27" s="74">
        <f t="shared" ca="1" si="14"/>
        <v>0</v>
      </c>
      <c r="N27" s="74">
        <f t="shared" ca="1" si="14"/>
        <v>0</v>
      </c>
      <c r="O27" s="74">
        <f t="shared" ca="1" si="1"/>
        <v>0</v>
      </c>
      <c r="P27" s="74">
        <f t="shared" ca="1" si="2"/>
        <v>0</v>
      </c>
      <c r="Q27" s="77">
        <f t="shared" si="15"/>
        <v>0</v>
      </c>
      <c r="R27" s="77">
        <f t="shared" si="15"/>
        <v>0</v>
      </c>
      <c r="S27" s="77">
        <f t="shared" si="15"/>
        <v>0</v>
      </c>
      <c r="T27" s="74">
        <f t="shared" si="4"/>
        <v>0</v>
      </c>
      <c r="U27" s="74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79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80">
        <f t="shared" ref="L41:N41" ca="1" si="16">L45+L60+L73+L95+L126+L140+L158+L174+L187+L267+L283+L304+L321+L334+L357</f>
        <v>2204925</v>
      </c>
      <c r="M41" s="1279">
        <f t="shared" ca="1" si="16"/>
        <v>2229110</v>
      </c>
      <c r="N41" s="1279">
        <f t="shared" ca="1" si="16"/>
        <v>1299612.1000000001</v>
      </c>
      <c r="O41" s="1279">
        <f ca="1">IF(L41&gt;0,N41*100/L41,0)</f>
        <v>58.941329070149784</v>
      </c>
      <c r="P41" s="1279">
        <f ca="1">IF(M41&gt;0,N41*100/M41,0)</f>
        <v>58.301837953263863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6">
        <f t="shared" ref="L45:N45" ca="1" si="17">L46+L47</f>
        <v>535550</v>
      </c>
      <c r="M45" s="1275">
        <f t="shared" ca="1" si="17"/>
        <v>538015</v>
      </c>
      <c r="N45" s="1275">
        <f t="shared" ca="1" si="17"/>
        <v>380531</v>
      </c>
      <c r="O45" s="1275">
        <f t="shared" ref="O45:O53" ca="1" si="18">IF(L45&gt;0,N45*100/L45,0)</f>
        <v>71.054243301279058</v>
      </c>
      <c r="P45" s="1275">
        <f t="shared" ref="P45:P53" ca="1" si="19">IF(M45&gt;0,N45*100/M45,0)</f>
        <v>70.728697155283768</v>
      </c>
      <c r="Q45" s="1275">
        <f t="shared" ref="Q45:S45" si="20">Q46+Q47</f>
        <v>0</v>
      </c>
      <c r="R45" s="1275">
        <f t="shared" si="20"/>
        <v>0</v>
      </c>
      <c r="S45" s="1275">
        <f t="shared" si="20"/>
        <v>0</v>
      </c>
      <c r="T45" s="1275">
        <f t="shared" ref="T45:T53" si="21">IF(Q45&gt;0,S45*100/Q45,0)</f>
        <v>0</v>
      </c>
      <c r="U45" s="1275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4">
        <f t="shared" ref="L46:N47" si="23">L49+L52</f>
        <v>0</v>
      </c>
      <c r="M46" s="1273">
        <f t="shared" si="23"/>
        <v>0</v>
      </c>
      <c r="N46" s="1273">
        <f t="shared" si="23"/>
        <v>0</v>
      </c>
      <c r="O46" s="1273">
        <f t="shared" si="18"/>
        <v>0</v>
      </c>
      <c r="P46" s="1273">
        <f t="shared" si="19"/>
        <v>0</v>
      </c>
      <c r="Q46" s="1273">
        <f t="shared" ref="Q46:S47" si="24">Q49+Q52</f>
        <v>0</v>
      </c>
      <c r="R46" s="1273">
        <f t="shared" si="24"/>
        <v>0</v>
      </c>
      <c r="S46" s="1273">
        <f t="shared" si="24"/>
        <v>0</v>
      </c>
      <c r="T46" s="1273">
        <f t="shared" si="21"/>
        <v>0</v>
      </c>
      <c r="U46" s="1273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2">
        <f t="shared" ca="1" si="23"/>
        <v>535550</v>
      </c>
      <c r="M47" s="1271">
        <f t="shared" ca="1" si="23"/>
        <v>538015</v>
      </c>
      <c r="N47" s="1271">
        <f t="shared" ca="1" si="23"/>
        <v>380531</v>
      </c>
      <c r="O47" s="1271">
        <f t="shared" ca="1" si="18"/>
        <v>71.054243301279058</v>
      </c>
      <c r="P47" s="1271">
        <f t="shared" ca="1" si="19"/>
        <v>70.728697155283768</v>
      </c>
      <c r="Q47" s="1271">
        <f t="shared" si="24"/>
        <v>0</v>
      </c>
      <c r="R47" s="1271">
        <f t="shared" si="24"/>
        <v>0</v>
      </c>
      <c r="S47" s="1271">
        <f t="shared" si="24"/>
        <v>0</v>
      </c>
      <c r="T47" s="1271">
        <f t="shared" si="21"/>
        <v>0</v>
      </c>
      <c r="U47" s="1271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3">
        <f t="shared" ref="L48:N48" ca="1" si="25">L49+L50</f>
        <v>535550</v>
      </c>
      <c r="M48" s="74">
        <f t="shared" ca="1" si="25"/>
        <v>538015</v>
      </c>
      <c r="N48" s="74">
        <f t="shared" ca="1" si="25"/>
        <v>380531</v>
      </c>
      <c r="O48" s="74">
        <f t="shared" ca="1" si="18"/>
        <v>71.054243301279058</v>
      </c>
      <c r="P48" s="74">
        <f t="shared" ca="1" si="19"/>
        <v>70.728697155283768</v>
      </c>
      <c r="Q48" s="74">
        <f t="shared" ref="Q48:S48" si="26">Q49+Q50</f>
        <v>0</v>
      </c>
      <c r="R48" s="74">
        <f t="shared" si="26"/>
        <v>0</v>
      </c>
      <c r="S48" s="74">
        <f t="shared" si="26"/>
        <v>0</v>
      </c>
      <c r="T48" s="74">
        <f t="shared" si="21"/>
        <v>0</v>
      </c>
      <c r="U48" s="74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77">
        <f t="shared" si="18"/>
        <v>0</v>
      </c>
      <c r="P49" s="77">
        <f t="shared" si="19"/>
        <v>0</v>
      </c>
      <c r="Q49" s="77">
        <v>0</v>
      </c>
      <c r="R49" s="77">
        <v>0</v>
      </c>
      <c r="S49" s="77">
        <v>0</v>
      </c>
      <c r="T49" s="77">
        <f t="shared" si="21"/>
        <v>0</v>
      </c>
      <c r="U49" s="77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3">
        <f ca="1">IFERROR(__xludf.DUMMYFUNCTION("IMPORTRANGE(""https://docs.google.com/spreadsheets/d/1-uDff_7J0KD5mKrp0Vvzr7lt3OU09vwQwhkpOPPYv2Y/edit?usp=sharing"",""งบพรบ!P72"")"),535550)</f>
        <v>535550</v>
      </c>
      <c r="M50" s="74">
        <f ca="1">IFERROR(__xludf.DUMMYFUNCTION("IMPORTRANGE(""https://docs.google.com/spreadsheets/d/1-uDff_7J0KD5mKrp0Vvzr7lt3OU09vwQwhkpOPPYv2Y/edit?usp=sharing"",""งบพรบ!V72"")"),538015)</f>
        <v>538015</v>
      </c>
      <c r="N50" s="74">
        <f ca="1">IFERROR(__xludf.DUMMYFUNCTION("IMPORTRANGE(""https://docs.google.com/spreadsheets/d/1-uDff_7J0KD5mKrp0Vvzr7lt3OU09vwQwhkpOPPYv2Y/edit?usp=sharing"",""งบพรบ!Y72"")"),380531)</f>
        <v>380531</v>
      </c>
      <c r="O50" s="74">
        <f t="shared" ca="1" si="18"/>
        <v>71.054243301279058</v>
      </c>
      <c r="P50" s="74">
        <f t="shared" ca="1" si="19"/>
        <v>70.728697155283768</v>
      </c>
      <c r="Q50" s="74">
        <v>0</v>
      </c>
      <c r="R50" s="74">
        <v>0</v>
      </c>
      <c r="S50" s="74">
        <v>0</v>
      </c>
      <c r="T50" s="74">
        <f t="shared" si="21"/>
        <v>0</v>
      </c>
      <c r="U50" s="74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3">
        <f t="shared" ref="L51:N51" ca="1" si="27">L52+L53</f>
        <v>0</v>
      </c>
      <c r="M51" s="74">
        <f t="shared" ca="1" si="27"/>
        <v>0</v>
      </c>
      <c r="N51" s="74">
        <f t="shared" ca="1" si="27"/>
        <v>0</v>
      </c>
      <c r="O51" s="74">
        <f t="shared" ca="1" si="18"/>
        <v>0</v>
      </c>
      <c r="P51" s="74">
        <f t="shared" ca="1" si="19"/>
        <v>0</v>
      </c>
      <c r="Q51" s="74">
        <f t="shared" ref="Q51:S51" si="28">Q52+Q53</f>
        <v>0</v>
      </c>
      <c r="R51" s="74">
        <f t="shared" si="28"/>
        <v>0</v>
      </c>
      <c r="S51" s="74">
        <f t="shared" si="28"/>
        <v>0</v>
      </c>
      <c r="T51" s="74">
        <f t="shared" si="21"/>
        <v>0</v>
      </c>
      <c r="U51" s="74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77">
        <f t="shared" si="18"/>
        <v>0</v>
      </c>
      <c r="P52" s="77">
        <f t="shared" si="19"/>
        <v>0</v>
      </c>
      <c r="Q52" s="77">
        <v>0</v>
      </c>
      <c r="R52" s="77">
        <v>0</v>
      </c>
      <c r="S52" s="77">
        <v>0</v>
      </c>
      <c r="T52" s="77">
        <f t="shared" si="21"/>
        <v>0</v>
      </c>
      <c r="U52" s="77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3">
        <f ca="1">IFERROR(__xludf.DUMMYFUNCTION("IMPORTRANGE(""https://docs.google.com/spreadsheets/d/1-uDff_7J0KD5mKrp0Vvzr7lt3OU09vwQwhkpOPPYv2Y/edit?usp=sharing"",""งบพรบ!S72"")"),0)</f>
        <v>0</v>
      </c>
      <c r="M53" s="74">
        <f ca="1">IFERROR(__xludf.DUMMYFUNCTION("IMPORTRANGE(""https://docs.google.com/spreadsheets/d/1-uDff_7J0KD5mKrp0Vvzr7lt3OU09vwQwhkpOPPYv2Y/edit?usp=sharing"",""งบพรบ!W72"")"),0)</f>
        <v>0</v>
      </c>
      <c r="N53" s="74">
        <f ca="1">IFERROR(__xludf.DUMMYFUNCTION("IMPORTRANGE(""https://docs.google.com/spreadsheets/d/1-uDff_7J0KD5mKrp0Vvzr7lt3OU09vwQwhkpOPPYv2Y/edit?usp=sharing"",""งบพรบ!Z72"")"),0)</f>
        <v>0</v>
      </c>
      <c r="O53" s="74">
        <f t="shared" ca="1" si="18"/>
        <v>0</v>
      </c>
      <c r="P53" s="74">
        <f t="shared" ca="1" si="19"/>
        <v>0</v>
      </c>
      <c r="Q53" s="74">
        <v>0</v>
      </c>
      <c r="R53" s="74">
        <v>0</v>
      </c>
      <c r="S53" s="74">
        <v>0</v>
      </c>
      <c r="T53" s="74">
        <f t="shared" si="21"/>
        <v>0</v>
      </c>
      <c r="U53" s="74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9">
        <f t="shared" ref="L60:N60" ca="1" si="29">L61+L62</f>
        <v>576900</v>
      </c>
      <c r="M60" s="1268">
        <f t="shared" ca="1" si="29"/>
        <v>576900</v>
      </c>
      <c r="N60" s="1268">
        <f t="shared" ca="1" si="29"/>
        <v>434794.71</v>
      </c>
      <c r="O60" s="1268">
        <f t="shared" ref="O60:O68" ca="1" si="30">IF(L60&gt;0,N60*100/L60,0)</f>
        <v>75.367431097243895</v>
      </c>
      <c r="P60" s="1268">
        <f t="shared" ref="P60:P68" ca="1" si="31">IF(M60&gt;0,N60*100/M60,0)</f>
        <v>75.367431097243895</v>
      </c>
      <c r="Q60" s="1268">
        <f t="shared" ref="Q60:S60" si="32">Q61+Q62</f>
        <v>0</v>
      </c>
      <c r="R60" s="1268">
        <f t="shared" si="32"/>
        <v>0</v>
      </c>
      <c r="S60" s="1268">
        <f t="shared" si="32"/>
        <v>0</v>
      </c>
      <c r="T60" s="1268">
        <f t="shared" ref="T60:T68" si="33">IF(Q60&gt;0,S60*100/Q60,0)</f>
        <v>0</v>
      </c>
      <c r="U60" s="1268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7">
        <f t="shared" ref="L61:N62" si="35">L64+L67</f>
        <v>0</v>
      </c>
      <c r="M61" s="1266">
        <f t="shared" si="35"/>
        <v>0</v>
      </c>
      <c r="N61" s="1266">
        <f t="shared" si="35"/>
        <v>0</v>
      </c>
      <c r="O61" s="1266">
        <f t="shared" si="30"/>
        <v>0</v>
      </c>
      <c r="P61" s="1266">
        <f t="shared" si="31"/>
        <v>0</v>
      </c>
      <c r="Q61" s="1266">
        <f t="shared" ref="Q61:S62" si="36">Q64+Q67</f>
        <v>0</v>
      </c>
      <c r="R61" s="1266">
        <f t="shared" si="36"/>
        <v>0</v>
      </c>
      <c r="S61" s="1266">
        <f t="shared" si="36"/>
        <v>0</v>
      </c>
      <c r="T61" s="1266">
        <f t="shared" si="33"/>
        <v>0</v>
      </c>
      <c r="U61" s="1266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5">
        <f t="shared" ca="1" si="35"/>
        <v>576900</v>
      </c>
      <c r="M62" s="1264">
        <f t="shared" ca="1" si="35"/>
        <v>576900</v>
      </c>
      <c r="N62" s="1264">
        <f t="shared" ca="1" si="35"/>
        <v>434794.71</v>
      </c>
      <c r="O62" s="1264">
        <f t="shared" ca="1" si="30"/>
        <v>75.367431097243895</v>
      </c>
      <c r="P62" s="1264">
        <f t="shared" ca="1" si="31"/>
        <v>75.367431097243895</v>
      </c>
      <c r="Q62" s="1264">
        <f t="shared" si="36"/>
        <v>0</v>
      </c>
      <c r="R62" s="1264">
        <f t="shared" si="36"/>
        <v>0</v>
      </c>
      <c r="S62" s="1264">
        <f t="shared" si="36"/>
        <v>0</v>
      </c>
      <c r="T62" s="1264">
        <f t="shared" si="33"/>
        <v>0</v>
      </c>
      <c r="U62" s="1264">
        <f t="shared" si="34"/>
        <v>0</v>
      </c>
    </row>
    <row r="63" spans="1:21" ht="18.75" x14ac:dyDescent="0.25">
      <c r="A63" s="847"/>
      <c r="B63" s="258"/>
      <c r="C63" s="258"/>
      <c r="D63" s="270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3">
        <f t="shared" ref="L63:N63" ca="1" si="37">L64+L65</f>
        <v>576900</v>
      </c>
      <c r="M63" s="74">
        <f t="shared" ca="1" si="37"/>
        <v>576900</v>
      </c>
      <c r="N63" s="74">
        <f t="shared" ca="1" si="37"/>
        <v>434794.71</v>
      </c>
      <c r="O63" s="74">
        <f t="shared" ca="1" si="30"/>
        <v>75.367431097243895</v>
      </c>
      <c r="P63" s="74">
        <f t="shared" ca="1" si="31"/>
        <v>75.367431097243895</v>
      </c>
      <c r="Q63" s="74">
        <f t="shared" ref="Q63:S63" si="38">Q64+Q65</f>
        <v>0</v>
      </c>
      <c r="R63" s="74">
        <f t="shared" si="38"/>
        <v>0</v>
      </c>
      <c r="S63" s="74">
        <f t="shared" si="38"/>
        <v>0</v>
      </c>
      <c r="T63" s="74">
        <f t="shared" si="33"/>
        <v>0</v>
      </c>
      <c r="U63" s="74">
        <f t="shared" si="34"/>
        <v>0</v>
      </c>
    </row>
    <row r="64" spans="1:21" ht="18.75" hidden="1" x14ac:dyDescent="0.25">
      <c r="A64" s="847"/>
      <c r="B64" s="258"/>
      <c r="C64" s="258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77">
        <f t="shared" si="30"/>
        <v>0</v>
      </c>
      <c r="P64" s="77">
        <f t="shared" si="31"/>
        <v>0</v>
      </c>
      <c r="Q64" s="77">
        <v>0</v>
      </c>
      <c r="R64" s="77">
        <v>0</v>
      </c>
      <c r="S64" s="77">
        <v>0</v>
      </c>
      <c r="T64" s="77">
        <f t="shared" si="33"/>
        <v>0</v>
      </c>
      <c r="U64" s="77">
        <f t="shared" si="34"/>
        <v>0</v>
      </c>
    </row>
    <row r="65" spans="1:21" ht="18.75" hidden="1" x14ac:dyDescent="0.25">
      <c r="A65" s="847"/>
      <c r="B65" s="258"/>
      <c r="C65" s="258"/>
      <c r="D65" s="258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3">
        <f ca="1">IFERROR(__xludf.DUMMYFUNCTION("IMPORTRANGE(""https://docs.google.com/spreadsheets/d/1-uDff_7J0KD5mKrp0Vvzr7lt3OU09vwQwhkpOPPYv2Y/edit?usp=sharing"",""งบพรบ!AC72"")"),576900)</f>
        <v>576900</v>
      </c>
      <c r="M65" s="74">
        <f ca="1">IFERROR(__xludf.DUMMYFUNCTION("IMPORTRANGE(""https://docs.google.com/spreadsheets/d/1-uDff_7J0KD5mKrp0Vvzr7lt3OU09vwQwhkpOPPYv2Y/edit?usp=sharing"",""งบพรบ!AH72"")"),576900)</f>
        <v>576900</v>
      </c>
      <c r="N65" s="74">
        <f ca="1">IFERROR(__xludf.DUMMYFUNCTION("IMPORTRANGE(""https://docs.google.com/spreadsheets/d/1-uDff_7J0KD5mKrp0Vvzr7lt3OU09vwQwhkpOPPYv2Y/edit?usp=sharing"",""งบพรบ!AJ72"")"),434794.71)</f>
        <v>434794.71</v>
      </c>
      <c r="O65" s="74">
        <f t="shared" ca="1" si="30"/>
        <v>75.367431097243895</v>
      </c>
      <c r="P65" s="74">
        <f t="shared" ca="1" si="31"/>
        <v>75.367431097243895</v>
      </c>
      <c r="Q65" s="74">
        <v>0</v>
      </c>
      <c r="R65" s="74">
        <v>0</v>
      </c>
      <c r="S65" s="74">
        <v>0</v>
      </c>
      <c r="T65" s="74">
        <f t="shared" si="33"/>
        <v>0</v>
      </c>
      <c r="U65" s="74">
        <f t="shared" si="34"/>
        <v>0</v>
      </c>
    </row>
    <row r="66" spans="1:21" ht="18.75" x14ac:dyDescent="0.25">
      <c r="A66" s="847"/>
      <c r="B66" s="258"/>
      <c r="C66" s="258"/>
      <c r="D66" s="270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3">
        <f t="shared" ref="L66:N66" ca="1" si="39">L67+L68</f>
        <v>0</v>
      </c>
      <c r="M66" s="74">
        <f t="shared" ca="1" si="39"/>
        <v>0</v>
      </c>
      <c r="N66" s="74">
        <f t="shared" ca="1" si="39"/>
        <v>0</v>
      </c>
      <c r="O66" s="74">
        <f t="shared" ca="1" si="30"/>
        <v>0</v>
      </c>
      <c r="P66" s="74">
        <f t="shared" ca="1" si="31"/>
        <v>0</v>
      </c>
      <c r="Q66" s="74">
        <f t="shared" ref="Q66:S66" si="40">Q67+Q68</f>
        <v>0</v>
      </c>
      <c r="R66" s="74">
        <f t="shared" si="40"/>
        <v>0</v>
      </c>
      <c r="S66" s="74">
        <f t="shared" si="40"/>
        <v>0</v>
      </c>
      <c r="T66" s="74">
        <f t="shared" si="33"/>
        <v>0</v>
      </c>
      <c r="U66" s="74">
        <f t="shared" si="34"/>
        <v>0</v>
      </c>
    </row>
    <row r="67" spans="1:21" ht="18.75" hidden="1" x14ac:dyDescent="0.25">
      <c r="A67" s="847"/>
      <c r="B67" s="258"/>
      <c r="C67" s="258"/>
      <c r="D67" s="258"/>
      <c r="E67" s="265" t="s">
        <v>20</v>
      </c>
      <c r="F67" s="258"/>
      <c r="G67" s="261"/>
      <c r="H67" s="840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77">
        <f t="shared" si="30"/>
        <v>0</v>
      </c>
      <c r="P67" s="77">
        <f t="shared" si="31"/>
        <v>0</v>
      </c>
      <c r="Q67" s="77">
        <v>0</v>
      </c>
      <c r="R67" s="77">
        <v>0</v>
      </c>
      <c r="S67" s="77">
        <v>0</v>
      </c>
      <c r="T67" s="77">
        <f t="shared" si="33"/>
        <v>0</v>
      </c>
      <c r="U67" s="77">
        <f t="shared" si="34"/>
        <v>0</v>
      </c>
    </row>
    <row r="68" spans="1:21" ht="18.75" hidden="1" x14ac:dyDescent="0.25">
      <c r="A68" s="848"/>
      <c r="B68" s="636"/>
      <c r="C68" s="636"/>
      <c r="D68" s="636"/>
      <c r="E68" s="849" t="s">
        <v>21</v>
      </c>
      <c r="F68" s="636"/>
      <c r="G68" s="637"/>
      <c r="H68" s="850" t="s">
        <v>14</v>
      </c>
      <c r="I68" s="631"/>
      <c r="J68" s="631"/>
      <c r="K68" s="98"/>
      <c r="L68" s="181">
        <f ca="1">IFERROR(__xludf.DUMMYFUNCTION("IMPORTRANGE(""https://docs.google.com/spreadsheets/d/1-uDff_7J0KD5mKrp0Vvzr7lt3OU09vwQwhkpOPPYv2Y/edit?usp=sharing"",""งบพรบ!AF72"")"),0)</f>
        <v>0</v>
      </c>
      <c r="M68" s="182">
        <f ca="1">IFERROR(__xludf.DUMMYFUNCTION("IMPORTRANGE(""https://docs.google.com/spreadsheets/d/1-uDff_7J0KD5mKrp0Vvzr7lt3OU09vwQwhkpOPPYv2Y/edit?usp=sharing"",""งบพรบ!AI72"")"),0)</f>
        <v>0</v>
      </c>
      <c r="N68" s="182">
        <f ca="1">IFERROR(__xludf.DUMMYFUNCTION("IMPORTRANGE(""https://docs.google.com/spreadsheets/d/1-uDff_7J0KD5mKrp0Vvzr7lt3OU09vwQwhkpOPPYv2Y/edit?usp=sharing"",""งบพรบ!AK72"")"),0)</f>
        <v>0</v>
      </c>
      <c r="O68" s="182">
        <f t="shared" ca="1" si="30"/>
        <v>0</v>
      </c>
      <c r="P68" s="182">
        <f t="shared" ca="1" si="31"/>
        <v>0</v>
      </c>
      <c r="Q68" s="182">
        <v>0</v>
      </c>
      <c r="R68" s="182">
        <v>0</v>
      </c>
      <c r="S68" s="182">
        <v>0</v>
      </c>
      <c r="T68" s="182">
        <f t="shared" si="33"/>
        <v>0</v>
      </c>
      <c r="U68" s="182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7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x14ac:dyDescent="0.3">
      <c r="A70" s="1099" t="s">
        <v>32</v>
      </c>
      <c r="B70" s="691"/>
      <c r="C70" s="693"/>
      <c r="D70" s="691"/>
      <c r="E70" s="691"/>
      <c r="F70" s="691"/>
      <c r="G70" s="1100"/>
      <c r="H70" s="1100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19.5" x14ac:dyDescent="0.3">
      <c r="A71" s="250"/>
      <c r="B71" s="251" t="s">
        <v>33</v>
      </c>
      <c r="C71" s="252"/>
      <c r="D71" s="253"/>
      <c r="E71" s="252"/>
      <c r="F71" s="252"/>
      <c r="G71" s="254"/>
      <c r="H71" s="1296" t="s">
        <v>34</v>
      </c>
      <c r="I71" s="256">
        <f t="shared" ref="I71:J72" ca="1" si="41">I83</f>
        <v>2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x14ac:dyDescent="0.3">
      <c r="A72" s="250"/>
      <c r="B72" s="252"/>
      <c r="C72" s="252"/>
      <c r="D72" s="253"/>
      <c r="E72" s="252"/>
      <c r="F72" s="252"/>
      <c r="G72" s="254"/>
      <c r="H72" s="1296" t="s">
        <v>35</v>
      </c>
      <c r="I72" s="256">
        <f t="shared" ca="1" si="41"/>
        <v>70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1257">
        <f t="shared" ref="L73:N73" ca="1" si="43">L74+L75</f>
        <v>98000</v>
      </c>
      <c r="M73" s="264">
        <f t="shared" ca="1" si="43"/>
        <v>98000</v>
      </c>
      <c r="N73" s="264">
        <f t="shared" ca="1" si="43"/>
        <v>0</v>
      </c>
      <c r="O73" s="264">
        <f t="shared" ref="O73:O81" ca="1" si="44">IF(L73&gt;0,N73*100/L73,0)</f>
        <v>0</v>
      </c>
      <c r="P73" s="264">
        <f t="shared" ref="P73:P81" ca="1" si="45">IF(M73&gt;0,N73*100/M73,0)</f>
        <v>0</v>
      </c>
      <c r="Q73" s="264">
        <f t="shared" ref="Q73:S73" ca="1" si="46">Q74+Q75</f>
        <v>1739300</v>
      </c>
      <c r="R73" s="264">
        <f t="shared" ca="1" si="46"/>
        <v>1739300</v>
      </c>
      <c r="S73" s="264">
        <f t="shared" ca="1" si="46"/>
        <v>0</v>
      </c>
      <c r="T73" s="264">
        <f t="shared" ref="T73:T81" ca="1" si="47">IF(Q73&gt;0,S73*100/Q73,0)</f>
        <v>0</v>
      </c>
      <c r="U73" s="264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6">
        <f t="shared" ref="L74:N75" si="49">L77+L80</f>
        <v>0</v>
      </c>
      <c r="M74" s="77">
        <f t="shared" si="49"/>
        <v>0</v>
      </c>
      <c r="N74" s="77">
        <f t="shared" si="49"/>
        <v>0</v>
      </c>
      <c r="O74" s="77">
        <f t="shared" si="44"/>
        <v>0</v>
      </c>
      <c r="P74" s="77">
        <f t="shared" si="45"/>
        <v>0</v>
      </c>
      <c r="Q74" s="77">
        <f t="shared" ref="Q74:S75" si="50">Q77+Q80</f>
        <v>0</v>
      </c>
      <c r="R74" s="77">
        <f t="shared" si="50"/>
        <v>0</v>
      </c>
      <c r="S74" s="77">
        <f t="shared" si="50"/>
        <v>0</v>
      </c>
      <c r="T74" s="77">
        <f t="shared" si="47"/>
        <v>0</v>
      </c>
      <c r="U74" s="77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3">
        <f t="shared" ca="1" si="49"/>
        <v>98000</v>
      </c>
      <c r="M75" s="74">
        <f t="shared" ca="1" si="49"/>
        <v>98000</v>
      </c>
      <c r="N75" s="74">
        <f t="shared" ca="1" si="49"/>
        <v>0</v>
      </c>
      <c r="O75" s="74">
        <f t="shared" ca="1" si="44"/>
        <v>0</v>
      </c>
      <c r="P75" s="74">
        <f t="shared" ca="1" si="45"/>
        <v>0</v>
      </c>
      <c r="Q75" s="74">
        <f t="shared" ca="1" si="50"/>
        <v>1739300</v>
      </c>
      <c r="R75" s="74">
        <f t="shared" ca="1" si="50"/>
        <v>1739300</v>
      </c>
      <c r="S75" s="74">
        <f t="shared" ca="1" si="50"/>
        <v>0</v>
      </c>
      <c r="T75" s="74">
        <f t="shared" ca="1" si="47"/>
        <v>0</v>
      </c>
      <c r="U75" s="74">
        <f t="shared" ca="1" si="48"/>
        <v>0</v>
      </c>
    </row>
    <row r="76" spans="1:21" ht="18.75" x14ac:dyDescent="0.25">
      <c r="A76" s="257"/>
      <c r="B76" s="258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3">
        <f t="shared" ref="L76:N76" ca="1" si="51">L77+L78</f>
        <v>98000</v>
      </c>
      <c r="M76" s="74">
        <f t="shared" ca="1" si="51"/>
        <v>98000</v>
      </c>
      <c r="N76" s="74">
        <f t="shared" ca="1" si="51"/>
        <v>0</v>
      </c>
      <c r="O76" s="74">
        <f t="shared" ca="1" si="44"/>
        <v>0</v>
      </c>
      <c r="P76" s="74">
        <f t="shared" ca="1" si="45"/>
        <v>0</v>
      </c>
      <c r="Q76" s="74">
        <f t="shared" ref="Q76:S76" ca="1" si="52">Q77+Q78</f>
        <v>1739300</v>
      </c>
      <c r="R76" s="74">
        <f t="shared" ca="1" si="52"/>
        <v>1739300</v>
      </c>
      <c r="S76" s="74">
        <f t="shared" ca="1" si="52"/>
        <v>0</v>
      </c>
      <c r="T76" s="74">
        <f t="shared" ca="1" si="47"/>
        <v>0</v>
      </c>
      <c r="U76" s="74">
        <f t="shared" ca="1" si="48"/>
        <v>0</v>
      </c>
    </row>
    <row r="77" spans="1:21" ht="18.75" hidden="1" x14ac:dyDescent="0.25">
      <c r="A77" s="257"/>
      <c r="B77" s="258"/>
      <c r="C77" s="258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77">
        <f t="shared" si="44"/>
        <v>0</v>
      </c>
      <c r="P77" s="77">
        <f t="shared" si="45"/>
        <v>0</v>
      </c>
      <c r="Q77" s="77">
        <v>0</v>
      </c>
      <c r="R77" s="77">
        <v>0</v>
      </c>
      <c r="S77" s="77">
        <v>0</v>
      </c>
      <c r="T77" s="77">
        <f t="shared" si="47"/>
        <v>0</v>
      </c>
      <c r="U77" s="77">
        <f t="shared" si="48"/>
        <v>0</v>
      </c>
    </row>
    <row r="78" spans="1:21" ht="18.75" hidden="1" x14ac:dyDescent="0.25">
      <c r="A78" s="257"/>
      <c r="B78" s="258"/>
      <c r="C78" s="258"/>
      <c r="D78" s="258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3">
        <f ca="1">IFERROR(__xludf.DUMMYFUNCTION("IMPORTRANGE(""https://docs.google.com/spreadsheets/d/1-uDff_7J0KD5mKrp0Vvzr7lt3OU09vwQwhkpOPPYv2Y/edit?usp=sharing"",""งบพรบ!AM72"")"),98000)</f>
        <v>98000</v>
      </c>
      <c r="M78" s="74">
        <f ca="1">IFERROR(__xludf.DUMMYFUNCTION("IMPORTRANGE(""https://docs.google.com/spreadsheets/d/1-uDff_7J0KD5mKrp0Vvzr7lt3OU09vwQwhkpOPPYv2Y/edit?usp=sharing"",""งบพรบ!AR72"")"),98000)</f>
        <v>98000</v>
      </c>
      <c r="N78" s="74">
        <f ca="1">IFERROR(__xludf.DUMMYFUNCTION("IMPORTRANGE(""https://docs.google.com/spreadsheets/d/1-uDff_7J0KD5mKrp0Vvzr7lt3OU09vwQwhkpOPPYv2Y/edit?usp=sharing"",""งบพรบ!AT72"")"),0)</f>
        <v>0</v>
      </c>
      <c r="O78" s="74">
        <f t="shared" ca="1" si="44"/>
        <v>0</v>
      </c>
      <c r="P78" s="74">
        <f t="shared" ca="1" si="45"/>
        <v>0</v>
      </c>
      <c r="Q78" s="74">
        <f ca="1">IFERROR(__xludf.DUMMYFUNCTION("IMPORTRANGE(""https://docs.google.com/spreadsheets/d/1ItG2mGa2ceCfYo0BwxsXqNm01IGEUdYcSSLTEv9YCik/edit?usp=sharing"",""เบิกจ่ายกองทุน!AS72"")"),1739300)</f>
        <v>1739300</v>
      </c>
      <c r="R78" s="74">
        <f ca="1">IFERROR(__xludf.DUMMYFUNCTION("IMPORTRANGE(""https://docs.google.com/spreadsheets/d/1ItG2mGa2ceCfYo0BwxsXqNm01IGEUdYcSSLTEv9YCik/edit?usp=sharing"",""เบิกจ่ายกองทุน!AT72"")"),1739300)</f>
        <v>1739300</v>
      </c>
      <c r="S78" s="74">
        <f ca="1">IFERROR(__xludf.DUMMYFUNCTION("IMPORTRANGE(""https://docs.google.com/spreadsheets/d/1ItG2mGa2ceCfYo0BwxsXqNm01IGEUdYcSSLTEv9YCik/edit?usp=sharing"",""เบิกจ่ายกองทุน!AU72"")"),0)</f>
        <v>0</v>
      </c>
      <c r="T78" s="74">
        <f t="shared" ca="1" si="47"/>
        <v>0</v>
      </c>
      <c r="U78" s="74">
        <f t="shared" ca="1" si="48"/>
        <v>0</v>
      </c>
    </row>
    <row r="79" spans="1:21" ht="18.75" x14ac:dyDescent="0.25">
      <c r="A79" s="257"/>
      <c r="B79" s="258"/>
      <c r="C79" s="258"/>
      <c r="D79" s="270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3">
        <f t="shared" ref="L79:N79" ca="1" si="53">L80+L81</f>
        <v>0</v>
      </c>
      <c r="M79" s="74">
        <f t="shared" ca="1" si="53"/>
        <v>0</v>
      </c>
      <c r="N79" s="74">
        <f t="shared" ca="1" si="53"/>
        <v>0</v>
      </c>
      <c r="O79" s="74">
        <f t="shared" ca="1" si="44"/>
        <v>0</v>
      </c>
      <c r="P79" s="74">
        <f t="shared" ca="1" si="45"/>
        <v>0</v>
      </c>
      <c r="Q79" s="74">
        <f t="shared" ref="Q79:S79" si="54">Q80+Q81</f>
        <v>0</v>
      </c>
      <c r="R79" s="74">
        <f t="shared" si="54"/>
        <v>0</v>
      </c>
      <c r="S79" s="74">
        <f t="shared" si="54"/>
        <v>0</v>
      </c>
      <c r="T79" s="74">
        <f t="shared" si="47"/>
        <v>0</v>
      </c>
      <c r="U79" s="74">
        <f t="shared" si="48"/>
        <v>0</v>
      </c>
    </row>
    <row r="80" spans="1:21" ht="18.75" hidden="1" x14ac:dyDescent="0.25">
      <c r="A80" s="257"/>
      <c r="B80" s="258"/>
      <c r="C80" s="258"/>
      <c r="D80" s="258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77">
        <f t="shared" si="44"/>
        <v>0</v>
      </c>
      <c r="P80" s="77">
        <f t="shared" si="45"/>
        <v>0</v>
      </c>
      <c r="Q80" s="77">
        <v>0</v>
      </c>
      <c r="R80" s="74">
        <v>0</v>
      </c>
      <c r="S80" s="74">
        <v>0</v>
      </c>
      <c r="T80" s="77">
        <f t="shared" si="47"/>
        <v>0</v>
      </c>
      <c r="U80" s="77">
        <f t="shared" si="48"/>
        <v>0</v>
      </c>
    </row>
    <row r="81" spans="1:21" ht="18.75" hidden="1" x14ac:dyDescent="0.25">
      <c r="A81" s="257"/>
      <c r="B81" s="258"/>
      <c r="C81" s="258"/>
      <c r="D81" s="258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3">
        <f ca="1">IFERROR(__xludf.DUMMYFUNCTION("IMPORTRANGE(""https://docs.google.com/spreadsheets/d/1-uDff_7J0KD5mKrp0Vvzr7lt3OU09vwQwhkpOPPYv2Y/edit?usp=sharing"",""งบพรบ!AP72"")"),0)</f>
        <v>0</v>
      </c>
      <c r="M81" s="74">
        <f ca="1">IFERROR(__xludf.DUMMYFUNCTION("IMPORTRANGE(""https://docs.google.com/spreadsheets/d/1-uDff_7J0KD5mKrp0Vvzr7lt3OU09vwQwhkpOPPYv2Y/edit?usp=sharing"",""งบพรบ!AS72"")"),0)</f>
        <v>0</v>
      </c>
      <c r="N81" s="74">
        <f ca="1">IFERROR(__xludf.DUMMYFUNCTION("IMPORTRANGE(""https://docs.google.com/spreadsheets/d/1-uDff_7J0KD5mKrp0Vvzr7lt3OU09vwQwhkpOPPYv2Y/edit?usp=sharing"",""งบพรบ!AU72"")"),0)</f>
        <v>0</v>
      </c>
      <c r="O81" s="74">
        <f t="shared" ca="1" si="44"/>
        <v>0</v>
      </c>
      <c r="P81" s="74">
        <f t="shared" ca="1" si="45"/>
        <v>0</v>
      </c>
      <c r="Q81" s="74">
        <v>0</v>
      </c>
      <c r="R81" s="74">
        <v>0</v>
      </c>
      <c r="S81" s="74">
        <v>0</v>
      </c>
      <c r="T81" s="74">
        <f t="shared" si="47"/>
        <v>0</v>
      </c>
      <c r="U81" s="74">
        <f t="shared" si="48"/>
        <v>0</v>
      </c>
    </row>
    <row r="82" spans="1:21" ht="19.5" x14ac:dyDescent="0.3">
      <c r="A82" s="276"/>
      <c r="B82" s="277"/>
      <c r="C82" s="259" t="s">
        <v>18</v>
      </c>
      <c r="D82" s="1019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x14ac:dyDescent="0.3">
      <c r="A83" s="276"/>
      <c r="B83" s="277"/>
      <c r="C83" s="277"/>
      <c r="D83" s="767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2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70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IFERROR(__xludf.DUMMYFUNCTION("IMPORTRANGE(""https://docs.google.com/spreadsheets/d/1eHaY18a8A9IcSdp1K8H6x8fbOy06t2VsZHhMHf-1x7Y/edit?usp=sharing"",""แผน!H72"")"),0)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IFERROR(__xludf.DUMMYFUNCTION("IMPORTRANGE(""https://docs.google.com/spreadsheets/d/1eHaY18a8A9IcSdp1K8H6x8fbOy06t2VsZHhMHf-1x7Y/edit?usp=sharing"",""แผน!I72"")"),0)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IFERROR(__xludf.DUMMYFUNCTION("IMPORTRANGE(""https://docs.google.com/spreadsheets/d/1eHaY18a8A9IcSdp1K8H6x8fbOy06t2VsZHhMHf-1x7Y/edit?usp=sharing"",""แผน!F72"")"),2)</f>
        <v>2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IFERROR(__xludf.DUMMYFUNCTION("IMPORTRANGE(""https://docs.google.com/spreadsheets/d/1eHaY18a8A9IcSdp1K8H6x8fbOy06t2VsZHhMHf-1x7Y/edit?usp=sharing"",""แผน!G72"")"),70)</f>
        <v>70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x14ac:dyDescent="0.25">
      <c r="A89" s="276"/>
      <c r="B89" s="277"/>
      <c r="C89" s="277"/>
      <c r="D89" s="277"/>
      <c r="E89" s="295" t="s">
        <v>42</v>
      </c>
      <c r="F89" s="296"/>
      <c r="G89" s="282"/>
      <c r="H89" s="299" t="s">
        <v>34</v>
      </c>
      <c r="I89" s="298">
        <f ca="1">IFERROR(__xludf.DUMMYFUNCTION("IMPORTRANGE(""https://docs.google.com/spreadsheets/d/1eHaY18a8A9IcSdp1K8H6x8fbOy06t2VsZHhMHf-1x7Y/edit?usp=sharing"",""แผน!D72"")"),0)</f>
        <v>0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x14ac:dyDescent="0.25">
      <c r="A90" s="276"/>
      <c r="B90" s="277"/>
      <c r="C90" s="277"/>
      <c r="D90" s="277"/>
      <c r="E90" s="296"/>
      <c r="F90" s="296"/>
      <c r="G90" s="282"/>
      <c r="H90" s="299" t="s">
        <v>35</v>
      </c>
      <c r="I90" s="298">
        <f ca="1">IFERROR(__xludf.DUMMYFUNCTION("IMPORTRANGE(""https://docs.google.com/spreadsheets/d/1eHaY18a8A9IcSdp1K8H6x8fbOy06t2VsZHhMHf-1x7Y/edit?usp=sharing"",""แผน!E72"")"),0)</f>
        <v>0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x14ac:dyDescent="0.25">
      <c r="A91" s="276"/>
      <c r="B91" s="277"/>
      <c r="C91" s="277"/>
      <c r="D91" s="767" t="s">
        <v>43</v>
      </c>
      <c r="E91" s="296"/>
      <c r="F91" s="296"/>
      <c r="G91" s="282"/>
      <c r="H91" s="1165" t="s">
        <v>34</v>
      </c>
      <c r="I91" s="298">
        <f ca="1">IFERROR(__xludf.DUMMYFUNCTION("IMPORTRANGE(""https://docs.google.com/spreadsheets/d/1eHaY18a8A9IcSdp1K8H6x8fbOy06t2VsZHhMHf-1x7Y/edit?usp=sharing"",""แผน!J72"")"),2)</f>
        <v>2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hidden="1" x14ac:dyDescent="0.3">
      <c r="A92" s="1099" t="s">
        <v>44</v>
      </c>
      <c r="B92" s="691"/>
      <c r="C92" s="693"/>
      <c r="D92" s="691"/>
      <c r="E92" s="691"/>
      <c r="F92" s="691"/>
      <c r="G92" s="1100"/>
      <c r="H92" s="1100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hidden="1" x14ac:dyDescent="0.3">
      <c r="A93" s="250"/>
      <c r="B93" s="251" t="s">
        <v>45</v>
      </c>
      <c r="C93" s="252"/>
      <c r="D93" s="253"/>
      <c r="E93" s="252"/>
      <c r="F93" s="252"/>
      <c r="G93" s="254"/>
      <c r="H93" s="1296" t="s">
        <v>46</v>
      </c>
      <c r="I93" s="256">
        <f t="shared" ref="I93:J94" ca="1" si="57">I109</f>
        <v>0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hidden="1" x14ac:dyDescent="0.3">
      <c r="A94" s="250"/>
      <c r="B94" s="252"/>
      <c r="C94" s="252"/>
      <c r="D94" s="253"/>
      <c r="E94" s="252"/>
      <c r="F94" s="252"/>
      <c r="G94" s="254"/>
      <c r="H94" s="1296" t="s">
        <v>35</v>
      </c>
      <c r="I94" s="256">
        <f t="shared" ca="1" si="57"/>
        <v>0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hidden="1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1257">
        <f t="shared" ref="L95:N95" ca="1" si="59">L96+L97</f>
        <v>0</v>
      </c>
      <c r="M95" s="264">
        <f t="shared" ca="1" si="59"/>
        <v>0</v>
      </c>
      <c r="N95" s="264">
        <f t="shared" ca="1" si="59"/>
        <v>0</v>
      </c>
      <c r="O95" s="264">
        <f t="shared" ref="O95:O103" ca="1" si="60">IF(L95&gt;0,N95*100/L95,0)</f>
        <v>0</v>
      </c>
      <c r="P95" s="264">
        <f t="shared" ref="P95:P103" ca="1" si="61">IF(M95&gt;0,N95*100/M95,0)</f>
        <v>0</v>
      </c>
      <c r="Q95" s="264">
        <f t="shared" ref="Q95:S95" ca="1" si="62">Q96+Q97</f>
        <v>0</v>
      </c>
      <c r="R95" s="264">
        <f t="shared" ca="1" si="62"/>
        <v>0</v>
      </c>
      <c r="S95" s="264">
        <f t="shared" ca="1" si="62"/>
        <v>0</v>
      </c>
      <c r="T95" s="264">
        <f t="shared" ref="T95:T103" ca="1" si="63">IF(Q95&gt;0,S95*100/Q95,0)</f>
        <v>0</v>
      </c>
      <c r="U95" s="264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6">
        <f t="shared" ref="L96:N97" si="65">L99+L102</f>
        <v>0</v>
      </c>
      <c r="M96" s="77">
        <f t="shared" si="65"/>
        <v>0</v>
      </c>
      <c r="N96" s="77">
        <f t="shared" si="65"/>
        <v>0</v>
      </c>
      <c r="O96" s="77">
        <f t="shared" si="60"/>
        <v>0</v>
      </c>
      <c r="P96" s="77">
        <f t="shared" si="61"/>
        <v>0</v>
      </c>
      <c r="Q96" s="77">
        <f t="shared" ref="Q96:S97" si="66">Q99+Q102</f>
        <v>0</v>
      </c>
      <c r="R96" s="77">
        <f t="shared" si="66"/>
        <v>0</v>
      </c>
      <c r="S96" s="77">
        <f t="shared" si="66"/>
        <v>0</v>
      </c>
      <c r="T96" s="77">
        <f t="shared" si="63"/>
        <v>0</v>
      </c>
      <c r="U96" s="77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3">
        <f t="shared" ca="1" si="65"/>
        <v>0</v>
      </c>
      <c r="M97" s="74">
        <f t="shared" ca="1" si="65"/>
        <v>0</v>
      </c>
      <c r="N97" s="74">
        <f t="shared" ca="1" si="65"/>
        <v>0</v>
      </c>
      <c r="O97" s="74">
        <f t="shared" ca="1" si="60"/>
        <v>0</v>
      </c>
      <c r="P97" s="74">
        <f t="shared" ca="1" si="61"/>
        <v>0</v>
      </c>
      <c r="Q97" s="74">
        <f t="shared" ca="1" si="66"/>
        <v>0</v>
      </c>
      <c r="R97" s="74">
        <f t="shared" ca="1" si="66"/>
        <v>0</v>
      </c>
      <c r="S97" s="74">
        <f t="shared" ca="1" si="66"/>
        <v>0</v>
      </c>
      <c r="T97" s="74">
        <f t="shared" ca="1" si="63"/>
        <v>0</v>
      </c>
      <c r="U97" s="74">
        <f t="shared" ca="1" si="64"/>
        <v>0</v>
      </c>
    </row>
    <row r="98" spans="1:21" ht="18.75" hidden="1" x14ac:dyDescent="0.25">
      <c r="A98" s="257"/>
      <c r="B98" s="258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3">
        <f t="shared" ref="L98:N98" ca="1" si="67">L99+L100</f>
        <v>0</v>
      </c>
      <c r="M98" s="74">
        <f t="shared" ca="1" si="67"/>
        <v>0</v>
      </c>
      <c r="N98" s="74">
        <f t="shared" ca="1" si="67"/>
        <v>0</v>
      </c>
      <c r="O98" s="74">
        <f t="shared" ca="1" si="60"/>
        <v>0</v>
      </c>
      <c r="P98" s="74">
        <f t="shared" ca="1" si="61"/>
        <v>0</v>
      </c>
      <c r="Q98" s="74">
        <f t="shared" ref="Q98:S98" ca="1" si="68">Q99+Q100</f>
        <v>0</v>
      </c>
      <c r="R98" s="74">
        <f t="shared" ca="1" si="68"/>
        <v>0</v>
      </c>
      <c r="S98" s="74">
        <f t="shared" ca="1" si="68"/>
        <v>0</v>
      </c>
      <c r="T98" s="74">
        <f t="shared" ca="1" si="63"/>
        <v>0</v>
      </c>
      <c r="U98" s="74">
        <f t="shared" ca="1" si="64"/>
        <v>0</v>
      </c>
    </row>
    <row r="99" spans="1:21" ht="18.75" hidden="1" x14ac:dyDescent="0.25">
      <c r="A99" s="257"/>
      <c r="B99" s="258"/>
      <c r="C99" s="258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77">
        <f t="shared" si="60"/>
        <v>0</v>
      </c>
      <c r="P99" s="77">
        <f t="shared" si="61"/>
        <v>0</v>
      </c>
      <c r="Q99" s="77">
        <v>0</v>
      </c>
      <c r="R99" s="77">
        <v>0</v>
      </c>
      <c r="S99" s="77">
        <v>0</v>
      </c>
      <c r="T99" s="77">
        <f t="shared" si="63"/>
        <v>0</v>
      </c>
      <c r="U99" s="77">
        <f t="shared" si="64"/>
        <v>0</v>
      </c>
    </row>
    <row r="100" spans="1:21" ht="18.75" hidden="1" x14ac:dyDescent="0.25">
      <c r="A100" s="257"/>
      <c r="B100" s="258"/>
      <c r="C100" s="258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3">
        <f ca="1">IFERROR(__xludf.DUMMYFUNCTION("IMPORTRANGE(""https://docs.google.com/spreadsheets/d/1-uDff_7J0KD5mKrp0Vvzr7lt3OU09vwQwhkpOPPYv2Y/edit?usp=sharing"",""งบพรบ!AW72"")"),0)</f>
        <v>0</v>
      </c>
      <c r="M100" s="74">
        <f ca="1">IFERROR(__xludf.DUMMYFUNCTION("IMPORTRANGE(""https://docs.google.com/spreadsheets/d/1-uDff_7J0KD5mKrp0Vvzr7lt3OU09vwQwhkpOPPYv2Y/edit?usp=sharing"",""งบพรบ!BB72"")"),0)</f>
        <v>0</v>
      </c>
      <c r="N100" s="74">
        <f ca="1">IFERROR(__xludf.DUMMYFUNCTION("IMPORTRANGE(""https://docs.google.com/spreadsheets/d/1-uDff_7J0KD5mKrp0Vvzr7lt3OU09vwQwhkpOPPYv2Y/edit?usp=sharing"",""งบพรบ!BD72"")"),0)</f>
        <v>0</v>
      </c>
      <c r="O100" s="74">
        <f t="shared" ca="1" si="60"/>
        <v>0</v>
      </c>
      <c r="P100" s="74">
        <f t="shared" ca="1" si="61"/>
        <v>0</v>
      </c>
      <c r="Q100" s="74">
        <f ca="1">IFERROR(__xludf.DUMMYFUNCTION("IMPORTRANGE(""https://docs.google.com/spreadsheets/d/1ItG2mGa2ceCfYo0BwxsXqNm01IGEUdYcSSLTEv9YCik/edit?usp=sharing"",""เบิกจ่ายกองทุน!AD72"")"),0)</f>
        <v>0</v>
      </c>
      <c r="R100" s="74">
        <f ca="1">IFERROR(__xludf.DUMMYFUNCTION("IMPORTRANGE(""https://docs.google.com/spreadsheets/d/1ItG2mGa2ceCfYo0BwxsXqNm01IGEUdYcSSLTEv9YCik/edit?usp=sharing"",""เบิกจ่ายกองทุน!AE72"")"),0)</f>
        <v>0</v>
      </c>
      <c r="S100" s="74">
        <f ca="1">IFERROR(__xludf.DUMMYFUNCTION("IMPORTRANGE(""https://docs.google.com/spreadsheets/d/1ItG2mGa2ceCfYo0BwxsXqNm01IGEUdYcSSLTEv9YCik/edit?usp=sharing"",""เบิกจ่ายกองทุน!AF72"")"),0)</f>
        <v>0</v>
      </c>
      <c r="T100" s="74">
        <f t="shared" ca="1" si="63"/>
        <v>0</v>
      </c>
      <c r="U100" s="74">
        <f t="shared" ca="1" si="64"/>
        <v>0</v>
      </c>
    </row>
    <row r="101" spans="1:21" ht="18.75" hidden="1" x14ac:dyDescent="0.25">
      <c r="A101" s="257"/>
      <c r="B101" s="258"/>
      <c r="C101" s="258"/>
      <c r="D101" s="270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3">
        <f t="shared" ref="L101:N101" ca="1" si="69">L102+L103</f>
        <v>0</v>
      </c>
      <c r="M101" s="74">
        <f t="shared" ca="1" si="69"/>
        <v>0</v>
      </c>
      <c r="N101" s="74">
        <f t="shared" ca="1" si="69"/>
        <v>0</v>
      </c>
      <c r="O101" s="74">
        <f t="shared" ca="1" si="60"/>
        <v>0</v>
      </c>
      <c r="P101" s="74">
        <f t="shared" ca="1" si="61"/>
        <v>0</v>
      </c>
      <c r="Q101" s="74">
        <f t="shared" ref="Q101:S101" si="70">Q102+Q103</f>
        <v>0</v>
      </c>
      <c r="R101" s="74">
        <f t="shared" si="70"/>
        <v>0</v>
      </c>
      <c r="S101" s="74">
        <f t="shared" si="70"/>
        <v>0</v>
      </c>
      <c r="T101" s="74">
        <f t="shared" si="63"/>
        <v>0</v>
      </c>
      <c r="U101" s="74">
        <f t="shared" si="64"/>
        <v>0</v>
      </c>
    </row>
    <row r="102" spans="1:21" ht="18.75" hidden="1" x14ac:dyDescent="0.25">
      <c r="A102" s="257"/>
      <c r="B102" s="258"/>
      <c r="C102" s="258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77">
        <f t="shared" si="60"/>
        <v>0</v>
      </c>
      <c r="P102" s="77">
        <f t="shared" si="61"/>
        <v>0</v>
      </c>
      <c r="Q102" s="77">
        <v>0</v>
      </c>
      <c r="R102" s="77">
        <v>0</v>
      </c>
      <c r="S102" s="77">
        <v>0</v>
      </c>
      <c r="T102" s="77">
        <f t="shared" si="63"/>
        <v>0</v>
      </c>
      <c r="U102" s="77">
        <f t="shared" si="64"/>
        <v>0</v>
      </c>
    </row>
    <row r="103" spans="1:21" ht="18.75" hidden="1" x14ac:dyDescent="0.25">
      <c r="A103" s="257"/>
      <c r="B103" s="258"/>
      <c r="C103" s="258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3">
        <f ca="1">IFERROR(__xludf.DUMMYFUNCTION("IMPORTRANGE(""https://docs.google.com/spreadsheets/d/1-uDff_7J0KD5mKrp0Vvzr7lt3OU09vwQwhkpOPPYv2Y/edit?usp=sharing"",""งบพรบ!AZ72"")"),0)</f>
        <v>0</v>
      </c>
      <c r="M103" s="74">
        <f ca="1">IFERROR(__xludf.DUMMYFUNCTION("IMPORTRANGE(""https://docs.google.com/spreadsheets/d/1-uDff_7J0KD5mKrp0Vvzr7lt3OU09vwQwhkpOPPYv2Y/edit?usp=sharing"",""งบพรบ!BC72"")"),0)</f>
        <v>0</v>
      </c>
      <c r="N103" s="74">
        <f ca="1">IFERROR(__xludf.DUMMYFUNCTION("IMPORTRANGE(""https://docs.google.com/spreadsheets/d/1-uDff_7J0KD5mKrp0Vvzr7lt3OU09vwQwhkpOPPYv2Y/edit?usp=sharing"",""งบพรบ!BE72"")"),0)</f>
        <v>0</v>
      </c>
      <c r="O103" s="74">
        <f t="shared" ca="1" si="60"/>
        <v>0</v>
      </c>
      <c r="P103" s="74">
        <f t="shared" ca="1" si="61"/>
        <v>0</v>
      </c>
      <c r="Q103" s="74">
        <v>0</v>
      </c>
      <c r="R103" s="74">
        <v>0</v>
      </c>
      <c r="S103" s="74">
        <v>0</v>
      </c>
      <c r="T103" s="74">
        <f t="shared" si="63"/>
        <v>0</v>
      </c>
      <c r="U103" s="74">
        <f t="shared" si="64"/>
        <v>0</v>
      </c>
    </row>
    <row r="104" spans="1:21" ht="19.5" hidden="1" x14ac:dyDescent="0.3">
      <c r="A104" s="276"/>
      <c r="B104" s="277"/>
      <c r="C104" s="259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hidden="1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IFERROR(__xludf.DUMMYFUNCTION("IMPORTRANGE(""https://docs.google.com/spreadsheets/d/1eHaY18a8A9IcSdp1K8H6x8fbOy06t2VsZHhMHf-1x7Y/edit?usp=sharing"",""แผน!N72"")"),0)</f>
        <v>0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hidden="1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IFERROR(__xludf.DUMMYFUNCTION("IMPORTRANGE(""https://docs.google.com/spreadsheets/d/1eHaY18a8A9IcSdp1K8H6x8fbOy06t2VsZHhMHf-1x7Y/edit?usp=sharing"",""แผน!O72"")"),0)</f>
        <v>0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5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2.75" hidden="1" x14ac:dyDescent="0.2">
      <c r="A114" s="283"/>
      <c r="B114" s="284"/>
      <c r="C114" s="284"/>
      <c r="D114" s="285"/>
      <c r="E114" s="285"/>
      <c r="F114" s="285"/>
      <c r="G114" s="286"/>
      <c r="H114" s="286"/>
      <c r="I114" s="287">
        <v>0</v>
      </c>
      <c r="J114" s="287">
        <v>0</v>
      </c>
      <c r="K114" s="30"/>
      <c r="L114" s="29"/>
      <c r="M114" s="30"/>
      <c r="N114" s="30"/>
      <c r="O114" s="30"/>
      <c r="P114" s="30"/>
      <c r="Q114" s="30"/>
      <c r="R114" s="30"/>
      <c r="S114" s="30"/>
      <c r="T114" s="30"/>
      <c r="U114" s="30"/>
    </row>
    <row r="115" spans="1:21" ht="18.75" hidden="1" x14ac:dyDescent="0.25">
      <c r="A115" s="276"/>
      <c r="B115" s="277"/>
      <c r="C115" s="277"/>
      <c r="D115" s="295" t="s">
        <v>50</v>
      </c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IFERROR(__xludf.DUMMYFUNCTION("IMPORTRANGE(""https://docs.google.com/spreadsheets/d/1eHaY18a8A9IcSdp1K8H6x8fbOy06t2VsZHhMHf-1x7Y/edit?usp=sharing"",""แผน!R72"")"),0)</f>
        <v>0</v>
      </c>
      <c r="J115" s="294">
        <v>0</v>
      </c>
      <c r="K115" s="74">
        <f ca="1">IF(I115&gt;0,J115*100/I115,0)</f>
        <v>0</v>
      </c>
      <c r="L115" s="86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243" t="s">
        <v>51</v>
      </c>
      <c r="B116" s="245"/>
      <c r="C116" s="300"/>
      <c r="D116" s="244"/>
      <c r="E116" s="244"/>
      <c r="F116" s="244"/>
      <c r="G116" s="244"/>
      <c r="H116" s="245"/>
      <c r="I116" s="301"/>
      <c r="J116" s="301"/>
      <c r="K116" s="302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50"/>
      <c r="B117" s="303" t="s">
        <v>52</v>
      </c>
      <c r="C117" s="304"/>
      <c r="D117" s="253"/>
      <c r="E117" s="252"/>
      <c r="F117" s="252"/>
      <c r="G117" s="254"/>
      <c r="H117" s="305" t="s">
        <v>35</v>
      </c>
      <c r="I117" s="256">
        <f t="shared" ref="I117:J117" ca="1" si="72">I128</f>
        <v>20</v>
      </c>
      <c r="J117" s="256">
        <f t="shared" si="72"/>
        <v>0</v>
      </c>
      <c r="K117" s="59">
        <f ca="1">IF(I117&gt;0,J117*100/I117,0)</f>
        <v>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69"/>
      <c r="C118" s="621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1257">
        <f t="shared" ref="L118:N118" ca="1" si="73">L119+L120</f>
        <v>0</v>
      </c>
      <c r="M118" s="264">
        <f t="shared" ca="1" si="73"/>
        <v>0</v>
      </c>
      <c r="N118" s="264">
        <f t="shared" ca="1" si="73"/>
        <v>0</v>
      </c>
      <c r="O118" s="264">
        <f t="shared" ref="O118:O126" ca="1" si="74">IF(L118&gt;0,N118*100/L118,0)</f>
        <v>0</v>
      </c>
      <c r="P118" s="264">
        <f t="shared" ref="P118:P126" ca="1" si="75">IF(M118&gt;0,N118*100/M118,0)</f>
        <v>0</v>
      </c>
      <c r="Q118" s="264">
        <f t="shared" ref="Q118:S118" ca="1" si="76">Q119+Q120</f>
        <v>209360</v>
      </c>
      <c r="R118" s="264">
        <f t="shared" ca="1" si="76"/>
        <v>209360</v>
      </c>
      <c r="S118" s="264">
        <f t="shared" ca="1" si="76"/>
        <v>27650</v>
      </c>
      <c r="T118" s="264">
        <f t="shared" ref="T118:T126" ca="1" si="77">IF(Q118&gt;0,S118*100/Q118,0)</f>
        <v>13.206916316392816</v>
      </c>
      <c r="U118" s="264">
        <f t="shared" ref="U118:U126" ca="1" si="78">IF(R118&gt;0,S118*100/R118,0)</f>
        <v>13.206916316392816</v>
      </c>
    </row>
    <row r="119" spans="1:21" ht="18.75" hidden="1" x14ac:dyDescent="0.25">
      <c r="A119" s="257"/>
      <c r="B119" s="269"/>
      <c r="C119" s="269"/>
      <c r="D119" s="269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6">
        <f t="shared" ref="L119:N120" si="79">L122+L125</f>
        <v>0</v>
      </c>
      <c r="M119" s="77">
        <f t="shared" si="79"/>
        <v>0</v>
      </c>
      <c r="N119" s="77">
        <f t="shared" si="79"/>
        <v>0</v>
      </c>
      <c r="O119" s="77">
        <f t="shared" si="74"/>
        <v>0</v>
      </c>
      <c r="P119" s="77">
        <f t="shared" si="75"/>
        <v>0</v>
      </c>
      <c r="Q119" s="77">
        <f t="shared" ref="Q119:S120" si="80">Q122+Q125</f>
        <v>0</v>
      </c>
      <c r="R119" s="77">
        <f t="shared" si="80"/>
        <v>0</v>
      </c>
      <c r="S119" s="77">
        <f t="shared" si="80"/>
        <v>0</v>
      </c>
      <c r="T119" s="77">
        <f t="shared" si="77"/>
        <v>0</v>
      </c>
      <c r="U119" s="77">
        <f t="shared" si="78"/>
        <v>0</v>
      </c>
    </row>
    <row r="120" spans="1:21" ht="18.75" hidden="1" x14ac:dyDescent="0.25">
      <c r="A120" s="257"/>
      <c r="B120" s="269"/>
      <c r="C120" s="269"/>
      <c r="D120" s="269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3">
        <f t="shared" ca="1" si="79"/>
        <v>0</v>
      </c>
      <c r="M120" s="74">
        <f t="shared" ca="1" si="79"/>
        <v>0</v>
      </c>
      <c r="N120" s="74">
        <f t="shared" ca="1" si="79"/>
        <v>0</v>
      </c>
      <c r="O120" s="74">
        <f t="shared" ca="1" si="74"/>
        <v>0</v>
      </c>
      <c r="P120" s="74">
        <f t="shared" ca="1" si="75"/>
        <v>0</v>
      </c>
      <c r="Q120" s="74">
        <f t="shared" ca="1" si="80"/>
        <v>209360</v>
      </c>
      <c r="R120" s="74">
        <f t="shared" ca="1" si="80"/>
        <v>209360</v>
      </c>
      <c r="S120" s="74">
        <f t="shared" ca="1" si="80"/>
        <v>27650</v>
      </c>
      <c r="T120" s="74">
        <f t="shared" ca="1" si="77"/>
        <v>13.206916316392816</v>
      </c>
      <c r="U120" s="74">
        <f t="shared" ca="1" si="78"/>
        <v>13.206916316392816</v>
      </c>
    </row>
    <row r="121" spans="1:21" ht="18.75" x14ac:dyDescent="0.25">
      <c r="A121" s="257"/>
      <c r="B121" s="269"/>
      <c r="C121" s="306"/>
      <c r="D121" s="967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3">
        <f t="shared" ref="L121:N121" ca="1" si="81">L122+L123</f>
        <v>0</v>
      </c>
      <c r="M121" s="74">
        <f t="shared" ca="1" si="81"/>
        <v>0</v>
      </c>
      <c r="N121" s="74">
        <f t="shared" ca="1" si="81"/>
        <v>0</v>
      </c>
      <c r="O121" s="74">
        <f t="shared" ca="1" si="74"/>
        <v>0</v>
      </c>
      <c r="P121" s="74">
        <f t="shared" ca="1" si="75"/>
        <v>0</v>
      </c>
      <c r="Q121" s="74">
        <f t="shared" ref="Q121:S121" ca="1" si="82">Q122+Q123</f>
        <v>209360</v>
      </c>
      <c r="R121" s="74">
        <f t="shared" ca="1" si="82"/>
        <v>209360</v>
      </c>
      <c r="S121" s="74">
        <f t="shared" ca="1" si="82"/>
        <v>27650</v>
      </c>
      <c r="T121" s="74">
        <f t="shared" ca="1" si="77"/>
        <v>13.206916316392816</v>
      </c>
      <c r="U121" s="74">
        <f t="shared" ca="1" si="78"/>
        <v>13.206916316392816</v>
      </c>
    </row>
    <row r="122" spans="1:21" ht="18.75" hidden="1" x14ac:dyDescent="0.25">
      <c r="A122" s="257"/>
      <c r="B122" s="269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77">
        <f t="shared" si="74"/>
        <v>0</v>
      </c>
      <c r="P122" s="77">
        <f t="shared" si="75"/>
        <v>0</v>
      </c>
      <c r="Q122" s="77">
        <v>0</v>
      </c>
      <c r="R122" s="77">
        <v>0</v>
      </c>
      <c r="S122" s="77">
        <v>0</v>
      </c>
      <c r="T122" s="77">
        <f t="shared" si="77"/>
        <v>0</v>
      </c>
      <c r="U122" s="77">
        <f t="shared" si="78"/>
        <v>0</v>
      </c>
    </row>
    <row r="123" spans="1:21" ht="18.75" hidden="1" x14ac:dyDescent="0.25">
      <c r="A123" s="257"/>
      <c r="B123" s="269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3">
        <f ca="1">IFERROR(__xludf.DUMMYFUNCTION("IMPORTRANGE(""https://docs.google.com/spreadsheets/d/1-uDff_7J0KD5mKrp0Vvzr7lt3OU09vwQwhkpOPPYv2Y/edit?usp=sharing"",""งบพรบ!BG72"")"),0)</f>
        <v>0</v>
      </c>
      <c r="M123" s="74">
        <f ca="1">IFERROR(__xludf.DUMMYFUNCTION("IMPORTRANGE(""https://docs.google.com/spreadsheets/d/1-uDff_7J0KD5mKrp0Vvzr7lt3OU09vwQwhkpOPPYv2Y/edit?usp=sharing"",""งบพรบ!BL72"")"),0)</f>
        <v>0</v>
      </c>
      <c r="N123" s="74">
        <f ca="1">IFERROR(__xludf.DUMMYFUNCTION("IMPORTRANGE(""https://docs.google.com/spreadsheets/d/1-uDff_7J0KD5mKrp0Vvzr7lt3OU09vwQwhkpOPPYv2Y/edit?usp=sharing"",""งบพรบ!BN72"")"),0)</f>
        <v>0</v>
      </c>
      <c r="O123" s="74">
        <f t="shared" ca="1" si="74"/>
        <v>0</v>
      </c>
      <c r="P123" s="74">
        <f t="shared" ca="1" si="75"/>
        <v>0</v>
      </c>
      <c r="Q123" s="74">
        <f ca="1">IFERROR(__xludf.DUMMYFUNCTION("IMPORTRANGE(""https://docs.google.com/spreadsheets/d/1ItG2mGa2ceCfYo0BwxsXqNm01IGEUdYcSSLTEv9YCik/edit?usp=sharing"",""เบิกจ่ายกองทุน!R72"")"),209360)</f>
        <v>209360</v>
      </c>
      <c r="R123" s="74">
        <f ca="1">IFERROR(__xludf.DUMMYFUNCTION("IMPORTRANGE(""https://docs.google.com/spreadsheets/d/1ItG2mGa2ceCfYo0BwxsXqNm01IGEUdYcSSLTEv9YCik/edit?usp=sharing"",""เบิกจ่ายกองทุน!S72"")"),209360)</f>
        <v>209360</v>
      </c>
      <c r="S123" s="74">
        <f ca="1">IFERROR(__xludf.DUMMYFUNCTION("IMPORTRANGE(""https://docs.google.com/spreadsheets/d/1ItG2mGa2ceCfYo0BwxsXqNm01IGEUdYcSSLTEv9YCik/edit?usp=sharing"",""เบิกจ่ายกองทุน!T72"")"),27650)</f>
        <v>27650</v>
      </c>
      <c r="T123" s="74">
        <f t="shared" ca="1" si="77"/>
        <v>13.206916316392816</v>
      </c>
      <c r="U123" s="74">
        <f t="shared" ca="1" si="78"/>
        <v>13.206916316392816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3">
        <f t="shared" ref="L124:N124" ca="1" si="83">L125+L126</f>
        <v>0</v>
      </c>
      <c r="M124" s="74">
        <f t="shared" ca="1" si="83"/>
        <v>0</v>
      </c>
      <c r="N124" s="74">
        <f t="shared" ca="1" si="83"/>
        <v>0</v>
      </c>
      <c r="O124" s="74">
        <f t="shared" ca="1" si="74"/>
        <v>0</v>
      </c>
      <c r="P124" s="74">
        <f t="shared" ca="1" si="75"/>
        <v>0</v>
      </c>
      <c r="Q124" s="74">
        <f t="shared" ref="Q124:S124" si="84">Q125+Q126</f>
        <v>0</v>
      </c>
      <c r="R124" s="74">
        <f t="shared" si="84"/>
        <v>0</v>
      </c>
      <c r="S124" s="74">
        <f t="shared" si="84"/>
        <v>0</v>
      </c>
      <c r="T124" s="74">
        <f t="shared" si="77"/>
        <v>0</v>
      </c>
      <c r="U124" s="74">
        <f t="shared" si="78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77">
        <f t="shared" si="74"/>
        <v>0</v>
      </c>
      <c r="P125" s="77">
        <f t="shared" si="75"/>
        <v>0</v>
      </c>
      <c r="Q125" s="77">
        <v>0</v>
      </c>
      <c r="R125" s="77">
        <v>0</v>
      </c>
      <c r="S125" s="77">
        <v>0</v>
      </c>
      <c r="T125" s="77">
        <f t="shared" si="77"/>
        <v>0</v>
      </c>
      <c r="U125" s="77">
        <f t="shared" si="78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3">
        <f ca="1">IFERROR(__xludf.DUMMYFUNCTION("IMPORTRANGE(""https://docs.google.com/spreadsheets/d/1-uDff_7J0KD5mKrp0Vvzr7lt3OU09vwQwhkpOPPYv2Y/edit?usp=sharing"",""งบพรบ!BJ72"")"),0)</f>
        <v>0</v>
      </c>
      <c r="M126" s="74">
        <f ca="1">IFERROR(__xludf.DUMMYFUNCTION("IMPORTRANGE(""https://docs.google.com/spreadsheets/d/1-uDff_7J0KD5mKrp0Vvzr7lt3OU09vwQwhkpOPPYv2Y/edit?usp=sharing"",""งบพรบ!BM72"")"),0)</f>
        <v>0</v>
      </c>
      <c r="N126" s="74">
        <f ca="1">IFERROR(__xludf.DUMMYFUNCTION("IMPORTRANGE(""https://docs.google.com/spreadsheets/d/1-uDff_7J0KD5mKrp0Vvzr7lt3OU09vwQwhkpOPPYv2Y/edit?usp=sharing"",""งบพรบ!BO72"")"),0)</f>
        <v>0</v>
      </c>
      <c r="O126" s="74">
        <f t="shared" ca="1" si="74"/>
        <v>0</v>
      </c>
      <c r="P126" s="74">
        <f t="shared" ca="1" si="75"/>
        <v>0</v>
      </c>
      <c r="Q126" s="74">
        <v>0</v>
      </c>
      <c r="R126" s="74">
        <v>0</v>
      </c>
      <c r="S126" s="74">
        <v>0</v>
      </c>
      <c r="T126" s="74">
        <f t="shared" si="77"/>
        <v>0</v>
      </c>
      <c r="U126" s="74">
        <f t="shared" si="78"/>
        <v>0</v>
      </c>
    </row>
    <row r="127" spans="1:21" ht="19.5" x14ac:dyDescent="0.3">
      <c r="A127" s="276"/>
      <c r="B127" s="277"/>
      <c r="C127" s="309" t="s">
        <v>18</v>
      </c>
      <c r="D127" s="1019" t="s">
        <v>38</v>
      </c>
      <c r="E127" s="280"/>
      <c r="F127" s="280"/>
      <c r="G127" s="281"/>
      <c r="H127" s="310"/>
      <c r="I127" s="263"/>
      <c r="J127" s="263"/>
      <c r="K127" s="87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IFERROR(__xludf.DUMMYFUNCTION("IMPORTRANGE(""https://docs.google.com/spreadsheets/d/1eHaY18a8A9IcSdp1K8H6x8fbOy06t2VsZHhMHf-1x7Y/edit?usp=sharing"",""แผน!FF72"")"),20)</f>
        <v>20</v>
      </c>
      <c r="J128" s="294">
        <v>0</v>
      </c>
      <c r="K128" s="74">
        <f t="shared" ref="K128:K131" ca="1" si="85">IF(I128&gt;0,J128*100/I128,0)</f>
        <v>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IFERROR(__xludf.DUMMYFUNCTION("IMPORTRANGE(""https://docs.google.com/spreadsheets/d/1eHaY18a8A9IcSdp1K8H6x8fbOy06t2VsZHhMHf-1x7Y/edit?usp=sharing"",""แผน!FG72"")"),0)</f>
        <v>0</v>
      </c>
      <c r="J129" s="294">
        <v>0</v>
      </c>
      <c r="K129" s="74">
        <f t="shared" ca="1" si="85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29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IFERROR(__xludf.DUMMYFUNCTION("IMPORTRANGE(""https://docs.google.com/spreadsheets/d/1eHaY18a8A9IcSdp1K8H6x8fbOy06t2VsZHhMHf-1x7Y/edit?usp=sharing"",""แผน!FH72"")"),20)</f>
        <v>20</v>
      </c>
      <c r="J130" s="294">
        <v>0</v>
      </c>
      <c r="K130" s="74">
        <f t="shared" ca="1" si="85"/>
        <v>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96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IFERROR(__xludf.DUMMYFUNCTION("IMPORTRANGE(""https://docs.google.com/spreadsheets/d/1eHaY18a8A9IcSdp1K8H6x8fbOy06t2VsZHhMHf-1x7Y/edit?usp=sharing"",""แผน!FI72"")"),0)</f>
        <v>0</v>
      </c>
      <c r="J131" s="294">
        <v>0</v>
      </c>
      <c r="K131" s="74">
        <f t="shared" ca="1" si="85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311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311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hidden="1" x14ac:dyDescent="0.3">
      <c r="A135" s="1099" t="s">
        <v>58</v>
      </c>
      <c r="B135" s="691"/>
      <c r="C135" s="692"/>
      <c r="D135" s="691"/>
      <c r="E135" s="691"/>
      <c r="F135" s="691"/>
      <c r="G135" s="691"/>
      <c r="H135" s="691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hidden="1" x14ac:dyDescent="0.3">
      <c r="A136" s="250"/>
      <c r="B136" s="251" t="s">
        <v>59</v>
      </c>
      <c r="C136" s="304"/>
      <c r="D136" s="253"/>
      <c r="E136" s="252"/>
      <c r="F136" s="252"/>
      <c r="G136" s="252"/>
      <c r="H136" s="252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hidden="1" x14ac:dyDescent="0.3">
      <c r="A137" s="250"/>
      <c r="B137" s="252"/>
      <c r="C137" s="1112" t="s">
        <v>60</v>
      </c>
      <c r="D137" s="253"/>
      <c r="E137" s="252"/>
      <c r="F137" s="252"/>
      <c r="G137" s="254"/>
      <c r="H137" s="1296" t="s">
        <v>61</v>
      </c>
      <c r="I137" s="256">
        <f t="shared" ref="I137:J137" ca="1" si="86">I155</f>
        <v>0</v>
      </c>
      <c r="J137" s="256">
        <f t="shared" si="86"/>
        <v>0</v>
      </c>
      <c r="K137" s="59">
        <f t="shared" ref="K137:K139" ca="1" si="87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hidden="1" x14ac:dyDescent="0.3">
      <c r="A138" s="250"/>
      <c r="B138" s="252"/>
      <c r="C138" s="1112" t="s">
        <v>62</v>
      </c>
      <c r="D138" s="253"/>
      <c r="E138" s="252"/>
      <c r="F138" s="252"/>
      <c r="G138" s="254"/>
      <c r="H138" s="1296" t="s">
        <v>35</v>
      </c>
      <c r="I138" s="256">
        <f t="shared" ref="I138:J139" ca="1" si="88">I153</f>
        <v>0</v>
      </c>
      <c r="J138" s="256">
        <f t="shared" si="88"/>
        <v>0</v>
      </c>
      <c r="K138" s="59">
        <f t="shared" ca="1" si="87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hidden="1" x14ac:dyDescent="0.3">
      <c r="A139" s="250"/>
      <c r="B139" s="252"/>
      <c r="C139" s="304"/>
      <c r="D139" s="253"/>
      <c r="E139" s="252"/>
      <c r="F139" s="252"/>
      <c r="G139" s="254"/>
      <c r="H139" s="1296" t="s">
        <v>54</v>
      </c>
      <c r="I139" s="256">
        <f t="shared" ca="1" si="88"/>
        <v>0</v>
      </c>
      <c r="J139" s="256">
        <f t="shared" si="88"/>
        <v>0</v>
      </c>
      <c r="K139" s="59">
        <f t="shared" ca="1" si="87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hidden="1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1257">
        <f t="shared" ref="L140:N140" ca="1" si="89">L141+L142</f>
        <v>0</v>
      </c>
      <c r="M140" s="264">
        <f t="shared" ca="1" si="89"/>
        <v>0</v>
      </c>
      <c r="N140" s="264">
        <f t="shared" ca="1" si="89"/>
        <v>0</v>
      </c>
      <c r="O140" s="264">
        <f t="shared" ref="O140:O148" ca="1" si="90">IF(L140&gt;0,N140*100/L140,0)</f>
        <v>0</v>
      </c>
      <c r="P140" s="264">
        <f t="shared" ref="P140:P148" ca="1" si="91">IF(M140&gt;0,N140*100/M140,0)</f>
        <v>0</v>
      </c>
      <c r="Q140" s="264">
        <f t="shared" ref="Q140:S140" ca="1" si="92">Q141+Q142</f>
        <v>0</v>
      </c>
      <c r="R140" s="264">
        <f t="shared" ca="1" si="92"/>
        <v>0</v>
      </c>
      <c r="S140" s="264">
        <f t="shared" ca="1" si="92"/>
        <v>0</v>
      </c>
      <c r="T140" s="264">
        <f t="shared" ref="T140:T148" ca="1" si="93">IF(Q140&gt;0,S140*100/Q140,0)</f>
        <v>0</v>
      </c>
      <c r="U140" s="264">
        <f t="shared" ref="U140:U148" ca="1" si="94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6">
        <f t="shared" ref="L141:N142" si="95">L144+L147</f>
        <v>0</v>
      </c>
      <c r="M141" s="77">
        <f t="shared" si="95"/>
        <v>0</v>
      </c>
      <c r="N141" s="77">
        <f t="shared" si="95"/>
        <v>0</v>
      </c>
      <c r="O141" s="77">
        <f t="shared" si="90"/>
        <v>0</v>
      </c>
      <c r="P141" s="77">
        <f t="shared" si="91"/>
        <v>0</v>
      </c>
      <c r="Q141" s="77">
        <f t="shared" ref="Q141:S142" si="96">Q144+Q147</f>
        <v>0</v>
      </c>
      <c r="R141" s="77">
        <f t="shared" si="96"/>
        <v>0</v>
      </c>
      <c r="S141" s="77">
        <f t="shared" si="96"/>
        <v>0</v>
      </c>
      <c r="T141" s="77">
        <f t="shared" si="93"/>
        <v>0</v>
      </c>
      <c r="U141" s="77">
        <f t="shared" si="94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3">
        <f t="shared" ca="1" si="95"/>
        <v>0</v>
      </c>
      <c r="M142" s="74">
        <f t="shared" ca="1" si="95"/>
        <v>0</v>
      </c>
      <c r="N142" s="74">
        <f t="shared" ca="1" si="95"/>
        <v>0</v>
      </c>
      <c r="O142" s="74">
        <f t="shared" ca="1" si="90"/>
        <v>0</v>
      </c>
      <c r="P142" s="74">
        <f t="shared" ca="1" si="91"/>
        <v>0</v>
      </c>
      <c r="Q142" s="74">
        <f t="shared" ca="1" si="96"/>
        <v>0</v>
      </c>
      <c r="R142" s="74">
        <f t="shared" ca="1" si="96"/>
        <v>0</v>
      </c>
      <c r="S142" s="74">
        <f t="shared" ca="1" si="96"/>
        <v>0</v>
      </c>
      <c r="T142" s="74">
        <f t="shared" ca="1" si="93"/>
        <v>0</v>
      </c>
      <c r="U142" s="74">
        <f t="shared" ca="1" si="94"/>
        <v>0</v>
      </c>
    </row>
    <row r="143" spans="1:21" ht="18.75" hidden="1" x14ac:dyDescent="0.25">
      <c r="A143" s="257"/>
      <c r="B143" s="258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3">
        <f t="shared" ref="L143:N143" ca="1" si="97">L144+L145</f>
        <v>0</v>
      </c>
      <c r="M143" s="74">
        <f t="shared" ca="1" si="97"/>
        <v>0</v>
      </c>
      <c r="N143" s="74">
        <f t="shared" ca="1" si="97"/>
        <v>0</v>
      </c>
      <c r="O143" s="74">
        <f t="shared" ca="1" si="90"/>
        <v>0</v>
      </c>
      <c r="P143" s="74">
        <f t="shared" ca="1" si="91"/>
        <v>0</v>
      </c>
      <c r="Q143" s="74">
        <f t="shared" ref="Q143:S143" ca="1" si="98">Q144+Q145</f>
        <v>0</v>
      </c>
      <c r="R143" s="74">
        <f t="shared" ca="1" si="98"/>
        <v>0</v>
      </c>
      <c r="S143" s="74">
        <f t="shared" ca="1" si="98"/>
        <v>0</v>
      </c>
      <c r="T143" s="74">
        <f t="shared" ca="1" si="93"/>
        <v>0</v>
      </c>
      <c r="U143" s="74">
        <f t="shared" ca="1" si="94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77">
        <f t="shared" si="90"/>
        <v>0</v>
      </c>
      <c r="P144" s="77">
        <f t="shared" si="91"/>
        <v>0</v>
      </c>
      <c r="Q144" s="77">
        <v>0</v>
      </c>
      <c r="R144" s="77">
        <v>0</v>
      </c>
      <c r="S144" s="77">
        <v>0</v>
      </c>
      <c r="T144" s="77">
        <f t="shared" si="93"/>
        <v>0</v>
      </c>
      <c r="U144" s="77">
        <f t="shared" si="94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3">
        <f ca="1">IFERROR(__xludf.DUMMYFUNCTION("IMPORTRANGE(""https://docs.google.com/spreadsheets/d/1-uDff_7J0KD5mKrp0Vvzr7lt3OU09vwQwhkpOPPYv2Y/edit?usp=sharing"",""งบพรบ!BQ72"")"),0)</f>
        <v>0</v>
      </c>
      <c r="M145" s="74">
        <f ca="1">IFERROR(__xludf.DUMMYFUNCTION("IMPORTRANGE(""https://docs.google.com/spreadsheets/d/1-uDff_7J0KD5mKrp0Vvzr7lt3OU09vwQwhkpOPPYv2Y/edit?usp=sharing"",""งบพรบ!BV72"")"),0)</f>
        <v>0</v>
      </c>
      <c r="N145" s="74">
        <f ca="1">IFERROR(__xludf.DUMMYFUNCTION("IMPORTRANGE(""https://docs.google.com/spreadsheets/d/1-uDff_7J0KD5mKrp0Vvzr7lt3OU09vwQwhkpOPPYv2Y/edit?usp=sharing"",""งบพรบ!BX72"")"),0)</f>
        <v>0</v>
      </c>
      <c r="O145" s="74">
        <f t="shared" ca="1" si="90"/>
        <v>0</v>
      </c>
      <c r="P145" s="74">
        <f t="shared" ca="1" si="91"/>
        <v>0</v>
      </c>
      <c r="Q145" s="74">
        <f ca="1">IFERROR(__xludf.DUMMYFUNCTION("IMPORTRANGE(""https://docs.google.com/spreadsheets/d/1ItG2mGa2ceCfYo0BwxsXqNm01IGEUdYcSSLTEv9YCik/edit?usp=sharing"",""เบิกจ่ายกองทุน!BB72"")"),0)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IFERROR(__xludf.DUMMYFUNCTION("IMPORTRANGE(""https://docs.google.com/spreadsheets/d/1ItG2mGa2ceCfYo0BwxsXqNm01IGEUdYcSSLTEv9YCik/edit?usp=sharing"",""เบิกจ่ายกองทุน!BC72"")"),0)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IFERROR(__xludf.DUMMYFUNCTION("IMPORTRANGE(""https://docs.google.com/spreadsheets/d/1ItG2mGa2ceCfYo0BwxsXqNm01IGEUdYcSSLTEv9YCik/edit?usp=sharing"",""เบิกจ่ายกองทุน!BD72"")"),0)</f>
        <v>0</v>
      </c>
      <c r="T145" s="74">
        <f t="shared" ca="1" si="93"/>
        <v>0</v>
      </c>
      <c r="U145" s="74">
        <f t="shared" ca="1" si="94"/>
        <v>0</v>
      </c>
    </row>
    <row r="146" spans="1:21" ht="18.75" hidden="1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3">
        <f t="shared" ref="L146:N146" ca="1" si="99">L147+L148</f>
        <v>0</v>
      </c>
      <c r="M146" s="74">
        <f t="shared" ca="1" si="99"/>
        <v>0</v>
      </c>
      <c r="N146" s="74">
        <f t="shared" ca="1" si="99"/>
        <v>0</v>
      </c>
      <c r="O146" s="74">
        <f t="shared" ca="1" si="90"/>
        <v>0</v>
      </c>
      <c r="P146" s="74">
        <f t="shared" ca="1" si="91"/>
        <v>0</v>
      </c>
      <c r="Q146" s="74">
        <f t="shared" ref="Q146:S146" si="100">Q147+Q148</f>
        <v>0</v>
      </c>
      <c r="R146" s="74">
        <f t="shared" si="100"/>
        <v>0</v>
      </c>
      <c r="S146" s="74">
        <f t="shared" si="100"/>
        <v>0</v>
      </c>
      <c r="T146" s="74">
        <f t="shared" si="93"/>
        <v>0</v>
      </c>
      <c r="U146" s="74">
        <f t="shared" si="94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77">
        <f t="shared" si="90"/>
        <v>0</v>
      </c>
      <c r="P147" s="77">
        <f t="shared" si="91"/>
        <v>0</v>
      </c>
      <c r="Q147" s="77">
        <v>0</v>
      </c>
      <c r="R147" s="77">
        <v>0</v>
      </c>
      <c r="S147" s="77">
        <v>0</v>
      </c>
      <c r="T147" s="77">
        <f t="shared" si="93"/>
        <v>0</v>
      </c>
      <c r="U147" s="77">
        <f t="shared" si="94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3">
        <f ca="1">IFERROR(__xludf.DUMMYFUNCTION("IMPORTRANGE(""https://docs.google.com/spreadsheets/d/1-uDff_7J0KD5mKrp0Vvzr7lt3OU09vwQwhkpOPPYv2Y/edit?usp=sharing"",""งบพรบ!BT72"")"),0)</f>
        <v>0</v>
      </c>
      <c r="M148" s="74">
        <f ca="1">IFERROR(__xludf.DUMMYFUNCTION("IMPORTRANGE(""https://docs.google.com/spreadsheets/d/1-uDff_7J0KD5mKrp0Vvzr7lt3OU09vwQwhkpOPPYv2Y/edit?usp=sharing"",""งบพรบ!BW72"")"),0)</f>
        <v>0</v>
      </c>
      <c r="N148" s="74">
        <f ca="1">IFERROR(__xludf.DUMMYFUNCTION("IMPORTRANGE(""https://docs.google.com/spreadsheets/d/1-uDff_7J0KD5mKrp0Vvzr7lt3OU09vwQwhkpOPPYv2Y/edit?usp=sharing"",""งบพรบ!BY72"")"),0)</f>
        <v>0</v>
      </c>
      <c r="O148" s="74">
        <f t="shared" ca="1" si="90"/>
        <v>0</v>
      </c>
      <c r="P148" s="74">
        <f t="shared" ca="1" si="91"/>
        <v>0</v>
      </c>
      <c r="Q148" s="74">
        <v>0</v>
      </c>
      <c r="R148" s="74">
        <v>0</v>
      </c>
      <c r="S148" s="74">
        <v>0</v>
      </c>
      <c r="T148" s="74">
        <f t="shared" si="93"/>
        <v>0</v>
      </c>
      <c r="U148" s="74">
        <f t="shared" si="94"/>
        <v>0</v>
      </c>
    </row>
    <row r="149" spans="1:21" ht="19.5" hidden="1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hidden="1" x14ac:dyDescent="0.25">
      <c r="A150" s="257"/>
      <c r="B150" s="258"/>
      <c r="C150" s="258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hidden="1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IFERROR(__xludf.DUMMYFUNCTION("IMPORTRANGE(""https://docs.google.com/spreadsheets/d/1eHaY18a8A9IcSdp1K8H6x8fbOy06t2VsZHhMHf-1x7Y/edit?usp=sharing"",""แผน!U72"")"),0)</f>
        <v>0</v>
      </c>
      <c r="J151" s="294">
        <v>0</v>
      </c>
      <c r="K151" s="74">
        <f t="shared" ref="K151:K155" ca="1" si="101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hidden="1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IFERROR(__xludf.DUMMYFUNCTION("IMPORTRANGE(""https://docs.google.com/spreadsheets/d/1eHaY18a8A9IcSdp1K8H6x8fbOy06t2VsZHhMHf-1x7Y/edit?usp=sharing"",""แผน!V72"")"),0)</f>
        <v>0</v>
      </c>
      <c r="J152" s="294">
        <v>0</v>
      </c>
      <c r="K152" s="74">
        <f t="shared" ca="1" si="101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hidden="1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IFERROR(__xludf.DUMMYFUNCTION("IMPORTRANGE(""https://docs.google.com/spreadsheets/d/1eHaY18a8A9IcSdp1K8H6x8fbOy06t2VsZHhMHf-1x7Y/edit?usp=sharing"",""แผน!W72"")"),0)</f>
        <v>0</v>
      </c>
      <c r="J153" s="294">
        <v>0</v>
      </c>
      <c r="K153" s="74">
        <f t="shared" ca="1" si="101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hidden="1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IFERROR(__xludf.DUMMYFUNCTION("IMPORTRANGE(""https://docs.google.com/spreadsheets/d/1eHaY18a8A9IcSdp1K8H6x8fbOy06t2VsZHhMHf-1x7Y/edit?usp=sharing"",""แผน!X72"")"),0)</f>
        <v>0</v>
      </c>
      <c r="J154" s="294">
        <v>0</v>
      </c>
      <c r="K154" s="74">
        <f t="shared" ca="1" si="101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hidden="1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IFERROR(__xludf.DUMMYFUNCTION("IMPORTRANGE(""https://docs.google.com/spreadsheets/d/1eHaY18a8A9IcSdp1K8H6x8fbOy06t2VsZHhMHf-1x7Y/edit?usp=sharing"",""แผน!Y72"")"),0)</f>
        <v>0</v>
      </c>
      <c r="J155" s="294">
        <v>0</v>
      </c>
      <c r="K155" s="74">
        <f t="shared" ca="1" si="101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x14ac:dyDescent="0.3">
      <c r="A156" s="1099" t="s">
        <v>67</v>
      </c>
      <c r="B156" s="691"/>
      <c r="C156" s="692"/>
      <c r="D156" s="691"/>
      <c r="E156" s="691"/>
      <c r="F156" s="691"/>
      <c r="G156" s="691"/>
      <c r="H156" s="691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2">I168</f>
        <v>10</v>
      </c>
      <c r="J157" s="256">
        <f t="shared" si="102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1257">
        <f t="shared" ref="L158:N158" ca="1" si="103">L159+L160</f>
        <v>3000</v>
      </c>
      <c r="M158" s="264">
        <f t="shared" ca="1" si="103"/>
        <v>2250</v>
      </c>
      <c r="N158" s="264">
        <f t="shared" ca="1" si="103"/>
        <v>0</v>
      </c>
      <c r="O158" s="264">
        <f t="shared" ref="O158:O166" ca="1" si="104">IF(L158&gt;0,N158*100/L158,0)</f>
        <v>0</v>
      </c>
      <c r="P158" s="264">
        <f t="shared" ref="P158:P166" ca="1" si="105">IF(M158&gt;0,N158*100/M158,0)</f>
        <v>0</v>
      </c>
      <c r="Q158" s="264">
        <f t="shared" ref="Q158:S158" ca="1" si="106">Q159+Q160</f>
        <v>0</v>
      </c>
      <c r="R158" s="264">
        <f t="shared" ca="1" si="106"/>
        <v>0</v>
      </c>
      <c r="S158" s="264">
        <f t="shared" ca="1" si="106"/>
        <v>0</v>
      </c>
      <c r="T158" s="264">
        <f t="shared" ref="T158:T166" ca="1" si="107">IF(Q158&gt;0,S158*100/Q158,0)</f>
        <v>0</v>
      </c>
      <c r="U158" s="264">
        <f t="shared" ref="U158:U166" ca="1" si="108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6">
        <f t="shared" ref="L159:N160" si="109">L162+L165</f>
        <v>0</v>
      </c>
      <c r="M159" s="77">
        <f t="shared" si="109"/>
        <v>0</v>
      </c>
      <c r="N159" s="77">
        <f t="shared" si="109"/>
        <v>0</v>
      </c>
      <c r="O159" s="77">
        <f t="shared" si="104"/>
        <v>0</v>
      </c>
      <c r="P159" s="77">
        <f t="shared" si="105"/>
        <v>0</v>
      </c>
      <c r="Q159" s="77">
        <f t="shared" ref="Q159:S160" si="110">Q162+Q165</f>
        <v>0</v>
      </c>
      <c r="R159" s="77">
        <f t="shared" si="110"/>
        <v>0</v>
      </c>
      <c r="S159" s="77">
        <f t="shared" si="110"/>
        <v>0</v>
      </c>
      <c r="T159" s="77">
        <f t="shared" si="107"/>
        <v>0</v>
      </c>
      <c r="U159" s="77">
        <f t="shared" si="108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3">
        <f t="shared" ca="1" si="109"/>
        <v>3000</v>
      </c>
      <c r="M160" s="74">
        <f t="shared" ca="1" si="109"/>
        <v>2250</v>
      </c>
      <c r="N160" s="74">
        <f t="shared" ca="1" si="109"/>
        <v>0</v>
      </c>
      <c r="O160" s="74">
        <f t="shared" ca="1" si="104"/>
        <v>0</v>
      </c>
      <c r="P160" s="74">
        <f t="shared" ca="1" si="105"/>
        <v>0</v>
      </c>
      <c r="Q160" s="74">
        <f t="shared" ca="1" si="110"/>
        <v>0</v>
      </c>
      <c r="R160" s="74">
        <f t="shared" ca="1" si="110"/>
        <v>0</v>
      </c>
      <c r="S160" s="74">
        <f t="shared" ca="1" si="110"/>
        <v>0</v>
      </c>
      <c r="T160" s="74">
        <f t="shared" ca="1" si="107"/>
        <v>0</v>
      </c>
      <c r="U160" s="74">
        <f t="shared" ca="1" si="108"/>
        <v>0</v>
      </c>
    </row>
    <row r="161" spans="1:21" ht="18.75" x14ac:dyDescent="0.25">
      <c r="A161" s="257"/>
      <c r="B161" s="258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3">
        <f t="shared" ref="L161:N161" ca="1" si="111">L162+L163</f>
        <v>3000</v>
      </c>
      <c r="M161" s="74">
        <f t="shared" ca="1" si="111"/>
        <v>2250</v>
      </c>
      <c r="N161" s="74">
        <f t="shared" ca="1" si="111"/>
        <v>0</v>
      </c>
      <c r="O161" s="74">
        <f t="shared" ca="1" si="104"/>
        <v>0</v>
      </c>
      <c r="P161" s="74">
        <f t="shared" ca="1" si="105"/>
        <v>0</v>
      </c>
      <c r="Q161" s="74">
        <f t="shared" ref="Q161:S161" ca="1" si="112">Q162+Q163</f>
        <v>0</v>
      </c>
      <c r="R161" s="74">
        <f t="shared" ca="1" si="112"/>
        <v>0</v>
      </c>
      <c r="S161" s="74">
        <f t="shared" ca="1" si="112"/>
        <v>0</v>
      </c>
      <c r="T161" s="74">
        <f t="shared" ca="1" si="107"/>
        <v>0</v>
      </c>
      <c r="U161" s="74">
        <f t="shared" ca="1" si="108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77">
        <f t="shared" si="104"/>
        <v>0</v>
      </c>
      <c r="P162" s="77">
        <f t="shared" si="105"/>
        <v>0</v>
      </c>
      <c r="Q162" s="77">
        <v>0</v>
      </c>
      <c r="R162" s="77">
        <v>0</v>
      </c>
      <c r="S162" s="77">
        <v>0</v>
      </c>
      <c r="T162" s="77">
        <f t="shared" si="107"/>
        <v>0</v>
      </c>
      <c r="U162" s="77">
        <f t="shared" si="108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3">
        <f ca="1">IFERROR(__xludf.DUMMYFUNCTION("IMPORTRANGE(""https://docs.google.com/spreadsheets/d/1-uDff_7J0KD5mKrp0Vvzr7lt3OU09vwQwhkpOPPYv2Y/edit?usp=sharing"",""งบพรบ!CA72"")"),3000)</f>
        <v>3000</v>
      </c>
      <c r="M163" s="74">
        <f ca="1">IFERROR(__xludf.DUMMYFUNCTION("IMPORTRANGE(""https://docs.google.com/spreadsheets/d/1-uDff_7J0KD5mKrp0Vvzr7lt3OU09vwQwhkpOPPYv2Y/edit?usp=sharing"",""งบพรบ!CF72"")"),2250)</f>
        <v>2250</v>
      </c>
      <c r="N163" s="74">
        <f ca="1">IFERROR(__xludf.DUMMYFUNCTION("IMPORTRANGE(""https://docs.google.com/spreadsheets/d/1-uDff_7J0KD5mKrp0Vvzr7lt3OU09vwQwhkpOPPYv2Y/edit?usp=sharing"",""งบพรบ!CH72"")"),0)</f>
        <v>0</v>
      </c>
      <c r="O163" s="74">
        <f t="shared" ca="1" si="104"/>
        <v>0</v>
      </c>
      <c r="P163" s="74">
        <f t="shared" ca="1" si="105"/>
        <v>0</v>
      </c>
      <c r="Q163" s="74">
        <f ca="1">IFERROR(__xludf.DUMMYFUNCTION("IMPORTRANGE(""https://docs.google.com/spreadsheets/d/1ItG2mGa2ceCfYo0BwxsXqNm01IGEUdYcSSLTEv9YCik/edit?usp=sharing"",""เบิกจ่ายกองทุน!AG72"")"),0)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IFERROR(__xludf.DUMMYFUNCTION("IMPORTRANGE(""https://docs.google.com/spreadsheets/d/1ItG2mGa2ceCfYo0BwxsXqNm01IGEUdYcSSLTEv9YCik/edit?usp=sharing"",""เบิกจ่ายกองทุน!AH72"")"),0)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IFERROR(__xludf.DUMMYFUNCTION("IMPORTRANGE(""https://docs.google.com/spreadsheets/d/1ItG2mGa2ceCfYo0BwxsXqNm01IGEUdYcSSLTEv9YCik/edit?usp=sharing"",""เบิกจ่ายกองทุน!AI72"")"),0)</f>
        <v>0</v>
      </c>
      <c r="T163" s="74">
        <f t="shared" ca="1" si="107"/>
        <v>0</v>
      </c>
      <c r="U163" s="74">
        <f t="shared" ca="1" si="108"/>
        <v>0</v>
      </c>
    </row>
    <row r="164" spans="1:21" ht="18.75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3">
        <f t="shared" ref="L164:N164" ca="1" si="113">L165+L166</f>
        <v>0</v>
      </c>
      <c r="M164" s="74">
        <f t="shared" ca="1" si="113"/>
        <v>0</v>
      </c>
      <c r="N164" s="74">
        <f t="shared" ca="1" si="113"/>
        <v>0</v>
      </c>
      <c r="O164" s="74">
        <f t="shared" ca="1" si="104"/>
        <v>0</v>
      </c>
      <c r="P164" s="74">
        <f t="shared" ca="1" si="105"/>
        <v>0</v>
      </c>
      <c r="Q164" s="74">
        <f t="shared" ref="Q164:S164" si="114">Q165+Q166</f>
        <v>0</v>
      </c>
      <c r="R164" s="74">
        <f t="shared" si="114"/>
        <v>0</v>
      </c>
      <c r="S164" s="74">
        <f t="shared" si="114"/>
        <v>0</v>
      </c>
      <c r="T164" s="74">
        <f t="shared" si="107"/>
        <v>0</v>
      </c>
      <c r="U164" s="74">
        <f t="shared" si="108"/>
        <v>0</v>
      </c>
    </row>
    <row r="165" spans="1:21" ht="18.75" hidden="1" x14ac:dyDescent="0.25">
      <c r="A165" s="257"/>
      <c r="B165" s="258"/>
      <c r="C165" s="258"/>
      <c r="D165" s="258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77">
        <f t="shared" si="104"/>
        <v>0</v>
      </c>
      <c r="P165" s="77">
        <f t="shared" si="105"/>
        <v>0</v>
      </c>
      <c r="Q165" s="77">
        <v>0</v>
      </c>
      <c r="R165" s="77">
        <v>0</v>
      </c>
      <c r="S165" s="77">
        <v>0</v>
      </c>
      <c r="T165" s="77">
        <f t="shared" si="107"/>
        <v>0</v>
      </c>
      <c r="U165" s="77">
        <f t="shared" si="108"/>
        <v>0</v>
      </c>
    </row>
    <row r="166" spans="1:21" ht="18.75" hidden="1" x14ac:dyDescent="0.25">
      <c r="A166" s="257"/>
      <c r="B166" s="258"/>
      <c r="C166" s="258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3">
        <f ca="1">IFERROR(__xludf.DUMMYFUNCTION("IMPORTRANGE(""https://docs.google.com/spreadsheets/d/1-uDff_7J0KD5mKrp0Vvzr7lt3OU09vwQwhkpOPPYv2Y/edit?usp=sharing"",""งบพรบ!CD72"")"),0)</f>
        <v>0</v>
      </c>
      <c r="M166" s="74">
        <f ca="1">IFERROR(__xludf.DUMMYFUNCTION("IMPORTRANGE(""https://docs.google.com/spreadsheets/d/1-uDff_7J0KD5mKrp0Vvzr7lt3OU09vwQwhkpOPPYv2Y/edit?usp=sharing"",""งบพรบ!CG72"")"),0)</f>
        <v>0</v>
      </c>
      <c r="N166" s="74">
        <f ca="1">IFERROR(__xludf.DUMMYFUNCTION("IMPORTRANGE(""https://docs.google.com/spreadsheets/d/1-uDff_7J0KD5mKrp0Vvzr7lt3OU09vwQwhkpOPPYv2Y/edit?usp=sharing"",""งบพรบ!CI72"")"),0)</f>
        <v>0</v>
      </c>
      <c r="O166" s="74">
        <f t="shared" ca="1" si="104"/>
        <v>0</v>
      </c>
      <c r="P166" s="74">
        <f t="shared" ca="1" si="105"/>
        <v>0</v>
      </c>
      <c r="Q166" s="74">
        <v>0</v>
      </c>
      <c r="R166" s="74">
        <v>0</v>
      </c>
      <c r="S166" s="74">
        <v>0</v>
      </c>
      <c r="T166" s="74">
        <f t="shared" si="107"/>
        <v>0</v>
      </c>
      <c r="U166" s="74">
        <f t="shared" si="108"/>
        <v>0</v>
      </c>
    </row>
    <row r="167" spans="1:21" ht="19.5" x14ac:dyDescent="0.3">
      <c r="A167" s="276"/>
      <c r="B167" s="277"/>
      <c r="C167" s="259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IFERROR(__xludf.DUMMYFUNCTION("IMPORTRANGE(""https://docs.google.com/spreadsheets/d/1eHaY18a8A9IcSdp1K8H6x8fbOy06t2VsZHhMHf-1x7Y/edit?usp=sharing"",""แผน!Z72"")"),10)</f>
        <v>10</v>
      </c>
      <c r="J168" s="294">
        <v>0</v>
      </c>
      <c r="K168" s="74">
        <f t="shared" ref="K168:K170" ca="1" si="115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I168</f>
        <v>10</v>
      </c>
      <c r="J169" s="910">
        <v>0</v>
      </c>
      <c r="K169" s="77">
        <f t="shared" ca="1" si="115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I168</f>
        <v>10</v>
      </c>
      <c r="J170" s="999">
        <v>0</v>
      </c>
      <c r="K170" s="1000">
        <f t="shared" ca="1" si="115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6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302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303" t="s">
        <v>35</v>
      </c>
      <c r="I173" s="1126">
        <f t="shared" ref="I173:J173" ca="1" si="116">I184+I185</f>
        <v>7</v>
      </c>
      <c r="J173" s="1126">
        <f t="shared" si="116"/>
        <v>0</v>
      </c>
      <c r="K173" s="1127">
        <f ca="1">IF(I173&gt;0,J173*100/I173,0)</f>
        <v>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1257">
        <f t="shared" ref="L174:N174" ca="1" si="117">L175+L176</f>
        <v>19590</v>
      </c>
      <c r="M174" s="264">
        <f t="shared" ca="1" si="117"/>
        <v>32740</v>
      </c>
      <c r="N174" s="264">
        <f t="shared" ca="1" si="117"/>
        <v>18150</v>
      </c>
      <c r="O174" s="264">
        <f t="shared" ref="O174:O182" ca="1" si="118">IF(L174&gt;0,N174*100/L174,0)</f>
        <v>92.649310872894333</v>
      </c>
      <c r="P174" s="264">
        <f t="shared" ref="P174:P182" ca="1" si="119">IF(M174&gt;0,N174*100/M174,0)</f>
        <v>55.436774587660352</v>
      </c>
      <c r="Q174" s="264">
        <f t="shared" ref="Q174:S174" ca="1" si="120">Q175+Q176</f>
        <v>0</v>
      </c>
      <c r="R174" s="264">
        <f t="shared" ca="1" si="120"/>
        <v>0</v>
      </c>
      <c r="S174" s="264">
        <f t="shared" ca="1" si="120"/>
        <v>0</v>
      </c>
      <c r="T174" s="264">
        <f t="shared" ref="T174:T182" ca="1" si="121">IF(Q174&gt;0,S174*100/Q174,0)</f>
        <v>0</v>
      </c>
      <c r="U174" s="264">
        <f t="shared" ref="U174:U182" ca="1" si="122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6">
        <f t="shared" ref="L175:N176" si="123">L178+L181</f>
        <v>0</v>
      </c>
      <c r="M175" s="77">
        <f t="shared" si="123"/>
        <v>0</v>
      </c>
      <c r="N175" s="77">
        <f t="shared" si="123"/>
        <v>0</v>
      </c>
      <c r="O175" s="77">
        <f t="shared" si="118"/>
        <v>0</v>
      </c>
      <c r="P175" s="77">
        <f t="shared" si="119"/>
        <v>0</v>
      </c>
      <c r="Q175" s="77">
        <f t="shared" ref="Q175:S176" si="124">Q178+Q181</f>
        <v>0</v>
      </c>
      <c r="R175" s="77">
        <f t="shared" si="124"/>
        <v>0</v>
      </c>
      <c r="S175" s="77">
        <f t="shared" si="124"/>
        <v>0</v>
      </c>
      <c r="T175" s="77">
        <f t="shared" si="121"/>
        <v>0</v>
      </c>
      <c r="U175" s="77">
        <f t="shared" si="122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3">
        <f t="shared" ca="1" si="123"/>
        <v>19590</v>
      </c>
      <c r="M176" s="74">
        <f t="shared" ca="1" si="123"/>
        <v>32740</v>
      </c>
      <c r="N176" s="74">
        <f t="shared" ca="1" si="123"/>
        <v>18150</v>
      </c>
      <c r="O176" s="74">
        <f t="shared" ca="1" si="118"/>
        <v>92.649310872894333</v>
      </c>
      <c r="P176" s="74">
        <f t="shared" ca="1" si="119"/>
        <v>55.436774587660352</v>
      </c>
      <c r="Q176" s="74">
        <f t="shared" ca="1" si="124"/>
        <v>0</v>
      </c>
      <c r="R176" s="74">
        <f t="shared" ca="1" si="124"/>
        <v>0</v>
      </c>
      <c r="S176" s="74">
        <f t="shared" ca="1" si="124"/>
        <v>0</v>
      </c>
      <c r="T176" s="74">
        <f t="shared" ca="1" si="121"/>
        <v>0</v>
      </c>
      <c r="U176" s="74">
        <f t="shared" ca="1" si="122"/>
        <v>0</v>
      </c>
    </row>
    <row r="177" spans="1:21" ht="18.75" x14ac:dyDescent="0.25">
      <c r="A177" s="257"/>
      <c r="B177" s="258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3">
        <f t="shared" ref="L177:N177" ca="1" si="125">L178+L179</f>
        <v>19590</v>
      </c>
      <c r="M177" s="74">
        <f t="shared" ca="1" si="125"/>
        <v>32740</v>
      </c>
      <c r="N177" s="74">
        <f t="shared" ca="1" si="125"/>
        <v>18150</v>
      </c>
      <c r="O177" s="74">
        <f t="shared" ca="1" si="118"/>
        <v>92.649310872894333</v>
      </c>
      <c r="P177" s="74">
        <f t="shared" ca="1" si="119"/>
        <v>55.436774587660352</v>
      </c>
      <c r="Q177" s="74">
        <f t="shared" ref="Q177:S177" ca="1" si="126">Q178+Q179</f>
        <v>0</v>
      </c>
      <c r="R177" s="74">
        <f t="shared" ca="1" si="126"/>
        <v>0</v>
      </c>
      <c r="S177" s="74">
        <f t="shared" ca="1" si="126"/>
        <v>0</v>
      </c>
      <c r="T177" s="74">
        <f t="shared" ca="1" si="121"/>
        <v>0</v>
      </c>
      <c r="U177" s="74">
        <f t="shared" ca="1" si="122"/>
        <v>0</v>
      </c>
    </row>
    <row r="178" spans="1:21" ht="18.75" hidden="1" x14ac:dyDescent="0.25">
      <c r="A178" s="257"/>
      <c r="B178" s="258"/>
      <c r="C178" s="258"/>
      <c r="D178" s="258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77">
        <f t="shared" si="118"/>
        <v>0</v>
      </c>
      <c r="P178" s="77">
        <f t="shared" si="119"/>
        <v>0</v>
      </c>
      <c r="Q178" s="77">
        <v>0</v>
      </c>
      <c r="R178" s="77">
        <v>0</v>
      </c>
      <c r="S178" s="77">
        <v>0</v>
      </c>
      <c r="T178" s="77">
        <f t="shared" si="121"/>
        <v>0</v>
      </c>
      <c r="U178" s="77">
        <f t="shared" si="122"/>
        <v>0</v>
      </c>
    </row>
    <row r="179" spans="1:21" ht="18.75" hidden="1" x14ac:dyDescent="0.25">
      <c r="A179" s="257"/>
      <c r="B179" s="258"/>
      <c r="C179" s="258"/>
      <c r="D179" s="258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3">
        <f ca="1">IFERROR(__xludf.DUMMYFUNCTION("IMPORTRANGE(""https://docs.google.com/spreadsheets/d/1-uDff_7J0KD5mKrp0Vvzr7lt3OU09vwQwhkpOPPYv2Y/edit?usp=sharing"",""งบพรบ!CK72"")"),19590)</f>
        <v>19590</v>
      </c>
      <c r="M179" s="74">
        <f ca="1">IFERROR(__xludf.DUMMYFUNCTION("IMPORTRANGE(""https://docs.google.com/spreadsheets/d/1-uDff_7J0KD5mKrp0Vvzr7lt3OU09vwQwhkpOPPYv2Y/edit?usp=sharing"",""งบพรบ!CP72"")"),32740)</f>
        <v>32740</v>
      </c>
      <c r="N179" s="74">
        <f ca="1">IFERROR(__xludf.DUMMYFUNCTION("IMPORTRANGE(""https://docs.google.com/spreadsheets/d/1-uDff_7J0KD5mKrp0Vvzr7lt3OU09vwQwhkpOPPYv2Y/edit?usp=sharing"",""งบพรบ!CR72"")"),18150)</f>
        <v>18150</v>
      </c>
      <c r="O179" s="74">
        <f t="shared" ca="1" si="118"/>
        <v>92.649310872894333</v>
      </c>
      <c r="P179" s="74">
        <f t="shared" ca="1" si="119"/>
        <v>55.436774587660352</v>
      </c>
      <c r="Q179" s="74">
        <f ca="1">IFERROR(__xludf.DUMMYFUNCTION("IMPORTRANGE(""https://docs.google.com/spreadsheets/d/1ItG2mGa2ceCfYo0BwxsXqNm01IGEUdYcSSLTEv9YCik/edit?usp=sharing"",""เบิกจ่ายกองทุน!BE72"")"),0)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IFERROR(__xludf.DUMMYFUNCTION("IMPORTRANGE(""https://docs.google.com/spreadsheets/d/1ItG2mGa2ceCfYo0BwxsXqNm01IGEUdYcSSLTEv9YCik/edit?usp=sharing"",""เบิกจ่ายกองทุน!BF72"")"),0)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IFERROR(__xludf.DUMMYFUNCTION("IMPORTRANGE(""https://docs.google.com/spreadsheets/d/1ItG2mGa2ceCfYo0BwxsXqNm01IGEUdYcSSLTEv9YCik/edit?usp=sharing"",""เบิกจ่ายกองทุน!BG72"")"),0)</f>
        <v>0</v>
      </c>
      <c r="T179" s="74">
        <f t="shared" ca="1" si="121"/>
        <v>0</v>
      </c>
      <c r="U179" s="74">
        <f t="shared" ca="1" si="122"/>
        <v>0</v>
      </c>
    </row>
    <row r="180" spans="1:21" ht="18.75" x14ac:dyDescent="0.25">
      <c r="A180" s="257"/>
      <c r="B180" s="258"/>
      <c r="C180" s="258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3">
        <f t="shared" ref="L180:N180" ca="1" si="127">L181+L182</f>
        <v>0</v>
      </c>
      <c r="M180" s="74">
        <f t="shared" ca="1" si="127"/>
        <v>0</v>
      </c>
      <c r="N180" s="74">
        <f t="shared" ca="1" si="127"/>
        <v>0</v>
      </c>
      <c r="O180" s="74">
        <f t="shared" ca="1" si="118"/>
        <v>0</v>
      </c>
      <c r="P180" s="74">
        <f t="shared" ca="1" si="119"/>
        <v>0</v>
      </c>
      <c r="Q180" s="74">
        <f t="shared" ref="Q180:S180" si="128">Q181+Q182</f>
        <v>0</v>
      </c>
      <c r="R180" s="74">
        <f t="shared" si="128"/>
        <v>0</v>
      </c>
      <c r="S180" s="74">
        <f t="shared" si="128"/>
        <v>0</v>
      </c>
      <c r="T180" s="74">
        <f t="shared" si="121"/>
        <v>0</v>
      </c>
      <c r="U180" s="74">
        <f t="shared" si="122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77">
        <f t="shared" si="118"/>
        <v>0</v>
      </c>
      <c r="P181" s="77">
        <f t="shared" si="119"/>
        <v>0</v>
      </c>
      <c r="Q181" s="77">
        <v>0</v>
      </c>
      <c r="R181" s="77">
        <v>0</v>
      </c>
      <c r="S181" s="77">
        <v>0</v>
      </c>
      <c r="T181" s="77">
        <f t="shared" si="121"/>
        <v>0</v>
      </c>
      <c r="U181" s="77">
        <f t="shared" si="122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3">
        <f ca="1">IFERROR(__xludf.DUMMYFUNCTION("IMPORTRANGE(""https://docs.google.com/spreadsheets/d/1-uDff_7J0KD5mKrp0Vvzr7lt3OU09vwQwhkpOPPYv2Y/edit?usp=sharing"",""งบพรบ!CN72"")"),0)</f>
        <v>0</v>
      </c>
      <c r="M182" s="74">
        <f ca="1">IFERROR(__xludf.DUMMYFUNCTION("IMPORTRANGE(""https://docs.google.com/spreadsheets/d/1-uDff_7J0KD5mKrp0Vvzr7lt3OU09vwQwhkpOPPYv2Y/edit?usp=sharing"",""งบพรบ!CQ72"")"),0)</f>
        <v>0</v>
      </c>
      <c r="N182" s="74">
        <f ca="1">IFERROR(__xludf.DUMMYFUNCTION("IMPORTRANGE(""https://docs.google.com/spreadsheets/d/1-uDff_7J0KD5mKrp0Vvzr7lt3OU09vwQwhkpOPPYv2Y/edit?usp=sharing"",""งบพรบ!CS72"")"),0)</f>
        <v>0</v>
      </c>
      <c r="O182" s="74">
        <f t="shared" ca="1" si="118"/>
        <v>0</v>
      </c>
      <c r="P182" s="74">
        <f t="shared" ca="1" si="119"/>
        <v>0</v>
      </c>
      <c r="Q182" s="74">
        <v>0</v>
      </c>
      <c r="R182" s="74">
        <v>0</v>
      </c>
      <c r="S182" s="74">
        <v>0</v>
      </c>
      <c r="T182" s="74">
        <f t="shared" si="121"/>
        <v>0</v>
      </c>
      <c r="U182" s="74">
        <f t="shared" si="122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551" t="s">
        <v>35</v>
      </c>
      <c r="I184" s="293">
        <f ca="1">IFERROR(__xludf.DUMMYFUNCTION("IMPORTRANGE(""https://docs.google.com/spreadsheets/d/1eHaY18a8A9IcSdp1K8H6x8fbOy06t2VsZHhMHf-1x7Y/edit?usp=sharing"",""แผน!AA72"")"),7)</f>
        <v>7</v>
      </c>
      <c r="J184" s="294">
        <v>0</v>
      </c>
      <c r="K184" s="74">
        <f t="shared" ref="K184:K186" ca="1" si="129">IF(I184&gt;0,J184*100/I184,0)</f>
        <v>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921" t="s">
        <v>35</v>
      </c>
      <c r="I185" s="592">
        <v>0</v>
      </c>
      <c r="J185" s="592">
        <v>0</v>
      </c>
      <c r="K185" s="77">
        <f t="shared" si="129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303" t="s">
        <v>35</v>
      </c>
      <c r="I186" s="1126">
        <f t="shared" ref="I186:J186" ca="1" si="130">I231+I232</f>
        <v>0</v>
      </c>
      <c r="J186" s="1126">
        <f t="shared" si="130"/>
        <v>0</v>
      </c>
      <c r="K186" s="1127">
        <f t="shared" ca="1" si="129"/>
        <v>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1257">
        <f t="shared" ref="L187:N187" ca="1" si="131">L188+L189</f>
        <v>23500</v>
      </c>
      <c r="M187" s="264">
        <f t="shared" ca="1" si="131"/>
        <v>15500</v>
      </c>
      <c r="N187" s="264">
        <f t="shared" ca="1" si="131"/>
        <v>0</v>
      </c>
      <c r="O187" s="264">
        <f t="shared" ref="O187:O195" ca="1" si="132">IF(L187&gt;0,N187*100/L187,0)</f>
        <v>0</v>
      </c>
      <c r="P187" s="264">
        <f t="shared" ref="P187:P195" ca="1" si="133">IF(M187&gt;0,N187*100/M187,0)</f>
        <v>0</v>
      </c>
      <c r="Q187" s="264">
        <f t="shared" ref="Q187:S187" ca="1" si="134">Q188+Q189</f>
        <v>14000</v>
      </c>
      <c r="R187" s="264">
        <f t="shared" ca="1" si="134"/>
        <v>14000</v>
      </c>
      <c r="S187" s="264">
        <f t="shared" ca="1" si="134"/>
        <v>0</v>
      </c>
      <c r="T187" s="264">
        <f t="shared" ref="T187:T195" ca="1" si="135">IF(Q187&gt;0,S187*100/Q187,0)</f>
        <v>0</v>
      </c>
      <c r="U187" s="264">
        <f t="shared" ref="U187:U195" ca="1" si="136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6">
        <f t="shared" ref="L188:N189" si="137">L191+L194</f>
        <v>0</v>
      </c>
      <c r="M188" s="77">
        <f t="shared" si="137"/>
        <v>0</v>
      </c>
      <c r="N188" s="77">
        <f t="shared" si="137"/>
        <v>0</v>
      </c>
      <c r="O188" s="77">
        <f t="shared" si="132"/>
        <v>0</v>
      </c>
      <c r="P188" s="77">
        <f t="shared" si="133"/>
        <v>0</v>
      </c>
      <c r="Q188" s="77">
        <f t="shared" ref="Q188:S189" si="138">Q191+Q194</f>
        <v>0</v>
      </c>
      <c r="R188" s="77">
        <f t="shared" si="138"/>
        <v>0</v>
      </c>
      <c r="S188" s="77">
        <f t="shared" si="138"/>
        <v>0</v>
      </c>
      <c r="T188" s="77">
        <f t="shared" si="135"/>
        <v>0</v>
      </c>
      <c r="U188" s="77">
        <f t="shared" si="136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3">
        <f t="shared" ca="1" si="137"/>
        <v>23500</v>
      </c>
      <c r="M189" s="74">
        <f t="shared" ca="1" si="137"/>
        <v>15500</v>
      </c>
      <c r="N189" s="74">
        <f t="shared" ca="1" si="137"/>
        <v>0</v>
      </c>
      <c r="O189" s="74">
        <f t="shared" ca="1" si="132"/>
        <v>0</v>
      </c>
      <c r="P189" s="74">
        <f t="shared" ca="1" si="133"/>
        <v>0</v>
      </c>
      <c r="Q189" s="74">
        <f t="shared" ca="1" si="138"/>
        <v>14000</v>
      </c>
      <c r="R189" s="74">
        <f t="shared" ca="1" si="138"/>
        <v>14000</v>
      </c>
      <c r="S189" s="74">
        <f t="shared" ca="1" si="138"/>
        <v>0</v>
      </c>
      <c r="T189" s="74">
        <f t="shared" ca="1" si="135"/>
        <v>0</v>
      </c>
      <c r="U189" s="74">
        <f t="shared" ca="1" si="136"/>
        <v>0</v>
      </c>
    </row>
    <row r="190" spans="1:21" ht="18.75" x14ac:dyDescent="0.25">
      <c r="A190" s="257"/>
      <c r="B190" s="258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3">
        <f t="shared" ref="L190:N190" ca="1" si="139">L191+L192</f>
        <v>23500</v>
      </c>
      <c r="M190" s="74">
        <f t="shared" ca="1" si="139"/>
        <v>15500</v>
      </c>
      <c r="N190" s="74">
        <f t="shared" ca="1" si="139"/>
        <v>0</v>
      </c>
      <c r="O190" s="74">
        <f t="shared" ca="1" si="132"/>
        <v>0</v>
      </c>
      <c r="P190" s="74">
        <f t="shared" ca="1" si="133"/>
        <v>0</v>
      </c>
      <c r="Q190" s="74">
        <f t="shared" ref="Q190:S190" ca="1" si="140">Q191+Q192</f>
        <v>14000</v>
      </c>
      <c r="R190" s="74">
        <f t="shared" ca="1" si="140"/>
        <v>14000</v>
      </c>
      <c r="S190" s="74">
        <f t="shared" ca="1" si="140"/>
        <v>0</v>
      </c>
      <c r="T190" s="74">
        <f t="shared" ca="1" si="135"/>
        <v>0</v>
      </c>
      <c r="U190" s="74">
        <f t="shared" ca="1" si="136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77">
        <f t="shared" si="132"/>
        <v>0</v>
      </c>
      <c r="P191" s="77">
        <f t="shared" si="133"/>
        <v>0</v>
      </c>
      <c r="Q191" s="77">
        <v>0</v>
      </c>
      <c r="R191" s="77">
        <v>0</v>
      </c>
      <c r="S191" s="77">
        <v>0</v>
      </c>
      <c r="T191" s="77">
        <f t="shared" si="135"/>
        <v>0</v>
      </c>
      <c r="U191" s="77">
        <f t="shared" si="136"/>
        <v>0</v>
      </c>
    </row>
    <row r="192" spans="1:21" ht="18.75" hidden="1" x14ac:dyDescent="0.25">
      <c r="A192" s="257"/>
      <c r="B192" s="258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3">
        <f ca="1">IFERROR(__xludf.DUMMYFUNCTION("IMPORTRANGE(""https://docs.google.com/spreadsheets/d/1-uDff_7J0KD5mKrp0Vvzr7lt3OU09vwQwhkpOPPYv2Y/edit?usp=sharing"",""งบพรบ!CU72"")"),23500)</f>
        <v>23500</v>
      </c>
      <c r="M192" s="74">
        <f ca="1">IFERROR(__xludf.DUMMYFUNCTION("IMPORTRANGE(""https://docs.google.com/spreadsheets/d/1-uDff_7J0KD5mKrp0Vvzr7lt3OU09vwQwhkpOPPYv2Y/edit?usp=sharing"",""งบพรบ!CZ72"")"),15500)</f>
        <v>15500</v>
      </c>
      <c r="N192" s="74">
        <f ca="1">IFERROR(__xludf.DUMMYFUNCTION("IMPORTRANGE(""https://docs.google.com/spreadsheets/d/1-uDff_7J0KD5mKrp0Vvzr7lt3OU09vwQwhkpOPPYv2Y/edit?usp=sharing"",""งบพรบ!DB72"")"),0)</f>
        <v>0</v>
      </c>
      <c r="O192" s="74">
        <f t="shared" ca="1" si="132"/>
        <v>0</v>
      </c>
      <c r="P192" s="74">
        <f t="shared" ca="1" si="133"/>
        <v>0</v>
      </c>
      <c r="Q192" s="74">
        <f ca="1">IFERROR(__xludf.DUMMYFUNCTION("IMPORTRANGE(""https://docs.google.com/spreadsheets/d/1ItG2mGa2ceCfYo0BwxsXqNm01IGEUdYcSSLTEv9YCik/edit?usp=sharing"",""เบิกจ่ายกองทุน!AV72"")"),14000)</f>
        <v>14000</v>
      </c>
      <c r="R192" s="74">
        <f ca="1">IFERROR(__xludf.DUMMYFUNCTION("IMPORTRANGE(""https://docs.google.com/spreadsheets/d/1ItG2mGa2ceCfYo0BwxsXqNm01IGEUdYcSSLTEv9YCik/edit?usp=sharing"",""เบิกจ่ายกองทุน!AW72"")"),14000)</f>
        <v>14000</v>
      </c>
      <c r="S192" s="74">
        <f ca="1">IFERROR(__xludf.DUMMYFUNCTION("IMPORTRANGE(""https://docs.google.com/spreadsheets/d/1ItG2mGa2ceCfYo0BwxsXqNm01IGEUdYcSSLTEv9YCik/edit?usp=sharing"",""เบิกจ่ายกองทุน!AX72"")"),0)</f>
        <v>0</v>
      </c>
      <c r="T192" s="74">
        <f t="shared" ca="1" si="135"/>
        <v>0</v>
      </c>
      <c r="U192" s="74">
        <f t="shared" ca="1" si="136"/>
        <v>0</v>
      </c>
    </row>
    <row r="193" spans="1:21" ht="18.75" x14ac:dyDescent="0.25">
      <c r="A193" s="257"/>
      <c r="B193" s="258"/>
      <c r="C193" s="258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3">
        <f t="shared" ref="L193:N193" ca="1" si="141">L194+L195</f>
        <v>0</v>
      </c>
      <c r="M193" s="74">
        <f t="shared" ca="1" si="141"/>
        <v>0</v>
      </c>
      <c r="N193" s="74">
        <f t="shared" ca="1" si="141"/>
        <v>0</v>
      </c>
      <c r="O193" s="74">
        <f t="shared" ca="1" si="132"/>
        <v>0</v>
      </c>
      <c r="P193" s="74">
        <f t="shared" ca="1" si="133"/>
        <v>0</v>
      </c>
      <c r="Q193" s="74">
        <f t="shared" ref="Q193:S193" si="142">Q194+Q195</f>
        <v>0</v>
      </c>
      <c r="R193" s="74">
        <f t="shared" si="142"/>
        <v>0</v>
      </c>
      <c r="S193" s="74">
        <f t="shared" si="142"/>
        <v>0</v>
      </c>
      <c r="T193" s="74">
        <f t="shared" si="135"/>
        <v>0</v>
      </c>
      <c r="U193" s="74">
        <f t="shared" si="136"/>
        <v>0</v>
      </c>
    </row>
    <row r="194" spans="1:21" ht="18.75" hidden="1" x14ac:dyDescent="0.25">
      <c r="A194" s="257"/>
      <c r="B194" s="258"/>
      <c r="C194" s="258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77">
        <f t="shared" si="132"/>
        <v>0</v>
      </c>
      <c r="P194" s="77">
        <f t="shared" si="133"/>
        <v>0</v>
      </c>
      <c r="Q194" s="77">
        <v>0</v>
      </c>
      <c r="R194" s="77">
        <v>0</v>
      </c>
      <c r="S194" s="77">
        <v>0</v>
      </c>
      <c r="T194" s="77">
        <f t="shared" si="135"/>
        <v>0</v>
      </c>
      <c r="U194" s="77">
        <f t="shared" si="136"/>
        <v>0</v>
      </c>
    </row>
    <row r="195" spans="1:21" ht="18.75" hidden="1" x14ac:dyDescent="0.25">
      <c r="A195" s="257"/>
      <c r="B195" s="258"/>
      <c r="C195" s="258"/>
      <c r="D195" s="258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3">
        <f ca="1">IFERROR(__xludf.DUMMYFUNCTION("IMPORTRANGE(""https://docs.google.com/spreadsheets/d/1-uDff_7J0KD5mKrp0Vvzr7lt3OU09vwQwhkpOPPYv2Y/edit?usp=sharing"",""งบพรบ!CX72"")"),0)</f>
        <v>0</v>
      </c>
      <c r="M195" s="74">
        <f ca="1">IFERROR(__xludf.DUMMYFUNCTION("IMPORTRANGE(""https://docs.google.com/spreadsheets/d/1-uDff_7J0KD5mKrp0Vvzr7lt3OU09vwQwhkpOPPYv2Y/edit?usp=sharing"",""งบพรบ!DA72"")"),0)</f>
        <v>0</v>
      </c>
      <c r="N195" s="74">
        <f ca="1">IFERROR(__xludf.DUMMYFUNCTION("IMPORTRANGE(""https://docs.google.com/spreadsheets/d/1-uDff_7J0KD5mKrp0Vvzr7lt3OU09vwQwhkpOPPYv2Y/edit?usp=sharing"",""งบพรบ!DC72"")"),0)</f>
        <v>0</v>
      </c>
      <c r="O195" s="74">
        <f t="shared" ca="1" si="132"/>
        <v>0</v>
      </c>
      <c r="P195" s="74">
        <f t="shared" ca="1" si="133"/>
        <v>0</v>
      </c>
      <c r="Q195" s="74">
        <v>0</v>
      </c>
      <c r="R195" s="74">
        <v>0</v>
      </c>
      <c r="S195" s="74">
        <v>0</v>
      </c>
      <c r="T195" s="74">
        <f t="shared" si="135"/>
        <v>0</v>
      </c>
      <c r="U195" s="74">
        <f t="shared" si="136"/>
        <v>0</v>
      </c>
    </row>
    <row r="196" spans="1:21" ht="19.5" x14ac:dyDescent="0.3">
      <c r="A196" s="553"/>
      <c r="B196" s="555"/>
      <c r="C196" s="1130" t="s">
        <v>78</v>
      </c>
      <c r="D196" s="554"/>
      <c r="E196" s="554"/>
      <c r="F196" s="554"/>
      <c r="G196" s="557"/>
      <c r="H196" s="558" t="s">
        <v>79</v>
      </c>
      <c r="I196" s="559">
        <f t="shared" ref="I196:J196" ca="1" si="143">I199</f>
        <v>4</v>
      </c>
      <c r="J196" s="559">
        <f t="shared" si="143"/>
        <v>0</v>
      </c>
      <c r="K196" s="560">
        <f ca="1">IF(I196&gt;0,J196*100/I196,0)</f>
        <v>0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58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1257">
        <f ca="1">IFERROR(__xludf.DUMMYFUNCTION("IMPORTRANGE(""https://docs.google.com/spreadsheets/d/1eHaY18a8A9IcSdp1K8H6x8fbOy06t2VsZHhMHf-1x7Y/edit?usp=sharing"",""แผน!AB72"")"),6000)</f>
        <v>6000</v>
      </c>
      <c r="M197" s="87"/>
      <c r="N197" s="923">
        <v>0</v>
      </c>
      <c r="O197" s="264">
        <f ca="1">IF(L197&gt;0,N197*100/L197,0)</f>
        <v>0</v>
      </c>
      <c r="P197" s="264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282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99" t="s">
        <v>79</v>
      </c>
      <c r="I199" s="293">
        <f ca="1">IFERROR(__xludf.DUMMYFUNCTION("IMPORTRANGE(""https://docs.google.com/spreadsheets/d/1eHaY18a8A9IcSdp1K8H6x8fbOy06t2VsZHhMHf-1x7Y/edit?usp=sharing"",""แผน!AE72"")"),4)</f>
        <v>4</v>
      </c>
      <c r="J199" s="294">
        <v>0</v>
      </c>
      <c r="K199" s="74">
        <f ca="1">IF(I199&gt;0,J199*100/I199,0)</f>
        <v>0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0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0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4">I210</f>
        <v>1</v>
      </c>
      <c r="J203" s="559">
        <f t="shared" si="144"/>
        <v>0</v>
      </c>
      <c r="K203" s="560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58"/>
      <c r="C204" s="259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1257">
        <f ca="1">L205+L206+L207+L208</f>
        <v>13000</v>
      </c>
      <c r="M204" s="87"/>
      <c r="N204" s="264">
        <f>N205+N206+N207+N208</f>
        <v>0</v>
      </c>
      <c r="O204" s="264">
        <f ca="1">IF(L204&gt;0,N204*100/L204,0)</f>
        <v>0</v>
      </c>
      <c r="P204" s="264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58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73">
        <f ca="1">IFERROR(__xludf.DUMMYFUNCTION("IMPORTRANGE(""https://docs.google.com/spreadsheets/d/1eHaY18a8A9IcSdp1K8H6x8fbOy06t2VsZHhMHf-1x7Y/edit?usp=sharing"",""แผน!AG72"")"),1000)</f>
        <v>1000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58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73">
        <f ca="1">IFERROR(__xludf.DUMMYFUNCTION("IMPORTRANGE(""https://docs.google.com/spreadsheets/d/1eHaY18a8A9IcSdp1K8H6x8fbOy06t2VsZHhMHf-1x7Y/edit?usp=sharing"",""แผน!AH72"")"),0)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58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73">
        <f ca="1">IFERROR(__xludf.DUMMYFUNCTION("IMPORTRANGE(""https://docs.google.com/spreadsheets/d/1eHaY18a8A9IcSdp1K8H6x8fbOy06t2VsZHhMHf-1x7Y/edit?usp=sharing"",""แผน!AI72"")"),8000)</f>
        <v>8000</v>
      </c>
      <c r="M207" s="87"/>
      <c r="N207" s="924">
        <v>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58"/>
      <c r="D208" s="267" t="s">
        <v>89</v>
      </c>
      <c r="E208" s="258"/>
      <c r="F208" s="258"/>
      <c r="G208" s="261"/>
      <c r="H208" s="292" t="s">
        <v>14</v>
      </c>
      <c r="I208" s="263"/>
      <c r="J208" s="263"/>
      <c r="K208" s="87"/>
      <c r="L208" s="73">
        <f ca="1">IFERROR(__xludf.DUMMYFUNCTION("IMPORTRANGE(""https://docs.google.com/spreadsheets/d/1eHaY18a8A9IcSdp1K8H6x8fbOy06t2VsZHhMHf-1x7Y/edit?usp=sharing"",""แผน!AJ72"")"),4000)</f>
        <v>4000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282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3" t="s">
        <v>85</v>
      </c>
      <c r="I210" s="293">
        <f ca="1">IFERROR(__xludf.DUMMYFUNCTION("IMPORTRANGE(""https://docs.google.com/spreadsheets/d/1eHaY18a8A9IcSdp1K8H6x8fbOy06t2VsZHhMHf-1x7Y/edit?usp=sharing"",""แผน!AK72"")"),1)</f>
        <v>1</v>
      </c>
      <c r="J210" s="294">
        <v>0</v>
      </c>
      <c r="K210" s="768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282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3" t="s">
        <v>85</v>
      </c>
      <c r="I212" s="293">
        <f ca="1">IFERROR(__xludf.DUMMYFUNCTION("IMPORTRANGE(""https://docs.google.com/spreadsheets/d/1eHaY18a8A9IcSdp1K8H6x8fbOy06t2VsZHhMHf-1x7Y/edit?usp=sharing"",""แผน!JX72"")"),1)</f>
        <v>1</v>
      </c>
      <c r="J212" s="294">
        <v>0</v>
      </c>
      <c r="K212" s="768">
        <f t="shared" ref="K212:K214" ca="1" si="145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IFERROR(__xludf.DUMMYFUNCTION("IMPORTRANGE(""https://docs.google.com/spreadsheets/d/1eHaY18a8A9IcSdp1K8H6x8fbOy06t2VsZHhMHf-1x7Y/edit?usp=sharing"",""แผน!JY72"")"),0)</f>
        <v>0</v>
      </c>
      <c r="J213" s="294">
        <v>0</v>
      </c>
      <c r="K213" s="768">
        <f t="shared" ca="1" si="145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hidden="1" x14ac:dyDescent="0.3">
      <c r="A214" s="553"/>
      <c r="B214" s="555"/>
      <c r="C214" s="1130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6">I221</f>
        <v>0</v>
      </c>
      <c r="J214" s="559">
        <f t="shared" si="146"/>
        <v>0</v>
      </c>
      <c r="K214" s="560">
        <f t="shared" ca="1" si="145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hidden="1" x14ac:dyDescent="0.3">
      <c r="A215" s="257"/>
      <c r="B215" s="258"/>
      <c r="C215" s="259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1257">
        <f ca="1">L216+L217+L218</f>
        <v>0</v>
      </c>
      <c r="M215" s="87"/>
      <c r="N215" s="264">
        <f>N216+N217+N218</f>
        <v>0</v>
      </c>
      <c r="O215" s="264">
        <f ca="1">IF(L215&gt;0,N215*100/L215,0)</f>
        <v>0</v>
      </c>
      <c r="P215" s="264">
        <f>IF(M215&gt;0,N215*100/M215,0)</f>
        <v>0</v>
      </c>
      <c r="Q215" s="87"/>
      <c r="R215" s="87"/>
      <c r="S215" s="87"/>
      <c r="T215" s="87"/>
      <c r="U215" s="87"/>
    </row>
    <row r="216" spans="1:21" ht="18.75" hidden="1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3">
        <f ca="1">IFERROR(__xludf.DUMMYFUNCTION("IMPORTRANGE(""https://docs.google.com/spreadsheets/d/1eHaY18a8A9IcSdp1K8H6x8fbOy06t2VsZHhMHf-1x7Y/edit?usp=sharing"",""แผน!AM72"")"),0)</f>
        <v>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hidden="1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3">
        <f ca="1">IFERROR(__xludf.DUMMYFUNCTION("IMPORTRANGE(""https://docs.google.com/spreadsheets/d/1eHaY18a8A9IcSdp1K8H6x8fbOy06t2VsZHhMHf-1x7Y/edit?usp=sharing"",""แผน!AN72"")"),0)</f>
        <v>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hidden="1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3">
        <f ca="1">IFERROR(__xludf.DUMMYFUNCTION("IMPORTRANGE(""https://docs.google.com/spreadsheets/d/1eHaY18a8A9IcSdp1K8H6x8fbOy06t2VsZHhMHf-1x7Y/edit?usp=sharing"",""แผน!AO72"")"),0)</f>
        <v>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hidden="1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282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hidden="1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3" t="s">
        <v>85</v>
      </c>
      <c r="I220" s="293">
        <f ca="1">IFERROR(__xludf.DUMMYFUNCTION("IMPORTRANGE(""https://docs.google.com/spreadsheets/d/1eHaY18a8A9IcSdp1K8H6x8fbOy06t2VsZHhMHf-1x7Y/edit?usp=sharing"",""แผน!AP72"")"),0)</f>
        <v>0</v>
      </c>
      <c r="J220" s="294">
        <v>0</v>
      </c>
      <c r="K220" s="74">
        <f t="shared" ref="K220:K222" ca="1" si="147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hidden="1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IFERROR(__xludf.DUMMYFUNCTION("IMPORTRANGE(""https://docs.google.com/spreadsheets/d/1eHaY18a8A9IcSdp1K8H6x8fbOy06t2VsZHhMHf-1x7Y/edit?usp=sharing"",""แผน!AP72"")"),0)</f>
        <v>0</v>
      </c>
      <c r="J221" s="294">
        <v>0</v>
      </c>
      <c r="K221" s="74">
        <f t="shared" ca="1" si="147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30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8">I230</f>
        <v>20000</v>
      </c>
      <c r="J222" s="559">
        <f t="shared" si="148"/>
        <v>0</v>
      </c>
      <c r="K222" s="560">
        <f t="shared" ca="1" si="147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58"/>
      <c r="C223" s="259" t="s">
        <v>18</v>
      </c>
      <c r="D223" s="112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1257">
        <f ca="1">L224+L225+L226</f>
        <v>4500</v>
      </c>
      <c r="M223" s="87"/>
      <c r="N223" s="264">
        <f>N224+N225+N226</f>
        <v>0</v>
      </c>
      <c r="O223" s="264">
        <f ca="1">IF(L223&gt;0,N223*100/L223,0)</f>
        <v>0</v>
      </c>
      <c r="P223" s="264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58"/>
      <c r="D224" s="398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3">
        <f ca="1">IFERROR(__xludf.DUMMYFUNCTION("IMPORTRANGE(""https://docs.google.com/spreadsheets/d/1eHaY18a8A9IcSdp1K8H6x8fbOy06t2VsZHhMHf-1x7Y/edit?usp=sharing"",""แผน!AR72"")"),3000)</f>
        <v>3000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3">
        <f ca="1">IFERROR(__xludf.DUMMYFUNCTION("IMPORTRANGE(""https://docs.google.com/spreadsheets/d/1eHaY18a8A9IcSdp1K8H6x8fbOy06t2VsZHhMHf-1x7Y/edit?usp=sharing"",""แผน!AS72"")"),1500)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3">
        <f ca="1">IFERROR(__xludf.DUMMYFUNCTION("IMPORTRANGE(""https://docs.google.com/spreadsheets/d/1eHaY18a8A9IcSdp1K8H6x8fbOy06t2VsZHhMHf-1x7Y/edit?usp=sharing"",""แผน!AT72"")"),0)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282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282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99" t="s">
        <v>99</v>
      </c>
      <c r="I229" s="293">
        <f ca="1">IFERROR(__xludf.DUMMYFUNCTION("IMPORTRANGE(""https://docs.google.com/spreadsheets/d/1eHaY18a8A9IcSdp1K8H6x8fbOy06t2VsZHhMHf-1x7Y/edit?usp=sharing"",""แผน!AV72"")"),20000)</f>
        <v>20000</v>
      </c>
      <c r="J229" s="294">
        <v>0</v>
      </c>
      <c r="K229" s="768">
        <f t="shared" ref="K229:K232" ca="1" si="149">IF(I229&gt;0,J229*100/I229,0)</f>
        <v>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99" t="s">
        <v>99</v>
      </c>
      <c r="I230" s="293">
        <f ca="1">IFERROR(__xludf.DUMMYFUNCTION("IMPORTRANGE(""https://docs.google.com/spreadsheets/d/1eHaY18a8A9IcSdp1K8H6x8fbOy06t2VsZHhMHf-1x7Y/edit?usp=sharing"",""แผน!AV72"")"),20000)</f>
        <v>20000</v>
      </c>
      <c r="J230" s="294">
        <v>0</v>
      </c>
      <c r="K230" s="768">
        <f t="shared" ca="1" si="149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99" t="s">
        <v>35</v>
      </c>
      <c r="I231" s="293">
        <f ca="1">IFERROR(__xludf.DUMMYFUNCTION("IMPORTRANGE(""https://docs.google.com/spreadsheets/d/1eHaY18a8A9IcSdp1K8H6x8fbOy06t2VsZHhMHf-1x7Y/edit?usp=sharing"",""แผน!AU72"")"),0)</f>
        <v>0</v>
      </c>
      <c r="J231" s="294">
        <v>0</v>
      </c>
      <c r="K231" s="768">
        <f t="shared" ca="1" si="149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553"/>
      <c r="B232" s="555"/>
      <c r="C232" s="1130" t="s">
        <v>105</v>
      </c>
      <c r="D232" s="554"/>
      <c r="E232" s="554"/>
      <c r="F232" s="554"/>
      <c r="G232" s="557"/>
      <c r="H232" s="558" t="s">
        <v>35</v>
      </c>
      <c r="I232" s="559">
        <f t="shared" ref="I232:J232" ca="1" si="150">I243+I254</f>
        <v>0</v>
      </c>
      <c r="J232" s="559">
        <f t="shared" si="150"/>
        <v>0</v>
      </c>
      <c r="K232" s="560">
        <f t="shared" ca="1" si="149"/>
        <v>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257"/>
      <c r="B233" s="258"/>
      <c r="C233" s="259" t="s">
        <v>18</v>
      </c>
      <c r="D233" s="260" t="s">
        <v>19</v>
      </c>
      <c r="E233" s="258"/>
      <c r="F233" s="258"/>
      <c r="G233" s="261"/>
      <c r="H233" s="633" t="s">
        <v>14</v>
      </c>
      <c r="I233" s="272"/>
      <c r="J233" s="272"/>
      <c r="K233" s="229"/>
      <c r="L233" s="1281">
        <f t="shared" ref="L233:L237" ca="1" si="151">L244+L255</f>
        <v>0</v>
      </c>
      <c r="M233" s="87"/>
      <c r="N233" s="1258">
        <f t="shared" ref="N233:N237" si="152">N244+N255</f>
        <v>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257"/>
      <c r="B234" s="269"/>
      <c r="C234" s="258"/>
      <c r="D234" s="267" t="s">
        <v>86</v>
      </c>
      <c r="E234" s="258"/>
      <c r="F234" s="258"/>
      <c r="G234" s="261"/>
      <c r="H234" s="271" t="s">
        <v>14</v>
      </c>
      <c r="I234" s="272"/>
      <c r="J234" s="272"/>
      <c r="K234" s="229"/>
      <c r="L234" s="76">
        <f t="shared" ca="1" si="151"/>
        <v>0</v>
      </c>
      <c r="M234" s="87"/>
      <c r="N234" s="77">
        <f t="shared" si="152"/>
        <v>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550"/>
      <c r="B235" s="269"/>
      <c r="C235" s="269"/>
      <c r="D235" s="267" t="s">
        <v>88</v>
      </c>
      <c r="E235" s="258"/>
      <c r="F235" s="258"/>
      <c r="G235" s="261"/>
      <c r="H235" s="271" t="s">
        <v>14</v>
      </c>
      <c r="I235" s="263"/>
      <c r="J235" s="263"/>
      <c r="K235" s="87"/>
      <c r="L235" s="76">
        <f t="shared" ca="1" si="151"/>
        <v>0</v>
      </c>
      <c r="M235" s="87"/>
      <c r="N235" s="77">
        <f t="shared" si="152"/>
        <v>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550"/>
      <c r="B236" s="269"/>
      <c r="C236" s="269"/>
      <c r="D236" s="267" t="s">
        <v>106</v>
      </c>
      <c r="E236" s="258"/>
      <c r="F236" s="258"/>
      <c r="G236" s="261"/>
      <c r="H236" s="271" t="s">
        <v>14</v>
      </c>
      <c r="I236" s="263"/>
      <c r="J236" s="263"/>
      <c r="K236" s="87"/>
      <c r="L236" s="76">
        <f t="shared" ca="1" si="151"/>
        <v>0</v>
      </c>
      <c r="M236" s="87"/>
      <c r="N236" s="77">
        <f t="shared" si="152"/>
        <v>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550"/>
      <c r="B237" s="269"/>
      <c r="C237" s="269"/>
      <c r="D237" s="267" t="s">
        <v>107</v>
      </c>
      <c r="E237" s="258"/>
      <c r="F237" s="258"/>
      <c r="G237" s="261"/>
      <c r="H237" s="271" t="s">
        <v>14</v>
      </c>
      <c r="I237" s="263"/>
      <c r="J237" s="263"/>
      <c r="K237" s="87"/>
      <c r="L237" s="76">
        <f t="shared" ca="1" si="151"/>
        <v>0</v>
      </c>
      <c r="M237" s="87"/>
      <c r="N237" s="77">
        <f t="shared" si="152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276"/>
      <c r="B238" s="277"/>
      <c r="C238" s="621" t="s">
        <v>18</v>
      </c>
      <c r="D238" s="1019" t="s">
        <v>38</v>
      </c>
      <c r="E238" s="280"/>
      <c r="F238" s="280"/>
      <c r="G238" s="281"/>
      <c r="H238" s="282"/>
      <c r="I238" s="272"/>
      <c r="J238" s="263"/>
      <c r="K238" s="87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276"/>
      <c r="B239" s="277"/>
      <c r="C239" s="277"/>
      <c r="D239" s="295" t="s">
        <v>108</v>
      </c>
      <c r="E239" s="296"/>
      <c r="F239" s="296"/>
      <c r="G239" s="282"/>
      <c r="H239" s="299" t="s">
        <v>35</v>
      </c>
      <c r="I239" s="293">
        <f t="shared" ref="I239:J239" ca="1" si="153">I250+I261</f>
        <v>0</v>
      </c>
      <c r="J239" s="293">
        <f t="shared" si="153"/>
        <v>0</v>
      </c>
      <c r="K239" s="74">
        <f ca="1">IF(I239&gt;0,J239*100/I239,0)</f>
        <v>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276"/>
      <c r="B240" s="277"/>
      <c r="C240" s="277"/>
      <c r="D240" s="1103" t="s">
        <v>43</v>
      </c>
      <c r="E240" s="296"/>
      <c r="F240" s="296"/>
      <c r="G240" s="282"/>
      <c r="H240" s="282"/>
      <c r="I240" s="263"/>
      <c r="J240" s="263"/>
      <c r="K240" s="87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276"/>
      <c r="B241" s="277"/>
      <c r="C241" s="277"/>
      <c r="D241" s="277"/>
      <c r="E241" s="767" t="s">
        <v>109</v>
      </c>
      <c r="F241" s="296"/>
      <c r="G241" s="282"/>
      <c r="H241" s="299" t="s">
        <v>35</v>
      </c>
      <c r="I241" s="293">
        <f t="shared" ref="I241:J242" si="154">I252+I263</f>
        <v>0</v>
      </c>
      <c r="J241" s="293">
        <f t="shared" si="154"/>
        <v>0</v>
      </c>
      <c r="K241" s="74">
        <f t="shared" ref="K241:K243" si="155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276"/>
      <c r="B242" s="277"/>
      <c r="C242" s="277"/>
      <c r="D242" s="277"/>
      <c r="E242" s="767" t="s">
        <v>110</v>
      </c>
      <c r="F242" s="296"/>
      <c r="G242" s="282"/>
      <c r="H242" s="299" t="s">
        <v>61</v>
      </c>
      <c r="I242" s="293">
        <f t="shared" si="154"/>
        <v>0</v>
      </c>
      <c r="J242" s="293">
        <f t="shared" si="154"/>
        <v>0</v>
      </c>
      <c r="K242" s="74">
        <f t="shared" si="155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hidden="1" x14ac:dyDescent="0.3">
      <c r="A243" s="553"/>
      <c r="B243" s="555"/>
      <c r="C243" s="927" t="s">
        <v>111</v>
      </c>
      <c r="D243" s="554"/>
      <c r="E243" s="554"/>
      <c r="F243" s="554"/>
      <c r="G243" s="557"/>
      <c r="H243" s="930" t="s">
        <v>35</v>
      </c>
      <c r="I243" s="931">
        <f t="shared" ref="I243:J243" ca="1" si="156">I250</f>
        <v>0</v>
      </c>
      <c r="J243" s="931">
        <f t="shared" si="156"/>
        <v>0</v>
      </c>
      <c r="K243" s="932">
        <f t="shared" ca="1" si="155"/>
        <v>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hidden="1" x14ac:dyDescent="0.3">
      <c r="A244" s="257"/>
      <c r="B244" s="258"/>
      <c r="C244" s="933" t="s">
        <v>18</v>
      </c>
      <c r="D244" s="934" t="s">
        <v>19</v>
      </c>
      <c r="E244" s="258"/>
      <c r="F244" s="258"/>
      <c r="G244" s="261"/>
      <c r="H244" s="703" t="s">
        <v>14</v>
      </c>
      <c r="I244" s="272"/>
      <c r="J244" s="272"/>
      <c r="K244" s="229"/>
      <c r="L244" s="1257">
        <f ca="1">L245+L246+L247+L248</f>
        <v>0</v>
      </c>
      <c r="M244" s="87"/>
      <c r="N244" s="264">
        <f>N245+N246+N247+N248</f>
        <v>0</v>
      </c>
      <c r="O244" s="264">
        <f ca="1">IF(L244&gt;0,N244*100/L244,0)</f>
        <v>0</v>
      </c>
      <c r="P244" s="264">
        <f>IF(M244&gt;0,N244*100/M244,0)</f>
        <v>0</v>
      </c>
      <c r="Q244" s="87"/>
      <c r="R244" s="87"/>
      <c r="S244" s="87"/>
      <c r="T244" s="87"/>
      <c r="U244" s="87"/>
    </row>
    <row r="245" spans="1:21" ht="18.75" hidden="1" x14ac:dyDescent="0.25">
      <c r="A245" s="257"/>
      <c r="B245" s="269"/>
      <c r="C245" s="258"/>
      <c r="D245" s="265" t="s">
        <v>86</v>
      </c>
      <c r="E245" s="258"/>
      <c r="F245" s="258"/>
      <c r="G245" s="261"/>
      <c r="H245" s="273" t="s">
        <v>14</v>
      </c>
      <c r="I245" s="272"/>
      <c r="J245" s="272"/>
      <c r="K245" s="229"/>
      <c r="L245" s="73">
        <f ca="1">IFERROR(__xludf.DUMMYFUNCTION("IMPORTRANGE(""https://docs.google.com/spreadsheets/d/1eHaY18a8A9IcSdp1K8H6x8fbOy06t2VsZHhMHf-1x7Y/edit?usp=sharing"",""แผน!AX72"")"),0)</f>
        <v>0</v>
      </c>
      <c r="M245" s="87"/>
      <c r="N245" s="924">
        <v>0</v>
      </c>
      <c r="O245" s="87"/>
      <c r="P245" s="87"/>
      <c r="Q245" s="87"/>
      <c r="R245" s="87"/>
      <c r="S245" s="87"/>
      <c r="T245" s="87"/>
      <c r="U245" s="87"/>
    </row>
    <row r="246" spans="1:21" ht="18.75" hidden="1" x14ac:dyDescent="0.25">
      <c r="A246" s="550"/>
      <c r="B246" s="269"/>
      <c r="C246" s="269"/>
      <c r="D246" s="265" t="s">
        <v>88</v>
      </c>
      <c r="E246" s="258"/>
      <c r="F246" s="258"/>
      <c r="G246" s="261"/>
      <c r="H246" s="273" t="s">
        <v>14</v>
      </c>
      <c r="I246" s="263"/>
      <c r="J246" s="263"/>
      <c r="K246" s="87"/>
      <c r="L246" s="73">
        <f ca="1">IFERROR(__xludf.DUMMYFUNCTION("IMPORTRANGE(""https://docs.google.com/spreadsheets/d/1eHaY18a8A9IcSdp1K8H6x8fbOy06t2VsZHhMHf-1x7Y/edit?usp=sharing"",""แผน!AY72"")"),0)</f>
        <v>0</v>
      </c>
      <c r="M246" s="87"/>
      <c r="N246" s="924">
        <v>0</v>
      </c>
      <c r="O246" s="87"/>
      <c r="P246" s="87"/>
      <c r="Q246" s="87"/>
      <c r="R246" s="87"/>
      <c r="S246" s="87"/>
      <c r="T246" s="87"/>
      <c r="U246" s="87"/>
    </row>
    <row r="247" spans="1:21" ht="18.75" hidden="1" x14ac:dyDescent="0.25">
      <c r="A247" s="550"/>
      <c r="B247" s="269"/>
      <c r="C247" s="269"/>
      <c r="D247" s="265" t="s">
        <v>106</v>
      </c>
      <c r="E247" s="258"/>
      <c r="F247" s="258"/>
      <c r="G247" s="261"/>
      <c r="H247" s="273" t="s">
        <v>14</v>
      </c>
      <c r="I247" s="263"/>
      <c r="J247" s="263"/>
      <c r="K247" s="87"/>
      <c r="L247" s="73">
        <f ca="1">IFERROR(__xludf.DUMMYFUNCTION("IMPORTRANGE(""https://docs.google.com/spreadsheets/d/1eHaY18a8A9IcSdp1K8H6x8fbOy06t2VsZHhMHf-1x7Y/edit?usp=sharing"",""แผน!AZ72"")"),0)</f>
        <v>0</v>
      </c>
      <c r="M247" s="87"/>
      <c r="N247" s="924">
        <v>0</v>
      </c>
      <c r="O247" s="87"/>
      <c r="P247" s="87"/>
      <c r="Q247" s="87"/>
      <c r="R247" s="87"/>
      <c r="S247" s="87"/>
      <c r="T247" s="87"/>
      <c r="U247" s="87"/>
    </row>
    <row r="248" spans="1:21" ht="18.75" hidden="1" x14ac:dyDescent="0.25">
      <c r="A248" s="550"/>
      <c r="B248" s="269"/>
      <c r="C248" s="269"/>
      <c r="D248" s="265" t="s">
        <v>107</v>
      </c>
      <c r="E248" s="258"/>
      <c r="F248" s="258"/>
      <c r="G248" s="261"/>
      <c r="H248" s="273" t="s">
        <v>14</v>
      </c>
      <c r="I248" s="263"/>
      <c r="J248" s="263"/>
      <c r="K248" s="87"/>
      <c r="L248" s="73">
        <f ca="1">IFERROR(__xludf.DUMMYFUNCTION("IMPORTRANGE(""https://docs.google.com/spreadsheets/d/1eHaY18a8A9IcSdp1K8H6x8fbOy06t2VsZHhMHf-1x7Y/edit?usp=sharing"",""แผน!BA72"")"),0)</f>
        <v>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hidden="1" x14ac:dyDescent="0.3">
      <c r="A249" s="276"/>
      <c r="B249" s="277"/>
      <c r="C249" s="939" t="s">
        <v>18</v>
      </c>
      <c r="D249" s="940" t="s">
        <v>38</v>
      </c>
      <c r="E249" s="280"/>
      <c r="F249" s="280"/>
      <c r="G249" s="281"/>
      <c r="H249" s="282"/>
      <c r="I249" s="272"/>
      <c r="J249" s="263"/>
      <c r="K249" s="87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hidden="1" x14ac:dyDescent="0.25">
      <c r="A250" s="276"/>
      <c r="B250" s="277"/>
      <c r="C250" s="277"/>
      <c r="D250" s="311" t="s">
        <v>108</v>
      </c>
      <c r="E250" s="296"/>
      <c r="F250" s="296"/>
      <c r="G250" s="282"/>
      <c r="H250" s="945" t="s">
        <v>35</v>
      </c>
      <c r="I250" s="592">
        <f ca="1">IFERROR(__xludf.DUMMYFUNCTION("IMPORTRANGE(""https://docs.google.com/spreadsheets/d/1eHaY18a8A9IcSdp1K8H6x8fbOy06t2VsZHhMHf-1x7Y/edit?usp=sharing"",""แผน!BG72"")"),0)</f>
        <v>0</v>
      </c>
      <c r="J250" s="910">
        <v>0</v>
      </c>
      <c r="K250" s="77">
        <f ca="1">IF(I250&gt;0,J250*100/I250,0)</f>
        <v>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hidden="1" x14ac:dyDescent="0.25">
      <c r="A251" s="276"/>
      <c r="B251" s="277"/>
      <c r="C251" s="277"/>
      <c r="D251" s="946" t="s">
        <v>43</v>
      </c>
      <c r="E251" s="296"/>
      <c r="F251" s="296"/>
      <c r="G251" s="282"/>
      <c r="H251" s="282"/>
      <c r="I251" s="263"/>
      <c r="J251" s="263"/>
      <c r="K251" s="87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hidden="1" x14ac:dyDescent="0.25">
      <c r="A252" s="276"/>
      <c r="B252" s="277"/>
      <c r="C252" s="277"/>
      <c r="D252" s="277"/>
      <c r="E252" s="947" t="s">
        <v>109</v>
      </c>
      <c r="F252" s="296"/>
      <c r="G252" s="282"/>
      <c r="H252" s="945" t="s">
        <v>35</v>
      </c>
      <c r="I252" s="592">
        <v>0</v>
      </c>
      <c r="J252" s="910">
        <v>0</v>
      </c>
      <c r="K252" s="77">
        <f t="shared" ref="K252:K254" si="157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hidden="1" x14ac:dyDescent="0.25">
      <c r="A253" s="276"/>
      <c r="B253" s="277"/>
      <c r="C253" s="277"/>
      <c r="D253" s="277"/>
      <c r="E253" s="947" t="s">
        <v>110</v>
      </c>
      <c r="F253" s="296"/>
      <c r="G253" s="282"/>
      <c r="H253" s="945" t="s">
        <v>61</v>
      </c>
      <c r="I253" s="592">
        <v>0</v>
      </c>
      <c r="J253" s="910">
        <v>0</v>
      </c>
      <c r="K253" s="77">
        <f t="shared" si="157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553"/>
      <c r="B254" s="555"/>
      <c r="C254" s="927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8">I261</f>
        <v>0</v>
      </c>
      <c r="J254" s="931">
        <f t="shared" si="158"/>
        <v>0</v>
      </c>
      <c r="K254" s="932">
        <f t="shared" ca="1" si="157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257"/>
      <c r="B255" s="258"/>
      <c r="C255" s="933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1257">
        <f ca="1">L256+L257+L258+L259</f>
        <v>0</v>
      </c>
      <c r="M255" s="87"/>
      <c r="N255" s="264">
        <f>N256+N257+N258+N259</f>
        <v>0</v>
      </c>
      <c r="O255" s="264">
        <f ca="1">IF(L255&gt;0,N255*100/L255,0)</f>
        <v>0</v>
      </c>
      <c r="P255" s="264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257"/>
      <c r="B256" s="269"/>
      <c r="C256" s="258"/>
      <c r="D256" s="265" t="s">
        <v>86</v>
      </c>
      <c r="E256" s="258"/>
      <c r="F256" s="258"/>
      <c r="G256" s="261"/>
      <c r="H256" s="273" t="s">
        <v>14</v>
      </c>
      <c r="I256" s="272"/>
      <c r="J256" s="272"/>
      <c r="K256" s="229"/>
      <c r="L256" s="73">
        <f ca="1">IFERROR(__xludf.DUMMYFUNCTION("IMPORTRANGE(""https://docs.google.com/spreadsheets/d/1eHaY18a8A9IcSdp1K8H6x8fbOy06t2VsZHhMHf-1x7Y/edit?usp=sharing"",""แผน!BB72"")"),0)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265" t="s">
        <v>88</v>
      </c>
      <c r="E257" s="258"/>
      <c r="F257" s="258"/>
      <c r="G257" s="261"/>
      <c r="H257" s="273" t="s">
        <v>14</v>
      </c>
      <c r="I257" s="263"/>
      <c r="J257" s="263"/>
      <c r="K257" s="87"/>
      <c r="L257" s="73">
        <f ca="1">IFERROR(__xludf.DUMMYFUNCTION("IMPORTRANGE(""https://docs.google.com/spreadsheets/d/1eHaY18a8A9IcSdp1K8H6x8fbOy06t2VsZHhMHf-1x7Y/edit?usp=sharing"",""แผน!BC72"")"),0)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265" t="s">
        <v>106</v>
      </c>
      <c r="E258" s="258"/>
      <c r="F258" s="258"/>
      <c r="G258" s="261"/>
      <c r="H258" s="273" t="s">
        <v>14</v>
      </c>
      <c r="I258" s="263"/>
      <c r="J258" s="263"/>
      <c r="K258" s="87"/>
      <c r="L258" s="73">
        <f ca="1">IFERROR(__xludf.DUMMYFUNCTION("IMPORTRANGE(""https://docs.google.com/spreadsheets/d/1eHaY18a8A9IcSdp1K8H6x8fbOy06t2VsZHhMHf-1x7Y/edit?usp=sharing"",""แผน!BD72"")"),0)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5" t="s">
        <v>107</v>
      </c>
      <c r="E259" s="258"/>
      <c r="F259" s="258"/>
      <c r="G259" s="261"/>
      <c r="H259" s="273" t="s">
        <v>14</v>
      </c>
      <c r="I259" s="263"/>
      <c r="J259" s="263"/>
      <c r="K259" s="87"/>
      <c r="L259" s="73">
        <f ca="1">IFERROR(__xludf.DUMMYFUNCTION("IMPORTRANGE(""https://docs.google.com/spreadsheets/d/1eHaY18a8A9IcSdp1K8H6x8fbOy06t2VsZHhMHf-1x7Y/edit?usp=sharing"",""แผน!BE72"")"),0)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945" t="s">
        <v>35</v>
      </c>
      <c r="I261" s="592">
        <f ca="1">IFERROR(__xludf.DUMMYFUNCTION("IMPORTRANGE(""https://docs.google.com/spreadsheets/d/1eHaY18a8A9IcSdp1K8H6x8fbOy06t2VsZHhMHf-1x7Y/edit?usp=sharing"",""แผน!BH72"")"),0)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282"/>
      <c r="I262" s="263"/>
      <c r="J262" s="263"/>
      <c r="K262" s="87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945" t="s">
        <v>35</v>
      </c>
      <c r="I263" s="263"/>
      <c r="J263" s="910">
        <v>0</v>
      </c>
      <c r="K263" s="77">
        <f t="shared" ref="K263:K264" si="159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945" t="s">
        <v>61</v>
      </c>
      <c r="I264" s="263"/>
      <c r="J264" s="910">
        <v>0</v>
      </c>
      <c r="K264" s="77">
        <f t="shared" si="159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363"/>
      <c r="I265" s="364"/>
      <c r="J265" s="364"/>
      <c r="K265" s="365"/>
      <c r="L265" s="1230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371" t="s">
        <v>35</v>
      </c>
      <c r="I266" s="1140">
        <f t="shared" ref="I266:J266" ca="1" si="160">I277</f>
        <v>22</v>
      </c>
      <c r="J266" s="1140">
        <f t="shared" si="160"/>
        <v>0</v>
      </c>
      <c r="K266" s="373">
        <f ca="1">IF(I266&gt;0,J266*100/I266,0)</f>
        <v>0</v>
      </c>
      <c r="L266" s="1231"/>
      <c r="M266" s="374"/>
      <c r="N266" s="374"/>
      <c r="O266" s="374"/>
      <c r="P266" s="374"/>
      <c r="Q266" s="374"/>
      <c r="R266" s="374"/>
      <c r="S266" s="374"/>
      <c r="T266" s="374"/>
      <c r="U266" s="374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1262">
        <f t="shared" ref="L267:N267" ca="1" si="161">L268+L269</f>
        <v>0</v>
      </c>
      <c r="M267" s="213">
        <f t="shared" ca="1" si="161"/>
        <v>5000</v>
      </c>
      <c r="N267" s="213">
        <f t="shared" ca="1" si="161"/>
        <v>0</v>
      </c>
      <c r="O267" s="213">
        <f t="shared" ref="O267:O275" ca="1" si="162">IF(L267&gt;0,N267*100/L267,0)</f>
        <v>0</v>
      </c>
      <c r="P267" s="213">
        <f t="shared" ref="P267:P275" ca="1" si="163">IF(M267&gt;0,N267*100/M267,0)</f>
        <v>0</v>
      </c>
      <c r="Q267" s="213">
        <f t="shared" ref="Q267:S267" ca="1" si="164">Q268+Q269</f>
        <v>50660</v>
      </c>
      <c r="R267" s="213">
        <f t="shared" ca="1" si="164"/>
        <v>50660</v>
      </c>
      <c r="S267" s="213">
        <f t="shared" ca="1" si="164"/>
        <v>0</v>
      </c>
      <c r="T267" s="213">
        <f t="shared" ref="T267:T275" ca="1" si="165">IF(Q267&gt;0,S267*100/Q267,0)</f>
        <v>0</v>
      </c>
      <c r="U267" s="213">
        <f t="shared" ref="U267:U275" ca="1" si="166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76">
        <f t="shared" ref="L268:N269" si="167">L271+L274</f>
        <v>0</v>
      </c>
      <c r="M268" s="77">
        <f t="shared" si="167"/>
        <v>0</v>
      </c>
      <c r="N268" s="77">
        <f t="shared" si="167"/>
        <v>0</v>
      </c>
      <c r="O268" s="77">
        <f t="shared" si="162"/>
        <v>0</v>
      </c>
      <c r="P268" s="77">
        <f t="shared" si="163"/>
        <v>0</v>
      </c>
      <c r="Q268" s="77">
        <f t="shared" ref="Q268:S269" si="168">Q271+Q274</f>
        <v>0</v>
      </c>
      <c r="R268" s="77">
        <f t="shared" si="168"/>
        <v>0</v>
      </c>
      <c r="S268" s="77">
        <f t="shared" si="168"/>
        <v>0</v>
      </c>
      <c r="T268" s="77">
        <f t="shared" si="165"/>
        <v>0</v>
      </c>
      <c r="U268" s="77">
        <f t="shared" si="166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261">
        <f t="shared" ca="1" si="167"/>
        <v>0</v>
      </c>
      <c r="M269" s="399">
        <f t="shared" ca="1" si="167"/>
        <v>5000</v>
      </c>
      <c r="N269" s="399">
        <f t="shared" ca="1" si="167"/>
        <v>0</v>
      </c>
      <c r="O269" s="399">
        <f t="shared" ca="1" si="162"/>
        <v>0</v>
      </c>
      <c r="P269" s="399">
        <f t="shared" ca="1" si="163"/>
        <v>0</v>
      </c>
      <c r="Q269" s="399">
        <f t="shared" ca="1" si="168"/>
        <v>50660</v>
      </c>
      <c r="R269" s="399">
        <f t="shared" ca="1" si="168"/>
        <v>50660</v>
      </c>
      <c r="S269" s="399">
        <f t="shared" ca="1" si="168"/>
        <v>0</v>
      </c>
      <c r="T269" s="399">
        <f t="shared" ca="1" si="165"/>
        <v>0</v>
      </c>
      <c r="U269" s="399">
        <f t="shared" ca="1" si="166"/>
        <v>0</v>
      </c>
    </row>
    <row r="270" spans="1:21" ht="18.75" x14ac:dyDescent="0.25">
      <c r="A270" s="209"/>
      <c r="B270" s="67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261">
        <f t="shared" ref="L270:N270" ca="1" si="169">L271+L272</f>
        <v>0</v>
      </c>
      <c r="M270" s="399">
        <f t="shared" ca="1" si="169"/>
        <v>5000</v>
      </c>
      <c r="N270" s="399">
        <f t="shared" ca="1" si="169"/>
        <v>0</v>
      </c>
      <c r="O270" s="399">
        <f t="shared" ca="1" si="162"/>
        <v>0</v>
      </c>
      <c r="P270" s="399">
        <f t="shared" ca="1" si="163"/>
        <v>0</v>
      </c>
      <c r="Q270" s="399">
        <f t="shared" ref="Q270:S270" ca="1" si="170">Q271+Q272</f>
        <v>50660</v>
      </c>
      <c r="R270" s="399">
        <f t="shared" ca="1" si="170"/>
        <v>50660</v>
      </c>
      <c r="S270" s="399">
        <f t="shared" ca="1" si="170"/>
        <v>0</v>
      </c>
      <c r="T270" s="399">
        <f t="shared" ca="1" si="165"/>
        <v>0</v>
      </c>
      <c r="U270" s="399">
        <f t="shared" ca="1" si="166"/>
        <v>0</v>
      </c>
    </row>
    <row r="271" spans="1:21" ht="18.75" hidden="1" x14ac:dyDescent="0.25">
      <c r="A271" s="880"/>
      <c r="B271" s="838"/>
      <c r="C271" s="838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77">
        <f t="shared" si="162"/>
        <v>0</v>
      </c>
      <c r="P271" s="77">
        <f t="shared" si="163"/>
        <v>0</v>
      </c>
      <c r="Q271" s="77">
        <v>0</v>
      </c>
      <c r="R271" s="77">
        <v>0</v>
      </c>
      <c r="S271" s="77">
        <v>0</v>
      </c>
      <c r="T271" s="77">
        <f t="shared" si="165"/>
        <v>0</v>
      </c>
      <c r="U271" s="77">
        <f t="shared" si="166"/>
        <v>0</v>
      </c>
    </row>
    <row r="272" spans="1:21" ht="18.75" hidden="1" x14ac:dyDescent="0.25">
      <c r="A272" s="209"/>
      <c r="B272" s="67"/>
      <c r="C272" s="67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261">
        <f ca="1">IFERROR(__xludf.DUMMYFUNCTION("IMPORTRANGE(""https://docs.google.com/spreadsheets/d/1-uDff_7J0KD5mKrp0Vvzr7lt3OU09vwQwhkpOPPYv2Y/edit?usp=sharing"",""งบพรบ!DE72"")"),0)</f>
        <v>0</v>
      </c>
      <c r="M272" s="399">
        <f ca="1">IFERROR(__xludf.DUMMYFUNCTION("IMPORTRANGE(""https://docs.google.com/spreadsheets/d/1-uDff_7J0KD5mKrp0Vvzr7lt3OU09vwQwhkpOPPYv2Y/edit?usp=sharing"",""งบพรบ!DJ72"")"),5000)</f>
        <v>5000</v>
      </c>
      <c r="N272" s="399">
        <f ca="1">IFERROR(__xludf.DUMMYFUNCTION("IMPORTRANGE(""https://docs.google.com/spreadsheets/d/1-uDff_7J0KD5mKrp0Vvzr7lt3OU09vwQwhkpOPPYv2Y/edit?usp=sharing"",""งบพรบ!DL72"")"),0)</f>
        <v>0</v>
      </c>
      <c r="O272" s="399">
        <f t="shared" ca="1" si="162"/>
        <v>0</v>
      </c>
      <c r="P272" s="399">
        <f t="shared" ca="1" si="163"/>
        <v>0</v>
      </c>
      <c r="Q272" s="399">
        <f ca="1">IFERROR(__xludf.DUMMYFUNCTION("IMPORTRANGE(""https://docs.google.com/spreadsheets/d/1ItG2mGa2ceCfYo0BwxsXqNm01IGEUdYcSSLTEv9YCik/edit?usp=sharing"",""เบิกจ่ายกองทุน!AJ72"")"),50660)</f>
        <v>50660</v>
      </c>
      <c r="R272" s="399">
        <f ca="1">IFERROR(__xludf.DUMMYFUNCTION("IMPORTRANGE(""https://docs.google.com/spreadsheets/d/1ItG2mGa2ceCfYo0BwxsXqNm01IGEUdYcSSLTEv9YCik/edit?usp=sharing"",""เบิกจ่ายกองทุน!AK72"")"),50660)</f>
        <v>50660</v>
      </c>
      <c r="S272" s="399">
        <f ca="1">IFERROR(__xludf.DUMMYFUNCTION("IMPORTRANGE(""https://docs.google.com/spreadsheets/d/1ItG2mGa2ceCfYo0BwxsXqNm01IGEUdYcSSLTEv9YCik/edit?usp=sharing"",""เบิกจ่ายกองทุน!AL72"")"),0)</f>
        <v>0</v>
      </c>
      <c r="T272" s="399">
        <f t="shared" ca="1" si="165"/>
        <v>0</v>
      </c>
      <c r="U272" s="399">
        <f t="shared" ca="1" si="166"/>
        <v>0</v>
      </c>
    </row>
    <row r="273" spans="1:21" ht="18.75" x14ac:dyDescent="0.25">
      <c r="A273" s="209"/>
      <c r="B273" s="67"/>
      <c r="C273" s="67"/>
      <c r="D273" s="836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261">
        <f t="shared" ref="L273:N273" ca="1" si="171">L274+L275</f>
        <v>0</v>
      </c>
      <c r="M273" s="399">
        <f t="shared" ca="1" si="171"/>
        <v>0</v>
      </c>
      <c r="N273" s="399">
        <f t="shared" ca="1" si="171"/>
        <v>0</v>
      </c>
      <c r="O273" s="399">
        <f t="shared" ca="1" si="162"/>
        <v>0</v>
      </c>
      <c r="P273" s="399">
        <f t="shared" ca="1" si="163"/>
        <v>0</v>
      </c>
      <c r="Q273" s="399">
        <f t="shared" ref="Q273:S273" si="172">Q274+Q275</f>
        <v>0</v>
      </c>
      <c r="R273" s="399">
        <f t="shared" si="172"/>
        <v>0</v>
      </c>
      <c r="S273" s="399">
        <f t="shared" si="172"/>
        <v>0</v>
      </c>
      <c r="T273" s="399">
        <f t="shared" si="165"/>
        <v>0</v>
      </c>
      <c r="U273" s="399">
        <f t="shared" si="166"/>
        <v>0</v>
      </c>
    </row>
    <row r="274" spans="1:21" ht="18.75" hidden="1" x14ac:dyDescent="0.25">
      <c r="A274" s="880"/>
      <c r="B274" s="838"/>
      <c r="C274" s="838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77">
        <f t="shared" si="162"/>
        <v>0</v>
      </c>
      <c r="P274" s="77">
        <f t="shared" si="163"/>
        <v>0</v>
      </c>
      <c r="Q274" s="77">
        <v>0</v>
      </c>
      <c r="R274" s="77">
        <v>0</v>
      </c>
      <c r="S274" s="77">
        <v>0</v>
      </c>
      <c r="T274" s="77">
        <f t="shared" si="165"/>
        <v>0</v>
      </c>
      <c r="U274" s="77">
        <f t="shared" si="166"/>
        <v>0</v>
      </c>
    </row>
    <row r="275" spans="1:21" ht="18.75" hidden="1" x14ac:dyDescent="0.25">
      <c r="A275" s="209"/>
      <c r="B275" s="67"/>
      <c r="C275" s="67"/>
      <c r="D275" s="67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261">
        <f ca="1">IFERROR(__xludf.DUMMYFUNCTION("IMPORTRANGE(""https://docs.google.com/spreadsheets/d/1-uDff_7J0KD5mKrp0Vvzr7lt3OU09vwQwhkpOPPYv2Y/edit?usp=sharing"",""งบพรบ!DH72"")"),0)</f>
        <v>0</v>
      </c>
      <c r="M275" s="399">
        <f ca="1">IFERROR(__xludf.DUMMYFUNCTION("IMPORTRANGE(""https://docs.google.com/spreadsheets/d/1-uDff_7J0KD5mKrp0Vvzr7lt3OU09vwQwhkpOPPYv2Y/edit?usp=sharing"",""งบพรบ!DK72"")"),0)</f>
        <v>0</v>
      </c>
      <c r="N275" s="399">
        <f ca="1">IFERROR(__xludf.DUMMYFUNCTION("IMPORTRANGE(""https://docs.google.com/spreadsheets/d/1-uDff_7J0KD5mKrp0Vvzr7lt3OU09vwQwhkpOPPYv2Y/edit?usp=sharing"",""งบพรบ!DM72"")"),0)</f>
        <v>0</v>
      </c>
      <c r="O275" s="399">
        <f t="shared" ca="1" si="162"/>
        <v>0</v>
      </c>
      <c r="P275" s="399">
        <f t="shared" ca="1" si="163"/>
        <v>0</v>
      </c>
      <c r="Q275" s="399">
        <v>0</v>
      </c>
      <c r="R275" s="399">
        <v>0</v>
      </c>
      <c r="S275" s="399">
        <v>0</v>
      </c>
      <c r="T275" s="399">
        <f t="shared" si="165"/>
        <v>0</v>
      </c>
      <c r="U275" s="399">
        <f t="shared" si="166"/>
        <v>0</v>
      </c>
    </row>
    <row r="276" spans="1:21" ht="19.5" x14ac:dyDescent="0.3">
      <c r="A276" s="222"/>
      <c r="B276" s="223"/>
      <c r="C276" s="440" t="s">
        <v>18</v>
      </c>
      <c r="D276" s="883" t="s">
        <v>38</v>
      </c>
      <c r="E276" s="225"/>
      <c r="F276" s="225"/>
      <c r="G276" s="226"/>
      <c r="H276" s="227"/>
      <c r="I276" s="219"/>
      <c r="J276" s="219"/>
      <c r="K276" s="220"/>
      <c r="L276" s="1235"/>
      <c r="M276" s="220"/>
      <c r="N276" s="220"/>
      <c r="O276" s="220"/>
      <c r="P276" s="220"/>
      <c r="Q276" s="220"/>
      <c r="R276" s="220"/>
      <c r="S276" s="220"/>
      <c r="T276" s="220"/>
      <c r="U276" s="220"/>
    </row>
    <row r="277" spans="1:21" ht="18.75" x14ac:dyDescent="0.25">
      <c r="A277" s="1340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IFERROR(__xludf.DUMMYFUNCTION("IMPORTRANGE(""https://docs.google.com/spreadsheets/d/1eHaY18a8A9IcSdp1K8H6x8fbOy06t2VsZHhMHf-1x7Y/edit?usp=sharing"",""แผน!EC72"")"),22)</f>
        <v>22</v>
      </c>
      <c r="J277" s="908">
        <v>0</v>
      </c>
      <c r="K277" s="85">
        <f ca="1">IF(I277&gt;0,J277*100/I277,0)</f>
        <v>0</v>
      </c>
      <c r="L277" s="540"/>
      <c r="M277" s="72"/>
      <c r="N277" s="72"/>
      <c r="O277" s="72"/>
      <c r="P277" s="72"/>
      <c r="Q277" s="72"/>
      <c r="R277" s="72"/>
      <c r="S277" s="72"/>
      <c r="T277" s="72"/>
      <c r="U277" s="72"/>
    </row>
    <row r="278" spans="1:21" ht="18.75" hidden="1" x14ac:dyDescent="0.25">
      <c r="A278" s="1236"/>
      <c r="B278" s="996"/>
      <c r="C278" s="996"/>
      <c r="D278" s="1145" t="s">
        <v>116</v>
      </c>
      <c r="E278" s="1237"/>
      <c r="F278" s="1237"/>
      <c r="G278" s="1238"/>
      <c r="H278" s="1305" t="s">
        <v>35</v>
      </c>
      <c r="I278" s="779">
        <v>0</v>
      </c>
      <c r="J278" s="779">
        <v>0</v>
      </c>
      <c r="K278" s="1147">
        <v>0</v>
      </c>
      <c r="L278" s="1239"/>
      <c r="M278" s="1240"/>
      <c r="N278" s="1240"/>
      <c r="O278" s="1240"/>
      <c r="P278" s="1240"/>
      <c r="Q278" s="1240"/>
      <c r="R278" s="1240"/>
      <c r="S278" s="1240"/>
      <c r="T278" s="1240"/>
      <c r="U278" s="1240"/>
    </row>
    <row r="279" spans="1:21" ht="19.5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50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3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306" t="s">
        <v>35</v>
      </c>
      <c r="I281" s="1163">
        <f t="shared" ref="I281:J281" ca="1" si="173">I294</f>
        <v>10</v>
      </c>
      <c r="J281" s="1163">
        <f t="shared" si="173"/>
        <v>0</v>
      </c>
      <c r="K281" s="1164">
        <f t="shared" ref="K281:K282" ca="1" si="174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x14ac:dyDescent="0.3">
      <c r="A282" s="1157"/>
      <c r="B282" s="1159"/>
      <c r="C282" s="1159"/>
      <c r="D282" s="1160"/>
      <c r="E282" s="1159"/>
      <c r="F282" s="1159"/>
      <c r="G282" s="1161"/>
      <c r="H282" s="1306" t="s">
        <v>46</v>
      </c>
      <c r="I282" s="1163">
        <f t="shared" ref="I282:J282" ca="1" si="175">I293</f>
        <v>100</v>
      </c>
      <c r="J282" s="1163">
        <f t="shared" si="175"/>
        <v>0</v>
      </c>
      <c r="K282" s="1164">
        <f t="shared" ca="1" si="174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1257">
        <f t="shared" ref="L283:N283" ca="1" si="176">L284+L285</f>
        <v>137720</v>
      </c>
      <c r="M283" s="264">
        <f t="shared" ca="1" si="176"/>
        <v>137720</v>
      </c>
      <c r="N283" s="264">
        <f t="shared" ca="1" si="176"/>
        <v>68450</v>
      </c>
      <c r="O283" s="264">
        <f t="shared" ref="O283:O291" ca="1" si="177">IF(L283&gt;0,N283*100/L283,0)</f>
        <v>49.70229451060122</v>
      </c>
      <c r="P283" s="264">
        <f t="shared" ref="P283:P291" ca="1" si="178">IF(M283&gt;0,N283*100/M283,0)</f>
        <v>49.70229451060122</v>
      </c>
      <c r="Q283" s="264">
        <f t="shared" ref="Q283:S283" si="179">Q284+Q285</f>
        <v>0</v>
      </c>
      <c r="R283" s="264">
        <f t="shared" si="179"/>
        <v>0</v>
      </c>
      <c r="S283" s="264">
        <f t="shared" si="179"/>
        <v>0</v>
      </c>
      <c r="T283" s="264">
        <f t="shared" ref="T283:T291" si="180">IF(Q283&gt;0,S283*100/Q283,0)</f>
        <v>0</v>
      </c>
      <c r="U283" s="264">
        <f t="shared" ref="U283:U291" si="181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6">
        <f t="shared" ref="L284:N285" si="182">L287+L290</f>
        <v>0</v>
      </c>
      <c r="M284" s="77">
        <f t="shared" si="182"/>
        <v>0</v>
      </c>
      <c r="N284" s="77">
        <f t="shared" si="182"/>
        <v>0</v>
      </c>
      <c r="O284" s="77">
        <f t="shared" si="177"/>
        <v>0</v>
      </c>
      <c r="P284" s="77">
        <f t="shared" si="178"/>
        <v>0</v>
      </c>
      <c r="Q284" s="77">
        <f t="shared" ref="Q284:S285" si="183">Q287+Q290</f>
        <v>0</v>
      </c>
      <c r="R284" s="77">
        <f t="shared" si="183"/>
        <v>0</v>
      </c>
      <c r="S284" s="77">
        <f t="shared" si="183"/>
        <v>0</v>
      </c>
      <c r="T284" s="77">
        <f t="shared" si="180"/>
        <v>0</v>
      </c>
      <c r="U284" s="77">
        <f t="shared" si="181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3">
        <f t="shared" ca="1" si="182"/>
        <v>137720</v>
      </c>
      <c r="M285" s="74">
        <f t="shared" ca="1" si="182"/>
        <v>137720</v>
      </c>
      <c r="N285" s="74">
        <f t="shared" ca="1" si="182"/>
        <v>68450</v>
      </c>
      <c r="O285" s="74">
        <f t="shared" ca="1" si="177"/>
        <v>49.70229451060122</v>
      </c>
      <c r="P285" s="74">
        <f t="shared" ca="1" si="178"/>
        <v>49.70229451060122</v>
      </c>
      <c r="Q285" s="74">
        <f t="shared" si="183"/>
        <v>0</v>
      </c>
      <c r="R285" s="74">
        <f t="shared" si="183"/>
        <v>0</v>
      </c>
      <c r="S285" s="74">
        <f t="shared" si="183"/>
        <v>0</v>
      </c>
      <c r="T285" s="74">
        <f t="shared" si="180"/>
        <v>0</v>
      </c>
      <c r="U285" s="74">
        <f t="shared" si="181"/>
        <v>0</v>
      </c>
    </row>
    <row r="286" spans="1:21" ht="18.75" x14ac:dyDescent="0.25">
      <c r="A286" s="257"/>
      <c r="B286" s="258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3">
        <f t="shared" ref="L286:N286" ca="1" si="184">L287+L288</f>
        <v>137720</v>
      </c>
      <c r="M286" s="74">
        <f t="shared" ca="1" si="184"/>
        <v>137720</v>
      </c>
      <c r="N286" s="74">
        <f t="shared" ca="1" si="184"/>
        <v>68450</v>
      </c>
      <c r="O286" s="74">
        <f t="shared" ca="1" si="177"/>
        <v>49.70229451060122</v>
      </c>
      <c r="P286" s="74">
        <f t="shared" ca="1" si="178"/>
        <v>49.70229451060122</v>
      </c>
      <c r="Q286" s="74">
        <f t="shared" ref="Q286:S286" si="185">Q287+Q288</f>
        <v>0</v>
      </c>
      <c r="R286" s="74">
        <f t="shared" si="185"/>
        <v>0</v>
      </c>
      <c r="S286" s="74">
        <f t="shared" si="185"/>
        <v>0</v>
      </c>
      <c r="T286" s="74">
        <f t="shared" si="180"/>
        <v>0</v>
      </c>
      <c r="U286" s="74">
        <f t="shared" si="181"/>
        <v>0</v>
      </c>
    </row>
    <row r="287" spans="1:21" ht="18.75" hidden="1" x14ac:dyDescent="0.25">
      <c r="A287" s="257"/>
      <c r="B287" s="258"/>
      <c r="C287" s="258"/>
      <c r="D287" s="258"/>
      <c r="E287" s="26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77">
        <f t="shared" si="177"/>
        <v>0</v>
      </c>
      <c r="P287" s="77">
        <f t="shared" si="178"/>
        <v>0</v>
      </c>
      <c r="Q287" s="77">
        <v>0</v>
      </c>
      <c r="R287" s="77">
        <v>0</v>
      </c>
      <c r="S287" s="77">
        <v>0</v>
      </c>
      <c r="T287" s="77">
        <f t="shared" si="180"/>
        <v>0</v>
      </c>
      <c r="U287" s="77">
        <f t="shared" si="181"/>
        <v>0</v>
      </c>
    </row>
    <row r="288" spans="1:21" ht="18.75" hidden="1" x14ac:dyDescent="0.25">
      <c r="A288" s="257"/>
      <c r="B288" s="258"/>
      <c r="C288" s="258"/>
      <c r="D288" s="258"/>
      <c r="E288" s="267" t="s">
        <v>37</v>
      </c>
      <c r="F288" s="258"/>
      <c r="G288" s="261"/>
      <c r="H288" s="271" t="s">
        <v>14</v>
      </c>
      <c r="I288" s="272"/>
      <c r="J288" s="272"/>
      <c r="K288" s="229"/>
      <c r="L288" s="73">
        <f ca="1">IFERROR(__xludf.DUMMYFUNCTION("IMPORTRANGE(""https://docs.google.com/spreadsheets/d/1-uDff_7J0KD5mKrp0Vvzr7lt3OU09vwQwhkpOPPYv2Y/edit?usp=sharing"",""งบพรบ!DO72"")"),137720)</f>
        <v>137720</v>
      </c>
      <c r="M288" s="74">
        <f ca="1">IFERROR(__xludf.DUMMYFUNCTION("IMPORTRANGE(""https://docs.google.com/spreadsheets/d/1-uDff_7J0KD5mKrp0Vvzr7lt3OU09vwQwhkpOPPYv2Y/edit?usp=sharing"",""งบพรบ!DT72"")"),137720)</f>
        <v>137720</v>
      </c>
      <c r="N288" s="74">
        <f ca="1">IFERROR(__xludf.DUMMYFUNCTION("IMPORTRANGE(""https://docs.google.com/spreadsheets/d/1-uDff_7J0KD5mKrp0Vvzr7lt3OU09vwQwhkpOPPYv2Y/edit?usp=sharing"",""งบพรบ!DV72"")"),68450)</f>
        <v>68450</v>
      </c>
      <c r="O288" s="74">
        <f t="shared" ca="1" si="177"/>
        <v>49.70229451060122</v>
      </c>
      <c r="P288" s="74">
        <f t="shared" ca="1" si="178"/>
        <v>49.70229451060122</v>
      </c>
      <c r="Q288" s="74">
        <v>0</v>
      </c>
      <c r="R288" s="74">
        <v>0</v>
      </c>
      <c r="S288" s="74">
        <v>0</v>
      </c>
      <c r="T288" s="77">
        <f t="shared" si="180"/>
        <v>0</v>
      </c>
      <c r="U288" s="77">
        <f t="shared" si="181"/>
        <v>0</v>
      </c>
    </row>
    <row r="289" spans="1:21" ht="18.75" x14ac:dyDescent="0.25">
      <c r="A289" s="257"/>
      <c r="B289" s="258"/>
      <c r="C289" s="258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3">
        <f t="shared" ref="L289:N289" ca="1" si="186">L290+L291</f>
        <v>0</v>
      </c>
      <c r="M289" s="74">
        <f t="shared" ca="1" si="186"/>
        <v>0</v>
      </c>
      <c r="N289" s="74">
        <f t="shared" ca="1" si="186"/>
        <v>0</v>
      </c>
      <c r="O289" s="74">
        <f t="shared" ca="1" si="177"/>
        <v>0</v>
      </c>
      <c r="P289" s="74">
        <f t="shared" ca="1" si="178"/>
        <v>0</v>
      </c>
      <c r="Q289" s="74">
        <f t="shared" ref="Q289:S289" si="187">Q290+Q291</f>
        <v>0</v>
      </c>
      <c r="R289" s="74">
        <f t="shared" si="187"/>
        <v>0</v>
      </c>
      <c r="S289" s="74">
        <f t="shared" si="187"/>
        <v>0</v>
      </c>
      <c r="T289" s="74">
        <f t="shared" si="180"/>
        <v>0</v>
      </c>
      <c r="U289" s="74">
        <f t="shared" si="181"/>
        <v>0</v>
      </c>
    </row>
    <row r="290" spans="1:21" ht="18.75" hidden="1" x14ac:dyDescent="0.25">
      <c r="A290" s="257"/>
      <c r="B290" s="258"/>
      <c r="C290" s="258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77">
        <f t="shared" si="177"/>
        <v>0</v>
      </c>
      <c r="P290" s="77">
        <f t="shared" si="178"/>
        <v>0</v>
      </c>
      <c r="Q290" s="77">
        <v>0</v>
      </c>
      <c r="R290" s="77">
        <v>0</v>
      </c>
      <c r="S290" s="77">
        <v>0</v>
      </c>
      <c r="T290" s="77">
        <f t="shared" si="180"/>
        <v>0</v>
      </c>
      <c r="U290" s="77">
        <f t="shared" si="181"/>
        <v>0</v>
      </c>
    </row>
    <row r="291" spans="1:21" ht="18.75" hidden="1" x14ac:dyDescent="0.25">
      <c r="A291" s="257"/>
      <c r="B291" s="258"/>
      <c r="C291" s="258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3">
        <f ca="1">IFERROR(__xludf.DUMMYFUNCTION("IMPORTRANGE(""https://docs.google.com/spreadsheets/d/1-uDff_7J0KD5mKrp0Vvzr7lt3OU09vwQwhkpOPPYv2Y/edit?usp=sharing"",""งบพรบ!DR72"")"),0)</f>
        <v>0</v>
      </c>
      <c r="M291" s="74">
        <f ca="1">IFERROR(__xludf.DUMMYFUNCTION("IMPORTRANGE(""https://docs.google.com/spreadsheets/d/1-uDff_7J0KD5mKrp0Vvzr7lt3OU09vwQwhkpOPPYv2Y/edit?usp=sharing"",""งบพรบ!DU72"")"),0)</f>
        <v>0</v>
      </c>
      <c r="N291" s="74">
        <f ca="1">IFERROR(__xludf.DUMMYFUNCTION("IMPORTRANGE(""https://docs.google.com/spreadsheets/d/1-uDff_7J0KD5mKrp0Vvzr7lt3OU09vwQwhkpOPPYv2Y/edit?usp=sharing"",""งบพรบ!DW72"")"),0)</f>
        <v>0</v>
      </c>
      <c r="O291" s="74">
        <f t="shared" ca="1" si="177"/>
        <v>0</v>
      </c>
      <c r="P291" s="74">
        <f t="shared" ca="1" si="178"/>
        <v>0</v>
      </c>
      <c r="Q291" s="74">
        <v>0</v>
      </c>
      <c r="R291" s="74">
        <v>0</v>
      </c>
      <c r="S291" s="74">
        <v>0</v>
      </c>
      <c r="T291" s="74">
        <f t="shared" si="180"/>
        <v>0</v>
      </c>
      <c r="U291" s="74">
        <f t="shared" si="181"/>
        <v>0</v>
      </c>
    </row>
    <row r="292" spans="1:21" ht="19.5" x14ac:dyDescent="0.3">
      <c r="A292" s="276"/>
      <c r="B292" s="277"/>
      <c r="C292" s="259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IFERROR(__xludf.DUMMYFUNCTION("IMPORTRANGE(""https://docs.google.com/spreadsheets/d/1eHaY18a8A9IcSdp1K8H6x8fbOy06t2VsZHhMHf-1x7Y/edit?usp=sharing"",""แผน!EE72"")"),100)</f>
        <v>100</v>
      </c>
      <c r="J293" s="294">
        <v>0</v>
      </c>
      <c r="K293" s="768">
        <f t="shared" ref="K293:K294" ca="1" si="188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IFERROR(__xludf.DUMMYFUNCTION("IMPORTRANGE(""https://docs.google.com/spreadsheets/d/1eHaY18a8A9IcSdp1K8H6x8fbOy06t2VsZHhMHf-1x7Y/edit?usp=sharing"",""แผน!ED72"")"),10)</f>
        <v>10</v>
      </c>
      <c r="J294" s="622">
        <f>J297</f>
        <v>0</v>
      </c>
      <c r="K294" s="1105">
        <f t="shared" ca="1" si="188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x14ac:dyDescent="0.3">
      <c r="A295" s="276"/>
      <c r="B295" s="277"/>
      <c r="C295" s="277"/>
      <c r="D295" s="296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IFERROR(__xludf.DUMMYFUNCTION("IMPORTRANGE(""https://docs.google.com/spreadsheets/d/1eHaY18a8A9IcSdp1K8H6x8fbOy06t2VsZHhMHf-1x7Y/edit?usp=sharing"",""แผน!ED72"")"),10)</f>
        <v>10</v>
      </c>
      <c r="J296" s="294">
        <v>0</v>
      </c>
      <c r="K296" s="768">
        <f t="shared" ref="K296:K297" ca="1" si="189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IFERROR(__xludf.DUMMYFUNCTION("IMPORTRANGE(""https://docs.google.com/spreadsheets/d/1eHaY18a8A9IcSdp1K8H6x8fbOy06t2VsZHhMHf-1x7Y/edit?usp=sharing"",""แผน!ED72"")"),10)</f>
        <v>10</v>
      </c>
      <c r="J297" s="294">
        <v>0</v>
      </c>
      <c r="K297" s="768">
        <f t="shared" ca="1" si="189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286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286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041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1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6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x14ac:dyDescent="0.3">
      <c r="A303" s="1179"/>
      <c r="B303" s="1180" t="s">
        <v>127</v>
      </c>
      <c r="C303" s="607"/>
      <c r="D303" s="607"/>
      <c r="E303" s="607"/>
      <c r="F303" s="607"/>
      <c r="G303" s="608"/>
      <c r="H303" s="1307" t="s">
        <v>35</v>
      </c>
      <c r="I303" s="617">
        <f t="shared" ref="I303:J303" ca="1" si="190">I315</f>
        <v>15</v>
      </c>
      <c r="J303" s="617">
        <f t="shared" si="190"/>
        <v>0</v>
      </c>
      <c r="K303" s="611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1257">
        <f t="shared" ref="L304:N304" ca="1" si="191">L305+L306</f>
        <v>217100</v>
      </c>
      <c r="M304" s="264">
        <f t="shared" ca="1" si="191"/>
        <v>217100</v>
      </c>
      <c r="N304" s="264">
        <f t="shared" ca="1" si="191"/>
        <v>73480</v>
      </c>
      <c r="O304" s="264">
        <f t="shared" ref="O304:O312" ca="1" si="192">IF(L304&gt;0,N304*100/L304,0)</f>
        <v>33.846153846153847</v>
      </c>
      <c r="P304" s="264">
        <f t="shared" ref="P304:P312" ca="1" si="193">IF(M304&gt;0,N304*100/M304,0)</f>
        <v>33.846153846153847</v>
      </c>
      <c r="Q304" s="264">
        <f t="shared" ref="Q304:S304" ca="1" si="194">Q305+Q306</f>
        <v>123161.24</v>
      </c>
      <c r="R304" s="264">
        <f t="shared" ca="1" si="194"/>
        <v>123161</v>
      </c>
      <c r="S304" s="264">
        <f t="shared" ca="1" si="194"/>
        <v>0</v>
      </c>
      <c r="T304" s="264">
        <f t="shared" ref="T304:T312" ca="1" si="195">IF(Q304&gt;0,S304*100/Q304,0)</f>
        <v>0</v>
      </c>
      <c r="U304" s="264">
        <f t="shared" ref="U304:U312" ca="1" si="196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6">
        <f t="shared" ref="L305:N306" si="197">L308+L311</f>
        <v>0</v>
      </c>
      <c r="M305" s="77">
        <f t="shared" si="197"/>
        <v>0</v>
      </c>
      <c r="N305" s="77">
        <f t="shared" si="197"/>
        <v>0</v>
      </c>
      <c r="O305" s="77">
        <f t="shared" si="192"/>
        <v>0</v>
      </c>
      <c r="P305" s="77">
        <f t="shared" si="193"/>
        <v>0</v>
      </c>
      <c r="Q305" s="77">
        <f t="shared" ref="Q305:S306" si="198">Q308+Q311</f>
        <v>0</v>
      </c>
      <c r="R305" s="77">
        <f t="shared" si="198"/>
        <v>0</v>
      </c>
      <c r="S305" s="77">
        <f t="shared" si="198"/>
        <v>0</v>
      </c>
      <c r="T305" s="77">
        <f t="shared" si="195"/>
        <v>0</v>
      </c>
      <c r="U305" s="77">
        <f t="shared" si="196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3">
        <f t="shared" ca="1" si="197"/>
        <v>217100</v>
      </c>
      <c r="M306" s="74">
        <f t="shared" ca="1" si="197"/>
        <v>217100</v>
      </c>
      <c r="N306" s="74">
        <f t="shared" ca="1" si="197"/>
        <v>73480</v>
      </c>
      <c r="O306" s="74">
        <f t="shared" ca="1" si="192"/>
        <v>33.846153846153847</v>
      </c>
      <c r="P306" s="74">
        <f t="shared" ca="1" si="193"/>
        <v>33.846153846153847</v>
      </c>
      <c r="Q306" s="74">
        <f t="shared" ca="1" si="198"/>
        <v>123161.24</v>
      </c>
      <c r="R306" s="74">
        <f t="shared" ca="1" si="198"/>
        <v>123161</v>
      </c>
      <c r="S306" s="74">
        <f t="shared" ca="1" si="198"/>
        <v>0</v>
      </c>
      <c r="T306" s="74">
        <f t="shared" ca="1" si="195"/>
        <v>0</v>
      </c>
      <c r="U306" s="74">
        <f t="shared" ca="1" si="196"/>
        <v>0</v>
      </c>
    </row>
    <row r="307" spans="1:21" ht="18.75" x14ac:dyDescent="0.25">
      <c r="A307" s="257"/>
      <c r="B307" s="258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3">
        <f t="shared" ref="L307:N307" ca="1" si="199">L308+L309</f>
        <v>217100</v>
      </c>
      <c r="M307" s="74">
        <f t="shared" ca="1" si="199"/>
        <v>217100</v>
      </c>
      <c r="N307" s="74">
        <f t="shared" ca="1" si="199"/>
        <v>73480</v>
      </c>
      <c r="O307" s="74">
        <f t="shared" ca="1" si="192"/>
        <v>33.846153846153847</v>
      </c>
      <c r="P307" s="74">
        <f t="shared" ca="1" si="193"/>
        <v>33.846153846153847</v>
      </c>
      <c r="Q307" s="74">
        <f t="shared" ref="Q307:S307" ca="1" si="200">Q308+Q309</f>
        <v>123161.24</v>
      </c>
      <c r="R307" s="74">
        <f t="shared" ca="1" si="200"/>
        <v>123161</v>
      </c>
      <c r="S307" s="74">
        <f t="shared" ca="1" si="200"/>
        <v>0</v>
      </c>
      <c r="T307" s="74">
        <f t="shared" ca="1" si="195"/>
        <v>0</v>
      </c>
      <c r="U307" s="74">
        <f t="shared" ca="1" si="196"/>
        <v>0</v>
      </c>
    </row>
    <row r="308" spans="1:21" ht="18.75" hidden="1" x14ac:dyDescent="0.25">
      <c r="A308" s="257"/>
      <c r="B308" s="258"/>
      <c r="C308" s="258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77">
        <f t="shared" si="192"/>
        <v>0</v>
      </c>
      <c r="P308" s="77">
        <f t="shared" si="193"/>
        <v>0</v>
      </c>
      <c r="Q308" s="77">
        <v>0</v>
      </c>
      <c r="R308" s="77">
        <v>0</v>
      </c>
      <c r="S308" s="77">
        <v>0</v>
      </c>
      <c r="T308" s="77">
        <f t="shared" si="195"/>
        <v>0</v>
      </c>
      <c r="U308" s="77">
        <f t="shared" si="196"/>
        <v>0</v>
      </c>
    </row>
    <row r="309" spans="1:21" ht="18.75" hidden="1" x14ac:dyDescent="0.25">
      <c r="A309" s="257"/>
      <c r="B309" s="258"/>
      <c r="C309" s="258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3">
        <f ca="1">IFERROR(__xludf.DUMMYFUNCTION("IMPORTRANGE(""https://docs.google.com/spreadsheets/d/1-uDff_7J0KD5mKrp0Vvzr7lt3OU09vwQwhkpOPPYv2Y/edit?usp=sharing"",""งบพรบ!DY72"")"),217100)</f>
        <v>217100</v>
      </c>
      <c r="M309" s="74">
        <f ca="1">IFERROR(__xludf.DUMMYFUNCTION("IMPORTRANGE(""https://docs.google.com/spreadsheets/d/1-uDff_7J0KD5mKrp0Vvzr7lt3OU09vwQwhkpOPPYv2Y/edit?usp=sharing"",""งบพรบ!ED72"")"),217100)</f>
        <v>217100</v>
      </c>
      <c r="N309" s="74">
        <f ca="1">IFERROR(__xludf.DUMMYFUNCTION("IMPORTRANGE(""https://docs.google.com/spreadsheets/d/1-uDff_7J0KD5mKrp0Vvzr7lt3OU09vwQwhkpOPPYv2Y/edit?usp=sharing"",""งบพรบ!EF72"")"),73480)</f>
        <v>73480</v>
      </c>
      <c r="O309" s="74">
        <f t="shared" ca="1" si="192"/>
        <v>33.846153846153847</v>
      </c>
      <c r="P309" s="74">
        <f t="shared" ca="1" si="193"/>
        <v>33.846153846153847</v>
      </c>
      <c r="Q309" s="74">
        <f ca="1">IFERROR(__xludf.DUMMYFUNCTION("IMPORTRANGE(""https://docs.google.com/spreadsheets/d/1ItG2mGa2ceCfYo0BwxsXqNm01IGEUdYcSSLTEv9YCik/edit?usp=sharing"",""เบิกจ่ายกองทุน!AP72"")"),123161.24)</f>
        <v>123161.24</v>
      </c>
      <c r="R309" s="74">
        <f ca="1">IFERROR(__xludf.DUMMYFUNCTION("IMPORTRANGE(""https://docs.google.com/spreadsheets/d/1ItG2mGa2ceCfYo0BwxsXqNm01IGEUdYcSSLTEv9YCik/edit?usp=sharing"",""เบิกจ่ายกองทุน!AQ72"")"),123161)</f>
        <v>123161</v>
      </c>
      <c r="S309" s="74">
        <f ca="1">IFERROR(__xludf.DUMMYFUNCTION("IMPORTRANGE(""https://docs.google.com/spreadsheets/d/1ItG2mGa2ceCfYo0BwxsXqNm01IGEUdYcSSLTEv9YCik/edit?usp=sharing"",""เบิกจ่ายกองทุน!AR72"")"),0)</f>
        <v>0</v>
      </c>
      <c r="T309" s="74">
        <f t="shared" ca="1" si="195"/>
        <v>0</v>
      </c>
      <c r="U309" s="74">
        <f t="shared" ca="1" si="196"/>
        <v>0</v>
      </c>
    </row>
    <row r="310" spans="1:21" ht="18.75" x14ac:dyDescent="0.25">
      <c r="A310" s="257"/>
      <c r="B310" s="258"/>
      <c r="C310" s="258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3">
        <f t="shared" ref="L310:N310" ca="1" si="201">L311+L312</f>
        <v>0</v>
      </c>
      <c r="M310" s="74">
        <f t="shared" ca="1" si="201"/>
        <v>0</v>
      </c>
      <c r="N310" s="74">
        <f t="shared" ca="1" si="201"/>
        <v>0</v>
      </c>
      <c r="O310" s="74">
        <f t="shared" ca="1" si="192"/>
        <v>0</v>
      </c>
      <c r="P310" s="74">
        <f t="shared" ca="1" si="193"/>
        <v>0</v>
      </c>
      <c r="Q310" s="74">
        <f t="shared" ref="Q310:S310" si="202">Q311+Q312</f>
        <v>0</v>
      </c>
      <c r="R310" s="74">
        <f t="shared" si="202"/>
        <v>0</v>
      </c>
      <c r="S310" s="74">
        <f t="shared" si="202"/>
        <v>0</v>
      </c>
      <c r="T310" s="74">
        <f t="shared" si="195"/>
        <v>0</v>
      </c>
      <c r="U310" s="74">
        <f t="shared" si="196"/>
        <v>0</v>
      </c>
    </row>
    <row r="311" spans="1:21" ht="18.75" hidden="1" x14ac:dyDescent="0.25">
      <c r="A311" s="257"/>
      <c r="B311" s="258"/>
      <c r="C311" s="258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77">
        <f t="shared" si="192"/>
        <v>0</v>
      </c>
      <c r="P311" s="77">
        <f t="shared" si="193"/>
        <v>0</v>
      </c>
      <c r="Q311" s="77">
        <v>0</v>
      </c>
      <c r="R311" s="77">
        <v>0</v>
      </c>
      <c r="S311" s="77">
        <v>0</v>
      </c>
      <c r="T311" s="77">
        <f t="shared" si="195"/>
        <v>0</v>
      </c>
      <c r="U311" s="77">
        <f t="shared" si="196"/>
        <v>0</v>
      </c>
    </row>
    <row r="312" spans="1:21" ht="18.75" hidden="1" x14ac:dyDescent="0.25">
      <c r="A312" s="257"/>
      <c r="B312" s="258"/>
      <c r="C312" s="258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3">
        <f ca="1">IFERROR(__xludf.DUMMYFUNCTION("IMPORTRANGE(""https://docs.google.com/spreadsheets/d/1-uDff_7J0KD5mKrp0Vvzr7lt3OU09vwQwhkpOPPYv2Y/edit?usp=sharing"",""งบพรบ!EB72"")"),0)</f>
        <v>0</v>
      </c>
      <c r="M312" s="74">
        <f ca="1">IFERROR(__xludf.DUMMYFUNCTION("IMPORTRANGE(""https://docs.google.com/spreadsheets/d/1-uDff_7J0KD5mKrp0Vvzr7lt3OU09vwQwhkpOPPYv2Y/edit?usp=sharing"",""งบพรบ!EE72"")"),0)</f>
        <v>0</v>
      </c>
      <c r="N312" s="74">
        <f ca="1">IFERROR(__xludf.DUMMYFUNCTION("IMPORTRANGE(""https://docs.google.com/spreadsheets/d/1-uDff_7J0KD5mKrp0Vvzr7lt3OU09vwQwhkpOPPYv2Y/edit?usp=sharing"",""งบพรบ!EG72"")"),0)</f>
        <v>0</v>
      </c>
      <c r="O312" s="74">
        <f t="shared" ca="1" si="192"/>
        <v>0</v>
      </c>
      <c r="P312" s="74">
        <f t="shared" ca="1" si="193"/>
        <v>0</v>
      </c>
      <c r="Q312" s="74">
        <v>0</v>
      </c>
      <c r="R312" s="74">
        <v>0</v>
      </c>
      <c r="S312" s="74">
        <v>0</v>
      </c>
      <c r="T312" s="74">
        <f t="shared" si="195"/>
        <v>0</v>
      </c>
      <c r="U312" s="74">
        <f t="shared" si="196"/>
        <v>0</v>
      </c>
    </row>
    <row r="313" spans="1:21" ht="19.5" x14ac:dyDescent="0.3">
      <c r="A313" s="276"/>
      <c r="B313" s="277"/>
      <c r="C313" s="259" t="s">
        <v>18</v>
      </c>
      <c r="D313" s="1019" t="s">
        <v>38</v>
      </c>
      <c r="E313" s="280"/>
      <c r="F313" s="280"/>
      <c r="G313" s="2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3"/>
      <c r="E314" s="285"/>
      <c r="F314" s="285"/>
      <c r="G314" s="286"/>
      <c r="H314" s="286"/>
      <c r="I314" s="287"/>
      <c r="J314" s="1252"/>
      <c r="K314" s="30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x14ac:dyDescent="0.25">
      <c r="A315" s="276"/>
      <c r="B315" s="277"/>
      <c r="C315" s="277"/>
      <c r="D315" s="295" t="s">
        <v>121</v>
      </c>
      <c r="E315" s="296"/>
      <c r="F315" s="296"/>
      <c r="G315" s="282"/>
      <c r="H315" s="299" t="s">
        <v>35</v>
      </c>
      <c r="I315" s="293">
        <f ca="1">IFERROR(__xludf.DUMMYFUNCTION("IMPORTRANGE(""https://docs.google.com/spreadsheets/d/1eHaY18a8A9IcSdp1K8H6x8fbOy06t2VsZHhMHf-1x7Y/edit?usp=sharing"",""แผน!EF72"")"),15)</f>
        <v>15</v>
      </c>
      <c r="J315" s="294">
        <v>0</v>
      </c>
      <c r="K315" s="74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308"/>
      <c r="I316" s="1252"/>
      <c r="J316" s="1252"/>
      <c r="K316" s="1255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308"/>
      <c r="I317" s="1252"/>
      <c r="J317" s="1252"/>
      <c r="K317" s="1255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491"/>
      <c r="B318" s="492"/>
      <c r="C318" s="492"/>
      <c r="D318" s="31"/>
      <c r="E318" s="21"/>
      <c r="F318" s="21"/>
      <c r="G318" s="24"/>
      <c r="H318" s="32"/>
      <c r="I318" s="494"/>
      <c r="J318" s="494"/>
      <c r="K318" s="33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5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1307" t="s">
        <v>133</v>
      </c>
      <c r="I320" s="617">
        <f t="shared" ref="I320:J320" ca="1" si="203">I331</f>
        <v>0</v>
      </c>
      <c r="J320" s="617">
        <f t="shared" si="203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1257">
        <f t="shared" ref="L321:N321" ca="1" si="204">L322+L323</f>
        <v>0</v>
      </c>
      <c r="M321" s="264">
        <f t="shared" ca="1" si="204"/>
        <v>0</v>
      </c>
      <c r="N321" s="264">
        <f t="shared" ca="1" si="204"/>
        <v>0</v>
      </c>
      <c r="O321" s="264">
        <f t="shared" ref="O321:O329" ca="1" si="205">IF(L321&gt;0,N321*100/L321,0)</f>
        <v>0</v>
      </c>
      <c r="P321" s="264">
        <f t="shared" ref="P321:P329" ca="1" si="206">IF(M321&gt;0,N321*100/M321,0)</f>
        <v>0</v>
      </c>
      <c r="Q321" s="264">
        <f t="shared" ref="Q321:S321" si="207">Q322+Q323</f>
        <v>0</v>
      </c>
      <c r="R321" s="264">
        <f t="shared" si="207"/>
        <v>0</v>
      </c>
      <c r="S321" s="264">
        <f t="shared" si="207"/>
        <v>0</v>
      </c>
      <c r="T321" s="264">
        <f t="shared" ref="T321:T329" si="208">IF(Q321&gt;0,S321*100/Q321,0)</f>
        <v>0</v>
      </c>
      <c r="U321" s="264">
        <f t="shared" ref="U321:U329" si="209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6">
        <f t="shared" ref="L322:N323" si="210">L325+L328</f>
        <v>0</v>
      </c>
      <c r="M322" s="77">
        <f t="shared" si="210"/>
        <v>0</v>
      </c>
      <c r="N322" s="77">
        <f t="shared" si="210"/>
        <v>0</v>
      </c>
      <c r="O322" s="77">
        <f t="shared" si="205"/>
        <v>0</v>
      </c>
      <c r="P322" s="77">
        <f t="shared" si="206"/>
        <v>0</v>
      </c>
      <c r="Q322" s="77">
        <f t="shared" ref="Q322:S323" si="211">Q325+Q328</f>
        <v>0</v>
      </c>
      <c r="R322" s="77">
        <f t="shared" si="211"/>
        <v>0</v>
      </c>
      <c r="S322" s="77">
        <f t="shared" si="211"/>
        <v>0</v>
      </c>
      <c r="T322" s="77">
        <f t="shared" si="208"/>
        <v>0</v>
      </c>
      <c r="U322" s="77">
        <f t="shared" si="209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3">
        <f t="shared" ca="1" si="210"/>
        <v>0</v>
      </c>
      <c r="M323" s="74">
        <f t="shared" ca="1" si="210"/>
        <v>0</v>
      </c>
      <c r="N323" s="74">
        <f t="shared" ca="1" si="210"/>
        <v>0</v>
      </c>
      <c r="O323" s="74">
        <f t="shared" ca="1" si="205"/>
        <v>0</v>
      </c>
      <c r="P323" s="74">
        <f t="shared" ca="1" si="206"/>
        <v>0</v>
      </c>
      <c r="Q323" s="74">
        <f t="shared" si="211"/>
        <v>0</v>
      </c>
      <c r="R323" s="74">
        <f t="shared" si="211"/>
        <v>0</v>
      </c>
      <c r="S323" s="74">
        <f t="shared" si="211"/>
        <v>0</v>
      </c>
      <c r="T323" s="74">
        <f t="shared" si="208"/>
        <v>0</v>
      </c>
      <c r="U323" s="74">
        <f t="shared" si="209"/>
        <v>0</v>
      </c>
    </row>
    <row r="324" spans="1:21" ht="18.75" hidden="1" x14ac:dyDescent="0.25">
      <c r="A324" s="257"/>
      <c r="B324" s="258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3">
        <f t="shared" ref="L324:N324" ca="1" si="212">L325+L326</f>
        <v>0</v>
      </c>
      <c r="M324" s="74">
        <f t="shared" ca="1" si="212"/>
        <v>0</v>
      </c>
      <c r="N324" s="74">
        <f t="shared" ca="1" si="212"/>
        <v>0</v>
      </c>
      <c r="O324" s="74">
        <f t="shared" ca="1" si="205"/>
        <v>0</v>
      </c>
      <c r="P324" s="74">
        <f t="shared" ca="1" si="206"/>
        <v>0</v>
      </c>
      <c r="Q324" s="74">
        <f t="shared" ref="Q324:S324" si="213">Q325+Q326</f>
        <v>0</v>
      </c>
      <c r="R324" s="74">
        <f t="shared" si="213"/>
        <v>0</v>
      </c>
      <c r="S324" s="74">
        <f t="shared" si="213"/>
        <v>0</v>
      </c>
      <c r="T324" s="74">
        <f t="shared" si="208"/>
        <v>0</v>
      </c>
      <c r="U324" s="74">
        <f t="shared" si="209"/>
        <v>0</v>
      </c>
    </row>
    <row r="325" spans="1:21" ht="18.75" hidden="1" x14ac:dyDescent="0.25">
      <c r="A325" s="257"/>
      <c r="B325" s="258"/>
      <c r="C325" s="258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77">
        <f t="shared" si="205"/>
        <v>0</v>
      </c>
      <c r="P325" s="77">
        <f t="shared" si="206"/>
        <v>0</v>
      </c>
      <c r="Q325" s="77">
        <v>0</v>
      </c>
      <c r="R325" s="77">
        <v>0</v>
      </c>
      <c r="S325" s="77">
        <v>0</v>
      </c>
      <c r="T325" s="77">
        <f t="shared" si="208"/>
        <v>0</v>
      </c>
      <c r="U325" s="77">
        <f t="shared" si="209"/>
        <v>0</v>
      </c>
    </row>
    <row r="326" spans="1:21" ht="18.75" hidden="1" x14ac:dyDescent="0.25">
      <c r="A326" s="257"/>
      <c r="B326" s="258"/>
      <c r="C326" s="258"/>
      <c r="D326" s="258"/>
      <c r="E326" s="267" t="s">
        <v>37</v>
      </c>
      <c r="F326" s="258"/>
      <c r="G326" s="261"/>
      <c r="H326" s="271" t="s">
        <v>14</v>
      </c>
      <c r="I326" s="272"/>
      <c r="J326" s="272"/>
      <c r="K326" s="229"/>
      <c r="L326" s="73">
        <f ca="1">IFERROR(__xludf.DUMMYFUNCTION("IMPORTRANGE(""https://docs.google.com/spreadsheets/d/1-uDff_7J0KD5mKrp0Vvzr7lt3OU09vwQwhkpOPPYv2Y/edit?usp=sharing"",""งบพรบ!EI72"")"),0)</f>
        <v>0</v>
      </c>
      <c r="M326" s="74">
        <f ca="1">IFERROR(__xludf.DUMMYFUNCTION("IMPORTRANGE(""https://docs.google.com/spreadsheets/d/1-uDff_7J0KD5mKrp0Vvzr7lt3OU09vwQwhkpOPPYv2Y/edit?usp=sharing"",""งบพรบ!EN72"")"),0)</f>
        <v>0</v>
      </c>
      <c r="N326" s="74">
        <f ca="1">IFERROR(__xludf.DUMMYFUNCTION("IMPORTRANGE(""https://docs.google.com/spreadsheets/d/1-uDff_7J0KD5mKrp0Vvzr7lt3OU09vwQwhkpOPPYv2Y/edit?usp=sharing"",""งบพรบ!EP72"")"),0)</f>
        <v>0</v>
      </c>
      <c r="O326" s="74">
        <f t="shared" ca="1" si="205"/>
        <v>0</v>
      </c>
      <c r="P326" s="74">
        <f t="shared" ca="1" si="206"/>
        <v>0</v>
      </c>
      <c r="Q326" s="74">
        <v>0</v>
      </c>
      <c r="R326" s="74">
        <v>0</v>
      </c>
      <c r="S326" s="74">
        <v>0</v>
      </c>
      <c r="T326" s="74">
        <f t="shared" si="208"/>
        <v>0</v>
      </c>
      <c r="U326" s="74">
        <f t="shared" si="209"/>
        <v>0</v>
      </c>
    </row>
    <row r="327" spans="1:21" ht="18.75" hidden="1" x14ac:dyDescent="0.25">
      <c r="A327" s="257"/>
      <c r="B327" s="258"/>
      <c r="C327" s="258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3">
        <f t="shared" ref="L327:N327" ca="1" si="214">L328+L329</f>
        <v>0</v>
      </c>
      <c r="M327" s="74">
        <f t="shared" ca="1" si="214"/>
        <v>0</v>
      </c>
      <c r="N327" s="74">
        <f t="shared" ca="1" si="214"/>
        <v>0</v>
      </c>
      <c r="O327" s="74">
        <f t="shared" ca="1" si="205"/>
        <v>0</v>
      </c>
      <c r="P327" s="74">
        <f t="shared" ca="1" si="206"/>
        <v>0</v>
      </c>
      <c r="Q327" s="74">
        <f t="shared" ref="Q327:S327" si="215">Q328+Q329</f>
        <v>0</v>
      </c>
      <c r="R327" s="74">
        <f t="shared" si="215"/>
        <v>0</v>
      </c>
      <c r="S327" s="74">
        <f t="shared" si="215"/>
        <v>0</v>
      </c>
      <c r="T327" s="74">
        <f t="shared" si="208"/>
        <v>0</v>
      </c>
      <c r="U327" s="74">
        <f t="shared" si="209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77">
        <f t="shared" si="205"/>
        <v>0</v>
      </c>
      <c r="P328" s="77">
        <f t="shared" si="206"/>
        <v>0</v>
      </c>
      <c r="Q328" s="77">
        <v>0</v>
      </c>
      <c r="R328" s="77">
        <v>0</v>
      </c>
      <c r="S328" s="77">
        <v>0</v>
      </c>
      <c r="T328" s="77">
        <f t="shared" si="208"/>
        <v>0</v>
      </c>
      <c r="U328" s="77">
        <f t="shared" si="209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3">
        <f ca="1">IFERROR(__xludf.DUMMYFUNCTION("IMPORTRANGE(""https://docs.google.com/spreadsheets/d/1-uDff_7J0KD5mKrp0Vvzr7lt3OU09vwQwhkpOPPYv2Y/edit?usp=sharing"",""งบพรบ!EL72"")"),0)</f>
        <v>0</v>
      </c>
      <c r="M329" s="74">
        <f ca="1">IFERROR(__xludf.DUMMYFUNCTION("IMPORTRANGE(""https://docs.google.com/spreadsheets/d/1-uDff_7J0KD5mKrp0Vvzr7lt3OU09vwQwhkpOPPYv2Y/edit?usp=sharing"",""งบพรบ!EO72"")"),0)</f>
        <v>0</v>
      </c>
      <c r="N329" s="74">
        <f ca="1">IFERROR(__xludf.DUMMYFUNCTION("IMPORTRANGE(""https://docs.google.com/spreadsheets/d/1-uDff_7J0KD5mKrp0Vvzr7lt3OU09vwQwhkpOPPYv2Y/edit?usp=sharing"",""งบพรบ!EQ72"")"),0)</f>
        <v>0</v>
      </c>
      <c r="O329" s="74">
        <f t="shared" ca="1" si="205"/>
        <v>0</v>
      </c>
      <c r="P329" s="74">
        <f t="shared" ca="1" si="206"/>
        <v>0</v>
      </c>
      <c r="Q329" s="74">
        <v>0</v>
      </c>
      <c r="R329" s="74">
        <v>0</v>
      </c>
      <c r="S329" s="74">
        <v>0</v>
      </c>
      <c r="T329" s="74">
        <f t="shared" si="208"/>
        <v>0</v>
      </c>
      <c r="U329" s="74">
        <f t="shared" si="209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282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92" t="s">
        <v>133</v>
      </c>
      <c r="I331" s="293">
        <f ca="1">IFERROR(__xludf.DUMMYFUNCTION("IMPORTRANGE(""https://docs.google.com/spreadsheets/d/1eHaY18a8A9IcSdp1K8H6x8fbOy06t2VsZHhMHf-1x7Y/edit?usp=sharing"",""แผน!EJ72"")"),0)</f>
        <v>0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5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1307" t="s">
        <v>35</v>
      </c>
      <c r="I333" s="534">
        <f ca="1">I345</f>
        <v>1540</v>
      </c>
      <c r="J333" s="535">
        <f ca="1">J345+J348+J349+J350+J354</f>
        <v>2173</v>
      </c>
      <c r="K333" s="536">
        <f ca="1">IF(I333&gt;0,J333*100/I333,0)</f>
        <v>141.10389610389609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1257">
        <f t="shared" ref="L334:N334" ca="1" si="216">L335+L336</f>
        <v>106000</v>
      </c>
      <c r="M334" s="264">
        <f t="shared" ca="1" si="216"/>
        <v>111000</v>
      </c>
      <c r="N334" s="264">
        <f t="shared" ca="1" si="216"/>
        <v>49560</v>
      </c>
      <c r="O334" s="264">
        <f t="shared" ref="O334:O342" ca="1" si="217">IF(L334&gt;0,N334*100/L334,0)</f>
        <v>46.754716981132077</v>
      </c>
      <c r="P334" s="264">
        <f t="shared" ref="P334:P342" ca="1" si="218">IF(M334&gt;0,N334*100/M334,0)</f>
        <v>44.648648648648646</v>
      </c>
      <c r="Q334" s="264">
        <f t="shared" ref="Q334:S334" si="219">Q335+Q336</f>
        <v>0</v>
      </c>
      <c r="R334" s="264">
        <f t="shared" si="219"/>
        <v>0</v>
      </c>
      <c r="S334" s="264">
        <f t="shared" si="219"/>
        <v>0</v>
      </c>
      <c r="T334" s="264">
        <f t="shared" ref="T334:T342" si="220">IF(Q334&gt;0,S334*100/Q334,0)</f>
        <v>0</v>
      </c>
      <c r="U334" s="264">
        <f t="shared" ref="U334:U342" si="221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6">
        <f t="shared" ref="L335:N336" si="222">L338+L341</f>
        <v>0</v>
      </c>
      <c r="M335" s="77">
        <f t="shared" si="222"/>
        <v>0</v>
      </c>
      <c r="N335" s="77">
        <f t="shared" si="222"/>
        <v>0</v>
      </c>
      <c r="O335" s="77">
        <f t="shared" si="217"/>
        <v>0</v>
      </c>
      <c r="P335" s="77">
        <f t="shared" si="218"/>
        <v>0</v>
      </c>
      <c r="Q335" s="77">
        <f t="shared" ref="Q335:S336" si="223">Q338+Q341</f>
        <v>0</v>
      </c>
      <c r="R335" s="77">
        <f t="shared" si="223"/>
        <v>0</v>
      </c>
      <c r="S335" s="77">
        <f t="shared" si="223"/>
        <v>0</v>
      </c>
      <c r="T335" s="77">
        <f t="shared" si="220"/>
        <v>0</v>
      </c>
      <c r="U335" s="77">
        <f t="shared" si="221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3">
        <f t="shared" ca="1" si="222"/>
        <v>106000</v>
      </c>
      <c r="M336" s="74">
        <f t="shared" ca="1" si="222"/>
        <v>111000</v>
      </c>
      <c r="N336" s="74">
        <f t="shared" ca="1" si="222"/>
        <v>49560</v>
      </c>
      <c r="O336" s="74">
        <f t="shared" ca="1" si="217"/>
        <v>46.754716981132077</v>
      </c>
      <c r="P336" s="74">
        <f t="shared" ca="1" si="218"/>
        <v>44.648648648648646</v>
      </c>
      <c r="Q336" s="74">
        <f t="shared" si="223"/>
        <v>0</v>
      </c>
      <c r="R336" s="74">
        <f t="shared" si="223"/>
        <v>0</v>
      </c>
      <c r="S336" s="74">
        <f t="shared" si="223"/>
        <v>0</v>
      </c>
      <c r="T336" s="74">
        <f t="shared" si="220"/>
        <v>0</v>
      </c>
      <c r="U336" s="74">
        <f t="shared" si="221"/>
        <v>0</v>
      </c>
    </row>
    <row r="337" spans="1:21" ht="18.75" x14ac:dyDescent="0.25">
      <c r="A337" s="257"/>
      <c r="B337" s="258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3">
        <f t="shared" ref="L337:N337" ca="1" si="224">L338+L339</f>
        <v>106000</v>
      </c>
      <c r="M337" s="74">
        <f t="shared" ca="1" si="224"/>
        <v>111000</v>
      </c>
      <c r="N337" s="74">
        <f t="shared" ca="1" si="224"/>
        <v>49560</v>
      </c>
      <c r="O337" s="74">
        <f t="shared" ca="1" si="217"/>
        <v>46.754716981132077</v>
      </c>
      <c r="P337" s="74">
        <f t="shared" ca="1" si="218"/>
        <v>44.648648648648646</v>
      </c>
      <c r="Q337" s="74">
        <f t="shared" ref="Q337:S337" si="225">Q338+Q339</f>
        <v>0</v>
      </c>
      <c r="R337" s="74">
        <f t="shared" si="225"/>
        <v>0</v>
      </c>
      <c r="S337" s="74">
        <f t="shared" si="225"/>
        <v>0</v>
      </c>
      <c r="T337" s="74">
        <f t="shared" si="220"/>
        <v>0</v>
      </c>
      <c r="U337" s="74">
        <f t="shared" si="221"/>
        <v>0</v>
      </c>
    </row>
    <row r="338" spans="1:21" ht="18.75" hidden="1" x14ac:dyDescent="0.25">
      <c r="A338" s="257"/>
      <c r="B338" s="258"/>
      <c r="C338" s="258"/>
      <c r="D338" s="258"/>
      <c r="E338" s="26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77">
        <f t="shared" si="217"/>
        <v>0</v>
      </c>
      <c r="P338" s="77">
        <f t="shared" si="218"/>
        <v>0</v>
      </c>
      <c r="Q338" s="77">
        <v>0</v>
      </c>
      <c r="R338" s="77">
        <v>0</v>
      </c>
      <c r="S338" s="77">
        <v>0</v>
      </c>
      <c r="T338" s="77">
        <f t="shared" si="220"/>
        <v>0</v>
      </c>
      <c r="U338" s="77">
        <f t="shared" si="221"/>
        <v>0</v>
      </c>
    </row>
    <row r="339" spans="1:21" ht="18.75" hidden="1" x14ac:dyDescent="0.25">
      <c r="A339" s="257"/>
      <c r="B339" s="258"/>
      <c r="C339" s="258"/>
      <c r="D339" s="258"/>
      <c r="E339" s="267" t="s">
        <v>37</v>
      </c>
      <c r="F339" s="258"/>
      <c r="G339" s="261"/>
      <c r="H339" s="271" t="s">
        <v>14</v>
      </c>
      <c r="I339" s="272"/>
      <c r="J339" s="272"/>
      <c r="K339" s="229"/>
      <c r="L339" s="73">
        <f ca="1">IFERROR(__xludf.DUMMYFUNCTION("IMPORTRANGE(""https://docs.google.com/spreadsheets/d/1-uDff_7J0KD5mKrp0Vvzr7lt3OU09vwQwhkpOPPYv2Y/edit?usp=sharing"",""งบพรบ!ES72"")"),106000)</f>
        <v>106000</v>
      </c>
      <c r="M339" s="74">
        <f ca="1">IFERROR(__xludf.DUMMYFUNCTION("IMPORTRANGE(""https://docs.google.com/spreadsheets/d/1-uDff_7J0KD5mKrp0Vvzr7lt3OU09vwQwhkpOPPYv2Y/edit?usp=sharing"",""งบพรบ!EX72"")"),111000)</f>
        <v>111000</v>
      </c>
      <c r="N339" s="74">
        <f ca="1">IFERROR(__xludf.DUMMYFUNCTION("IMPORTRANGE(""https://docs.google.com/spreadsheets/d/1-uDff_7J0KD5mKrp0Vvzr7lt3OU09vwQwhkpOPPYv2Y/edit?usp=sharing"",""งบพรบ!EZ72"")"),49560)</f>
        <v>49560</v>
      </c>
      <c r="O339" s="74">
        <f t="shared" ca="1" si="217"/>
        <v>46.754716981132077</v>
      </c>
      <c r="P339" s="74">
        <f t="shared" ca="1" si="218"/>
        <v>44.648648648648646</v>
      </c>
      <c r="Q339" s="74">
        <v>0</v>
      </c>
      <c r="R339" s="74">
        <v>0</v>
      </c>
      <c r="S339" s="74">
        <v>0</v>
      </c>
      <c r="T339" s="74">
        <f t="shared" si="220"/>
        <v>0</v>
      </c>
      <c r="U339" s="74">
        <f t="shared" si="221"/>
        <v>0</v>
      </c>
    </row>
    <row r="340" spans="1:21" ht="18.75" x14ac:dyDescent="0.25">
      <c r="A340" s="257"/>
      <c r="B340" s="258"/>
      <c r="C340" s="258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3">
        <f t="shared" ref="L340:N340" ca="1" si="226">L341+L342</f>
        <v>0</v>
      </c>
      <c r="M340" s="74">
        <f t="shared" ca="1" si="226"/>
        <v>0</v>
      </c>
      <c r="N340" s="74">
        <f t="shared" ca="1" si="226"/>
        <v>0</v>
      </c>
      <c r="O340" s="74">
        <f t="shared" ca="1" si="217"/>
        <v>0</v>
      </c>
      <c r="P340" s="74">
        <f t="shared" ca="1" si="218"/>
        <v>0</v>
      </c>
      <c r="Q340" s="74">
        <f t="shared" ref="Q340:S340" si="227">Q341+Q342</f>
        <v>0</v>
      </c>
      <c r="R340" s="74">
        <f t="shared" si="227"/>
        <v>0</v>
      </c>
      <c r="S340" s="74">
        <f t="shared" si="227"/>
        <v>0</v>
      </c>
      <c r="T340" s="74">
        <f t="shared" si="220"/>
        <v>0</v>
      </c>
      <c r="U340" s="74">
        <f t="shared" si="221"/>
        <v>0</v>
      </c>
    </row>
    <row r="341" spans="1:21" ht="18.75" hidden="1" x14ac:dyDescent="0.25">
      <c r="A341" s="257"/>
      <c r="B341" s="258"/>
      <c r="C341" s="258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77">
        <f t="shared" si="217"/>
        <v>0</v>
      </c>
      <c r="P341" s="77">
        <f t="shared" si="218"/>
        <v>0</v>
      </c>
      <c r="Q341" s="77">
        <v>0</v>
      </c>
      <c r="R341" s="77">
        <v>0</v>
      </c>
      <c r="S341" s="77">
        <v>0</v>
      </c>
      <c r="T341" s="77">
        <f t="shared" si="220"/>
        <v>0</v>
      </c>
      <c r="U341" s="77">
        <f t="shared" si="221"/>
        <v>0</v>
      </c>
    </row>
    <row r="342" spans="1:21" ht="18.75" hidden="1" x14ac:dyDescent="0.25">
      <c r="A342" s="257"/>
      <c r="B342" s="258"/>
      <c r="C342" s="258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3">
        <f ca="1">IFERROR(__xludf.DUMMYFUNCTION("IMPORTRANGE(""https://docs.google.com/spreadsheets/d/1-uDff_7J0KD5mKrp0Vvzr7lt3OU09vwQwhkpOPPYv2Y/edit?usp=sharing"",""งบพรบ!EV72"")"),0)</f>
        <v>0</v>
      </c>
      <c r="M342" s="74">
        <f ca="1">IFERROR(__xludf.DUMMYFUNCTION("IMPORTRANGE(""https://docs.google.com/spreadsheets/d/1-uDff_7J0KD5mKrp0Vvzr7lt3OU09vwQwhkpOPPYv2Y/edit?usp=sharing"",""งบพรบ!EY72"")"),0)</f>
        <v>0</v>
      </c>
      <c r="N342" s="74">
        <f ca="1">IFERROR(__xludf.DUMMYFUNCTION("IMPORTRANGE(""https://docs.google.com/spreadsheets/d/1-uDff_7J0KD5mKrp0Vvzr7lt3OU09vwQwhkpOPPYv2Y/edit?usp=sharing"",""งบพรบ!FA72"")"),0)</f>
        <v>0</v>
      </c>
      <c r="O342" s="74">
        <f t="shared" ca="1" si="217"/>
        <v>0</v>
      </c>
      <c r="P342" s="74">
        <f t="shared" ca="1" si="218"/>
        <v>0</v>
      </c>
      <c r="Q342" s="74">
        <v>0</v>
      </c>
      <c r="R342" s="74">
        <v>0</v>
      </c>
      <c r="S342" s="74">
        <v>0</v>
      </c>
      <c r="T342" s="74">
        <f t="shared" si="220"/>
        <v>0</v>
      </c>
      <c r="U342" s="74">
        <f t="shared" si="221"/>
        <v>0</v>
      </c>
    </row>
    <row r="343" spans="1:21" ht="19.5" x14ac:dyDescent="0.3">
      <c r="A343" s="276"/>
      <c r="B343" s="277"/>
      <c r="C343" s="259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1159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551" t="s">
        <v>35</v>
      </c>
      <c r="I345" s="293">
        <f ca="1">IFERROR(__xludf.DUMMYFUNCTION("IMPORTRANGE(""https://docs.google.com/spreadsheets/d/1eHaY18a8A9IcSdp1K8H6x8fbOy06t2VsZHhMHf-1x7Y/edit?usp=sharing"",""แผน!EK72"")"),1540)</f>
        <v>1540</v>
      </c>
      <c r="J345" s="293">
        <f ca="1">IFERROR(__xludf.DUMMYFUNCTION("IMPORTRANGE(""https://docs.google.com/spreadsheets/d/1awYsYK3VOup2i3Pq_Yjnu8DRu_mYwSBnCR2QPthd0rU/edit?usp=sharing"",""ศูนย์ยกเว้นโฉนด!D72"")"),1129)</f>
        <v>1129</v>
      </c>
      <c r="K345" s="74">
        <f ca="1">IF(I345&gt;0,J345*100/I345,0)</f>
        <v>73.311688311688314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IFERROR(__xludf.DUMMYFUNCTION("IMPORTRANGE(""https://docs.google.com/spreadsheets/d/1eHaY18a8A9IcSdp1K8H6x8fbOy06t2VsZHhMHf-1x7Y/edit?usp=sharing"",""แผน!EL72"")"),3)</f>
        <v>3</v>
      </c>
      <c r="J347" s="293">
        <f ca="1">IFERROR(__xludf.DUMMYFUNCTION("IMPORTRANGE(""https://docs.google.com/spreadsheets/d/1awYsYK3VOup2i3Pq_Yjnu8DRu_mYwSBnCR2QPthd0rU/edit?usp=sharing"",""ศูนย์รวม!E72"")"),4)</f>
        <v>4</v>
      </c>
      <c r="K347" s="74">
        <f ca="1">IF(I347&gt;0,J347*100/I347,0)</f>
        <v>133.33333333333334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IFERROR(__xludf.DUMMYFUNCTION("IMPORTRANGE(""https://docs.google.com/spreadsheets/d/1awYsYK3VOup2i3Pq_Yjnu8DRu_mYwSBnCR2QPthd0rU/edit?usp=sharing"",""ศูนย์ยกเว้นโฉนด!F72"")"),4)</f>
        <v>4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IFERROR(__xludf.DUMMYFUNCTION("IMPORTRANGE(""https://docs.google.com/spreadsheets/d/1awYsYK3VOup2i3Pq_Yjnu8DRu_mYwSBnCR2QPthd0rU/edit?usp=sharing"",""ศูนย์ยกเว้นโฉนด!G72"")"),26)</f>
        <v>26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IFERROR(__xludf.DUMMYFUNCTION("IMPORTRANGE(""https://docs.google.com/spreadsheets/d/1awYsYK3VOup2i3Pq_Yjnu8DRu_mYwSBnCR2QPthd0rU/edit?usp=sharing"",""ศูนย์ยกเว้นโฉนด!H72"")"),0)</f>
        <v>0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558" t="s">
        <v>35</v>
      </c>
      <c r="I352" s="559">
        <v>0</v>
      </c>
      <c r="J352" s="559">
        <f ca="1">J353+J354</f>
        <v>1015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IFERROR(__xludf.DUMMYFUNCTION("IMPORTRANGE(""https://docs.google.com/spreadsheets/d/1awYsYK3VOup2i3Pq_Yjnu8DRu_mYwSBnCR2QPthd0rU/edit?usp=sharing"",""โฉนดM3!G72"")"),1)</f>
        <v>1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IFERROR(__xludf.DUMMYFUNCTION("IMPORTRANGE(""https://docs.google.com/spreadsheets/d/1awYsYK3VOup2i3Pq_Yjnu8DRu_mYwSBnCR2QPthd0rU/edit?usp=sharing"",""โฉนดM3!H72"")"),1014)</f>
        <v>1014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08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1257">
        <f t="shared" ref="L357:N357" ca="1" si="228">L358+L359</f>
        <v>487565</v>
      </c>
      <c r="M357" s="264">
        <f t="shared" ca="1" si="228"/>
        <v>494885</v>
      </c>
      <c r="N357" s="264">
        <f t="shared" ca="1" si="228"/>
        <v>274646.39</v>
      </c>
      <c r="O357" s="264">
        <f t="shared" ref="O357:O365" ca="1" si="229">IF(L357&gt;0,N357*100/L357,0)</f>
        <v>56.330210330930235</v>
      </c>
      <c r="P357" s="264">
        <f t="shared" ref="P357:P365" ca="1" si="230">IF(M357&gt;0,N357*100/M357,0)</f>
        <v>55.49701243723289</v>
      </c>
      <c r="Q357" s="264">
        <f t="shared" ref="Q357:S357" si="231">Q358+Q359</f>
        <v>0</v>
      </c>
      <c r="R357" s="264">
        <f t="shared" si="231"/>
        <v>0</v>
      </c>
      <c r="S357" s="264">
        <f t="shared" si="231"/>
        <v>0</v>
      </c>
      <c r="T357" s="264">
        <f t="shared" ref="T357:T365" si="232">IF(Q357&gt;0,S357*100/Q357,0)</f>
        <v>0</v>
      </c>
      <c r="U357" s="264">
        <f t="shared" ref="U357:U365" si="233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6">
        <f t="shared" ref="L358:N359" si="234">L361+L364</f>
        <v>0</v>
      </c>
      <c r="M358" s="77">
        <f t="shared" si="234"/>
        <v>0</v>
      </c>
      <c r="N358" s="77">
        <f t="shared" si="234"/>
        <v>0</v>
      </c>
      <c r="O358" s="77">
        <f t="shared" si="229"/>
        <v>0</v>
      </c>
      <c r="P358" s="77">
        <f t="shared" si="230"/>
        <v>0</v>
      </c>
      <c r="Q358" s="77">
        <f t="shared" ref="Q358:S359" si="235">Q361+Q364</f>
        <v>0</v>
      </c>
      <c r="R358" s="77">
        <f t="shared" si="235"/>
        <v>0</v>
      </c>
      <c r="S358" s="77">
        <f t="shared" si="235"/>
        <v>0</v>
      </c>
      <c r="T358" s="77">
        <f t="shared" si="232"/>
        <v>0</v>
      </c>
      <c r="U358" s="77">
        <f t="shared" si="233"/>
        <v>0</v>
      </c>
    </row>
    <row r="359" spans="1:21" ht="18.75" hidden="1" x14ac:dyDescent="0.25">
      <c r="A359" s="257"/>
      <c r="B359" s="258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3">
        <f t="shared" ca="1" si="234"/>
        <v>487565</v>
      </c>
      <c r="M359" s="74">
        <f t="shared" ca="1" si="234"/>
        <v>494885</v>
      </c>
      <c r="N359" s="74">
        <f t="shared" ca="1" si="234"/>
        <v>274646.39</v>
      </c>
      <c r="O359" s="74">
        <f t="shared" ca="1" si="229"/>
        <v>56.330210330930235</v>
      </c>
      <c r="P359" s="74">
        <f t="shared" ca="1" si="230"/>
        <v>55.49701243723289</v>
      </c>
      <c r="Q359" s="74">
        <f t="shared" si="235"/>
        <v>0</v>
      </c>
      <c r="R359" s="74">
        <f t="shared" si="235"/>
        <v>0</v>
      </c>
      <c r="S359" s="74">
        <f t="shared" si="235"/>
        <v>0</v>
      </c>
      <c r="T359" s="74">
        <f t="shared" si="232"/>
        <v>0</v>
      </c>
      <c r="U359" s="74">
        <f t="shared" si="233"/>
        <v>0</v>
      </c>
    </row>
    <row r="360" spans="1:21" ht="18.75" x14ac:dyDescent="0.25">
      <c r="A360" s="257"/>
      <c r="B360" s="258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3">
        <f t="shared" ref="L360:N360" ca="1" si="236">L361+L362</f>
        <v>487565</v>
      </c>
      <c r="M360" s="74">
        <f t="shared" ca="1" si="236"/>
        <v>494885</v>
      </c>
      <c r="N360" s="74">
        <f t="shared" ca="1" si="236"/>
        <v>274646.39</v>
      </c>
      <c r="O360" s="74">
        <f t="shared" ca="1" si="229"/>
        <v>56.330210330930235</v>
      </c>
      <c r="P360" s="74">
        <f t="shared" ca="1" si="230"/>
        <v>55.49701243723289</v>
      </c>
      <c r="Q360" s="74">
        <f t="shared" ref="Q360:S360" si="237">Q361+Q362</f>
        <v>0</v>
      </c>
      <c r="R360" s="74">
        <f t="shared" si="237"/>
        <v>0</v>
      </c>
      <c r="S360" s="74">
        <f t="shared" si="237"/>
        <v>0</v>
      </c>
      <c r="T360" s="74">
        <f t="shared" si="232"/>
        <v>0</v>
      </c>
      <c r="U360" s="74">
        <f t="shared" si="233"/>
        <v>0</v>
      </c>
    </row>
    <row r="361" spans="1:21" ht="18.75" hidden="1" x14ac:dyDescent="0.25">
      <c r="A361" s="257"/>
      <c r="B361" s="258"/>
      <c r="C361" s="258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77">
        <f t="shared" si="229"/>
        <v>0</v>
      </c>
      <c r="P361" s="77">
        <f t="shared" si="230"/>
        <v>0</v>
      </c>
      <c r="Q361" s="77">
        <v>0</v>
      </c>
      <c r="R361" s="77">
        <v>0</v>
      </c>
      <c r="S361" s="77">
        <v>0</v>
      </c>
      <c r="T361" s="77">
        <f t="shared" si="232"/>
        <v>0</v>
      </c>
      <c r="U361" s="77">
        <f t="shared" si="233"/>
        <v>0</v>
      </c>
    </row>
    <row r="362" spans="1:21" ht="18.75" hidden="1" x14ac:dyDescent="0.25">
      <c r="A362" s="257"/>
      <c r="B362" s="258"/>
      <c r="C362" s="258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3">
        <f ca="1">IFERROR(__xludf.DUMMYFUNCTION("IMPORTRANGE(""https://docs.google.com/spreadsheets/d/1-uDff_7J0KD5mKrp0Vvzr7lt3OU09vwQwhkpOPPYv2Y/edit?usp=sharing"",""งบพรบ!FC72"")"),487565)</f>
        <v>487565</v>
      </c>
      <c r="M362" s="74">
        <f ca="1">IFERROR(__xludf.DUMMYFUNCTION("IMPORTRANGE(""https://docs.google.com/spreadsheets/d/1-uDff_7J0KD5mKrp0Vvzr7lt3OU09vwQwhkpOPPYv2Y/edit?usp=sharing"",""งบพรบ!FH72"")"),494885)</f>
        <v>494885</v>
      </c>
      <c r="N362" s="74">
        <f ca="1">IFERROR(__xludf.DUMMYFUNCTION("IMPORTRANGE(""https://docs.google.com/spreadsheets/d/1-uDff_7J0KD5mKrp0Vvzr7lt3OU09vwQwhkpOPPYv2Y/edit?usp=sharing"",""งบพรบ!FJ72"")"),274646.39)</f>
        <v>274646.39</v>
      </c>
      <c r="O362" s="74">
        <f t="shared" ca="1" si="229"/>
        <v>56.330210330930235</v>
      </c>
      <c r="P362" s="74">
        <f t="shared" ca="1" si="230"/>
        <v>55.49701243723289</v>
      </c>
      <c r="Q362" s="74">
        <v>0</v>
      </c>
      <c r="R362" s="74">
        <v>0</v>
      </c>
      <c r="S362" s="74">
        <v>0</v>
      </c>
      <c r="T362" s="74">
        <f t="shared" si="232"/>
        <v>0</v>
      </c>
      <c r="U362" s="74">
        <f t="shared" si="233"/>
        <v>0</v>
      </c>
    </row>
    <row r="363" spans="1:21" ht="18.75" x14ac:dyDescent="0.25">
      <c r="A363" s="257"/>
      <c r="B363" s="258"/>
      <c r="C363" s="258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3">
        <f t="shared" ref="L363:N363" ca="1" si="238">L364+L365</f>
        <v>0</v>
      </c>
      <c r="M363" s="74">
        <f t="shared" ca="1" si="238"/>
        <v>0</v>
      </c>
      <c r="N363" s="74">
        <f t="shared" ca="1" si="238"/>
        <v>0</v>
      </c>
      <c r="O363" s="74">
        <f t="shared" ca="1" si="229"/>
        <v>0</v>
      </c>
      <c r="P363" s="74">
        <f t="shared" ca="1" si="230"/>
        <v>0</v>
      </c>
      <c r="Q363" s="74">
        <f t="shared" ref="Q363:S363" si="239">Q364+Q365</f>
        <v>0</v>
      </c>
      <c r="R363" s="74">
        <f t="shared" si="239"/>
        <v>0</v>
      </c>
      <c r="S363" s="74">
        <f t="shared" si="239"/>
        <v>0</v>
      </c>
      <c r="T363" s="74">
        <f t="shared" si="232"/>
        <v>0</v>
      </c>
      <c r="U363" s="74">
        <f t="shared" si="233"/>
        <v>0</v>
      </c>
    </row>
    <row r="364" spans="1:21" ht="18.75" hidden="1" x14ac:dyDescent="0.25">
      <c r="A364" s="257"/>
      <c r="B364" s="258"/>
      <c r="C364" s="258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77">
        <f t="shared" si="229"/>
        <v>0</v>
      </c>
      <c r="P364" s="77">
        <f t="shared" si="230"/>
        <v>0</v>
      </c>
      <c r="Q364" s="77">
        <v>0</v>
      </c>
      <c r="R364" s="77">
        <v>0</v>
      </c>
      <c r="S364" s="77">
        <v>0</v>
      </c>
      <c r="T364" s="77">
        <f t="shared" si="232"/>
        <v>0</v>
      </c>
      <c r="U364" s="77">
        <f t="shared" si="233"/>
        <v>0</v>
      </c>
    </row>
    <row r="365" spans="1:21" ht="18.75" hidden="1" x14ac:dyDescent="0.25">
      <c r="A365" s="257"/>
      <c r="B365" s="258"/>
      <c r="C365" s="258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3">
        <f ca="1">IFERROR(__xludf.DUMMYFUNCTION("IMPORTRANGE(""https://docs.google.com/spreadsheets/d/1-uDff_7J0KD5mKrp0Vvzr7lt3OU09vwQwhkpOPPYv2Y/edit?usp=sharing"",""งบพรบ!FF72"")"),0)</f>
        <v>0</v>
      </c>
      <c r="M365" s="74">
        <f ca="1">IFERROR(__xludf.DUMMYFUNCTION("IMPORTRANGE(""https://docs.google.com/spreadsheets/d/1-uDff_7J0KD5mKrp0Vvzr7lt3OU09vwQwhkpOPPYv2Y/edit?usp=sharing"",""งบพรบ!FI72"")"),0)</f>
        <v>0</v>
      </c>
      <c r="N365" s="74">
        <f ca="1">IFERROR(__xludf.DUMMYFUNCTION("IMPORTRANGE(""https://docs.google.com/spreadsheets/d/1-uDff_7J0KD5mKrp0Vvzr7lt3OU09vwQwhkpOPPYv2Y/edit?usp=sharing"",""งบพรบ!FK72"")"),0)</f>
        <v>0</v>
      </c>
      <c r="O365" s="74">
        <f t="shared" ca="1" si="229"/>
        <v>0</v>
      </c>
      <c r="P365" s="74">
        <f t="shared" ca="1" si="230"/>
        <v>0</v>
      </c>
      <c r="Q365" s="74">
        <v>0</v>
      </c>
      <c r="R365" s="74">
        <v>0</v>
      </c>
      <c r="S365" s="74">
        <v>0</v>
      </c>
      <c r="T365" s="74">
        <f t="shared" si="232"/>
        <v>0</v>
      </c>
      <c r="U365" s="74">
        <f t="shared" si="233"/>
        <v>0</v>
      </c>
    </row>
    <row r="366" spans="1:21" ht="19.5" x14ac:dyDescent="0.3">
      <c r="A366" s="553"/>
      <c r="B366" s="555"/>
      <c r="C366" s="554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0">I372</f>
        <v>77</v>
      </c>
      <c r="J366" s="559">
        <f t="shared" ca="1" si="240"/>
        <v>36</v>
      </c>
      <c r="K366" s="560">
        <f ca="1">IF(I366&gt;0,J366*100/I366,0)</f>
        <v>46.753246753246756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259" t="s">
        <v>18</v>
      </c>
      <c r="D367" s="1019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96"/>
      <c r="C368" s="277"/>
      <c r="D368" s="296"/>
      <c r="E368" s="767" t="s">
        <v>150</v>
      </c>
      <c r="F368" s="296"/>
      <c r="G368" s="282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IFERROR(__xludf.DUMMYFUNCTION("IMPORTRANGE(""https://docs.google.com/spreadsheets/d/1tdoBKaGub7dwA3U6UFTqxio9LNnvDCQjHKmttSEBsFQ/edit?usp=sharing"",""จัดที่ดิน!AB72"")"),73)</f>
        <v>73</v>
      </c>
      <c r="K368" s="74">
        <f t="shared" ref="K368:K373" si="241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IFERROR(__xludf.DUMMYFUNCTION("IMPORTRANGE(""https://docs.google.com/spreadsheets/d/1eHaY18a8A9IcSdp1K8H6x8fbOy06t2VsZHhMHf-1x7Y/edit?usp=sharing"",""แผน!EW72"")"),670)</f>
        <v>670</v>
      </c>
      <c r="J369" s="1190">
        <f ca="1">IFERROR(__xludf.DUMMYFUNCTION("IMPORTRANGE(""https://docs.google.com/spreadsheets/d/1tdoBKaGub7dwA3U6UFTqxio9LNnvDCQjHKmttSEBsFQ/edit?usp=sharing"",""จัดที่ดิน!AC72"")"),447.21)</f>
        <v>447.21</v>
      </c>
      <c r="K369" s="74">
        <f t="shared" ca="1" si="241"/>
        <v>66.747761194029849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99" t="s">
        <v>35</v>
      </c>
      <c r="I370" s="293">
        <f ca="1">IFERROR(__xludf.DUMMYFUNCTION("IMPORTRANGE(""https://docs.google.com/spreadsheets/d/1eHaY18a8A9IcSdp1K8H6x8fbOy06t2VsZHhMHf-1x7Y/edit?usp=sharing"",""แผน!EX72"")"),116)</f>
        <v>116</v>
      </c>
      <c r="J370" s="293">
        <f ca="1">IFERROR(__xludf.DUMMYFUNCTION("IMPORTRANGE(""https://docs.google.com/spreadsheets/d/1tdoBKaGub7dwA3U6UFTqxio9LNnvDCQjHKmttSEBsFQ/edit?usp=sharing"",""จัดที่ดิน!AD72"")"),37)</f>
        <v>37</v>
      </c>
      <c r="K370" s="74">
        <f t="shared" ca="1" si="241"/>
        <v>31.896551724137932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99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IFERROR(__xludf.DUMMYFUNCTION("IMPORTRANGE(""https://docs.google.com/spreadsheets/d/1tdoBKaGub7dwA3U6UFTqxio9LNnvDCQjHKmttSEBsFQ/edit?usp=sharing"",""จัดที่ดิน!AE72"")"),434.71)</f>
        <v>434.71</v>
      </c>
      <c r="K371" s="74">
        <f t="shared" si="241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99" t="s">
        <v>35</v>
      </c>
      <c r="I372" s="293">
        <f ca="1">IFERROR(__xludf.DUMMYFUNCTION("IMPORTRANGE(""https://docs.google.com/spreadsheets/d/1eHaY18a8A9IcSdp1K8H6x8fbOy06t2VsZHhMHf-1x7Y/edit?usp=sharing"",""แผน!EY72"")"),77)</f>
        <v>77</v>
      </c>
      <c r="J372" s="293">
        <f ca="1">IFERROR(__xludf.DUMMYFUNCTION("IMPORTRANGE(""https://docs.google.com/spreadsheets/d/1tdoBKaGub7dwA3U6UFTqxio9LNnvDCQjHKmttSEBsFQ/edit?usp=sharing"",""จัดที่ดิน!AF72"")"),36)</f>
        <v>36</v>
      </c>
      <c r="K372" s="74">
        <f t="shared" ca="1" si="241"/>
        <v>46.753246753246756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99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IFERROR(__xludf.DUMMYFUNCTION("IMPORTRANGE(""https://docs.google.com/spreadsheets/d/1tdoBKaGub7dwA3U6UFTqxio9LNnvDCQjHKmttSEBsFQ/edit?usp=sharing"",""จัดที่ดิน!AG72"")"),432.71)</f>
        <v>432.71</v>
      </c>
      <c r="K373" s="74">
        <f t="shared" si="241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37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2">I387+I389</f>
        <v>1000</v>
      </c>
      <c r="J375" s="585">
        <f t="shared" ca="1" si="242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1257">
        <f t="shared" ref="L376:N376" si="243">L377+L378</f>
        <v>0</v>
      </c>
      <c r="M376" s="264">
        <f t="shared" si="243"/>
        <v>0</v>
      </c>
      <c r="N376" s="264">
        <f t="shared" si="243"/>
        <v>0</v>
      </c>
      <c r="O376" s="264">
        <f t="shared" ref="O376:O384" si="244">IF(L376&gt;0,N376*100/L376,0)</f>
        <v>0</v>
      </c>
      <c r="P376" s="264">
        <f t="shared" ref="P376:P384" si="245">IF(M376&gt;0,N376*100/M376,0)</f>
        <v>0</v>
      </c>
      <c r="Q376" s="264">
        <f t="shared" ref="Q376:S376" ca="1" si="246">Q377+Q378</f>
        <v>62500</v>
      </c>
      <c r="R376" s="264">
        <f t="shared" ca="1" si="246"/>
        <v>0</v>
      </c>
      <c r="S376" s="264">
        <f t="shared" ca="1" si="246"/>
        <v>0</v>
      </c>
      <c r="T376" s="264">
        <f t="shared" ref="T376:T384" ca="1" si="247">IF(Q376&gt;0,S376*100/Q376,0)</f>
        <v>0</v>
      </c>
      <c r="U376" s="264">
        <f t="shared" ref="U376:U384" ca="1" si="248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6">
        <f t="shared" ref="L377:N378" si="249">L380+L383</f>
        <v>0</v>
      </c>
      <c r="M377" s="77">
        <f t="shared" si="249"/>
        <v>0</v>
      </c>
      <c r="N377" s="77">
        <f t="shared" si="249"/>
        <v>0</v>
      </c>
      <c r="O377" s="77">
        <f t="shared" si="244"/>
        <v>0</v>
      </c>
      <c r="P377" s="77">
        <f t="shared" si="245"/>
        <v>0</v>
      </c>
      <c r="Q377" s="77">
        <f t="shared" ref="Q377:S378" si="250">Q380+Q383</f>
        <v>0</v>
      </c>
      <c r="R377" s="77">
        <f t="shared" si="250"/>
        <v>0</v>
      </c>
      <c r="S377" s="77">
        <f t="shared" si="250"/>
        <v>0</v>
      </c>
      <c r="T377" s="77">
        <f t="shared" si="247"/>
        <v>0</v>
      </c>
      <c r="U377" s="77">
        <f t="shared" si="248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3">
        <f t="shared" si="249"/>
        <v>0</v>
      </c>
      <c r="M378" s="74">
        <f t="shared" si="249"/>
        <v>0</v>
      </c>
      <c r="N378" s="74">
        <f t="shared" si="249"/>
        <v>0</v>
      </c>
      <c r="O378" s="74">
        <f t="shared" si="244"/>
        <v>0</v>
      </c>
      <c r="P378" s="74">
        <f t="shared" si="245"/>
        <v>0</v>
      </c>
      <c r="Q378" s="74">
        <f t="shared" ca="1" si="250"/>
        <v>62500</v>
      </c>
      <c r="R378" s="74">
        <f t="shared" ca="1" si="250"/>
        <v>0</v>
      </c>
      <c r="S378" s="74">
        <f t="shared" ca="1" si="250"/>
        <v>0</v>
      </c>
      <c r="T378" s="74">
        <f t="shared" ca="1" si="247"/>
        <v>0</v>
      </c>
      <c r="U378" s="74">
        <f t="shared" ca="1" si="248"/>
        <v>0</v>
      </c>
    </row>
    <row r="379" spans="1:21" ht="18.75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3">
        <f t="shared" ref="L379:N379" si="251">L380+L381</f>
        <v>0</v>
      </c>
      <c r="M379" s="74">
        <f t="shared" si="251"/>
        <v>0</v>
      </c>
      <c r="N379" s="74">
        <f t="shared" si="251"/>
        <v>0</v>
      </c>
      <c r="O379" s="74">
        <f t="shared" si="244"/>
        <v>0</v>
      </c>
      <c r="P379" s="74">
        <f t="shared" si="245"/>
        <v>0</v>
      </c>
      <c r="Q379" s="74">
        <f t="shared" ref="Q379:S379" ca="1" si="252">Q380+Q381</f>
        <v>62500</v>
      </c>
      <c r="R379" s="74">
        <f t="shared" ca="1" si="252"/>
        <v>0</v>
      </c>
      <c r="S379" s="74">
        <f t="shared" ca="1" si="252"/>
        <v>0</v>
      </c>
      <c r="T379" s="74">
        <f t="shared" ca="1" si="247"/>
        <v>0</v>
      </c>
      <c r="U379" s="74">
        <f t="shared" ca="1" si="248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77">
        <f t="shared" si="244"/>
        <v>0</v>
      </c>
      <c r="P380" s="77">
        <f t="shared" si="245"/>
        <v>0</v>
      </c>
      <c r="Q380" s="77">
        <v>0</v>
      </c>
      <c r="R380" s="77">
        <v>0</v>
      </c>
      <c r="S380" s="77">
        <v>0</v>
      </c>
      <c r="T380" s="77">
        <f t="shared" si="247"/>
        <v>0</v>
      </c>
      <c r="U380" s="77">
        <f t="shared" si="248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74">
        <f t="shared" si="244"/>
        <v>0</v>
      </c>
      <c r="P381" s="74">
        <f t="shared" si="245"/>
        <v>0</v>
      </c>
      <c r="Q381" s="74">
        <f ca="1">IFERROR(__xludf.DUMMYFUNCTION("IMPORTRANGE(""https://docs.google.com/spreadsheets/d/1ItG2mGa2ceCfYo0BwxsXqNm01IGEUdYcSSLTEv9YCik/edit?usp=sharing"",""เบิกจ่ายกองทุน!AY72"")"),62500)</f>
        <v>62500</v>
      </c>
      <c r="R381" s="74">
        <f ca="1">IFERROR(__xludf.DUMMYFUNCTION("IMPORTRANGE(""https://docs.google.com/spreadsheets/d/1ItG2mGa2ceCfYo0BwxsXqNm01IGEUdYcSSLTEv9YCik/edit?usp=sharing"",""เบิกจ่ายกองทุน!AZ72"")"),0)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IFERROR(__xludf.DUMMYFUNCTION("IMPORTRANGE(""https://docs.google.com/spreadsheets/d/1ItG2mGa2ceCfYo0BwxsXqNm01IGEUdYcSSLTEv9YCik/edit?usp=sharing"",""เบิกจ่ายกองทุน!BA72"")"),0)</f>
        <v>0</v>
      </c>
      <c r="T381" s="74">
        <f t="shared" ca="1" si="247"/>
        <v>0</v>
      </c>
      <c r="U381" s="74">
        <f t="shared" ca="1" si="248"/>
        <v>0</v>
      </c>
    </row>
    <row r="382" spans="1:21" ht="18.75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3">
        <f t="shared" ref="L382:N382" si="253">L383+L384</f>
        <v>0</v>
      </c>
      <c r="M382" s="74">
        <f t="shared" si="253"/>
        <v>0</v>
      </c>
      <c r="N382" s="74">
        <f t="shared" si="253"/>
        <v>0</v>
      </c>
      <c r="O382" s="74">
        <f t="shared" si="244"/>
        <v>0</v>
      </c>
      <c r="P382" s="74">
        <f t="shared" si="245"/>
        <v>0</v>
      </c>
      <c r="Q382" s="74">
        <f t="shared" ref="Q382:S382" si="254">Q383+Q384</f>
        <v>0</v>
      </c>
      <c r="R382" s="74">
        <f t="shared" si="254"/>
        <v>0</v>
      </c>
      <c r="S382" s="74">
        <f t="shared" si="254"/>
        <v>0</v>
      </c>
      <c r="T382" s="74">
        <f t="shared" si="247"/>
        <v>0</v>
      </c>
      <c r="U382" s="74">
        <f t="shared" si="248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77">
        <f t="shared" si="244"/>
        <v>0</v>
      </c>
      <c r="P383" s="77">
        <f t="shared" si="245"/>
        <v>0</v>
      </c>
      <c r="Q383" s="77">
        <v>0</v>
      </c>
      <c r="R383" s="77">
        <v>0</v>
      </c>
      <c r="S383" s="77">
        <v>0</v>
      </c>
      <c r="T383" s="77">
        <f t="shared" si="247"/>
        <v>0</v>
      </c>
      <c r="U383" s="77">
        <f t="shared" si="248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74">
        <f t="shared" si="244"/>
        <v>0</v>
      </c>
      <c r="P384" s="74">
        <f t="shared" si="245"/>
        <v>0</v>
      </c>
      <c r="Q384" s="74">
        <v>0</v>
      </c>
      <c r="R384" s="74">
        <v>0</v>
      </c>
      <c r="S384" s="74">
        <v>0</v>
      </c>
      <c r="T384" s="74">
        <f t="shared" si="247"/>
        <v>0</v>
      </c>
      <c r="U384" s="74">
        <f t="shared" si="248"/>
        <v>0</v>
      </c>
    </row>
    <row r="385" spans="1:21" ht="19.5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v>0</v>
      </c>
      <c r="J386" s="293">
        <f ca="1">IFERROR(__xludf.DUMMYFUNCTION("IMPORTRANGE(""https://docs.google.com/spreadsheets/d/1w5rwWK1o49a35cNtocGL0gxDwhFSTZUQu90BiH9_zqM/edit?usp=sharing"",""RTK!H72"")"),0)</f>
        <v>0</v>
      </c>
      <c r="K386" s="74">
        <f t="shared" ref="K386:K389" si="255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IFERROR(__xludf.DUMMYFUNCTION("IMPORTRANGE(""https://docs.google.com/spreadsheets/d/1w5rwWK1o49a35cNtocGL0gxDwhFSTZUQu90BiH9_zqM/edit?usp=sharing"",""RTK!G72"")"),1000)</f>
        <v>1000</v>
      </c>
      <c r="J387" s="293">
        <f ca="1">IFERROR(__xludf.DUMMYFUNCTION("IMPORTRANGE(""https://docs.google.com/spreadsheets/d/1w5rwWK1o49a35cNtocGL0gxDwhFSTZUQu90BiH9_zqM/edit?usp=sharing"",""RTK!I72"")"),0)</f>
        <v>0</v>
      </c>
      <c r="K387" s="74">
        <f t="shared" ca="1" si="255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x14ac:dyDescent="0.25">
      <c r="A388" s="381"/>
      <c r="B388" s="381"/>
      <c r="C388" s="381"/>
      <c r="D388" s="381"/>
      <c r="E388" s="379" t="s">
        <v>155</v>
      </c>
      <c r="F388" s="381"/>
      <c r="G388" s="1033"/>
      <c r="H388" s="216" t="s">
        <v>34</v>
      </c>
      <c r="I388" s="321">
        <v>0</v>
      </c>
      <c r="J388" s="321">
        <f ca="1">IFERROR(__xludf.DUMMYFUNCTION("IMPORTRANGE(""https://docs.google.com/spreadsheets/d/1w5rwWK1o49a35cNtocGL0gxDwhFSTZUQu90BiH9_zqM/edit?usp=sharing"",""RTK!L72"")"),0)</f>
        <v>0</v>
      </c>
      <c r="K388" s="399">
        <f t="shared" si="255"/>
        <v>0</v>
      </c>
      <c r="L388" s="540"/>
      <c r="M388" s="72"/>
      <c r="N388" s="72"/>
      <c r="O388" s="72"/>
      <c r="P388" s="72"/>
      <c r="Q388" s="72"/>
      <c r="R388" s="72"/>
      <c r="S388" s="72"/>
      <c r="T388" s="72"/>
      <c r="U388" s="72"/>
    </row>
    <row r="389" spans="1:21" ht="18.75" x14ac:dyDescent="0.25">
      <c r="A389" s="381"/>
      <c r="B389" s="381"/>
      <c r="C389" s="381"/>
      <c r="D389" s="381"/>
      <c r="E389" s="381"/>
      <c r="F389" s="381"/>
      <c r="G389" s="1033"/>
      <c r="H389" s="216" t="s">
        <v>46</v>
      </c>
      <c r="I389" s="321">
        <f ca="1">IFERROR(__xludf.DUMMYFUNCTION("IMPORTRANGE(""https://docs.google.com/spreadsheets/d/1w5rwWK1o49a35cNtocGL0gxDwhFSTZUQu90BiH9_zqM/edit?usp=sharing"",""RTK!K72"")"),0)</f>
        <v>0</v>
      </c>
      <c r="J389" s="321">
        <f ca="1">IFERROR(__xludf.DUMMYFUNCTION("IMPORTRANGE(""https://docs.google.com/spreadsheets/d/1w5rwWK1o49a35cNtocGL0gxDwhFSTZUQu90BiH9_zqM/edit?usp=sharing"",""RTK!M72"")"),0)</f>
        <v>0</v>
      </c>
      <c r="K389" s="399">
        <f t="shared" ca="1" si="255"/>
        <v>0</v>
      </c>
      <c r="L389" s="540"/>
      <c r="M389" s="72"/>
      <c r="N389" s="72"/>
      <c r="O389" s="72"/>
      <c r="P389" s="72"/>
      <c r="Q389" s="72"/>
      <c r="R389" s="72"/>
      <c r="S389" s="72"/>
      <c r="T389" s="72"/>
      <c r="U389" s="72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6">I403</f>
        <v>0</v>
      </c>
      <c r="J392" s="1189">
        <f t="shared" si="256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1257">
        <f t="shared" ref="L393:N393" si="257">L394+L395</f>
        <v>0</v>
      </c>
      <c r="M393" s="264">
        <f t="shared" si="257"/>
        <v>0</v>
      </c>
      <c r="N393" s="264">
        <f t="shared" si="257"/>
        <v>0</v>
      </c>
      <c r="O393" s="264">
        <f t="shared" ref="O393:O401" si="258">IF(L393&gt;0,N393*100/L393,0)</f>
        <v>0</v>
      </c>
      <c r="P393" s="264">
        <f t="shared" ref="P393:P401" si="259">IF(M393&gt;0,N393*100/M393,0)</f>
        <v>0</v>
      </c>
      <c r="Q393" s="264">
        <f t="shared" ref="Q393:S393" si="260">Q394+Q395</f>
        <v>0</v>
      </c>
      <c r="R393" s="264">
        <f t="shared" si="260"/>
        <v>0</v>
      </c>
      <c r="S393" s="264">
        <f t="shared" si="260"/>
        <v>0</v>
      </c>
      <c r="T393" s="264">
        <f t="shared" ref="T393:T401" si="261">IF(Q393&gt;0,S393*100/Q393,0)</f>
        <v>0</v>
      </c>
      <c r="U393" s="264">
        <f t="shared" ref="U393:U401" si="262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6">
        <f t="shared" ref="L394:N395" si="263">L397+L400</f>
        <v>0</v>
      </c>
      <c r="M394" s="77">
        <f t="shared" si="263"/>
        <v>0</v>
      </c>
      <c r="N394" s="77">
        <f t="shared" si="263"/>
        <v>0</v>
      </c>
      <c r="O394" s="77">
        <f t="shared" si="258"/>
        <v>0</v>
      </c>
      <c r="P394" s="77">
        <f t="shared" si="259"/>
        <v>0</v>
      </c>
      <c r="Q394" s="77">
        <f t="shared" ref="Q394:S395" si="264">Q397+Q400</f>
        <v>0</v>
      </c>
      <c r="R394" s="77">
        <f t="shared" si="264"/>
        <v>0</v>
      </c>
      <c r="S394" s="77">
        <f t="shared" si="264"/>
        <v>0</v>
      </c>
      <c r="T394" s="77">
        <f t="shared" si="261"/>
        <v>0</v>
      </c>
      <c r="U394" s="77">
        <f t="shared" si="262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3">
        <f t="shared" si="263"/>
        <v>0</v>
      </c>
      <c r="M395" s="74">
        <f t="shared" si="263"/>
        <v>0</v>
      </c>
      <c r="N395" s="74">
        <f t="shared" si="263"/>
        <v>0</v>
      </c>
      <c r="O395" s="74">
        <f t="shared" si="258"/>
        <v>0</v>
      </c>
      <c r="P395" s="74">
        <f t="shared" si="259"/>
        <v>0</v>
      </c>
      <c r="Q395" s="74">
        <f t="shared" si="264"/>
        <v>0</v>
      </c>
      <c r="R395" s="74">
        <f t="shared" si="264"/>
        <v>0</v>
      </c>
      <c r="S395" s="74">
        <f t="shared" si="264"/>
        <v>0</v>
      </c>
      <c r="T395" s="74">
        <f t="shared" si="261"/>
        <v>0</v>
      </c>
      <c r="U395" s="74">
        <f t="shared" si="262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3">
        <f t="shared" ref="L396:N396" si="265">L397+L398</f>
        <v>0</v>
      </c>
      <c r="M396" s="74">
        <f t="shared" si="265"/>
        <v>0</v>
      </c>
      <c r="N396" s="74">
        <f t="shared" si="265"/>
        <v>0</v>
      </c>
      <c r="O396" s="74">
        <f t="shared" si="258"/>
        <v>0</v>
      </c>
      <c r="P396" s="74">
        <f t="shared" si="259"/>
        <v>0</v>
      </c>
      <c r="Q396" s="74">
        <f t="shared" ref="Q396:S396" si="266">Q397+Q398</f>
        <v>0</v>
      </c>
      <c r="R396" s="74">
        <f t="shared" si="266"/>
        <v>0</v>
      </c>
      <c r="S396" s="74">
        <f t="shared" si="266"/>
        <v>0</v>
      </c>
      <c r="T396" s="74">
        <f t="shared" si="261"/>
        <v>0</v>
      </c>
      <c r="U396" s="74">
        <f t="shared" si="262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77">
        <f t="shared" si="258"/>
        <v>0</v>
      </c>
      <c r="P397" s="77">
        <f t="shared" si="259"/>
        <v>0</v>
      </c>
      <c r="Q397" s="77">
        <v>0</v>
      </c>
      <c r="R397" s="77">
        <v>0</v>
      </c>
      <c r="S397" s="77">
        <v>0</v>
      </c>
      <c r="T397" s="77">
        <f t="shared" si="261"/>
        <v>0</v>
      </c>
      <c r="U397" s="77">
        <f t="shared" si="262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74">
        <f t="shared" si="258"/>
        <v>0</v>
      </c>
      <c r="P398" s="74">
        <f t="shared" si="259"/>
        <v>0</v>
      </c>
      <c r="Q398" s="74">
        <v>0</v>
      </c>
      <c r="R398" s="74">
        <v>0</v>
      </c>
      <c r="S398" s="74">
        <v>0</v>
      </c>
      <c r="T398" s="74">
        <f t="shared" si="261"/>
        <v>0</v>
      </c>
      <c r="U398" s="74">
        <f t="shared" si="262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3">
        <f t="shared" ref="L399:N399" si="267">L400+L401</f>
        <v>0</v>
      </c>
      <c r="M399" s="74">
        <f t="shared" si="267"/>
        <v>0</v>
      </c>
      <c r="N399" s="74">
        <f t="shared" si="267"/>
        <v>0</v>
      </c>
      <c r="O399" s="74">
        <f t="shared" si="258"/>
        <v>0</v>
      </c>
      <c r="P399" s="74">
        <f t="shared" si="259"/>
        <v>0</v>
      </c>
      <c r="Q399" s="74">
        <f t="shared" ref="Q399:S399" si="268">Q400+Q401</f>
        <v>0</v>
      </c>
      <c r="R399" s="74">
        <f t="shared" si="268"/>
        <v>0</v>
      </c>
      <c r="S399" s="74">
        <f t="shared" si="268"/>
        <v>0</v>
      </c>
      <c r="T399" s="74">
        <f t="shared" si="261"/>
        <v>0</v>
      </c>
      <c r="U399" s="74">
        <f t="shared" si="262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77">
        <f t="shared" si="258"/>
        <v>0</v>
      </c>
      <c r="P400" s="77">
        <f t="shared" si="259"/>
        <v>0</v>
      </c>
      <c r="Q400" s="77">
        <v>0</v>
      </c>
      <c r="R400" s="77">
        <v>0</v>
      </c>
      <c r="S400" s="77">
        <v>0</v>
      </c>
      <c r="T400" s="77">
        <f t="shared" si="261"/>
        <v>0</v>
      </c>
      <c r="U400" s="77">
        <f t="shared" si="262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74">
        <f t="shared" si="258"/>
        <v>0</v>
      </c>
      <c r="P401" s="74">
        <f t="shared" si="259"/>
        <v>0</v>
      </c>
      <c r="Q401" s="74">
        <v>0</v>
      </c>
      <c r="R401" s="74">
        <v>0</v>
      </c>
      <c r="S401" s="74">
        <v>0</v>
      </c>
      <c r="T401" s="74">
        <f t="shared" si="261"/>
        <v>0</v>
      </c>
      <c r="U401" s="74">
        <f t="shared" si="262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69">I424</f>
        <v>0</v>
      </c>
      <c r="J413" s="617">
        <f t="shared" si="269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1257">
        <f t="shared" ref="L414:N414" si="270">L415+L416</f>
        <v>0</v>
      </c>
      <c r="M414" s="264">
        <f t="shared" si="270"/>
        <v>0</v>
      </c>
      <c r="N414" s="264">
        <f t="shared" si="270"/>
        <v>0</v>
      </c>
      <c r="O414" s="264">
        <f t="shared" ref="O414:O422" si="271">IF(L414&gt;0,N414*100/L414,0)</f>
        <v>0</v>
      </c>
      <c r="P414" s="264">
        <f t="shared" ref="P414:P422" si="272">IF(M414&gt;0,N414*100/M414,0)</f>
        <v>0</v>
      </c>
      <c r="Q414" s="264">
        <f t="shared" ref="Q414:S414" ca="1" si="273">Q415+Q416</f>
        <v>0</v>
      </c>
      <c r="R414" s="264">
        <f t="shared" ca="1" si="273"/>
        <v>0</v>
      </c>
      <c r="S414" s="264">
        <f t="shared" ca="1" si="273"/>
        <v>0</v>
      </c>
      <c r="T414" s="264">
        <f t="shared" ref="T414:T422" ca="1" si="274">IF(Q414&gt;0,S414*100/Q414,0)</f>
        <v>0</v>
      </c>
      <c r="U414" s="264">
        <f t="shared" ref="U414:U422" ca="1" si="275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6">
        <f t="shared" ref="L415:N416" si="276">L418+L421</f>
        <v>0</v>
      </c>
      <c r="M415" s="77">
        <f t="shared" si="276"/>
        <v>0</v>
      </c>
      <c r="N415" s="77">
        <f t="shared" si="276"/>
        <v>0</v>
      </c>
      <c r="O415" s="77">
        <f t="shared" si="271"/>
        <v>0</v>
      </c>
      <c r="P415" s="77">
        <f t="shared" si="272"/>
        <v>0</v>
      </c>
      <c r="Q415" s="77">
        <f t="shared" ref="Q415:S416" si="277">Q418+Q421</f>
        <v>0</v>
      </c>
      <c r="R415" s="77">
        <f t="shared" si="277"/>
        <v>0</v>
      </c>
      <c r="S415" s="77">
        <f t="shared" si="277"/>
        <v>0</v>
      </c>
      <c r="T415" s="77">
        <f t="shared" si="274"/>
        <v>0</v>
      </c>
      <c r="U415" s="77">
        <f t="shared" si="275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3">
        <f t="shared" si="276"/>
        <v>0</v>
      </c>
      <c r="M416" s="74">
        <f t="shared" si="276"/>
        <v>0</v>
      </c>
      <c r="N416" s="74">
        <f t="shared" si="276"/>
        <v>0</v>
      </c>
      <c r="O416" s="74">
        <f t="shared" si="271"/>
        <v>0</v>
      </c>
      <c r="P416" s="74">
        <f t="shared" si="272"/>
        <v>0</v>
      </c>
      <c r="Q416" s="74">
        <f t="shared" ca="1" si="277"/>
        <v>0</v>
      </c>
      <c r="R416" s="74">
        <f t="shared" ca="1" si="277"/>
        <v>0</v>
      </c>
      <c r="S416" s="74">
        <f t="shared" ca="1" si="277"/>
        <v>0</v>
      </c>
      <c r="T416" s="74">
        <f t="shared" ca="1" si="274"/>
        <v>0</v>
      </c>
      <c r="U416" s="74">
        <f t="shared" ca="1" si="275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3">
        <f t="shared" ref="L417:N417" si="278">L418+L419</f>
        <v>0</v>
      </c>
      <c r="M417" s="74">
        <f t="shared" si="278"/>
        <v>0</v>
      </c>
      <c r="N417" s="74">
        <f t="shared" si="278"/>
        <v>0</v>
      </c>
      <c r="O417" s="74">
        <f t="shared" si="271"/>
        <v>0</v>
      </c>
      <c r="P417" s="74">
        <f t="shared" si="272"/>
        <v>0</v>
      </c>
      <c r="Q417" s="74">
        <f t="shared" ref="Q417:S417" ca="1" si="279">Q418+Q419</f>
        <v>0</v>
      </c>
      <c r="R417" s="74">
        <f t="shared" ca="1" si="279"/>
        <v>0</v>
      </c>
      <c r="S417" s="74">
        <f t="shared" ca="1" si="279"/>
        <v>0</v>
      </c>
      <c r="T417" s="74">
        <f t="shared" ca="1" si="274"/>
        <v>0</v>
      </c>
      <c r="U417" s="74">
        <f t="shared" ca="1" si="275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77">
        <f t="shared" si="271"/>
        <v>0</v>
      </c>
      <c r="P418" s="77">
        <f t="shared" si="272"/>
        <v>0</v>
      </c>
      <c r="Q418" s="77">
        <v>0</v>
      </c>
      <c r="R418" s="77">
        <v>0</v>
      </c>
      <c r="S418" s="77">
        <v>0</v>
      </c>
      <c r="T418" s="77">
        <f t="shared" si="274"/>
        <v>0</v>
      </c>
      <c r="U418" s="77">
        <f t="shared" si="275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74">
        <f t="shared" si="271"/>
        <v>0</v>
      </c>
      <c r="P419" s="74">
        <f t="shared" si="272"/>
        <v>0</v>
      </c>
      <c r="Q419" s="74">
        <f ca="1">IFERROR(__xludf.DUMMYFUNCTION("IMPORTRANGE(""https://docs.google.com/spreadsheets/d/1ItG2mGa2ceCfYo0BwxsXqNm01IGEUdYcSSLTEv9YCik/edit?usp=sharing"",""เบิกจ่ายกองทุน!BH72"")"),0)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IFERROR(__xludf.DUMMYFUNCTION("IMPORTRANGE(""https://docs.google.com/spreadsheets/d/1ItG2mGa2ceCfYo0BwxsXqNm01IGEUdYcSSLTEv9YCik/edit?usp=sharing"",""เบิกจ่ายกองทุน!BI72"")"),0)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IFERROR(__xludf.DUMMYFUNCTION("IMPORTRANGE(""https://docs.google.com/spreadsheets/d/1ItG2mGa2ceCfYo0BwxsXqNm01IGEUdYcSSLTEv9YCik/edit?usp=sharing"",""เบิกจ่ายกองทุน!BJ72"")"),0)</f>
        <v>0</v>
      </c>
      <c r="T419" s="74">
        <f t="shared" ca="1" si="274"/>
        <v>0</v>
      </c>
      <c r="U419" s="74">
        <f t="shared" ca="1" si="275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3">
        <f t="shared" ref="L420:N420" si="280">L421+L422</f>
        <v>0</v>
      </c>
      <c r="M420" s="74">
        <f t="shared" si="280"/>
        <v>0</v>
      </c>
      <c r="N420" s="74">
        <f t="shared" si="280"/>
        <v>0</v>
      </c>
      <c r="O420" s="74">
        <f t="shared" si="271"/>
        <v>0</v>
      </c>
      <c r="P420" s="74">
        <f t="shared" si="272"/>
        <v>0</v>
      </c>
      <c r="Q420" s="74">
        <f t="shared" ref="Q420:S420" si="281">Q421+Q422</f>
        <v>0</v>
      </c>
      <c r="R420" s="74">
        <f t="shared" si="281"/>
        <v>0</v>
      </c>
      <c r="S420" s="74">
        <f t="shared" si="281"/>
        <v>0</v>
      </c>
      <c r="T420" s="74">
        <f t="shared" si="274"/>
        <v>0</v>
      </c>
      <c r="U420" s="74">
        <f t="shared" si="275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77">
        <f t="shared" si="271"/>
        <v>0</v>
      </c>
      <c r="P421" s="77">
        <f t="shared" si="272"/>
        <v>0</v>
      </c>
      <c r="Q421" s="77">
        <v>0</v>
      </c>
      <c r="R421" s="77">
        <v>0</v>
      </c>
      <c r="S421" s="77">
        <v>0</v>
      </c>
      <c r="T421" s="77">
        <f t="shared" si="274"/>
        <v>0</v>
      </c>
      <c r="U421" s="77">
        <f t="shared" si="275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74">
        <f t="shared" si="271"/>
        <v>0</v>
      </c>
      <c r="P422" s="74">
        <f t="shared" si="272"/>
        <v>0</v>
      </c>
      <c r="Q422" s="74">
        <v>0</v>
      </c>
      <c r="R422" s="74">
        <v>0</v>
      </c>
      <c r="S422" s="74">
        <v>0</v>
      </c>
      <c r="T422" s="74">
        <f t="shared" si="274"/>
        <v>0</v>
      </c>
      <c r="U422" s="74">
        <f t="shared" si="275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2">I441</f>
        <v>0</v>
      </c>
      <c r="J424" s="622">
        <f t="shared" si="282"/>
        <v>0</v>
      </c>
      <c r="K424" s="264">
        <f t="shared" ref="K424:K426" ca="1" si="283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IFERROR(__xludf.DUMMYFUNCTION("IMPORTRANGE(""https://docs.google.com/spreadsheets/d/1eHaY18a8A9IcSdp1K8H6x8fbOy06t2VsZHhMHf-1x7Y/edit?usp=sharing"",""แผน!HJ72"")"),0)</f>
        <v>0</v>
      </c>
      <c r="J425" s="622">
        <f t="shared" ref="J425:J426" si="284">J427+J429+J431</f>
        <v>0</v>
      </c>
      <c r="K425" s="264">
        <f t="shared" ca="1" si="283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IFERROR(__xludf.DUMMYFUNCTION("IMPORTRANGE(""https://docs.google.com/spreadsheets/d/1eHaY18a8A9IcSdp1K8H6x8fbOy06t2VsZHhMHf-1x7Y/edit?usp=sharing"",""แผน!HK72"")"),0)</f>
        <v>0</v>
      </c>
      <c r="J426" s="622">
        <f t="shared" si="284"/>
        <v>0</v>
      </c>
      <c r="K426" s="264">
        <f t="shared" ca="1" si="283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IFERROR(__xludf.DUMMYFUNCTION("IMPORTRANGE(""https://docs.google.com/spreadsheets/d/1eHaY18a8A9IcSdp1K8H6x8fbOy06t2VsZHhMHf-1x7Y/edit?usp=sharing"",""แผน!HJ72"")"),0)</f>
        <v>0</v>
      </c>
      <c r="J433" s="622">
        <f t="shared" ref="J433:J434" si="285">J435+J437+J439</f>
        <v>0</v>
      </c>
      <c r="K433" s="264">
        <f t="shared" ref="K433:K434" ca="1" si="286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IFERROR(__xludf.DUMMYFUNCTION("IMPORTRANGE(""https://docs.google.com/spreadsheets/d/1eHaY18a8A9IcSdp1K8H6x8fbOy06t2VsZHhMHf-1x7Y/edit?usp=sharing"",""แผน!HK72"")"),0)</f>
        <v>0</v>
      </c>
      <c r="J434" s="622">
        <f t="shared" si="285"/>
        <v>0</v>
      </c>
      <c r="K434" s="264">
        <f t="shared" ca="1" si="286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IFERROR(__xludf.DUMMYFUNCTION("IMPORTRANGE(""https://docs.google.com/spreadsheets/d/1eHaY18a8A9IcSdp1K8H6x8fbOy06t2VsZHhMHf-1x7Y/edit?usp=sharing"",""แผน!HJ72"")"),0)</f>
        <v>0</v>
      </c>
      <c r="J441" s="622">
        <f t="shared" ref="J441:J442" si="287">J443+J445+J447+J453+J455</f>
        <v>0</v>
      </c>
      <c r="K441" s="264">
        <f t="shared" ref="K441:K442" ca="1" si="288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IFERROR(__xludf.DUMMYFUNCTION("IMPORTRANGE(""https://docs.google.com/spreadsheets/d/1eHaY18a8A9IcSdp1K8H6x8fbOy06t2VsZHhMHf-1x7Y/edit?usp=sharing"",""แผน!HK72"")"),0)</f>
        <v>0</v>
      </c>
      <c r="J442" s="622">
        <f t="shared" si="287"/>
        <v>0</v>
      </c>
      <c r="K442" s="264">
        <f t="shared" ca="1" si="288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89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89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0">I458</f>
        <v>0</v>
      </c>
      <c r="J457" s="622">
        <f t="shared" si="290"/>
        <v>0</v>
      </c>
      <c r="K457" s="264">
        <f t="shared" ref="K457:K459" ca="1" si="291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IFERROR(__xludf.DUMMYFUNCTION("IMPORTRANGE(""https://docs.google.com/spreadsheets/d/1eHaY18a8A9IcSdp1K8H6x8fbOy06t2VsZHhMHf-1x7Y/edit?usp=sharing"",""แผน!HL72"")"),0)</f>
        <v>0</v>
      </c>
      <c r="J458" s="622">
        <f t="shared" ref="J458:J459" si="292">J460+J468+J474</f>
        <v>0</v>
      </c>
      <c r="K458" s="264">
        <f t="shared" ca="1" si="291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IFERROR(__xludf.DUMMYFUNCTION("IMPORTRANGE(""https://docs.google.com/spreadsheets/d/1eHaY18a8A9IcSdp1K8H6x8fbOy06t2VsZHhMHf-1x7Y/edit?usp=sharing"",""แผน!HM72"")"),0)</f>
        <v>0</v>
      </c>
      <c r="J459" s="622">
        <f t="shared" si="292"/>
        <v>0</v>
      </c>
      <c r="K459" s="264">
        <f t="shared" ca="1" si="291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3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3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4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4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5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6">J479+J481</f>
        <v>0</v>
      </c>
      <c r="K477" s="264">
        <f t="shared" si="295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6"/>
        <v>0</v>
      </c>
      <c r="K478" s="264">
        <f t="shared" si="295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IFERROR(__xludf.DUMMYFUNCTION("IMPORTRANGE(""https://docs.google.com/spreadsheets/d/1eHaY18a8A9IcSdp1K8H6x8fbOy06t2VsZHhMHf-1x7Y/edit?usp=sharing"",""แผน!HN72"")"),0)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IFERROR(__xludf.DUMMYFUNCTION("IMPORTRANGE(""https://docs.google.com/spreadsheets/d/1eHaY18a8A9IcSdp1K8H6x8fbOy06t2VsZHhMHf-1x7Y/edit?usp=sharing"",""แผน!HO72"")"),0)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7">J481</f>
        <v>0</v>
      </c>
      <c r="J485" s="622">
        <f t="shared" ref="J485:J486" si="298">J487+J489+J491</f>
        <v>0</v>
      </c>
      <c r="K485" s="264">
        <f t="shared" ref="K485:K486" si="299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7"/>
        <v>0</v>
      </c>
      <c r="J486" s="622">
        <f t="shared" si="298"/>
        <v>0</v>
      </c>
      <c r="K486" s="264">
        <f t="shared" si="299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hidden="1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0">I504</f>
        <v>0</v>
      </c>
      <c r="J493" s="617">
        <f t="shared" ca="1" si="300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1257">
        <f t="shared" ref="L494:N494" si="301">L495+L496</f>
        <v>0</v>
      </c>
      <c r="M494" s="264">
        <f t="shared" si="301"/>
        <v>0</v>
      </c>
      <c r="N494" s="264">
        <f t="shared" si="301"/>
        <v>0</v>
      </c>
      <c r="O494" s="264">
        <f t="shared" ref="O494:O502" si="302">IF(L494&gt;0,N494*100/L494,0)</f>
        <v>0</v>
      </c>
      <c r="P494" s="264">
        <f t="shared" ref="P494:P502" si="303">IF(M494&gt;0,N494*100/M494,0)</f>
        <v>0</v>
      </c>
      <c r="Q494" s="264">
        <f t="shared" ref="Q494:S494" ca="1" si="304">Q495+Q496</f>
        <v>0</v>
      </c>
      <c r="R494" s="264">
        <f t="shared" ca="1" si="304"/>
        <v>0</v>
      </c>
      <c r="S494" s="264">
        <f t="shared" ca="1" si="304"/>
        <v>0</v>
      </c>
      <c r="T494" s="264">
        <f t="shared" ref="T494:T502" ca="1" si="305">IF(Q494&gt;0,S494*100/Q494,0)</f>
        <v>0</v>
      </c>
      <c r="U494" s="264">
        <f t="shared" ref="U494:U502" ca="1" si="306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6">
        <f t="shared" ref="L495:N496" si="307">L498+L501</f>
        <v>0</v>
      </c>
      <c r="M495" s="77">
        <f t="shared" si="307"/>
        <v>0</v>
      </c>
      <c r="N495" s="77">
        <f t="shared" si="307"/>
        <v>0</v>
      </c>
      <c r="O495" s="77">
        <f t="shared" si="302"/>
        <v>0</v>
      </c>
      <c r="P495" s="77">
        <f t="shared" si="303"/>
        <v>0</v>
      </c>
      <c r="Q495" s="77">
        <f t="shared" ref="Q495:S496" si="308">Q498+Q501</f>
        <v>0</v>
      </c>
      <c r="R495" s="77">
        <f t="shared" si="308"/>
        <v>0</v>
      </c>
      <c r="S495" s="77">
        <f t="shared" si="308"/>
        <v>0</v>
      </c>
      <c r="T495" s="77">
        <f t="shared" si="305"/>
        <v>0</v>
      </c>
      <c r="U495" s="77">
        <f t="shared" si="306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3">
        <f t="shared" si="307"/>
        <v>0</v>
      </c>
      <c r="M496" s="74">
        <f t="shared" si="307"/>
        <v>0</v>
      </c>
      <c r="N496" s="74">
        <f t="shared" si="307"/>
        <v>0</v>
      </c>
      <c r="O496" s="74">
        <f t="shared" si="302"/>
        <v>0</v>
      </c>
      <c r="P496" s="74">
        <f t="shared" si="303"/>
        <v>0</v>
      </c>
      <c r="Q496" s="74">
        <f t="shared" ca="1" si="308"/>
        <v>0</v>
      </c>
      <c r="R496" s="74">
        <f t="shared" ca="1" si="308"/>
        <v>0</v>
      </c>
      <c r="S496" s="74">
        <f t="shared" ca="1" si="308"/>
        <v>0</v>
      </c>
      <c r="T496" s="74">
        <f t="shared" ca="1" si="305"/>
        <v>0</v>
      </c>
      <c r="U496" s="74">
        <f t="shared" ca="1" si="306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3">
        <f t="shared" ref="L497:N497" si="309">L498+L499</f>
        <v>0</v>
      </c>
      <c r="M497" s="74">
        <f t="shared" si="309"/>
        <v>0</v>
      </c>
      <c r="N497" s="74">
        <f t="shared" si="309"/>
        <v>0</v>
      </c>
      <c r="O497" s="74">
        <f t="shared" si="302"/>
        <v>0</v>
      </c>
      <c r="P497" s="74">
        <f t="shared" si="303"/>
        <v>0</v>
      </c>
      <c r="Q497" s="74">
        <f t="shared" ref="Q497:S497" ca="1" si="310">Q498+Q499</f>
        <v>0</v>
      </c>
      <c r="R497" s="74">
        <f t="shared" ca="1" si="310"/>
        <v>0</v>
      </c>
      <c r="S497" s="74">
        <f t="shared" ca="1" si="310"/>
        <v>0</v>
      </c>
      <c r="T497" s="74">
        <f t="shared" ca="1" si="305"/>
        <v>0</v>
      </c>
      <c r="U497" s="74">
        <f t="shared" ca="1" si="306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77">
        <f t="shared" si="302"/>
        <v>0</v>
      </c>
      <c r="P498" s="77">
        <f t="shared" si="303"/>
        <v>0</v>
      </c>
      <c r="Q498" s="77">
        <v>0</v>
      </c>
      <c r="R498" s="77">
        <v>0</v>
      </c>
      <c r="S498" s="77">
        <v>0</v>
      </c>
      <c r="T498" s="77">
        <f t="shared" si="305"/>
        <v>0</v>
      </c>
      <c r="U498" s="77">
        <f t="shared" si="306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74">
        <f t="shared" si="302"/>
        <v>0</v>
      </c>
      <c r="P499" s="74">
        <f t="shared" si="303"/>
        <v>0</v>
      </c>
      <c r="Q499" s="74">
        <f ca="1">IFERROR(__xludf.DUMMYFUNCTION("IMPORTRANGE(""https://docs.google.com/spreadsheets/d/1ItG2mGa2ceCfYo0BwxsXqNm01IGEUdYcSSLTEv9YCik/edit?usp=sharing"",""เบิกจ่ายกองทุน!X72"")"),0)</f>
        <v>0</v>
      </c>
      <c r="R499" s="74">
        <f ca="1">IFERROR(__xludf.DUMMYFUNCTION("IMPORTRANGE(""https://docs.google.com/spreadsheets/d/1ItG2mGa2ceCfYo0BwxsXqNm01IGEUdYcSSLTEv9YCik/edit?usp=sharing"",""เบิกจ่ายกองทุน!Y72"")"),0)</f>
        <v>0</v>
      </c>
      <c r="S499" s="74">
        <f ca="1">IFERROR(__xludf.DUMMYFUNCTION("IMPORTRANGE(""https://docs.google.com/spreadsheets/d/1ItG2mGa2ceCfYo0BwxsXqNm01IGEUdYcSSLTEv9YCik/edit?usp=sharing"",""เบิกจ่ายกองทุน!Z72"")"),0)</f>
        <v>0</v>
      </c>
      <c r="T499" s="74">
        <f t="shared" ca="1" si="305"/>
        <v>0</v>
      </c>
      <c r="U499" s="74">
        <f t="shared" ca="1" si="306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3">
        <f t="shared" ref="L500:N500" si="311">L501+L502</f>
        <v>0</v>
      </c>
      <c r="M500" s="74">
        <f t="shared" si="311"/>
        <v>0</v>
      </c>
      <c r="N500" s="74">
        <f t="shared" si="311"/>
        <v>0</v>
      </c>
      <c r="O500" s="74">
        <f t="shared" si="302"/>
        <v>0</v>
      </c>
      <c r="P500" s="74">
        <f t="shared" si="303"/>
        <v>0</v>
      </c>
      <c r="Q500" s="74">
        <f t="shared" ref="Q500:S500" si="312">Q501+Q502</f>
        <v>0</v>
      </c>
      <c r="R500" s="74">
        <f t="shared" si="312"/>
        <v>0</v>
      </c>
      <c r="S500" s="74">
        <f t="shared" si="312"/>
        <v>0</v>
      </c>
      <c r="T500" s="74">
        <f t="shared" si="305"/>
        <v>0</v>
      </c>
      <c r="U500" s="74">
        <f t="shared" si="306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77">
        <f t="shared" si="302"/>
        <v>0</v>
      </c>
      <c r="P501" s="77">
        <f t="shared" si="303"/>
        <v>0</v>
      </c>
      <c r="Q501" s="77">
        <v>0</v>
      </c>
      <c r="R501" s="77">
        <v>0</v>
      </c>
      <c r="S501" s="77">
        <v>0</v>
      </c>
      <c r="T501" s="77">
        <f t="shared" si="305"/>
        <v>0</v>
      </c>
      <c r="U501" s="77">
        <f t="shared" si="306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74">
        <f t="shared" si="302"/>
        <v>0</v>
      </c>
      <c r="P502" s="74">
        <f t="shared" si="303"/>
        <v>0</v>
      </c>
      <c r="Q502" s="74">
        <v>0</v>
      </c>
      <c r="R502" s="74">
        <v>0</v>
      </c>
      <c r="S502" s="74">
        <v>0</v>
      </c>
      <c r="T502" s="74">
        <f t="shared" si="305"/>
        <v>0</v>
      </c>
      <c r="U502" s="74">
        <f t="shared" si="306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IFERROR(__xludf.DUMMYFUNCTION("IMPORTRANGE(""https://docs.google.com/spreadsheets/d/1eHaY18a8A9IcSdp1K8H6x8fbOy06t2VsZHhMHf-1x7Y/edit?usp=sharing"",""แผน!GX72"")"),0)</f>
        <v>0</v>
      </c>
      <c r="J504" s="622">
        <f ca="1">IF(AND(J505=I505,J506=I506,J507=I507,J508=I508),I504,0)</f>
        <v>0</v>
      </c>
      <c r="K504" s="264">
        <f t="shared" ref="K504:K510" ca="1" si="313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IFERROR(__xludf.DUMMYFUNCTION("IMPORTRANGE(""https://docs.google.com/spreadsheets/d/1eHaY18a8A9IcSdp1K8H6x8fbOy06t2VsZHhMHf-1x7Y/edit?usp=sharing"",""แผน!GY72"")"),0)</f>
        <v>0</v>
      </c>
      <c r="J505" s="294">
        <v>0</v>
      </c>
      <c r="K505" s="74">
        <f t="shared" ca="1" si="313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IFERROR(__xludf.DUMMYFUNCTION("IMPORTRANGE(""https://docs.google.com/spreadsheets/d/1eHaY18a8A9IcSdp1K8H6x8fbOy06t2VsZHhMHf-1x7Y/edit?usp=sharing"",""แผน!GZ72"")"),0)</f>
        <v>0</v>
      </c>
      <c r="J506" s="294">
        <v>0</v>
      </c>
      <c r="K506" s="74">
        <f t="shared" ca="1" si="313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IFERROR(__xludf.DUMMYFUNCTION("IMPORTRANGE(""https://docs.google.com/spreadsheets/d/1eHaY18a8A9IcSdp1K8H6x8fbOy06t2VsZHhMHf-1x7Y/edit?usp=sharing"",""แผน!HA72"")"),0)</f>
        <v>0</v>
      </c>
      <c r="J507" s="294">
        <v>0</v>
      </c>
      <c r="K507" s="74">
        <f t="shared" ca="1" si="313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IFERROR(__xludf.DUMMYFUNCTION("IMPORTRANGE(""https://docs.google.com/spreadsheets/d/1eHaY18a8A9IcSdp1K8H6x8fbOy06t2VsZHhMHf-1x7Y/edit?usp=sharing"",""แผน!HB72"")"),0)</f>
        <v>0</v>
      </c>
      <c r="J508" s="294">
        <v>0</v>
      </c>
      <c r="K508" s="74">
        <f t="shared" ca="1" si="313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3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IFERROR(__xludf.DUMMYFUNCTION("IMPORTRANGE(""https://docs.google.com/spreadsheets/d/1eHaY18a8A9IcSdp1K8H6x8fbOy06t2VsZHhMHf-1x7Y/edit?usp=sharing"",""แผน!HC72"")"),0)</f>
        <v>0</v>
      </c>
      <c r="J510" s="761">
        <v>0</v>
      </c>
      <c r="K510" s="182">
        <f t="shared" ca="1" si="313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9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309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987" t="s">
        <v>61</v>
      </c>
      <c r="I513" s="988">
        <f t="shared" ref="I513:J513" si="314">I525</f>
        <v>0</v>
      </c>
      <c r="J513" s="988">
        <f t="shared" si="314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7">
        <f t="shared" ref="L514:N514" ca="1" si="315">L515+L516</f>
        <v>0</v>
      </c>
      <c r="M514" s="264">
        <f t="shared" ca="1" si="315"/>
        <v>0</v>
      </c>
      <c r="N514" s="264">
        <f t="shared" ca="1" si="315"/>
        <v>0</v>
      </c>
      <c r="O514" s="264">
        <f t="shared" ref="O514:O522" ca="1" si="316">IF(L514&gt;0,N514*100/L514,0)</f>
        <v>0</v>
      </c>
      <c r="P514" s="264">
        <f t="shared" ref="P514:P522" ca="1" si="317">IF(M514&gt;0,N514*100/M514,0)</f>
        <v>0</v>
      </c>
      <c r="Q514" s="264">
        <f t="shared" ref="Q514:S514" si="318">Q515+Q516</f>
        <v>0</v>
      </c>
      <c r="R514" s="264">
        <f t="shared" si="318"/>
        <v>0</v>
      </c>
      <c r="S514" s="264">
        <f t="shared" si="318"/>
        <v>0</v>
      </c>
      <c r="T514" s="264">
        <f t="shared" ref="T514:T522" si="319">IF(Q514&gt;0,S514*100/Q514,0)</f>
        <v>0</v>
      </c>
      <c r="U514" s="264">
        <f t="shared" ref="U514:U522" si="320">IF(R514&gt;0,S514*100/R514,0)</f>
        <v>0</v>
      </c>
    </row>
    <row r="515" spans="1:21" ht="18.75" hidden="1" x14ac:dyDescent="0.25">
      <c r="A515" s="257"/>
      <c r="B515" s="258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6">
        <f t="shared" ref="L515:N516" si="321">L518+L521</f>
        <v>0</v>
      </c>
      <c r="M515" s="77">
        <f t="shared" si="321"/>
        <v>0</v>
      </c>
      <c r="N515" s="77">
        <f t="shared" si="321"/>
        <v>0</v>
      </c>
      <c r="O515" s="77">
        <f t="shared" si="316"/>
        <v>0</v>
      </c>
      <c r="P515" s="77">
        <f t="shared" si="317"/>
        <v>0</v>
      </c>
      <c r="Q515" s="77">
        <f t="shared" ref="Q515:S516" si="322">Q518+Q521</f>
        <v>0</v>
      </c>
      <c r="R515" s="77">
        <f t="shared" si="322"/>
        <v>0</v>
      </c>
      <c r="S515" s="77">
        <f t="shared" si="322"/>
        <v>0</v>
      </c>
      <c r="T515" s="77">
        <f t="shared" si="319"/>
        <v>0</v>
      </c>
      <c r="U515" s="77">
        <f t="shared" si="320"/>
        <v>0</v>
      </c>
    </row>
    <row r="516" spans="1:21" ht="18.75" hidden="1" x14ac:dyDescent="0.25">
      <c r="A516" s="257"/>
      <c r="B516" s="258"/>
      <c r="C516" s="258"/>
      <c r="D516" s="258"/>
      <c r="E516" s="265" t="s">
        <v>21</v>
      </c>
      <c r="F516" s="258"/>
      <c r="G516" s="261"/>
      <c r="H516" s="266" t="s">
        <v>14</v>
      </c>
      <c r="I516" s="263"/>
      <c r="J516" s="263"/>
      <c r="K516" s="87"/>
      <c r="L516" s="73">
        <f t="shared" ca="1" si="321"/>
        <v>0</v>
      </c>
      <c r="M516" s="74">
        <f t="shared" ca="1" si="321"/>
        <v>0</v>
      </c>
      <c r="N516" s="74">
        <f t="shared" ca="1" si="321"/>
        <v>0</v>
      </c>
      <c r="O516" s="74">
        <f t="shared" ca="1" si="316"/>
        <v>0</v>
      </c>
      <c r="P516" s="74">
        <f t="shared" ca="1" si="317"/>
        <v>0</v>
      </c>
      <c r="Q516" s="74">
        <f t="shared" si="322"/>
        <v>0</v>
      </c>
      <c r="R516" s="74">
        <f t="shared" si="322"/>
        <v>0</v>
      </c>
      <c r="S516" s="74">
        <f t="shared" si="322"/>
        <v>0</v>
      </c>
      <c r="T516" s="74">
        <f t="shared" si="319"/>
        <v>0</v>
      </c>
      <c r="U516" s="74">
        <f t="shared" si="320"/>
        <v>0</v>
      </c>
    </row>
    <row r="517" spans="1:21" ht="18.75" hidden="1" x14ac:dyDescent="0.25">
      <c r="A517" s="257"/>
      <c r="B517" s="258"/>
      <c r="C517" s="258"/>
      <c r="D517" s="991" t="s">
        <v>22</v>
      </c>
      <c r="E517" s="258"/>
      <c r="F517" s="258"/>
      <c r="G517" s="261"/>
      <c r="H517" s="273" t="s">
        <v>14</v>
      </c>
      <c r="I517" s="272"/>
      <c r="J517" s="272"/>
      <c r="K517" s="229"/>
      <c r="L517" s="73">
        <f t="shared" ref="L517:N517" ca="1" si="323">L518+L519</f>
        <v>0</v>
      </c>
      <c r="M517" s="74">
        <f t="shared" ca="1" si="323"/>
        <v>0</v>
      </c>
      <c r="N517" s="74">
        <f t="shared" ca="1" si="323"/>
        <v>0</v>
      </c>
      <c r="O517" s="74">
        <f t="shared" ca="1" si="316"/>
        <v>0</v>
      </c>
      <c r="P517" s="74">
        <f t="shared" ca="1" si="317"/>
        <v>0</v>
      </c>
      <c r="Q517" s="74">
        <f t="shared" ref="Q517:S517" si="324">Q518+Q519</f>
        <v>0</v>
      </c>
      <c r="R517" s="74">
        <f t="shared" si="324"/>
        <v>0</v>
      </c>
      <c r="S517" s="74">
        <f t="shared" si="324"/>
        <v>0</v>
      </c>
      <c r="T517" s="74">
        <f t="shared" si="319"/>
        <v>0</v>
      </c>
      <c r="U517" s="74">
        <f t="shared" si="320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77">
        <f t="shared" si="316"/>
        <v>0</v>
      </c>
      <c r="P518" s="77">
        <f t="shared" si="317"/>
        <v>0</v>
      </c>
      <c r="Q518" s="77">
        <v>0</v>
      </c>
      <c r="R518" s="77">
        <v>0</v>
      </c>
      <c r="S518" s="77">
        <v>0</v>
      </c>
      <c r="T518" s="77">
        <f t="shared" si="319"/>
        <v>0</v>
      </c>
      <c r="U518" s="77">
        <f t="shared" si="320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3">
        <f ca="1">IFERROR(__xludf.DUMMYFUNCTION("IMPORTRANGE(""https://docs.google.com/spreadsheets/d/1-uDff_7J0KD5mKrp0Vvzr7lt3OU09vwQwhkpOPPYv2Y/edit?usp=sharing"",""งบพรบ!FM72"")"),0)</f>
        <v>0</v>
      </c>
      <c r="M519" s="74">
        <f ca="1">IFERROR(__xludf.DUMMYFUNCTION("IMPORTRANGE(""https://docs.google.com/spreadsheets/d/1-uDff_7J0KD5mKrp0Vvzr7lt3OU09vwQwhkpOPPYv2Y/edit?usp=sharing"",""งบพรบ!FR72"")"),0)</f>
        <v>0</v>
      </c>
      <c r="N519" s="74">
        <f ca="1">IFERROR(__xludf.DUMMYFUNCTION("IMPORTRANGE(""https://docs.google.com/spreadsheets/d/1-uDff_7J0KD5mKrp0Vvzr7lt3OU09vwQwhkpOPPYv2Y/edit?usp=sharing"",""งบพรบ!FT72"")"),0)</f>
        <v>0</v>
      </c>
      <c r="O519" s="74">
        <f t="shared" ca="1" si="316"/>
        <v>0</v>
      </c>
      <c r="P519" s="74">
        <f t="shared" ca="1" si="317"/>
        <v>0</v>
      </c>
      <c r="Q519" s="74">
        <v>0</v>
      </c>
      <c r="R519" s="74">
        <v>0</v>
      </c>
      <c r="S519" s="74">
        <v>0</v>
      </c>
      <c r="T519" s="74">
        <f t="shared" si="319"/>
        <v>0</v>
      </c>
      <c r="U519" s="74">
        <f t="shared" si="320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3">
        <f t="shared" ref="L520:N520" ca="1" si="325">L521+L522</f>
        <v>0</v>
      </c>
      <c r="M520" s="74">
        <f t="shared" ca="1" si="325"/>
        <v>0</v>
      </c>
      <c r="N520" s="74">
        <f t="shared" ca="1" si="325"/>
        <v>0</v>
      </c>
      <c r="O520" s="74">
        <f t="shared" ca="1" si="316"/>
        <v>0</v>
      </c>
      <c r="P520" s="74">
        <f t="shared" ca="1" si="317"/>
        <v>0</v>
      </c>
      <c r="Q520" s="74">
        <f t="shared" ref="Q520:S520" si="326">Q521+Q522</f>
        <v>0</v>
      </c>
      <c r="R520" s="74">
        <f t="shared" si="326"/>
        <v>0</v>
      </c>
      <c r="S520" s="74">
        <f t="shared" si="326"/>
        <v>0</v>
      </c>
      <c r="T520" s="74">
        <f t="shared" si="319"/>
        <v>0</v>
      </c>
      <c r="U520" s="74">
        <f t="shared" si="320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77">
        <f t="shared" si="316"/>
        <v>0</v>
      </c>
      <c r="P521" s="77">
        <f t="shared" si="317"/>
        <v>0</v>
      </c>
      <c r="Q521" s="77">
        <v>0</v>
      </c>
      <c r="R521" s="77">
        <v>0</v>
      </c>
      <c r="S521" s="77">
        <v>0</v>
      </c>
      <c r="T521" s="77">
        <f t="shared" si="319"/>
        <v>0</v>
      </c>
      <c r="U521" s="77">
        <f t="shared" si="320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3">
        <f ca="1">IFERROR(__xludf.DUMMYFUNCTION("IMPORTRANGE(""https://docs.google.com/spreadsheets/d/1-uDff_7J0KD5mKrp0Vvzr7lt3OU09vwQwhkpOPPYv2Y/edit?usp=sharing"",""งบพรบ!FP72"")"),0)</f>
        <v>0</v>
      </c>
      <c r="M522" s="74">
        <f ca="1">IFERROR(__xludf.DUMMYFUNCTION("IMPORTRANGE(""https://docs.google.com/spreadsheets/d/1-uDff_7J0KD5mKrp0Vvzr7lt3OU09vwQwhkpOPPYv2Y/edit?usp=sharing"",""งบพรบ!FS72"")"),0)</f>
        <v>0</v>
      </c>
      <c r="N522" s="74">
        <f ca="1">IFERROR(__xludf.DUMMYFUNCTION("IMPORTRANGE(""https://docs.google.com/spreadsheets/d/1-uDff_7J0KD5mKrp0Vvzr7lt3OU09vwQwhkpOPPYv2Y/edit?usp=sharing"",""งบพรบ!FU72"")"),0)</f>
        <v>0</v>
      </c>
      <c r="O522" s="74">
        <f t="shared" ca="1" si="316"/>
        <v>0</v>
      </c>
      <c r="P522" s="74">
        <f t="shared" ca="1" si="317"/>
        <v>0</v>
      </c>
      <c r="Q522" s="74">
        <v>0</v>
      </c>
      <c r="R522" s="74">
        <v>0</v>
      </c>
      <c r="S522" s="74">
        <v>0</v>
      </c>
      <c r="T522" s="74">
        <f t="shared" si="319"/>
        <v>0</v>
      </c>
      <c r="U522" s="74">
        <f t="shared" si="320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7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7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8">I546</f>
        <v>0</v>
      </c>
      <c r="J534" s="1002">
        <f t="shared" si="328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1257">
        <f t="shared" ref="L535:N535" si="329">L536+L537</f>
        <v>0</v>
      </c>
      <c r="M535" s="264">
        <f t="shared" si="329"/>
        <v>0</v>
      </c>
      <c r="N535" s="264">
        <f t="shared" si="329"/>
        <v>0</v>
      </c>
      <c r="O535" s="264">
        <f t="shared" ref="O535:O543" si="330">IF(L535&gt;0,N535*100/L535,0)</f>
        <v>0</v>
      </c>
      <c r="P535" s="264">
        <f t="shared" ref="P535:P543" si="331">IF(M535&gt;0,N535*100/M535,0)</f>
        <v>0</v>
      </c>
      <c r="Q535" s="264">
        <f t="shared" ref="Q535:S535" si="332">Q536+Q537</f>
        <v>0</v>
      </c>
      <c r="R535" s="264">
        <f t="shared" si="332"/>
        <v>0</v>
      </c>
      <c r="S535" s="264">
        <f t="shared" si="332"/>
        <v>0</v>
      </c>
      <c r="T535" s="264">
        <f t="shared" ref="T535:T543" si="333">IF(Q535&gt;0,S535*100/Q535,0)</f>
        <v>0</v>
      </c>
      <c r="U535" s="264">
        <f t="shared" ref="U535:U543" si="334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6">
        <f t="shared" ref="L536:N537" si="335">L539+L542</f>
        <v>0</v>
      </c>
      <c r="M536" s="77">
        <f t="shared" si="335"/>
        <v>0</v>
      </c>
      <c r="N536" s="77">
        <f t="shared" si="335"/>
        <v>0</v>
      </c>
      <c r="O536" s="77">
        <f t="shared" si="330"/>
        <v>0</v>
      </c>
      <c r="P536" s="77">
        <f t="shared" si="331"/>
        <v>0</v>
      </c>
      <c r="Q536" s="77">
        <f t="shared" ref="Q536:S537" si="336">Q539+Q542</f>
        <v>0</v>
      </c>
      <c r="R536" s="77">
        <f t="shared" si="336"/>
        <v>0</v>
      </c>
      <c r="S536" s="77">
        <f t="shared" si="336"/>
        <v>0</v>
      </c>
      <c r="T536" s="77">
        <f t="shared" si="333"/>
        <v>0</v>
      </c>
      <c r="U536" s="77">
        <f t="shared" si="334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3">
        <f t="shared" si="335"/>
        <v>0</v>
      </c>
      <c r="M537" s="74">
        <f t="shared" si="335"/>
        <v>0</v>
      </c>
      <c r="N537" s="74">
        <f t="shared" si="335"/>
        <v>0</v>
      </c>
      <c r="O537" s="74">
        <f t="shared" si="330"/>
        <v>0</v>
      </c>
      <c r="P537" s="74">
        <f t="shared" si="331"/>
        <v>0</v>
      </c>
      <c r="Q537" s="74">
        <f t="shared" si="336"/>
        <v>0</v>
      </c>
      <c r="R537" s="74">
        <f t="shared" si="336"/>
        <v>0</v>
      </c>
      <c r="S537" s="74">
        <f t="shared" si="336"/>
        <v>0</v>
      </c>
      <c r="T537" s="74">
        <f t="shared" si="333"/>
        <v>0</v>
      </c>
      <c r="U537" s="74">
        <f t="shared" si="334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3">
        <f t="shared" ref="L538:N538" si="337">L539+L540</f>
        <v>0</v>
      </c>
      <c r="M538" s="74">
        <f t="shared" si="337"/>
        <v>0</v>
      </c>
      <c r="N538" s="74">
        <f t="shared" si="337"/>
        <v>0</v>
      </c>
      <c r="O538" s="74">
        <f t="shared" si="330"/>
        <v>0</v>
      </c>
      <c r="P538" s="74">
        <f t="shared" si="331"/>
        <v>0</v>
      </c>
      <c r="Q538" s="74">
        <f t="shared" ref="Q538:S538" si="338">Q539+Q540</f>
        <v>0</v>
      </c>
      <c r="R538" s="74">
        <f t="shared" si="338"/>
        <v>0</v>
      </c>
      <c r="S538" s="74">
        <f t="shared" si="338"/>
        <v>0</v>
      </c>
      <c r="T538" s="74">
        <f t="shared" si="333"/>
        <v>0</v>
      </c>
      <c r="U538" s="74">
        <f t="shared" si="334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77">
        <f t="shared" si="330"/>
        <v>0</v>
      </c>
      <c r="P539" s="77">
        <f t="shared" si="331"/>
        <v>0</v>
      </c>
      <c r="Q539" s="77">
        <v>0</v>
      </c>
      <c r="R539" s="77">
        <v>0</v>
      </c>
      <c r="S539" s="77">
        <v>0</v>
      </c>
      <c r="T539" s="77">
        <f t="shared" si="333"/>
        <v>0</v>
      </c>
      <c r="U539" s="77">
        <f t="shared" si="334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74">
        <f t="shared" si="330"/>
        <v>0</v>
      </c>
      <c r="P540" s="74">
        <f t="shared" si="331"/>
        <v>0</v>
      </c>
      <c r="Q540" s="74">
        <v>0</v>
      </c>
      <c r="R540" s="74">
        <v>0</v>
      </c>
      <c r="S540" s="74">
        <v>0</v>
      </c>
      <c r="T540" s="74">
        <f t="shared" si="333"/>
        <v>0</v>
      </c>
      <c r="U540" s="74">
        <f t="shared" si="334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3">
        <f t="shared" ref="L541:N541" si="339">L542+L543</f>
        <v>0</v>
      </c>
      <c r="M541" s="74">
        <f t="shared" si="339"/>
        <v>0</v>
      </c>
      <c r="N541" s="74">
        <f t="shared" si="339"/>
        <v>0</v>
      </c>
      <c r="O541" s="74">
        <f t="shared" si="330"/>
        <v>0</v>
      </c>
      <c r="P541" s="74">
        <f t="shared" si="331"/>
        <v>0</v>
      </c>
      <c r="Q541" s="74">
        <f t="shared" ref="Q541:S541" si="340">Q542+Q543</f>
        <v>0</v>
      </c>
      <c r="R541" s="74">
        <f t="shared" si="340"/>
        <v>0</v>
      </c>
      <c r="S541" s="74">
        <f t="shared" si="340"/>
        <v>0</v>
      </c>
      <c r="T541" s="74">
        <f t="shared" si="333"/>
        <v>0</v>
      </c>
      <c r="U541" s="74">
        <f t="shared" si="334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77">
        <f t="shared" si="330"/>
        <v>0</v>
      </c>
      <c r="P542" s="77">
        <f t="shared" si="331"/>
        <v>0</v>
      </c>
      <c r="Q542" s="77">
        <v>0</v>
      </c>
      <c r="R542" s="77">
        <v>0</v>
      </c>
      <c r="S542" s="77">
        <v>0</v>
      </c>
      <c r="T542" s="77">
        <f t="shared" si="333"/>
        <v>0</v>
      </c>
      <c r="U542" s="77">
        <f t="shared" si="334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74">
        <f t="shared" si="330"/>
        <v>0</v>
      </c>
      <c r="P543" s="74">
        <f t="shared" si="331"/>
        <v>0</v>
      </c>
      <c r="Q543" s="74">
        <v>0</v>
      </c>
      <c r="R543" s="74">
        <v>0</v>
      </c>
      <c r="S543" s="74">
        <v>0</v>
      </c>
      <c r="T543" s="74">
        <f t="shared" si="333"/>
        <v>0</v>
      </c>
      <c r="U543" s="74">
        <f t="shared" si="334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1">I567</f>
        <v>0</v>
      </c>
      <c r="J555" s="1002">
        <f t="shared" si="341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1257">
        <f t="shared" ref="L556:N556" si="342">L557+L558</f>
        <v>0</v>
      </c>
      <c r="M556" s="264">
        <f t="shared" si="342"/>
        <v>0</v>
      </c>
      <c r="N556" s="264">
        <f t="shared" si="342"/>
        <v>0</v>
      </c>
      <c r="O556" s="264">
        <f t="shared" ref="O556:O564" si="343">IF(L556&gt;0,N556*100/L556,0)</f>
        <v>0</v>
      </c>
      <c r="P556" s="264">
        <f t="shared" ref="P556:P564" si="344">IF(M556&gt;0,N556*100/M556,0)</f>
        <v>0</v>
      </c>
      <c r="Q556" s="264">
        <f t="shared" ref="Q556:S556" si="345">Q557+Q558</f>
        <v>0</v>
      </c>
      <c r="R556" s="264">
        <f t="shared" si="345"/>
        <v>0</v>
      </c>
      <c r="S556" s="264">
        <f t="shared" si="345"/>
        <v>0</v>
      </c>
      <c r="T556" s="264">
        <f t="shared" ref="T556:T564" si="346">IF(Q556&gt;0,S556*100/Q556,0)</f>
        <v>0</v>
      </c>
      <c r="U556" s="264">
        <f t="shared" ref="U556:U564" si="347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6">
        <f t="shared" ref="L557:N558" si="348">L560+L563</f>
        <v>0</v>
      </c>
      <c r="M557" s="77">
        <f t="shared" si="348"/>
        <v>0</v>
      </c>
      <c r="N557" s="77">
        <f t="shared" si="348"/>
        <v>0</v>
      </c>
      <c r="O557" s="77">
        <f t="shared" si="343"/>
        <v>0</v>
      </c>
      <c r="P557" s="77">
        <f t="shared" si="344"/>
        <v>0</v>
      </c>
      <c r="Q557" s="77">
        <f t="shared" ref="Q557:S558" si="349">Q560+Q563</f>
        <v>0</v>
      </c>
      <c r="R557" s="77">
        <f t="shared" si="349"/>
        <v>0</v>
      </c>
      <c r="S557" s="77">
        <f t="shared" si="349"/>
        <v>0</v>
      </c>
      <c r="T557" s="77">
        <f t="shared" si="346"/>
        <v>0</v>
      </c>
      <c r="U557" s="77">
        <f t="shared" si="347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3">
        <f t="shared" si="348"/>
        <v>0</v>
      </c>
      <c r="M558" s="74">
        <f t="shared" si="348"/>
        <v>0</v>
      </c>
      <c r="N558" s="74">
        <f t="shared" si="348"/>
        <v>0</v>
      </c>
      <c r="O558" s="74">
        <f t="shared" si="343"/>
        <v>0</v>
      </c>
      <c r="P558" s="74">
        <f t="shared" si="344"/>
        <v>0</v>
      </c>
      <c r="Q558" s="74">
        <f t="shared" si="349"/>
        <v>0</v>
      </c>
      <c r="R558" s="74">
        <f t="shared" si="349"/>
        <v>0</v>
      </c>
      <c r="S558" s="74">
        <f t="shared" si="349"/>
        <v>0</v>
      </c>
      <c r="T558" s="74">
        <f t="shared" si="346"/>
        <v>0</v>
      </c>
      <c r="U558" s="74">
        <f t="shared" si="347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3">
        <f t="shared" ref="L559:N559" si="350">L560+L561</f>
        <v>0</v>
      </c>
      <c r="M559" s="74">
        <f t="shared" si="350"/>
        <v>0</v>
      </c>
      <c r="N559" s="74">
        <f t="shared" si="350"/>
        <v>0</v>
      </c>
      <c r="O559" s="74">
        <f t="shared" si="343"/>
        <v>0</v>
      </c>
      <c r="P559" s="74">
        <f t="shared" si="344"/>
        <v>0</v>
      </c>
      <c r="Q559" s="74">
        <f t="shared" ref="Q559:S559" si="351">Q560+Q561</f>
        <v>0</v>
      </c>
      <c r="R559" s="74">
        <f t="shared" si="351"/>
        <v>0</v>
      </c>
      <c r="S559" s="74">
        <f t="shared" si="351"/>
        <v>0</v>
      </c>
      <c r="T559" s="74">
        <f t="shared" si="346"/>
        <v>0</v>
      </c>
      <c r="U559" s="74">
        <f t="shared" si="347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77">
        <f t="shared" si="343"/>
        <v>0</v>
      </c>
      <c r="P560" s="77">
        <f t="shared" si="344"/>
        <v>0</v>
      </c>
      <c r="Q560" s="77">
        <v>0</v>
      </c>
      <c r="R560" s="77">
        <v>0</v>
      </c>
      <c r="S560" s="77">
        <v>0</v>
      </c>
      <c r="T560" s="77">
        <f t="shared" si="346"/>
        <v>0</v>
      </c>
      <c r="U560" s="77">
        <f t="shared" si="347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74">
        <f t="shared" si="343"/>
        <v>0</v>
      </c>
      <c r="P561" s="74">
        <f t="shared" si="344"/>
        <v>0</v>
      </c>
      <c r="Q561" s="74">
        <v>0</v>
      </c>
      <c r="R561" s="74">
        <v>0</v>
      </c>
      <c r="S561" s="74">
        <v>0</v>
      </c>
      <c r="T561" s="74">
        <f t="shared" si="346"/>
        <v>0</v>
      </c>
      <c r="U561" s="74">
        <f t="shared" si="347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3">
        <f t="shared" ref="L562:N562" si="352">L563+L564</f>
        <v>0</v>
      </c>
      <c r="M562" s="74">
        <f t="shared" si="352"/>
        <v>0</v>
      </c>
      <c r="N562" s="74">
        <f t="shared" si="352"/>
        <v>0</v>
      </c>
      <c r="O562" s="74">
        <f t="shared" si="343"/>
        <v>0</v>
      </c>
      <c r="P562" s="74">
        <f t="shared" si="344"/>
        <v>0</v>
      </c>
      <c r="Q562" s="74">
        <f t="shared" ref="Q562:S562" si="353">Q563+Q564</f>
        <v>0</v>
      </c>
      <c r="R562" s="74">
        <f t="shared" si="353"/>
        <v>0</v>
      </c>
      <c r="S562" s="74">
        <f t="shared" si="353"/>
        <v>0</v>
      </c>
      <c r="T562" s="74">
        <f t="shared" si="346"/>
        <v>0</v>
      </c>
      <c r="U562" s="74">
        <f t="shared" si="347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77">
        <f t="shared" si="343"/>
        <v>0</v>
      </c>
      <c r="P563" s="77">
        <f t="shared" si="344"/>
        <v>0</v>
      </c>
      <c r="Q563" s="77">
        <v>0</v>
      </c>
      <c r="R563" s="77">
        <v>0</v>
      </c>
      <c r="S563" s="77">
        <v>0</v>
      </c>
      <c r="T563" s="77">
        <f t="shared" si="346"/>
        <v>0</v>
      </c>
      <c r="U563" s="77">
        <f t="shared" si="347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74">
        <f t="shared" si="343"/>
        <v>0</v>
      </c>
      <c r="P564" s="74">
        <f t="shared" si="344"/>
        <v>0</v>
      </c>
      <c r="Q564" s="74">
        <v>0</v>
      </c>
      <c r="R564" s="74">
        <v>0</v>
      </c>
      <c r="S564" s="74">
        <v>0</v>
      </c>
      <c r="T564" s="74">
        <f t="shared" si="346"/>
        <v>0</v>
      </c>
      <c r="U564" s="74">
        <f t="shared" si="347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4">I588</f>
        <v>0</v>
      </c>
      <c r="J576" s="1002">
        <f t="shared" si="354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1257">
        <f t="shared" ref="L577:N577" si="355">L578+L579</f>
        <v>0</v>
      </c>
      <c r="M577" s="264">
        <f t="shared" si="355"/>
        <v>0</v>
      </c>
      <c r="N577" s="264">
        <f t="shared" si="355"/>
        <v>0</v>
      </c>
      <c r="O577" s="264">
        <f t="shared" ref="O577:O585" si="356">IF(L577&gt;0,N577*100/L577,0)</f>
        <v>0</v>
      </c>
      <c r="P577" s="264">
        <f t="shared" ref="P577:P585" si="357">IF(M577&gt;0,N577*100/M577,0)</f>
        <v>0</v>
      </c>
      <c r="Q577" s="264">
        <f t="shared" ref="Q577:S577" si="358">Q578+Q579</f>
        <v>0</v>
      </c>
      <c r="R577" s="264">
        <f t="shared" si="358"/>
        <v>0</v>
      </c>
      <c r="S577" s="264">
        <f t="shared" si="358"/>
        <v>0</v>
      </c>
      <c r="T577" s="264">
        <f t="shared" ref="T577:T585" si="359">IF(Q577&gt;0,S577*100/Q577,0)</f>
        <v>0</v>
      </c>
      <c r="U577" s="264">
        <f t="shared" ref="U577:U585" si="360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6">
        <f t="shared" ref="L578:N579" si="361">L581+L584</f>
        <v>0</v>
      </c>
      <c r="M578" s="77">
        <f t="shared" si="361"/>
        <v>0</v>
      </c>
      <c r="N578" s="77">
        <f t="shared" si="361"/>
        <v>0</v>
      </c>
      <c r="O578" s="77">
        <f t="shared" si="356"/>
        <v>0</v>
      </c>
      <c r="P578" s="77">
        <f t="shared" si="357"/>
        <v>0</v>
      </c>
      <c r="Q578" s="77">
        <f t="shared" ref="Q578:S579" si="362">Q581+Q584</f>
        <v>0</v>
      </c>
      <c r="R578" s="77">
        <f t="shared" si="362"/>
        <v>0</v>
      </c>
      <c r="S578" s="77">
        <f t="shared" si="362"/>
        <v>0</v>
      </c>
      <c r="T578" s="77">
        <f t="shared" si="359"/>
        <v>0</v>
      </c>
      <c r="U578" s="77">
        <f t="shared" si="360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3">
        <f t="shared" si="361"/>
        <v>0</v>
      </c>
      <c r="M579" s="74">
        <f t="shared" si="361"/>
        <v>0</v>
      </c>
      <c r="N579" s="74">
        <f t="shared" si="361"/>
        <v>0</v>
      </c>
      <c r="O579" s="74">
        <f t="shared" si="356"/>
        <v>0</v>
      </c>
      <c r="P579" s="74">
        <f t="shared" si="357"/>
        <v>0</v>
      </c>
      <c r="Q579" s="74">
        <f t="shared" si="362"/>
        <v>0</v>
      </c>
      <c r="R579" s="74">
        <f t="shared" si="362"/>
        <v>0</v>
      </c>
      <c r="S579" s="74">
        <f t="shared" si="362"/>
        <v>0</v>
      </c>
      <c r="T579" s="74">
        <f t="shared" si="359"/>
        <v>0</v>
      </c>
      <c r="U579" s="74">
        <f t="shared" si="360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3">
        <f t="shared" ref="L580:N580" si="363">L581+L582</f>
        <v>0</v>
      </c>
      <c r="M580" s="74">
        <f t="shared" si="363"/>
        <v>0</v>
      </c>
      <c r="N580" s="74">
        <f t="shared" si="363"/>
        <v>0</v>
      </c>
      <c r="O580" s="74">
        <f t="shared" si="356"/>
        <v>0</v>
      </c>
      <c r="P580" s="74">
        <f t="shared" si="357"/>
        <v>0</v>
      </c>
      <c r="Q580" s="74">
        <f t="shared" ref="Q580:S580" si="364">Q581+Q582</f>
        <v>0</v>
      </c>
      <c r="R580" s="74">
        <f t="shared" si="364"/>
        <v>0</v>
      </c>
      <c r="S580" s="74">
        <f t="shared" si="364"/>
        <v>0</v>
      </c>
      <c r="T580" s="74">
        <f t="shared" si="359"/>
        <v>0</v>
      </c>
      <c r="U580" s="74">
        <f t="shared" si="360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77">
        <f t="shared" si="356"/>
        <v>0</v>
      </c>
      <c r="P581" s="77">
        <f t="shared" si="357"/>
        <v>0</v>
      </c>
      <c r="Q581" s="77">
        <v>0</v>
      </c>
      <c r="R581" s="77">
        <v>0</v>
      </c>
      <c r="S581" s="77">
        <v>0</v>
      </c>
      <c r="T581" s="77">
        <f t="shared" si="359"/>
        <v>0</v>
      </c>
      <c r="U581" s="77">
        <f t="shared" si="360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74">
        <f t="shared" si="356"/>
        <v>0</v>
      </c>
      <c r="P582" s="74">
        <f t="shared" si="357"/>
        <v>0</v>
      </c>
      <c r="Q582" s="74">
        <v>0</v>
      </c>
      <c r="R582" s="74">
        <v>0</v>
      </c>
      <c r="S582" s="74">
        <v>0</v>
      </c>
      <c r="T582" s="74">
        <f t="shared" si="359"/>
        <v>0</v>
      </c>
      <c r="U582" s="74">
        <f t="shared" si="360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3">
        <f t="shared" ref="L583:N583" si="365">L584+L585</f>
        <v>0</v>
      </c>
      <c r="M583" s="74">
        <f t="shared" si="365"/>
        <v>0</v>
      </c>
      <c r="N583" s="74">
        <f t="shared" si="365"/>
        <v>0</v>
      </c>
      <c r="O583" s="74">
        <f t="shared" si="356"/>
        <v>0</v>
      </c>
      <c r="P583" s="74">
        <f t="shared" si="357"/>
        <v>0</v>
      </c>
      <c r="Q583" s="74">
        <f t="shared" ref="Q583:S583" si="366">Q584+Q585</f>
        <v>0</v>
      </c>
      <c r="R583" s="74">
        <f t="shared" si="366"/>
        <v>0</v>
      </c>
      <c r="S583" s="74">
        <f t="shared" si="366"/>
        <v>0</v>
      </c>
      <c r="T583" s="74">
        <f t="shared" si="359"/>
        <v>0</v>
      </c>
      <c r="U583" s="74">
        <f t="shared" si="360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77">
        <f t="shared" si="356"/>
        <v>0</v>
      </c>
      <c r="P584" s="77">
        <f t="shared" si="357"/>
        <v>0</v>
      </c>
      <c r="Q584" s="77">
        <v>0</v>
      </c>
      <c r="R584" s="77">
        <v>0</v>
      </c>
      <c r="S584" s="77">
        <v>0</v>
      </c>
      <c r="T584" s="77">
        <f t="shared" si="359"/>
        <v>0</v>
      </c>
      <c r="U584" s="77">
        <f t="shared" si="360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74">
        <f t="shared" si="356"/>
        <v>0</v>
      </c>
      <c r="P585" s="74">
        <f t="shared" si="357"/>
        <v>0</v>
      </c>
      <c r="Q585" s="74">
        <v>0</v>
      </c>
      <c r="R585" s="74">
        <v>0</v>
      </c>
      <c r="S585" s="74">
        <v>0</v>
      </c>
      <c r="T585" s="74">
        <f t="shared" si="359"/>
        <v>0</v>
      </c>
      <c r="U585" s="74">
        <f t="shared" si="360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1257">
        <f t="shared" ref="L600:N600" si="367">L601+L602</f>
        <v>0</v>
      </c>
      <c r="M600" s="264">
        <f t="shared" si="367"/>
        <v>0</v>
      </c>
      <c r="N600" s="264">
        <f t="shared" si="367"/>
        <v>0</v>
      </c>
      <c r="O600" s="264">
        <f t="shared" ref="O600:O608" si="368">IF(L600&gt;0,N600*100/L600,0)</f>
        <v>0</v>
      </c>
      <c r="P600" s="264">
        <f t="shared" ref="P600:P608" si="369">IF(M600&gt;0,N600*100/M600,0)</f>
        <v>0</v>
      </c>
      <c r="Q600" s="264">
        <f t="shared" ref="Q600:S600" si="370">Q601+Q602</f>
        <v>0</v>
      </c>
      <c r="R600" s="264">
        <f t="shared" si="370"/>
        <v>0</v>
      </c>
      <c r="S600" s="264">
        <f t="shared" si="370"/>
        <v>0</v>
      </c>
      <c r="T600" s="264">
        <f t="shared" ref="T600:T608" si="371">IF(Q600&gt;0,S600*100/Q600,0)</f>
        <v>0</v>
      </c>
      <c r="U600" s="264">
        <f t="shared" ref="U600:U608" si="372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6">
        <f t="shared" ref="L601:N602" si="373">L604+L607</f>
        <v>0</v>
      </c>
      <c r="M601" s="77">
        <f t="shared" si="373"/>
        <v>0</v>
      </c>
      <c r="N601" s="77">
        <f t="shared" si="373"/>
        <v>0</v>
      </c>
      <c r="O601" s="77">
        <f t="shared" si="368"/>
        <v>0</v>
      </c>
      <c r="P601" s="77">
        <f t="shared" si="369"/>
        <v>0</v>
      </c>
      <c r="Q601" s="77">
        <f t="shared" ref="Q601:S602" si="374">Q604+Q607</f>
        <v>0</v>
      </c>
      <c r="R601" s="77">
        <f t="shared" si="374"/>
        <v>0</v>
      </c>
      <c r="S601" s="77">
        <f t="shared" si="374"/>
        <v>0</v>
      </c>
      <c r="T601" s="77">
        <f t="shared" si="371"/>
        <v>0</v>
      </c>
      <c r="U601" s="77">
        <f t="shared" si="372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3">
        <f t="shared" si="373"/>
        <v>0</v>
      </c>
      <c r="M602" s="74">
        <f t="shared" si="373"/>
        <v>0</v>
      </c>
      <c r="N602" s="74">
        <f t="shared" si="373"/>
        <v>0</v>
      </c>
      <c r="O602" s="74">
        <f t="shared" si="368"/>
        <v>0</v>
      </c>
      <c r="P602" s="74">
        <f t="shared" si="369"/>
        <v>0</v>
      </c>
      <c r="Q602" s="74">
        <f t="shared" si="374"/>
        <v>0</v>
      </c>
      <c r="R602" s="74">
        <f t="shared" si="374"/>
        <v>0</v>
      </c>
      <c r="S602" s="74">
        <f t="shared" si="374"/>
        <v>0</v>
      </c>
      <c r="T602" s="74">
        <f t="shared" si="371"/>
        <v>0</v>
      </c>
      <c r="U602" s="74">
        <f t="shared" si="372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3">
        <f t="shared" ref="L603:N603" si="375">L604+L605</f>
        <v>0</v>
      </c>
      <c r="M603" s="74">
        <f t="shared" si="375"/>
        <v>0</v>
      </c>
      <c r="N603" s="74">
        <f t="shared" si="375"/>
        <v>0</v>
      </c>
      <c r="O603" s="74">
        <f t="shared" si="368"/>
        <v>0</v>
      </c>
      <c r="P603" s="74">
        <f t="shared" si="369"/>
        <v>0</v>
      </c>
      <c r="Q603" s="74">
        <f t="shared" ref="Q603:S603" si="376">Q604+Q605</f>
        <v>0</v>
      </c>
      <c r="R603" s="74">
        <f t="shared" si="376"/>
        <v>0</v>
      </c>
      <c r="S603" s="74">
        <f t="shared" si="376"/>
        <v>0</v>
      </c>
      <c r="T603" s="74">
        <f t="shared" si="371"/>
        <v>0</v>
      </c>
      <c r="U603" s="74">
        <f t="shared" si="372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77">
        <f t="shared" si="368"/>
        <v>0</v>
      </c>
      <c r="P604" s="77">
        <f t="shared" si="369"/>
        <v>0</v>
      </c>
      <c r="Q604" s="77">
        <v>0</v>
      </c>
      <c r="R604" s="77">
        <v>0</v>
      </c>
      <c r="S604" s="77">
        <v>0</v>
      </c>
      <c r="T604" s="77">
        <f t="shared" si="371"/>
        <v>0</v>
      </c>
      <c r="U604" s="77">
        <f t="shared" si="372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74">
        <f t="shared" si="368"/>
        <v>0</v>
      </c>
      <c r="P605" s="74">
        <f t="shared" si="369"/>
        <v>0</v>
      </c>
      <c r="Q605" s="74">
        <v>0</v>
      </c>
      <c r="R605" s="74">
        <v>0</v>
      </c>
      <c r="S605" s="74">
        <v>0</v>
      </c>
      <c r="T605" s="74">
        <f t="shared" si="371"/>
        <v>0</v>
      </c>
      <c r="U605" s="74">
        <f t="shared" si="372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3">
        <f t="shared" ref="L606:N606" si="377">L607+L608</f>
        <v>0</v>
      </c>
      <c r="M606" s="74">
        <f t="shared" si="377"/>
        <v>0</v>
      </c>
      <c r="N606" s="74">
        <f t="shared" si="377"/>
        <v>0</v>
      </c>
      <c r="O606" s="74">
        <f t="shared" si="368"/>
        <v>0</v>
      </c>
      <c r="P606" s="74">
        <f t="shared" si="369"/>
        <v>0</v>
      </c>
      <c r="Q606" s="74">
        <f t="shared" ref="Q606:S606" si="378">Q607+Q608</f>
        <v>0</v>
      </c>
      <c r="R606" s="74">
        <f t="shared" si="378"/>
        <v>0</v>
      </c>
      <c r="S606" s="74">
        <f t="shared" si="378"/>
        <v>0</v>
      </c>
      <c r="T606" s="74">
        <f t="shared" si="371"/>
        <v>0</v>
      </c>
      <c r="U606" s="74">
        <f t="shared" si="372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77">
        <f t="shared" si="368"/>
        <v>0</v>
      </c>
      <c r="P607" s="77">
        <f t="shared" si="369"/>
        <v>0</v>
      </c>
      <c r="Q607" s="77">
        <v>0</v>
      </c>
      <c r="R607" s="77">
        <v>0</v>
      </c>
      <c r="S607" s="77">
        <v>0</v>
      </c>
      <c r="T607" s="77">
        <f t="shared" si="371"/>
        <v>0</v>
      </c>
      <c r="U607" s="77">
        <f t="shared" si="372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74">
        <f t="shared" si="368"/>
        <v>0</v>
      </c>
      <c r="P608" s="74">
        <f t="shared" si="369"/>
        <v>0</v>
      </c>
      <c r="Q608" s="74">
        <v>0</v>
      </c>
      <c r="R608" s="74">
        <v>0</v>
      </c>
      <c r="S608" s="74">
        <v>0</v>
      </c>
      <c r="T608" s="74">
        <f t="shared" si="371"/>
        <v>0</v>
      </c>
      <c r="U608" s="74">
        <f t="shared" si="372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hidden="1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740">
        <f t="shared" ref="I616:J616" ca="1" si="379">I627</f>
        <v>0</v>
      </c>
      <c r="J616" s="740">
        <f t="shared" si="379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1257">
        <f t="shared" ref="L617:N617" si="380">L618+L619</f>
        <v>0</v>
      </c>
      <c r="M617" s="264">
        <f t="shared" si="380"/>
        <v>0</v>
      </c>
      <c r="N617" s="264">
        <f t="shared" si="380"/>
        <v>0</v>
      </c>
      <c r="O617" s="264">
        <f t="shared" ref="O617:O625" si="381">IF(L617&gt;0,N617*100/L617,0)</f>
        <v>0</v>
      </c>
      <c r="P617" s="264">
        <f t="shared" ref="P617:P625" si="382">IF(M617&gt;0,N617*100/M617,0)</f>
        <v>0</v>
      </c>
      <c r="Q617" s="264">
        <f t="shared" ref="Q617:S617" ca="1" si="383">Q618+Q619</f>
        <v>1250</v>
      </c>
      <c r="R617" s="264">
        <f t="shared" ca="1" si="383"/>
        <v>1250</v>
      </c>
      <c r="S617" s="264">
        <f t="shared" ca="1" si="383"/>
        <v>0</v>
      </c>
      <c r="T617" s="264">
        <f t="shared" ref="T617:T625" ca="1" si="384">IF(Q617&gt;0,S617*100/Q617,0)</f>
        <v>0</v>
      </c>
      <c r="U617" s="264">
        <f t="shared" ref="U617:U625" ca="1" si="385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6">
        <f t="shared" ref="L618:N619" si="386">L621+L624</f>
        <v>0</v>
      </c>
      <c r="M618" s="77">
        <f t="shared" si="386"/>
        <v>0</v>
      </c>
      <c r="N618" s="77">
        <f t="shared" si="386"/>
        <v>0</v>
      </c>
      <c r="O618" s="77">
        <f t="shared" si="381"/>
        <v>0</v>
      </c>
      <c r="P618" s="77">
        <f t="shared" si="382"/>
        <v>0</v>
      </c>
      <c r="Q618" s="77">
        <f t="shared" ref="Q618:S619" si="387">Q621+Q624</f>
        <v>0</v>
      </c>
      <c r="R618" s="77">
        <f t="shared" si="387"/>
        <v>0</v>
      </c>
      <c r="S618" s="77">
        <f t="shared" si="387"/>
        <v>0</v>
      </c>
      <c r="T618" s="77">
        <f t="shared" si="384"/>
        <v>0</v>
      </c>
      <c r="U618" s="77">
        <f t="shared" si="385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3">
        <f t="shared" si="386"/>
        <v>0</v>
      </c>
      <c r="M619" s="74">
        <f t="shared" si="386"/>
        <v>0</v>
      </c>
      <c r="N619" s="74">
        <f t="shared" si="386"/>
        <v>0</v>
      </c>
      <c r="O619" s="74">
        <f t="shared" si="381"/>
        <v>0</v>
      </c>
      <c r="P619" s="74">
        <f t="shared" si="382"/>
        <v>0</v>
      </c>
      <c r="Q619" s="74">
        <f t="shared" ca="1" si="387"/>
        <v>1250</v>
      </c>
      <c r="R619" s="74">
        <f t="shared" ca="1" si="387"/>
        <v>1250</v>
      </c>
      <c r="S619" s="74">
        <f t="shared" ca="1" si="387"/>
        <v>0</v>
      </c>
      <c r="T619" s="74">
        <f t="shared" ca="1" si="384"/>
        <v>0</v>
      </c>
      <c r="U619" s="74">
        <f t="shared" ca="1" si="385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3">
        <f t="shared" ref="L620:N620" si="388">L621+L622</f>
        <v>0</v>
      </c>
      <c r="M620" s="74">
        <f t="shared" si="388"/>
        <v>0</v>
      </c>
      <c r="N620" s="74">
        <f t="shared" si="388"/>
        <v>0</v>
      </c>
      <c r="O620" s="74">
        <f t="shared" si="381"/>
        <v>0</v>
      </c>
      <c r="P620" s="74">
        <f t="shared" si="382"/>
        <v>0</v>
      </c>
      <c r="Q620" s="74">
        <f t="shared" ref="Q620:S620" ca="1" si="389">Q621+Q622</f>
        <v>1250</v>
      </c>
      <c r="R620" s="74">
        <f t="shared" ca="1" si="389"/>
        <v>1250</v>
      </c>
      <c r="S620" s="74">
        <f t="shared" ca="1" si="389"/>
        <v>0</v>
      </c>
      <c r="T620" s="74">
        <f t="shared" ca="1" si="384"/>
        <v>0</v>
      </c>
      <c r="U620" s="74">
        <f t="shared" ca="1" si="385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77">
        <f t="shared" si="381"/>
        <v>0</v>
      </c>
      <c r="P621" s="77">
        <f t="shared" si="382"/>
        <v>0</v>
      </c>
      <c r="Q621" s="77">
        <v>0</v>
      </c>
      <c r="R621" s="77">
        <v>0</v>
      </c>
      <c r="S621" s="77">
        <v>0</v>
      </c>
      <c r="T621" s="77">
        <f t="shared" si="384"/>
        <v>0</v>
      </c>
      <c r="U621" s="77">
        <f t="shared" si="385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74">
        <f t="shared" si="381"/>
        <v>0</v>
      </c>
      <c r="P622" s="74">
        <f t="shared" si="382"/>
        <v>0</v>
      </c>
      <c r="Q622" s="74">
        <f ca="1">IFERROR(__xludf.DUMMYFUNCTION("IMPORTRANGE(""https://docs.google.com/spreadsheets/d/1ItG2mGa2ceCfYo0BwxsXqNm01IGEUdYcSSLTEv9YCik/edit?usp=sharing"",""เบิกจ่ายกองทุน!F72"")"),1250)</f>
        <v>1250</v>
      </c>
      <c r="R622" s="74">
        <f ca="1">IFERROR(__xludf.DUMMYFUNCTION("IMPORTRANGE(""https://docs.google.com/spreadsheets/d/1ItG2mGa2ceCfYo0BwxsXqNm01IGEUdYcSSLTEv9YCik/edit?usp=sharing"",""เบิกจ่ายกองทุน!G72"")"),1250)</f>
        <v>1250</v>
      </c>
      <c r="S622" s="74">
        <f ca="1">IFERROR(__xludf.DUMMYFUNCTION("IMPORTRANGE(""https://docs.google.com/spreadsheets/d/1ItG2mGa2ceCfYo0BwxsXqNm01IGEUdYcSSLTEv9YCik/edit?usp=sharing"",""เบิกจ่ายกองทุน!H72"")"),0)</f>
        <v>0</v>
      </c>
      <c r="T622" s="74">
        <f t="shared" ca="1" si="384"/>
        <v>0</v>
      </c>
      <c r="U622" s="74">
        <f t="shared" ca="1" si="385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3">
        <f t="shared" ref="L623:N623" si="390">L624+L625</f>
        <v>0</v>
      </c>
      <c r="M623" s="74">
        <f t="shared" si="390"/>
        <v>0</v>
      </c>
      <c r="N623" s="74">
        <f t="shared" si="390"/>
        <v>0</v>
      </c>
      <c r="O623" s="74">
        <f t="shared" si="381"/>
        <v>0</v>
      </c>
      <c r="P623" s="74">
        <f t="shared" si="382"/>
        <v>0</v>
      </c>
      <c r="Q623" s="74">
        <f t="shared" ref="Q623:S623" si="391">Q624+Q625</f>
        <v>0</v>
      </c>
      <c r="R623" s="74">
        <f t="shared" si="391"/>
        <v>0</v>
      </c>
      <c r="S623" s="74">
        <f t="shared" si="391"/>
        <v>0</v>
      </c>
      <c r="T623" s="74">
        <f t="shared" si="384"/>
        <v>0</v>
      </c>
      <c r="U623" s="74">
        <f t="shared" si="385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77">
        <f t="shared" si="381"/>
        <v>0</v>
      </c>
      <c r="P624" s="77">
        <f t="shared" si="382"/>
        <v>0</v>
      </c>
      <c r="Q624" s="77">
        <v>0</v>
      </c>
      <c r="R624" s="77">
        <v>0</v>
      </c>
      <c r="S624" s="77">
        <v>0</v>
      </c>
      <c r="T624" s="77">
        <f t="shared" si="384"/>
        <v>0</v>
      </c>
      <c r="U624" s="77">
        <f t="shared" si="385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74">
        <f t="shared" si="381"/>
        <v>0</v>
      </c>
      <c r="P625" s="74">
        <f t="shared" si="382"/>
        <v>0</v>
      </c>
      <c r="Q625" s="74">
        <v>0</v>
      </c>
      <c r="R625" s="74">
        <v>0</v>
      </c>
      <c r="S625" s="74">
        <v>0</v>
      </c>
      <c r="T625" s="74">
        <f t="shared" si="384"/>
        <v>0</v>
      </c>
      <c r="U625" s="74">
        <f t="shared" si="385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IFERROR(__xludf.DUMMYFUNCTION("IMPORTRANGE(""https://docs.google.com/spreadsheets/d/1eHaY18a8A9IcSdp1K8H6x8fbOy06t2VsZHhMHf-1x7Y/edit?usp=sharing"",""แผน!ID72"")"),0)</f>
        <v>0</v>
      </c>
      <c r="J627" s="622">
        <f>J633</f>
        <v>0</v>
      </c>
      <c r="K627" s="26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IFERROR(__xludf.DUMMYFUNCTION("IMPORTRANGE(""https://docs.google.com/spreadsheets/d/1eHaY18a8A9IcSdp1K8H6x8fbOy06t2VsZHhMHf-1x7Y/edit?usp=sharing"",""แผน!IC72"")"),0)</f>
        <v>0</v>
      </c>
      <c r="J628" s="294">
        <v>0</v>
      </c>
      <c r="K628" s="74">
        <f t="shared" ref="K628:K629" ca="1" si="392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IFERROR(__xludf.DUMMYFUNCTION("IMPORTRANGE(""https://docs.google.com/spreadsheets/d/1eHaY18a8A9IcSdp1K8H6x8fbOy06t2VsZHhMHf-1x7Y/edit?usp=sharing"",""แผน!IC72"")"),0)</f>
        <v>0</v>
      </c>
      <c r="J629" s="294">
        <v>0</v>
      </c>
      <c r="K629" s="74">
        <f t="shared" ca="1" si="392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0</v>
      </c>
      <c r="K630" s="74">
        <f t="shared" ref="K630:K632" ca="1" si="393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t="shared" ca="1" si="393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t="shared" ca="1" si="393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IFERROR(__xludf.DUMMYFUNCTION("IMPORTRANGE(""https://docs.google.com/spreadsheets/d/1eHaY18a8A9IcSdp1K8H6x8fbOy06t2VsZHhMHf-1x7Y/edit?usp=sharing"",""แผน!IE72"")"),0)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1257">
        <f t="shared" ref="L643:N643" si="394">L644+L645</f>
        <v>0</v>
      </c>
      <c r="M643" s="264">
        <f t="shared" si="394"/>
        <v>0</v>
      </c>
      <c r="N643" s="264">
        <f t="shared" si="394"/>
        <v>0</v>
      </c>
      <c r="O643" s="264">
        <f t="shared" ref="O643:O651" si="395">IF(L643&gt;0,N643*100/L643,0)</f>
        <v>0</v>
      </c>
      <c r="P643" s="264">
        <f t="shared" ref="P643:P651" si="396">IF(M643&gt;0,N643*100/M643,0)</f>
        <v>0</v>
      </c>
      <c r="Q643" s="264">
        <f t="shared" ref="Q643:S643" ca="1" si="397">Q644+Q645</f>
        <v>14600</v>
      </c>
      <c r="R643" s="264">
        <f t="shared" ca="1" si="397"/>
        <v>14600</v>
      </c>
      <c r="S643" s="264">
        <f t="shared" ca="1" si="397"/>
        <v>0</v>
      </c>
      <c r="T643" s="264">
        <f t="shared" ref="T643:T651" ca="1" si="398">IF(Q643&gt;0,S643*100/Q643,0)</f>
        <v>0</v>
      </c>
      <c r="U643" s="264">
        <f t="shared" ref="U643:U651" ca="1" si="399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6">
        <f t="shared" ref="L644:N645" si="400">L647+L650</f>
        <v>0</v>
      </c>
      <c r="M644" s="77">
        <f t="shared" si="400"/>
        <v>0</v>
      </c>
      <c r="N644" s="77">
        <f t="shared" si="400"/>
        <v>0</v>
      </c>
      <c r="O644" s="77">
        <f t="shared" si="395"/>
        <v>0</v>
      </c>
      <c r="P644" s="77">
        <f t="shared" si="396"/>
        <v>0</v>
      </c>
      <c r="Q644" s="77">
        <f t="shared" ref="Q644:S645" si="401">Q647+Q650</f>
        <v>0</v>
      </c>
      <c r="R644" s="77">
        <f t="shared" si="401"/>
        <v>0</v>
      </c>
      <c r="S644" s="77">
        <f t="shared" si="401"/>
        <v>0</v>
      </c>
      <c r="T644" s="77">
        <f t="shared" si="398"/>
        <v>0</v>
      </c>
      <c r="U644" s="77">
        <f t="shared" si="399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3">
        <f t="shared" si="400"/>
        <v>0</v>
      </c>
      <c r="M645" s="74">
        <f t="shared" si="400"/>
        <v>0</v>
      </c>
      <c r="N645" s="74">
        <f t="shared" si="400"/>
        <v>0</v>
      </c>
      <c r="O645" s="74">
        <f t="shared" si="395"/>
        <v>0</v>
      </c>
      <c r="P645" s="74">
        <f t="shared" si="396"/>
        <v>0</v>
      </c>
      <c r="Q645" s="74">
        <f t="shared" ca="1" si="401"/>
        <v>14600</v>
      </c>
      <c r="R645" s="74">
        <f t="shared" ca="1" si="401"/>
        <v>14600</v>
      </c>
      <c r="S645" s="74">
        <f t="shared" ca="1" si="401"/>
        <v>0</v>
      </c>
      <c r="T645" s="74">
        <f t="shared" ca="1" si="398"/>
        <v>0</v>
      </c>
      <c r="U645" s="74">
        <f t="shared" ca="1" si="399"/>
        <v>0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3">
        <f t="shared" ref="L646:N646" si="402">L647+L648</f>
        <v>0</v>
      </c>
      <c r="M646" s="74">
        <f t="shared" si="402"/>
        <v>0</v>
      </c>
      <c r="N646" s="74">
        <f t="shared" si="402"/>
        <v>0</v>
      </c>
      <c r="O646" s="74">
        <f t="shared" si="395"/>
        <v>0</v>
      </c>
      <c r="P646" s="74">
        <f t="shared" si="396"/>
        <v>0</v>
      </c>
      <c r="Q646" s="74">
        <f t="shared" ref="Q646:S646" ca="1" si="403">Q647+Q648</f>
        <v>14600</v>
      </c>
      <c r="R646" s="74">
        <f t="shared" ca="1" si="403"/>
        <v>14600</v>
      </c>
      <c r="S646" s="74">
        <f t="shared" ca="1" si="403"/>
        <v>0</v>
      </c>
      <c r="T646" s="74">
        <f t="shared" ca="1" si="398"/>
        <v>0</v>
      </c>
      <c r="U646" s="74">
        <f t="shared" ca="1" si="399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77">
        <f t="shared" si="395"/>
        <v>0</v>
      </c>
      <c r="P647" s="77">
        <f t="shared" si="396"/>
        <v>0</v>
      </c>
      <c r="Q647" s="77">
        <v>0</v>
      </c>
      <c r="R647" s="77">
        <v>0</v>
      </c>
      <c r="S647" s="77">
        <v>0</v>
      </c>
      <c r="T647" s="77">
        <f t="shared" si="398"/>
        <v>0</v>
      </c>
      <c r="U647" s="77">
        <f t="shared" si="399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74">
        <f t="shared" si="395"/>
        <v>0</v>
      </c>
      <c r="P648" s="74">
        <f t="shared" si="396"/>
        <v>0</v>
      </c>
      <c r="Q648" s="74">
        <f ca="1">IFERROR(__xludf.DUMMYFUNCTION("IMPORTRANGE(""https://docs.google.com/spreadsheets/d/1ItG2mGa2ceCfYo0BwxsXqNm01IGEUdYcSSLTEv9YCik/edit?usp=sharing"",""เบิกจ่ายกองทุน!I72"")"),14600)</f>
        <v>14600</v>
      </c>
      <c r="R648" s="74">
        <f ca="1">IFERROR(__xludf.DUMMYFUNCTION("IMPORTRANGE(""https://docs.google.com/spreadsheets/d/1ItG2mGa2ceCfYo0BwxsXqNm01IGEUdYcSSLTEv9YCik/edit?usp=sharing"",""เบิกจ่ายกองทุน!J72"")"),14600)</f>
        <v>14600</v>
      </c>
      <c r="S648" s="74">
        <f ca="1">IFERROR(__xludf.DUMMYFUNCTION("IMPORTRANGE(""https://docs.google.com/spreadsheets/d/1ItG2mGa2ceCfYo0BwxsXqNm01IGEUdYcSSLTEv9YCik/edit?usp=sharing"",""เบิกจ่ายกองทุน!K72"")"),0)</f>
        <v>0</v>
      </c>
      <c r="T648" s="74">
        <f t="shared" ca="1" si="398"/>
        <v>0</v>
      </c>
      <c r="U648" s="74">
        <f t="shared" ca="1" si="399"/>
        <v>0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3">
        <f t="shared" ref="L649:N649" si="404">L650+L651</f>
        <v>0</v>
      </c>
      <c r="M649" s="74">
        <f t="shared" si="404"/>
        <v>0</v>
      </c>
      <c r="N649" s="74">
        <f t="shared" si="404"/>
        <v>0</v>
      </c>
      <c r="O649" s="74">
        <f t="shared" si="395"/>
        <v>0</v>
      </c>
      <c r="P649" s="74">
        <f t="shared" si="396"/>
        <v>0</v>
      </c>
      <c r="Q649" s="74">
        <f t="shared" ref="Q649:S649" si="405">Q650+Q651</f>
        <v>0</v>
      </c>
      <c r="R649" s="74">
        <f t="shared" si="405"/>
        <v>0</v>
      </c>
      <c r="S649" s="74">
        <f t="shared" si="405"/>
        <v>0</v>
      </c>
      <c r="T649" s="74">
        <f t="shared" si="398"/>
        <v>0</v>
      </c>
      <c r="U649" s="74">
        <f t="shared" si="399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77">
        <f t="shared" si="395"/>
        <v>0</v>
      </c>
      <c r="P650" s="77">
        <f t="shared" si="396"/>
        <v>0</v>
      </c>
      <c r="Q650" s="77">
        <v>0</v>
      </c>
      <c r="R650" s="77">
        <v>0</v>
      </c>
      <c r="S650" s="77">
        <v>0</v>
      </c>
      <c r="T650" s="77">
        <f t="shared" si="398"/>
        <v>0</v>
      </c>
      <c r="U650" s="77">
        <f t="shared" si="399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74">
        <f t="shared" si="395"/>
        <v>0</v>
      </c>
      <c r="P651" s="74">
        <f t="shared" si="396"/>
        <v>0</v>
      </c>
      <c r="Q651" s="74">
        <v>0</v>
      </c>
      <c r="R651" s="74">
        <v>0</v>
      </c>
      <c r="S651" s="74">
        <v>0</v>
      </c>
      <c r="T651" s="74">
        <f t="shared" si="398"/>
        <v>0</v>
      </c>
      <c r="U651" s="74">
        <f t="shared" si="399"/>
        <v>0</v>
      </c>
    </row>
    <row r="652" spans="1:21" ht="19.5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IFERROR(__xludf.DUMMYFUNCTION("IMPORTRANGE(""https://docs.google.com/spreadsheets/d/1eHaY18a8A9IcSdp1K8H6x8fbOy06t2VsZHhMHf-1x7Y/edit?usp=sharing"",""แผน!IF72"")"),0)</f>
        <v>0</v>
      </c>
      <c r="J653" s="293">
        <f ca="1">IFERROR(__xludf.DUMMYFUNCTION("IMPORTRANGE(""https://docs.google.com/spreadsheets/d/1tdoBKaGub7dwA3U6UFTqxio9LNnvDCQjHKmttSEBsFQ/edit?usp=sharing"",""จัดที่ดิน!AU72"")"),0)</f>
        <v>0</v>
      </c>
      <c r="K653" s="74">
        <f t="shared" ref="K653:K655" ca="1" si="406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hidden="1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IFERROR(__xludf.DUMMYFUNCTION("IMPORTRANGE(""https://docs.google.com/spreadsheets/d/1eHaY18a8A9IcSdp1K8H6x8fbOy06t2VsZHhMHf-1x7Y/edit?usp=sharing"",""แผน!IG72"")"),0)</f>
        <v>0</v>
      </c>
      <c r="J654" s="293">
        <f ca="1">IFERROR(__xludf.DUMMYFUNCTION("IMPORTRANGE(""https://docs.google.com/spreadsheets/d/1tdoBKaGub7dwA3U6UFTqxio9LNnvDCQjHKmttSEBsFQ/edit?usp=sharing"",""จัดที่ดิน!AW72"")"),0)</f>
        <v>0</v>
      </c>
      <c r="K654" s="74">
        <f t="shared" ca="1" si="406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hidden="1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IFERROR(__xludf.DUMMYFUNCTION("IMPORTRANGE(""https://docs.google.com/spreadsheets/d/1eHaY18a8A9IcSdp1K8H6x8fbOy06t2VsZHhMHf-1x7Y/edit?usp=sharing"",""แผน!IH72"")"),0)</f>
        <v>0</v>
      </c>
      <c r="J655" s="622">
        <f>J658+J661</f>
        <v>0</v>
      </c>
      <c r="K655" s="264">
        <f t="shared" ca="1" si="406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hidden="1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hidden="1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hidden="1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IFERROR(__xludf.DUMMYFUNCTION("IMPORTRANGE(""https://docs.google.com/spreadsheets/d/1eHaY18a8A9IcSdp1K8H6x8fbOy06t2VsZHhMHf-1x7Y/edit?usp=sharing"",""แผน!II72"")"),0)</f>
        <v>0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hidden="1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hidden="1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hidden="1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IFERROR(__xludf.DUMMYFUNCTION("IMPORTRANGE(""https://docs.google.com/spreadsheets/d/1eHaY18a8A9IcSdp1K8H6x8fbOy06t2VsZHhMHf-1x7Y/edit?usp=sharing"",""แผน!IJ72"")"),0)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IFERROR(__xludf.DUMMYFUNCTION("IMPORTRANGE(""https://docs.google.com/spreadsheets/d/1eHaY18a8A9IcSdp1K8H6x8fbOy06t2VsZHhMHf-1x7Y/edit?usp=sharing"",""แผน!IK72"")"),80)</f>
        <v>80</v>
      </c>
      <c r="J662" s="622">
        <f>J668+J671</f>
        <v>0</v>
      </c>
      <c r="K662" s="264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IFERROR(__xludf.DUMMYFUNCTION("IMPORTRANGE(""https://docs.google.com/spreadsheets/d/1tdoBKaGub7dwA3U6UFTqxio9LNnvDCQjHKmttSEBsFQ/edit?usp=sharing"",""จัดที่ดิน!AY72"")"),0)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IFERROR(__xludf.DUMMYFUNCTION("IMPORTRANGE(""https://docs.google.com/spreadsheets/d/1tdoBKaGub7dwA3U6UFTqxio9LNnvDCQjHKmttSEBsFQ/edit?usp=sharing"",""จัดที่ดิน!AZ72"")"),0)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IFERROR(__xludf.DUMMYFUNCTION("IMPORTRANGE(""https://docs.google.com/spreadsheets/d/1eHaY18a8A9IcSdp1K8H6x8fbOy06t2VsZHhMHf-1x7Y/edit?usp=sharing"",""แผน!IL72"")"),120)</f>
        <v>120</v>
      </c>
      <c r="J674" s="293">
        <f ca="1">IFERROR(__xludf.DUMMYFUNCTION("IMPORTRANGE(""https://docs.google.com/spreadsheets/d/1tdoBKaGub7dwA3U6UFTqxio9LNnvDCQjHKmttSEBsFQ/edit?usp=sharing"",""จัดที่ดิน!BA72"")"),0)</f>
        <v>0</v>
      </c>
      <c r="K674" s="74">
        <f t="shared" ref="K674:K677" ca="1" si="407">IF(I674&gt;0,J674*100/I674,0)</f>
        <v>0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IFERROR(__xludf.DUMMYFUNCTION("IMPORTRANGE(""https://docs.google.com/spreadsheets/d/1eHaY18a8A9IcSdp1K8H6x8fbOy06t2VsZHhMHf-1x7Y/edit?usp=sharing"",""แผน!IM72"")"),10)</f>
        <v>10</v>
      </c>
      <c r="J675" s="622">
        <f ca="1">J677+J680</f>
        <v>0</v>
      </c>
      <c r="K675" s="264">
        <f t="shared" ca="1" si="407"/>
        <v>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IFERROR(__xludf.DUMMYFUNCTION("IMPORTRANGE(""https://docs.google.com/spreadsheets/d/1eHaY18a8A9IcSdp1K8H6x8fbOy06t2VsZHhMHf-1x7Y/edit?usp=sharing"",""แผน!IN72"")"),100)</f>
        <v>100</v>
      </c>
      <c r="J676" s="622">
        <f ca="1">J679+J682</f>
        <v>0</v>
      </c>
      <c r="K676" s="264">
        <f t="shared" ca="1" si="407"/>
        <v>0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IFERROR(__xludf.DUMMYFUNCTION("IMPORTRANGE(""https://docs.google.com/spreadsheets/d/1eHaY18a8A9IcSdp1K8H6x8fbOy06t2VsZHhMHf-1x7Y/edit?usp=sharing"",""แผน!IO72"")"),10)</f>
        <v>10</v>
      </c>
      <c r="J677" s="293">
        <f ca="1">IFERROR(__xludf.DUMMYFUNCTION("IMPORTRANGE(""https://docs.google.com/spreadsheets/d/1tdoBKaGub7dwA3U6UFTqxio9LNnvDCQjHKmttSEBsFQ/edit?usp=sharing"",""จัดที่ดิน!BF72"")"),0)</f>
        <v>0</v>
      </c>
      <c r="K677" s="74">
        <f t="shared" ca="1" si="407"/>
        <v>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IFERROR(__xludf.DUMMYFUNCTION("IMPORTRANGE(""https://docs.google.com/spreadsheets/d/1tdoBKaGub7dwA3U6UFTqxio9LNnvDCQjHKmttSEBsFQ/edit?usp=sharing"",""จัดที่ดิน!BG72"")"),0)</f>
        <v>0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IFERROR(__xludf.DUMMYFUNCTION("IMPORTRANGE(""https://docs.google.com/spreadsheets/d/1eHaY18a8A9IcSdp1K8H6x8fbOy06t2VsZHhMHf-1x7Y/edit?usp=sharing"",""แผน!IP72"")"),100)</f>
        <v>100</v>
      </c>
      <c r="J679" s="293">
        <f ca="1">IFERROR(__xludf.DUMMYFUNCTION("IMPORTRANGE(""https://docs.google.com/spreadsheets/d/1tdoBKaGub7dwA3U6UFTqxio9LNnvDCQjHKmttSEBsFQ/edit?usp=sharing"",""จัดที่ดิน!BH72"")"),0)</f>
        <v>0</v>
      </c>
      <c r="K679" s="74">
        <f t="shared" ref="K679:K680" ca="1" si="408">IF(I679&gt;0,J679*100/I679,0)</f>
        <v>0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IFERROR(__xludf.DUMMYFUNCTION("IMPORTRANGE(""https://docs.google.com/spreadsheets/d/1eHaY18a8A9IcSdp1K8H6x8fbOy06t2VsZHhMHf-1x7Y/edit?usp=sharing"",""แผน!IQ72"")"),0)</f>
        <v>0</v>
      </c>
      <c r="J680" s="293">
        <f ca="1">IFERROR(__xludf.DUMMYFUNCTION("IMPORTRANGE(""https://docs.google.com/spreadsheets/d/1tdoBKaGub7dwA3U6UFTqxio9LNnvDCQjHKmttSEBsFQ/edit?usp=sharing"",""จัดที่ดิน!BK72"")"),0)</f>
        <v>0</v>
      </c>
      <c r="K680" s="74">
        <f t="shared" ca="1" si="408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IFERROR(__xludf.DUMMYFUNCTION("IMPORTRANGE(""https://docs.google.com/spreadsheets/d/1tdoBKaGub7dwA3U6UFTqxio9LNnvDCQjHKmttSEBsFQ/edit?usp=sharing"",""จัดที่ดิน!BL72"")"),0)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IFERROR(__xludf.DUMMYFUNCTION("IMPORTRANGE(""https://docs.google.com/spreadsheets/d/1eHaY18a8A9IcSdp1K8H6x8fbOy06t2VsZHhMHf-1x7Y/edit?usp=sharing"",""แผน!IR72"")"),0)</f>
        <v>0</v>
      </c>
      <c r="J682" s="293">
        <f ca="1">IFERROR(__xludf.DUMMYFUNCTION("IMPORTRANGE(""https://docs.google.com/spreadsheets/d/1tdoBKaGub7dwA3U6UFTqxio9LNnvDCQjHKmttSEBsFQ/edit?usp=sharing"",""จัดที่ดิน!BM72"")"),0)</f>
        <v>0</v>
      </c>
      <c r="K682" s="74">
        <f t="shared" ref="K682:K683" ca="1" si="409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IFERROR(__xludf.DUMMYFUNCTION("IMPORTRANGE(""https://docs.google.com/spreadsheets/d/1eHaY18a8A9IcSdp1K8H6x8fbOy06t2VsZHhMHf-1x7Y/edit?usp=sharing"",""แผน!IS72"")"),20)</f>
        <v>20</v>
      </c>
      <c r="J683" s="622">
        <f>J686+J689</f>
        <v>0</v>
      </c>
      <c r="K683" s="264">
        <f t="shared" ca="1" si="409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64" t="s">
        <v>35</v>
      </c>
      <c r="I690" s="765">
        <f t="shared" ref="I690:J690" ca="1" si="410">I708</f>
        <v>80</v>
      </c>
      <c r="J690" s="765">
        <f t="shared" ca="1" si="410"/>
        <v>55</v>
      </c>
      <c r="K690" s="766">
        <f ca="1">IF(I690&gt;0,J690*100/I690,0)</f>
        <v>68.75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1257">
        <f t="shared" ref="L691:N691" si="411">L692+L693</f>
        <v>0</v>
      </c>
      <c r="M691" s="264">
        <f t="shared" si="411"/>
        <v>0</v>
      </c>
      <c r="N691" s="264">
        <f t="shared" si="411"/>
        <v>0</v>
      </c>
      <c r="O691" s="264">
        <f t="shared" ref="O691:O699" si="412">IF(L691&gt;0,N691*100/L691,0)</f>
        <v>0</v>
      </c>
      <c r="P691" s="264">
        <f t="shared" ref="P691:P699" si="413">IF(M691&gt;0,N691*100/M691,0)</f>
        <v>0</v>
      </c>
      <c r="Q691" s="264">
        <f t="shared" ref="Q691:S691" ca="1" si="414">Q692+Q693</f>
        <v>196020</v>
      </c>
      <c r="R691" s="264">
        <f t="shared" ca="1" si="414"/>
        <v>196020</v>
      </c>
      <c r="S691" s="264">
        <f t="shared" ca="1" si="414"/>
        <v>0</v>
      </c>
      <c r="T691" s="264">
        <f t="shared" ref="T691:T699" ca="1" si="415">IF(Q691&gt;0,S691*100/Q691,0)</f>
        <v>0</v>
      </c>
      <c r="U691" s="264">
        <f t="shared" ref="U691:U699" ca="1" si="416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6">
        <f t="shared" ref="L692:N693" si="417">L695+L698</f>
        <v>0</v>
      </c>
      <c r="M692" s="77">
        <f t="shared" si="417"/>
        <v>0</v>
      </c>
      <c r="N692" s="77">
        <f t="shared" si="417"/>
        <v>0</v>
      </c>
      <c r="O692" s="77">
        <f t="shared" si="412"/>
        <v>0</v>
      </c>
      <c r="P692" s="77">
        <f t="shared" si="413"/>
        <v>0</v>
      </c>
      <c r="Q692" s="77">
        <f t="shared" ref="Q692:S693" si="418">Q695+Q698</f>
        <v>0</v>
      </c>
      <c r="R692" s="77">
        <f t="shared" si="418"/>
        <v>0</v>
      </c>
      <c r="S692" s="77">
        <f t="shared" si="418"/>
        <v>0</v>
      </c>
      <c r="T692" s="77">
        <f t="shared" si="415"/>
        <v>0</v>
      </c>
      <c r="U692" s="77">
        <f t="shared" si="416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3">
        <f t="shared" si="417"/>
        <v>0</v>
      </c>
      <c r="M693" s="74">
        <f t="shared" si="417"/>
        <v>0</v>
      </c>
      <c r="N693" s="74">
        <f t="shared" si="417"/>
        <v>0</v>
      </c>
      <c r="O693" s="74">
        <f t="shared" si="412"/>
        <v>0</v>
      </c>
      <c r="P693" s="74">
        <f t="shared" si="413"/>
        <v>0</v>
      </c>
      <c r="Q693" s="74">
        <f t="shared" ca="1" si="418"/>
        <v>196020</v>
      </c>
      <c r="R693" s="74">
        <f t="shared" ca="1" si="418"/>
        <v>196020</v>
      </c>
      <c r="S693" s="74">
        <f t="shared" ca="1" si="418"/>
        <v>0</v>
      </c>
      <c r="T693" s="74">
        <f t="shared" ca="1" si="415"/>
        <v>0</v>
      </c>
      <c r="U693" s="74">
        <f t="shared" ca="1" si="416"/>
        <v>0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3">
        <f t="shared" ref="L694:N694" si="419">L695+L696</f>
        <v>0</v>
      </c>
      <c r="M694" s="74">
        <f t="shared" si="419"/>
        <v>0</v>
      </c>
      <c r="N694" s="74">
        <f t="shared" si="419"/>
        <v>0</v>
      </c>
      <c r="O694" s="74">
        <f t="shared" si="412"/>
        <v>0</v>
      </c>
      <c r="P694" s="74">
        <f t="shared" si="413"/>
        <v>0</v>
      </c>
      <c r="Q694" s="74">
        <f t="shared" ref="Q694:S694" ca="1" si="420">Q695+Q696</f>
        <v>196020</v>
      </c>
      <c r="R694" s="74">
        <f t="shared" ca="1" si="420"/>
        <v>196020</v>
      </c>
      <c r="S694" s="74">
        <f t="shared" ca="1" si="420"/>
        <v>0</v>
      </c>
      <c r="T694" s="74">
        <f t="shared" ca="1" si="415"/>
        <v>0</v>
      </c>
      <c r="U694" s="74">
        <f t="shared" ca="1" si="416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77">
        <f t="shared" si="412"/>
        <v>0</v>
      </c>
      <c r="P695" s="77">
        <f t="shared" si="413"/>
        <v>0</v>
      </c>
      <c r="Q695" s="77">
        <v>0</v>
      </c>
      <c r="R695" s="77">
        <v>0</v>
      </c>
      <c r="S695" s="77">
        <v>0</v>
      </c>
      <c r="T695" s="77">
        <f t="shared" si="415"/>
        <v>0</v>
      </c>
      <c r="U695" s="77">
        <f t="shared" si="416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74">
        <f t="shared" si="412"/>
        <v>0</v>
      </c>
      <c r="P696" s="74">
        <f t="shared" si="413"/>
        <v>0</v>
      </c>
      <c r="Q696" s="74">
        <f ca="1">IFERROR(__xludf.DUMMYFUNCTION("IMPORTRANGE(""https://docs.google.com/spreadsheets/d/1ItG2mGa2ceCfYo0BwxsXqNm01IGEUdYcSSLTEv9YCik/edit?usp=sharing"",""เบิกจ่ายกองทุน!L72"")"),196020)</f>
        <v>196020</v>
      </c>
      <c r="R696" s="74">
        <f ca="1">IFERROR(__xludf.DUMMYFUNCTION("IMPORTRANGE(""https://docs.google.com/spreadsheets/d/1ItG2mGa2ceCfYo0BwxsXqNm01IGEUdYcSSLTEv9YCik/edit?usp=sharing"",""เบิกจ่ายกองทุน!M72"")"),196020)</f>
        <v>196020</v>
      </c>
      <c r="S696" s="74">
        <f ca="1">IFERROR(__xludf.DUMMYFUNCTION("IMPORTRANGE(""https://docs.google.com/spreadsheets/d/1ItG2mGa2ceCfYo0BwxsXqNm01IGEUdYcSSLTEv9YCik/edit?usp=sharing"",""เบิกจ่ายกองทุน!N72"")"),0)</f>
        <v>0</v>
      </c>
      <c r="T696" s="74">
        <f t="shared" ca="1" si="415"/>
        <v>0</v>
      </c>
      <c r="U696" s="74">
        <f t="shared" ca="1" si="416"/>
        <v>0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3">
        <f t="shared" ref="L697:N697" si="421">L698+L699</f>
        <v>0</v>
      </c>
      <c r="M697" s="74">
        <f t="shared" si="421"/>
        <v>0</v>
      </c>
      <c r="N697" s="74">
        <f t="shared" si="421"/>
        <v>0</v>
      </c>
      <c r="O697" s="74">
        <f t="shared" si="412"/>
        <v>0</v>
      </c>
      <c r="P697" s="74">
        <f t="shared" si="413"/>
        <v>0</v>
      </c>
      <c r="Q697" s="74">
        <f t="shared" ref="Q697:S697" si="422">Q698+Q699</f>
        <v>0</v>
      </c>
      <c r="R697" s="74">
        <f t="shared" si="422"/>
        <v>0</v>
      </c>
      <c r="S697" s="74">
        <f t="shared" si="422"/>
        <v>0</v>
      </c>
      <c r="T697" s="74">
        <f t="shared" si="415"/>
        <v>0</v>
      </c>
      <c r="U697" s="74">
        <f t="shared" si="416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77">
        <f t="shared" si="412"/>
        <v>0</v>
      </c>
      <c r="P698" s="77">
        <f t="shared" si="413"/>
        <v>0</v>
      </c>
      <c r="Q698" s="77">
        <v>0</v>
      </c>
      <c r="R698" s="77">
        <v>0</v>
      </c>
      <c r="S698" s="77">
        <v>0</v>
      </c>
      <c r="T698" s="77">
        <f t="shared" si="415"/>
        <v>0</v>
      </c>
      <c r="U698" s="77">
        <f t="shared" si="416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74">
        <f t="shared" si="412"/>
        <v>0</v>
      </c>
      <c r="P699" s="74">
        <f t="shared" si="413"/>
        <v>0</v>
      </c>
      <c r="Q699" s="74">
        <v>0</v>
      </c>
      <c r="R699" s="74">
        <v>0</v>
      </c>
      <c r="S699" s="74">
        <v>0</v>
      </c>
      <c r="T699" s="74">
        <f t="shared" si="415"/>
        <v>0</v>
      </c>
      <c r="U699" s="74">
        <f t="shared" si="416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IFERROR(__xludf.DUMMYFUNCTION("IMPORTRANGE(""https://docs.google.com/spreadsheets/d/1eHaY18a8A9IcSdp1K8H6x8fbOy06t2VsZHhMHf-1x7Y/edit?usp=sharing"",""แผน!LC72"")"),0)</f>
        <v>0</v>
      </c>
      <c r="J701" s="294">
        <v>0</v>
      </c>
      <c r="K701" s="768">
        <f t="shared" ref="K701:K711" ca="1" si="423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t="shared" ref="I702:J702" ca="1" si="424">I704+I706</f>
        <v>80</v>
      </c>
      <c r="J702" s="622">
        <f t="shared" ca="1" si="424"/>
        <v>55</v>
      </c>
      <c r="K702" s="264">
        <f t="shared" ca="1" si="423"/>
        <v>68.75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15.77</v>
      </c>
      <c r="K703" s="264">
        <f t="shared" si="423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IFERROR(__xludf.DUMMYFUNCTION("IMPORTRANGE(""https://docs.google.com/spreadsheets/d/1eHaY18a8A9IcSdp1K8H6x8fbOy06t2VsZHhMHf-1x7Y/edit?usp=sharing"",""แผน!LJ72"")"),80)</f>
        <v>80</v>
      </c>
      <c r="J704" s="293">
        <f ca="1">IFERROR(__xludf.DUMMYFUNCTION("IMPORTRANGE(""https://docs.google.com/spreadsheets/d/1tdoBKaGub7dwA3U6UFTqxio9LNnvDCQjHKmttSEBsFQ/edit?usp=sharing"",""จัดที่ดิน!AP72"")"),55)</f>
        <v>55</v>
      </c>
      <c r="K704" s="74">
        <f t="shared" ca="1" si="423"/>
        <v>68.75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IFERROR(__xludf.DUMMYFUNCTION("IMPORTRANGE(""https://docs.google.com/spreadsheets/d/1tdoBKaGub7dwA3U6UFTqxio9LNnvDCQjHKmttSEBsFQ/edit?usp=sharing"",""จัดที่ดิน!AQ72"")"),15.77)</f>
        <v>15.77</v>
      </c>
      <c r="K705" s="74">
        <f t="shared" si="423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IFERROR(__xludf.DUMMYFUNCTION("IMPORTRANGE(""https://docs.google.com/spreadsheets/d/1eHaY18a8A9IcSdp1K8H6x8fbOy06t2VsZHhMHf-1x7Y/edit?usp=sharing"",""แผน!LK72"")"),0)</f>
        <v>0</v>
      </c>
      <c r="J706" s="293">
        <f ca="1">IFERROR(__xludf.DUMMYFUNCTION("IMPORTRANGE(""https://docs.google.com/spreadsheets/d/1tdoBKaGub7dwA3U6UFTqxio9LNnvDCQjHKmttSEBsFQ/edit?usp=sharing"",""จัดที่ดิน!AR72"")"),0)</f>
        <v>0</v>
      </c>
      <c r="K706" s="768">
        <f t="shared" ca="1" si="423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IFERROR(__xludf.DUMMYFUNCTION("IMPORTRANGE(""https://docs.google.com/spreadsheets/d/1tdoBKaGub7dwA3U6UFTqxio9LNnvDCQjHKmttSEBsFQ/edit?usp=sharing"",""จัดที่ดิน!AS72"")"),0)</f>
        <v>0</v>
      </c>
      <c r="K707" s="74">
        <f t="shared" si="423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IFERROR(__xludf.DUMMYFUNCTION("IMPORTRANGE(""https://docs.google.com/spreadsheets/d/1eHaY18a8A9IcSdp1K8H6x8fbOy06t2VsZHhMHf-1x7Y/edit?usp=sharing"",""แผน!LJ72"")"),80)</f>
        <v>80</v>
      </c>
      <c r="J708" s="293">
        <f ca="1">IFERROR(__xludf.DUMMYFUNCTION("IMPORTRANGE(""https://docs.google.com/spreadsheets/d/1tdoBKaGub7dwA3U6UFTqxio9LNnvDCQjHKmttSEBsFQ/edit?usp=sharing"",""จัดที่ดิน!BN72"")"),55)</f>
        <v>55</v>
      </c>
      <c r="K708" s="74">
        <f t="shared" ca="1" si="423"/>
        <v>68.75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IFERROR(__xludf.DUMMYFUNCTION("IMPORTRANGE(""https://docs.google.com/spreadsheets/d/1tdoBKaGub7dwA3U6UFTqxio9LNnvDCQjHKmttSEBsFQ/edit?usp=sharing"",""จัดที่ดิน!BO72"")"),16)</f>
        <v>16</v>
      </c>
      <c r="K709" s="74">
        <f t="shared" si="423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IFERROR(__xludf.DUMMYFUNCTION("IMPORTRANGE(""https://docs.google.com/spreadsheets/d/1eHaY18a8A9IcSdp1K8H6x8fbOy06t2VsZHhMHf-1x7Y/edit?usp=sharing"",""แผน!LK72"")"),0)</f>
        <v>0</v>
      </c>
      <c r="J710" s="293">
        <f ca="1">IFERROR(__xludf.DUMMYFUNCTION("IMPORTRANGE(""https://docs.google.com/spreadsheets/d/1tdoBKaGub7dwA3U6UFTqxio9LNnvDCQjHKmttSEBsFQ/edit?usp=sharing"",""จัดที่ดิน!BP72"")"),0)</f>
        <v>0</v>
      </c>
      <c r="K710" s="74">
        <f t="shared" ca="1" si="423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IFERROR(__xludf.DUMMYFUNCTION("IMPORTRANGE(""https://docs.google.com/spreadsheets/d/1tdoBKaGub7dwA3U6UFTqxio9LNnvDCQjHKmttSEBsFQ/edit?usp=sharing"",""จัดที่ดิน!BQ72"")"),0)</f>
        <v>0</v>
      </c>
      <c r="K711" s="74">
        <f t="shared" si="423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1257">
        <f t="shared" ref="L715:N715" si="425">L716+L717</f>
        <v>0</v>
      </c>
      <c r="M715" s="264">
        <f t="shared" si="425"/>
        <v>0</v>
      </c>
      <c r="N715" s="264">
        <f t="shared" si="425"/>
        <v>0</v>
      </c>
      <c r="O715" s="264">
        <f t="shared" ref="O715:O723" si="426">IF(L715&gt;0,N715*100/L715,0)</f>
        <v>0</v>
      </c>
      <c r="P715" s="264">
        <f t="shared" ref="P715:P723" si="427">IF(M715&gt;0,N715*100/M715,0)</f>
        <v>0</v>
      </c>
      <c r="Q715" s="264">
        <f t="shared" ref="Q715:S715" si="428">Q716+Q717</f>
        <v>0</v>
      </c>
      <c r="R715" s="264">
        <f t="shared" si="428"/>
        <v>0</v>
      </c>
      <c r="S715" s="264">
        <f t="shared" si="428"/>
        <v>0</v>
      </c>
      <c r="T715" s="264">
        <f t="shared" ref="T715:T723" si="429">IF(Q715&gt;0,S715*100/Q715,0)</f>
        <v>0</v>
      </c>
      <c r="U715" s="264">
        <f t="shared" ref="U715:U723" si="430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6">
        <f t="shared" ref="L716:N717" si="431">L719+L722</f>
        <v>0</v>
      </c>
      <c r="M716" s="77">
        <f t="shared" si="431"/>
        <v>0</v>
      </c>
      <c r="N716" s="77">
        <f t="shared" si="431"/>
        <v>0</v>
      </c>
      <c r="O716" s="77">
        <f t="shared" si="426"/>
        <v>0</v>
      </c>
      <c r="P716" s="77">
        <f t="shared" si="427"/>
        <v>0</v>
      </c>
      <c r="Q716" s="77">
        <f t="shared" ref="Q716:S717" si="432">Q719+Q722</f>
        <v>0</v>
      </c>
      <c r="R716" s="77">
        <f t="shared" si="432"/>
        <v>0</v>
      </c>
      <c r="S716" s="77">
        <f t="shared" si="432"/>
        <v>0</v>
      </c>
      <c r="T716" s="77">
        <f t="shared" si="429"/>
        <v>0</v>
      </c>
      <c r="U716" s="77">
        <f t="shared" si="430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3">
        <f t="shared" si="431"/>
        <v>0</v>
      </c>
      <c r="M717" s="74">
        <f t="shared" si="431"/>
        <v>0</v>
      </c>
      <c r="N717" s="74">
        <f t="shared" si="431"/>
        <v>0</v>
      </c>
      <c r="O717" s="74">
        <f t="shared" si="426"/>
        <v>0</v>
      </c>
      <c r="P717" s="74">
        <f t="shared" si="427"/>
        <v>0</v>
      </c>
      <c r="Q717" s="74">
        <f t="shared" si="432"/>
        <v>0</v>
      </c>
      <c r="R717" s="74">
        <f t="shared" si="432"/>
        <v>0</v>
      </c>
      <c r="S717" s="74">
        <f t="shared" si="432"/>
        <v>0</v>
      </c>
      <c r="T717" s="74">
        <f t="shared" si="429"/>
        <v>0</v>
      </c>
      <c r="U717" s="74">
        <f t="shared" si="430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3">
        <f t="shared" ref="L718:N718" si="433">L719+L720</f>
        <v>0</v>
      </c>
      <c r="M718" s="74">
        <f t="shared" si="433"/>
        <v>0</v>
      </c>
      <c r="N718" s="74">
        <f t="shared" si="433"/>
        <v>0</v>
      </c>
      <c r="O718" s="74">
        <f t="shared" si="426"/>
        <v>0</v>
      </c>
      <c r="P718" s="74">
        <f t="shared" si="427"/>
        <v>0</v>
      </c>
      <c r="Q718" s="74">
        <f t="shared" ref="Q718:S718" si="434">Q719+Q720</f>
        <v>0</v>
      </c>
      <c r="R718" s="74">
        <f t="shared" si="434"/>
        <v>0</v>
      </c>
      <c r="S718" s="74">
        <f t="shared" si="434"/>
        <v>0</v>
      </c>
      <c r="T718" s="74">
        <f t="shared" si="429"/>
        <v>0</v>
      </c>
      <c r="U718" s="74">
        <f t="shared" si="430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77">
        <f t="shared" si="426"/>
        <v>0</v>
      </c>
      <c r="P719" s="77">
        <f t="shared" si="427"/>
        <v>0</v>
      </c>
      <c r="Q719" s="77">
        <v>0</v>
      </c>
      <c r="R719" s="77">
        <v>0</v>
      </c>
      <c r="S719" s="77">
        <v>0</v>
      </c>
      <c r="T719" s="77">
        <f t="shared" si="429"/>
        <v>0</v>
      </c>
      <c r="U719" s="77">
        <f t="shared" si="430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74">
        <f t="shared" si="426"/>
        <v>0</v>
      </c>
      <c r="P720" s="74">
        <f t="shared" si="427"/>
        <v>0</v>
      </c>
      <c r="Q720" s="74">
        <v>0</v>
      </c>
      <c r="R720" s="74">
        <v>0</v>
      </c>
      <c r="S720" s="74">
        <v>0</v>
      </c>
      <c r="T720" s="74">
        <f t="shared" si="429"/>
        <v>0</v>
      </c>
      <c r="U720" s="74">
        <f t="shared" si="430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3">
        <f t="shared" ref="L721:N721" si="435">L722+L723</f>
        <v>0</v>
      </c>
      <c r="M721" s="74">
        <f t="shared" si="435"/>
        <v>0</v>
      </c>
      <c r="N721" s="74">
        <f t="shared" si="435"/>
        <v>0</v>
      </c>
      <c r="O721" s="74">
        <f t="shared" si="426"/>
        <v>0</v>
      </c>
      <c r="P721" s="74">
        <f t="shared" si="427"/>
        <v>0</v>
      </c>
      <c r="Q721" s="74">
        <f t="shared" ref="Q721:S721" si="436">Q722+Q723</f>
        <v>0</v>
      </c>
      <c r="R721" s="74">
        <f t="shared" si="436"/>
        <v>0</v>
      </c>
      <c r="S721" s="74">
        <f t="shared" si="436"/>
        <v>0</v>
      </c>
      <c r="T721" s="74">
        <f t="shared" si="429"/>
        <v>0</v>
      </c>
      <c r="U721" s="74">
        <f t="shared" si="430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77">
        <f t="shared" si="426"/>
        <v>0</v>
      </c>
      <c r="P722" s="77">
        <f t="shared" si="427"/>
        <v>0</v>
      </c>
      <c r="Q722" s="77">
        <v>0</v>
      </c>
      <c r="R722" s="77">
        <v>0</v>
      </c>
      <c r="S722" s="77">
        <v>0</v>
      </c>
      <c r="T722" s="77">
        <f t="shared" si="429"/>
        <v>0</v>
      </c>
      <c r="U722" s="77">
        <f t="shared" si="430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74">
        <f t="shared" si="426"/>
        <v>0</v>
      </c>
      <c r="P723" s="74">
        <f t="shared" si="427"/>
        <v>0</v>
      </c>
      <c r="Q723" s="74">
        <v>0</v>
      </c>
      <c r="R723" s="74">
        <v>0</v>
      </c>
      <c r="S723" s="74">
        <v>0</v>
      </c>
      <c r="T723" s="74">
        <f t="shared" si="429"/>
        <v>0</v>
      </c>
      <c r="U723" s="74">
        <f t="shared" si="430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IFERROR(__xludf.DUMMYFUNCTION("IMPORTRANGE(""https://docs.google.com/spreadsheets/d/1eHaY18a8A9IcSdp1K8H6x8fbOy06t2VsZHhMHf-1x7Y/edit?usp=sharing"",""แผน!GA72"")"),31)</f>
        <v>31</v>
      </c>
      <c r="J727" s="781">
        <f>J743+J747+J750</f>
        <v>0</v>
      </c>
      <c r="K727" s="766">
        <f t="shared" ref="K727:K728" ca="1" si="437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IFERROR(__xludf.DUMMYFUNCTION("IMPORTRANGE(""https://docs.google.com/spreadsheets/d/1eHaY18a8A9IcSdp1K8H6x8fbOy06t2VsZHhMHf-1x7Y/edit?usp=sharing"",""แผน!FZ72"")"),300)</f>
        <v>300</v>
      </c>
      <c r="J728" s="781">
        <f>J753+J756</f>
        <v>0</v>
      </c>
      <c r="K728" s="766">
        <f t="shared" ca="1" si="437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1257">
        <f t="shared" ref="L729:N729" si="438">L730+L731</f>
        <v>0</v>
      </c>
      <c r="M729" s="264">
        <f t="shared" si="438"/>
        <v>0</v>
      </c>
      <c r="N729" s="264">
        <f t="shared" si="438"/>
        <v>0</v>
      </c>
      <c r="O729" s="264">
        <f t="shared" ref="O729:O737" si="439">IF(L729&gt;0,N729*100/L729,0)</f>
        <v>0</v>
      </c>
      <c r="P729" s="264">
        <f t="shared" ref="P729:P737" si="440">IF(M729&gt;0,N729*100/M729,0)</f>
        <v>0</v>
      </c>
      <c r="Q729" s="264">
        <f t="shared" ref="Q729:S729" ca="1" si="441">Q730+Q731</f>
        <v>242546</v>
      </c>
      <c r="R729" s="264">
        <f t="shared" ca="1" si="441"/>
        <v>242546</v>
      </c>
      <c r="S729" s="264">
        <f t="shared" ca="1" si="441"/>
        <v>0</v>
      </c>
      <c r="T729" s="264">
        <f t="shared" ref="T729:T737" ca="1" si="442">IF(Q729&gt;0,S729*100/Q729,0)</f>
        <v>0</v>
      </c>
      <c r="U729" s="264">
        <f t="shared" ref="U729:U737" ca="1" si="443">IF(R729&gt;0,S729*100/R729,0)</f>
        <v>0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6">
        <f t="shared" ref="L730:N731" si="444">L733+L736</f>
        <v>0</v>
      </c>
      <c r="M730" s="77">
        <f t="shared" si="444"/>
        <v>0</v>
      </c>
      <c r="N730" s="77">
        <f t="shared" si="444"/>
        <v>0</v>
      </c>
      <c r="O730" s="77">
        <f t="shared" si="439"/>
        <v>0</v>
      </c>
      <c r="P730" s="77">
        <f t="shared" si="440"/>
        <v>0</v>
      </c>
      <c r="Q730" s="77">
        <f t="shared" ref="Q730:S731" si="445">Q733+Q736</f>
        <v>0</v>
      </c>
      <c r="R730" s="77">
        <f t="shared" si="445"/>
        <v>0</v>
      </c>
      <c r="S730" s="77">
        <f t="shared" si="445"/>
        <v>0</v>
      </c>
      <c r="T730" s="77">
        <f t="shared" si="442"/>
        <v>0</v>
      </c>
      <c r="U730" s="77">
        <f t="shared" si="443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3">
        <f t="shared" si="444"/>
        <v>0</v>
      </c>
      <c r="M731" s="74">
        <f t="shared" si="444"/>
        <v>0</v>
      </c>
      <c r="N731" s="74">
        <f t="shared" si="444"/>
        <v>0</v>
      </c>
      <c r="O731" s="74">
        <f t="shared" si="439"/>
        <v>0</v>
      </c>
      <c r="P731" s="74">
        <f t="shared" si="440"/>
        <v>0</v>
      </c>
      <c r="Q731" s="74">
        <f t="shared" ca="1" si="445"/>
        <v>242546</v>
      </c>
      <c r="R731" s="74">
        <f t="shared" ca="1" si="445"/>
        <v>242546</v>
      </c>
      <c r="S731" s="74">
        <f t="shared" ca="1" si="445"/>
        <v>0</v>
      </c>
      <c r="T731" s="74">
        <f t="shared" ca="1" si="442"/>
        <v>0</v>
      </c>
      <c r="U731" s="74">
        <f t="shared" ca="1" si="443"/>
        <v>0</v>
      </c>
    </row>
    <row r="732" spans="1:21" ht="18.75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3">
        <f t="shared" ref="L732:N732" si="446">L733+L734</f>
        <v>0</v>
      </c>
      <c r="M732" s="74">
        <f t="shared" si="446"/>
        <v>0</v>
      </c>
      <c r="N732" s="74">
        <f t="shared" si="446"/>
        <v>0</v>
      </c>
      <c r="O732" s="74">
        <f t="shared" si="439"/>
        <v>0</v>
      </c>
      <c r="P732" s="74">
        <f t="shared" si="440"/>
        <v>0</v>
      </c>
      <c r="Q732" s="74">
        <f t="shared" ref="Q732:S732" ca="1" si="447">Q733+Q734</f>
        <v>242546</v>
      </c>
      <c r="R732" s="74">
        <f t="shared" ca="1" si="447"/>
        <v>242546</v>
      </c>
      <c r="S732" s="74">
        <f t="shared" ca="1" si="447"/>
        <v>0</v>
      </c>
      <c r="T732" s="74">
        <f t="shared" ca="1" si="442"/>
        <v>0</v>
      </c>
      <c r="U732" s="74">
        <f t="shared" ca="1" si="443"/>
        <v>0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77">
        <f t="shared" si="439"/>
        <v>0</v>
      </c>
      <c r="P733" s="77">
        <f t="shared" si="440"/>
        <v>0</v>
      </c>
      <c r="Q733" s="77">
        <v>0</v>
      </c>
      <c r="R733" s="77">
        <v>0</v>
      </c>
      <c r="S733" s="77">
        <v>0</v>
      </c>
      <c r="T733" s="77">
        <f t="shared" si="442"/>
        <v>0</v>
      </c>
      <c r="U733" s="77">
        <f t="shared" si="443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74">
        <f t="shared" si="439"/>
        <v>0</v>
      </c>
      <c r="P734" s="74">
        <f t="shared" si="440"/>
        <v>0</v>
      </c>
      <c r="Q734" s="74">
        <f ca="1">IFERROR(__xludf.DUMMYFUNCTION("IMPORTRANGE(""https://docs.google.com/spreadsheets/d/1ItG2mGa2ceCfYo0BwxsXqNm01IGEUdYcSSLTEv9YCik/edit?usp=sharing"",""เบิกจ่ายกองทุน!O72"")"),242546)</f>
        <v>242546</v>
      </c>
      <c r="R734" s="74">
        <f ca="1">IFERROR(__xludf.DUMMYFUNCTION("IMPORTRANGE(""https://docs.google.com/spreadsheets/d/1ItG2mGa2ceCfYo0BwxsXqNm01IGEUdYcSSLTEv9YCik/edit?usp=sharing"",""เบิกจ่ายกองทุน!P72"")"),242546)</f>
        <v>242546</v>
      </c>
      <c r="S734" s="74">
        <f ca="1">IFERROR(__xludf.DUMMYFUNCTION("IMPORTRANGE(""https://docs.google.com/spreadsheets/d/1ItG2mGa2ceCfYo0BwxsXqNm01IGEUdYcSSLTEv9YCik/edit?usp=sharing"",""เบิกจ่ายกองทุน!Q72"")"),0)</f>
        <v>0</v>
      </c>
      <c r="T734" s="74">
        <f t="shared" ca="1" si="442"/>
        <v>0</v>
      </c>
      <c r="U734" s="74">
        <f t="shared" ca="1" si="443"/>
        <v>0</v>
      </c>
    </row>
    <row r="735" spans="1:21" ht="18.75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3">
        <f t="shared" ref="L735:N735" si="448">L736+L737</f>
        <v>0</v>
      </c>
      <c r="M735" s="74">
        <f t="shared" si="448"/>
        <v>0</v>
      </c>
      <c r="N735" s="74">
        <f t="shared" si="448"/>
        <v>0</v>
      </c>
      <c r="O735" s="74">
        <f t="shared" si="439"/>
        <v>0</v>
      </c>
      <c r="P735" s="74">
        <f t="shared" si="440"/>
        <v>0</v>
      </c>
      <c r="Q735" s="74">
        <f t="shared" ref="Q735:S735" si="449">Q736+Q737</f>
        <v>0</v>
      </c>
      <c r="R735" s="74">
        <f t="shared" si="449"/>
        <v>0</v>
      </c>
      <c r="S735" s="74">
        <f t="shared" si="449"/>
        <v>0</v>
      </c>
      <c r="T735" s="74">
        <f t="shared" si="442"/>
        <v>0</v>
      </c>
      <c r="U735" s="74">
        <f t="shared" si="443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77">
        <f t="shared" si="439"/>
        <v>0</v>
      </c>
      <c r="P736" s="77">
        <f t="shared" si="440"/>
        <v>0</v>
      </c>
      <c r="Q736" s="77">
        <v>0</v>
      </c>
      <c r="R736" s="77">
        <v>0</v>
      </c>
      <c r="S736" s="77">
        <v>0</v>
      </c>
      <c r="T736" s="77">
        <f t="shared" si="442"/>
        <v>0</v>
      </c>
      <c r="U736" s="77">
        <f t="shared" si="443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74">
        <f t="shared" si="439"/>
        <v>0</v>
      </c>
      <c r="P737" s="74">
        <f t="shared" si="440"/>
        <v>0</v>
      </c>
      <c r="Q737" s="74">
        <v>0</v>
      </c>
      <c r="R737" s="74">
        <v>0</v>
      </c>
      <c r="S737" s="74">
        <v>0</v>
      </c>
      <c r="T737" s="74">
        <f t="shared" si="442"/>
        <v>0</v>
      </c>
      <c r="U737" s="74">
        <f t="shared" si="443"/>
        <v>0</v>
      </c>
    </row>
    <row r="738" spans="1:21" ht="19.5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x14ac:dyDescent="0.25">
      <c r="A741" s="222"/>
      <c r="B741" s="223"/>
      <c r="C741" s="223"/>
      <c r="D741" s="223"/>
      <c r="E741" s="223"/>
      <c r="F741" s="1032" t="s">
        <v>271</v>
      </c>
      <c r="G741" s="227"/>
      <c r="H741" s="216" t="s">
        <v>46</v>
      </c>
      <c r="I741" s="321">
        <f ca="1">IFERROR(__xludf.DUMMYFUNCTION("IMPORTRANGE(""https://docs.google.com/spreadsheets/d/1eHaY18a8A9IcSdp1K8H6x8fbOy06t2VsZHhMHf-1x7Y/edit?usp=sharing"",""แผน!GB72"")"),240)</f>
        <v>240</v>
      </c>
      <c r="J741" s="884">
        <v>0</v>
      </c>
      <c r="K741" s="399">
        <f ca="1">IF(I741&gt;0,J741*100/I741,0)</f>
        <v>0</v>
      </c>
      <c r="L741" s="540"/>
      <c r="M741" s="72"/>
      <c r="N741" s="72"/>
      <c r="O741" s="72"/>
      <c r="P741" s="72"/>
      <c r="Q741" s="72"/>
      <c r="R741" s="72"/>
      <c r="S741" s="72"/>
      <c r="T741" s="72"/>
      <c r="U741" s="72"/>
    </row>
    <row r="742" spans="1:21" ht="18.75" x14ac:dyDescent="0.25">
      <c r="A742" s="222"/>
      <c r="B742" s="223"/>
      <c r="C742" s="223"/>
      <c r="D742" s="223"/>
      <c r="E742" s="223"/>
      <c r="F742" s="1032" t="s">
        <v>311</v>
      </c>
      <c r="G742" s="227"/>
      <c r="H742" s="216" t="s">
        <v>35</v>
      </c>
      <c r="I742" s="71"/>
      <c r="J742" s="884">
        <v>0</v>
      </c>
      <c r="K742" s="72"/>
      <c r="L742" s="540"/>
      <c r="M742" s="72"/>
      <c r="N742" s="72"/>
      <c r="O742" s="72"/>
      <c r="P742" s="72"/>
      <c r="Q742" s="72"/>
      <c r="R742" s="72"/>
      <c r="S742" s="72"/>
      <c r="T742" s="72"/>
      <c r="U742" s="72"/>
    </row>
    <row r="743" spans="1:21" ht="18.75" x14ac:dyDescent="0.25">
      <c r="A743" s="222"/>
      <c r="B743" s="223"/>
      <c r="C743" s="223"/>
      <c r="D743" s="223"/>
      <c r="E743" s="223"/>
      <c r="F743" s="1032" t="s">
        <v>312</v>
      </c>
      <c r="G743" s="227"/>
      <c r="H743" s="216" t="s">
        <v>35</v>
      </c>
      <c r="I743" s="321">
        <f ca="1">IFERROR(__xludf.DUMMYFUNCTION("IMPORTRANGE(""https://docs.google.com/spreadsheets/d/1eHaY18a8A9IcSdp1K8H6x8fbOy06t2VsZHhMHf-1x7Y/edit?usp=sharing"",""แผน!GC72"")"),24)</f>
        <v>24</v>
      </c>
      <c r="J743" s="884">
        <v>0</v>
      </c>
      <c r="K743" s="399">
        <f ca="1">IF(I743&gt;0,J743*100/I743,0)</f>
        <v>0</v>
      </c>
      <c r="L743" s="540"/>
      <c r="M743" s="72"/>
      <c r="N743" s="72"/>
      <c r="O743" s="72"/>
      <c r="P743" s="72"/>
      <c r="Q743" s="72"/>
      <c r="R743" s="72"/>
      <c r="S743" s="72"/>
      <c r="T743" s="72"/>
      <c r="U743" s="72"/>
    </row>
    <row r="744" spans="1:21" ht="18.75" x14ac:dyDescent="0.25">
      <c r="A744" s="222"/>
      <c r="B744" s="223"/>
      <c r="C744" s="223"/>
      <c r="D744" s="223"/>
      <c r="E744" s="1032" t="s">
        <v>274</v>
      </c>
      <c r="F744" s="223"/>
      <c r="G744" s="227"/>
      <c r="H744" s="1033"/>
      <c r="I744" s="71"/>
      <c r="J744" s="71"/>
      <c r="K744" s="72"/>
      <c r="L744" s="540"/>
      <c r="M744" s="72"/>
      <c r="N744" s="72"/>
      <c r="O744" s="72"/>
      <c r="P744" s="72"/>
      <c r="Q744" s="72"/>
      <c r="R744" s="72"/>
      <c r="S744" s="72"/>
      <c r="T744" s="72"/>
      <c r="U744" s="72"/>
    </row>
    <row r="745" spans="1:21" ht="18.75" x14ac:dyDescent="0.25">
      <c r="A745" s="222"/>
      <c r="B745" s="223"/>
      <c r="C745" s="223"/>
      <c r="D745" s="223"/>
      <c r="E745" s="223"/>
      <c r="F745" s="1032" t="s">
        <v>271</v>
      </c>
      <c r="G745" s="227"/>
      <c r="H745" s="216" t="s">
        <v>46</v>
      </c>
      <c r="I745" s="321">
        <f ca="1">IFERROR(__xludf.DUMMYFUNCTION("IMPORTRANGE(""https://docs.google.com/spreadsheets/d/1eHaY18a8A9IcSdp1K8H6x8fbOy06t2VsZHhMHf-1x7Y/edit?usp=sharing"",""แผน!GD72"")"),60)</f>
        <v>60</v>
      </c>
      <c r="J745" s="884">
        <v>0</v>
      </c>
      <c r="K745" s="399">
        <f ca="1">IF(I745&gt;0,J745*100/I745,0)</f>
        <v>0</v>
      </c>
      <c r="L745" s="540"/>
      <c r="M745" s="72"/>
      <c r="N745" s="72"/>
      <c r="O745" s="72"/>
      <c r="P745" s="72"/>
      <c r="Q745" s="72"/>
      <c r="R745" s="72"/>
      <c r="S745" s="72"/>
      <c r="T745" s="72"/>
      <c r="U745" s="72"/>
    </row>
    <row r="746" spans="1:21" ht="18.75" x14ac:dyDescent="0.25">
      <c r="A746" s="222"/>
      <c r="B746" s="223"/>
      <c r="C746" s="223"/>
      <c r="D746" s="223"/>
      <c r="E746" s="223"/>
      <c r="F746" s="1032" t="s">
        <v>313</v>
      </c>
      <c r="G746" s="227"/>
      <c r="H746" s="216" t="s">
        <v>35</v>
      </c>
      <c r="I746" s="71"/>
      <c r="J746" s="884">
        <v>0</v>
      </c>
      <c r="K746" s="72"/>
      <c r="L746" s="540"/>
      <c r="M746" s="72"/>
      <c r="N746" s="72"/>
      <c r="O746" s="72"/>
      <c r="P746" s="72"/>
      <c r="Q746" s="72"/>
      <c r="R746" s="72"/>
      <c r="S746" s="72"/>
      <c r="T746" s="72"/>
      <c r="U746" s="72"/>
    </row>
    <row r="747" spans="1:21" ht="18.75" x14ac:dyDescent="0.25">
      <c r="A747" s="222"/>
      <c r="B747" s="223"/>
      <c r="C747" s="223"/>
      <c r="D747" s="223"/>
      <c r="E747" s="223"/>
      <c r="F747" s="1032" t="s">
        <v>314</v>
      </c>
      <c r="G747" s="227"/>
      <c r="H747" s="216" t="s">
        <v>35</v>
      </c>
      <c r="I747" s="321">
        <f ca="1">IFERROR(__xludf.DUMMYFUNCTION("IMPORTRANGE(""https://docs.google.com/spreadsheets/d/1eHaY18a8A9IcSdp1K8H6x8fbOy06t2VsZHhMHf-1x7Y/edit?usp=sharing"",""แผน!GE72"")"),6)</f>
        <v>6</v>
      </c>
      <c r="J747" s="884">
        <v>0</v>
      </c>
      <c r="K747" s="399">
        <f ca="1">IF(I747&gt;0,J747*100/I747,0)</f>
        <v>0</v>
      </c>
      <c r="L747" s="540"/>
      <c r="M747" s="72"/>
      <c r="N747" s="72"/>
      <c r="O747" s="72"/>
      <c r="P747" s="72"/>
      <c r="Q747" s="72"/>
      <c r="R747" s="72"/>
      <c r="S747" s="72"/>
      <c r="T747" s="72"/>
      <c r="U747" s="72"/>
    </row>
    <row r="748" spans="1:21" ht="18.75" x14ac:dyDescent="0.25">
      <c r="A748" s="222"/>
      <c r="B748" s="223"/>
      <c r="C748" s="223"/>
      <c r="D748" s="223"/>
      <c r="E748" s="1032" t="s">
        <v>277</v>
      </c>
      <c r="F748" s="231"/>
      <c r="G748" s="227"/>
      <c r="H748" s="1033"/>
      <c r="I748" s="71"/>
      <c r="J748" s="71"/>
      <c r="K748" s="72"/>
      <c r="L748" s="540"/>
      <c r="M748" s="72"/>
      <c r="N748" s="72"/>
      <c r="O748" s="72"/>
      <c r="P748" s="72"/>
      <c r="Q748" s="72"/>
      <c r="R748" s="72"/>
      <c r="S748" s="72"/>
      <c r="T748" s="72"/>
      <c r="U748" s="72"/>
    </row>
    <row r="749" spans="1:21" ht="18.75" x14ac:dyDescent="0.25">
      <c r="A749" s="222"/>
      <c r="B749" s="223"/>
      <c r="C749" s="223"/>
      <c r="D749" s="223"/>
      <c r="E749" s="223"/>
      <c r="F749" s="1032" t="s">
        <v>315</v>
      </c>
      <c r="G749" s="227"/>
      <c r="H749" s="216" t="s">
        <v>35</v>
      </c>
      <c r="I749" s="71"/>
      <c r="J749" s="884">
        <v>0</v>
      </c>
      <c r="K749" s="72"/>
      <c r="L749" s="540"/>
      <c r="M749" s="72"/>
      <c r="N749" s="72"/>
      <c r="O749" s="72"/>
      <c r="P749" s="72"/>
      <c r="Q749" s="72"/>
      <c r="R749" s="72"/>
      <c r="S749" s="72"/>
      <c r="T749" s="72"/>
      <c r="U749" s="72"/>
    </row>
    <row r="750" spans="1:21" ht="18.75" x14ac:dyDescent="0.25">
      <c r="A750" s="222"/>
      <c r="B750" s="223"/>
      <c r="C750" s="223"/>
      <c r="D750" s="223"/>
      <c r="E750" s="223"/>
      <c r="F750" s="1032" t="s">
        <v>316</v>
      </c>
      <c r="G750" s="227"/>
      <c r="H750" s="216" t="s">
        <v>35</v>
      </c>
      <c r="I750" s="321">
        <f ca="1">IFERROR(__xludf.DUMMYFUNCTION("IMPORTRANGE(""https://docs.google.com/spreadsheets/d/1eHaY18a8A9IcSdp1K8H6x8fbOy06t2VsZHhMHf-1x7Y/edit?usp=sharing"",""แผน!GF72"")"),1)</f>
        <v>1</v>
      </c>
      <c r="J750" s="884">
        <v>0</v>
      </c>
      <c r="K750" s="399">
        <f ca="1">IF(I750&gt;0,J750*100/I750,0)</f>
        <v>0</v>
      </c>
      <c r="L750" s="540"/>
      <c r="M750" s="72"/>
      <c r="N750" s="72"/>
      <c r="O750" s="72"/>
      <c r="P750" s="72"/>
      <c r="Q750" s="72"/>
      <c r="R750" s="72"/>
      <c r="S750" s="72"/>
      <c r="T750" s="72"/>
      <c r="U750" s="72"/>
    </row>
    <row r="751" spans="1:21" ht="19.5" x14ac:dyDescent="0.3">
      <c r="A751" s="222"/>
      <c r="B751" s="223"/>
      <c r="C751" s="223"/>
      <c r="D751" s="1034" t="s">
        <v>50</v>
      </c>
      <c r="E751" s="223"/>
      <c r="F751" s="231"/>
      <c r="G751" s="227"/>
      <c r="H751" s="1033"/>
      <c r="I751" s="71"/>
      <c r="J751" s="71"/>
      <c r="K751" s="72"/>
      <c r="L751" s="540"/>
      <c r="M751" s="72"/>
      <c r="N751" s="72"/>
      <c r="O751" s="72"/>
      <c r="P751" s="72"/>
      <c r="Q751" s="72"/>
      <c r="R751" s="72"/>
      <c r="S751" s="72"/>
      <c r="T751" s="72"/>
      <c r="U751" s="72"/>
    </row>
    <row r="752" spans="1:21" ht="18.75" x14ac:dyDescent="0.25">
      <c r="A752" s="222"/>
      <c r="B752" s="223"/>
      <c r="C752" s="223"/>
      <c r="D752" s="223"/>
      <c r="E752" s="1032" t="s">
        <v>270</v>
      </c>
      <c r="F752" s="231"/>
      <c r="G752" s="227"/>
      <c r="H752" s="1033"/>
      <c r="I752" s="71"/>
      <c r="J752" s="71"/>
      <c r="K752" s="72"/>
      <c r="L752" s="540"/>
      <c r="M752" s="72"/>
      <c r="N752" s="72"/>
      <c r="O752" s="72"/>
      <c r="P752" s="72"/>
      <c r="Q752" s="72"/>
      <c r="R752" s="72"/>
      <c r="S752" s="72"/>
      <c r="T752" s="72"/>
      <c r="U752" s="72"/>
    </row>
    <row r="753" spans="1:21" ht="18.75" x14ac:dyDescent="0.25">
      <c r="A753" s="222"/>
      <c r="B753" s="223"/>
      <c r="C753" s="223"/>
      <c r="D753" s="223"/>
      <c r="E753" s="223"/>
      <c r="F753" s="395" t="s">
        <v>317</v>
      </c>
      <c r="G753" s="227"/>
      <c r="H753" s="216" t="s">
        <v>46</v>
      </c>
      <c r="I753" s="321">
        <f ca="1">IFERROR(__xludf.DUMMYFUNCTION("IMPORTRANGE(""https://docs.google.com/spreadsheets/d/1eHaY18a8A9IcSdp1K8H6x8fbOy06t2VsZHhMHf-1x7Y/edit?usp=sharing"",""แผน!GC72"")"),24)</f>
        <v>24</v>
      </c>
      <c r="J753" s="884">
        <v>0</v>
      </c>
      <c r="K753" s="399">
        <f ca="1">IF(I753&gt;0,J753*100/I753,0)</f>
        <v>0</v>
      </c>
      <c r="L753" s="540"/>
      <c r="M753" s="72"/>
      <c r="N753" s="72"/>
      <c r="O753" s="72"/>
      <c r="P753" s="72"/>
      <c r="Q753" s="72"/>
      <c r="R753" s="72"/>
      <c r="S753" s="72"/>
      <c r="T753" s="72"/>
      <c r="U753" s="72"/>
    </row>
    <row r="754" spans="1:21" ht="18.75" x14ac:dyDescent="0.25">
      <c r="A754" s="222"/>
      <c r="B754" s="223"/>
      <c r="C754" s="223"/>
      <c r="D754" s="223"/>
      <c r="E754" s="223"/>
      <c r="F754" s="395" t="s">
        <v>318</v>
      </c>
      <c r="G754" s="227"/>
      <c r="H754" s="216" t="s">
        <v>46</v>
      </c>
      <c r="I754" s="71"/>
      <c r="J754" s="884">
        <v>0</v>
      </c>
      <c r="K754" s="72"/>
      <c r="L754" s="540"/>
      <c r="M754" s="72"/>
      <c r="N754" s="72"/>
      <c r="O754" s="72"/>
      <c r="P754" s="72"/>
      <c r="Q754" s="72"/>
      <c r="R754" s="72"/>
      <c r="S754" s="72"/>
      <c r="T754" s="72"/>
      <c r="U754" s="72"/>
    </row>
    <row r="755" spans="1:21" ht="18.75" x14ac:dyDescent="0.25">
      <c r="A755" s="222"/>
      <c r="B755" s="223"/>
      <c r="C755" s="223"/>
      <c r="D755" s="223"/>
      <c r="E755" s="1032" t="s">
        <v>274</v>
      </c>
      <c r="F755" s="231"/>
      <c r="G755" s="227"/>
      <c r="H755" s="1033"/>
      <c r="I755" s="71"/>
      <c r="J755" s="71"/>
      <c r="K755" s="72"/>
      <c r="L755" s="540"/>
      <c r="M755" s="72"/>
      <c r="N755" s="72"/>
      <c r="O755" s="72"/>
      <c r="P755" s="72"/>
      <c r="Q755" s="72"/>
      <c r="R755" s="72"/>
      <c r="S755" s="72"/>
      <c r="T755" s="72"/>
      <c r="U755" s="72"/>
    </row>
    <row r="756" spans="1:21" ht="18.75" x14ac:dyDescent="0.25">
      <c r="A756" s="222"/>
      <c r="B756" s="223"/>
      <c r="C756" s="223"/>
      <c r="D756" s="223"/>
      <c r="E756" s="231"/>
      <c r="F756" s="395" t="s">
        <v>319</v>
      </c>
      <c r="G756" s="227"/>
      <c r="H756" s="216" t="s">
        <v>46</v>
      </c>
      <c r="I756" s="321">
        <f ca="1">IFERROR(__xludf.DUMMYFUNCTION("IMPORTRANGE(""https://docs.google.com/spreadsheets/d/1eHaY18a8A9IcSdp1K8H6x8fbOy06t2VsZHhMHf-1x7Y/edit?usp=sharing"",""แผน!GE72"")"),6)</f>
        <v>6</v>
      </c>
      <c r="J756" s="884">
        <v>0</v>
      </c>
      <c r="K756" s="399">
        <f ca="1">IF(I756&gt;0,J756*100/I756,0)</f>
        <v>0</v>
      </c>
      <c r="L756" s="540"/>
      <c r="M756" s="72"/>
      <c r="N756" s="72"/>
      <c r="O756" s="72"/>
      <c r="P756" s="72"/>
      <c r="Q756" s="72"/>
      <c r="R756" s="72"/>
      <c r="S756" s="72"/>
      <c r="T756" s="72"/>
      <c r="U756" s="72"/>
    </row>
    <row r="757" spans="1:21" ht="18.75" x14ac:dyDescent="0.25">
      <c r="A757" s="222"/>
      <c r="B757" s="223"/>
      <c r="C757" s="223"/>
      <c r="D757" s="223"/>
      <c r="E757" s="231"/>
      <c r="F757" s="395" t="s">
        <v>320</v>
      </c>
      <c r="G757" s="227"/>
      <c r="H757" s="216" t="s">
        <v>46</v>
      </c>
      <c r="I757" s="71"/>
      <c r="J757" s="884">
        <v>0</v>
      </c>
      <c r="K757" s="72"/>
      <c r="L757" s="540"/>
      <c r="M757" s="72"/>
      <c r="N757" s="72"/>
      <c r="O757" s="72"/>
      <c r="P757" s="72"/>
      <c r="Q757" s="72"/>
      <c r="R757" s="72"/>
      <c r="S757" s="72"/>
      <c r="T757" s="72"/>
      <c r="U757" s="72"/>
    </row>
    <row r="758" spans="1:21" ht="19.5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0">I772</f>
        <v>60</v>
      </c>
      <c r="J758" s="781">
        <f t="shared" si="450"/>
        <v>0</v>
      </c>
      <c r="K758" s="766">
        <f t="shared" ref="K758:K759" ca="1" si="451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2">I774</f>
        <v>100</v>
      </c>
      <c r="J759" s="781">
        <f t="shared" si="452"/>
        <v>0</v>
      </c>
      <c r="K759" s="766">
        <f t="shared" ca="1" si="451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1257">
        <f t="shared" ref="L760:N760" si="453">L761+L762</f>
        <v>0</v>
      </c>
      <c r="M760" s="264">
        <f t="shared" si="453"/>
        <v>0</v>
      </c>
      <c r="N760" s="264">
        <f t="shared" si="453"/>
        <v>0</v>
      </c>
      <c r="O760" s="264">
        <f t="shared" ref="O760:O768" si="454">IF(L760&gt;0,N760*100/L760,0)</f>
        <v>0</v>
      </c>
      <c r="P760" s="264">
        <f t="shared" ref="P760:P768" si="455">IF(M760&gt;0,N760*100/M760,0)</f>
        <v>0</v>
      </c>
      <c r="Q760" s="264">
        <f t="shared" ref="Q760:S760" ca="1" si="456">Q761+Q762</f>
        <v>413100</v>
      </c>
      <c r="R760" s="264">
        <f t="shared" ca="1" si="456"/>
        <v>413100</v>
      </c>
      <c r="S760" s="264">
        <f t="shared" ca="1" si="456"/>
        <v>14360</v>
      </c>
      <c r="T760" s="264">
        <f t="shared" ref="T760:T768" ca="1" si="457">IF(Q760&gt;0,S760*100/Q760,0)</f>
        <v>3.4761558944565483</v>
      </c>
      <c r="U760" s="264">
        <f t="shared" ref="U760:U768" ca="1" si="458">IF(R760&gt;0,S760*100/R760,0)</f>
        <v>3.4761558944565483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6">
        <f t="shared" ref="L761:N762" si="459">L764+L767</f>
        <v>0</v>
      </c>
      <c r="M761" s="77">
        <f t="shared" si="459"/>
        <v>0</v>
      </c>
      <c r="N761" s="77">
        <f t="shared" si="459"/>
        <v>0</v>
      </c>
      <c r="O761" s="77">
        <f t="shared" si="454"/>
        <v>0</v>
      </c>
      <c r="P761" s="77">
        <f t="shared" si="455"/>
        <v>0</v>
      </c>
      <c r="Q761" s="77">
        <f t="shared" ref="Q761:S762" si="460">Q764+Q767</f>
        <v>0</v>
      </c>
      <c r="R761" s="77">
        <f t="shared" si="460"/>
        <v>0</v>
      </c>
      <c r="S761" s="77">
        <f t="shared" si="460"/>
        <v>0</v>
      </c>
      <c r="T761" s="77">
        <f t="shared" si="457"/>
        <v>0</v>
      </c>
      <c r="U761" s="77">
        <f t="shared" si="458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3">
        <f t="shared" si="459"/>
        <v>0</v>
      </c>
      <c r="M762" s="74">
        <f t="shared" si="459"/>
        <v>0</v>
      </c>
      <c r="N762" s="74">
        <f t="shared" si="459"/>
        <v>0</v>
      </c>
      <c r="O762" s="74">
        <f t="shared" si="454"/>
        <v>0</v>
      </c>
      <c r="P762" s="74">
        <f t="shared" si="455"/>
        <v>0</v>
      </c>
      <c r="Q762" s="74">
        <f t="shared" ca="1" si="460"/>
        <v>413100</v>
      </c>
      <c r="R762" s="74">
        <f t="shared" ca="1" si="460"/>
        <v>413100</v>
      </c>
      <c r="S762" s="74">
        <f t="shared" ca="1" si="460"/>
        <v>14360</v>
      </c>
      <c r="T762" s="74">
        <f t="shared" ca="1" si="457"/>
        <v>3.4761558944565483</v>
      </c>
      <c r="U762" s="74">
        <f t="shared" ca="1" si="458"/>
        <v>3.4761558944565483</v>
      </c>
    </row>
    <row r="763" spans="1:21" ht="18.75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3">
        <f t="shared" ref="L763:N763" si="461">L764+L765</f>
        <v>0</v>
      </c>
      <c r="M763" s="74">
        <f t="shared" si="461"/>
        <v>0</v>
      </c>
      <c r="N763" s="74">
        <f t="shared" si="461"/>
        <v>0</v>
      </c>
      <c r="O763" s="74">
        <f t="shared" si="454"/>
        <v>0</v>
      </c>
      <c r="P763" s="74">
        <f t="shared" si="455"/>
        <v>0</v>
      </c>
      <c r="Q763" s="74">
        <f t="shared" ref="Q763:S763" ca="1" si="462">Q764+Q765</f>
        <v>413100</v>
      </c>
      <c r="R763" s="74">
        <f t="shared" ca="1" si="462"/>
        <v>413100</v>
      </c>
      <c r="S763" s="74">
        <f t="shared" ca="1" si="462"/>
        <v>14360</v>
      </c>
      <c r="T763" s="74">
        <f t="shared" ca="1" si="457"/>
        <v>3.4761558944565483</v>
      </c>
      <c r="U763" s="74">
        <f t="shared" ca="1" si="458"/>
        <v>3.4761558944565483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77">
        <f t="shared" si="454"/>
        <v>0</v>
      </c>
      <c r="P764" s="77">
        <f t="shared" si="455"/>
        <v>0</v>
      </c>
      <c r="Q764" s="77">
        <v>0</v>
      </c>
      <c r="R764" s="77">
        <v>0</v>
      </c>
      <c r="S764" s="77">
        <v>0</v>
      </c>
      <c r="T764" s="77">
        <f t="shared" si="457"/>
        <v>0</v>
      </c>
      <c r="U764" s="77">
        <f t="shared" si="458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74">
        <f t="shared" si="454"/>
        <v>0</v>
      </c>
      <c r="P765" s="74">
        <f t="shared" si="455"/>
        <v>0</v>
      </c>
      <c r="Q765" s="74">
        <f ca="1">IFERROR(__xludf.DUMMYFUNCTION("IMPORTRANGE(""https://docs.google.com/spreadsheets/d/1ItG2mGa2ceCfYo0BwxsXqNm01IGEUdYcSSLTEv9YCik/edit?usp=sharing"",""เบิกจ่ายกองทุน!U72"")"),413100)</f>
        <v>413100</v>
      </c>
      <c r="R765" s="74">
        <f ca="1">IFERROR(__xludf.DUMMYFUNCTION("IMPORTRANGE(""https://docs.google.com/spreadsheets/d/1ItG2mGa2ceCfYo0BwxsXqNm01IGEUdYcSSLTEv9YCik/edit?usp=sharing"",""เบิกจ่ายกองทุน!V72"")"),413100)</f>
        <v>413100</v>
      </c>
      <c r="S765" s="74">
        <f ca="1">IFERROR(__xludf.DUMMYFUNCTION("IMPORTRANGE(""https://docs.google.com/spreadsheets/d/1ItG2mGa2ceCfYo0BwxsXqNm01IGEUdYcSSLTEv9YCik/edit?usp=sharing"",""เบิกจ่ายกองทุน!W72"")"),14360)</f>
        <v>14360</v>
      </c>
      <c r="T765" s="74">
        <f t="shared" ca="1" si="457"/>
        <v>3.4761558944565483</v>
      </c>
      <c r="U765" s="74">
        <f t="shared" ca="1" si="458"/>
        <v>3.4761558944565483</v>
      </c>
    </row>
    <row r="766" spans="1:21" ht="18.75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3">
        <f t="shared" ref="L766:N766" si="463">L767+L768</f>
        <v>0</v>
      </c>
      <c r="M766" s="74">
        <f t="shared" si="463"/>
        <v>0</v>
      </c>
      <c r="N766" s="74">
        <f t="shared" si="463"/>
        <v>0</v>
      </c>
      <c r="O766" s="74">
        <f t="shared" si="454"/>
        <v>0</v>
      </c>
      <c r="P766" s="74">
        <f t="shared" si="455"/>
        <v>0</v>
      </c>
      <c r="Q766" s="74">
        <f t="shared" ref="Q766:S766" si="464">Q767+Q768</f>
        <v>0</v>
      </c>
      <c r="R766" s="74">
        <f t="shared" si="464"/>
        <v>0</v>
      </c>
      <c r="S766" s="74">
        <f t="shared" si="464"/>
        <v>0</v>
      </c>
      <c r="T766" s="74">
        <f t="shared" si="457"/>
        <v>0</v>
      </c>
      <c r="U766" s="74">
        <f t="shared" si="458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77">
        <f t="shared" si="454"/>
        <v>0</v>
      </c>
      <c r="P767" s="77">
        <f t="shared" si="455"/>
        <v>0</v>
      </c>
      <c r="Q767" s="77">
        <v>0</v>
      </c>
      <c r="R767" s="77">
        <v>0</v>
      </c>
      <c r="S767" s="77">
        <v>0</v>
      </c>
      <c r="T767" s="77">
        <f t="shared" si="457"/>
        <v>0</v>
      </c>
      <c r="U767" s="77">
        <f t="shared" si="458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74">
        <f t="shared" si="454"/>
        <v>0</v>
      </c>
      <c r="P768" s="74">
        <f t="shared" si="455"/>
        <v>0</v>
      </c>
      <c r="Q768" s="74">
        <v>0</v>
      </c>
      <c r="R768" s="74">
        <v>0</v>
      </c>
      <c r="S768" s="74">
        <v>0</v>
      </c>
      <c r="T768" s="74">
        <f t="shared" si="457"/>
        <v>0</v>
      </c>
      <c r="U768" s="74">
        <f t="shared" si="458"/>
        <v>0</v>
      </c>
    </row>
    <row r="769" spans="1:21" ht="19.5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IFERROR(__xludf.DUMMYFUNCTION("IMPORTRANGE(""https://docs.google.com/spreadsheets/d/1eHaY18a8A9IcSdp1K8H6x8fbOy06t2VsZHhMHf-1x7Y/edit?usp=sharing"",""แผน!FI72"")"),0)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IFERROR(__xludf.DUMMYFUNCTION("IMPORTRANGE(""https://docs.google.com/spreadsheets/d/1eHaY18a8A9IcSdp1K8H6x8fbOy06t2VsZHhMHf-1x7Y/edit?usp=sharing"",""แผน!FQ72"")"),60)</f>
        <v>60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IFERROR(__xludf.DUMMYFUNCTION("IMPORTRANGE(""https://docs.google.com/spreadsheets/d/1eHaY18a8A9IcSdp1K8H6x8fbOy06t2VsZHhMHf-1x7Y/edit?usp=sharing"",""แผน!FR72"")"),100)</f>
        <v>100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IFERROR(__xludf.DUMMYFUNCTION("IMPORTRANGE(""https://docs.google.com/spreadsheets/d/1eHaY18a8A9IcSdp1K8H6x8fbOy06t2VsZHhMHf-1x7Y/edit?usp=sharing"",""แผน!FS72"")"),100)</f>
        <v>100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IFERROR(__xludf.DUMMYFUNCTION("IMPORTRANGE(""https://docs.google.com/spreadsheets/d/1eHaY18a8A9IcSdp1K8H6x8fbOy06t2VsZHhMHf-1x7Y/edit?usp=sharing"",""แผน!FT72"")"),60)</f>
        <v>60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IFERROR(__xludf.DUMMYFUNCTION("IMPORTRANGE(""https://docs.google.com/spreadsheets/d/10OvvATaaLtwErnr3qtWFcTmtbfpFEt5Bsqel9sXx0uE/edit?usp=sharing"",""งานกองทุน!D72"")"),19135000)</f>
        <v>19135000</v>
      </c>
      <c r="J778" s="293">
        <f ca="1">IFERROR(__xludf.DUMMYFUNCTION("IMPORTRANGE(""https://docs.google.com/spreadsheets/d/10OvvATaaLtwErnr3qtWFcTmtbfpFEt5Bsqel9sXx0uE/edit?usp=sharing"",""งานกองทุน!F72"")"),2502200)</f>
        <v>2502200</v>
      </c>
      <c r="K778" s="74">
        <f t="shared" ref="K778:K785" ca="1" si="465">IF(I778&gt;0,J778*100/I778,0)</f>
        <v>13.076561275150247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IFERROR(__xludf.DUMMYFUNCTION("IMPORTRANGE(""https://docs.google.com/spreadsheets/d/10OvvATaaLtwErnr3qtWFcTmtbfpFEt5Bsqel9sXx0uE/edit?usp=sharing"",""งานกองทุน!C72"")"),457)</f>
        <v>457</v>
      </c>
      <c r="J779" s="293">
        <f ca="1">IFERROR(__xludf.DUMMYFUNCTION("IMPORTRANGE(""https://docs.google.com/spreadsheets/d/10OvvATaaLtwErnr3qtWFcTmtbfpFEt5Bsqel9sXx0uE/edit?usp=sharing"",""งานกองทุน!E72"")"),82)</f>
        <v>82</v>
      </c>
      <c r="K779" s="74">
        <f t="shared" ca="1" si="465"/>
        <v>17.943107221006564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IFERROR(__xludf.DUMMYFUNCTION("IMPORTRANGE(""https://docs.google.com/spreadsheets/d/10OvvATaaLtwErnr3qtWFcTmtbfpFEt5Bsqel9sXx0uE/edit?usp=sharing"",""งานกองทุน!I72"")"),4117594.02)</f>
        <v>4117594.02</v>
      </c>
      <c r="J780" s="293">
        <f ca="1">IFERROR(__xludf.DUMMYFUNCTION("IMPORTRANGE(""https://docs.google.com/spreadsheets/d/10OvvATaaLtwErnr3qtWFcTmtbfpFEt5Bsqel9sXx0uE/edit?usp=sharing"",""งานกองทุน!K72"")"),134086.49)</f>
        <v>134086.49</v>
      </c>
      <c r="K780" s="74">
        <f t="shared" ca="1" si="465"/>
        <v>3.2564281312998409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IFERROR(__xludf.DUMMYFUNCTION("IMPORTRANGE(""https://docs.google.com/spreadsheets/d/10OvvATaaLtwErnr3qtWFcTmtbfpFEt5Bsqel9sXx0uE/edit?usp=sharing"",""งานกองทุน!H72"")"),91)</f>
        <v>91</v>
      </c>
      <c r="J781" s="293">
        <f ca="1">IFERROR(__xludf.DUMMYFUNCTION("IMPORTRANGE(""https://docs.google.com/spreadsheets/d/10OvvATaaLtwErnr3qtWFcTmtbfpFEt5Bsqel9sXx0uE/edit?usp=sharing"",""งานกองทุน!J72"")"),36)</f>
        <v>36</v>
      </c>
      <c r="K781" s="74">
        <f t="shared" ca="1" si="465"/>
        <v>39.560439560439562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IFERROR(__xludf.DUMMYFUNCTION("IMPORTRANGE(""https://docs.google.com/spreadsheets/d/10OvvATaaLtwErnr3qtWFcTmtbfpFEt5Bsqel9sXx0uE/edit?usp=sharing"",""งานกองทุน!N72"")"),1684537.85)</f>
        <v>1684537.85</v>
      </c>
      <c r="J782" s="293">
        <f ca="1">IFERROR(__xludf.DUMMYFUNCTION("IMPORTRANGE(""https://docs.google.com/spreadsheets/d/10OvvATaaLtwErnr3qtWFcTmtbfpFEt5Bsqel9sXx0uE/edit?usp=sharing"",""งานกองทุน!P72"")"),244603.4)</f>
        <v>244603.4</v>
      </c>
      <c r="K782" s="74">
        <f t="shared" ca="1" si="465"/>
        <v>14.520504837573105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IFERROR(__xludf.DUMMYFUNCTION("IMPORTRANGE(""https://docs.google.com/spreadsheets/d/10OvvATaaLtwErnr3qtWFcTmtbfpFEt5Bsqel9sXx0uE/edit?usp=sharing"",""งานกองทุน!M72"")"),456)</f>
        <v>456</v>
      </c>
      <c r="J783" s="293">
        <f ca="1">IFERROR(__xludf.DUMMYFUNCTION("IMPORTRANGE(""https://docs.google.com/spreadsheets/d/10OvvATaaLtwErnr3qtWFcTmtbfpFEt5Bsqel9sXx0uE/edit?usp=sharing"",""งานกองทุน!O72"")"),99)</f>
        <v>99</v>
      </c>
      <c r="K783" s="74">
        <f t="shared" ca="1" si="465"/>
        <v>21.710526315789473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IFERROR(__xludf.DUMMYFUNCTION("IMPORTRANGE(""https://docs.google.com/spreadsheets/d/10OvvATaaLtwErnr3qtWFcTmtbfpFEt5Bsqel9sXx0uE/edit?usp=sharing"",""งานกองทุน!S72"")"),10696000)</f>
        <v>10696000</v>
      </c>
      <c r="J784" s="293">
        <f ca="1">IFERROR(__xludf.DUMMYFUNCTION("IMPORTRANGE(""https://docs.google.com/spreadsheets/d/10OvvATaaLtwErnr3qtWFcTmtbfpFEt5Bsqel9sXx0uE/edit?usp=sharing"",""งานกองทุน!U72"")"),2305000)</f>
        <v>2305000</v>
      </c>
      <c r="K784" s="74">
        <f t="shared" ca="1" si="465"/>
        <v>21.550112191473449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IFERROR(__xludf.DUMMYFUNCTION("IMPORTRANGE(""https://docs.google.com/spreadsheets/d/10OvvATaaLtwErnr3qtWFcTmtbfpFEt5Bsqel9sXx0uE/edit?usp=sharing"",""งานกองทุน!R72"")"),382)</f>
        <v>382</v>
      </c>
      <c r="J785" s="786">
        <f ca="1">IFERROR(__xludf.DUMMYFUNCTION("IMPORTRANGE(""https://docs.google.com/spreadsheets/d/10OvvATaaLtwErnr3qtWFcTmtbfpFEt5Bsqel9sXx0uE/edit?usp=sharing"",""งานกองทุน!T72"")"),53)</f>
        <v>53</v>
      </c>
      <c r="K785" s="182">
        <f t="shared" ca="1" si="465"/>
        <v>13.874345549738219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F7FF9-C49B-49E3-A97D-55446B6E1CE1}">
  <sheetPr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4.42578125" bestFit="1" customWidth="1"/>
    <col min="10" max="11" width="15.140625" customWidth="1"/>
    <col min="12" max="13" width="21.28515625" bestFit="1" customWidth="1"/>
    <col min="14" max="14" width="18.7109375" bestFit="1" customWidth="1"/>
    <col min="15" max="16" width="12.5703125" bestFit="1" customWidth="1"/>
    <col min="17" max="18" width="18.710937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358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4" t="s">
        <v>4</v>
      </c>
      <c r="B6" s="1385"/>
      <c r="C6" s="1385"/>
      <c r="D6" s="1385"/>
      <c r="E6" s="1385"/>
      <c r="F6" s="1385"/>
      <c r="G6" s="1386"/>
      <c r="H6" s="1037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8">
        <f t="shared" ref="L19:N19" ca="1" si="0">L20+L21</f>
        <v>1084345</v>
      </c>
      <c r="M19" s="59">
        <f t="shared" ca="1" si="0"/>
        <v>1104345</v>
      </c>
      <c r="N19" s="59">
        <f t="shared" ca="1" si="0"/>
        <v>646797.38</v>
      </c>
      <c r="O19" s="59">
        <f t="shared" ref="O19:O27" ca="1" si="1">IF(L19&gt;0,N19*100/L19,0)</f>
        <v>59.64867085660007</v>
      </c>
      <c r="P19" s="59">
        <f t="shared" ref="P19:P27" ca="1" si="2">IF(M19&gt;0,N19*100/M19,0)</f>
        <v>58.568416572719578</v>
      </c>
      <c r="Q19" s="59">
        <f t="shared" ref="Q19:S19" ca="1" si="3">Q20+Q21</f>
        <v>172105</v>
      </c>
      <c r="R19" s="59">
        <f t="shared" ca="1" si="3"/>
        <v>172105</v>
      </c>
      <c r="S19" s="59">
        <f t="shared" ca="1" si="3"/>
        <v>0</v>
      </c>
      <c r="T19" s="59">
        <f t="shared" ref="T19:T27" ca="1" si="4">IF(Q19&gt;0,S19*100/Q19,0)</f>
        <v>0</v>
      </c>
      <c r="U19" s="59">
        <f t="shared" ref="U19:U27" ca="1" si="5">IF(R19&gt;0,S19*100/R19,0)</f>
        <v>0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2">
        <f t="shared" ref="L20:N21" si="6">L23+L26</f>
        <v>0</v>
      </c>
      <c r="M20" s="63">
        <f t="shared" si="6"/>
        <v>0</v>
      </c>
      <c r="N20" s="63">
        <f t="shared" si="6"/>
        <v>0</v>
      </c>
      <c r="O20" s="63">
        <f t="shared" si="1"/>
        <v>0</v>
      </c>
      <c r="P20" s="63">
        <f t="shared" si="2"/>
        <v>0</v>
      </c>
      <c r="Q20" s="63">
        <f t="shared" ref="Q20:S21" si="7">Q23+Q26</f>
        <v>0</v>
      </c>
      <c r="R20" s="63">
        <f t="shared" si="7"/>
        <v>0</v>
      </c>
      <c r="S20" s="63">
        <f t="shared" si="7"/>
        <v>0</v>
      </c>
      <c r="T20" s="63">
        <f t="shared" si="4"/>
        <v>0</v>
      </c>
      <c r="U20" s="6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4">
        <f t="shared" ca="1" si="6"/>
        <v>1084345</v>
      </c>
      <c r="M21" s="65">
        <f t="shared" ca="1" si="6"/>
        <v>1104345</v>
      </c>
      <c r="N21" s="65">
        <f t="shared" ca="1" si="6"/>
        <v>646797.38</v>
      </c>
      <c r="O21" s="65">
        <f t="shared" ca="1" si="1"/>
        <v>59.64867085660007</v>
      </c>
      <c r="P21" s="65">
        <f t="shared" ca="1" si="2"/>
        <v>58.568416572719578</v>
      </c>
      <c r="Q21" s="65">
        <f t="shared" ca="1" si="7"/>
        <v>172105</v>
      </c>
      <c r="R21" s="65">
        <f t="shared" ca="1" si="7"/>
        <v>172105</v>
      </c>
      <c r="S21" s="65">
        <f t="shared" ca="1" si="7"/>
        <v>0</v>
      </c>
      <c r="T21" s="65">
        <f t="shared" ca="1" si="4"/>
        <v>0</v>
      </c>
      <c r="U21" s="65">
        <f t="shared" ca="1" si="5"/>
        <v>0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3">
        <f t="shared" ref="L22:N22" ca="1" si="8">L23+L24</f>
        <v>1084345</v>
      </c>
      <c r="M22" s="74">
        <f t="shared" ca="1" si="8"/>
        <v>1104345</v>
      </c>
      <c r="N22" s="74">
        <f t="shared" ca="1" si="8"/>
        <v>646797.38</v>
      </c>
      <c r="O22" s="74">
        <f t="shared" ca="1" si="1"/>
        <v>59.64867085660007</v>
      </c>
      <c r="P22" s="74">
        <f t="shared" ca="1" si="2"/>
        <v>58.568416572719578</v>
      </c>
      <c r="Q22" s="74">
        <f t="shared" ref="Q22:S22" ca="1" si="9">Q23+Q24</f>
        <v>172105</v>
      </c>
      <c r="R22" s="74">
        <f t="shared" ca="1" si="9"/>
        <v>172105</v>
      </c>
      <c r="S22" s="74">
        <f t="shared" ca="1" si="9"/>
        <v>0</v>
      </c>
      <c r="T22" s="74">
        <f t="shared" ca="1" si="4"/>
        <v>0</v>
      </c>
      <c r="U22" s="74">
        <f t="shared" ca="1" si="5"/>
        <v>0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6">
        <f t="shared" ref="L23:N24" si="10">L49+L64+L77+L99+L130+L144+L162+L191+L178+L271+L287+L308+L325+L338+L361+L518</f>
        <v>0</v>
      </c>
      <c r="M23" s="77">
        <f t="shared" si="10"/>
        <v>0</v>
      </c>
      <c r="N23" s="77">
        <f t="shared" si="10"/>
        <v>0</v>
      </c>
      <c r="O23" s="77">
        <f t="shared" si="1"/>
        <v>0</v>
      </c>
      <c r="P23" s="77">
        <f t="shared" si="2"/>
        <v>0</v>
      </c>
      <c r="Q23" s="77">
        <f t="shared" ref="Q23:S24" si="11">Q77+Q99+Q122+Q144+Q162+Q178+Q191+Q271+Q287+Q308+Q338+Q380+Q397+Q418+Q498+Q604+Q621+Q647+Q695+Q719+Q733+Q764</f>
        <v>0</v>
      </c>
      <c r="R23" s="77">
        <f t="shared" si="11"/>
        <v>0</v>
      </c>
      <c r="S23" s="77">
        <f t="shared" si="11"/>
        <v>0</v>
      </c>
      <c r="T23" s="77">
        <f t="shared" si="4"/>
        <v>0</v>
      </c>
      <c r="U23" s="77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3">
        <f t="shared" ca="1" si="10"/>
        <v>1084345</v>
      </c>
      <c r="M24" s="74">
        <f t="shared" ca="1" si="10"/>
        <v>1104345</v>
      </c>
      <c r="N24" s="74">
        <f t="shared" ca="1" si="10"/>
        <v>646797.38</v>
      </c>
      <c r="O24" s="74">
        <f t="shared" ca="1" si="1"/>
        <v>59.64867085660007</v>
      </c>
      <c r="P24" s="74">
        <f t="shared" ca="1" si="2"/>
        <v>58.568416572719578</v>
      </c>
      <c r="Q24" s="74">
        <f t="shared" ca="1" si="11"/>
        <v>172105</v>
      </c>
      <c r="R24" s="74">
        <f t="shared" ca="1" si="11"/>
        <v>172105</v>
      </c>
      <c r="S24" s="74">
        <f t="shared" ca="1" si="11"/>
        <v>0</v>
      </c>
      <c r="T24" s="74">
        <f t="shared" ca="1" si="4"/>
        <v>0</v>
      </c>
      <c r="U24" s="74">
        <f t="shared" ca="1" si="5"/>
        <v>0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3">
        <f t="shared" ref="L25:N25" ca="1" si="12">L26+L27</f>
        <v>0</v>
      </c>
      <c r="M25" s="74">
        <f t="shared" ca="1" si="12"/>
        <v>0</v>
      </c>
      <c r="N25" s="74">
        <f t="shared" ca="1" si="12"/>
        <v>0</v>
      </c>
      <c r="O25" s="74">
        <f t="shared" ca="1" si="1"/>
        <v>0</v>
      </c>
      <c r="P25" s="74">
        <f t="shared" ca="1" si="2"/>
        <v>0</v>
      </c>
      <c r="Q25" s="74">
        <f t="shared" ref="Q25:S25" si="13">Q26+Q27</f>
        <v>0</v>
      </c>
      <c r="R25" s="74">
        <f t="shared" si="13"/>
        <v>0</v>
      </c>
      <c r="S25" s="74">
        <f t="shared" si="13"/>
        <v>0</v>
      </c>
      <c r="T25" s="74">
        <f t="shared" si="4"/>
        <v>0</v>
      </c>
      <c r="U25" s="74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6">
        <f t="shared" ref="L26:N27" si="14">L52+L67+L80+L102+L133+L147+L165+L194+L181+L274+L290+L311+L328+L341+L364+L521</f>
        <v>0</v>
      </c>
      <c r="M26" s="77">
        <f t="shared" si="14"/>
        <v>0</v>
      </c>
      <c r="N26" s="77">
        <f t="shared" si="14"/>
        <v>0</v>
      </c>
      <c r="O26" s="77">
        <f t="shared" si="1"/>
        <v>0</v>
      </c>
      <c r="P26" s="77">
        <f t="shared" si="2"/>
        <v>0</v>
      </c>
      <c r="Q26" s="77">
        <f t="shared" ref="Q26:S27" si="15">Q80+Q102+Q125+Q147+Q165+Q181+Q194+Q274+Q290+Q311+Q341+Q383+Q400+Q421+Q501+Q607+Q624+Q650+Q698+Q722+Q736+Q767</f>
        <v>0</v>
      </c>
      <c r="R26" s="77">
        <f t="shared" si="15"/>
        <v>0</v>
      </c>
      <c r="S26" s="77">
        <f t="shared" si="15"/>
        <v>0</v>
      </c>
      <c r="T26" s="77">
        <f t="shared" si="4"/>
        <v>0</v>
      </c>
      <c r="U26" s="77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3">
        <f t="shared" ca="1" si="14"/>
        <v>0</v>
      </c>
      <c r="M27" s="74">
        <f t="shared" ca="1" si="14"/>
        <v>0</v>
      </c>
      <c r="N27" s="74">
        <f t="shared" ca="1" si="14"/>
        <v>0</v>
      </c>
      <c r="O27" s="74">
        <f t="shared" ca="1" si="1"/>
        <v>0</v>
      </c>
      <c r="P27" s="74">
        <f t="shared" ca="1" si="2"/>
        <v>0</v>
      </c>
      <c r="Q27" s="77">
        <f t="shared" si="15"/>
        <v>0</v>
      </c>
      <c r="R27" s="77">
        <f t="shared" si="15"/>
        <v>0</v>
      </c>
      <c r="S27" s="77">
        <f t="shared" si="15"/>
        <v>0</v>
      </c>
      <c r="T27" s="74">
        <f t="shared" si="4"/>
        <v>0</v>
      </c>
      <c r="U27" s="74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79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80">
        <f t="shared" ref="L41:N41" ca="1" si="16">L45+L60+L73+L95+L126+L140+L158+L174+L187+L267+L283+L304+L321+L334+L357</f>
        <v>1084345</v>
      </c>
      <c r="M41" s="1279">
        <f t="shared" ca="1" si="16"/>
        <v>1104345</v>
      </c>
      <c r="N41" s="1279">
        <f t="shared" ca="1" si="16"/>
        <v>646797.38</v>
      </c>
      <c r="O41" s="1279">
        <f ca="1">IF(L41&gt;0,N41*100/L41,0)</f>
        <v>59.64867085660007</v>
      </c>
      <c r="P41" s="1279">
        <f ca="1">IF(M41&gt;0,N41*100/M41,0)</f>
        <v>58.568416572719578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6">
        <f t="shared" ref="L45:N45" ca="1" si="17">L46+L47</f>
        <v>84500</v>
      </c>
      <c r="M45" s="1275">
        <f t="shared" ca="1" si="17"/>
        <v>89470</v>
      </c>
      <c r="N45" s="1275">
        <f t="shared" ca="1" si="17"/>
        <v>79430</v>
      </c>
      <c r="O45" s="1275">
        <f t="shared" ref="O45:O53" ca="1" si="18">IF(L45&gt;0,N45*100/L45,0)</f>
        <v>94</v>
      </c>
      <c r="P45" s="1275">
        <f t="shared" ref="P45:P53" ca="1" si="19">IF(M45&gt;0,N45*100/M45,0)</f>
        <v>88.778361461942552</v>
      </c>
      <c r="Q45" s="1275">
        <f t="shared" ref="Q45:S45" si="20">Q46+Q47</f>
        <v>0</v>
      </c>
      <c r="R45" s="1275">
        <f t="shared" si="20"/>
        <v>0</v>
      </c>
      <c r="S45" s="1275">
        <f t="shared" si="20"/>
        <v>0</v>
      </c>
      <c r="T45" s="1275">
        <f t="shared" ref="T45:T53" si="21">IF(Q45&gt;0,S45*100/Q45,0)</f>
        <v>0</v>
      </c>
      <c r="U45" s="1275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4">
        <f t="shared" ref="L46:N47" si="23">L49+L52</f>
        <v>0</v>
      </c>
      <c r="M46" s="1273">
        <f t="shared" si="23"/>
        <v>0</v>
      </c>
      <c r="N46" s="1273">
        <f t="shared" si="23"/>
        <v>0</v>
      </c>
      <c r="O46" s="1273">
        <f t="shared" si="18"/>
        <v>0</v>
      </c>
      <c r="P46" s="1273">
        <f t="shared" si="19"/>
        <v>0</v>
      </c>
      <c r="Q46" s="1273">
        <f t="shared" ref="Q46:S47" si="24">Q49+Q52</f>
        <v>0</v>
      </c>
      <c r="R46" s="1273">
        <f t="shared" si="24"/>
        <v>0</v>
      </c>
      <c r="S46" s="1273">
        <f t="shared" si="24"/>
        <v>0</v>
      </c>
      <c r="T46" s="1273">
        <f t="shared" si="21"/>
        <v>0</v>
      </c>
      <c r="U46" s="1273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2">
        <f t="shared" ca="1" si="23"/>
        <v>84500</v>
      </c>
      <c r="M47" s="1271">
        <f t="shared" ca="1" si="23"/>
        <v>89470</v>
      </c>
      <c r="N47" s="1271">
        <f t="shared" ca="1" si="23"/>
        <v>79430</v>
      </c>
      <c r="O47" s="1271">
        <f t="shared" ca="1" si="18"/>
        <v>94</v>
      </c>
      <c r="P47" s="1271">
        <f t="shared" ca="1" si="19"/>
        <v>88.778361461942552</v>
      </c>
      <c r="Q47" s="1271">
        <f t="shared" si="24"/>
        <v>0</v>
      </c>
      <c r="R47" s="1271">
        <f t="shared" si="24"/>
        <v>0</v>
      </c>
      <c r="S47" s="1271">
        <f t="shared" si="24"/>
        <v>0</v>
      </c>
      <c r="T47" s="1271">
        <f t="shared" si="21"/>
        <v>0</v>
      </c>
      <c r="U47" s="1271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3">
        <f t="shared" ref="L48:N48" ca="1" si="25">L49+L50</f>
        <v>84500</v>
      </c>
      <c r="M48" s="74">
        <f t="shared" ca="1" si="25"/>
        <v>89470</v>
      </c>
      <c r="N48" s="74">
        <f t="shared" ca="1" si="25"/>
        <v>79430</v>
      </c>
      <c r="O48" s="74">
        <f t="shared" ca="1" si="18"/>
        <v>94</v>
      </c>
      <c r="P48" s="74">
        <f t="shared" ca="1" si="19"/>
        <v>88.778361461942552</v>
      </c>
      <c r="Q48" s="74">
        <f t="shared" ref="Q48:S48" si="26">Q49+Q50</f>
        <v>0</v>
      </c>
      <c r="R48" s="74">
        <f t="shared" si="26"/>
        <v>0</v>
      </c>
      <c r="S48" s="74">
        <f t="shared" si="26"/>
        <v>0</v>
      </c>
      <c r="T48" s="74">
        <f t="shared" si="21"/>
        <v>0</v>
      </c>
      <c r="U48" s="74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77">
        <f t="shared" si="18"/>
        <v>0</v>
      </c>
      <c r="P49" s="77">
        <f t="shared" si="19"/>
        <v>0</v>
      </c>
      <c r="Q49" s="77">
        <v>0</v>
      </c>
      <c r="R49" s="77">
        <v>0</v>
      </c>
      <c r="S49" s="77">
        <v>0</v>
      </c>
      <c r="T49" s="77">
        <f t="shared" si="21"/>
        <v>0</v>
      </c>
      <c r="U49" s="77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3">
        <f ca="1">IFERROR(__xludf.DUMMYFUNCTION("IMPORTRANGE(""https://docs.google.com/spreadsheets/d/1-uDff_7J0KD5mKrp0Vvzr7lt3OU09vwQwhkpOPPYv2Y/edit?usp=sharing"",""งบพรบ!P73"")"),84500)</f>
        <v>84500</v>
      </c>
      <c r="M50" s="74">
        <f ca="1">IFERROR(__xludf.DUMMYFUNCTION("IMPORTRANGE(""https://docs.google.com/spreadsheets/d/1-uDff_7J0KD5mKrp0Vvzr7lt3OU09vwQwhkpOPPYv2Y/edit?usp=sharing"",""งบพรบ!V73"")"),89470)</f>
        <v>89470</v>
      </c>
      <c r="N50" s="74">
        <f ca="1">IFERROR(__xludf.DUMMYFUNCTION("IMPORTRANGE(""https://docs.google.com/spreadsheets/d/1-uDff_7J0KD5mKrp0Vvzr7lt3OU09vwQwhkpOPPYv2Y/edit?usp=sharing"",""งบพรบ!Y73"")"),79430)</f>
        <v>79430</v>
      </c>
      <c r="O50" s="74">
        <f t="shared" ca="1" si="18"/>
        <v>94</v>
      </c>
      <c r="P50" s="74">
        <f t="shared" ca="1" si="19"/>
        <v>88.778361461942552</v>
      </c>
      <c r="Q50" s="74">
        <v>0</v>
      </c>
      <c r="R50" s="74">
        <v>0</v>
      </c>
      <c r="S50" s="74">
        <v>0</v>
      </c>
      <c r="T50" s="74">
        <f t="shared" si="21"/>
        <v>0</v>
      </c>
      <c r="U50" s="74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3">
        <f t="shared" ref="L51:N51" ca="1" si="27">L52+L53</f>
        <v>0</v>
      </c>
      <c r="M51" s="74">
        <f t="shared" ca="1" si="27"/>
        <v>0</v>
      </c>
      <c r="N51" s="74">
        <f t="shared" ca="1" si="27"/>
        <v>0</v>
      </c>
      <c r="O51" s="74">
        <f t="shared" ca="1" si="18"/>
        <v>0</v>
      </c>
      <c r="P51" s="74">
        <f t="shared" ca="1" si="19"/>
        <v>0</v>
      </c>
      <c r="Q51" s="74">
        <f t="shared" ref="Q51:S51" si="28">Q52+Q53</f>
        <v>0</v>
      </c>
      <c r="R51" s="74">
        <f t="shared" si="28"/>
        <v>0</v>
      </c>
      <c r="S51" s="74">
        <f t="shared" si="28"/>
        <v>0</v>
      </c>
      <c r="T51" s="74">
        <f t="shared" si="21"/>
        <v>0</v>
      </c>
      <c r="U51" s="74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77">
        <f t="shared" si="18"/>
        <v>0</v>
      </c>
      <c r="P52" s="77">
        <f t="shared" si="19"/>
        <v>0</v>
      </c>
      <c r="Q52" s="77">
        <v>0</v>
      </c>
      <c r="R52" s="77">
        <v>0</v>
      </c>
      <c r="S52" s="77">
        <v>0</v>
      </c>
      <c r="T52" s="77">
        <f t="shared" si="21"/>
        <v>0</v>
      </c>
      <c r="U52" s="77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3">
        <f ca="1">IFERROR(__xludf.DUMMYFUNCTION("IMPORTRANGE(""https://docs.google.com/spreadsheets/d/1-uDff_7J0KD5mKrp0Vvzr7lt3OU09vwQwhkpOPPYv2Y/edit?usp=sharing"",""งบพรบ!S73"")"),0)</f>
        <v>0</v>
      </c>
      <c r="M53" s="74">
        <f ca="1">IFERROR(__xludf.DUMMYFUNCTION("IMPORTRANGE(""https://docs.google.com/spreadsheets/d/1-uDff_7J0KD5mKrp0Vvzr7lt3OU09vwQwhkpOPPYv2Y/edit?usp=sharing"",""งบพรบ!W73"")"),0)</f>
        <v>0</v>
      </c>
      <c r="N53" s="74">
        <f ca="1">IFERROR(__xludf.DUMMYFUNCTION("IMPORTRANGE(""https://docs.google.com/spreadsheets/d/1-uDff_7J0KD5mKrp0Vvzr7lt3OU09vwQwhkpOPPYv2Y/edit?usp=sharing"",""งบพรบ!Z73"")"),0)</f>
        <v>0</v>
      </c>
      <c r="O53" s="74">
        <f t="shared" ca="1" si="18"/>
        <v>0</v>
      </c>
      <c r="P53" s="74">
        <f t="shared" ca="1" si="19"/>
        <v>0</v>
      </c>
      <c r="Q53" s="74">
        <v>0</v>
      </c>
      <c r="R53" s="74">
        <v>0</v>
      </c>
      <c r="S53" s="74">
        <v>0</v>
      </c>
      <c r="T53" s="74">
        <f t="shared" si="21"/>
        <v>0</v>
      </c>
      <c r="U53" s="74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9">
        <f t="shared" ref="L60:N60" ca="1" si="29">L61+L62</f>
        <v>567400</v>
      </c>
      <c r="M60" s="1268">
        <f t="shared" ca="1" si="29"/>
        <v>567400</v>
      </c>
      <c r="N60" s="1268">
        <f t="shared" ca="1" si="29"/>
        <v>370403.38</v>
      </c>
      <c r="O60" s="1268">
        <f t="shared" ref="O60:O68" ca="1" si="30">IF(L60&gt;0,N60*100/L60,0)</f>
        <v>65.280821290095176</v>
      </c>
      <c r="P60" s="1268">
        <f t="shared" ref="P60:P68" ca="1" si="31">IF(M60&gt;0,N60*100/M60,0)</f>
        <v>65.280821290095176</v>
      </c>
      <c r="Q60" s="1268">
        <f t="shared" ref="Q60:S60" si="32">Q61+Q62</f>
        <v>0</v>
      </c>
      <c r="R60" s="1268">
        <f t="shared" si="32"/>
        <v>0</v>
      </c>
      <c r="S60" s="1268">
        <f t="shared" si="32"/>
        <v>0</v>
      </c>
      <c r="T60" s="1268">
        <f t="shared" ref="T60:T68" si="33">IF(Q60&gt;0,S60*100/Q60,0)</f>
        <v>0</v>
      </c>
      <c r="U60" s="1268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7">
        <f t="shared" ref="L61:N62" si="35">L64+L67</f>
        <v>0</v>
      </c>
      <c r="M61" s="1266">
        <f t="shared" si="35"/>
        <v>0</v>
      </c>
      <c r="N61" s="1266">
        <f t="shared" si="35"/>
        <v>0</v>
      </c>
      <c r="O61" s="1266">
        <f t="shared" si="30"/>
        <v>0</v>
      </c>
      <c r="P61" s="1266">
        <f t="shared" si="31"/>
        <v>0</v>
      </c>
      <c r="Q61" s="1266">
        <f t="shared" ref="Q61:S62" si="36">Q64+Q67</f>
        <v>0</v>
      </c>
      <c r="R61" s="1266">
        <f t="shared" si="36"/>
        <v>0</v>
      </c>
      <c r="S61" s="1266">
        <f t="shared" si="36"/>
        <v>0</v>
      </c>
      <c r="T61" s="1266">
        <f t="shared" si="33"/>
        <v>0</v>
      </c>
      <c r="U61" s="1266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5">
        <f t="shared" ca="1" si="35"/>
        <v>567400</v>
      </c>
      <c r="M62" s="1264">
        <f t="shared" ca="1" si="35"/>
        <v>567400</v>
      </c>
      <c r="N62" s="1264">
        <f t="shared" ca="1" si="35"/>
        <v>370403.38</v>
      </c>
      <c r="O62" s="1264">
        <f t="shared" ca="1" si="30"/>
        <v>65.280821290095176</v>
      </c>
      <c r="P62" s="1264">
        <f t="shared" ca="1" si="31"/>
        <v>65.280821290095176</v>
      </c>
      <c r="Q62" s="1264">
        <f t="shared" si="36"/>
        <v>0</v>
      </c>
      <c r="R62" s="1264">
        <f t="shared" si="36"/>
        <v>0</v>
      </c>
      <c r="S62" s="1264">
        <f t="shared" si="36"/>
        <v>0</v>
      </c>
      <c r="T62" s="1264">
        <f t="shared" si="33"/>
        <v>0</v>
      </c>
      <c r="U62" s="1264">
        <f t="shared" si="34"/>
        <v>0</v>
      </c>
    </row>
    <row r="63" spans="1:21" ht="18.75" x14ac:dyDescent="0.25">
      <c r="A63" s="847"/>
      <c r="B63" s="258"/>
      <c r="C63" s="258"/>
      <c r="D63" s="270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3">
        <f t="shared" ref="L63:N63" ca="1" si="37">L64+L65</f>
        <v>567400</v>
      </c>
      <c r="M63" s="74">
        <f t="shared" ca="1" si="37"/>
        <v>567400</v>
      </c>
      <c r="N63" s="74">
        <f t="shared" ca="1" si="37"/>
        <v>370403.38</v>
      </c>
      <c r="O63" s="74">
        <f t="shared" ca="1" si="30"/>
        <v>65.280821290095176</v>
      </c>
      <c r="P63" s="74">
        <f t="shared" ca="1" si="31"/>
        <v>65.280821290095176</v>
      </c>
      <c r="Q63" s="74">
        <f t="shared" ref="Q63:S63" si="38">Q64+Q65</f>
        <v>0</v>
      </c>
      <c r="R63" s="74">
        <f t="shared" si="38"/>
        <v>0</v>
      </c>
      <c r="S63" s="74">
        <f t="shared" si="38"/>
        <v>0</v>
      </c>
      <c r="T63" s="74">
        <f t="shared" si="33"/>
        <v>0</v>
      </c>
      <c r="U63" s="74">
        <f t="shared" si="34"/>
        <v>0</v>
      </c>
    </row>
    <row r="64" spans="1:21" ht="18.75" hidden="1" x14ac:dyDescent="0.25">
      <c r="A64" s="847"/>
      <c r="B64" s="258"/>
      <c r="C64" s="258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77">
        <f t="shared" si="30"/>
        <v>0</v>
      </c>
      <c r="P64" s="77">
        <f t="shared" si="31"/>
        <v>0</v>
      </c>
      <c r="Q64" s="77">
        <v>0</v>
      </c>
      <c r="R64" s="77">
        <v>0</v>
      </c>
      <c r="S64" s="77">
        <v>0</v>
      </c>
      <c r="T64" s="77">
        <f t="shared" si="33"/>
        <v>0</v>
      </c>
      <c r="U64" s="77">
        <f t="shared" si="34"/>
        <v>0</v>
      </c>
    </row>
    <row r="65" spans="1:21" ht="18.75" hidden="1" x14ac:dyDescent="0.25">
      <c r="A65" s="847"/>
      <c r="B65" s="258"/>
      <c r="C65" s="258"/>
      <c r="D65" s="258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3">
        <f ca="1">IFERROR(__xludf.DUMMYFUNCTION("IMPORTRANGE(""https://docs.google.com/spreadsheets/d/1-uDff_7J0KD5mKrp0Vvzr7lt3OU09vwQwhkpOPPYv2Y/edit?usp=sharing"",""งบพรบ!AC73"")"),567400)</f>
        <v>567400</v>
      </c>
      <c r="M65" s="74">
        <f ca="1">IFERROR(__xludf.DUMMYFUNCTION("IMPORTRANGE(""https://docs.google.com/spreadsheets/d/1-uDff_7J0KD5mKrp0Vvzr7lt3OU09vwQwhkpOPPYv2Y/edit?usp=sharing"",""งบพรบ!AH73"")"),567400)</f>
        <v>567400</v>
      </c>
      <c r="N65" s="74">
        <f ca="1">IFERROR(__xludf.DUMMYFUNCTION("IMPORTRANGE(""https://docs.google.com/spreadsheets/d/1-uDff_7J0KD5mKrp0Vvzr7lt3OU09vwQwhkpOPPYv2Y/edit?usp=sharing"",""งบพรบ!AJ73"")"),370403.38)</f>
        <v>370403.38</v>
      </c>
      <c r="O65" s="74">
        <f t="shared" ca="1" si="30"/>
        <v>65.280821290095176</v>
      </c>
      <c r="P65" s="74">
        <f t="shared" ca="1" si="31"/>
        <v>65.280821290095176</v>
      </c>
      <c r="Q65" s="74">
        <v>0</v>
      </c>
      <c r="R65" s="74">
        <v>0</v>
      </c>
      <c r="S65" s="74">
        <v>0</v>
      </c>
      <c r="T65" s="74">
        <f t="shared" si="33"/>
        <v>0</v>
      </c>
      <c r="U65" s="74">
        <f t="shared" si="34"/>
        <v>0</v>
      </c>
    </row>
    <row r="66" spans="1:21" ht="18.75" x14ac:dyDescent="0.25">
      <c r="A66" s="847"/>
      <c r="B66" s="258"/>
      <c r="C66" s="258"/>
      <c r="D66" s="270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3">
        <f t="shared" ref="L66:N66" ca="1" si="39">L67+L68</f>
        <v>0</v>
      </c>
      <c r="M66" s="74">
        <f t="shared" ca="1" si="39"/>
        <v>0</v>
      </c>
      <c r="N66" s="74">
        <f t="shared" ca="1" si="39"/>
        <v>0</v>
      </c>
      <c r="O66" s="74">
        <f t="shared" ca="1" si="30"/>
        <v>0</v>
      </c>
      <c r="P66" s="74">
        <f t="shared" ca="1" si="31"/>
        <v>0</v>
      </c>
      <c r="Q66" s="74">
        <f t="shared" ref="Q66:S66" si="40">Q67+Q68</f>
        <v>0</v>
      </c>
      <c r="R66" s="74">
        <f t="shared" si="40"/>
        <v>0</v>
      </c>
      <c r="S66" s="74">
        <f t="shared" si="40"/>
        <v>0</v>
      </c>
      <c r="T66" s="74">
        <f t="shared" si="33"/>
        <v>0</v>
      </c>
      <c r="U66" s="74">
        <f t="shared" si="34"/>
        <v>0</v>
      </c>
    </row>
    <row r="67" spans="1:21" ht="18.75" hidden="1" x14ac:dyDescent="0.25">
      <c r="A67" s="847"/>
      <c r="B67" s="258"/>
      <c r="C67" s="258"/>
      <c r="D67" s="258"/>
      <c r="E67" s="265" t="s">
        <v>20</v>
      </c>
      <c r="F67" s="258"/>
      <c r="G67" s="261"/>
      <c r="H67" s="840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77">
        <f t="shared" si="30"/>
        <v>0</v>
      </c>
      <c r="P67" s="77">
        <f t="shared" si="31"/>
        <v>0</v>
      </c>
      <c r="Q67" s="77">
        <v>0</v>
      </c>
      <c r="R67" s="77">
        <v>0</v>
      </c>
      <c r="S67" s="77">
        <v>0</v>
      </c>
      <c r="T67" s="77">
        <f t="shared" si="33"/>
        <v>0</v>
      </c>
      <c r="U67" s="77">
        <f t="shared" si="34"/>
        <v>0</v>
      </c>
    </row>
    <row r="68" spans="1:21" ht="18.75" x14ac:dyDescent="0.25">
      <c r="A68" s="848"/>
      <c r="B68" s="636"/>
      <c r="C68" s="636"/>
      <c r="D68" s="636"/>
      <c r="E68" s="849" t="s">
        <v>21</v>
      </c>
      <c r="F68" s="636"/>
      <c r="G68" s="637"/>
      <c r="H68" s="850" t="s">
        <v>14</v>
      </c>
      <c r="I68" s="631"/>
      <c r="J68" s="631"/>
      <c r="K68" s="98"/>
      <c r="L68" s="181">
        <f ca="1">IFERROR(__xludf.DUMMYFUNCTION("IMPORTRANGE(""https://docs.google.com/spreadsheets/d/1-uDff_7J0KD5mKrp0Vvzr7lt3OU09vwQwhkpOPPYv2Y/edit?usp=sharing"",""งบพรบ!AF73"")"),0)</f>
        <v>0</v>
      </c>
      <c r="M68" s="182">
        <f ca="1">IFERROR(__xludf.DUMMYFUNCTION("IMPORTRANGE(""https://docs.google.com/spreadsheets/d/1-uDff_7J0KD5mKrp0Vvzr7lt3OU09vwQwhkpOPPYv2Y/edit?usp=sharing"",""งบพรบ!AI73"")"),0)</f>
        <v>0</v>
      </c>
      <c r="N68" s="182">
        <f ca="1">IFERROR(__xludf.DUMMYFUNCTION("IMPORTRANGE(""https://docs.google.com/spreadsheets/d/1-uDff_7J0KD5mKrp0Vvzr7lt3OU09vwQwhkpOPPYv2Y/edit?usp=sharing"",""งบพรบ!AK73"")"),0)</f>
        <v>0</v>
      </c>
      <c r="O68" s="182">
        <f t="shared" ca="1" si="30"/>
        <v>0</v>
      </c>
      <c r="P68" s="182">
        <f t="shared" ca="1" si="31"/>
        <v>0</v>
      </c>
      <c r="Q68" s="182">
        <v>0</v>
      </c>
      <c r="R68" s="182">
        <v>0</v>
      </c>
      <c r="S68" s="182">
        <v>0</v>
      </c>
      <c r="T68" s="182">
        <f t="shared" si="33"/>
        <v>0</v>
      </c>
      <c r="U68" s="182">
        <f t="shared" si="34"/>
        <v>0</v>
      </c>
    </row>
    <row r="69" spans="1:21" ht="19.5" hidden="1" x14ac:dyDescent="0.3">
      <c r="A69" s="1095" t="s">
        <v>31</v>
      </c>
      <c r="B69" s="1096"/>
      <c r="C69" s="1096"/>
      <c r="D69" s="1096"/>
      <c r="E69" s="1097"/>
      <c r="F69" s="1097"/>
      <c r="G69" s="1097"/>
      <c r="H69" s="1097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hidden="1" x14ac:dyDescent="0.3">
      <c r="A70" s="1099" t="s">
        <v>32</v>
      </c>
      <c r="B70" s="691"/>
      <c r="C70" s="693"/>
      <c r="D70" s="691"/>
      <c r="E70" s="691"/>
      <c r="F70" s="691"/>
      <c r="G70" s="1100"/>
      <c r="H70" s="1100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19.5" hidden="1" x14ac:dyDescent="0.3">
      <c r="A71" s="250"/>
      <c r="B71" s="251" t="s">
        <v>33</v>
      </c>
      <c r="C71" s="252"/>
      <c r="D71" s="253"/>
      <c r="E71" s="252"/>
      <c r="F71" s="252"/>
      <c r="G71" s="254"/>
      <c r="H71" s="1296" t="s">
        <v>34</v>
      </c>
      <c r="I71" s="256">
        <f t="shared" ref="I71:J72" ca="1" si="41">I83</f>
        <v>0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hidden="1" x14ac:dyDescent="0.3">
      <c r="A72" s="250"/>
      <c r="B72" s="252"/>
      <c r="C72" s="252"/>
      <c r="D72" s="253"/>
      <c r="E72" s="252"/>
      <c r="F72" s="252"/>
      <c r="G72" s="254"/>
      <c r="H72" s="1296" t="s">
        <v>35</v>
      </c>
      <c r="I72" s="256">
        <f t="shared" ca="1" si="41"/>
        <v>0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hidden="1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1257">
        <f t="shared" ref="L73:N73" ca="1" si="43">L74+L75</f>
        <v>0</v>
      </c>
      <c r="M73" s="264">
        <f t="shared" ca="1" si="43"/>
        <v>0</v>
      </c>
      <c r="N73" s="264">
        <f t="shared" ca="1" si="43"/>
        <v>0</v>
      </c>
      <c r="O73" s="264">
        <f t="shared" ref="O73:O81" ca="1" si="44">IF(L73&gt;0,N73*100/L73,0)</f>
        <v>0</v>
      </c>
      <c r="P73" s="264">
        <f t="shared" ref="P73:P81" ca="1" si="45">IF(M73&gt;0,N73*100/M73,0)</f>
        <v>0</v>
      </c>
      <c r="Q73" s="264">
        <f t="shared" ref="Q73:S73" ca="1" si="46">Q74+Q75</f>
        <v>0</v>
      </c>
      <c r="R73" s="264">
        <f t="shared" ca="1" si="46"/>
        <v>0</v>
      </c>
      <c r="S73" s="264">
        <f t="shared" ca="1" si="46"/>
        <v>0</v>
      </c>
      <c r="T73" s="264">
        <f t="shared" ref="T73:T81" ca="1" si="47">IF(Q73&gt;0,S73*100/Q73,0)</f>
        <v>0</v>
      </c>
      <c r="U73" s="264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6">
        <f t="shared" ref="L74:N75" si="49">L77+L80</f>
        <v>0</v>
      </c>
      <c r="M74" s="77">
        <f t="shared" si="49"/>
        <v>0</v>
      </c>
      <c r="N74" s="77">
        <f t="shared" si="49"/>
        <v>0</v>
      </c>
      <c r="O74" s="77">
        <f t="shared" si="44"/>
        <v>0</v>
      </c>
      <c r="P74" s="77">
        <f t="shared" si="45"/>
        <v>0</v>
      </c>
      <c r="Q74" s="77">
        <f t="shared" ref="Q74:S75" si="50">Q77+Q80</f>
        <v>0</v>
      </c>
      <c r="R74" s="77">
        <f t="shared" si="50"/>
        <v>0</v>
      </c>
      <c r="S74" s="77">
        <f t="shared" si="50"/>
        <v>0</v>
      </c>
      <c r="T74" s="77">
        <f t="shared" si="47"/>
        <v>0</v>
      </c>
      <c r="U74" s="77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3">
        <f t="shared" ca="1" si="49"/>
        <v>0</v>
      </c>
      <c r="M75" s="74">
        <f t="shared" ca="1" si="49"/>
        <v>0</v>
      </c>
      <c r="N75" s="74">
        <f t="shared" ca="1" si="49"/>
        <v>0</v>
      </c>
      <c r="O75" s="74">
        <f t="shared" ca="1" si="44"/>
        <v>0</v>
      </c>
      <c r="P75" s="74">
        <f t="shared" ca="1" si="45"/>
        <v>0</v>
      </c>
      <c r="Q75" s="74">
        <f t="shared" ca="1" si="50"/>
        <v>0</v>
      </c>
      <c r="R75" s="74">
        <f t="shared" ca="1" si="50"/>
        <v>0</v>
      </c>
      <c r="S75" s="74">
        <f t="shared" ca="1" si="50"/>
        <v>0</v>
      </c>
      <c r="T75" s="74">
        <f t="shared" ca="1" si="47"/>
        <v>0</v>
      </c>
      <c r="U75" s="74">
        <f t="shared" ca="1" si="48"/>
        <v>0</v>
      </c>
    </row>
    <row r="76" spans="1:21" ht="18.75" hidden="1" x14ac:dyDescent="0.25">
      <c r="A76" s="257"/>
      <c r="B76" s="258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3">
        <f t="shared" ref="L76:N76" ca="1" si="51">L77+L78</f>
        <v>0</v>
      </c>
      <c r="M76" s="74">
        <f t="shared" ca="1" si="51"/>
        <v>0</v>
      </c>
      <c r="N76" s="74">
        <f t="shared" ca="1" si="51"/>
        <v>0</v>
      </c>
      <c r="O76" s="74">
        <f t="shared" ca="1" si="44"/>
        <v>0</v>
      </c>
      <c r="P76" s="74">
        <f t="shared" ca="1" si="45"/>
        <v>0</v>
      </c>
      <c r="Q76" s="74">
        <f t="shared" ref="Q76:S76" ca="1" si="52">Q77+Q78</f>
        <v>0</v>
      </c>
      <c r="R76" s="74">
        <f t="shared" ca="1" si="52"/>
        <v>0</v>
      </c>
      <c r="S76" s="74">
        <f t="shared" ca="1" si="52"/>
        <v>0</v>
      </c>
      <c r="T76" s="74">
        <f t="shared" ca="1" si="47"/>
        <v>0</v>
      </c>
      <c r="U76" s="74">
        <f t="shared" ca="1" si="48"/>
        <v>0</v>
      </c>
    </row>
    <row r="77" spans="1:21" ht="18.75" hidden="1" x14ac:dyDescent="0.25">
      <c r="A77" s="257"/>
      <c r="B77" s="258"/>
      <c r="C77" s="258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77">
        <f t="shared" si="44"/>
        <v>0</v>
      </c>
      <c r="P77" s="77">
        <f t="shared" si="45"/>
        <v>0</v>
      </c>
      <c r="Q77" s="77">
        <v>0</v>
      </c>
      <c r="R77" s="77">
        <v>0</v>
      </c>
      <c r="S77" s="77">
        <v>0</v>
      </c>
      <c r="T77" s="77">
        <f t="shared" si="47"/>
        <v>0</v>
      </c>
      <c r="U77" s="77">
        <f t="shared" si="48"/>
        <v>0</v>
      </c>
    </row>
    <row r="78" spans="1:21" ht="18.75" hidden="1" x14ac:dyDescent="0.25">
      <c r="A78" s="257"/>
      <c r="B78" s="258"/>
      <c r="C78" s="258"/>
      <c r="D78" s="258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3">
        <f ca="1">IFERROR(__xludf.DUMMYFUNCTION("IMPORTRANGE(""https://docs.google.com/spreadsheets/d/1-uDff_7J0KD5mKrp0Vvzr7lt3OU09vwQwhkpOPPYv2Y/edit?usp=sharing"",""งบพรบ!AM73"")"),0)</f>
        <v>0</v>
      </c>
      <c r="M78" s="74">
        <f ca="1">IFERROR(__xludf.DUMMYFUNCTION("IMPORTRANGE(""https://docs.google.com/spreadsheets/d/1-uDff_7J0KD5mKrp0Vvzr7lt3OU09vwQwhkpOPPYv2Y/edit?usp=sharing"",""งบพรบ!AR73"")"),0)</f>
        <v>0</v>
      </c>
      <c r="N78" s="74">
        <f ca="1">IFERROR(__xludf.DUMMYFUNCTION("IMPORTRANGE(""https://docs.google.com/spreadsheets/d/1-uDff_7J0KD5mKrp0Vvzr7lt3OU09vwQwhkpOPPYv2Y/edit?usp=sharing"",""งบพรบ!AT73"")"),0)</f>
        <v>0</v>
      </c>
      <c r="O78" s="74">
        <f t="shared" ca="1" si="44"/>
        <v>0</v>
      </c>
      <c r="P78" s="74">
        <f t="shared" ca="1" si="45"/>
        <v>0</v>
      </c>
      <c r="Q78" s="74">
        <f ca="1">IFERROR(__xludf.DUMMYFUNCTION("IMPORTRANGE(""https://docs.google.com/spreadsheets/d/1ItG2mGa2ceCfYo0BwxsXqNm01IGEUdYcSSLTEv9YCik/edit?usp=sharing"",""เบิกจ่ายกองทุน!AS73"")"),0)</f>
        <v>0</v>
      </c>
      <c r="R78" s="74">
        <f ca="1">IFERROR(__xludf.DUMMYFUNCTION("IMPORTRANGE(""https://docs.google.com/spreadsheets/d/1ItG2mGa2ceCfYo0BwxsXqNm01IGEUdYcSSLTEv9YCik/edit?usp=sharing"",""เบิกจ่ายกองทุน!AT73"")"),0)</f>
        <v>0</v>
      </c>
      <c r="S78" s="74">
        <f ca="1">IFERROR(__xludf.DUMMYFUNCTION("IMPORTRANGE(""https://docs.google.com/spreadsheets/d/1ItG2mGa2ceCfYo0BwxsXqNm01IGEUdYcSSLTEv9YCik/edit?usp=sharing"",""เบิกจ่ายกองทุน!AU73"")"),0)</f>
        <v>0</v>
      </c>
      <c r="T78" s="74">
        <f t="shared" ca="1" si="47"/>
        <v>0</v>
      </c>
      <c r="U78" s="74">
        <f t="shared" ca="1" si="48"/>
        <v>0</v>
      </c>
    </row>
    <row r="79" spans="1:21" ht="18.75" hidden="1" x14ac:dyDescent="0.25">
      <c r="A79" s="257"/>
      <c r="B79" s="258"/>
      <c r="C79" s="258"/>
      <c r="D79" s="270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3">
        <f t="shared" ref="L79:N79" ca="1" si="53">L80+L81</f>
        <v>0</v>
      </c>
      <c r="M79" s="74">
        <f t="shared" ca="1" si="53"/>
        <v>0</v>
      </c>
      <c r="N79" s="74">
        <f t="shared" ca="1" si="53"/>
        <v>0</v>
      </c>
      <c r="O79" s="74">
        <f t="shared" ca="1" si="44"/>
        <v>0</v>
      </c>
      <c r="P79" s="74">
        <f t="shared" ca="1" si="45"/>
        <v>0</v>
      </c>
      <c r="Q79" s="74">
        <f t="shared" ref="Q79:S79" si="54">Q80+Q81</f>
        <v>0</v>
      </c>
      <c r="R79" s="74">
        <f t="shared" si="54"/>
        <v>0</v>
      </c>
      <c r="S79" s="74">
        <f t="shared" si="54"/>
        <v>0</v>
      </c>
      <c r="T79" s="74">
        <f t="shared" si="47"/>
        <v>0</v>
      </c>
      <c r="U79" s="74">
        <f t="shared" si="48"/>
        <v>0</v>
      </c>
    </row>
    <row r="80" spans="1:21" ht="18.75" hidden="1" x14ac:dyDescent="0.25">
      <c r="A80" s="257"/>
      <c r="B80" s="258"/>
      <c r="C80" s="258"/>
      <c r="D80" s="258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77">
        <f t="shared" si="44"/>
        <v>0</v>
      </c>
      <c r="P80" s="77">
        <f t="shared" si="45"/>
        <v>0</v>
      </c>
      <c r="Q80" s="77">
        <v>0</v>
      </c>
      <c r="R80" s="74">
        <v>0</v>
      </c>
      <c r="S80" s="74">
        <v>0</v>
      </c>
      <c r="T80" s="77">
        <f t="shared" si="47"/>
        <v>0</v>
      </c>
      <c r="U80" s="77">
        <f t="shared" si="48"/>
        <v>0</v>
      </c>
    </row>
    <row r="81" spans="1:21" ht="18.75" hidden="1" x14ac:dyDescent="0.25">
      <c r="A81" s="257"/>
      <c r="B81" s="258"/>
      <c r="C81" s="258"/>
      <c r="D81" s="258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3">
        <f ca="1">IFERROR(__xludf.DUMMYFUNCTION("IMPORTRANGE(""https://docs.google.com/spreadsheets/d/1-uDff_7J0KD5mKrp0Vvzr7lt3OU09vwQwhkpOPPYv2Y/edit?usp=sharing"",""งบพรบ!AP73"")"),0)</f>
        <v>0</v>
      </c>
      <c r="M81" s="74">
        <f ca="1">IFERROR(__xludf.DUMMYFUNCTION("IMPORTRANGE(""https://docs.google.com/spreadsheets/d/1-uDff_7J0KD5mKrp0Vvzr7lt3OU09vwQwhkpOPPYv2Y/edit?usp=sharing"",""งบพรบ!AS73"")"),0)</f>
        <v>0</v>
      </c>
      <c r="N81" s="74">
        <f ca="1">IFERROR(__xludf.DUMMYFUNCTION("IMPORTRANGE(""https://docs.google.com/spreadsheets/d/1-uDff_7J0KD5mKrp0Vvzr7lt3OU09vwQwhkpOPPYv2Y/edit?usp=sharing"",""งบพรบ!AU73"")"),0)</f>
        <v>0</v>
      </c>
      <c r="O81" s="74">
        <f t="shared" ca="1" si="44"/>
        <v>0</v>
      </c>
      <c r="P81" s="74">
        <f t="shared" ca="1" si="45"/>
        <v>0</v>
      </c>
      <c r="Q81" s="74">
        <v>0</v>
      </c>
      <c r="R81" s="74">
        <v>0</v>
      </c>
      <c r="S81" s="74">
        <v>0</v>
      </c>
      <c r="T81" s="74">
        <f t="shared" si="47"/>
        <v>0</v>
      </c>
      <c r="U81" s="74">
        <f t="shared" si="48"/>
        <v>0</v>
      </c>
    </row>
    <row r="82" spans="1:21" ht="19.5" hidden="1" x14ac:dyDescent="0.3">
      <c r="A82" s="276"/>
      <c r="B82" s="277"/>
      <c r="C82" s="259" t="s">
        <v>18</v>
      </c>
      <c r="D82" s="1019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hidden="1" x14ac:dyDescent="0.3">
      <c r="A83" s="276"/>
      <c r="B83" s="277"/>
      <c r="C83" s="277"/>
      <c r="D83" s="767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0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hidden="1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0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hidden="1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IFERROR(__xludf.DUMMYFUNCTION("IMPORTRANGE(""https://docs.google.com/spreadsheets/d/1eHaY18a8A9IcSdp1K8H6x8fbOy06t2VsZHhMHf-1x7Y/edit?usp=sharing"",""แผน!H73"")"),0)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hidden="1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IFERROR(__xludf.DUMMYFUNCTION("IMPORTRANGE(""https://docs.google.com/spreadsheets/d/1eHaY18a8A9IcSdp1K8H6x8fbOy06t2VsZHhMHf-1x7Y/edit?usp=sharing"",""แผน!I73"")"),0)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hidden="1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IFERROR(__xludf.DUMMYFUNCTION("IMPORTRANGE(""https://docs.google.com/spreadsheets/d/1eHaY18a8A9IcSdp1K8H6x8fbOy06t2VsZHhMHf-1x7Y/edit?usp=sharing"",""แผน!F73"")"),0)</f>
        <v>0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hidden="1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IFERROR(__xludf.DUMMYFUNCTION("IMPORTRANGE(""https://docs.google.com/spreadsheets/d/1eHaY18a8A9IcSdp1K8H6x8fbOy06t2VsZHhMHf-1x7Y/edit?usp=sharing"",""แผน!G73"")"),0)</f>
        <v>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hidden="1" x14ac:dyDescent="0.25">
      <c r="A89" s="276"/>
      <c r="B89" s="277"/>
      <c r="C89" s="277"/>
      <c r="D89" s="277"/>
      <c r="E89" s="295" t="s">
        <v>42</v>
      </c>
      <c r="F89" s="296"/>
      <c r="G89" s="282"/>
      <c r="H89" s="299" t="s">
        <v>34</v>
      </c>
      <c r="I89" s="298">
        <f ca="1">IFERROR(__xludf.DUMMYFUNCTION("IMPORTRANGE(""https://docs.google.com/spreadsheets/d/1eHaY18a8A9IcSdp1K8H6x8fbOy06t2VsZHhMHf-1x7Y/edit?usp=sharing"",""แผน!D73"")"),0)</f>
        <v>0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hidden="1" x14ac:dyDescent="0.25">
      <c r="A90" s="276"/>
      <c r="B90" s="277"/>
      <c r="C90" s="277"/>
      <c r="D90" s="277"/>
      <c r="E90" s="296"/>
      <c r="F90" s="296"/>
      <c r="G90" s="282"/>
      <c r="H90" s="299" t="s">
        <v>35</v>
      </c>
      <c r="I90" s="298">
        <f ca="1">IFERROR(__xludf.DUMMYFUNCTION("IMPORTRANGE(""https://docs.google.com/spreadsheets/d/1eHaY18a8A9IcSdp1K8H6x8fbOy06t2VsZHhMHf-1x7Y/edit?usp=sharing"",""แผน!E73"")"),0)</f>
        <v>0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hidden="1" x14ac:dyDescent="0.25">
      <c r="A91" s="276"/>
      <c r="B91" s="277"/>
      <c r="C91" s="277"/>
      <c r="D91" s="767" t="s">
        <v>43</v>
      </c>
      <c r="E91" s="296"/>
      <c r="F91" s="296"/>
      <c r="G91" s="282"/>
      <c r="H91" s="1165" t="s">
        <v>34</v>
      </c>
      <c r="I91" s="298">
        <f ca="1">IFERROR(__xludf.DUMMYFUNCTION("IMPORTRANGE(""https://docs.google.com/spreadsheets/d/1eHaY18a8A9IcSdp1K8H6x8fbOy06t2VsZHhMHf-1x7Y/edit?usp=sharing"",""แผน!J73"")"),0)</f>
        <v>0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hidden="1" x14ac:dyDescent="0.3">
      <c r="A92" s="1099" t="s">
        <v>44</v>
      </c>
      <c r="B92" s="691"/>
      <c r="C92" s="693"/>
      <c r="D92" s="691"/>
      <c r="E92" s="691"/>
      <c r="F92" s="691"/>
      <c r="G92" s="1100"/>
      <c r="H92" s="1100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hidden="1" x14ac:dyDescent="0.3">
      <c r="A93" s="250"/>
      <c r="B93" s="251" t="s">
        <v>45</v>
      </c>
      <c r="C93" s="252"/>
      <c r="D93" s="253"/>
      <c r="E93" s="252"/>
      <c r="F93" s="252"/>
      <c r="G93" s="254"/>
      <c r="H93" s="1296" t="s">
        <v>46</v>
      </c>
      <c r="I93" s="256">
        <f t="shared" ref="I93:J94" ca="1" si="57">I109</f>
        <v>0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hidden="1" x14ac:dyDescent="0.3">
      <c r="A94" s="250"/>
      <c r="B94" s="252"/>
      <c r="C94" s="252"/>
      <c r="D94" s="253"/>
      <c r="E94" s="252"/>
      <c r="F94" s="252"/>
      <c r="G94" s="254"/>
      <c r="H94" s="1296" t="s">
        <v>35</v>
      </c>
      <c r="I94" s="256">
        <f t="shared" ca="1" si="57"/>
        <v>0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hidden="1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1257">
        <f t="shared" ref="L95:N95" ca="1" si="59">L96+L97</f>
        <v>0</v>
      </c>
      <c r="M95" s="264">
        <f t="shared" ca="1" si="59"/>
        <v>0</v>
      </c>
      <c r="N95" s="264">
        <f t="shared" ca="1" si="59"/>
        <v>0</v>
      </c>
      <c r="O95" s="264">
        <f t="shared" ref="O95:O103" ca="1" si="60">IF(L95&gt;0,N95*100/L95,0)</f>
        <v>0</v>
      </c>
      <c r="P95" s="264">
        <f t="shared" ref="P95:P103" ca="1" si="61">IF(M95&gt;0,N95*100/M95,0)</f>
        <v>0</v>
      </c>
      <c r="Q95" s="264">
        <f t="shared" ref="Q95:S95" ca="1" si="62">Q96+Q97</f>
        <v>0</v>
      </c>
      <c r="R95" s="264">
        <f t="shared" ca="1" si="62"/>
        <v>0</v>
      </c>
      <c r="S95" s="264">
        <f t="shared" ca="1" si="62"/>
        <v>0</v>
      </c>
      <c r="T95" s="264">
        <f t="shared" ref="T95:T103" ca="1" si="63">IF(Q95&gt;0,S95*100/Q95,0)</f>
        <v>0</v>
      </c>
      <c r="U95" s="264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6">
        <f t="shared" ref="L96:N97" si="65">L99+L102</f>
        <v>0</v>
      </c>
      <c r="M96" s="77">
        <f t="shared" si="65"/>
        <v>0</v>
      </c>
      <c r="N96" s="77">
        <f t="shared" si="65"/>
        <v>0</v>
      </c>
      <c r="O96" s="77">
        <f t="shared" si="60"/>
        <v>0</v>
      </c>
      <c r="P96" s="77">
        <f t="shared" si="61"/>
        <v>0</v>
      </c>
      <c r="Q96" s="77">
        <f t="shared" ref="Q96:S97" si="66">Q99+Q102</f>
        <v>0</v>
      </c>
      <c r="R96" s="77">
        <f t="shared" si="66"/>
        <v>0</v>
      </c>
      <c r="S96" s="77">
        <f t="shared" si="66"/>
        <v>0</v>
      </c>
      <c r="T96" s="77">
        <f t="shared" si="63"/>
        <v>0</v>
      </c>
      <c r="U96" s="77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3">
        <f t="shared" ca="1" si="65"/>
        <v>0</v>
      </c>
      <c r="M97" s="74">
        <f t="shared" ca="1" si="65"/>
        <v>0</v>
      </c>
      <c r="N97" s="74">
        <f t="shared" ca="1" si="65"/>
        <v>0</v>
      </c>
      <c r="O97" s="74">
        <f t="shared" ca="1" si="60"/>
        <v>0</v>
      </c>
      <c r="P97" s="74">
        <f t="shared" ca="1" si="61"/>
        <v>0</v>
      </c>
      <c r="Q97" s="74">
        <f t="shared" ca="1" si="66"/>
        <v>0</v>
      </c>
      <c r="R97" s="74">
        <f t="shared" ca="1" si="66"/>
        <v>0</v>
      </c>
      <c r="S97" s="74">
        <f t="shared" ca="1" si="66"/>
        <v>0</v>
      </c>
      <c r="T97" s="74">
        <f t="shared" ca="1" si="63"/>
        <v>0</v>
      </c>
      <c r="U97" s="74">
        <f t="shared" ca="1" si="64"/>
        <v>0</v>
      </c>
    </row>
    <row r="98" spans="1:21" ht="18.75" hidden="1" x14ac:dyDescent="0.25">
      <c r="A98" s="257"/>
      <c r="B98" s="258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3">
        <f t="shared" ref="L98:N98" ca="1" si="67">L99+L100</f>
        <v>0</v>
      </c>
      <c r="M98" s="74">
        <f t="shared" ca="1" si="67"/>
        <v>0</v>
      </c>
      <c r="N98" s="74">
        <f t="shared" ca="1" si="67"/>
        <v>0</v>
      </c>
      <c r="O98" s="74">
        <f t="shared" ca="1" si="60"/>
        <v>0</v>
      </c>
      <c r="P98" s="74">
        <f t="shared" ca="1" si="61"/>
        <v>0</v>
      </c>
      <c r="Q98" s="74">
        <f t="shared" ref="Q98:S98" ca="1" si="68">Q99+Q100</f>
        <v>0</v>
      </c>
      <c r="R98" s="74">
        <f t="shared" ca="1" si="68"/>
        <v>0</v>
      </c>
      <c r="S98" s="74">
        <f t="shared" ca="1" si="68"/>
        <v>0</v>
      </c>
      <c r="T98" s="74">
        <f t="shared" ca="1" si="63"/>
        <v>0</v>
      </c>
      <c r="U98" s="74">
        <f t="shared" ca="1" si="64"/>
        <v>0</v>
      </c>
    </row>
    <row r="99" spans="1:21" ht="18.75" hidden="1" x14ac:dyDescent="0.25">
      <c r="A99" s="257"/>
      <c r="B99" s="258"/>
      <c r="C99" s="258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77">
        <f t="shared" si="60"/>
        <v>0</v>
      </c>
      <c r="P99" s="77">
        <f t="shared" si="61"/>
        <v>0</v>
      </c>
      <c r="Q99" s="77">
        <v>0</v>
      </c>
      <c r="R99" s="77">
        <v>0</v>
      </c>
      <c r="S99" s="77">
        <v>0</v>
      </c>
      <c r="T99" s="77">
        <f t="shared" si="63"/>
        <v>0</v>
      </c>
      <c r="U99" s="77">
        <f t="shared" si="64"/>
        <v>0</v>
      </c>
    </row>
    <row r="100" spans="1:21" ht="18.75" hidden="1" x14ac:dyDescent="0.25">
      <c r="A100" s="257"/>
      <c r="B100" s="258"/>
      <c r="C100" s="258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3">
        <f ca="1">IFERROR(__xludf.DUMMYFUNCTION("IMPORTRANGE(""https://docs.google.com/spreadsheets/d/1-uDff_7J0KD5mKrp0Vvzr7lt3OU09vwQwhkpOPPYv2Y/edit?usp=sharing"",""งบพรบ!AW73"")"),0)</f>
        <v>0</v>
      </c>
      <c r="M100" s="74">
        <f ca="1">IFERROR(__xludf.DUMMYFUNCTION("IMPORTRANGE(""https://docs.google.com/spreadsheets/d/1-uDff_7J0KD5mKrp0Vvzr7lt3OU09vwQwhkpOPPYv2Y/edit?usp=sharing"",""งบพรบ!BB73"")"),0)</f>
        <v>0</v>
      </c>
      <c r="N100" s="74">
        <f ca="1">IFERROR(__xludf.DUMMYFUNCTION("IMPORTRANGE(""https://docs.google.com/spreadsheets/d/1-uDff_7J0KD5mKrp0Vvzr7lt3OU09vwQwhkpOPPYv2Y/edit?usp=sharing"",""งบพรบ!BD73"")"),0)</f>
        <v>0</v>
      </c>
      <c r="O100" s="74">
        <f t="shared" ca="1" si="60"/>
        <v>0</v>
      </c>
      <c r="P100" s="74">
        <f t="shared" ca="1" si="61"/>
        <v>0</v>
      </c>
      <c r="Q100" s="74">
        <f ca="1">IFERROR(__xludf.DUMMYFUNCTION("IMPORTRANGE(""https://docs.google.com/spreadsheets/d/1ItG2mGa2ceCfYo0BwxsXqNm01IGEUdYcSSLTEv9YCik/edit?usp=sharing"",""เบิกจ่ายกองทุน!AD73"")"),0)</f>
        <v>0</v>
      </c>
      <c r="R100" s="74">
        <f ca="1">IFERROR(__xludf.DUMMYFUNCTION("IMPORTRANGE(""https://docs.google.com/spreadsheets/d/1ItG2mGa2ceCfYo0BwxsXqNm01IGEUdYcSSLTEv9YCik/edit?usp=sharing"",""เบิกจ่ายกองทุน!AE73"")"),0)</f>
        <v>0</v>
      </c>
      <c r="S100" s="74">
        <f ca="1">IFERROR(__xludf.DUMMYFUNCTION("IMPORTRANGE(""https://docs.google.com/spreadsheets/d/1ItG2mGa2ceCfYo0BwxsXqNm01IGEUdYcSSLTEv9YCik/edit?usp=sharing"",""เบิกจ่ายกองทุน!AF73"")"),0)</f>
        <v>0</v>
      </c>
      <c r="T100" s="74">
        <f t="shared" ca="1" si="63"/>
        <v>0</v>
      </c>
      <c r="U100" s="74">
        <f t="shared" ca="1" si="64"/>
        <v>0</v>
      </c>
    </row>
    <row r="101" spans="1:21" ht="18.75" hidden="1" x14ac:dyDescent="0.25">
      <c r="A101" s="257"/>
      <c r="B101" s="258"/>
      <c r="C101" s="258"/>
      <c r="D101" s="270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3">
        <f t="shared" ref="L101:N101" ca="1" si="69">L102+L103</f>
        <v>0</v>
      </c>
      <c r="M101" s="74">
        <f t="shared" ca="1" si="69"/>
        <v>0</v>
      </c>
      <c r="N101" s="74">
        <f t="shared" ca="1" si="69"/>
        <v>0</v>
      </c>
      <c r="O101" s="74">
        <f t="shared" ca="1" si="60"/>
        <v>0</v>
      </c>
      <c r="P101" s="74">
        <f t="shared" ca="1" si="61"/>
        <v>0</v>
      </c>
      <c r="Q101" s="74">
        <f t="shared" ref="Q101:S101" si="70">Q102+Q103</f>
        <v>0</v>
      </c>
      <c r="R101" s="74">
        <f t="shared" si="70"/>
        <v>0</v>
      </c>
      <c r="S101" s="74">
        <f t="shared" si="70"/>
        <v>0</v>
      </c>
      <c r="T101" s="74">
        <f t="shared" si="63"/>
        <v>0</v>
      </c>
      <c r="U101" s="74">
        <f t="shared" si="64"/>
        <v>0</v>
      </c>
    </row>
    <row r="102" spans="1:21" ht="18.75" hidden="1" x14ac:dyDescent="0.25">
      <c r="A102" s="257"/>
      <c r="B102" s="258"/>
      <c r="C102" s="258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77">
        <f t="shared" si="60"/>
        <v>0</v>
      </c>
      <c r="P102" s="77">
        <f t="shared" si="61"/>
        <v>0</v>
      </c>
      <c r="Q102" s="77">
        <v>0</v>
      </c>
      <c r="R102" s="77">
        <v>0</v>
      </c>
      <c r="S102" s="77">
        <v>0</v>
      </c>
      <c r="T102" s="77">
        <f t="shared" si="63"/>
        <v>0</v>
      </c>
      <c r="U102" s="77">
        <f t="shared" si="64"/>
        <v>0</v>
      </c>
    </row>
    <row r="103" spans="1:21" ht="18.75" hidden="1" x14ac:dyDescent="0.25">
      <c r="A103" s="257"/>
      <c r="B103" s="258"/>
      <c r="C103" s="258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3">
        <f ca="1">IFERROR(__xludf.DUMMYFUNCTION("IMPORTRANGE(""https://docs.google.com/spreadsheets/d/1-uDff_7J0KD5mKrp0Vvzr7lt3OU09vwQwhkpOPPYv2Y/edit?usp=sharing"",""งบพรบ!AZ73"")"),0)</f>
        <v>0</v>
      </c>
      <c r="M103" s="74">
        <f ca="1">IFERROR(__xludf.DUMMYFUNCTION("IMPORTRANGE(""https://docs.google.com/spreadsheets/d/1-uDff_7J0KD5mKrp0Vvzr7lt3OU09vwQwhkpOPPYv2Y/edit?usp=sharing"",""งบพรบ!BC73"")"),0)</f>
        <v>0</v>
      </c>
      <c r="N103" s="74">
        <f ca="1">IFERROR(__xludf.DUMMYFUNCTION("IMPORTRANGE(""https://docs.google.com/spreadsheets/d/1-uDff_7J0KD5mKrp0Vvzr7lt3OU09vwQwhkpOPPYv2Y/edit?usp=sharing"",""งบพรบ!BE73"")"),0)</f>
        <v>0</v>
      </c>
      <c r="O103" s="74">
        <f t="shared" ca="1" si="60"/>
        <v>0</v>
      </c>
      <c r="P103" s="74">
        <f t="shared" ca="1" si="61"/>
        <v>0</v>
      </c>
      <c r="Q103" s="74">
        <v>0</v>
      </c>
      <c r="R103" s="74">
        <v>0</v>
      </c>
      <c r="S103" s="74">
        <v>0</v>
      </c>
      <c r="T103" s="74">
        <f t="shared" si="63"/>
        <v>0</v>
      </c>
      <c r="U103" s="74">
        <f t="shared" si="64"/>
        <v>0</v>
      </c>
    </row>
    <row r="104" spans="1:21" ht="19.5" hidden="1" x14ac:dyDescent="0.3">
      <c r="A104" s="276"/>
      <c r="B104" s="277"/>
      <c r="C104" s="259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hidden="1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IFERROR(__xludf.DUMMYFUNCTION("IMPORTRANGE(""https://docs.google.com/spreadsheets/d/1eHaY18a8A9IcSdp1K8H6x8fbOy06t2VsZHhMHf-1x7Y/edit?usp=sharing"",""แผน!N73"")"),0)</f>
        <v>0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hidden="1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IFERROR(__xludf.DUMMYFUNCTION("IMPORTRANGE(""https://docs.google.com/spreadsheets/d/1eHaY18a8A9IcSdp1K8H6x8fbOy06t2VsZHhMHf-1x7Y/edit?usp=sharing"",""แผน!O73"")"),0)</f>
        <v>0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5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2.75" hidden="1" x14ac:dyDescent="0.2">
      <c r="A114" s="283"/>
      <c r="B114" s="284"/>
      <c r="C114" s="284"/>
      <c r="D114" s="285"/>
      <c r="E114" s="285"/>
      <c r="F114" s="285"/>
      <c r="G114" s="286"/>
      <c r="H114" s="286"/>
      <c r="I114" s="287">
        <v>0</v>
      </c>
      <c r="J114" s="287">
        <v>0</v>
      </c>
      <c r="K114" s="30"/>
      <c r="L114" s="29"/>
      <c r="M114" s="30"/>
      <c r="N114" s="30"/>
      <c r="O114" s="30"/>
      <c r="P114" s="30"/>
      <c r="Q114" s="30"/>
      <c r="R114" s="30"/>
      <c r="S114" s="30"/>
      <c r="T114" s="30"/>
      <c r="U114" s="30"/>
    </row>
    <row r="115" spans="1:21" ht="18.75" hidden="1" x14ac:dyDescent="0.25">
      <c r="A115" s="276"/>
      <c r="B115" s="277"/>
      <c r="C115" s="277"/>
      <c r="D115" s="295" t="s">
        <v>50</v>
      </c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IFERROR(__xludf.DUMMYFUNCTION("IMPORTRANGE(""https://docs.google.com/spreadsheets/d/1eHaY18a8A9IcSdp1K8H6x8fbOy06t2VsZHhMHf-1x7Y/edit?usp=sharing"",""แผน!R73"")"),0)</f>
        <v>0</v>
      </c>
      <c r="J115" s="294">
        <v>0</v>
      </c>
      <c r="K115" s="74">
        <f ca="1">IF(I115&gt;0,J115*100/I115,0)</f>
        <v>0</v>
      </c>
      <c r="L115" s="86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hidden="1" x14ac:dyDescent="0.3">
      <c r="A116" s="243" t="s">
        <v>51</v>
      </c>
      <c r="B116" s="245"/>
      <c r="C116" s="300"/>
      <c r="D116" s="244"/>
      <c r="E116" s="244"/>
      <c r="F116" s="244"/>
      <c r="G116" s="244"/>
      <c r="H116" s="245"/>
      <c r="I116" s="301"/>
      <c r="J116" s="301"/>
      <c r="K116" s="302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hidden="1" x14ac:dyDescent="0.3">
      <c r="A117" s="250"/>
      <c r="B117" s="303" t="s">
        <v>52</v>
      </c>
      <c r="C117" s="304"/>
      <c r="D117" s="253"/>
      <c r="E117" s="252"/>
      <c r="F117" s="252"/>
      <c r="G117" s="254"/>
      <c r="H117" s="305" t="s">
        <v>35</v>
      </c>
      <c r="I117" s="256">
        <f t="shared" ref="I117:J117" ca="1" si="72">I128</f>
        <v>0</v>
      </c>
      <c r="J117" s="256">
        <f t="shared" si="72"/>
        <v>0</v>
      </c>
      <c r="K117" s="59">
        <f ca="1">IF(I117&gt;0,J117*100/I117,0)</f>
        <v>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hidden="1" x14ac:dyDescent="0.3">
      <c r="A118" s="257"/>
      <c r="B118" s="269"/>
      <c r="C118" s="621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1257">
        <f t="shared" ref="L118:N118" ca="1" si="73">L119+L120</f>
        <v>0</v>
      </c>
      <c r="M118" s="264">
        <f t="shared" ca="1" si="73"/>
        <v>0</v>
      </c>
      <c r="N118" s="264">
        <f t="shared" ca="1" si="73"/>
        <v>0</v>
      </c>
      <c r="O118" s="264">
        <f t="shared" ref="O118:O126" ca="1" si="74">IF(L118&gt;0,N118*100/L118,0)</f>
        <v>0</v>
      </c>
      <c r="P118" s="264">
        <f t="shared" ref="P118:P126" ca="1" si="75">IF(M118&gt;0,N118*100/M118,0)</f>
        <v>0</v>
      </c>
      <c r="Q118" s="264">
        <f t="shared" ref="Q118:S118" ca="1" si="76">Q119+Q120</f>
        <v>0</v>
      </c>
      <c r="R118" s="264">
        <f t="shared" ca="1" si="76"/>
        <v>0</v>
      </c>
      <c r="S118" s="264">
        <f t="shared" ca="1" si="76"/>
        <v>0</v>
      </c>
      <c r="T118" s="264">
        <f t="shared" ref="T118:T126" ca="1" si="77">IF(Q118&gt;0,S118*100/Q118,0)</f>
        <v>0</v>
      </c>
      <c r="U118" s="264">
        <f t="shared" ref="U118:U126" ca="1" si="78">IF(R118&gt;0,S118*100/R118,0)</f>
        <v>0</v>
      </c>
    </row>
    <row r="119" spans="1:21" ht="18.75" hidden="1" x14ac:dyDescent="0.25">
      <c r="A119" s="257"/>
      <c r="B119" s="269"/>
      <c r="C119" s="269"/>
      <c r="D119" s="269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6">
        <f t="shared" ref="L119:N120" si="79">L122+L125</f>
        <v>0</v>
      </c>
      <c r="M119" s="77">
        <f t="shared" si="79"/>
        <v>0</v>
      </c>
      <c r="N119" s="77">
        <f t="shared" si="79"/>
        <v>0</v>
      </c>
      <c r="O119" s="77">
        <f t="shared" si="74"/>
        <v>0</v>
      </c>
      <c r="P119" s="77">
        <f t="shared" si="75"/>
        <v>0</v>
      </c>
      <c r="Q119" s="77">
        <f t="shared" ref="Q119:S120" si="80">Q122+Q125</f>
        <v>0</v>
      </c>
      <c r="R119" s="77">
        <f t="shared" si="80"/>
        <v>0</v>
      </c>
      <c r="S119" s="77">
        <f t="shared" si="80"/>
        <v>0</v>
      </c>
      <c r="T119" s="77">
        <f t="shared" si="77"/>
        <v>0</v>
      </c>
      <c r="U119" s="77">
        <f t="shared" si="78"/>
        <v>0</v>
      </c>
    </row>
    <row r="120" spans="1:21" ht="18.75" hidden="1" x14ac:dyDescent="0.25">
      <c r="A120" s="257"/>
      <c r="B120" s="269"/>
      <c r="C120" s="269"/>
      <c r="D120" s="269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3">
        <f t="shared" ca="1" si="79"/>
        <v>0</v>
      </c>
      <c r="M120" s="74">
        <f t="shared" ca="1" si="79"/>
        <v>0</v>
      </c>
      <c r="N120" s="74">
        <f t="shared" ca="1" si="79"/>
        <v>0</v>
      </c>
      <c r="O120" s="74">
        <f t="shared" ca="1" si="74"/>
        <v>0</v>
      </c>
      <c r="P120" s="74">
        <f t="shared" ca="1" si="75"/>
        <v>0</v>
      </c>
      <c r="Q120" s="74">
        <f t="shared" ca="1" si="80"/>
        <v>0</v>
      </c>
      <c r="R120" s="74">
        <f t="shared" ca="1" si="80"/>
        <v>0</v>
      </c>
      <c r="S120" s="74">
        <f t="shared" ca="1" si="80"/>
        <v>0</v>
      </c>
      <c r="T120" s="74">
        <f t="shared" ca="1" si="77"/>
        <v>0</v>
      </c>
      <c r="U120" s="74">
        <f t="shared" ca="1" si="78"/>
        <v>0</v>
      </c>
    </row>
    <row r="121" spans="1:21" ht="18.75" hidden="1" x14ac:dyDescent="0.25">
      <c r="A121" s="257"/>
      <c r="B121" s="269"/>
      <c r="C121" s="306"/>
      <c r="D121" s="967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3">
        <f t="shared" ref="L121:N121" ca="1" si="81">L122+L123</f>
        <v>0</v>
      </c>
      <c r="M121" s="74">
        <f t="shared" ca="1" si="81"/>
        <v>0</v>
      </c>
      <c r="N121" s="74">
        <f t="shared" ca="1" si="81"/>
        <v>0</v>
      </c>
      <c r="O121" s="74">
        <f t="shared" ca="1" si="74"/>
        <v>0</v>
      </c>
      <c r="P121" s="74">
        <f t="shared" ca="1" si="75"/>
        <v>0</v>
      </c>
      <c r="Q121" s="74">
        <f t="shared" ref="Q121:S121" ca="1" si="82">Q122+Q123</f>
        <v>0</v>
      </c>
      <c r="R121" s="74">
        <f t="shared" ca="1" si="82"/>
        <v>0</v>
      </c>
      <c r="S121" s="74">
        <f t="shared" ca="1" si="82"/>
        <v>0</v>
      </c>
      <c r="T121" s="74">
        <f t="shared" ca="1" si="77"/>
        <v>0</v>
      </c>
      <c r="U121" s="74">
        <f t="shared" ca="1" si="78"/>
        <v>0</v>
      </c>
    </row>
    <row r="122" spans="1:21" ht="18.75" hidden="1" x14ac:dyDescent="0.25">
      <c r="A122" s="257"/>
      <c r="B122" s="269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77">
        <f t="shared" si="74"/>
        <v>0</v>
      </c>
      <c r="P122" s="77">
        <f t="shared" si="75"/>
        <v>0</v>
      </c>
      <c r="Q122" s="77">
        <v>0</v>
      </c>
      <c r="R122" s="77">
        <v>0</v>
      </c>
      <c r="S122" s="77">
        <v>0</v>
      </c>
      <c r="T122" s="77">
        <f t="shared" si="77"/>
        <v>0</v>
      </c>
      <c r="U122" s="77">
        <f t="shared" si="78"/>
        <v>0</v>
      </c>
    </row>
    <row r="123" spans="1:21" ht="18.75" hidden="1" x14ac:dyDescent="0.25">
      <c r="A123" s="257"/>
      <c r="B123" s="269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3">
        <f ca="1">IFERROR(__xludf.DUMMYFUNCTION("IMPORTRANGE(""https://docs.google.com/spreadsheets/d/1-uDff_7J0KD5mKrp0Vvzr7lt3OU09vwQwhkpOPPYv2Y/edit?usp=sharing"",""งบพรบ!BG73"")"),0)</f>
        <v>0</v>
      </c>
      <c r="M123" s="74">
        <f ca="1">IFERROR(__xludf.DUMMYFUNCTION("IMPORTRANGE(""https://docs.google.com/spreadsheets/d/1-uDff_7J0KD5mKrp0Vvzr7lt3OU09vwQwhkpOPPYv2Y/edit?usp=sharing"",""งบพรบ!BL73"")"),0)</f>
        <v>0</v>
      </c>
      <c r="N123" s="74">
        <f ca="1">IFERROR(__xludf.DUMMYFUNCTION("IMPORTRANGE(""https://docs.google.com/spreadsheets/d/1-uDff_7J0KD5mKrp0Vvzr7lt3OU09vwQwhkpOPPYv2Y/edit?usp=sharing"",""งบพรบ!BN73"")"),0)</f>
        <v>0</v>
      </c>
      <c r="O123" s="74">
        <f t="shared" ca="1" si="74"/>
        <v>0</v>
      </c>
      <c r="P123" s="74">
        <f t="shared" ca="1" si="75"/>
        <v>0</v>
      </c>
      <c r="Q123" s="74">
        <f ca="1">IFERROR(__xludf.DUMMYFUNCTION("IMPORTRANGE(""https://docs.google.com/spreadsheets/d/1ItG2mGa2ceCfYo0BwxsXqNm01IGEUdYcSSLTEv9YCik/edit?usp=sharing"",""เบิกจ่ายกองทุน!R73"")"),0)</f>
        <v>0</v>
      </c>
      <c r="R123" s="74">
        <f ca="1">IFERROR(__xludf.DUMMYFUNCTION("IMPORTRANGE(""https://docs.google.com/spreadsheets/d/1ItG2mGa2ceCfYo0BwxsXqNm01IGEUdYcSSLTEv9YCik/edit?usp=sharing"",""เบิกจ่ายกองทุน!S73"")"),0)</f>
        <v>0</v>
      </c>
      <c r="S123" s="74">
        <f ca="1">IFERROR(__xludf.DUMMYFUNCTION("IMPORTRANGE(""https://docs.google.com/spreadsheets/d/1ItG2mGa2ceCfYo0BwxsXqNm01IGEUdYcSSLTEv9YCik/edit?usp=sharing"",""เบิกจ่ายกองทุน!T73"")"),0)</f>
        <v>0</v>
      </c>
      <c r="T123" s="74">
        <f t="shared" ca="1" si="77"/>
        <v>0</v>
      </c>
      <c r="U123" s="74">
        <f t="shared" ca="1" si="78"/>
        <v>0</v>
      </c>
    </row>
    <row r="124" spans="1:21" ht="18.75" hidden="1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3">
        <f t="shared" ref="L124:N124" ca="1" si="83">L125+L126</f>
        <v>0</v>
      </c>
      <c r="M124" s="74">
        <f t="shared" ca="1" si="83"/>
        <v>0</v>
      </c>
      <c r="N124" s="74">
        <f t="shared" ca="1" si="83"/>
        <v>0</v>
      </c>
      <c r="O124" s="74">
        <f t="shared" ca="1" si="74"/>
        <v>0</v>
      </c>
      <c r="P124" s="74">
        <f t="shared" ca="1" si="75"/>
        <v>0</v>
      </c>
      <c r="Q124" s="74">
        <f t="shared" ref="Q124:S124" si="84">Q125+Q126</f>
        <v>0</v>
      </c>
      <c r="R124" s="74">
        <f t="shared" si="84"/>
        <v>0</v>
      </c>
      <c r="S124" s="74">
        <f t="shared" si="84"/>
        <v>0</v>
      </c>
      <c r="T124" s="74">
        <f t="shared" si="77"/>
        <v>0</v>
      </c>
      <c r="U124" s="74">
        <f t="shared" si="78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77">
        <f t="shared" si="74"/>
        <v>0</v>
      </c>
      <c r="P125" s="77">
        <f t="shared" si="75"/>
        <v>0</v>
      </c>
      <c r="Q125" s="77">
        <v>0</v>
      </c>
      <c r="R125" s="77">
        <v>0</v>
      </c>
      <c r="S125" s="77">
        <v>0</v>
      </c>
      <c r="T125" s="77">
        <f t="shared" si="77"/>
        <v>0</v>
      </c>
      <c r="U125" s="77">
        <f t="shared" si="78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3">
        <f ca="1">IFERROR(__xludf.DUMMYFUNCTION("IMPORTRANGE(""https://docs.google.com/spreadsheets/d/1-uDff_7J0KD5mKrp0Vvzr7lt3OU09vwQwhkpOPPYv2Y/edit?usp=sharing"",""งบพรบ!BJ73"")"),0)</f>
        <v>0</v>
      </c>
      <c r="M126" s="74">
        <f ca="1">IFERROR(__xludf.DUMMYFUNCTION("IMPORTRANGE(""https://docs.google.com/spreadsheets/d/1-uDff_7J0KD5mKrp0Vvzr7lt3OU09vwQwhkpOPPYv2Y/edit?usp=sharing"",""งบพรบ!BM73"")"),0)</f>
        <v>0</v>
      </c>
      <c r="N126" s="74">
        <f ca="1">IFERROR(__xludf.DUMMYFUNCTION("IMPORTRANGE(""https://docs.google.com/spreadsheets/d/1-uDff_7J0KD5mKrp0Vvzr7lt3OU09vwQwhkpOPPYv2Y/edit?usp=sharing"",""งบพรบ!BO73"")"),0)</f>
        <v>0</v>
      </c>
      <c r="O126" s="74">
        <f t="shared" ca="1" si="74"/>
        <v>0</v>
      </c>
      <c r="P126" s="74">
        <f t="shared" ca="1" si="75"/>
        <v>0</v>
      </c>
      <c r="Q126" s="74">
        <v>0</v>
      </c>
      <c r="R126" s="74">
        <v>0</v>
      </c>
      <c r="S126" s="74">
        <v>0</v>
      </c>
      <c r="T126" s="74">
        <f t="shared" si="77"/>
        <v>0</v>
      </c>
      <c r="U126" s="74">
        <f t="shared" si="78"/>
        <v>0</v>
      </c>
    </row>
    <row r="127" spans="1:21" ht="19.5" hidden="1" x14ac:dyDescent="0.3">
      <c r="A127" s="276"/>
      <c r="B127" s="277"/>
      <c r="C127" s="309" t="s">
        <v>18</v>
      </c>
      <c r="D127" s="1019" t="s">
        <v>38</v>
      </c>
      <c r="E127" s="280"/>
      <c r="F127" s="280"/>
      <c r="G127" s="281"/>
      <c r="H127" s="310"/>
      <c r="I127" s="263"/>
      <c r="J127" s="263"/>
      <c r="K127" s="87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hidden="1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IFERROR(__xludf.DUMMYFUNCTION("IMPORTRANGE(""https://docs.google.com/spreadsheets/d/1eHaY18a8A9IcSdp1K8H6x8fbOy06t2VsZHhMHf-1x7Y/edit?usp=sharing"",""แผน!FF73"")"),0)</f>
        <v>0</v>
      </c>
      <c r="J128" s="294">
        <v>0</v>
      </c>
      <c r="K128" s="74">
        <f t="shared" ref="K128:K131" ca="1" si="85">IF(I128&gt;0,J128*100/I128,0)</f>
        <v>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hidden="1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IFERROR(__xludf.DUMMYFUNCTION("IMPORTRANGE(""https://docs.google.com/spreadsheets/d/1eHaY18a8A9IcSdp1K8H6x8fbOy06t2VsZHhMHf-1x7Y/edit?usp=sharing"",""แผน!FG73"")"),0)</f>
        <v>0</v>
      </c>
      <c r="J129" s="294">
        <v>0</v>
      </c>
      <c r="K129" s="74">
        <f t="shared" ca="1" si="85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hidden="1" x14ac:dyDescent="0.25">
      <c r="A130" s="276"/>
      <c r="B130" s="277"/>
      <c r="C130" s="277"/>
      <c r="D130" s="29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IFERROR(__xludf.DUMMYFUNCTION("IMPORTRANGE(""https://docs.google.com/spreadsheets/d/1eHaY18a8A9IcSdp1K8H6x8fbOy06t2VsZHhMHf-1x7Y/edit?usp=sharing"",""แผน!FH73"")"),0)</f>
        <v>0</v>
      </c>
      <c r="J130" s="294">
        <v>0</v>
      </c>
      <c r="K130" s="74">
        <f t="shared" ca="1" si="85"/>
        <v>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hidden="1" x14ac:dyDescent="0.25">
      <c r="A131" s="276"/>
      <c r="B131" s="277"/>
      <c r="C131" s="277"/>
      <c r="D131" s="296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IFERROR(__xludf.DUMMYFUNCTION("IMPORTRANGE(""https://docs.google.com/spreadsheets/d/1eHaY18a8A9IcSdp1K8H6x8fbOy06t2VsZHhMHf-1x7Y/edit?usp=sharing"",""แผน!FI73"")"),0)</f>
        <v>0</v>
      </c>
      <c r="J131" s="294">
        <v>0</v>
      </c>
      <c r="K131" s="74">
        <f t="shared" ca="1" si="85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311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311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hidden="1" x14ac:dyDescent="0.3">
      <c r="A135" s="1099" t="s">
        <v>58</v>
      </c>
      <c r="B135" s="691"/>
      <c r="C135" s="692"/>
      <c r="D135" s="691"/>
      <c r="E135" s="691"/>
      <c r="F135" s="691"/>
      <c r="G135" s="691"/>
      <c r="H135" s="691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hidden="1" x14ac:dyDescent="0.3">
      <c r="A136" s="250"/>
      <c r="B136" s="251" t="s">
        <v>59</v>
      </c>
      <c r="C136" s="304"/>
      <c r="D136" s="253"/>
      <c r="E136" s="252"/>
      <c r="F136" s="252"/>
      <c r="G136" s="252"/>
      <c r="H136" s="252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hidden="1" x14ac:dyDescent="0.3">
      <c r="A137" s="250"/>
      <c r="B137" s="252"/>
      <c r="C137" s="1112" t="s">
        <v>60</v>
      </c>
      <c r="D137" s="253"/>
      <c r="E137" s="252"/>
      <c r="F137" s="252"/>
      <c r="G137" s="254"/>
      <c r="H137" s="1296" t="s">
        <v>61</v>
      </c>
      <c r="I137" s="256">
        <f t="shared" ref="I137:J137" ca="1" si="86">I155</f>
        <v>0</v>
      </c>
      <c r="J137" s="256">
        <f t="shared" si="86"/>
        <v>0</v>
      </c>
      <c r="K137" s="59">
        <f t="shared" ref="K137:K139" ca="1" si="87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hidden="1" x14ac:dyDescent="0.3">
      <c r="A138" s="250"/>
      <c r="B138" s="252"/>
      <c r="C138" s="1112" t="s">
        <v>62</v>
      </c>
      <c r="D138" s="253"/>
      <c r="E138" s="252"/>
      <c r="F138" s="252"/>
      <c r="G138" s="254"/>
      <c r="H138" s="1296" t="s">
        <v>35</v>
      </c>
      <c r="I138" s="256">
        <f t="shared" ref="I138:J139" ca="1" si="88">I153</f>
        <v>0</v>
      </c>
      <c r="J138" s="256">
        <f t="shared" si="88"/>
        <v>0</v>
      </c>
      <c r="K138" s="59">
        <f t="shared" ca="1" si="87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hidden="1" x14ac:dyDescent="0.3">
      <c r="A139" s="250"/>
      <c r="B139" s="252"/>
      <c r="C139" s="304"/>
      <c r="D139" s="253"/>
      <c r="E139" s="252"/>
      <c r="F139" s="252"/>
      <c r="G139" s="254"/>
      <c r="H139" s="1296" t="s">
        <v>54</v>
      </c>
      <c r="I139" s="256">
        <f t="shared" ca="1" si="88"/>
        <v>0</v>
      </c>
      <c r="J139" s="256">
        <f t="shared" si="88"/>
        <v>0</v>
      </c>
      <c r="K139" s="59">
        <f t="shared" ca="1" si="87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hidden="1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1257">
        <f t="shared" ref="L140:N140" ca="1" si="89">L141+L142</f>
        <v>0</v>
      </c>
      <c r="M140" s="264">
        <f t="shared" ca="1" si="89"/>
        <v>0</v>
      </c>
      <c r="N140" s="264">
        <f t="shared" ca="1" si="89"/>
        <v>0</v>
      </c>
      <c r="O140" s="264">
        <f t="shared" ref="O140:O148" ca="1" si="90">IF(L140&gt;0,N140*100/L140,0)</f>
        <v>0</v>
      </c>
      <c r="P140" s="264">
        <f t="shared" ref="P140:P148" ca="1" si="91">IF(M140&gt;0,N140*100/M140,0)</f>
        <v>0</v>
      </c>
      <c r="Q140" s="264">
        <f t="shared" ref="Q140:S140" ca="1" si="92">Q141+Q142</f>
        <v>0</v>
      </c>
      <c r="R140" s="264">
        <f t="shared" ca="1" si="92"/>
        <v>0</v>
      </c>
      <c r="S140" s="264">
        <f t="shared" ca="1" si="92"/>
        <v>0</v>
      </c>
      <c r="T140" s="264">
        <f t="shared" ref="T140:T148" ca="1" si="93">IF(Q140&gt;0,S140*100/Q140,0)</f>
        <v>0</v>
      </c>
      <c r="U140" s="264">
        <f t="shared" ref="U140:U148" ca="1" si="94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6">
        <f t="shared" ref="L141:N142" si="95">L144+L147</f>
        <v>0</v>
      </c>
      <c r="M141" s="77">
        <f t="shared" si="95"/>
        <v>0</v>
      </c>
      <c r="N141" s="77">
        <f t="shared" si="95"/>
        <v>0</v>
      </c>
      <c r="O141" s="77">
        <f t="shared" si="90"/>
        <v>0</v>
      </c>
      <c r="P141" s="77">
        <f t="shared" si="91"/>
        <v>0</v>
      </c>
      <c r="Q141" s="77">
        <f t="shared" ref="Q141:S142" si="96">Q144+Q147</f>
        <v>0</v>
      </c>
      <c r="R141" s="77">
        <f t="shared" si="96"/>
        <v>0</v>
      </c>
      <c r="S141" s="77">
        <f t="shared" si="96"/>
        <v>0</v>
      </c>
      <c r="T141" s="77">
        <f t="shared" si="93"/>
        <v>0</v>
      </c>
      <c r="U141" s="77">
        <f t="shared" si="94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3">
        <f t="shared" ca="1" si="95"/>
        <v>0</v>
      </c>
      <c r="M142" s="74">
        <f t="shared" ca="1" si="95"/>
        <v>0</v>
      </c>
      <c r="N142" s="74">
        <f t="shared" ca="1" si="95"/>
        <v>0</v>
      </c>
      <c r="O142" s="74">
        <f t="shared" ca="1" si="90"/>
        <v>0</v>
      </c>
      <c r="P142" s="74">
        <f t="shared" ca="1" si="91"/>
        <v>0</v>
      </c>
      <c r="Q142" s="74">
        <f t="shared" ca="1" si="96"/>
        <v>0</v>
      </c>
      <c r="R142" s="74">
        <f t="shared" ca="1" si="96"/>
        <v>0</v>
      </c>
      <c r="S142" s="74">
        <f t="shared" ca="1" si="96"/>
        <v>0</v>
      </c>
      <c r="T142" s="74">
        <f t="shared" ca="1" si="93"/>
        <v>0</v>
      </c>
      <c r="U142" s="74">
        <f t="shared" ca="1" si="94"/>
        <v>0</v>
      </c>
    </row>
    <row r="143" spans="1:21" ht="18.75" hidden="1" x14ac:dyDescent="0.25">
      <c r="A143" s="257"/>
      <c r="B143" s="258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3">
        <f t="shared" ref="L143:N143" ca="1" si="97">L144+L145</f>
        <v>0</v>
      </c>
      <c r="M143" s="74">
        <f t="shared" ca="1" si="97"/>
        <v>0</v>
      </c>
      <c r="N143" s="74">
        <f t="shared" ca="1" si="97"/>
        <v>0</v>
      </c>
      <c r="O143" s="74">
        <f t="shared" ca="1" si="90"/>
        <v>0</v>
      </c>
      <c r="P143" s="74">
        <f t="shared" ca="1" si="91"/>
        <v>0</v>
      </c>
      <c r="Q143" s="74">
        <f t="shared" ref="Q143:S143" ca="1" si="98">Q144+Q145</f>
        <v>0</v>
      </c>
      <c r="R143" s="74">
        <f t="shared" ca="1" si="98"/>
        <v>0</v>
      </c>
      <c r="S143" s="74">
        <f t="shared" ca="1" si="98"/>
        <v>0</v>
      </c>
      <c r="T143" s="74">
        <f t="shared" ca="1" si="93"/>
        <v>0</v>
      </c>
      <c r="U143" s="74">
        <f t="shared" ca="1" si="94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77">
        <f t="shared" si="90"/>
        <v>0</v>
      </c>
      <c r="P144" s="77">
        <f t="shared" si="91"/>
        <v>0</v>
      </c>
      <c r="Q144" s="77">
        <v>0</v>
      </c>
      <c r="R144" s="77">
        <v>0</v>
      </c>
      <c r="S144" s="77">
        <v>0</v>
      </c>
      <c r="T144" s="77">
        <f t="shared" si="93"/>
        <v>0</v>
      </c>
      <c r="U144" s="77">
        <f t="shared" si="94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3">
        <f ca="1">IFERROR(__xludf.DUMMYFUNCTION("IMPORTRANGE(""https://docs.google.com/spreadsheets/d/1-uDff_7J0KD5mKrp0Vvzr7lt3OU09vwQwhkpOPPYv2Y/edit?usp=sharing"",""งบพรบ!BQ73"")"),0)</f>
        <v>0</v>
      </c>
      <c r="M145" s="74">
        <f ca="1">IFERROR(__xludf.DUMMYFUNCTION("IMPORTRANGE(""https://docs.google.com/spreadsheets/d/1-uDff_7J0KD5mKrp0Vvzr7lt3OU09vwQwhkpOPPYv2Y/edit?usp=sharing"",""งบพรบ!BV73"")"),0)</f>
        <v>0</v>
      </c>
      <c r="N145" s="74">
        <f ca="1">IFERROR(__xludf.DUMMYFUNCTION("IMPORTRANGE(""https://docs.google.com/spreadsheets/d/1-uDff_7J0KD5mKrp0Vvzr7lt3OU09vwQwhkpOPPYv2Y/edit?usp=sharing"",""งบพรบ!BX73"")"),0)</f>
        <v>0</v>
      </c>
      <c r="O145" s="74">
        <f t="shared" ca="1" si="90"/>
        <v>0</v>
      </c>
      <c r="P145" s="74">
        <f t="shared" ca="1" si="91"/>
        <v>0</v>
      </c>
      <c r="Q145" s="74">
        <f ca="1">IFERROR(__xludf.DUMMYFUNCTION("IMPORTRANGE(""https://docs.google.com/spreadsheets/d/1ItG2mGa2ceCfYo0BwxsXqNm01IGEUdYcSSLTEv9YCik/edit?usp=sharing"",""เบิกจ่ายกองทุน!BB73"")"),0)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IFERROR(__xludf.DUMMYFUNCTION("IMPORTRANGE(""https://docs.google.com/spreadsheets/d/1ItG2mGa2ceCfYo0BwxsXqNm01IGEUdYcSSLTEv9YCik/edit?usp=sharing"",""เบิกจ่ายกองทุน!BC73"")"),0)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IFERROR(__xludf.DUMMYFUNCTION("IMPORTRANGE(""https://docs.google.com/spreadsheets/d/1ItG2mGa2ceCfYo0BwxsXqNm01IGEUdYcSSLTEv9YCik/edit?usp=sharing"",""เบิกจ่ายกองทุน!BD73"")"),0)</f>
        <v>0</v>
      </c>
      <c r="T145" s="74">
        <f t="shared" ca="1" si="93"/>
        <v>0</v>
      </c>
      <c r="U145" s="74">
        <f t="shared" ca="1" si="94"/>
        <v>0</v>
      </c>
    </row>
    <row r="146" spans="1:21" ht="18.75" hidden="1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3">
        <f t="shared" ref="L146:N146" ca="1" si="99">L147+L148</f>
        <v>0</v>
      </c>
      <c r="M146" s="74">
        <f t="shared" ca="1" si="99"/>
        <v>0</v>
      </c>
      <c r="N146" s="74">
        <f t="shared" ca="1" si="99"/>
        <v>0</v>
      </c>
      <c r="O146" s="74">
        <f t="shared" ca="1" si="90"/>
        <v>0</v>
      </c>
      <c r="P146" s="74">
        <f t="shared" ca="1" si="91"/>
        <v>0</v>
      </c>
      <c r="Q146" s="74">
        <f t="shared" ref="Q146:S146" si="100">Q147+Q148</f>
        <v>0</v>
      </c>
      <c r="R146" s="74">
        <f t="shared" si="100"/>
        <v>0</v>
      </c>
      <c r="S146" s="74">
        <f t="shared" si="100"/>
        <v>0</v>
      </c>
      <c r="T146" s="74">
        <f t="shared" si="93"/>
        <v>0</v>
      </c>
      <c r="U146" s="74">
        <f t="shared" si="94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77">
        <f t="shared" si="90"/>
        <v>0</v>
      </c>
      <c r="P147" s="77">
        <f t="shared" si="91"/>
        <v>0</v>
      </c>
      <c r="Q147" s="77">
        <v>0</v>
      </c>
      <c r="R147" s="77">
        <v>0</v>
      </c>
      <c r="S147" s="77">
        <v>0</v>
      </c>
      <c r="T147" s="77">
        <f t="shared" si="93"/>
        <v>0</v>
      </c>
      <c r="U147" s="77">
        <f t="shared" si="94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3">
        <f ca="1">IFERROR(__xludf.DUMMYFUNCTION("IMPORTRANGE(""https://docs.google.com/spreadsheets/d/1-uDff_7J0KD5mKrp0Vvzr7lt3OU09vwQwhkpOPPYv2Y/edit?usp=sharing"",""งบพรบ!BT73"")"),0)</f>
        <v>0</v>
      </c>
      <c r="M148" s="74">
        <f ca="1">IFERROR(__xludf.DUMMYFUNCTION("IMPORTRANGE(""https://docs.google.com/spreadsheets/d/1-uDff_7J0KD5mKrp0Vvzr7lt3OU09vwQwhkpOPPYv2Y/edit?usp=sharing"",""งบพรบ!BW73"")"),0)</f>
        <v>0</v>
      </c>
      <c r="N148" s="74">
        <f ca="1">IFERROR(__xludf.DUMMYFUNCTION("IMPORTRANGE(""https://docs.google.com/spreadsheets/d/1-uDff_7J0KD5mKrp0Vvzr7lt3OU09vwQwhkpOPPYv2Y/edit?usp=sharing"",""งบพรบ!BY73"")"),0)</f>
        <v>0</v>
      </c>
      <c r="O148" s="74">
        <f t="shared" ca="1" si="90"/>
        <v>0</v>
      </c>
      <c r="P148" s="74">
        <f t="shared" ca="1" si="91"/>
        <v>0</v>
      </c>
      <c r="Q148" s="74">
        <v>0</v>
      </c>
      <c r="R148" s="74">
        <v>0</v>
      </c>
      <c r="S148" s="74">
        <v>0</v>
      </c>
      <c r="T148" s="74">
        <f t="shared" si="93"/>
        <v>0</v>
      </c>
      <c r="U148" s="74">
        <f t="shared" si="94"/>
        <v>0</v>
      </c>
    </row>
    <row r="149" spans="1:21" ht="19.5" hidden="1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hidden="1" x14ac:dyDescent="0.25">
      <c r="A150" s="257"/>
      <c r="B150" s="258"/>
      <c r="C150" s="258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hidden="1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IFERROR(__xludf.DUMMYFUNCTION("IMPORTRANGE(""https://docs.google.com/spreadsheets/d/1eHaY18a8A9IcSdp1K8H6x8fbOy06t2VsZHhMHf-1x7Y/edit?usp=sharing"",""แผน!U73"")"),0)</f>
        <v>0</v>
      </c>
      <c r="J151" s="294">
        <v>0</v>
      </c>
      <c r="K151" s="74">
        <f t="shared" ref="K151:K155" ca="1" si="101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hidden="1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IFERROR(__xludf.DUMMYFUNCTION("IMPORTRANGE(""https://docs.google.com/spreadsheets/d/1eHaY18a8A9IcSdp1K8H6x8fbOy06t2VsZHhMHf-1x7Y/edit?usp=sharing"",""แผน!V73"")"),0)</f>
        <v>0</v>
      </c>
      <c r="J152" s="294">
        <v>0</v>
      </c>
      <c r="K152" s="74">
        <f t="shared" ca="1" si="101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hidden="1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IFERROR(__xludf.DUMMYFUNCTION("IMPORTRANGE(""https://docs.google.com/spreadsheets/d/1eHaY18a8A9IcSdp1K8H6x8fbOy06t2VsZHhMHf-1x7Y/edit?usp=sharing"",""แผน!W73"")"),0)</f>
        <v>0</v>
      </c>
      <c r="J153" s="294">
        <v>0</v>
      </c>
      <c r="K153" s="74">
        <f t="shared" ca="1" si="101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hidden="1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IFERROR(__xludf.DUMMYFUNCTION("IMPORTRANGE(""https://docs.google.com/spreadsheets/d/1eHaY18a8A9IcSdp1K8H6x8fbOy06t2VsZHhMHf-1x7Y/edit?usp=sharing"",""แผน!X73"")"),0)</f>
        <v>0</v>
      </c>
      <c r="J154" s="294">
        <v>0</v>
      </c>
      <c r="K154" s="74">
        <f t="shared" ca="1" si="101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hidden="1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IFERROR(__xludf.DUMMYFUNCTION("IMPORTRANGE(""https://docs.google.com/spreadsheets/d/1eHaY18a8A9IcSdp1K8H6x8fbOy06t2VsZHhMHf-1x7Y/edit?usp=sharing"",""แผน!Y73"")"),0)</f>
        <v>0</v>
      </c>
      <c r="J155" s="294">
        <v>0</v>
      </c>
      <c r="K155" s="74">
        <f t="shared" ca="1" si="101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hidden="1" x14ac:dyDescent="0.3">
      <c r="A156" s="1099" t="s">
        <v>67</v>
      </c>
      <c r="B156" s="691"/>
      <c r="C156" s="692"/>
      <c r="D156" s="691"/>
      <c r="E156" s="691"/>
      <c r="F156" s="691"/>
      <c r="G156" s="691"/>
      <c r="H156" s="691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hidden="1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2">I170</f>
        <v>0</v>
      </c>
      <c r="J157" s="256">
        <f t="shared" si="102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hidden="1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1257">
        <f t="shared" ref="L158:N158" ca="1" si="103">L159+L160</f>
        <v>0</v>
      </c>
      <c r="M158" s="264">
        <f t="shared" ca="1" si="103"/>
        <v>0</v>
      </c>
      <c r="N158" s="264">
        <f t="shared" ca="1" si="103"/>
        <v>0</v>
      </c>
      <c r="O158" s="264">
        <f t="shared" ref="O158:O166" ca="1" si="104">IF(L158&gt;0,N158*100/L158,0)</f>
        <v>0</v>
      </c>
      <c r="P158" s="264">
        <f t="shared" ref="P158:P166" ca="1" si="105">IF(M158&gt;0,N158*100/M158,0)</f>
        <v>0</v>
      </c>
      <c r="Q158" s="264">
        <f t="shared" ref="Q158:S158" ca="1" si="106">Q159+Q160</f>
        <v>0</v>
      </c>
      <c r="R158" s="264">
        <f t="shared" ca="1" si="106"/>
        <v>0</v>
      </c>
      <c r="S158" s="264">
        <f t="shared" ca="1" si="106"/>
        <v>0</v>
      </c>
      <c r="T158" s="264">
        <f t="shared" ref="T158:T166" ca="1" si="107">IF(Q158&gt;0,S158*100/Q158,0)</f>
        <v>0</v>
      </c>
      <c r="U158" s="264">
        <f t="shared" ref="U158:U166" ca="1" si="108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6">
        <f t="shared" ref="L159:N160" si="109">L162+L165</f>
        <v>0</v>
      </c>
      <c r="M159" s="77">
        <f t="shared" si="109"/>
        <v>0</v>
      </c>
      <c r="N159" s="77">
        <f t="shared" si="109"/>
        <v>0</v>
      </c>
      <c r="O159" s="77">
        <f t="shared" si="104"/>
        <v>0</v>
      </c>
      <c r="P159" s="77">
        <f t="shared" si="105"/>
        <v>0</v>
      </c>
      <c r="Q159" s="77">
        <f t="shared" ref="Q159:S160" si="110">Q162+Q165</f>
        <v>0</v>
      </c>
      <c r="R159" s="77">
        <f t="shared" si="110"/>
        <v>0</v>
      </c>
      <c r="S159" s="77">
        <f t="shared" si="110"/>
        <v>0</v>
      </c>
      <c r="T159" s="77">
        <f t="shared" si="107"/>
        <v>0</v>
      </c>
      <c r="U159" s="77">
        <f t="shared" si="108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3">
        <f t="shared" ca="1" si="109"/>
        <v>0</v>
      </c>
      <c r="M160" s="74">
        <f t="shared" ca="1" si="109"/>
        <v>0</v>
      </c>
      <c r="N160" s="74">
        <f t="shared" ca="1" si="109"/>
        <v>0</v>
      </c>
      <c r="O160" s="74">
        <f t="shared" ca="1" si="104"/>
        <v>0</v>
      </c>
      <c r="P160" s="74">
        <f t="shared" ca="1" si="105"/>
        <v>0</v>
      </c>
      <c r="Q160" s="74">
        <f t="shared" ca="1" si="110"/>
        <v>0</v>
      </c>
      <c r="R160" s="74">
        <f t="shared" ca="1" si="110"/>
        <v>0</v>
      </c>
      <c r="S160" s="74">
        <f t="shared" ca="1" si="110"/>
        <v>0</v>
      </c>
      <c r="T160" s="74">
        <f t="shared" ca="1" si="107"/>
        <v>0</v>
      </c>
      <c r="U160" s="74">
        <f t="shared" ca="1" si="108"/>
        <v>0</v>
      </c>
    </row>
    <row r="161" spans="1:21" ht="18.75" hidden="1" x14ac:dyDescent="0.25">
      <c r="A161" s="257"/>
      <c r="B161" s="258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3">
        <f t="shared" ref="L161:N161" ca="1" si="111">L162+L163</f>
        <v>0</v>
      </c>
      <c r="M161" s="74">
        <f t="shared" ca="1" si="111"/>
        <v>0</v>
      </c>
      <c r="N161" s="74">
        <f t="shared" ca="1" si="111"/>
        <v>0</v>
      </c>
      <c r="O161" s="74">
        <f t="shared" ca="1" si="104"/>
        <v>0</v>
      </c>
      <c r="P161" s="74">
        <f t="shared" ca="1" si="105"/>
        <v>0</v>
      </c>
      <c r="Q161" s="74">
        <f t="shared" ref="Q161:S161" ca="1" si="112">Q162+Q163</f>
        <v>0</v>
      </c>
      <c r="R161" s="74">
        <f t="shared" ca="1" si="112"/>
        <v>0</v>
      </c>
      <c r="S161" s="74">
        <f t="shared" ca="1" si="112"/>
        <v>0</v>
      </c>
      <c r="T161" s="74">
        <f t="shared" ca="1" si="107"/>
        <v>0</v>
      </c>
      <c r="U161" s="74">
        <f t="shared" ca="1" si="108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77">
        <f t="shared" si="104"/>
        <v>0</v>
      </c>
      <c r="P162" s="77">
        <f t="shared" si="105"/>
        <v>0</v>
      </c>
      <c r="Q162" s="77">
        <v>0</v>
      </c>
      <c r="R162" s="77">
        <v>0</v>
      </c>
      <c r="S162" s="77">
        <v>0</v>
      </c>
      <c r="T162" s="77">
        <f t="shared" si="107"/>
        <v>0</v>
      </c>
      <c r="U162" s="77">
        <f t="shared" si="108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3">
        <f ca="1">IFERROR(__xludf.DUMMYFUNCTION("IMPORTRANGE(""https://docs.google.com/spreadsheets/d/1-uDff_7J0KD5mKrp0Vvzr7lt3OU09vwQwhkpOPPYv2Y/edit?usp=sharing"",""งบพรบ!CA73"")"),0)</f>
        <v>0</v>
      </c>
      <c r="M163" s="74">
        <f ca="1">IFERROR(__xludf.DUMMYFUNCTION("IMPORTRANGE(""https://docs.google.com/spreadsheets/d/1-uDff_7J0KD5mKrp0Vvzr7lt3OU09vwQwhkpOPPYv2Y/edit?usp=sharing"",""งบพรบ!CF73"")"),0)</f>
        <v>0</v>
      </c>
      <c r="N163" s="74">
        <f ca="1">IFERROR(__xludf.DUMMYFUNCTION("IMPORTRANGE(""https://docs.google.com/spreadsheets/d/1-uDff_7J0KD5mKrp0Vvzr7lt3OU09vwQwhkpOPPYv2Y/edit?usp=sharing"",""งบพรบ!CH73"")"),0)</f>
        <v>0</v>
      </c>
      <c r="O163" s="74">
        <f t="shared" ca="1" si="104"/>
        <v>0</v>
      </c>
      <c r="P163" s="74">
        <f t="shared" ca="1" si="105"/>
        <v>0</v>
      </c>
      <c r="Q163" s="74">
        <f ca="1">IFERROR(__xludf.DUMMYFUNCTION("IMPORTRANGE(""https://docs.google.com/spreadsheets/d/1ItG2mGa2ceCfYo0BwxsXqNm01IGEUdYcSSLTEv9YCik/edit?usp=sharing"",""เบิกจ่ายกองทุน!AG73"")"),0)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IFERROR(__xludf.DUMMYFUNCTION("IMPORTRANGE(""https://docs.google.com/spreadsheets/d/1ItG2mGa2ceCfYo0BwxsXqNm01IGEUdYcSSLTEv9YCik/edit?usp=sharing"",""เบิกจ่ายกองทุน!AH73"")"),0)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IFERROR(__xludf.DUMMYFUNCTION("IMPORTRANGE(""https://docs.google.com/spreadsheets/d/1ItG2mGa2ceCfYo0BwxsXqNm01IGEUdYcSSLTEv9YCik/edit?usp=sharing"",""เบิกจ่ายกองทุน!AI73"")"),0)</f>
        <v>0</v>
      </c>
      <c r="T163" s="74">
        <f t="shared" ca="1" si="107"/>
        <v>0</v>
      </c>
      <c r="U163" s="74">
        <f t="shared" ca="1" si="108"/>
        <v>0</v>
      </c>
    </row>
    <row r="164" spans="1:21" ht="18.75" hidden="1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3">
        <f t="shared" ref="L164:N164" ca="1" si="113">L165+L166</f>
        <v>0</v>
      </c>
      <c r="M164" s="74">
        <f t="shared" ca="1" si="113"/>
        <v>0</v>
      </c>
      <c r="N164" s="74">
        <f t="shared" ca="1" si="113"/>
        <v>0</v>
      </c>
      <c r="O164" s="74">
        <f t="shared" ca="1" si="104"/>
        <v>0</v>
      </c>
      <c r="P164" s="74">
        <f t="shared" ca="1" si="105"/>
        <v>0</v>
      </c>
      <c r="Q164" s="74">
        <f t="shared" ref="Q164:S164" si="114">Q165+Q166</f>
        <v>0</v>
      </c>
      <c r="R164" s="74">
        <f t="shared" si="114"/>
        <v>0</v>
      </c>
      <c r="S164" s="74">
        <f t="shared" si="114"/>
        <v>0</v>
      </c>
      <c r="T164" s="74">
        <f t="shared" si="107"/>
        <v>0</v>
      </c>
      <c r="U164" s="74">
        <f t="shared" si="108"/>
        <v>0</v>
      </c>
    </row>
    <row r="165" spans="1:21" ht="18.75" hidden="1" x14ac:dyDescent="0.25">
      <c r="A165" s="257"/>
      <c r="B165" s="258"/>
      <c r="C165" s="258"/>
      <c r="D165" s="258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77">
        <f t="shared" si="104"/>
        <v>0</v>
      </c>
      <c r="P165" s="77">
        <f t="shared" si="105"/>
        <v>0</v>
      </c>
      <c r="Q165" s="77">
        <v>0</v>
      </c>
      <c r="R165" s="77">
        <v>0</v>
      </c>
      <c r="S165" s="77">
        <v>0</v>
      </c>
      <c r="T165" s="77">
        <f t="shared" si="107"/>
        <v>0</v>
      </c>
      <c r="U165" s="77">
        <f t="shared" si="108"/>
        <v>0</v>
      </c>
    </row>
    <row r="166" spans="1:21" ht="18.75" hidden="1" x14ac:dyDescent="0.25">
      <c r="A166" s="257"/>
      <c r="B166" s="258"/>
      <c r="C166" s="258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3">
        <f ca="1">IFERROR(__xludf.DUMMYFUNCTION("IMPORTRANGE(""https://docs.google.com/spreadsheets/d/1-uDff_7J0KD5mKrp0Vvzr7lt3OU09vwQwhkpOPPYv2Y/edit?usp=sharing"",""งบพรบ!CD73"")"),0)</f>
        <v>0</v>
      </c>
      <c r="M166" s="74">
        <f ca="1">IFERROR(__xludf.DUMMYFUNCTION("IMPORTRANGE(""https://docs.google.com/spreadsheets/d/1-uDff_7J0KD5mKrp0Vvzr7lt3OU09vwQwhkpOPPYv2Y/edit?usp=sharing"",""งบพรบ!CG73"")"),0)</f>
        <v>0</v>
      </c>
      <c r="N166" s="74">
        <f ca="1">IFERROR(__xludf.DUMMYFUNCTION("IMPORTRANGE(""https://docs.google.com/spreadsheets/d/1-uDff_7J0KD5mKrp0Vvzr7lt3OU09vwQwhkpOPPYv2Y/edit?usp=sharing"",""งบพรบ!CI73"")"),0)</f>
        <v>0</v>
      </c>
      <c r="O166" s="74">
        <f t="shared" ca="1" si="104"/>
        <v>0</v>
      </c>
      <c r="P166" s="74">
        <f t="shared" ca="1" si="105"/>
        <v>0</v>
      </c>
      <c r="Q166" s="74">
        <v>0</v>
      </c>
      <c r="R166" s="74">
        <v>0</v>
      </c>
      <c r="S166" s="74">
        <v>0</v>
      </c>
      <c r="T166" s="74">
        <f t="shared" si="107"/>
        <v>0</v>
      </c>
      <c r="U166" s="74">
        <f t="shared" si="108"/>
        <v>0</v>
      </c>
    </row>
    <row r="167" spans="1:21" ht="19.5" hidden="1" x14ac:dyDescent="0.3">
      <c r="A167" s="276"/>
      <c r="B167" s="277"/>
      <c r="C167" s="259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hidden="1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IFERROR(__xludf.DUMMYFUNCTION("IMPORTRANGE(""https://docs.google.com/spreadsheets/d/1eHaY18a8A9IcSdp1K8H6x8fbOy06t2VsZHhMHf-1x7Y/edit?usp=sharing"",""แผน!Z73"")"),0)</f>
        <v>0</v>
      </c>
      <c r="J168" s="294">
        <v>0</v>
      </c>
      <c r="K168" s="74">
        <f t="shared" ref="K168:K170" ca="1" si="115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IFERROR(__xludf.DUMMYFUNCTION("IMPORTRANGE(""https://docs.google.com/spreadsheets/d/1eHaY18a8A9IcSdp1K8H6x8fbOy06t2VsZHhMHf-1x7Y/edit?usp=sharing"",""แผน!Z73"")"),0)</f>
        <v>0</v>
      </c>
      <c r="J169" s="910">
        <v>0</v>
      </c>
      <c r="K169" s="77">
        <f t="shared" ca="1" si="115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IFERROR(__xludf.DUMMYFUNCTION("IMPORTRANGE(""https://docs.google.com/spreadsheets/d/1eHaY18a8A9IcSdp1K8H6x8fbOy06t2VsZHhMHf-1x7Y/edit?usp=sharing"",""แผน!Z73"")"),0)</f>
        <v>0</v>
      </c>
      <c r="J170" s="999">
        <v>0</v>
      </c>
      <c r="K170" s="1000">
        <f t="shared" ca="1" si="115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6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302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303" t="s">
        <v>35</v>
      </c>
      <c r="I173" s="1126">
        <f t="shared" ref="I173:J173" ca="1" si="116">I184+I185</f>
        <v>7</v>
      </c>
      <c r="J173" s="1126">
        <f t="shared" si="116"/>
        <v>7</v>
      </c>
      <c r="K173" s="1127">
        <f ca="1">IF(I173&gt;0,J173*100/I173,0)</f>
        <v>100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1257">
        <f t="shared" ref="L174:N174" ca="1" si="117">L175+L176</f>
        <v>19590</v>
      </c>
      <c r="M174" s="264">
        <f t="shared" ca="1" si="117"/>
        <v>29620</v>
      </c>
      <c r="N174" s="264">
        <f t="shared" ca="1" si="117"/>
        <v>29620</v>
      </c>
      <c r="O174" s="264">
        <f t="shared" ref="O174:O182" ca="1" si="118">IF(L174&gt;0,N174*100/L174,0)</f>
        <v>151.19959162838182</v>
      </c>
      <c r="P174" s="264">
        <f t="shared" ref="P174:P182" ca="1" si="119">IF(M174&gt;0,N174*100/M174,0)</f>
        <v>100</v>
      </c>
      <c r="Q174" s="264">
        <f t="shared" ref="Q174:S174" ca="1" si="120">Q175+Q176</f>
        <v>0</v>
      </c>
      <c r="R174" s="264">
        <f t="shared" ca="1" si="120"/>
        <v>0</v>
      </c>
      <c r="S174" s="264">
        <f t="shared" ca="1" si="120"/>
        <v>0</v>
      </c>
      <c r="T174" s="264">
        <f t="shared" ref="T174:T182" ca="1" si="121">IF(Q174&gt;0,S174*100/Q174,0)</f>
        <v>0</v>
      </c>
      <c r="U174" s="264">
        <f t="shared" ref="U174:U182" ca="1" si="122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6">
        <f t="shared" ref="L175:N176" si="123">L178+L181</f>
        <v>0</v>
      </c>
      <c r="M175" s="77">
        <f t="shared" si="123"/>
        <v>0</v>
      </c>
      <c r="N175" s="77">
        <f t="shared" si="123"/>
        <v>0</v>
      </c>
      <c r="O175" s="77">
        <f t="shared" si="118"/>
        <v>0</v>
      </c>
      <c r="P175" s="77">
        <f t="shared" si="119"/>
        <v>0</v>
      </c>
      <c r="Q175" s="77">
        <f t="shared" ref="Q175:S176" si="124">Q178+Q181</f>
        <v>0</v>
      </c>
      <c r="R175" s="77">
        <f t="shared" si="124"/>
        <v>0</v>
      </c>
      <c r="S175" s="77">
        <f t="shared" si="124"/>
        <v>0</v>
      </c>
      <c r="T175" s="77">
        <f t="shared" si="121"/>
        <v>0</v>
      </c>
      <c r="U175" s="77">
        <f t="shared" si="122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3">
        <f t="shared" ca="1" si="123"/>
        <v>19590</v>
      </c>
      <c r="M176" s="74">
        <f t="shared" ca="1" si="123"/>
        <v>29620</v>
      </c>
      <c r="N176" s="74">
        <f t="shared" ca="1" si="123"/>
        <v>29620</v>
      </c>
      <c r="O176" s="74">
        <f t="shared" ca="1" si="118"/>
        <v>151.19959162838182</v>
      </c>
      <c r="P176" s="74">
        <f t="shared" ca="1" si="119"/>
        <v>100</v>
      </c>
      <c r="Q176" s="74">
        <f t="shared" ca="1" si="124"/>
        <v>0</v>
      </c>
      <c r="R176" s="74">
        <f t="shared" ca="1" si="124"/>
        <v>0</v>
      </c>
      <c r="S176" s="74">
        <f t="shared" ca="1" si="124"/>
        <v>0</v>
      </c>
      <c r="T176" s="74">
        <f t="shared" ca="1" si="121"/>
        <v>0</v>
      </c>
      <c r="U176" s="74">
        <f t="shared" ca="1" si="122"/>
        <v>0</v>
      </c>
    </row>
    <row r="177" spans="1:21" ht="18.75" x14ac:dyDescent="0.25">
      <c r="A177" s="257"/>
      <c r="B177" s="258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3">
        <f t="shared" ref="L177:N177" ca="1" si="125">L178+L179</f>
        <v>19590</v>
      </c>
      <c r="M177" s="74">
        <f t="shared" ca="1" si="125"/>
        <v>29620</v>
      </c>
      <c r="N177" s="74">
        <f t="shared" ca="1" si="125"/>
        <v>29620</v>
      </c>
      <c r="O177" s="74">
        <f t="shared" ca="1" si="118"/>
        <v>151.19959162838182</v>
      </c>
      <c r="P177" s="74">
        <f t="shared" ca="1" si="119"/>
        <v>100</v>
      </c>
      <c r="Q177" s="74">
        <f t="shared" ref="Q177:S177" ca="1" si="126">Q178+Q179</f>
        <v>0</v>
      </c>
      <c r="R177" s="74">
        <f t="shared" ca="1" si="126"/>
        <v>0</v>
      </c>
      <c r="S177" s="74">
        <f t="shared" ca="1" si="126"/>
        <v>0</v>
      </c>
      <c r="T177" s="74">
        <f t="shared" ca="1" si="121"/>
        <v>0</v>
      </c>
      <c r="U177" s="74">
        <f t="shared" ca="1" si="122"/>
        <v>0</v>
      </c>
    </row>
    <row r="178" spans="1:21" ht="18.75" hidden="1" x14ac:dyDescent="0.25">
      <c r="A178" s="257"/>
      <c r="B178" s="258"/>
      <c r="C178" s="258"/>
      <c r="D178" s="258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77">
        <f t="shared" si="118"/>
        <v>0</v>
      </c>
      <c r="P178" s="77">
        <f t="shared" si="119"/>
        <v>0</v>
      </c>
      <c r="Q178" s="77">
        <v>0</v>
      </c>
      <c r="R178" s="77">
        <v>0</v>
      </c>
      <c r="S178" s="77">
        <v>0</v>
      </c>
      <c r="T178" s="77">
        <f t="shared" si="121"/>
        <v>0</v>
      </c>
      <c r="U178" s="77">
        <f t="shared" si="122"/>
        <v>0</v>
      </c>
    </row>
    <row r="179" spans="1:21" ht="18.75" hidden="1" x14ac:dyDescent="0.25">
      <c r="A179" s="257"/>
      <c r="B179" s="258"/>
      <c r="C179" s="258"/>
      <c r="D179" s="258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3">
        <f ca="1">IFERROR(__xludf.DUMMYFUNCTION("IMPORTRANGE(""https://docs.google.com/spreadsheets/d/1-uDff_7J0KD5mKrp0Vvzr7lt3OU09vwQwhkpOPPYv2Y/edit?usp=sharing"",""งบพรบ!CK73"")"),19590)</f>
        <v>19590</v>
      </c>
      <c r="M179" s="74">
        <f ca="1">IFERROR(__xludf.DUMMYFUNCTION("IMPORTRANGE(""https://docs.google.com/spreadsheets/d/1-uDff_7J0KD5mKrp0Vvzr7lt3OU09vwQwhkpOPPYv2Y/edit?usp=sharing"",""งบพรบ!CP73"")"),29620)</f>
        <v>29620</v>
      </c>
      <c r="N179" s="74">
        <f ca="1">IFERROR(__xludf.DUMMYFUNCTION("IMPORTRANGE(""https://docs.google.com/spreadsheets/d/1-uDff_7J0KD5mKrp0Vvzr7lt3OU09vwQwhkpOPPYv2Y/edit?usp=sharing"",""งบพรบ!CR73"")"),29620)</f>
        <v>29620</v>
      </c>
      <c r="O179" s="74">
        <f t="shared" ca="1" si="118"/>
        <v>151.19959162838182</v>
      </c>
      <c r="P179" s="74">
        <f t="shared" ca="1" si="119"/>
        <v>100</v>
      </c>
      <c r="Q179" s="74">
        <f ca="1">IFERROR(__xludf.DUMMYFUNCTION("IMPORTRANGE(""https://docs.google.com/spreadsheets/d/1ItG2mGa2ceCfYo0BwxsXqNm01IGEUdYcSSLTEv9YCik/edit?usp=sharing"",""เบิกจ่ายกองทุน!BE73"")"),0)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IFERROR(__xludf.DUMMYFUNCTION("IMPORTRANGE(""https://docs.google.com/spreadsheets/d/1ItG2mGa2ceCfYo0BwxsXqNm01IGEUdYcSSLTEv9YCik/edit?usp=sharing"",""เบิกจ่ายกองทุน!BF73"")"),0)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IFERROR(__xludf.DUMMYFUNCTION("IMPORTRANGE(""https://docs.google.com/spreadsheets/d/1ItG2mGa2ceCfYo0BwxsXqNm01IGEUdYcSSLTEv9YCik/edit?usp=sharing"",""เบิกจ่ายกองทุน!BG73"")"),0)</f>
        <v>0</v>
      </c>
      <c r="T179" s="74">
        <f t="shared" ca="1" si="121"/>
        <v>0</v>
      </c>
      <c r="U179" s="74">
        <f t="shared" ca="1" si="122"/>
        <v>0</v>
      </c>
    </row>
    <row r="180" spans="1:21" ht="18.75" x14ac:dyDescent="0.25">
      <c r="A180" s="257"/>
      <c r="B180" s="258"/>
      <c r="C180" s="258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3">
        <f t="shared" ref="L180:N180" ca="1" si="127">L181+L182</f>
        <v>0</v>
      </c>
      <c r="M180" s="74">
        <f t="shared" ca="1" si="127"/>
        <v>0</v>
      </c>
      <c r="N180" s="74">
        <f t="shared" ca="1" si="127"/>
        <v>0</v>
      </c>
      <c r="O180" s="74">
        <f t="shared" ca="1" si="118"/>
        <v>0</v>
      </c>
      <c r="P180" s="74">
        <f t="shared" ca="1" si="119"/>
        <v>0</v>
      </c>
      <c r="Q180" s="74">
        <f t="shared" ref="Q180:S180" si="128">Q181+Q182</f>
        <v>0</v>
      </c>
      <c r="R180" s="74">
        <f t="shared" si="128"/>
        <v>0</v>
      </c>
      <c r="S180" s="74">
        <f t="shared" si="128"/>
        <v>0</v>
      </c>
      <c r="T180" s="74">
        <f t="shared" si="121"/>
        <v>0</v>
      </c>
      <c r="U180" s="74">
        <f t="shared" si="122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77">
        <f t="shared" si="118"/>
        <v>0</v>
      </c>
      <c r="P181" s="77">
        <f t="shared" si="119"/>
        <v>0</v>
      </c>
      <c r="Q181" s="77">
        <v>0</v>
      </c>
      <c r="R181" s="77">
        <v>0</v>
      </c>
      <c r="S181" s="77">
        <v>0</v>
      </c>
      <c r="T181" s="77">
        <f t="shared" si="121"/>
        <v>0</v>
      </c>
      <c r="U181" s="77">
        <f t="shared" si="122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3">
        <f ca="1">IFERROR(__xludf.DUMMYFUNCTION("IMPORTRANGE(""https://docs.google.com/spreadsheets/d/1-uDff_7J0KD5mKrp0Vvzr7lt3OU09vwQwhkpOPPYv2Y/edit?usp=sharing"",""งบพรบ!CN73"")"),0)</f>
        <v>0</v>
      </c>
      <c r="M182" s="74">
        <f ca="1">IFERROR(__xludf.DUMMYFUNCTION("IMPORTRANGE(""https://docs.google.com/spreadsheets/d/1-uDff_7J0KD5mKrp0Vvzr7lt3OU09vwQwhkpOPPYv2Y/edit?usp=sharing"",""งบพรบ!CQ73"")"),0)</f>
        <v>0</v>
      </c>
      <c r="N182" s="74">
        <f ca="1">IFERROR(__xludf.DUMMYFUNCTION("IMPORTRANGE(""https://docs.google.com/spreadsheets/d/1-uDff_7J0KD5mKrp0Vvzr7lt3OU09vwQwhkpOPPYv2Y/edit?usp=sharing"",""งบพรบ!CS73"")"),0)</f>
        <v>0</v>
      </c>
      <c r="O182" s="74">
        <f t="shared" ca="1" si="118"/>
        <v>0</v>
      </c>
      <c r="P182" s="74">
        <f t="shared" ca="1" si="119"/>
        <v>0</v>
      </c>
      <c r="Q182" s="74">
        <v>0</v>
      </c>
      <c r="R182" s="74">
        <v>0</v>
      </c>
      <c r="S182" s="74">
        <v>0</v>
      </c>
      <c r="T182" s="74">
        <f t="shared" si="121"/>
        <v>0</v>
      </c>
      <c r="U182" s="74">
        <f t="shared" si="122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551" t="s">
        <v>35</v>
      </c>
      <c r="I184" s="293">
        <f ca="1">IFERROR(__xludf.DUMMYFUNCTION("IMPORTRANGE(""https://docs.google.com/spreadsheets/d/1eHaY18a8A9IcSdp1K8H6x8fbOy06t2VsZHhMHf-1x7Y/edit?usp=sharing"",""แผน!AA73"")"),7)</f>
        <v>7</v>
      </c>
      <c r="J184" s="294">
        <v>7</v>
      </c>
      <c r="K184" s="74">
        <f t="shared" ref="K184:K186" ca="1" si="129">IF(I184&gt;0,J184*100/I184,0)</f>
        <v>100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921" t="s">
        <v>35</v>
      </c>
      <c r="I185" s="592">
        <v>0</v>
      </c>
      <c r="J185" s="592">
        <v>0</v>
      </c>
      <c r="K185" s="77">
        <f t="shared" si="129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303" t="s">
        <v>35</v>
      </c>
      <c r="I186" s="1126">
        <f t="shared" ref="I186:J186" ca="1" si="130">I231+I232</f>
        <v>0</v>
      </c>
      <c r="J186" s="1126">
        <f t="shared" si="130"/>
        <v>0</v>
      </c>
      <c r="K186" s="1127">
        <f t="shared" ca="1" si="129"/>
        <v>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1257">
        <f t="shared" ref="L187:N187" ca="1" si="131">L188+L189</f>
        <v>84200</v>
      </c>
      <c r="M187" s="264">
        <f t="shared" ca="1" si="131"/>
        <v>84200</v>
      </c>
      <c r="N187" s="264">
        <f t="shared" ca="1" si="131"/>
        <v>31180</v>
      </c>
      <c r="O187" s="264">
        <f t="shared" ref="O187:O195" ca="1" si="132">IF(L187&gt;0,N187*100/L187,0)</f>
        <v>37.030878859857481</v>
      </c>
      <c r="P187" s="264">
        <f t="shared" ref="P187:P195" ca="1" si="133">IF(M187&gt;0,N187*100/M187,0)</f>
        <v>37.030878859857481</v>
      </c>
      <c r="Q187" s="264">
        <f t="shared" ref="Q187:S187" ca="1" si="134">Q188+Q189</f>
        <v>0</v>
      </c>
      <c r="R187" s="264">
        <f t="shared" ca="1" si="134"/>
        <v>0</v>
      </c>
      <c r="S187" s="264">
        <f t="shared" ca="1" si="134"/>
        <v>0</v>
      </c>
      <c r="T187" s="264">
        <f t="shared" ref="T187:T195" ca="1" si="135">IF(Q187&gt;0,S187*100/Q187,0)</f>
        <v>0</v>
      </c>
      <c r="U187" s="264">
        <f t="shared" ref="U187:U195" ca="1" si="136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6">
        <f t="shared" ref="L188:N189" si="137">L191+L194</f>
        <v>0</v>
      </c>
      <c r="M188" s="77">
        <f t="shared" si="137"/>
        <v>0</v>
      </c>
      <c r="N188" s="77">
        <f t="shared" si="137"/>
        <v>0</v>
      </c>
      <c r="O188" s="77">
        <f t="shared" si="132"/>
        <v>0</v>
      </c>
      <c r="P188" s="77">
        <f t="shared" si="133"/>
        <v>0</v>
      </c>
      <c r="Q188" s="77">
        <f t="shared" ref="Q188:S189" si="138">Q191+Q194</f>
        <v>0</v>
      </c>
      <c r="R188" s="77">
        <f t="shared" si="138"/>
        <v>0</v>
      </c>
      <c r="S188" s="77">
        <f t="shared" si="138"/>
        <v>0</v>
      </c>
      <c r="T188" s="77">
        <f t="shared" si="135"/>
        <v>0</v>
      </c>
      <c r="U188" s="77">
        <f t="shared" si="136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3">
        <f t="shared" ca="1" si="137"/>
        <v>84200</v>
      </c>
      <c r="M189" s="74">
        <f t="shared" ca="1" si="137"/>
        <v>84200</v>
      </c>
      <c r="N189" s="74">
        <f t="shared" ca="1" si="137"/>
        <v>31180</v>
      </c>
      <c r="O189" s="74">
        <f t="shared" ca="1" si="132"/>
        <v>37.030878859857481</v>
      </c>
      <c r="P189" s="74">
        <f t="shared" ca="1" si="133"/>
        <v>37.030878859857481</v>
      </c>
      <c r="Q189" s="74">
        <f t="shared" ca="1" si="138"/>
        <v>0</v>
      </c>
      <c r="R189" s="74">
        <f t="shared" ca="1" si="138"/>
        <v>0</v>
      </c>
      <c r="S189" s="74">
        <f t="shared" ca="1" si="138"/>
        <v>0</v>
      </c>
      <c r="T189" s="74">
        <f t="shared" ca="1" si="135"/>
        <v>0</v>
      </c>
      <c r="U189" s="74">
        <f t="shared" ca="1" si="136"/>
        <v>0</v>
      </c>
    </row>
    <row r="190" spans="1:21" ht="18.75" x14ac:dyDescent="0.25">
      <c r="A190" s="257"/>
      <c r="B190" s="258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3">
        <f t="shared" ref="L190:N190" ca="1" si="139">L191+L192</f>
        <v>84200</v>
      </c>
      <c r="M190" s="74">
        <f t="shared" ca="1" si="139"/>
        <v>84200</v>
      </c>
      <c r="N190" s="74">
        <f t="shared" ca="1" si="139"/>
        <v>31180</v>
      </c>
      <c r="O190" s="74">
        <f t="shared" ca="1" si="132"/>
        <v>37.030878859857481</v>
      </c>
      <c r="P190" s="74">
        <f t="shared" ca="1" si="133"/>
        <v>37.030878859857481</v>
      </c>
      <c r="Q190" s="74">
        <f t="shared" ref="Q190:S190" ca="1" si="140">Q191+Q192</f>
        <v>0</v>
      </c>
      <c r="R190" s="74">
        <f t="shared" ca="1" si="140"/>
        <v>0</v>
      </c>
      <c r="S190" s="74">
        <f t="shared" ca="1" si="140"/>
        <v>0</v>
      </c>
      <c r="T190" s="74">
        <f t="shared" ca="1" si="135"/>
        <v>0</v>
      </c>
      <c r="U190" s="74">
        <f t="shared" ca="1" si="136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77">
        <f t="shared" si="132"/>
        <v>0</v>
      </c>
      <c r="P191" s="77">
        <f t="shared" si="133"/>
        <v>0</v>
      </c>
      <c r="Q191" s="77">
        <v>0</v>
      </c>
      <c r="R191" s="77">
        <v>0</v>
      </c>
      <c r="S191" s="77">
        <v>0</v>
      </c>
      <c r="T191" s="77">
        <f t="shared" si="135"/>
        <v>0</v>
      </c>
      <c r="U191" s="77">
        <f t="shared" si="136"/>
        <v>0</v>
      </c>
    </row>
    <row r="192" spans="1:21" ht="18.75" hidden="1" x14ac:dyDescent="0.25">
      <c r="A192" s="257"/>
      <c r="B192" s="258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3">
        <f ca="1">IFERROR(__xludf.DUMMYFUNCTION("IMPORTRANGE(""https://docs.google.com/spreadsheets/d/1-uDff_7J0KD5mKrp0Vvzr7lt3OU09vwQwhkpOPPYv2Y/edit?usp=sharing"",""งบพรบ!CU73"")"),84200)</f>
        <v>84200</v>
      </c>
      <c r="M192" s="74">
        <f ca="1">IFERROR(__xludf.DUMMYFUNCTION("IMPORTRANGE(""https://docs.google.com/spreadsheets/d/1-uDff_7J0KD5mKrp0Vvzr7lt3OU09vwQwhkpOPPYv2Y/edit?usp=sharing"",""งบพรบ!CZ73"")"),84200)</f>
        <v>84200</v>
      </c>
      <c r="N192" s="74">
        <f ca="1">IFERROR(__xludf.DUMMYFUNCTION("IMPORTRANGE(""https://docs.google.com/spreadsheets/d/1-uDff_7J0KD5mKrp0Vvzr7lt3OU09vwQwhkpOPPYv2Y/edit?usp=sharing"",""งบพรบ!DB73"")"),31180)</f>
        <v>31180</v>
      </c>
      <c r="O192" s="74">
        <f t="shared" ca="1" si="132"/>
        <v>37.030878859857481</v>
      </c>
      <c r="P192" s="74">
        <f t="shared" ca="1" si="133"/>
        <v>37.030878859857481</v>
      </c>
      <c r="Q192" s="74">
        <f ca="1">IFERROR(__xludf.DUMMYFUNCTION("IMPORTRANGE(""https://docs.google.com/spreadsheets/d/1ItG2mGa2ceCfYo0BwxsXqNm01IGEUdYcSSLTEv9YCik/edit?usp=sharing"",""เบิกจ่ายกองทุน!AV73"")"),0)</f>
        <v>0</v>
      </c>
      <c r="R192" s="74">
        <f ca="1">IFERROR(__xludf.DUMMYFUNCTION("IMPORTRANGE(""https://docs.google.com/spreadsheets/d/1ItG2mGa2ceCfYo0BwxsXqNm01IGEUdYcSSLTEv9YCik/edit?usp=sharing"",""เบิกจ่ายกองทุน!AW73"")"),0)</f>
        <v>0</v>
      </c>
      <c r="S192" s="74">
        <f ca="1">IFERROR(__xludf.DUMMYFUNCTION("IMPORTRANGE(""https://docs.google.com/spreadsheets/d/1ItG2mGa2ceCfYo0BwxsXqNm01IGEUdYcSSLTEv9YCik/edit?usp=sharing"",""เบิกจ่ายกองทุน!AX73"")"),0)</f>
        <v>0</v>
      </c>
      <c r="T192" s="74">
        <f t="shared" ca="1" si="135"/>
        <v>0</v>
      </c>
      <c r="U192" s="74">
        <f t="shared" ca="1" si="136"/>
        <v>0</v>
      </c>
    </row>
    <row r="193" spans="1:21" ht="18.75" x14ac:dyDescent="0.25">
      <c r="A193" s="257"/>
      <c r="B193" s="258"/>
      <c r="C193" s="258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3">
        <f t="shared" ref="L193:N193" ca="1" si="141">L194+L195</f>
        <v>0</v>
      </c>
      <c r="M193" s="74">
        <f t="shared" ca="1" si="141"/>
        <v>0</v>
      </c>
      <c r="N193" s="74">
        <f t="shared" ca="1" si="141"/>
        <v>0</v>
      </c>
      <c r="O193" s="74">
        <f t="shared" ca="1" si="132"/>
        <v>0</v>
      </c>
      <c r="P193" s="74">
        <f t="shared" ca="1" si="133"/>
        <v>0</v>
      </c>
      <c r="Q193" s="74">
        <f t="shared" ref="Q193:S193" si="142">Q194+Q195</f>
        <v>0</v>
      </c>
      <c r="R193" s="74">
        <f t="shared" si="142"/>
        <v>0</v>
      </c>
      <c r="S193" s="74">
        <f t="shared" si="142"/>
        <v>0</v>
      </c>
      <c r="T193" s="74">
        <f t="shared" si="135"/>
        <v>0</v>
      </c>
      <c r="U193" s="74">
        <f t="shared" si="136"/>
        <v>0</v>
      </c>
    </row>
    <row r="194" spans="1:21" ht="18.75" hidden="1" x14ac:dyDescent="0.25">
      <c r="A194" s="257"/>
      <c r="B194" s="258"/>
      <c r="C194" s="258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77">
        <f t="shared" si="132"/>
        <v>0</v>
      </c>
      <c r="P194" s="77">
        <f t="shared" si="133"/>
        <v>0</v>
      </c>
      <c r="Q194" s="77">
        <v>0</v>
      </c>
      <c r="R194" s="77">
        <v>0</v>
      </c>
      <c r="S194" s="77">
        <v>0</v>
      </c>
      <c r="T194" s="77">
        <f t="shared" si="135"/>
        <v>0</v>
      </c>
      <c r="U194" s="77">
        <f t="shared" si="136"/>
        <v>0</v>
      </c>
    </row>
    <row r="195" spans="1:21" ht="18.75" hidden="1" x14ac:dyDescent="0.25">
      <c r="A195" s="257"/>
      <c r="B195" s="258"/>
      <c r="C195" s="258"/>
      <c r="D195" s="258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3">
        <f ca="1">IFERROR(__xludf.DUMMYFUNCTION("IMPORTRANGE(""https://docs.google.com/spreadsheets/d/1-uDff_7J0KD5mKrp0Vvzr7lt3OU09vwQwhkpOPPYv2Y/edit?usp=sharing"",""งบพรบ!CX73"")"),0)</f>
        <v>0</v>
      </c>
      <c r="M195" s="74">
        <f ca="1">IFERROR(__xludf.DUMMYFUNCTION("IMPORTRANGE(""https://docs.google.com/spreadsheets/d/1-uDff_7J0KD5mKrp0Vvzr7lt3OU09vwQwhkpOPPYv2Y/edit?usp=sharing"",""งบพรบ!DA73"")"),0)</f>
        <v>0</v>
      </c>
      <c r="N195" s="74">
        <f ca="1">IFERROR(__xludf.DUMMYFUNCTION("IMPORTRANGE(""https://docs.google.com/spreadsheets/d/1-uDff_7J0KD5mKrp0Vvzr7lt3OU09vwQwhkpOPPYv2Y/edit?usp=sharing"",""งบพรบ!DC73"")"),0)</f>
        <v>0</v>
      </c>
      <c r="O195" s="74">
        <f t="shared" ca="1" si="132"/>
        <v>0</v>
      </c>
      <c r="P195" s="74">
        <f t="shared" ca="1" si="133"/>
        <v>0</v>
      </c>
      <c r="Q195" s="74">
        <v>0</v>
      </c>
      <c r="R195" s="74">
        <v>0</v>
      </c>
      <c r="S195" s="74">
        <v>0</v>
      </c>
      <c r="T195" s="74">
        <f t="shared" si="135"/>
        <v>0</v>
      </c>
      <c r="U195" s="74">
        <f t="shared" si="136"/>
        <v>0</v>
      </c>
    </row>
    <row r="196" spans="1:21" ht="19.5" x14ac:dyDescent="0.3">
      <c r="A196" s="553"/>
      <c r="B196" s="555"/>
      <c r="C196" s="1130" t="s">
        <v>78</v>
      </c>
      <c r="D196" s="554"/>
      <c r="E196" s="554"/>
      <c r="F196" s="554"/>
      <c r="G196" s="557"/>
      <c r="H196" s="558" t="s">
        <v>79</v>
      </c>
      <c r="I196" s="559">
        <f t="shared" ref="I196:J196" ca="1" si="143">I199</f>
        <v>4</v>
      </c>
      <c r="J196" s="559">
        <f t="shared" si="143"/>
        <v>2</v>
      </c>
      <c r="K196" s="560">
        <f ca="1">IF(I196&gt;0,J196*100/I196,0)</f>
        <v>50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58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1257">
        <f ca="1">IFERROR(__xludf.DUMMYFUNCTION("IMPORTRANGE(""https://docs.google.com/spreadsheets/d/1eHaY18a8A9IcSdp1K8H6x8fbOy06t2VsZHhMHf-1x7Y/edit?usp=sharing"",""แผน!AB73"")"),6000)</f>
        <v>6000</v>
      </c>
      <c r="M197" s="87"/>
      <c r="N197" s="923">
        <v>5000</v>
      </c>
      <c r="O197" s="264">
        <f ca="1">IF(L197&gt;0,N197*100/L197,0)</f>
        <v>83.333333333333329</v>
      </c>
      <c r="P197" s="264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282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99" t="s">
        <v>79</v>
      </c>
      <c r="I199" s="293">
        <f ca="1">IFERROR(__xludf.DUMMYFUNCTION("IMPORTRANGE(""https://docs.google.com/spreadsheets/d/1eHaY18a8A9IcSdp1K8H6x8fbOy06t2VsZHhMHf-1x7Y/edit?usp=sharing"",""แผน!AE73"")"),4)</f>
        <v>4</v>
      </c>
      <c r="J199" s="294">
        <v>2</v>
      </c>
      <c r="K199" s="74">
        <f ca="1">IF(I199&gt;0,J199*100/I199,0)</f>
        <v>50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30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30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4">I210</f>
        <v>0</v>
      </c>
      <c r="J203" s="559">
        <f t="shared" si="144"/>
        <v>0</v>
      </c>
      <c r="K203" s="560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58"/>
      <c r="C204" s="259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1257">
        <f ca="1">L205+L206+L207+L208</f>
        <v>0</v>
      </c>
      <c r="M204" s="87"/>
      <c r="N204" s="264">
        <f>N205+N206+N207+N208</f>
        <v>0</v>
      </c>
      <c r="O204" s="264">
        <f ca="1">IF(L204&gt;0,N204*100/L204,0)</f>
        <v>0</v>
      </c>
      <c r="P204" s="264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58"/>
      <c r="D205" s="267" t="s">
        <v>86</v>
      </c>
      <c r="E205" s="258"/>
      <c r="F205" s="258"/>
      <c r="G205" s="261"/>
      <c r="H205" s="271" t="s">
        <v>14</v>
      </c>
      <c r="I205" s="272"/>
      <c r="J205" s="272"/>
      <c r="K205" s="229"/>
      <c r="L205" s="73">
        <f ca="1">IFERROR(__xludf.DUMMYFUNCTION("IMPORTRANGE(""https://docs.google.com/spreadsheets/d/1eHaY18a8A9IcSdp1K8H6x8fbOy06t2VsZHhMHf-1x7Y/edit?usp=sharing"",""แผน!AG73"")"),0)</f>
        <v>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58"/>
      <c r="D206" s="267" t="s">
        <v>88</v>
      </c>
      <c r="E206" s="258"/>
      <c r="F206" s="258"/>
      <c r="G206" s="261"/>
      <c r="H206" s="292" t="s">
        <v>14</v>
      </c>
      <c r="I206" s="263"/>
      <c r="J206" s="263"/>
      <c r="K206" s="87"/>
      <c r="L206" s="73">
        <f ca="1">IFERROR(__xludf.DUMMYFUNCTION("IMPORTRANGE(""https://docs.google.com/spreadsheets/d/1eHaY18a8A9IcSdp1K8H6x8fbOy06t2VsZHhMHf-1x7Y/edit?usp=sharing"",""แผน!AH73"")"),0)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58"/>
      <c r="D207" s="267" t="s">
        <v>95</v>
      </c>
      <c r="E207" s="258"/>
      <c r="F207" s="258"/>
      <c r="G207" s="261"/>
      <c r="H207" s="292" t="s">
        <v>14</v>
      </c>
      <c r="I207" s="263"/>
      <c r="J207" s="263"/>
      <c r="K207" s="87"/>
      <c r="L207" s="73">
        <f ca="1">IFERROR(__xludf.DUMMYFUNCTION("IMPORTRANGE(""https://docs.google.com/spreadsheets/d/1eHaY18a8A9IcSdp1K8H6x8fbOy06t2VsZHhMHf-1x7Y/edit?usp=sharing"",""แผน!AI73"")"),0)</f>
        <v>0</v>
      </c>
      <c r="M207" s="87"/>
      <c r="N207" s="924">
        <v>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58"/>
      <c r="D208" s="258"/>
      <c r="E208" s="258"/>
      <c r="F208" s="258"/>
      <c r="G208" s="261"/>
      <c r="H208" s="261"/>
      <c r="I208" s="263"/>
      <c r="J208" s="263"/>
      <c r="K208" s="87"/>
      <c r="L208" s="73">
        <f ca="1">IFERROR(__xludf.DUMMYFUNCTION("IMPORTRANGE(""https://docs.google.com/spreadsheets/d/1eHaY18a8A9IcSdp1K8H6x8fbOy06t2VsZHhMHf-1x7Y/edit?usp=sharing"",""แผน!AJ73"")"),0)</f>
        <v>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282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3" t="s">
        <v>85</v>
      </c>
      <c r="I210" s="293">
        <f ca="1">IFERROR(__xludf.DUMMYFUNCTION("IMPORTRANGE(""https://docs.google.com/spreadsheets/d/1eHaY18a8A9IcSdp1K8H6x8fbOy06t2VsZHhMHf-1x7Y/edit?usp=sharing"",""แผน!AK73"")"),0)</f>
        <v>0</v>
      </c>
      <c r="J210" s="294">
        <v>0</v>
      </c>
      <c r="K210" s="768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282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3" t="s">
        <v>85</v>
      </c>
      <c r="I212" s="293">
        <f ca="1">IFERROR(__xludf.DUMMYFUNCTION("IMPORTRANGE(""https://docs.google.com/spreadsheets/d/1eHaY18a8A9IcSdp1K8H6x8fbOy06t2VsZHhMHf-1x7Y/edit?usp=sharing"",""แผน!AK73"")"),0)</f>
        <v>0</v>
      </c>
      <c r="J212" s="294">
        <v>0</v>
      </c>
      <c r="K212" s="768">
        <f t="shared" ref="K212:K214" ca="1" si="145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IFERROR(__xludf.DUMMYFUNCTION("IMPORTRANGE(""https://docs.google.com/spreadsheets/d/1eHaY18a8A9IcSdp1K8H6x8fbOy06t2VsZHhMHf-1x7Y/edit?usp=sharing"",""แผน!AK73"")"),0)</f>
        <v>0</v>
      </c>
      <c r="J213" s="294">
        <v>0</v>
      </c>
      <c r="K213" s="768">
        <f t="shared" ca="1" si="145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hidden="1" x14ac:dyDescent="0.3">
      <c r="A214" s="553"/>
      <c r="B214" s="555"/>
      <c r="C214" s="1130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6">I221</f>
        <v>0</v>
      </c>
      <c r="J214" s="559">
        <f t="shared" si="146"/>
        <v>0</v>
      </c>
      <c r="K214" s="560">
        <f t="shared" ca="1" si="145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hidden="1" x14ac:dyDescent="0.3">
      <c r="A215" s="257"/>
      <c r="B215" s="258"/>
      <c r="C215" s="259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1257">
        <f ca="1">L216+L217+L218</f>
        <v>0</v>
      </c>
      <c r="M215" s="87"/>
      <c r="N215" s="264">
        <f>N216+N217+N218</f>
        <v>0</v>
      </c>
      <c r="O215" s="264">
        <f ca="1">IF(L215&gt;0,N215*100/L215,0)</f>
        <v>0</v>
      </c>
      <c r="P215" s="264">
        <f>IF(M215&gt;0,N215*100/M215,0)</f>
        <v>0</v>
      </c>
      <c r="Q215" s="87"/>
      <c r="R215" s="87"/>
      <c r="S215" s="87"/>
      <c r="T215" s="87"/>
      <c r="U215" s="87"/>
    </row>
    <row r="216" spans="1:21" ht="18.75" hidden="1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3">
        <f ca="1">IFERROR(__xludf.DUMMYFUNCTION("IMPORTRANGE(""https://docs.google.com/spreadsheets/d/1eHaY18a8A9IcSdp1K8H6x8fbOy06t2VsZHhMHf-1x7Y/edit?usp=sharing"",""แผน!AM73"")"),0)</f>
        <v>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hidden="1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3">
        <f ca="1">IFERROR(__xludf.DUMMYFUNCTION("IMPORTRANGE(""https://docs.google.com/spreadsheets/d/1eHaY18a8A9IcSdp1K8H6x8fbOy06t2VsZHhMHf-1x7Y/edit?usp=sharing"",""แผน!AN73"")"),0)</f>
        <v>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hidden="1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3">
        <f ca="1">IFERROR(__xludf.DUMMYFUNCTION("IMPORTRANGE(""https://docs.google.com/spreadsheets/d/1eHaY18a8A9IcSdp1K8H6x8fbOy06t2VsZHhMHf-1x7Y/edit?usp=sharing"",""แผน!AO73"")"),0)</f>
        <v>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hidden="1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282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hidden="1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3" t="s">
        <v>85</v>
      </c>
      <c r="I220" s="293">
        <f ca="1">IFERROR(__xludf.DUMMYFUNCTION("IMPORTRANGE(""https://docs.google.com/spreadsheets/d/1eHaY18a8A9IcSdp1K8H6x8fbOy06t2VsZHhMHf-1x7Y/edit?usp=sharing"",""แผน!AP73"")"),0)</f>
        <v>0</v>
      </c>
      <c r="J220" s="294">
        <v>0</v>
      </c>
      <c r="K220" s="74">
        <f t="shared" ref="K220:K222" ca="1" si="147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hidden="1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IFERROR(__xludf.DUMMYFUNCTION("IMPORTRANGE(""https://docs.google.com/spreadsheets/d/1eHaY18a8A9IcSdp1K8H6x8fbOy06t2VsZHhMHf-1x7Y/edit?usp=sharing"",""แผน!AP73"")"),0)</f>
        <v>0</v>
      </c>
      <c r="J221" s="294">
        <v>0</v>
      </c>
      <c r="K221" s="74">
        <f t="shared" ca="1" si="147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30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8">I230</f>
        <v>5000</v>
      </c>
      <c r="J222" s="559">
        <f t="shared" si="148"/>
        <v>0</v>
      </c>
      <c r="K222" s="560">
        <f t="shared" ca="1" si="147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58"/>
      <c r="C223" s="259" t="s">
        <v>18</v>
      </c>
      <c r="D223" s="112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1257">
        <f ca="1">L224+L225+L226</f>
        <v>4500</v>
      </c>
      <c r="M223" s="87"/>
      <c r="N223" s="264">
        <f>N224+N225+N226</f>
        <v>800</v>
      </c>
      <c r="O223" s="264">
        <f ca="1">IF(L223&gt;0,N223*100/L223,0)</f>
        <v>17.777777777777779</v>
      </c>
      <c r="P223" s="264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58"/>
      <c r="D224" s="398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3">
        <f ca="1">IFERROR(__xludf.DUMMYFUNCTION("IMPORTRANGE(""https://docs.google.com/spreadsheets/d/1eHaY18a8A9IcSdp1K8H6x8fbOy06t2VsZHhMHf-1x7Y/edit?usp=sharing"",""แผน!AR73"")"),3000)</f>
        <v>3000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3">
        <f ca="1">IFERROR(__xludf.DUMMYFUNCTION("IMPORTRANGE(""https://docs.google.com/spreadsheets/d/1eHaY18a8A9IcSdp1K8H6x8fbOy06t2VsZHhMHf-1x7Y/edit?usp=sharing"",""แผน!AS73"")"),1500)</f>
        <v>1500</v>
      </c>
      <c r="M225" s="87"/>
      <c r="N225" s="924">
        <v>800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3">
        <f ca="1">IFERROR(__xludf.DUMMYFUNCTION("IMPORTRANGE(""https://docs.google.com/spreadsheets/d/1eHaY18a8A9IcSdp1K8H6x8fbOy06t2VsZHhMHf-1x7Y/edit?usp=sharing"",""แผน!AT73"")"),0)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282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282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99" t="s">
        <v>99</v>
      </c>
      <c r="I229" s="293">
        <f ca="1">IFERROR(__xludf.DUMMYFUNCTION("IMPORTRANGE(""https://docs.google.com/spreadsheets/d/1eHaY18a8A9IcSdp1K8H6x8fbOy06t2VsZHhMHf-1x7Y/edit?usp=sharing"",""แผน!AV73"")"),5000)</f>
        <v>5000</v>
      </c>
      <c r="J229" s="294">
        <v>5000</v>
      </c>
      <c r="K229" s="768">
        <f t="shared" ref="K229:K232" ca="1" si="149">IF(I229&gt;0,J229*100/I229,0)</f>
        <v>100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99" t="s">
        <v>99</v>
      </c>
      <c r="I230" s="293">
        <f ca="1">IFERROR(__xludf.DUMMYFUNCTION("IMPORTRANGE(""https://docs.google.com/spreadsheets/d/1eHaY18a8A9IcSdp1K8H6x8fbOy06t2VsZHhMHf-1x7Y/edit?usp=sharing"",""แผน!AV73"")"),5000)</f>
        <v>5000</v>
      </c>
      <c r="J230" s="294">
        <v>0</v>
      </c>
      <c r="K230" s="768">
        <f t="shared" ca="1" si="149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99" t="s">
        <v>35</v>
      </c>
      <c r="I231" s="293">
        <f ca="1">IFERROR(__xludf.DUMMYFUNCTION("IMPORTRANGE(""https://docs.google.com/spreadsheets/d/1eHaY18a8A9IcSdp1K8H6x8fbOy06t2VsZHhMHf-1x7Y/edit?usp=sharing"",""แผน!AU73"")"),0)</f>
        <v>0</v>
      </c>
      <c r="J231" s="294">
        <v>0</v>
      </c>
      <c r="K231" s="768">
        <f t="shared" ca="1" si="149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553"/>
      <c r="B232" s="555"/>
      <c r="C232" s="1130" t="s">
        <v>105</v>
      </c>
      <c r="D232" s="554"/>
      <c r="E232" s="554"/>
      <c r="F232" s="554"/>
      <c r="G232" s="557"/>
      <c r="H232" s="558" t="s">
        <v>35</v>
      </c>
      <c r="I232" s="559">
        <f t="shared" ref="I232:J232" ca="1" si="150">I243+I254</f>
        <v>0</v>
      </c>
      <c r="J232" s="559">
        <f t="shared" si="150"/>
        <v>0</v>
      </c>
      <c r="K232" s="560">
        <f t="shared" ca="1" si="149"/>
        <v>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257"/>
      <c r="B233" s="258"/>
      <c r="C233" s="259" t="s">
        <v>18</v>
      </c>
      <c r="D233" s="260" t="s">
        <v>19</v>
      </c>
      <c r="E233" s="258"/>
      <c r="F233" s="258"/>
      <c r="G233" s="261"/>
      <c r="H233" s="633" t="s">
        <v>14</v>
      </c>
      <c r="I233" s="272"/>
      <c r="J233" s="272"/>
      <c r="K233" s="229"/>
      <c r="L233" s="1281">
        <f t="shared" ref="L233:L237" ca="1" si="151">L244+L255</f>
        <v>0</v>
      </c>
      <c r="M233" s="87"/>
      <c r="N233" s="1258">
        <f t="shared" ref="N233:N237" si="152">N244+N255</f>
        <v>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257"/>
      <c r="B234" s="269"/>
      <c r="C234" s="258"/>
      <c r="D234" s="267" t="s">
        <v>86</v>
      </c>
      <c r="E234" s="258"/>
      <c r="F234" s="258"/>
      <c r="G234" s="261"/>
      <c r="H234" s="271" t="s">
        <v>14</v>
      </c>
      <c r="I234" s="272"/>
      <c r="J234" s="272"/>
      <c r="K234" s="229"/>
      <c r="L234" s="76">
        <f t="shared" ca="1" si="151"/>
        <v>0</v>
      </c>
      <c r="M234" s="87"/>
      <c r="N234" s="77">
        <f t="shared" si="152"/>
        <v>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550"/>
      <c r="B235" s="269"/>
      <c r="C235" s="269"/>
      <c r="D235" s="267" t="s">
        <v>88</v>
      </c>
      <c r="E235" s="258"/>
      <c r="F235" s="258"/>
      <c r="G235" s="261"/>
      <c r="H235" s="271" t="s">
        <v>14</v>
      </c>
      <c r="I235" s="263"/>
      <c r="J235" s="263"/>
      <c r="K235" s="87"/>
      <c r="L235" s="76">
        <f t="shared" ca="1" si="151"/>
        <v>0</v>
      </c>
      <c r="M235" s="87"/>
      <c r="N235" s="77">
        <f t="shared" si="152"/>
        <v>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550"/>
      <c r="B236" s="269"/>
      <c r="C236" s="269"/>
      <c r="D236" s="267" t="s">
        <v>106</v>
      </c>
      <c r="E236" s="258"/>
      <c r="F236" s="258"/>
      <c r="G236" s="261"/>
      <c r="H236" s="271" t="s">
        <v>14</v>
      </c>
      <c r="I236" s="263"/>
      <c r="J236" s="263"/>
      <c r="K236" s="87"/>
      <c r="L236" s="76">
        <f t="shared" ca="1" si="151"/>
        <v>0</v>
      </c>
      <c r="M236" s="87"/>
      <c r="N236" s="77">
        <f t="shared" si="152"/>
        <v>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550"/>
      <c r="B237" s="269"/>
      <c r="C237" s="269"/>
      <c r="D237" s="267" t="s">
        <v>107</v>
      </c>
      <c r="E237" s="258"/>
      <c r="F237" s="258"/>
      <c r="G237" s="261"/>
      <c r="H237" s="271" t="s">
        <v>14</v>
      </c>
      <c r="I237" s="263"/>
      <c r="J237" s="263"/>
      <c r="K237" s="87"/>
      <c r="L237" s="76">
        <f t="shared" ca="1" si="151"/>
        <v>0</v>
      </c>
      <c r="M237" s="87"/>
      <c r="N237" s="77">
        <f t="shared" si="152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276"/>
      <c r="B238" s="277"/>
      <c r="C238" s="621" t="s">
        <v>18</v>
      </c>
      <c r="D238" s="1019" t="s">
        <v>38</v>
      </c>
      <c r="E238" s="280"/>
      <c r="F238" s="280"/>
      <c r="G238" s="281"/>
      <c r="H238" s="282"/>
      <c r="I238" s="272"/>
      <c r="J238" s="263"/>
      <c r="K238" s="87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276"/>
      <c r="B239" s="277"/>
      <c r="C239" s="277"/>
      <c r="D239" s="295" t="s">
        <v>108</v>
      </c>
      <c r="E239" s="296"/>
      <c r="F239" s="296"/>
      <c r="G239" s="282"/>
      <c r="H239" s="299" t="s">
        <v>35</v>
      </c>
      <c r="I239" s="293">
        <f t="shared" ref="I239:J239" ca="1" si="153">I250+I261</f>
        <v>0</v>
      </c>
      <c r="J239" s="293">
        <f t="shared" si="153"/>
        <v>0</v>
      </c>
      <c r="K239" s="74">
        <f ca="1">IF(I239&gt;0,J239*100/I239,0)</f>
        <v>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276"/>
      <c r="B240" s="277"/>
      <c r="C240" s="277"/>
      <c r="D240" s="1103" t="s">
        <v>43</v>
      </c>
      <c r="E240" s="296"/>
      <c r="F240" s="296"/>
      <c r="G240" s="282"/>
      <c r="H240" s="282"/>
      <c r="I240" s="263"/>
      <c r="J240" s="263"/>
      <c r="K240" s="87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276"/>
      <c r="B241" s="277"/>
      <c r="C241" s="277"/>
      <c r="D241" s="277"/>
      <c r="E241" s="767" t="s">
        <v>109</v>
      </c>
      <c r="F241" s="296"/>
      <c r="G241" s="282"/>
      <c r="H241" s="299" t="s">
        <v>35</v>
      </c>
      <c r="I241" s="293">
        <f t="shared" ref="I241:J242" si="154">I252+I263</f>
        <v>0</v>
      </c>
      <c r="J241" s="293">
        <f t="shared" si="154"/>
        <v>0</v>
      </c>
      <c r="K241" s="74">
        <f t="shared" ref="K241:K243" si="155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276"/>
      <c r="B242" s="277"/>
      <c r="C242" s="277"/>
      <c r="D242" s="277"/>
      <c r="E242" s="767" t="s">
        <v>110</v>
      </c>
      <c r="F242" s="296"/>
      <c r="G242" s="282"/>
      <c r="H242" s="299" t="s">
        <v>61</v>
      </c>
      <c r="I242" s="293">
        <f t="shared" si="154"/>
        <v>0</v>
      </c>
      <c r="J242" s="293">
        <f t="shared" si="154"/>
        <v>0</v>
      </c>
      <c r="K242" s="74">
        <f t="shared" si="155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hidden="1" x14ac:dyDescent="0.3">
      <c r="A243" s="553"/>
      <c r="B243" s="555"/>
      <c r="C243" s="927" t="s">
        <v>111</v>
      </c>
      <c r="D243" s="554"/>
      <c r="E243" s="554"/>
      <c r="F243" s="554"/>
      <c r="G243" s="557"/>
      <c r="H243" s="930" t="s">
        <v>35</v>
      </c>
      <c r="I243" s="931">
        <f t="shared" ref="I243:J243" ca="1" si="156">I250</f>
        <v>0</v>
      </c>
      <c r="J243" s="931">
        <f t="shared" si="156"/>
        <v>0</v>
      </c>
      <c r="K243" s="932">
        <f t="shared" ca="1" si="155"/>
        <v>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hidden="1" x14ac:dyDescent="0.3">
      <c r="A244" s="257"/>
      <c r="B244" s="258"/>
      <c r="C244" s="933" t="s">
        <v>18</v>
      </c>
      <c r="D244" s="934" t="s">
        <v>19</v>
      </c>
      <c r="E244" s="258"/>
      <c r="F244" s="258"/>
      <c r="G244" s="261"/>
      <c r="H244" s="703" t="s">
        <v>14</v>
      </c>
      <c r="I244" s="272"/>
      <c r="J244" s="272"/>
      <c r="K244" s="229"/>
      <c r="L244" s="1257">
        <f ca="1">L245+L246+L247+L248</f>
        <v>0</v>
      </c>
      <c r="M244" s="87"/>
      <c r="N244" s="264">
        <f>N245+N246+N247+N248</f>
        <v>0</v>
      </c>
      <c r="O244" s="264">
        <f ca="1">IF(L244&gt;0,N244*100/L244,0)</f>
        <v>0</v>
      </c>
      <c r="P244" s="264">
        <f>IF(M244&gt;0,N244*100/M244,0)</f>
        <v>0</v>
      </c>
      <c r="Q244" s="87"/>
      <c r="R244" s="87"/>
      <c r="S244" s="87"/>
      <c r="T244" s="87"/>
      <c r="U244" s="87"/>
    </row>
    <row r="245" spans="1:21" ht="18.75" hidden="1" x14ac:dyDescent="0.25">
      <c r="A245" s="257"/>
      <c r="B245" s="269"/>
      <c r="C245" s="258"/>
      <c r="D245" s="265" t="s">
        <v>86</v>
      </c>
      <c r="E245" s="258"/>
      <c r="F245" s="258"/>
      <c r="G245" s="261"/>
      <c r="H245" s="273" t="s">
        <v>14</v>
      </c>
      <c r="I245" s="272"/>
      <c r="J245" s="272"/>
      <c r="K245" s="229"/>
      <c r="L245" s="73">
        <f ca="1">IFERROR(__xludf.DUMMYFUNCTION("IMPORTRANGE(""https://docs.google.com/spreadsheets/d/1eHaY18a8A9IcSdp1K8H6x8fbOy06t2VsZHhMHf-1x7Y/edit?usp=sharing"",""แผน!AX73"")"),0)</f>
        <v>0</v>
      </c>
      <c r="M245" s="87"/>
      <c r="N245" s="924">
        <v>0</v>
      </c>
      <c r="O245" s="87"/>
      <c r="P245" s="87"/>
      <c r="Q245" s="87"/>
      <c r="R245" s="87"/>
      <c r="S245" s="87"/>
      <c r="T245" s="87"/>
      <c r="U245" s="87"/>
    </row>
    <row r="246" spans="1:21" ht="18.75" hidden="1" x14ac:dyDescent="0.25">
      <c r="A246" s="550"/>
      <c r="B246" s="269"/>
      <c r="C246" s="269"/>
      <c r="D246" s="265" t="s">
        <v>88</v>
      </c>
      <c r="E246" s="258"/>
      <c r="F246" s="258"/>
      <c r="G246" s="261"/>
      <c r="H246" s="273" t="s">
        <v>14</v>
      </c>
      <c r="I246" s="263"/>
      <c r="J246" s="263"/>
      <c r="K246" s="87"/>
      <c r="L246" s="73">
        <f ca="1">IFERROR(__xludf.DUMMYFUNCTION("IMPORTRANGE(""https://docs.google.com/spreadsheets/d/1eHaY18a8A9IcSdp1K8H6x8fbOy06t2VsZHhMHf-1x7Y/edit?usp=sharing"",""แผน!AY73"")"),0)</f>
        <v>0</v>
      </c>
      <c r="M246" s="87"/>
      <c r="N246" s="924">
        <v>0</v>
      </c>
      <c r="O246" s="87"/>
      <c r="P246" s="87"/>
      <c r="Q246" s="87"/>
      <c r="R246" s="87"/>
      <c r="S246" s="87"/>
      <c r="T246" s="87"/>
      <c r="U246" s="87"/>
    </row>
    <row r="247" spans="1:21" ht="18.75" hidden="1" x14ac:dyDescent="0.25">
      <c r="A247" s="550"/>
      <c r="B247" s="269"/>
      <c r="C247" s="269"/>
      <c r="D247" s="265" t="s">
        <v>106</v>
      </c>
      <c r="E247" s="258"/>
      <c r="F247" s="258"/>
      <c r="G247" s="261"/>
      <c r="H247" s="273" t="s">
        <v>14</v>
      </c>
      <c r="I247" s="263"/>
      <c r="J247" s="263"/>
      <c r="K247" s="87"/>
      <c r="L247" s="73">
        <f ca="1">IFERROR(__xludf.DUMMYFUNCTION("IMPORTRANGE(""https://docs.google.com/spreadsheets/d/1eHaY18a8A9IcSdp1K8H6x8fbOy06t2VsZHhMHf-1x7Y/edit?usp=sharing"",""แผน!AZ73"")"),0)</f>
        <v>0</v>
      </c>
      <c r="M247" s="87"/>
      <c r="N247" s="924">
        <v>0</v>
      </c>
      <c r="O247" s="87"/>
      <c r="P247" s="87"/>
      <c r="Q247" s="87"/>
      <c r="R247" s="87"/>
      <c r="S247" s="87"/>
      <c r="T247" s="87"/>
      <c r="U247" s="87"/>
    </row>
    <row r="248" spans="1:21" ht="18.75" hidden="1" x14ac:dyDescent="0.25">
      <c r="A248" s="550"/>
      <c r="B248" s="269"/>
      <c r="C248" s="269"/>
      <c r="D248" s="265" t="s">
        <v>107</v>
      </c>
      <c r="E248" s="258"/>
      <c r="F248" s="258"/>
      <c r="G248" s="261"/>
      <c r="H248" s="273" t="s">
        <v>14</v>
      </c>
      <c r="I248" s="263"/>
      <c r="J248" s="263"/>
      <c r="K248" s="87"/>
      <c r="L248" s="73">
        <f ca="1">IFERROR(__xludf.DUMMYFUNCTION("IMPORTRANGE(""https://docs.google.com/spreadsheets/d/1eHaY18a8A9IcSdp1K8H6x8fbOy06t2VsZHhMHf-1x7Y/edit?usp=sharing"",""แผน!BA73"")"),0)</f>
        <v>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hidden="1" x14ac:dyDescent="0.3">
      <c r="A249" s="276"/>
      <c r="B249" s="277"/>
      <c r="C249" s="939" t="s">
        <v>18</v>
      </c>
      <c r="D249" s="940" t="s">
        <v>38</v>
      </c>
      <c r="E249" s="280"/>
      <c r="F249" s="280"/>
      <c r="G249" s="281"/>
      <c r="H249" s="282"/>
      <c r="I249" s="272"/>
      <c r="J249" s="263"/>
      <c r="K249" s="87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hidden="1" x14ac:dyDescent="0.25">
      <c r="A250" s="276"/>
      <c r="B250" s="277"/>
      <c r="C250" s="277"/>
      <c r="D250" s="311" t="s">
        <v>108</v>
      </c>
      <c r="E250" s="296"/>
      <c r="F250" s="296"/>
      <c r="G250" s="282"/>
      <c r="H250" s="945" t="s">
        <v>35</v>
      </c>
      <c r="I250" s="592">
        <f ca="1">IFERROR(__xludf.DUMMYFUNCTION("IMPORTRANGE(""https://docs.google.com/spreadsheets/d/1eHaY18a8A9IcSdp1K8H6x8fbOy06t2VsZHhMHf-1x7Y/edit?usp=sharing"",""แผน!BG73"")"),0)</f>
        <v>0</v>
      </c>
      <c r="J250" s="910">
        <v>0</v>
      </c>
      <c r="K250" s="77">
        <f ca="1">IF(I250&gt;0,J250*100/I250,0)</f>
        <v>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hidden="1" x14ac:dyDescent="0.25">
      <c r="A251" s="276"/>
      <c r="B251" s="277"/>
      <c r="C251" s="277"/>
      <c r="D251" s="946" t="s">
        <v>43</v>
      </c>
      <c r="E251" s="296"/>
      <c r="F251" s="296"/>
      <c r="G251" s="282"/>
      <c r="H251" s="282"/>
      <c r="I251" s="263"/>
      <c r="J251" s="263"/>
      <c r="K251" s="87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hidden="1" x14ac:dyDescent="0.25">
      <c r="A252" s="276"/>
      <c r="B252" s="277"/>
      <c r="C252" s="277"/>
      <c r="D252" s="277"/>
      <c r="E252" s="947" t="s">
        <v>109</v>
      </c>
      <c r="F252" s="296"/>
      <c r="G252" s="282"/>
      <c r="H252" s="945" t="s">
        <v>35</v>
      </c>
      <c r="I252" s="592">
        <v>0</v>
      </c>
      <c r="J252" s="910">
        <v>0</v>
      </c>
      <c r="K252" s="77">
        <f t="shared" ref="K252:K254" si="157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hidden="1" x14ac:dyDescent="0.25">
      <c r="A253" s="276"/>
      <c r="B253" s="277"/>
      <c r="C253" s="277"/>
      <c r="D253" s="277"/>
      <c r="E253" s="947" t="s">
        <v>110</v>
      </c>
      <c r="F253" s="296"/>
      <c r="G253" s="282"/>
      <c r="H253" s="945" t="s">
        <v>61</v>
      </c>
      <c r="I253" s="592">
        <v>0</v>
      </c>
      <c r="J253" s="910">
        <v>0</v>
      </c>
      <c r="K253" s="77">
        <f t="shared" si="157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553"/>
      <c r="B254" s="555"/>
      <c r="C254" s="927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8">I261</f>
        <v>0</v>
      </c>
      <c r="J254" s="931">
        <f t="shared" si="158"/>
        <v>0</v>
      </c>
      <c r="K254" s="932">
        <f t="shared" ca="1" si="157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257"/>
      <c r="B255" s="258"/>
      <c r="C255" s="933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1257">
        <f ca="1">L256+L257+L258+L259</f>
        <v>0</v>
      </c>
      <c r="M255" s="87"/>
      <c r="N255" s="264">
        <f>N256+N257+N258+N259</f>
        <v>0</v>
      </c>
      <c r="O255" s="264">
        <f ca="1">IF(L255&gt;0,N255*100/L255,0)</f>
        <v>0</v>
      </c>
      <c r="P255" s="264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257"/>
      <c r="B256" s="269"/>
      <c r="C256" s="258"/>
      <c r="D256" s="265" t="s">
        <v>86</v>
      </c>
      <c r="E256" s="258"/>
      <c r="F256" s="258"/>
      <c r="G256" s="261"/>
      <c r="H256" s="273" t="s">
        <v>14</v>
      </c>
      <c r="I256" s="272"/>
      <c r="J256" s="272"/>
      <c r="K256" s="229"/>
      <c r="L256" s="73">
        <f ca="1">IFERROR(__xludf.DUMMYFUNCTION("IMPORTRANGE(""https://docs.google.com/spreadsheets/d/1eHaY18a8A9IcSdp1K8H6x8fbOy06t2VsZHhMHf-1x7Y/edit?usp=sharing"",""แผน!BB73"")"),0)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265" t="s">
        <v>88</v>
      </c>
      <c r="E257" s="258"/>
      <c r="F257" s="258"/>
      <c r="G257" s="261"/>
      <c r="H257" s="273" t="s">
        <v>14</v>
      </c>
      <c r="I257" s="263"/>
      <c r="J257" s="263"/>
      <c r="K257" s="87"/>
      <c r="L257" s="73">
        <f ca="1">IFERROR(__xludf.DUMMYFUNCTION("IMPORTRANGE(""https://docs.google.com/spreadsheets/d/1eHaY18a8A9IcSdp1K8H6x8fbOy06t2VsZHhMHf-1x7Y/edit?usp=sharing"",""แผน!BC73"")"),0)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265" t="s">
        <v>106</v>
      </c>
      <c r="E258" s="258"/>
      <c r="F258" s="258"/>
      <c r="G258" s="261"/>
      <c r="H258" s="273" t="s">
        <v>14</v>
      </c>
      <c r="I258" s="263"/>
      <c r="J258" s="263"/>
      <c r="K258" s="87"/>
      <c r="L258" s="73">
        <f ca="1">IFERROR(__xludf.DUMMYFUNCTION("IMPORTRANGE(""https://docs.google.com/spreadsheets/d/1eHaY18a8A9IcSdp1K8H6x8fbOy06t2VsZHhMHf-1x7Y/edit?usp=sharing"",""แผน!BD73"")"),0)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5" t="s">
        <v>107</v>
      </c>
      <c r="E259" s="258"/>
      <c r="F259" s="258"/>
      <c r="G259" s="261"/>
      <c r="H259" s="273" t="s">
        <v>14</v>
      </c>
      <c r="I259" s="263"/>
      <c r="J259" s="263"/>
      <c r="K259" s="87"/>
      <c r="L259" s="73">
        <f ca="1">IFERROR(__xludf.DUMMYFUNCTION("IMPORTRANGE(""https://docs.google.com/spreadsheets/d/1eHaY18a8A9IcSdp1K8H6x8fbOy06t2VsZHhMHf-1x7Y/edit?usp=sharing"",""แผน!BE73"")"),0)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945" t="s">
        <v>35</v>
      </c>
      <c r="I261" s="592">
        <f ca="1">IFERROR(__xludf.DUMMYFUNCTION("IMPORTRANGE(""https://docs.google.com/spreadsheets/d/1eHaY18a8A9IcSdp1K8H6x8fbOy06t2VsZHhMHf-1x7Y/edit?usp=sharing"",""แผน!BH73"")"),0)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282"/>
      <c r="I262" s="263"/>
      <c r="J262" s="263"/>
      <c r="K262" s="87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945" t="s">
        <v>35</v>
      </c>
      <c r="I263" s="263"/>
      <c r="J263" s="910">
        <v>0</v>
      </c>
      <c r="K263" s="77">
        <f t="shared" ref="K263:K264" si="159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945" t="s">
        <v>61</v>
      </c>
      <c r="I264" s="263"/>
      <c r="J264" s="910">
        <v>0</v>
      </c>
      <c r="K264" s="77">
        <f t="shared" si="159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363"/>
      <c r="I265" s="364"/>
      <c r="J265" s="364"/>
      <c r="K265" s="365"/>
      <c r="L265" s="1230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371" t="s">
        <v>35</v>
      </c>
      <c r="I266" s="1140">
        <f t="shared" ref="I266:J266" ca="1" si="160">I277</f>
        <v>12</v>
      </c>
      <c r="J266" s="1140">
        <f t="shared" si="160"/>
        <v>0</v>
      </c>
      <c r="K266" s="373">
        <f ca="1">IF(I266&gt;0,J266*100/I266,0)</f>
        <v>0</v>
      </c>
      <c r="L266" s="1231"/>
      <c r="M266" s="374"/>
      <c r="N266" s="374"/>
      <c r="O266" s="374"/>
      <c r="P266" s="374"/>
      <c r="Q266" s="374"/>
      <c r="R266" s="374"/>
      <c r="S266" s="374"/>
      <c r="T266" s="374"/>
      <c r="U266" s="374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1262">
        <f t="shared" ref="L267:N267" ca="1" si="161">L268+L269</f>
        <v>0</v>
      </c>
      <c r="M267" s="213">
        <f t="shared" ca="1" si="161"/>
        <v>5000</v>
      </c>
      <c r="N267" s="213">
        <f t="shared" ca="1" si="161"/>
        <v>0</v>
      </c>
      <c r="O267" s="213">
        <f t="shared" ref="O267:O275" ca="1" si="162">IF(L267&gt;0,N267*100/L267,0)</f>
        <v>0</v>
      </c>
      <c r="P267" s="213">
        <f t="shared" ref="P267:P275" ca="1" si="163">IF(M267&gt;0,N267*100/M267,0)</f>
        <v>0</v>
      </c>
      <c r="Q267" s="213">
        <f t="shared" ref="Q267:S267" ca="1" si="164">Q268+Q269</f>
        <v>36760</v>
      </c>
      <c r="R267" s="213">
        <f t="shared" ca="1" si="164"/>
        <v>36760</v>
      </c>
      <c r="S267" s="213">
        <f t="shared" ca="1" si="164"/>
        <v>0</v>
      </c>
      <c r="T267" s="213">
        <f t="shared" ref="T267:T275" ca="1" si="165">IF(Q267&gt;0,S267*100/Q267,0)</f>
        <v>0</v>
      </c>
      <c r="U267" s="213">
        <f t="shared" ref="U267:U275" ca="1" si="166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76">
        <f t="shared" ref="L268:N269" si="167">L271+L274</f>
        <v>0</v>
      </c>
      <c r="M268" s="77">
        <f t="shared" si="167"/>
        <v>0</v>
      </c>
      <c r="N268" s="77">
        <f t="shared" si="167"/>
        <v>0</v>
      </c>
      <c r="O268" s="77">
        <f t="shared" si="162"/>
        <v>0</v>
      </c>
      <c r="P268" s="77">
        <f t="shared" si="163"/>
        <v>0</v>
      </c>
      <c r="Q268" s="77">
        <f t="shared" ref="Q268:S269" si="168">Q271+Q274</f>
        <v>0</v>
      </c>
      <c r="R268" s="77">
        <f t="shared" si="168"/>
        <v>0</v>
      </c>
      <c r="S268" s="77">
        <f t="shared" si="168"/>
        <v>0</v>
      </c>
      <c r="T268" s="77">
        <f t="shared" si="165"/>
        <v>0</v>
      </c>
      <c r="U268" s="77">
        <f t="shared" si="166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261">
        <f t="shared" ca="1" si="167"/>
        <v>0</v>
      </c>
      <c r="M269" s="399">
        <f t="shared" ca="1" si="167"/>
        <v>5000</v>
      </c>
      <c r="N269" s="399">
        <f t="shared" ca="1" si="167"/>
        <v>0</v>
      </c>
      <c r="O269" s="399">
        <f t="shared" ca="1" si="162"/>
        <v>0</v>
      </c>
      <c r="P269" s="399">
        <f t="shared" ca="1" si="163"/>
        <v>0</v>
      </c>
      <c r="Q269" s="399">
        <f t="shared" ca="1" si="168"/>
        <v>36760</v>
      </c>
      <c r="R269" s="399">
        <f t="shared" ca="1" si="168"/>
        <v>36760</v>
      </c>
      <c r="S269" s="399">
        <f t="shared" ca="1" si="168"/>
        <v>0</v>
      </c>
      <c r="T269" s="399">
        <f t="shared" ca="1" si="165"/>
        <v>0</v>
      </c>
      <c r="U269" s="399">
        <f t="shared" ca="1" si="166"/>
        <v>0</v>
      </c>
    </row>
    <row r="270" spans="1:21" ht="18.75" x14ac:dyDescent="0.25">
      <c r="A270" s="209"/>
      <c r="B270" s="67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261">
        <f t="shared" ref="L270:N270" ca="1" si="169">L271+L272</f>
        <v>0</v>
      </c>
      <c r="M270" s="399">
        <f t="shared" ca="1" si="169"/>
        <v>5000</v>
      </c>
      <c r="N270" s="399">
        <f t="shared" ca="1" si="169"/>
        <v>0</v>
      </c>
      <c r="O270" s="399">
        <f t="shared" ca="1" si="162"/>
        <v>0</v>
      </c>
      <c r="P270" s="399">
        <f t="shared" ca="1" si="163"/>
        <v>0</v>
      </c>
      <c r="Q270" s="399">
        <f t="shared" ref="Q270:S270" ca="1" si="170">Q271+Q272</f>
        <v>36760</v>
      </c>
      <c r="R270" s="399">
        <f t="shared" ca="1" si="170"/>
        <v>36760</v>
      </c>
      <c r="S270" s="399">
        <f t="shared" ca="1" si="170"/>
        <v>0</v>
      </c>
      <c r="T270" s="399">
        <f t="shared" ca="1" si="165"/>
        <v>0</v>
      </c>
      <c r="U270" s="399">
        <f t="shared" ca="1" si="166"/>
        <v>0</v>
      </c>
    </row>
    <row r="271" spans="1:21" ht="18.75" hidden="1" x14ac:dyDescent="0.25">
      <c r="A271" s="880"/>
      <c r="B271" s="838"/>
      <c r="C271" s="838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77">
        <f t="shared" si="162"/>
        <v>0</v>
      </c>
      <c r="P271" s="77">
        <f t="shared" si="163"/>
        <v>0</v>
      </c>
      <c r="Q271" s="77">
        <v>0</v>
      </c>
      <c r="R271" s="77">
        <v>0</v>
      </c>
      <c r="S271" s="77">
        <v>0</v>
      </c>
      <c r="T271" s="77">
        <f t="shared" si="165"/>
        <v>0</v>
      </c>
      <c r="U271" s="77">
        <f t="shared" si="166"/>
        <v>0</v>
      </c>
    </row>
    <row r="272" spans="1:21" ht="18.75" hidden="1" x14ac:dyDescent="0.25">
      <c r="A272" s="209"/>
      <c r="B272" s="67"/>
      <c r="C272" s="67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261">
        <f ca="1">IFERROR(__xludf.DUMMYFUNCTION("IMPORTRANGE(""https://docs.google.com/spreadsheets/d/1-uDff_7J0KD5mKrp0Vvzr7lt3OU09vwQwhkpOPPYv2Y/edit?usp=sharing"",""งบพรบ!DE73"")"),0)</f>
        <v>0</v>
      </c>
      <c r="M272" s="399">
        <f ca="1">IFERROR(__xludf.DUMMYFUNCTION("IMPORTRANGE(""https://docs.google.com/spreadsheets/d/1-uDff_7J0KD5mKrp0Vvzr7lt3OU09vwQwhkpOPPYv2Y/edit?usp=sharing"",""งบพรบ!DJ73"")"),5000)</f>
        <v>5000</v>
      </c>
      <c r="N272" s="399">
        <f ca="1">IFERROR(__xludf.DUMMYFUNCTION("IMPORTRANGE(""https://docs.google.com/spreadsheets/d/1-uDff_7J0KD5mKrp0Vvzr7lt3OU09vwQwhkpOPPYv2Y/edit?usp=sharing"",""งบพรบ!DL73"")"),0)</f>
        <v>0</v>
      </c>
      <c r="O272" s="399">
        <f t="shared" ca="1" si="162"/>
        <v>0</v>
      </c>
      <c r="P272" s="399">
        <f t="shared" ca="1" si="163"/>
        <v>0</v>
      </c>
      <c r="Q272" s="399">
        <f ca="1">IFERROR(__xludf.DUMMYFUNCTION("IMPORTRANGE(""https://docs.google.com/spreadsheets/d/1ItG2mGa2ceCfYo0BwxsXqNm01IGEUdYcSSLTEv9YCik/edit?usp=sharing"",""เบิกจ่ายกองทุน!AJ73"")"),36760)</f>
        <v>36760</v>
      </c>
      <c r="R272" s="399">
        <f ca="1">IFERROR(__xludf.DUMMYFUNCTION("IMPORTRANGE(""https://docs.google.com/spreadsheets/d/1ItG2mGa2ceCfYo0BwxsXqNm01IGEUdYcSSLTEv9YCik/edit?usp=sharing"",""เบิกจ่ายกองทุน!AK73"")"),36760)</f>
        <v>36760</v>
      </c>
      <c r="S272" s="399">
        <f ca="1">IFERROR(__xludf.DUMMYFUNCTION("IMPORTRANGE(""https://docs.google.com/spreadsheets/d/1ItG2mGa2ceCfYo0BwxsXqNm01IGEUdYcSSLTEv9YCik/edit?usp=sharing"",""เบิกจ่ายกองทุน!AL73"")"),0)</f>
        <v>0</v>
      </c>
      <c r="T272" s="399">
        <f t="shared" ca="1" si="165"/>
        <v>0</v>
      </c>
      <c r="U272" s="399">
        <f t="shared" ca="1" si="166"/>
        <v>0</v>
      </c>
    </row>
    <row r="273" spans="1:21" ht="18.75" x14ac:dyDescent="0.25">
      <c r="A273" s="209"/>
      <c r="B273" s="67"/>
      <c r="C273" s="67"/>
      <c r="D273" s="836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261">
        <f t="shared" ref="L273:N273" ca="1" si="171">L274+L275</f>
        <v>0</v>
      </c>
      <c r="M273" s="399">
        <f t="shared" ca="1" si="171"/>
        <v>0</v>
      </c>
      <c r="N273" s="399">
        <f t="shared" ca="1" si="171"/>
        <v>0</v>
      </c>
      <c r="O273" s="399">
        <f t="shared" ca="1" si="162"/>
        <v>0</v>
      </c>
      <c r="P273" s="399">
        <f t="shared" ca="1" si="163"/>
        <v>0</v>
      </c>
      <c r="Q273" s="399">
        <f t="shared" ref="Q273:S273" si="172">Q274+Q275</f>
        <v>0</v>
      </c>
      <c r="R273" s="399">
        <f t="shared" si="172"/>
        <v>0</v>
      </c>
      <c r="S273" s="399">
        <f t="shared" si="172"/>
        <v>0</v>
      </c>
      <c r="T273" s="399">
        <f t="shared" si="165"/>
        <v>0</v>
      </c>
      <c r="U273" s="399">
        <f t="shared" si="166"/>
        <v>0</v>
      </c>
    </row>
    <row r="274" spans="1:21" ht="18.75" hidden="1" x14ac:dyDescent="0.25">
      <c r="A274" s="880"/>
      <c r="B274" s="838"/>
      <c r="C274" s="838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77">
        <f t="shared" si="162"/>
        <v>0</v>
      </c>
      <c r="P274" s="77">
        <f t="shared" si="163"/>
        <v>0</v>
      </c>
      <c r="Q274" s="77">
        <v>0</v>
      </c>
      <c r="R274" s="77">
        <v>0</v>
      </c>
      <c r="S274" s="77">
        <v>0</v>
      </c>
      <c r="T274" s="77">
        <f t="shared" si="165"/>
        <v>0</v>
      </c>
      <c r="U274" s="77">
        <f t="shared" si="166"/>
        <v>0</v>
      </c>
    </row>
    <row r="275" spans="1:21" ht="18.75" hidden="1" x14ac:dyDescent="0.25">
      <c r="A275" s="209"/>
      <c r="B275" s="67"/>
      <c r="C275" s="67"/>
      <c r="D275" s="67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261">
        <f ca="1">IFERROR(__xludf.DUMMYFUNCTION("IMPORTRANGE(""https://docs.google.com/spreadsheets/d/1-uDff_7J0KD5mKrp0Vvzr7lt3OU09vwQwhkpOPPYv2Y/edit?usp=sharing"",""งบพรบ!DH73"")"),0)</f>
        <v>0</v>
      </c>
      <c r="M275" s="399">
        <f ca="1">IFERROR(__xludf.DUMMYFUNCTION("IMPORTRANGE(""https://docs.google.com/spreadsheets/d/1-uDff_7J0KD5mKrp0Vvzr7lt3OU09vwQwhkpOPPYv2Y/edit?usp=sharing"",""งบพรบ!DK73"")"),0)</f>
        <v>0</v>
      </c>
      <c r="N275" s="399">
        <f ca="1">IFERROR(__xludf.DUMMYFUNCTION("IMPORTRANGE(""https://docs.google.com/spreadsheets/d/1-uDff_7J0KD5mKrp0Vvzr7lt3OU09vwQwhkpOPPYv2Y/edit?usp=sharing"",""งบพรบ!DM73"")"),0)</f>
        <v>0</v>
      </c>
      <c r="O275" s="399">
        <f t="shared" ca="1" si="162"/>
        <v>0</v>
      </c>
      <c r="P275" s="399">
        <f t="shared" ca="1" si="163"/>
        <v>0</v>
      </c>
      <c r="Q275" s="399">
        <v>0</v>
      </c>
      <c r="R275" s="399">
        <v>0</v>
      </c>
      <c r="S275" s="399">
        <v>0</v>
      </c>
      <c r="T275" s="399">
        <f t="shared" si="165"/>
        <v>0</v>
      </c>
      <c r="U275" s="399">
        <f t="shared" si="166"/>
        <v>0</v>
      </c>
    </row>
    <row r="276" spans="1:21" ht="19.5" x14ac:dyDescent="0.3">
      <c r="A276" s="222"/>
      <c r="B276" s="223"/>
      <c r="C276" s="440" t="s">
        <v>18</v>
      </c>
      <c r="D276" s="883" t="s">
        <v>38</v>
      </c>
      <c r="E276" s="225"/>
      <c r="F276" s="225"/>
      <c r="G276" s="226"/>
      <c r="H276" s="227"/>
      <c r="I276" s="219"/>
      <c r="J276" s="219"/>
      <c r="K276" s="220"/>
      <c r="L276" s="1235"/>
      <c r="M276" s="220"/>
      <c r="N276" s="220"/>
      <c r="O276" s="220"/>
      <c r="P276" s="220"/>
      <c r="Q276" s="220"/>
      <c r="R276" s="220"/>
      <c r="S276" s="220"/>
      <c r="T276" s="220"/>
      <c r="U276" s="220"/>
    </row>
    <row r="277" spans="1:21" ht="18.75" x14ac:dyDescent="0.25">
      <c r="A277" s="1340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IFERROR(__xludf.DUMMYFUNCTION("IMPORTRANGE(""https://docs.google.com/spreadsheets/d/1eHaY18a8A9IcSdp1K8H6x8fbOy06t2VsZHhMHf-1x7Y/edit?usp=sharing"",""แผน!EC73"")"),12)</f>
        <v>12</v>
      </c>
      <c r="J277" s="908">
        <v>0</v>
      </c>
      <c r="K277" s="85">
        <f ca="1">IF(I277&gt;0,J277*100/I277,0)</f>
        <v>0</v>
      </c>
      <c r="L277" s="540"/>
      <c r="M277" s="72"/>
      <c r="N277" s="72"/>
      <c r="O277" s="72"/>
      <c r="P277" s="72"/>
      <c r="Q277" s="72"/>
      <c r="R277" s="72"/>
      <c r="S277" s="72"/>
      <c r="T277" s="72"/>
      <c r="U277" s="72"/>
    </row>
    <row r="278" spans="1:21" ht="18.75" hidden="1" x14ac:dyDescent="0.25">
      <c r="A278" s="1236"/>
      <c r="B278" s="996"/>
      <c r="C278" s="996"/>
      <c r="D278" s="1145" t="s">
        <v>116</v>
      </c>
      <c r="E278" s="1237"/>
      <c r="F278" s="1237"/>
      <c r="G278" s="1238"/>
      <c r="H278" s="1305" t="s">
        <v>35</v>
      </c>
      <c r="I278" s="779">
        <v>0</v>
      </c>
      <c r="J278" s="779">
        <v>0</v>
      </c>
      <c r="K278" s="1147">
        <v>0</v>
      </c>
      <c r="L278" s="1239"/>
      <c r="M278" s="1240"/>
      <c r="N278" s="1240"/>
      <c r="O278" s="1240"/>
      <c r="P278" s="1240"/>
      <c r="Q278" s="1240"/>
      <c r="R278" s="1240"/>
      <c r="S278" s="1240"/>
      <c r="T278" s="1240"/>
      <c r="U278" s="124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50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3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306" t="s">
        <v>35</v>
      </c>
      <c r="I281" s="1163">
        <f t="shared" ref="I281:J281" ca="1" si="173">I294</f>
        <v>0</v>
      </c>
      <c r="J281" s="1163">
        <f t="shared" si="173"/>
        <v>0</v>
      </c>
      <c r="K281" s="1164">
        <f t="shared" ref="K281:K282" ca="1" si="174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306" t="s">
        <v>46</v>
      </c>
      <c r="I282" s="1163">
        <f t="shared" ref="I282:J282" ca="1" si="175">I293</f>
        <v>0</v>
      </c>
      <c r="J282" s="1163">
        <f t="shared" si="175"/>
        <v>0</v>
      </c>
      <c r="K282" s="1164">
        <f t="shared" ca="1" si="174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1257">
        <f t="shared" ref="L283:N283" ca="1" si="176">L284+L285</f>
        <v>0</v>
      </c>
      <c r="M283" s="264">
        <f t="shared" ca="1" si="176"/>
        <v>0</v>
      </c>
      <c r="N283" s="264">
        <f t="shared" ca="1" si="176"/>
        <v>0</v>
      </c>
      <c r="O283" s="264">
        <f t="shared" ref="O283:O291" ca="1" si="177">IF(L283&gt;0,N283*100/L283,0)</f>
        <v>0</v>
      </c>
      <c r="P283" s="264">
        <f t="shared" ref="P283:P291" ca="1" si="178">IF(M283&gt;0,N283*100/M283,0)</f>
        <v>0</v>
      </c>
      <c r="Q283" s="264">
        <f t="shared" ref="Q283:S283" si="179">Q284+Q285</f>
        <v>0</v>
      </c>
      <c r="R283" s="264">
        <f t="shared" si="179"/>
        <v>0</v>
      </c>
      <c r="S283" s="264">
        <f t="shared" si="179"/>
        <v>0</v>
      </c>
      <c r="T283" s="264">
        <f t="shared" ref="T283:T291" si="180">IF(Q283&gt;0,S283*100/Q283,0)</f>
        <v>0</v>
      </c>
      <c r="U283" s="264">
        <f t="shared" ref="U283:U291" si="181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6">
        <f t="shared" ref="L284:N285" si="182">L287+L290</f>
        <v>0</v>
      </c>
      <c r="M284" s="77">
        <f t="shared" si="182"/>
        <v>0</v>
      </c>
      <c r="N284" s="77">
        <f t="shared" si="182"/>
        <v>0</v>
      </c>
      <c r="O284" s="77">
        <f t="shared" si="177"/>
        <v>0</v>
      </c>
      <c r="P284" s="77">
        <f t="shared" si="178"/>
        <v>0</v>
      </c>
      <c r="Q284" s="77">
        <f t="shared" ref="Q284:S285" si="183">Q287+Q290</f>
        <v>0</v>
      </c>
      <c r="R284" s="77">
        <f t="shared" si="183"/>
        <v>0</v>
      </c>
      <c r="S284" s="77">
        <f t="shared" si="183"/>
        <v>0</v>
      </c>
      <c r="T284" s="77">
        <f t="shared" si="180"/>
        <v>0</v>
      </c>
      <c r="U284" s="77">
        <f t="shared" si="181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3">
        <f t="shared" ca="1" si="182"/>
        <v>0</v>
      </c>
      <c r="M285" s="74">
        <f t="shared" ca="1" si="182"/>
        <v>0</v>
      </c>
      <c r="N285" s="74">
        <f t="shared" ca="1" si="182"/>
        <v>0</v>
      </c>
      <c r="O285" s="74">
        <f t="shared" ca="1" si="177"/>
        <v>0</v>
      </c>
      <c r="P285" s="74">
        <f t="shared" ca="1" si="178"/>
        <v>0</v>
      </c>
      <c r="Q285" s="74">
        <f t="shared" si="183"/>
        <v>0</v>
      </c>
      <c r="R285" s="74">
        <f t="shared" si="183"/>
        <v>0</v>
      </c>
      <c r="S285" s="74">
        <f t="shared" si="183"/>
        <v>0</v>
      </c>
      <c r="T285" s="74">
        <f t="shared" si="180"/>
        <v>0</v>
      </c>
      <c r="U285" s="74">
        <f t="shared" si="181"/>
        <v>0</v>
      </c>
    </row>
    <row r="286" spans="1:21" ht="18.75" hidden="1" x14ac:dyDescent="0.25">
      <c r="A286" s="257"/>
      <c r="B286" s="258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3">
        <f t="shared" ref="L286:N286" ca="1" si="184">L287+L288</f>
        <v>0</v>
      </c>
      <c r="M286" s="74">
        <f t="shared" ca="1" si="184"/>
        <v>0</v>
      </c>
      <c r="N286" s="74">
        <f t="shared" ca="1" si="184"/>
        <v>0</v>
      </c>
      <c r="O286" s="74">
        <f t="shared" ca="1" si="177"/>
        <v>0</v>
      </c>
      <c r="P286" s="74">
        <f t="shared" ca="1" si="178"/>
        <v>0</v>
      </c>
      <c r="Q286" s="74">
        <f t="shared" ref="Q286:S286" si="185">Q287+Q288</f>
        <v>0</v>
      </c>
      <c r="R286" s="74">
        <f t="shared" si="185"/>
        <v>0</v>
      </c>
      <c r="S286" s="74">
        <f t="shared" si="185"/>
        <v>0</v>
      </c>
      <c r="T286" s="74">
        <f t="shared" si="180"/>
        <v>0</v>
      </c>
      <c r="U286" s="74">
        <f t="shared" si="181"/>
        <v>0</v>
      </c>
    </row>
    <row r="287" spans="1:21" ht="18.75" hidden="1" x14ac:dyDescent="0.25">
      <c r="A287" s="257"/>
      <c r="B287" s="258"/>
      <c r="C287" s="258"/>
      <c r="D287" s="258"/>
      <c r="E287" s="26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77">
        <f t="shared" si="177"/>
        <v>0</v>
      </c>
      <c r="P287" s="77">
        <f t="shared" si="178"/>
        <v>0</v>
      </c>
      <c r="Q287" s="77">
        <v>0</v>
      </c>
      <c r="R287" s="77">
        <v>0</v>
      </c>
      <c r="S287" s="77">
        <v>0</v>
      </c>
      <c r="T287" s="77">
        <f t="shared" si="180"/>
        <v>0</v>
      </c>
      <c r="U287" s="77">
        <f t="shared" si="181"/>
        <v>0</v>
      </c>
    </row>
    <row r="288" spans="1:21" ht="18.75" hidden="1" x14ac:dyDescent="0.25">
      <c r="A288" s="257"/>
      <c r="B288" s="258"/>
      <c r="C288" s="258"/>
      <c r="D288" s="258"/>
      <c r="E288" s="267" t="s">
        <v>37</v>
      </c>
      <c r="F288" s="258"/>
      <c r="G288" s="261"/>
      <c r="H288" s="271" t="s">
        <v>14</v>
      </c>
      <c r="I288" s="272"/>
      <c r="J288" s="272"/>
      <c r="K288" s="229"/>
      <c r="L288" s="73">
        <f ca="1">IFERROR(__xludf.DUMMYFUNCTION("IMPORTRANGE(""https://docs.google.com/spreadsheets/d/1-uDff_7J0KD5mKrp0Vvzr7lt3OU09vwQwhkpOPPYv2Y/edit?usp=sharing"",""งบพรบ!DO73"")"),0)</f>
        <v>0</v>
      </c>
      <c r="M288" s="74">
        <f ca="1">IFERROR(__xludf.DUMMYFUNCTION("IMPORTRANGE(""https://docs.google.com/spreadsheets/d/1-uDff_7J0KD5mKrp0Vvzr7lt3OU09vwQwhkpOPPYv2Y/edit?usp=sharing"",""งบพรบ!DT73"")"),0)</f>
        <v>0</v>
      </c>
      <c r="N288" s="74">
        <f ca="1">IFERROR(__xludf.DUMMYFUNCTION("IMPORTRANGE(""https://docs.google.com/spreadsheets/d/1-uDff_7J0KD5mKrp0Vvzr7lt3OU09vwQwhkpOPPYv2Y/edit?usp=sharing"",""งบพรบ!DV73"")"),0)</f>
        <v>0</v>
      </c>
      <c r="O288" s="74">
        <f t="shared" ca="1" si="177"/>
        <v>0</v>
      </c>
      <c r="P288" s="74">
        <f t="shared" ca="1" si="178"/>
        <v>0</v>
      </c>
      <c r="Q288" s="74">
        <v>0</v>
      </c>
      <c r="R288" s="74">
        <v>0</v>
      </c>
      <c r="S288" s="74">
        <v>0</v>
      </c>
      <c r="T288" s="77">
        <f t="shared" si="180"/>
        <v>0</v>
      </c>
      <c r="U288" s="77">
        <f t="shared" si="181"/>
        <v>0</v>
      </c>
    </row>
    <row r="289" spans="1:21" ht="18.75" hidden="1" x14ac:dyDescent="0.25">
      <c r="A289" s="257"/>
      <c r="B289" s="258"/>
      <c r="C289" s="258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3">
        <f t="shared" ref="L289:N289" ca="1" si="186">L290+L291</f>
        <v>0</v>
      </c>
      <c r="M289" s="74">
        <f t="shared" ca="1" si="186"/>
        <v>0</v>
      </c>
      <c r="N289" s="74">
        <f t="shared" ca="1" si="186"/>
        <v>0</v>
      </c>
      <c r="O289" s="74">
        <f t="shared" ca="1" si="177"/>
        <v>0</v>
      </c>
      <c r="P289" s="74">
        <f t="shared" ca="1" si="178"/>
        <v>0</v>
      </c>
      <c r="Q289" s="74">
        <f t="shared" ref="Q289:S289" si="187">Q290+Q291</f>
        <v>0</v>
      </c>
      <c r="R289" s="74">
        <f t="shared" si="187"/>
        <v>0</v>
      </c>
      <c r="S289" s="74">
        <f t="shared" si="187"/>
        <v>0</v>
      </c>
      <c r="T289" s="74">
        <f t="shared" si="180"/>
        <v>0</v>
      </c>
      <c r="U289" s="74">
        <f t="shared" si="181"/>
        <v>0</v>
      </c>
    </row>
    <row r="290" spans="1:21" ht="18.75" hidden="1" x14ac:dyDescent="0.25">
      <c r="A290" s="257"/>
      <c r="B290" s="258"/>
      <c r="C290" s="258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77">
        <f t="shared" si="177"/>
        <v>0</v>
      </c>
      <c r="P290" s="77">
        <f t="shared" si="178"/>
        <v>0</v>
      </c>
      <c r="Q290" s="77">
        <v>0</v>
      </c>
      <c r="R290" s="77">
        <v>0</v>
      </c>
      <c r="S290" s="77">
        <v>0</v>
      </c>
      <c r="T290" s="77">
        <f t="shared" si="180"/>
        <v>0</v>
      </c>
      <c r="U290" s="77">
        <f t="shared" si="181"/>
        <v>0</v>
      </c>
    </row>
    <row r="291" spans="1:21" ht="18.75" hidden="1" x14ac:dyDescent="0.25">
      <c r="A291" s="257"/>
      <c r="B291" s="258"/>
      <c r="C291" s="258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3">
        <f ca="1">IFERROR(__xludf.DUMMYFUNCTION("IMPORTRANGE(""https://docs.google.com/spreadsheets/d/1-uDff_7J0KD5mKrp0Vvzr7lt3OU09vwQwhkpOPPYv2Y/edit?usp=sharing"",""งบพรบ!DR73"")"),0)</f>
        <v>0</v>
      </c>
      <c r="M291" s="74">
        <f ca="1">IFERROR(__xludf.DUMMYFUNCTION("IMPORTRANGE(""https://docs.google.com/spreadsheets/d/1-uDff_7J0KD5mKrp0Vvzr7lt3OU09vwQwhkpOPPYv2Y/edit?usp=sharing"",""งบพรบ!DU73"")"),0)</f>
        <v>0</v>
      </c>
      <c r="N291" s="74">
        <f ca="1">IFERROR(__xludf.DUMMYFUNCTION("IMPORTRANGE(""https://docs.google.com/spreadsheets/d/1-uDff_7J0KD5mKrp0Vvzr7lt3OU09vwQwhkpOPPYv2Y/edit?usp=sharing"",""งบพรบ!DW73"")"),0)</f>
        <v>0</v>
      </c>
      <c r="O291" s="74">
        <f t="shared" ca="1" si="177"/>
        <v>0</v>
      </c>
      <c r="P291" s="74">
        <f t="shared" ca="1" si="178"/>
        <v>0</v>
      </c>
      <c r="Q291" s="74">
        <v>0</v>
      </c>
      <c r="R291" s="74">
        <v>0</v>
      </c>
      <c r="S291" s="74">
        <v>0</v>
      </c>
      <c r="T291" s="74">
        <f t="shared" si="180"/>
        <v>0</v>
      </c>
      <c r="U291" s="74">
        <f t="shared" si="181"/>
        <v>0</v>
      </c>
    </row>
    <row r="292" spans="1:21" ht="19.5" hidden="1" x14ac:dyDescent="0.3">
      <c r="A292" s="276"/>
      <c r="B292" s="277"/>
      <c r="C292" s="259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IFERROR(__xludf.DUMMYFUNCTION("IMPORTRANGE(""https://docs.google.com/spreadsheets/d/1eHaY18a8A9IcSdp1K8H6x8fbOy06t2VsZHhMHf-1x7Y/edit?usp=sharing"",""แผน!EE73"")"),0)</f>
        <v>0</v>
      </c>
      <c r="J293" s="294">
        <v>0</v>
      </c>
      <c r="K293" s="768">
        <f t="shared" ref="K293:K294" ca="1" si="188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IFERROR(__xludf.DUMMYFUNCTION("IMPORTRANGE(""https://docs.google.com/spreadsheets/d/1eHaY18a8A9IcSdp1K8H6x8fbOy06t2VsZHhMHf-1x7Y/edit?usp=sharing"",""แผน!ED73"")"),0)</f>
        <v>0</v>
      </c>
      <c r="J294" s="622">
        <f>J297</f>
        <v>0</v>
      </c>
      <c r="K294" s="1105">
        <f t="shared" ca="1" si="188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96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IFERROR(__xludf.DUMMYFUNCTION("IMPORTRANGE(""https://docs.google.com/spreadsheets/d/1eHaY18a8A9IcSdp1K8H6x8fbOy06t2VsZHhMHf-1x7Y/edit?usp=sharing"",""แผน!ED73"")"),0)</f>
        <v>0</v>
      </c>
      <c r="J296" s="294">
        <v>0</v>
      </c>
      <c r="K296" s="768">
        <f t="shared" ref="K296:K297" ca="1" si="189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IFERROR(__xludf.DUMMYFUNCTION("IMPORTRANGE(""https://docs.google.com/spreadsheets/d/1eHaY18a8A9IcSdp1K8H6x8fbOy06t2VsZHhMHf-1x7Y/edit?usp=sharing"",""แผน!ED73"")"),0)</f>
        <v>0</v>
      </c>
      <c r="J297" s="294">
        <v>0</v>
      </c>
      <c r="K297" s="768">
        <f t="shared" ca="1" si="189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286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286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041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1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hidden="1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6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hidden="1" x14ac:dyDescent="0.3">
      <c r="A303" s="1179"/>
      <c r="B303" s="1180" t="s">
        <v>127</v>
      </c>
      <c r="C303" s="607"/>
      <c r="D303" s="607"/>
      <c r="E303" s="607"/>
      <c r="F303" s="607"/>
      <c r="G303" s="608"/>
      <c r="H303" s="1307" t="s">
        <v>35</v>
      </c>
      <c r="I303" s="617">
        <f t="shared" ref="I303:J303" ca="1" si="190">I315</f>
        <v>0</v>
      </c>
      <c r="J303" s="617">
        <f t="shared" si="190"/>
        <v>0</v>
      </c>
      <c r="K303" s="611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hidden="1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1257">
        <f t="shared" ref="L304:N304" ca="1" si="191">L305+L306</f>
        <v>0</v>
      </c>
      <c r="M304" s="264">
        <f t="shared" ca="1" si="191"/>
        <v>0</v>
      </c>
      <c r="N304" s="264">
        <f t="shared" ca="1" si="191"/>
        <v>0</v>
      </c>
      <c r="O304" s="264">
        <f t="shared" ref="O304:O312" ca="1" si="192">IF(L304&gt;0,N304*100/L304,0)</f>
        <v>0</v>
      </c>
      <c r="P304" s="264">
        <f t="shared" ref="P304:P312" ca="1" si="193">IF(M304&gt;0,N304*100/M304,0)</f>
        <v>0</v>
      </c>
      <c r="Q304" s="264">
        <f t="shared" ref="Q304:S304" ca="1" si="194">Q305+Q306</f>
        <v>0</v>
      </c>
      <c r="R304" s="264">
        <f t="shared" ca="1" si="194"/>
        <v>0</v>
      </c>
      <c r="S304" s="264">
        <f t="shared" ca="1" si="194"/>
        <v>0</v>
      </c>
      <c r="T304" s="264">
        <f t="shared" ref="T304:T312" ca="1" si="195">IF(Q304&gt;0,S304*100/Q304,0)</f>
        <v>0</v>
      </c>
      <c r="U304" s="264">
        <f t="shared" ref="U304:U312" ca="1" si="196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6">
        <f t="shared" ref="L305:N306" si="197">L308+L311</f>
        <v>0</v>
      </c>
      <c r="M305" s="77">
        <f t="shared" si="197"/>
        <v>0</v>
      </c>
      <c r="N305" s="77">
        <f t="shared" si="197"/>
        <v>0</v>
      </c>
      <c r="O305" s="77">
        <f t="shared" si="192"/>
        <v>0</v>
      </c>
      <c r="P305" s="77">
        <f t="shared" si="193"/>
        <v>0</v>
      </c>
      <c r="Q305" s="77">
        <f t="shared" ref="Q305:S306" si="198">Q308+Q311</f>
        <v>0</v>
      </c>
      <c r="R305" s="77">
        <f t="shared" si="198"/>
        <v>0</v>
      </c>
      <c r="S305" s="77">
        <f t="shared" si="198"/>
        <v>0</v>
      </c>
      <c r="T305" s="77">
        <f t="shared" si="195"/>
        <v>0</v>
      </c>
      <c r="U305" s="77">
        <f t="shared" si="196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3">
        <f t="shared" ca="1" si="197"/>
        <v>0</v>
      </c>
      <c r="M306" s="74">
        <f t="shared" ca="1" si="197"/>
        <v>0</v>
      </c>
      <c r="N306" s="74">
        <f t="shared" ca="1" si="197"/>
        <v>0</v>
      </c>
      <c r="O306" s="74">
        <f t="shared" ca="1" si="192"/>
        <v>0</v>
      </c>
      <c r="P306" s="74">
        <f t="shared" ca="1" si="193"/>
        <v>0</v>
      </c>
      <c r="Q306" s="74">
        <f t="shared" ca="1" si="198"/>
        <v>0</v>
      </c>
      <c r="R306" s="74">
        <f t="shared" ca="1" si="198"/>
        <v>0</v>
      </c>
      <c r="S306" s="74">
        <f t="shared" ca="1" si="198"/>
        <v>0</v>
      </c>
      <c r="T306" s="74">
        <f t="shared" ca="1" si="195"/>
        <v>0</v>
      </c>
      <c r="U306" s="74">
        <f t="shared" ca="1" si="196"/>
        <v>0</v>
      </c>
    </row>
    <row r="307" spans="1:21" ht="18.75" hidden="1" x14ac:dyDescent="0.25">
      <c r="A307" s="257"/>
      <c r="B307" s="258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3">
        <f t="shared" ref="L307:N307" ca="1" si="199">L308+L309</f>
        <v>0</v>
      </c>
      <c r="M307" s="74">
        <f t="shared" ca="1" si="199"/>
        <v>0</v>
      </c>
      <c r="N307" s="74">
        <f t="shared" ca="1" si="199"/>
        <v>0</v>
      </c>
      <c r="O307" s="74">
        <f t="shared" ca="1" si="192"/>
        <v>0</v>
      </c>
      <c r="P307" s="74">
        <f t="shared" ca="1" si="193"/>
        <v>0</v>
      </c>
      <c r="Q307" s="74">
        <f t="shared" ref="Q307:S307" ca="1" si="200">Q308+Q309</f>
        <v>0</v>
      </c>
      <c r="R307" s="74">
        <f t="shared" ca="1" si="200"/>
        <v>0</v>
      </c>
      <c r="S307" s="74">
        <f t="shared" ca="1" si="200"/>
        <v>0</v>
      </c>
      <c r="T307" s="74">
        <f t="shared" ca="1" si="195"/>
        <v>0</v>
      </c>
      <c r="U307" s="74">
        <f t="shared" ca="1" si="196"/>
        <v>0</v>
      </c>
    </row>
    <row r="308" spans="1:21" ht="18.75" hidden="1" x14ac:dyDescent="0.25">
      <c r="A308" s="257"/>
      <c r="B308" s="258"/>
      <c r="C308" s="258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77">
        <f t="shared" si="192"/>
        <v>0</v>
      </c>
      <c r="P308" s="77">
        <f t="shared" si="193"/>
        <v>0</v>
      </c>
      <c r="Q308" s="77">
        <v>0</v>
      </c>
      <c r="R308" s="77">
        <v>0</v>
      </c>
      <c r="S308" s="77">
        <v>0</v>
      </c>
      <c r="T308" s="77">
        <f t="shared" si="195"/>
        <v>0</v>
      </c>
      <c r="U308" s="77">
        <f t="shared" si="196"/>
        <v>0</v>
      </c>
    </row>
    <row r="309" spans="1:21" ht="18.75" hidden="1" x14ac:dyDescent="0.25">
      <c r="A309" s="257"/>
      <c r="B309" s="258"/>
      <c r="C309" s="258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3">
        <f ca="1">IFERROR(__xludf.DUMMYFUNCTION("IMPORTRANGE(""https://docs.google.com/spreadsheets/d/1-uDff_7J0KD5mKrp0Vvzr7lt3OU09vwQwhkpOPPYv2Y/edit?usp=sharing"",""งบพรบ!DY73"")"),0)</f>
        <v>0</v>
      </c>
      <c r="M309" s="74">
        <f ca="1">IFERROR(__xludf.DUMMYFUNCTION("IMPORTRANGE(""https://docs.google.com/spreadsheets/d/1-uDff_7J0KD5mKrp0Vvzr7lt3OU09vwQwhkpOPPYv2Y/edit?usp=sharing"",""งบพรบ!ED73"")"),0)</f>
        <v>0</v>
      </c>
      <c r="N309" s="74">
        <f ca="1">IFERROR(__xludf.DUMMYFUNCTION("IMPORTRANGE(""https://docs.google.com/spreadsheets/d/1-uDff_7J0KD5mKrp0Vvzr7lt3OU09vwQwhkpOPPYv2Y/edit?usp=sharing"",""งบพรบ!EF73"")"),0)</f>
        <v>0</v>
      </c>
      <c r="O309" s="74">
        <f t="shared" ca="1" si="192"/>
        <v>0</v>
      </c>
      <c r="P309" s="74">
        <f t="shared" ca="1" si="193"/>
        <v>0</v>
      </c>
      <c r="Q309" s="74">
        <f ca="1">IFERROR(__xludf.DUMMYFUNCTION("IMPORTRANGE(""https://docs.google.com/spreadsheets/d/1ItG2mGa2ceCfYo0BwxsXqNm01IGEUdYcSSLTEv9YCik/edit?usp=sharing"",""เบิกจ่ายกองทุน!AP73"")"),0)</f>
        <v>0</v>
      </c>
      <c r="R309" s="74">
        <f ca="1">IFERROR(__xludf.DUMMYFUNCTION("IMPORTRANGE(""https://docs.google.com/spreadsheets/d/1ItG2mGa2ceCfYo0BwxsXqNm01IGEUdYcSSLTEv9YCik/edit?usp=sharing"",""เบิกจ่ายกองทุน!AQ73"")"),0)</f>
        <v>0</v>
      </c>
      <c r="S309" s="74">
        <f ca="1">IFERROR(__xludf.DUMMYFUNCTION("IMPORTRANGE(""https://docs.google.com/spreadsheets/d/1ItG2mGa2ceCfYo0BwxsXqNm01IGEUdYcSSLTEv9YCik/edit?usp=sharing"",""เบิกจ่ายกองทุน!AR73"")"),0)</f>
        <v>0</v>
      </c>
      <c r="T309" s="74">
        <f t="shared" ca="1" si="195"/>
        <v>0</v>
      </c>
      <c r="U309" s="74">
        <f t="shared" ca="1" si="196"/>
        <v>0</v>
      </c>
    </row>
    <row r="310" spans="1:21" ht="18.75" hidden="1" x14ac:dyDescent="0.25">
      <c r="A310" s="257"/>
      <c r="B310" s="258"/>
      <c r="C310" s="258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3">
        <f t="shared" ref="L310:N310" ca="1" si="201">L311+L312</f>
        <v>0</v>
      </c>
      <c r="M310" s="74">
        <f t="shared" ca="1" si="201"/>
        <v>0</v>
      </c>
      <c r="N310" s="74">
        <f t="shared" ca="1" si="201"/>
        <v>0</v>
      </c>
      <c r="O310" s="74">
        <f t="shared" ca="1" si="192"/>
        <v>0</v>
      </c>
      <c r="P310" s="74">
        <f t="shared" ca="1" si="193"/>
        <v>0</v>
      </c>
      <c r="Q310" s="74">
        <f t="shared" ref="Q310:S310" si="202">Q311+Q312</f>
        <v>0</v>
      </c>
      <c r="R310" s="74">
        <f t="shared" si="202"/>
        <v>0</v>
      </c>
      <c r="S310" s="74">
        <f t="shared" si="202"/>
        <v>0</v>
      </c>
      <c r="T310" s="74">
        <f t="shared" si="195"/>
        <v>0</v>
      </c>
      <c r="U310" s="74">
        <f t="shared" si="196"/>
        <v>0</v>
      </c>
    </row>
    <row r="311" spans="1:21" ht="18.75" hidden="1" x14ac:dyDescent="0.25">
      <c r="A311" s="257"/>
      <c r="B311" s="258"/>
      <c r="C311" s="258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77">
        <f t="shared" si="192"/>
        <v>0</v>
      </c>
      <c r="P311" s="77">
        <f t="shared" si="193"/>
        <v>0</v>
      </c>
      <c r="Q311" s="77">
        <v>0</v>
      </c>
      <c r="R311" s="77">
        <v>0</v>
      </c>
      <c r="S311" s="77">
        <v>0</v>
      </c>
      <c r="T311" s="77">
        <f t="shared" si="195"/>
        <v>0</v>
      </c>
      <c r="U311" s="77">
        <f t="shared" si="196"/>
        <v>0</v>
      </c>
    </row>
    <row r="312" spans="1:21" ht="18.75" hidden="1" x14ac:dyDescent="0.25">
      <c r="A312" s="257"/>
      <c r="B312" s="258"/>
      <c r="C312" s="258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3">
        <f ca="1">IFERROR(__xludf.DUMMYFUNCTION("IMPORTRANGE(""https://docs.google.com/spreadsheets/d/1-uDff_7J0KD5mKrp0Vvzr7lt3OU09vwQwhkpOPPYv2Y/edit?usp=sharing"",""งบพรบ!EB73"")"),0)</f>
        <v>0</v>
      </c>
      <c r="M312" s="74">
        <f ca="1">IFERROR(__xludf.DUMMYFUNCTION("IMPORTRANGE(""https://docs.google.com/spreadsheets/d/1-uDff_7J0KD5mKrp0Vvzr7lt3OU09vwQwhkpOPPYv2Y/edit?usp=sharing"",""งบพรบ!EE73"")"),0)</f>
        <v>0</v>
      </c>
      <c r="N312" s="74">
        <f ca="1">IFERROR(__xludf.DUMMYFUNCTION("IMPORTRANGE(""https://docs.google.com/spreadsheets/d/1-uDff_7J0KD5mKrp0Vvzr7lt3OU09vwQwhkpOPPYv2Y/edit?usp=sharing"",""งบพรบ!EG73"")"),0)</f>
        <v>0</v>
      </c>
      <c r="O312" s="74">
        <f t="shared" ca="1" si="192"/>
        <v>0</v>
      </c>
      <c r="P312" s="74">
        <f t="shared" ca="1" si="193"/>
        <v>0</v>
      </c>
      <c r="Q312" s="74">
        <v>0</v>
      </c>
      <c r="R312" s="74">
        <v>0</v>
      </c>
      <c r="S312" s="74">
        <v>0</v>
      </c>
      <c r="T312" s="74">
        <f t="shared" si="195"/>
        <v>0</v>
      </c>
      <c r="U312" s="74">
        <f t="shared" si="196"/>
        <v>0</v>
      </c>
    </row>
    <row r="313" spans="1:21" ht="19.5" hidden="1" x14ac:dyDescent="0.3">
      <c r="A313" s="276"/>
      <c r="B313" s="277"/>
      <c r="C313" s="259" t="s">
        <v>18</v>
      </c>
      <c r="D313" s="1019" t="s">
        <v>38</v>
      </c>
      <c r="E313" s="280"/>
      <c r="F313" s="280"/>
      <c r="G313" s="2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3"/>
      <c r="E314" s="285"/>
      <c r="F314" s="285"/>
      <c r="G314" s="286"/>
      <c r="H314" s="286"/>
      <c r="I314" s="287"/>
      <c r="J314" s="1252"/>
      <c r="K314" s="30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hidden="1" x14ac:dyDescent="0.25">
      <c r="A315" s="276"/>
      <c r="B315" s="277"/>
      <c r="C315" s="277"/>
      <c r="D315" s="295" t="s">
        <v>121</v>
      </c>
      <c r="E315" s="296"/>
      <c r="F315" s="296"/>
      <c r="G315" s="282"/>
      <c r="H315" s="299" t="s">
        <v>35</v>
      </c>
      <c r="I315" s="293">
        <f ca="1">IFERROR(__xludf.DUMMYFUNCTION("IMPORTRANGE(""https://docs.google.com/spreadsheets/d/1eHaY18a8A9IcSdp1K8H6x8fbOy06t2VsZHhMHf-1x7Y/edit?usp=sharing"",""แผน!EF73"")"),0)</f>
        <v>0</v>
      </c>
      <c r="J315" s="294">
        <v>0</v>
      </c>
      <c r="K315" s="74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308"/>
      <c r="I316" s="1252"/>
      <c r="J316" s="1252"/>
      <c r="K316" s="1255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308"/>
      <c r="I317" s="1252"/>
      <c r="J317" s="1252"/>
      <c r="K317" s="1255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283"/>
      <c r="B318" s="284"/>
      <c r="C318" s="284"/>
      <c r="D318" s="812"/>
      <c r="E318" s="285"/>
      <c r="F318" s="285"/>
      <c r="G318" s="286"/>
      <c r="H318" s="813"/>
      <c r="I318" s="887"/>
      <c r="J318" s="887"/>
      <c r="K318" s="888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5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1307" t="s">
        <v>133</v>
      </c>
      <c r="I320" s="617">
        <f t="shared" ref="I320:J320" ca="1" si="203">I331</f>
        <v>0</v>
      </c>
      <c r="J320" s="617">
        <f t="shared" si="203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1257">
        <f t="shared" ref="L321:N321" ca="1" si="204">L322+L323</f>
        <v>0</v>
      </c>
      <c r="M321" s="264">
        <f t="shared" ca="1" si="204"/>
        <v>0</v>
      </c>
      <c r="N321" s="264">
        <f t="shared" ca="1" si="204"/>
        <v>0</v>
      </c>
      <c r="O321" s="264">
        <f t="shared" ref="O321:O329" ca="1" si="205">IF(L321&gt;0,N321*100/L321,0)</f>
        <v>0</v>
      </c>
      <c r="P321" s="264">
        <f t="shared" ref="P321:P329" ca="1" si="206">IF(M321&gt;0,N321*100/M321,0)</f>
        <v>0</v>
      </c>
      <c r="Q321" s="264">
        <f t="shared" ref="Q321:S321" si="207">Q322+Q323</f>
        <v>0</v>
      </c>
      <c r="R321" s="264">
        <f t="shared" si="207"/>
        <v>0</v>
      </c>
      <c r="S321" s="264">
        <f t="shared" si="207"/>
        <v>0</v>
      </c>
      <c r="T321" s="264">
        <f t="shared" ref="T321:T329" si="208">IF(Q321&gt;0,S321*100/Q321,0)</f>
        <v>0</v>
      </c>
      <c r="U321" s="264">
        <f t="shared" ref="U321:U329" si="209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6">
        <f t="shared" ref="L322:N323" si="210">L325+L328</f>
        <v>0</v>
      </c>
      <c r="M322" s="77">
        <f t="shared" si="210"/>
        <v>0</v>
      </c>
      <c r="N322" s="77">
        <f t="shared" si="210"/>
        <v>0</v>
      </c>
      <c r="O322" s="77">
        <f t="shared" si="205"/>
        <v>0</v>
      </c>
      <c r="P322" s="77">
        <f t="shared" si="206"/>
        <v>0</v>
      </c>
      <c r="Q322" s="77">
        <f t="shared" ref="Q322:S323" si="211">Q325+Q328</f>
        <v>0</v>
      </c>
      <c r="R322" s="77">
        <f t="shared" si="211"/>
        <v>0</v>
      </c>
      <c r="S322" s="77">
        <f t="shared" si="211"/>
        <v>0</v>
      </c>
      <c r="T322" s="77">
        <f t="shared" si="208"/>
        <v>0</v>
      </c>
      <c r="U322" s="77">
        <f t="shared" si="209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3">
        <f t="shared" ca="1" si="210"/>
        <v>0</v>
      </c>
      <c r="M323" s="74">
        <f t="shared" ca="1" si="210"/>
        <v>0</v>
      </c>
      <c r="N323" s="74">
        <f t="shared" ca="1" si="210"/>
        <v>0</v>
      </c>
      <c r="O323" s="74">
        <f t="shared" ca="1" si="205"/>
        <v>0</v>
      </c>
      <c r="P323" s="74">
        <f t="shared" ca="1" si="206"/>
        <v>0</v>
      </c>
      <c r="Q323" s="74">
        <f t="shared" si="211"/>
        <v>0</v>
      </c>
      <c r="R323" s="74">
        <f t="shared" si="211"/>
        <v>0</v>
      </c>
      <c r="S323" s="74">
        <f t="shared" si="211"/>
        <v>0</v>
      </c>
      <c r="T323" s="74">
        <f t="shared" si="208"/>
        <v>0</v>
      </c>
      <c r="U323" s="74">
        <f t="shared" si="209"/>
        <v>0</v>
      </c>
    </row>
    <row r="324" spans="1:21" ht="18.75" hidden="1" x14ac:dyDescent="0.25">
      <c r="A324" s="257"/>
      <c r="B324" s="258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3">
        <f t="shared" ref="L324:N324" ca="1" si="212">L325+L326</f>
        <v>0</v>
      </c>
      <c r="M324" s="74">
        <f t="shared" ca="1" si="212"/>
        <v>0</v>
      </c>
      <c r="N324" s="74">
        <f t="shared" ca="1" si="212"/>
        <v>0</v>
      </c>
      <c r="O324" s="74">
        <f t="shared" ca="1" si="205"/>
        <v>0</v>
      </c>
      <c r="P324" s="74">
        <f t="shared" ca="1" si="206"/>
        <v>0</v>
      </c>
      <c r="Q324" s="74">
        <f t="shared" ref="Q324:S324" si="213">Q325+Q326</f>
        <v>0</v>
      </c>
      <c r="R324" s="74">
        <f t="shared" si="213"/>
        <v>0</v>
      </c>
      <c r="S324" s="74">
        <f t="shared" si="213"/>
        <v>0</v>
      </c>
      <c r="T324" s="74">
        <f t="shared" si="208"/>
        <v>0</v>
      </c>
      <c r="U324" s="74">
        <f t="shared" si="209"/>
        <v>0</v>
      </c>
    </row>
    <row r="325" spans="1:21" ht="18.75" hidden="1" x14ac:dyDescent="0.25">
      <c r="A325" s="257"/>
      <c r="B325" s="258"/>
      <c r="C325" s="258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77">
        <f t="shared" si="205"/>
        <v>0</v>
      </c>
      <c r="P325" s="77">
        <f t="shared" si="206"/>
        <v>0</v>
      </c>
      <c r="Q325" s="77">
        <v>0</v>
      </c>
      <c r="R325" s="77">
        <v>0</v>
      </c>
      <c r="S325" s="77">
        <v>0</v>
      </c>
      <c r="T325" s="77">
        <f t="shared" si="208"/>
        <v>0</v>
      </c>
      <c r="U325" s="77">
        <f t="shared" si="209"/>
        <v>0</v>
      </c>
    </row>
    <row r="326" spans="1:21" ht="18.75" hidden="1" x14ac:dyDescent="0.25">
      <c r="A326" s="257"/>
      <c r="B326" s="258"/>
      <c r="C326" s="258"/>
      <c r="D326" s="258"/>
      <c r="E326" s="267" t="s">
        <v>37</v>
      </c>
      <c r="F326" s="258"/>
      <c r="G326" s="261"/>
      <c r="H326" s="271" t="s">
        <v>14</v>
      </c>
      <c r="I326" s="272"/>
      <c r="J326" s="272"/>
      <c r="K326" s="229"/>
      <c r="L326" s="73">
        <f ca="1">IFERROR(__xludf.DUMMYFUNCTION("IMPORTRANGE(""https://docs.google.com/spreadsheets/d/1-uDff_7J0KD5mKrp0Vvzr7lt3OU09vwQwhkpOPPYv2Y/edit?usp=sharing"",""งบพรบ!EI73"")"),0)</f>
        <v>0</v>
      </c>
      <c r="M326" s="74">
        <f ca="1">IFERROR(__xludf.DUMMYFUNCTION("IMPORTRANGE(""https://docs.google.com/spreadsheets/d/1-uDff_7J0KD5mKrp0Vvzr7lt3OU09vwQwhkpOPPYv2Y/edit?usp=sharing"",""งบพรบ!EN73"")"),0)</f>
        <v>0</v>
      </c>
      <c r="N326" s="74">
        <f ca="1">IFERROR(__xludf.DUMMYFUNCTION("IMPORTRANGE(""https://docs.google.com/spreadsheets/d/1-uDff_7J0KD5mKrp0Vvzr7lt3OU09vwQwhkpOPPYv2Y/edit?usp=sharing"",""งบพรบ!EP73"")"),0)</f>
        <v>0</v>
      </c>
      <c r="O326" s="74">
        <f t="shared" ca="1" si="205"/>
        <v>0</v>
      </c>
      <c r="P326" s="74">
        <f t="shared" ca="1" si="206"/>
        <v>0</v>
      </c>
      <c r="Q326" s="74">
        <v>0</v>
      </c>
      <c r="R326" s="74">
        <v>0</v>
      </c>
      <c r="S326" s="74">
        <v>0</v>
      </c>
      <c r="T326" s="74">
        <f t="shared" si="208"/>
        <v>0</v>
      </c>
      <c r="U326" s="74">
        <f t="shared" si="209"/>
        <v>0</v>
      </c>
    </row>
    <row r="327" spans="1:21" ht="18.75" hidden="1" x14ac:dyDescent="0.25">
      <c r="A327" s="257"/>
      <c r="B327" s="258"/>
      <c r="C327" s="258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3">
        <f t="shared" ref="L327:N327" ca="1" si="214">L328+L329</f>
        <v>0</v>
      </c>
      <c r="M327" s="74">
        <f t="shared" ca="1" si="214"/>
        <v>0</v>
      </c>
      <c r="N327" s="74">
        <f t="shared" ca="1" si="214"/>
        <v>0</v>
      </c>
      <c r="O327" s="74">
        <f t="shared" ca="1" si="205"/>
        <v>0</v>
      </c>
      <c r="P327" s="74">
        <f t="shared" ca="1" si="206"/>
        <v>0</v>
      </c>
      <c r="Q327" s="74">
        <f t="shared" ref="Q327:S327" si="215">Q328+Q329</f>
        <v>0</v>
      </c>
      <c r="R327" s="74">
        <f t="shared" si="215"/>
        <v>0</v>
      </c>
      <c r="S327" s="74">
        <f t="shared" si="215"/>
        <v>0</v>
      </c>
      <c r="T327" s="74">
        <f t="shared" si="208"/>
        <v>0</v>
      </c>
      <c r="U327" s="74">
        <f t="shared" si="209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77">
        <f t="shared" si="205"/>
        <v>0</v>
      </c>
      <c r="P328" s="77">
        <f t="shared" si="206"/>
        <v>0</v>
      </c>
      <c r="Q328" s="77">
        <v>0</v>
      </c>
      <c r="R328" s="77">
        <v>0</v>
      </c>
      <c r="S328" s="77">
        <v>0</v>
      </c>
      <c r="T328" s="77">
        <f t="shared" si="208"/>
        <v>0</v>
      </c>
      <c r="U328" s="77">
        <f t="shared" si="209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3">
        <f ca="1">IFERROR(__xludf.DUMMYFUNCTION("IMPORTRANGE(""https://docs.google.com/spreadsheets/d/1-uDff_7J0KD5mKrp0Vvzr7lt3OU09vwQwhkpOPPYv2Y/edit?usp=sharing"",""งบพรบ!EL73"")"),0)</f>
        <v>0</v>
      </c>
      <c r="M329" s="74">
        <f ca="1">IFERROR(__xludf.DUMMYFUNCTION("IMPORTRANGE(""https://docs.google.com/spreadsheets/d/1-uDff_7J0KD5mKrp0Vvzr7lt3OU09vwQwhkpOPPYv2Y/edit?usp=sharing"",""งบพรบ!EO73"")"),0)</f>
        <v>0</v>
      </c>
      <c r="N329" s="74">
        <f ca="1">IFERROR(__xludf.DUMMYFUNCTION("IMPORTRANGE(""https://docs.google.com/spreadsheets/d/1-uDff_7J0KD5mKrp0Vvzr7lt3OU09vwQwhkpOPPYv2Y/edit?usp=sharing"",""งบพรบ!EQ73"")"),0)</f>
        <v>0</v>
      </c>
      <c r="O329" s="74">
        <f t="shared" ca="1" si="205"/>
        <v>0</v>
      </c>
      <c r="P329" s="74">
        <f t="shared" ca="1" si="206"/>
        <v>0</v>
      </c>
      <c r="Q329" s="74">
        <v>0</v>
      </c>
      <c r="R329" s="74">
        <v>0</v>
      </c>
      <c r="S329" s="74">
        <v>0</v>
      </c>
      <c r="T329" s="74">
        <f t="shared" si="208"/>
        <v>0</v>
      </c>
      <c r="U329" s="74">
        <f t="shared" si="209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282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92" t="s">
        <v>133</v>
      </c>
      <c r="I331" s="293">
        <f ca="1">IFERROR(__xludf.DUMMYFUNCTION("IMPORTRANGE(""https://docs.google.com/spreadsheets/d/1eHaY18a8A9IcSdp1K8H6x8fbOy06t2VsZHhMHf-1x7Y/edit?usp=sharing"",""แผน!EJ73"")"),0)</f>
        <v>0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5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1307" t="s">
        <v>35</v>
      </c>
      <c r="I333" s="534">
        <f ca="1">I345</f>
        <v>40</v>
      </c>
      <c r="J333" s="535">
        <f ca="1">J345+J348+J349+J350+J354</f>
        <v>82</v>
      </c>
      <c r="K333" s="536">
        <f ca="1">IF(I333&gt;0,J333*100/I333,0)</f>
        <v>205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1257">
        <f t="shared" ref="L334:N334" ca="1" si="216">L335+L336</f>
        <v>213600</v>
      </c>
      <c r="M334" s="264">
        <f t="shared" ca="1" si="216"/>
        <v>213600</v>
      </c>
      <c r="N334" s="264">
        <f t="shared" ca="1" si="216"/>
        <v>97166</v>
      </c>
      <c r="O334" s="264">
        <f t="shared" ref="O334:O342" ca="1" si="217">IF(L334&gt;0,N334*100/L334,0)</f>
        <v>45.489700374531836</v>
      </c>
      <c r="P334" s="264">
        <f t="shared" ref="P334:P342" ca="1" si="218">IF(M334&gt;0,N334*100/M334,0)</f>
        <v>45.489700374531836</v>
      </c>
      <c r="Q334" s="264">
        <f t="shared" ref="Q334:S334" si="219">Q335+Q336</f>
        <v>0</v>
      </c>
      <c r="R334" s="264">
        <f t="shared" si="219"/>
        <v>0</v>
      </c>
      <c r="S334" s="264">
        <f t="shared" si="219"/>
        <v>0</v>
      </c>
      <c r="T334" s="264">
        <f t="shared" ref="T334:T342" si="220">IF(Q334&gt;0,S334*100/Q334,0)</f>
        <v>0</v>
      </c>
      <c r="U334" s="264">
        <f t="shared" ref="U334:U342" si="221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6">
        <f t="shared" ref="L335:N336" si="222">L338+L341</f>
        <v>0</v>
      </c>
      <c r="M335" s="77">
        <f t="shared" si="222"/>
        <v>0</v>
      </c>
      <c r="N335" s="77">
        <f t="shared" si="222"/>
        <v>0</v>
      </c>
      <c r="O335" s="77">
        <f t="shared" si="217"/>
        <v>0</v>
      </c>
      <c r="P335" s="77">
        <f t="shared" si="218"/>
        <v>0</v>
      </c>
      <c r="Q335" s="77">
        <f t="shared" ref="Q335:S336" si="223">Q338+Q341</f>
        <v>0</v>
      </c>
      <c r="R335" s="77">
        <f t="shared" si="223"/>
        <v>0</v>
      </c>
      <c r="S335" s="77">
        <f t="shared" si="223"/>
        <v>0</v>
      </c>
      <c r="T335" s="77">
        <f t="shared" si="220"/>
        <v>0</v>
      </c>
      <c r="U335" s="77">
        <f t="shared" si="221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3">
        <f t="shared" ca="1" si="222"/>
        <v>213600</v>
      </c>
      <c r="M336" s="74">
        <f t="shared" ca="1" si="222"/>
        <v>213600</v>
      </c>
      <c r="N336" s="74">
        <f t="shared" ca="1" si="222"/>
        <v>97166</v>
      </c>
      <c r="O336" s="74">
        <f t="shared" ca="1" si="217"/>
        <v>45.489700374531836</v>
      </c>
      <c r="P336" s="74">
        <f t="shared" ca="1" si="218"/>
        <v>45.489700374531836</v>
      </c>
      <c r="Q336" s="74">
        <f t="shared" si="223"/>
        <v>0</v>
      </c>
      <c r="R336" s="74">
        <f t="shared" si="223"/>
        <v>0</v>
      </c>
      <c r="S336" s="74">
        <f t="shared" si="223"/>
        <v>0</v>
      </c>
      <c r="T336" s="74">
        <f t="shared" si="220"/>
        <v>0</v>
      </c>
      <c r="U336" s="74">
        <f t="shared" si="221"/>
        <v>0</v>
      </c>
    </row>
    <row r="337" spans="1:21" ht="18.75" x14ac:dyDescent="0.25">
      <c r="A337" s="257"/>
      <c r="B337" s="258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3">
        <f t="shared" ref="L337:N337" ca="1" si="224">L338+L339</f>
        <v>213600</v>
      </c>
      <c r="M337" s="74">
        <f t="shared" ca="1" si="224"/>
        <v>213600</v>
      </c>
      <c r="N337" s="74">
        <f t="shared" ca="1" si="224"/>
        <v>97166</v>
      </c>
      <c r="O337" s="74">
        <f t="shared" ca="1" si="217"/>
        <v>45.489700374531836</v>
      </c>
      <c r="P337" s="74">
        <f t="shared" ca="1" si="218"/>
        <v>45.489700374531836</v>
      </c>
      <c r="Q337" s="74">
        <f t="shared" ref="Q337:S337" si="225">Q338+Q339</f>
        <v>0</v>
      </c>
      <c r="R337" s="74">
        <f t="shared" si="225"/>
        <v>0</v>
      </c>
      <c r="S337" s="74">
        <f t="shared" si="225"/>
        <v>0</v>
      </c>
      <c r="T337" s="74">
        <f t="shared" si="220"/>
        <v>0</v>
      </c>
      <c r="U337" s="74">
        <f t="shared" si="221"/>
        <v>0</v>
      </c>
    </row>
    <row r="338" spans="1:21" ht="18.75" hidden="1" x14ac:dyDescent="0.25">
      <c r="A338" s="257"/>
      <c r="B338" s="258"/>
      <c r="C338" s="258"/>
      <c r="D338" s="258"/>
      <c r="E338" s="26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77">
        <f t="shared" si="217"/>
        <v>0</v>
      </c>
      <c r="P338" s="77">
        <f t="shared" si="218"/>
        <v>0</v>
      </c>
      <c r="Q338" s="77">
        <v>0</v>
      </c>
      <c r="R338" s="77">
        <v>0</v>
      </c>
      <c r="S338" s="77">
        <v>0</v>
      </c>
      <c r="T338" s="77">
        <f t="shared" si="220"/>
        <v>0</v>
      </c>
      <c r="U338" s="77">
        <f t="shared" si="221"/>
        <v>0</v>
      </c>
    </row>
    <row r="339" spans="1:21" ht="18.75" hidden="1" x14ac:dyDescent="0.25">
      <c r="A339" s="257"/>
      <c r="B339" s="258"/>
      <c r="C339" s="258"/>
      <c r="D339" s="258"/>
      <c r="E339" s="267" t="s">
        <v>37</v>
      </c>
      <c r="F339" s="258"/>
      <c r="G339" s="261"/>
      <c r="H339" s="271" t="s">
        <v>14</v>
      </c>
      <c r="I339" s="272"/>
      <c r="J339" s="272"/>
      <c r="K339" s="229"/>
      <c r="L339" s="73">
        <f ca="1">IFERROR(__xludf.DUMMYFUNCTION("IMPORTRANGE(""https://docs.google.com/spreadsheets/d/1-uDff_7J0KD5mKrp0Vvzr7lt3OU09vwQwhkpOPPYv2Y/edit?usp=sharing"",""งบพรบ!ES73"")"),213600)</f>
        <v>213600</v>
      </c>
      <c r="M339" s="74">
        <f ca="1">IFERROR(__xludf.DUMMYFUNCTION("IMPORTRANGE(""https://docs.google.com/spreadsheets/d/1-uDff_7J0KD5mKrp0Vvzr7lt3OU09vwQwhkpOPPYv2Y/edit?usp=sharing"",""งบพรบ!EX73"")"),213600)</f>
        <v>213600</v>
      </c>
      <c r="N339" s="74">
        <f ca="1">IFERROR(__xludf.DUMMYFUNCTION("IMPORTRANGE(""https://docs.google.com/spreadsheets/d/1-uDff_7J0KD5mKrp0Vvzr7lt3OU09vwQwhkpOPPYv2Y/edit?usp=sharing"",""งบพรบ!EZ73"")"),97166)</f>
        <v>97166</v>
      </c>
      <c r="O339" s="74">
        <f t="shared" ca="1" si="217"/>
        <v>45.489700374531836</v>
      </c>
      <c r="P339" s="74">
        <f t="shared" ca="1" si="218"/>
        <v>45.489700374531836</v>
      </c>
      <c r="Q339" s="74">
        <v>0</v>
      </c>
      <c r="R339" s="74">
        <v>0</v>
      </c>
      <c r="S339" s="74">
        <v>0</v>
      </c>
      <c r="T339" s="74">
        <f t="shared" si="220"/>
        <v>0</v>
      </c>
      <c r="U339" s="74">
        <f t="shared" si="221"/>
        <v>0</v>
      </c>
    </row>
    <row r="340" spans="1:21" ht="18.75" x14ac:dyDescent="0.25">
      <c r="A340" s="257"/>
      <c r="B340" s="258"/>
      <c r="C340" s="258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3">
        <f t="shared" ref="L340:N340" ca="1" si="226">L341+L342</f>
        <v>0</v>
      </c>
      <c r="M340" s="74">
        <f t="shared" ca="1" si="226"/>
        <v>0</v>
      </c>
      <c r="N340" s="74">
        <f t="shared" ca="1" si="226"/>
        <v>0</v>
      </c>
      <c r="O340" s="74">
        <f t="shared" ca="1" si="217"/>
        <v>0</v>
      </c>
      <c r="P340" s="74">
        <f t="shared" ca="1" si="218"/>
        <v>0</v>
      </c>
      <c r="Q340" s="74">
        <f t="shared" ref="Q340:S340" si="227">Q341+Q342</f>
        <v>0</v>
      </c>
      <c r="R340" s="74">
        <f t="shared" si="227"/>
        <v>0</v>
      </c>
      <c r="S340" s="74">
        <f t="shared" si="227"/>
        <v>0</v>
      </c>
      <c r="T340" s="74">
        <f t="shared" si="220"/>
        <v>0</v>
      </c>
      <c r="U340" s="74">
        <f t="shared" si="221"/>
        <v>0</v>
      </c>
    </row>
    <row r="341" spans="1:21" ht="18.75" hidden="1" x14ac:dyDescent="0.25">
      <c r="A341" s="257"/>
      <c r="B341" s="258"/>
      <c r="C341" s="258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77">
        <f t="shared" si="217"/>
        <v>0</v>
      </c>
      <c r="P341" s="77">
        <f t="shared" si="218"/>
        <v>0</v>
      </c>
      <c r="Q341" s="77">
        <v>0</v>
      </c>
      <c r="R341" s="77">
        <v>0</v>
      </c>
      <c r="S341" s="77">
        <v>0</v>
      </c>
      <c r="T341" s="77">
        <f t="shared" si="220"/>
        <v>0</v>
      </c>
      <c r="U341" s="77">
        <f t="shared" si="221"/>
        <v>0</v>
      </c>
    </row>
    <row r="342" spans="1:21" ht="18.75" hidden="1" x14ac:dyDescent="0.25">
      <c r="A342" s="257"/>
      <c r="B342" s="258"/>
      <c r="C342" s="258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3">
        <f ca="1">IFERROR(__xludf.DUMMYFUNCTION("IMPORTRANGE(""https://docs.google.com/spreadsheets/d/1-uDff_7J0KD5mKrp0Vvzr7lt3OU09vwQwhkpOPPYv2Y/edit?usp=sharing"",""งบพรบ!EV73"")"),0)</f>
        <v>0</v>
      </c>
      <c r="M342" s="74">
        <f ca="1">IFERROR(__xludf.DUMMYFUNCTION("IMPORTRANGE(""https://docs.google.com/spreadsheets/d/1-uDff_7J0KD5mKrp0Vvzr7lt3OU09vwQwhkpOPPYv2Y/edit?usp=sharing"",""งบพรบ!EY73"")"),0)</f>
        <v>0</v>
      </c>
      <c r="N342" s="74">
        <f ca="1">IFERROR(__xludf.DUMMYFUNCTION("IMPORTRANGE(""https://docs.google.com/spreadsheets/d/1-uDff_7J0KD5mKrp0Vvzr7lt3OU09vwQwhkpOPPYv2Y/edit?usp=sharing"",""งบพรบ!FA73"")"),0)</f>
        <v>0</v>
      </c>
      <c r="O342" s="74">
        <f t="shared" ca="1" si="217"/>
        <v>0</v>
      </c>
      <c r="P342" s="74">
        <f t="shared" ca="1" si="218"/>
        <v>0</v>
      </c>
      <c r="Q342" s="74">
        <v>0</v>
      </c>
      <c r="R342" s="74">
        <v>0</v>
      </c>
      <c r="S342" s="74">
        <v>0</v>
      </c>
      <c r="T342" s="74">
        <f t="shared" si="220"/>
        <v>0</v>
      </c>
      <c r="U342" s="74">
        <f t="shared" si="221"/>
        <v>0</v>
      </c>
    </row>
    <row r="343" spans="1:21" ht="19.5" x14ac:dyDescent="0.3">
      <c r="A343" s="276"/>
      <c r="B343" s="277"/>
      <c r="C343" s="259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82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551" t="s">
        <v>35</v>
      </c>
      <c r="I345" s="293">
        <f ca="1">IFERROR(__xludf.DUMMYFUNCTION("IMPORTRANGE(""https://docs.google.com/spreadsheets/d/1eHaY18a8A9IcSdp1K8H6x8fbOy06t2VsZHhMHf-1x7Y/edit?usp=sharing"",""แผน!EK73"")"),40)</f>
        <v>40</v>
      </c>
      <c r="J345" s="293">
        <f ca="1">IFERROR(__xludf.DUMMYFUNCTION("IMPORTRANGE(""https://docs.google.com/spreadsheets/d/1awYsYK3VOup2i3Pq_Yjnu8DRu_mYwSBnCR2QPthd0rU/edit?usp=sharing"",""ศูนย์ยกเว้นโฉนด!D73"")"),28)</f>
        <v>28</v>
      </c>
      <c r="K345" s="74">
        <f ca="1">IF(I345&gt;0,J345*100/I345,0)</f>
        <v>70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IFERROR(__xludf.DUMMYFUNCTION("IMPORTRANGE(""https://docs.google.com/spreadsheets/d/1eHaY18a8A9IcSdp1K8H6x8fbOy06t2VsZHhMHf-1x7Y/edit?usp=sharing"",""แผน!EL73"")"),1)</f>
        <v>1</v>
      </c>
      <c r="J347" s="293">
        <f ca="1">IFERROR(__xludf.DUMMYFUNCTION("IMPORTRANGE(""https://docs.google.com/spreadsheets/d/1awYsYK3VOup2i3Pq_Yjnu8DRu_mYwSBnCR2QPthd0rU/edit?usp=sharing"",""ศูนย์รวม!E73"")"),2)</f>
        <v>2</v>
      </c>
      <c r="K347" s="74">
        <f ca="1">IF(I347&gt;0,J347*100/I347,0)</f>
        <v>200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IFERROR(__xludf.DUMMYFUNCTION("IMPORTRANGE(""https://docs.google.com/spreadsheets/d/1awYsYK3VOup2i3Pq_Yjnu8DRu_mYwSBnCR2QPthd0rU/edit?usp=sharing"",""ศูนย์ยกเว้นโฉนด!F73"")"),46)</f>
        <v>46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IFERROR(__xludf.DUMMYFUNCTION("IMPORTRANGE(""https://docs.google.com/spreadsheets/d/1awYsYK3VOup2i3Pq_Yjnu8DRu_mYwSBnCR2QPthd0rU/edit?usp=sharing"",""ศูนย์ยกเว้นโฉนด!G73"")"),1)</f>
        <v>1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IFERROR(__xludf.DUMMYFUNCTION("IMPORTRANGE(""https://docs.google.com/spreadsheets/d/1awYsYK3VOup2i3Pq_Yjnu8DRu_mYwSBnCR2QPthd0rU/edit?usp=sharing"",""ศูนย์ยกเว้นโฉนด!H73"")"),7)</f>
        <v>7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558" t="s">
        <v>35</v>
      </c>
      <c r="I352" s="559">
        <v>0</v>
      </c>
      <c r="J352" s="559">
        <f ca="1">J353+J354</f>
        <v>0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IFERROR(__xludf.DUMMYFUNCTION("IMPORTRANGE(""https://docs.google.com/spreadsheets/d/1awYsYK3VOup2i3Pq_Yjnu8DRu_mYwSBnCR2QPthd0rU/edit?usp=sharing"",""โฉนดM3!G73"")"),0)</f>
        <v>0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IFERROR(__xludf.DUMMYFUNCTION("IMPORTRANGE(""https://docs.google.com/spreadsheets/d/1awYsYK3VOup2i3Pq_Yjnu8DRu_mYwSBnCR2QPthd0rU/edit?usp=sharing"",""โฉนดM3!H73"")"),0)</f>
        <v>0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08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1257">
        <f t="shared" ref="L357:N357" ca="1" si="228">L358+L359</f>
        <v>115055</v>
      </c>
      <c r="M357" s="264">
        <f t="shared" ca="1" si="228"/>
        <v>115055</v>
      </c>
      <c r="N357" s="264">
        <f t="shared" ca="1" si="228"/>
        <v>38998</v>
      </c>
      <c r="O357" s="264">
        <f t="shared" ref="O357:O365" ca="1" si="229">IF(L357&gt;0,N357*100/L357,0)</f>
        <v>33.895093650862634</v>
      </c>
      <c r="P357" s="264">
        <f t="shared" ref="P357:P365" ca="1" si="230">IF(M357&gt;0,N357*100/M357,0)</f>
        <v>33.895093650862634</v>
      </c>
      <c r="Q357" s="264">
        <f t="shared" ref="Q357:S357" si="231">Q358+Q359</f>
        <v>0</v>
      </c>
      <c r="R357" s="264">
        <f t="shared" si="231"/>
        <v>0</v>
      </c>
      <c r="S357" s="264">
        <f t="shared" si="231"/>
        <v>0</v>
      </c>
      <c r="T357" s="264">
        <f t="shared" ref="T357:T365" si="232">IF(Q357&gt;0,S357*100/Q357,0)</f>
        <v>0</v>
      </c>
      <c r="U357" s="264">
        <f t="shared" ref="U357:U365" si="233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6">
        <f t="shared" ref="L358:N359" si="234">L361+L364</f>
        <v>0</v>
      </c>
      <c r="M358" s="77">
        <f t="shared" si="234"/>
        <v>0</v>
      </c>
      <c r="N358" s="77">
        <f t="shared" si="234"/>
        <v>0</v>
      </c>
      <c r="O358" s="77">
        <f t="shared" si="229"/>
        <v>0</v>
      </c>
      <c r="P358" s="77">
        <f t="shared" si="230"/>
        <v>0</v>
      </c>
      <c r="Q358" s="77">
        <f t="shared" ref="Q358:S359" si="235">Q361+Q364</f>
        <v>0</v>
      </c>
      <c r="R358" s="77">
        <f t="shared" si="235"/>
        <v>0</v>
      </c>
      <c r="S358" s="77">
        <f t="shared" si="235"/>
        <v>0</v>
      </c>
      <c r="T358" s="77">
        <f t="shared" si="232"/>
        <v>0</v>
      </c>
      <c r="U358" s="77">
        <f t="shared" si="233"/>
        <v>0</v>
      </c>
    </row>
    <row r="359" spans="1:21" ht="18.75" hidden="1" x14ac:dyDescent="0.25">
      <c r="A359" s="257"/>
      <c r="B359" s="258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3">
        <f t="shared" ca="1" si="234"/>
        <v>115055</v>
      </c>
      <c r="M359" s="74">
        <f t="shared" ca="1" si="234"/>
        <v>115055</v>
      </c>
      <c r="N359" s="74">
        <f t="shared" ca="1" si="234"/>
        <v>38998</v>
      </c>
      <c r="O359" s="74">
        <f t="shared" ca="1" si="229"/>
        <v>33.895093650862634</v>
      </c>
      <c r="P359" s="74">
        <f t="shared" ca="1" si="230"/>
        <v>33.895093650862634</v>
      </c>
      <c r="Q359" s="74">
        <f t="shared" si="235"/>
        <v>0</v>
      </c>
      <c r="R359" s="74">
        <f t="shared" si="235"/>
        <v>0</v>
      </c>
      <c r="S359" s="74">
        <f t="shared" si="235"/>
        <v>0</v>
      </c>
      <c r="T359" s="74">
        <f t="shared" si="232"/>
        <v>0</v>
      </c>
      <c r="U359" s="74">
        <f t="shared" si="233"/>
        <v>0</v>
      </c>
    </row>
    <row r="360" spans="1:21" ht="18.75" x14ac:dyDescent="0.25">
      <c r="A360" s="257"/>
      <c r="B360" s="258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3">
        <f t="shared" ref="L360:N360" ca="1" si="236">L361+L362</f>
        <v>115055</v>
      </c>
      <c r="M360" s="74">
        <f t="shared" ca="1" si="236"/>
        <v>115055</v>
      </c>
      <c r="N360" s="74">
        <f t="shared" ca="1" si="236"/>
        <v>38998</v>
      </c>
      <c r="O360" s="74">
        <f t="shared" ca="1" si="229"/>
        <v>33.895093650862634</v>
      </c>
      <c r="P360" s="74">
        <f t="shared" ca="1" si="230"/>
        <v>33.895093650862634</v>
      </c>
      <c r="Q360" s="74">
        <f t="shared" ref="Q360:S360" si="237">Q361+Q362</f>
        <v>0</v>
      </c>
      <c r="R360" s="74">
        <f t="shared" si="237"/>
        <v>0</v>
      </c>
      <c r="S360" s="74">
        <f t="shared" si="237"/>
        <v>0</v>
      </c>
      <c r="T360" s="74">
        <f t="shared" si="232"/>
        <v>0</v>
      </c>
      <c r="U360" s="74">
        <f t="shared" si="233"/>
        <v>0</v>
      </c>
    </row>
    <row r="361" spans="1:21" ht="18.75" hidden="1" x14ac:dyDescent="0.25">
      <c r="A361" s="257"/>
      <c r="B361" s="258"/>
      <c r="C361" s="258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77">
        <f t="shared" si="229"/>
        <v>0</v>
      </c>
      <c r="P361" s="77">
        <f t="shared" si="230"/>
        <v>0</v>
      </c>
      <c r="Q361" s="77">
        <v>0</v>
      </c>
      <c r="R361" s="77">
        <v>0</v>
      </c>
      <c r="S361" s="77">
        <v>0</v>
      </c>
      <c r="T361" s="77">
        <f t="shared" si="232"/>
        <v>0</v>
      </c>
      <c r="U361" s="77">
        <f t="shared" si="233"/>
        <v>0</v>
      </c>
    </row>
    <row r="362" spans="1:21" ht="18.75" hidden="1" x14ac:dyDescent="0.25">
      <c r="A362" s="257"/>
      <c r="B362" s="258"/>
      <c r="C362" s="258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3">
        <f ca="1">IFERROR(__xludf.DUMMYFUNCTION("IMPORTRANGE(""https://docs.google.com/spreadsheets/d/1-uDff_7J0KD5mKrp0Vvzr7lt3OU09vwQwhkpOPPYv2Y/edit?usp=sharing"",""งบพรบ!FC73"")"),115055)</f>
        <v>115055</v>
      </c>
      <c r="M362" s="74">
        <f ca="1">IFERROR(__xludf.DUMMYFUNCTION("IMPORTRANGE(""https://docs.google.com/spreadsheets/d/1-uDff_7J0KD5mKrp0Vvzr7lt3OU09vwQwhkpOPPYv2Y/edit?usp=sharing"",""งบพรบ!FH73"")"),115055)</f>
        <v>115055</v>
      </c>
      <c r="N362" s="74">
        <f ca="1">IFERROR(__xludf.DUMMYFUNCTION("IMPORTRANGE(""https://docs.google.com/spreadsheets/d/1-uDff_7J0KD5mKrp0Vvzr7lt3OU09vwQwhkpOPPYv2Y/edit?usp=sharing"",""งบพรบ!FJ73"")"),38998)</f>
        <v>38998</v>
      </c>
      <c r="O362" s="74">
        <f t="shared" ca="1" si="229"/>
        <v>33.895093650862634</v>
      </c>
      <c r="P362" s="74">
        <f t="shared" ca="1" si="230"/>
        <v>33.895093650862634</v>
      </c>
      <c r="Q362" s="74">
        <v>0</v>
      </c>
      <c r="R362" s="74">
        <v>0</v>
      </c>
      <c r="S362" s="74">
        <v>0</v>
      </c>
      <c r="T362" s="74">
        <f t="shared" si="232"/>
        <v>0</v>
      </c>
      <c r="U362" s="74">
        <f t="shared" si="233"/>
        <v>0</v>
      </c>
    </row>
    <row r="363" spans="1:21" ht="18.75" x14ac:dyDescent="0.25">
      <c r="A363" s="257"/>
      <c r="B363" s="258"/>
      <c r="C363" s="258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3">
        <f t="shared" ref="L363:N363" ca="1" si="238">L364+L365</f>
        <v>0</v>
      </c>
      <c r="M363" s="74">
        <f t="shared" ca="1" si="238"/>
        <v>0</v>
      </c>
      <c r="N363" s="74">
        <f t="shared" ca="1" si="238"/>
        <v>0</v>
      </c>
      <c r="O363" s="74">
        <f t="shared" ca="1" si="229"/>
        <v>0</v>
      </c>
      <c r="P363" s="74">
        <f t="shared" ca="1" si="230"/>
        <v>0</v>
      </c>
      <c r="Q363" s="74">
        <f t="shared" ref="Q363:S363" si="239">Q364+Q365</f>
        <v>0</v>
      </c>
      <c r="R363" s="74">
        <f t="shared" si="239"/>
        <v>0</v>
      </c>
      <c r="S363" s="74">
        <f t="shared" si="239"/>
        <v>0</v>
      </c>
      <c r="T363" s="74">
        <f t="shared" si="232"/>
        <v>0</v>
      </c>
      <c r="U363" s="74">
        <f t="shared" si="233"/>
        <v>0</v>
      </c>
    </row>
    <row r="364" spans="1:21" ht="18.75" hidden="1" x14ac:dyDescent="0.25">
      <c r="A364" s="257"/>
      <c r="B364" s="258"/>
      <c r="C364" s="258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77">
        <f t="shared" si="229"/>
        <v>0</v>
      </c>
      <c r="P364" s="77">
        <f t="shared" si="230"/>
        <v>0</v>
      </c>
      <c r="Q364" s="77">
        <v>0</v>
      </c>
      <c r="R364" s="77">
        <v>0</v>
      </c>
      <c r="S364" s="77">
        <v>0</v>
      </c>
      <c r="T364" s="77">
        <f t="shared" si="232"/>
        <v>0</v>
      </c>
      <c r="U364" s="77">
        <f t="shared" si="233"/>
        <v>0</v>
      </c>
    </row>
    <row r="365" spans="1:21" ht="18.75" hidden="1" x14ac:dyDescent="0.25">
      <c r="A365" s="257"/>
      <c r="B365" s="258"/>
      <c r="C365" s="258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3">
        <f ca="1">IFERROR(__xludf.DUMMYFUNCTION("IMPORTRANGE(""https://docs.google.com/spreadsheets/d/1-uDff_7J0KD5mKrp0Vvzr7lt3OU09vwQwhkpOPPYv2Y/edit?usp=sharing"",""งบพรบ!FF73"")"),0)</f>
        <v>0</v>
      </c>
      <c r="M365" s="74">
        <f ca="1">IFERROR(__xludf.DUMMYFUNCTION("IMPORTRANGE(""https://docs.google.com/spreadsheets/d/1-uDff_7J0KD5mKrp0Vvzr7lt3OU09vwQwhkpOPPYv2Y/edit?usp=sharing"",""งบพรบ!FI73"")"),0)</f>
        <v>0</v>
      </c>
      <c r="N365" s="74">
        <f ca="1">IFERROR(__xludf.DUMMYFUNCTION("IMPORTRANGE(""https://docs.google.com/spreadsheets/d/1-uDff_7J0KD5mKrp0Vvzr7lt3OU09vwQwhkpOPPYv2Y/edit?usp=sharing"",""งบพรบ!FK73"")"),0)</f>
        <v>0</v>
      </c>
      <c r="O365" s="74">
        <f t="shared" ca="1" si="229"/>
        <v>0</v>
      </c>
      <c r="P365" s="74">
        <f t="shared" ca="1" si="230"/>
        <v>0</v>
      </c>
      <c r="Q365" s="74">
        <v>0</v>
      </c>
      <c r="R365" s="74">
        <v>0</v>
      </c>
      <c r="S365" s="74">
        <v>0</v>
      </c>
      <c r="T365" s="74">
        <f t="shared" si="232"/>
        <v>0</v>
      </c>
      <c r="U365" s="74">
        <f t="shared" si="233"/>
        <v>0</v>
      </c>
    </row>
    <row r="366" spans="1:21" ht="19.5" x14ac:dyDescent="0.3">
      <c r="A366" s="553"/>
      <c r="B366" s="555"/>
      <c r="C366" s="554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0">I372</f>
        <v>0</v>
      </c>
      <c r="J366" s="559">
        <f t="shared" ca="1" si="240"/>
        <v>0</v>
      </c>
      <c r="K366" s="560">
        <f ca="1">IF(I366&gt;0,J366*100/I366,0)</f>
        <v>0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259" t="s">
        <v>18</v>
      </c>
      <c r="D367" s="1019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96"/>
      <c r="C368" s="277"/>
      <c r="D368" s="296"/>
      <c r="E368" s="767" t="s">
        <v>150</v>
      </c>
      <c r="F368" s="296"/>
      <c r="G368" s="282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IFERROR(__xludf.DUMMYFUNCTION("IMPORTRANGE(""https://docs.google.com/spreadsheets/d/1tdoBKaGub7dwA3U6UFTqxio9LNnvDCQjHKmttSEBsFQ/edit?usp=sharing"",""จัดที่ดิน!AB73"")"),0)</f>
        <v>0</v>
      </c>
      <c r="K368" s="74">
        <f t="shared" ref="K368:K373" si="241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IFERROR(__xludf.DUMMYFUNCTION("IMPORTRANGE(""https://docs.google.com/spreadsheets/d/1eHaY18a8A9IcSdp1K8H6x8fbOy06t2VsZHhMHf-1x7Y/edit?usp=sharing"",""แผน!EW73"")"),0)</f>
        <v>0</v>
      </c>
      <c r="J369" s="1190">
        <f ca="1">IFERROR(__xludf.DUMMYFUNCTION("IMPORTRANGE(""https://docs.google.com/spreadsheets/d/1tdoBKaGub7dwA3U6UFTqxio9LNnvDCQjHKmttSEBsFQ/edit?usp=sharing"",""จัดที่ดิน!AC73"")"),0)</f>
        <v>0</v>
      </c>
      <c r="K369" s="74">
        <f t="shared" ca="1" si="241"/>
        <v>0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99" t="s">
        <v>35</v>
      </c>
      <c r="I370" s="293">
        <f ca="1">IFERROR(__xludf.DUMMYFUNCTION("IMPORTRANGE(""https://docs.google.com/spreadsheets/d/1eHaY18a8A9IcSdp1K8H6x8fbOy06t2VsZHhMHf-1x7Y/edit?usp=sharing"",""แผน!EX73"")"),0)</f>
        <v>0</v>
      </c>
      <c r="J370" s="293">
        <f ca="1">IFERROR(__xludf.DUMMYFUNCTION("IMPORTRANGE(""https://docs.google.com/spreadsheets/d/1tdoBKaGub7dwA3U6UFTqxio9LNnvDCQjHKmttSEBsFQ/edit?usp=sharing"",""จัดที่ดิน!AD73"")"),0)</f>
        <v>0</v>
      </c>
      <c r="K370" s="74">
        <f t="shared" ca="1" si="241"/>
        <v>0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99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IFERROR(__xludf.DUMMYFUNCTION("IMPORTRANGE(""https://docs.google.com/spreadsheets/d/1tdoBKaGub7dwA3U6UFTqxio9LNnvDCQjHKmttSEBsFQ/edit?usp=sharing"",""จัดที่ดิน!AE73"")"),0)</f>
        <v>0</v>
      </c>
      <c r="K371" s="74">
        <f t="shared" si="241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99" t="s">
        <v>35</v>
      </c>
      <c r="I372" s="293">
        <f ca="1">IFERROR(__xludf.DUMMYFUNCTION("IMPORTRANGE(""https://docs.google.com/spreadsheets/d/1eHaY18a8A9IcSdp1K8H6x8fbOy06t2VsZHhMHf-1x7Y/edit?usp=sharing"",""แผน!EY73"")"),0)</f>
        <v>0</v>
      </c>
      <c r="J372" s="293">
        <f ca="1">IFERROR(__xludf.DUMMYFUNCTION("IMPORTRANGE(""https://docs.google.com/spreadsheets/d/1tdoBKaGub7dwA3U6UFTqxio9LNnvDCQjHKmttSEBsFQ/edit?usp=sharing"",""จัดที่ดิน!AF73"")"),0)</f>
        <v>0</v>
      </c>
      <c r="K372" s="74">
        <f t="shared" ca="1" si="241"/>
        <v>0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99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IFERROR(__xludf.DUMMYFUNCTION("IMPORTRANGE(""https://docs.google.com/spreadsheets/d/1tdoBKaGub7dwA3U6UFTqxio9LNnvDCQjHKmttSEBsFQ/edit?usp=sharing"",""จัดที่ดิน!AG73"")"),0)</f>
        <v>0</v>
      </c>
      <c r="K373" s="74">
        <f t="shared" si="241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37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hidden="1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2">I386</f>
        <v>0</v>
      </c>
      <c r="J375" s="585">
        <f t="shared" si="242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hidden="1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1257">
        <f t="shared" ref="L376:N376" si="243">L377+L378</f>
        <v>0</v>
      </c>
      <c r="M376" s="264">
        <f t="shared" si="243"/>
        <v>0</v>
      </c>
      <c r="N376" s="264">
        <f t="shared" si="243"/>
        <v>0</v>
      </c>
      <c r="O376" s="264">
        <f t="shared" ref="O376:O384" si="244">IF(L376&gt;0,N376*100/L376,0)</f>
        <v>0</v>
      </c>
      <c r="P376" s="264">
        <f t="shared" ref="P376:P384" si="245">IF(M376&gt;0,N376*100/M376,0)</f>
        <v>0</v>
      </c>
      <c r="Q376" s="264">
        <f t="shared" ref="Q376:S376" ca="1" si="246">Q377+Q378</f>
        <v>0</v>
      </c>
      <c r="R376" s="264">
        <f t="shared" ca="1" si="246"/>
        <v>0</v>
      </c>
      <c r="S376" s="264">
        <f t="shared" ca="1" si="246"/>
        <v>0</v>
      </c>
      <c r="T376" s="264">
        <f t="shared" ref="T376:T384" ca="1" si="247">IF(Q376&gt;0,S376*100/Q376,0)</f>
        <v>0</v>
      </c>
      <c r="U376" s="264">
        <f t="shared" ref="U376:U384" ca="1" si="248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6">
        <f t="shared" ref="L377:N378" si="249">L380+L383</f>
        <v>0</v>
      </c>
      <c r="M377" s="77">
        <f t="shared" si="249"/>
        <v>0</v>
      </c>
      <c r="N377" s="77">
        <f t="shared" si="249"/>
        <v>0</v>
      </c>
      <c r="O377" s="77">
        <f t="shared" si="244"/>
        <v>0</v>
      </c>
      <c r="P377" s="77">
        <f t="shared" si="245"/>
        <v>0</v>
      </c>
      <c r="Q377" s="77">
        <f t="shared" ref="Q377:S378" si="250">Q380+Q383</f>
        <v>0</v>
      </c>
      <c r="R377" s="77">
        <f t="shared" si="250"/>
        <v>0</v>
      </c>
      <c r="S377" s="77">
        <f t="shared" si="250"/>
        <v>0</v>
      </c>
      <c r="T377" s="77">
        <f t="shared" si="247"/>
        <v>0</v>
      </c>
      <c r="U377" s="77">
        <f t="shared" si="248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3">
        <f t="shared" si="249"/>
        <v>0</v>
      </c>
      <c r="M378" s="74">
        <f t="shared" si="249"/>
        <v>0</v>
      </c>
      <c r="N378" s="74">
        <f t="shared" si="249"/>
        <v>0</v>
      </c>
      <c r="O378" s="74">
        <f t="shared" si="244"/>
        <v>0</v>
      </c>
      <c r="P378" s="74">
        <f t="shared" si="245"/>
        <v>0</v>
      </c>
      <c r="Q378" s="74">
        <f t="shared" ca="1" si="250"/>
        <v>0</v>
      </c>
      <c r="R378" s="74">
        <f t="shared" ca="1" si="250"/>
        <v>0</v>
      </c>
      <c r="S378" s="74">
        <f t="shared" ca="1" si="250"/>
        <v>0</v>
      </c>
      <c r="T378" s="74">
        <f t="shared" ca="1" si="247"/>
        <v>0</v>
      </c>
      <c r="U378" s="74">
        <f t="shared" ca="1" si="248"/>
        <v>0</v>
      </c>
    </row>
    <row r="379" spans="1:21" ht="18.75" hidden="1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3">
        <f t="shared" ref="L379:N379" si="251">L380+L381</f>
        <v>0</v>
      </c>
      <c r="M379" s="74">
        <f t="shared" si="251"/>
        <v>0</v>
      </c>
      <c r="N379" s="74">
        <f t="shared" si="251"/>
        <v>0</v>
      </c>
      <c r="O379" s="74">
        <f t="shared" si="244"/>
        <v>0</v>
      </c>
      <c r="P379" s="74">
        <f t="shared" si="245"/>
        <v>0</v>
      </c>
      <c r="Q379" s="74">
        <f t="shared" ref="Q379:S379" ca="1" si="252">Q380+Q381</f>
        <v>0</v>
      </c>
      <c r="R379" s="74">
        <f t="shared" ca="1" si="252"/>
        <v>0</v>
      </c>
      <c r="S379" s="74">
        <f t="shared" ca="1" si="252"/>
        <v>0</v>
      </c>
      <c r="T379" s="74">
        <f t="shared" ca="1" si="247"/>
        <v>0</v>
      </c>
      <c r="U379" s="74">
        <f t="shared" ca="1" si="248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77">
        <f t="shared" si="244"/>
        <v>0</v>
      </c>
      <c r="P380" s="77">
        <f t="shared" si="245"/>
        <v>0</v>
      </c>
      <c r="Q380" s="77">
        <v>0</v>
      </c>
      <c r="R380" s="77">
        <v>0</v>
      </c>
      <c r="S380" s="77">
        <v>0</v>
      </c>
      <c r="T380" s="77">
        <f t="shared" si="247"/>
        <v>0</v>
      </c>
      <c r="U380" s="77">
        <f t="shared" si="248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74">
        <f t="shared" si="244"/>
        <v>0</v>
      </c>
      <c r="P381" s="74">
        <f t="shared" si="245"/>
        <v>0</v>
      </c>
      <c r="Q381" s="74">
        <f ca="1">IFERROR(__xludf.DUMMYFUNCTION("IMPORTRANGE(""https://docs.google.com/spreadsheets/d/1ItG2mGa2ceCfYo0BwxsXqNm01IGEUdYcSSLTEv9YCik/edit?usp=sharing"",""เบิกจ่ายกองทุน!AY73"")"),0)</f>
        <v>0</v>
      </c>
      <c r="R381" s="74">
        <f ca="1">IFERROR(__xludf.DUMMYFUNCTION("IMPORTRANGE(""https://docs.google.com/spreadsheets/d/1ItG2mGa2ceCfYo0BwxsXqNm01IGEUdYcSSLTEv9YCik/edit?usp=sharing"",""เบิกจ่ายกองทุน!AZ73"")"),0)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IFERROR(__xludf.DUMMYFUNCTION("IMPORTRANGE(""https://docs.google.com/spreadsheets/d/1ItG2mGa2ceCfYo0BwxsXqNm01IGEUdYcSSLTEv9YCik/edit?usp=sharing"",""เบิกจ่ายกองทุน!BA73"")"),0)</f>
        <v>0</v>
      </c>
      <c r="T381" s="74">
        <f t="shared" ca="1" si="247"/>
        <v>0</v>
      </c>
      <c r="U381" s="74">
        <f t="shared" ca="1" si="248"/>
        <v>0</v>
      </c>
    </row>
    <row r="382" spans="1:21" ht="18.75" hidden="1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3">
        <f t="shared" ref="L382:N382" si="253">L383+L384</f>
        <v>0</v>
      </c>
      <c r="M382" s="74">
        <f t="shared" si="253"/>
        <v>0</v>
      </c>
      <c r="N382" s="74">
        <f t="shared" si="253"/>
        <v>0</v>
      </c>
      <c r="O382" s="74">
        <f t="shared" si="244"/>
        <v>0</v>
      </c>
      <c r="P382" s="74">
        <f t="shared" si="245"/>
        <v>0</v>
      </c>
      <c r="Q382" s="74">
        <f t="shared" ref="Q382:S382" si="254">Q383+Q384</f>
        <v>0</v>
      </c>
      <c r="R382" s="74">
        <f t="shared" si="254"/>
        <v>0</v>
      </c>
      <c r="S382" s="74">
        <f t="shared" si="254"/>
        <v>0</v>
      </c>
      <c r="T382" s="74">
        <f t="shared" si="247"/>
        <v>0</v>
      </c>
      <c r="U382" s="74">
        <f t="shared" si="248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77">
        <f t="shared" si="244"/>
        <v>0</v>
      </c>
      <c r="P383" s="77">
        <f t="shared" si="245"/>
        <v>0</v>
      </c>
      <c r="Q383" s="77">
        <v>0</v>
      </c>
      <c r="R383" s="77">
        <v>0</v>
      </c>
      <c r="S383" s="77">
        <v>0</v>
      </c>
      <c r="T383" s="77">
        <f t="shared" si="247"/>
        <v>0</v>
      </c>
      <c r="U383" s="77">
        <f t="shared" si="248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74">
        <f t="shared" si="244"/>
        <v>0</v>
      </c>
      <c r="P384" s="74">
        <f t="shared" si="245"/>
        <v>0</v>
      </c>
      <c r="Q384" s="74">
        <v>0</v>
      </c>
      <c r="R384" s="74">
        <v>0</v>
      </c>
      <c r="S384" s="74">
        <v>0</v>
      </c>
      <c r="T384" s="74">
        <f t="shared" si="247"/>
        <v>0</v>
      </c>
      <c r="U384" s="74">
        <f t="shared" si="248"/>
        <v>0</v>
      </c>
    </row>
    <row r="385" spans="1:21" ht="19.5" hidden="1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hidden="1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f ca="1">IFERROR(__xludf.DUMMYFUNCTION("IMPORTRANGE(""https://docs.google.com/spreadsheets/d/1eHaY18a8A9IcSdp1K8H6x8fbOy06t2VsZHhMHf-1x7Y/edit?usp=sharing"",""แผน!JQ73"")"),0)</f>
        <v>0</v>
      </c>
      <c r="J386" s="293">
        <v>0</v>
      </c>
      <c r="K386" s="74">
        <f t="shared" ref="K386:K389" ca="1" si="255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hidden="1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IFERROR(__xludf.DUMMYFUNCTION("IMPORTRANGE(""https://docs.google.com/spreadsheets/d/1eHaY18a8A9IcSdp1K8H6x8fbOy06t2VsZHhMHf-1x7Y/edit?usp=sharing"",""แผน!JQ73"")"),0)</f>
        <v>0</v>
      </c>
      <c r="J387" s="293">
        <v>0</v>
      </c>
      <c r="K387" s="74">
        <f t="shared" ca="1" si="255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hidden="1" x14ac:dyDescent="0.25">
      <c r="A388" s="269"/>
      <c r="B388" s="269"/>
      <c r="C388" s="269"/>
      <c r="D388" s="269"/>
      <c r="E388" s="775" t="s">
        <v>155</v>
      </c>
      <c r="F388" s="269"/>
      <c r="G388" s="312"/>
      <c r="H388" s="266" t="s">
        <v>34</v>
      </c>
      <c r="I388" s="592">
        <v>0</v>
      </c>
      <c r="J388" s="592">
        <v>0</v>
      </c>
      <c r="K388" s="77">
        <f t="shared" si="255"/>
        <v>0</v>
      </c>
      <c r="L388" s="86"/>
      <c r="M388" s="87"/>
      <c r="N388" s="87"/>
      <c r="O388" s="87"/>
      <c r="P388" s="87"/>
      <c r="Q388" s="87"/>
      <c r="R388" s="87"/>
      <c r="S388" s="87"/>
      <c r="T388" s="87"/>
      <c r="U388" s="87"/>
    </row>
    <row r="389" spans="1:21" ht="18.75" hidden="1" x14ac:dyDescent="0.25">
      <c r="A389" s="269"/>
      <c r="B389" s="269"/>
      <c r="C389" s="269"/>
      <c r="D389" s="269"/>
      <c r="E389" s="269"/>
      <c r="F389" s="269"/>
      <c r="G389" s="312"/>
      <c r="H389" s="266" t="s">
        <v>46</v>
      </c>
      <c r="I389" s="592">
        <v>0</v>
      </c>
      <c r="J389" s="592">
        <v>0</v>
      </c>
      <c r="K389" s="77">
        <f t="shared" si="255"/>
        <v>0</v>
      </c>
      <c r="L389" s="86"/>
      <c r="M389" s="87"/>
      <c r="N389" s="87"/>
      <c r="O389" s="87"/>
      <c r="P389" s="87"/>
      <c r="Q389" s="87"/>
      <c r="R389" s="87"/>
      <c r="S389" s="87"/>
      <c r="T389" s="87"/>
      <c r="U389" s="87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6">I403</f>
        <v>0</v>
      </c>
      <c r="J392" s="1189">
        <f t="shared" si="256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1257">
        <f t="shared" ref="L393:N393" si="257">L394+L395</f>
        <v>0</v>
      </c>
      <c r="M393" s="264">
        <f t="shared" si="257"/>
        <v>0</v>
      </c>
      <c r="N393" s="264">
        <f t="shared" si="257"/>
        <v>0</v>
      </c>
      <c r="O393" s="264">
        <f t="shared" ref="O393:O401" si="258">IF(L393&gt;0,N393*100/L393,0)</f>
        <v>0</v>
      </c>
      <c r="P393" s="264">
        <f t="shared" ref="P393:P401" si="259">IF(M393&gt;0,N393*100/M393,0)</f>
        <v>0</v>
      </c>
      <c r="Q393" s="264">
        <f t="shared" ref="Q393:S393" si="260">Q394+Q395</f>
        <v>0</v>
      </c>
      <c r="R393" s="264">
        <f t="shared" si="260"/>
        <v>0</v>
      </c>
      <c r="S393" s="264">
        <f t="shared" si="260"/>
        <v>0</v>
      </c>
      <c r="T393" s="264">
        <f t="shared" ref="T393:T401" si="261">IF(Q393&gt;0,S393*100/Q393,0)</f>
        <v>0</v>
      </c>
      <c r="U393" s="264">
        <f t="shared" ref="U393:U401" si="262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6">
        <f t="shared" ref="L394:N395" si="263">L397+L400</f>
        <v>0</v>
      </c>
      <c r="M394" s="77">
        <f t="shared" si="263"/>
        <v>0</v>
      </c>
      <c r="N394" s="77">
        <f t="shared" si="263"/>
        <v>0</v>
      </c>
      <c r="O394" s="77">
        <f t="shared" si="258"/>
        <v>0</v>
      </c>
      <c r="P394" s="77">
        <f t="shared" si="259"/>
        <v>0</v>
      </c>
      <c r="Q394" s="77">
        <f t="shared" ref="Q394:S395" si="264">Q397+Q400</f>
        <v>0</v>
      </c>
      <c r="R394" s="77">
        <f t="shared" si="264"/>
        <v>0</v>
      </c>
      <c r="S394" s="77">
        <f t="shared" si="264"/>
        <v>0</v>
      </c>
      <c r="T394" s="77">
        <f t="shared" si="261"/>
        <v>0</v>
      </c>
      <c r="U394" s="77">
        <f t="shared" si="262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3">
        <f t="shared" si="263"/>
        <v>0</v>
      </c>
      <c r="M395" s="74">
        <f t="shared" si="263"/>
        <v>0</v>
      </c>
      <c r="N395" s="74">
        <f t="shared" si="263"/>
        <v>0</v>
      </c>
      <c r="O395" s="74">
        <f t="shared" si="258"/>
        <v>0</v>
      </c>
      <c r="P395" s="74">
        <f t="shared" si="259"/>
        <v>0</v>
      </c>
      <c r="Q395" s="74">
        <f t="shared" si="264"/>
        <v>0</v>
      </c>
      <c r="R395" s="74">
        <f t="shared" si="264"/>
        <v>0</v>
      </c>
      <c r="S395" s="74">
        <f t="shared" si="264"/>
        <v>0</v>
      </c>
      <c r="T395" s="74">
        <f t="shared" si="261"/>
        <v>0</v>
      </c>
      <c r="U395" s="74">
        <f t="shared" si="262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3">
        <f t="shared" ref="L396:N396" si="265">L397+L398</f>
        <v>0</v>
      </c>
      <c r="M396" s="74">
        <f t="shared" si="265"/>
        <v>0</v>
      </c>
      <c r="N396" s="74">
        <f t="shared" si="265"/>
        <v>0</v>
      </c>
      <c r="O396" s="74">
        <f t="shared" si="258"/>
        <v>0</v>
      </c>
      <c r="P396" s="74">
        <f t="shared" si="259"/>
        <v>0</v>
      </c>
      <c r="Q396" s="74">
        <f t="shared" ref="Q396:S396" si="266">Q397+Q398</f>
        <v>0</v>
      </c>
      <c r="R396" s="74">
        <f t="shared" si="266"/>
        <v>0</v>
      </c>
      <c r="S396" s="74">
        <f t="shared" si="266"/>
        <v>0</v>
      </c>
      <c r="T396" s="74">
        <f t="shared" si="261"/>
        <v>0</v>
      </c>
      <c r="U396" s="74">
        <f t="shared" si="262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77">
        <f t="shared" si="258"/>
        <v>0</v>
      </c>
      <c r="P397" s="77">
        <f t="shared" si="259"/>
        <v>0</v>
      </c>
      <c r="Q397" s="77">
        <v>0</v>
      </c>
      <c r="R397" s="77">
        <v>0</v>
      </c>
      <c r="S397" s="77">
        <v>0</v>
      </c>
      <c r="T397" s="77">
        <f t="shared" si="261"/>
        <v>0</v>
      </c>
      <c r="U397" s="77">
        <f t="shared" si="262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74">
        <f t="shared" si="258"/>
        <v>0</v>
      </c>
      <c r="P398" s="74">
        <f t="shared" si="259"/>
        <v>0</v>
      </c>
      <c r="Q398" s="74">
        <v>0</v>
      </c>
      <c r="R398" s="74">
        <v>0</v>
      </c>
      <c r="S398" s="74">
        <v>0</v>
      </c>
      <c r="T398" s="74">
        <f t="shared" si="261"/>
        <v>0</v>
      </c>
      <c r="U398" s="74">
        <f t="shared" si="262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3">
        <f t="shared" ref="L399:N399" si="267">L400+L401</f>
        <v>0</v>
      </c>
      <c r="M399" s="74">
        <f t="shared" si="267"/>
        <v>0</v>
      </c>
      <c r="N399" s="74">
        <f t="shared" si="267"/>
        <v>0</v>
      </c>
      <c r="O399" s="74">
        <f t="shared" si="258"/>
        <v>0</v>
      </c>
      <c r="P399" s="74">
        <f t="shared" si="259"/>
        <v>0</v>
      </c>
      <c r="Q399" s="74">
        <f t="shared" ref="Q399:S399" si="268">Q400+Q401</f>
        <v>0</v>
      </c>
      <c r="R399" s="74">
        <f t="shared" si="268"/>
        <v>0</v>
      </c>
      <c r="S399" s="74">
        <f t="shared" si="268"/>
        <v>0</v>
      </c>
      <c r="T399" s="74">
        <f t="shared" si="261"/>
        <v>0</v>
      </c>
      <c r="U399" s="74">
        <f t="shared" si="262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77">
        <f t="shared" si="258"/>
        <v>0</v>
      </c>
      <c r="P400" s="77">
        <f t="shared" si="259"/>
        <v>0</v>
      </c>
      <c r="Q400" s="77">
        <v>0</v>
      </c>
      <c r="R400" s="77">
        <v>0</v>
      </c>
      <c r="S400" s="77">
        <v>0</v>
      </c>
      <c r="T400" s="77">
        <f t="shared" si="261"/>
        <v>0</v>
      </c>
      <c r="U400" s="77">
        <f t="shared" si="262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74">
        <f t="shared" si="258"/>
        <v>0</v>
      </c>
      <c r="P401" s="74">
        <f t="shared" si="259"/>
        <v>0</v>
      </c>
      <c r="Q401" s="74">
        <v>0</v>
      </c>
      <c r="R401" s="74">
        <v>0</v>
      </c>
      <c r="S401" s="74">
        <v>0</v>
      </c>
      <c r="T401" s="74">
        <f t="shared" si="261"/>
        <v>0</v>
      </c>
      <c r="U401" s="74">
        <f t="shared" si="262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69">I424</f>
        <v>0</v>
      </c>
      <c r="J413" s="617">
        <f t="shared" si="269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1257">
        <f t="shared" ref="L414:N414" si="270">L415+L416</f>
        <v>0</v>
      </c>
      <c r="M414" s="264">
        <f t="shared" si="270"/>
        <v>0</v>
      </c>
      <c r="N414" s="264">
        <f t="shared" si="270"/>
        <v>0</v>
      </c>
      <c r="O414" s="264">
        <f t="shared" ref="O414:O422" si="271">IF(L414&gt;0,N414*100/L414,0)</f>
        <v>0</v>
      </c>
      <c r="P414" s="264">
        <f t="shared" ref="P414:P422" si="272">IF(M414&gt;0,N414*100/M414,0)</f>
        <v>0</v>
      </c>
      <c r="Q414" s="264">
        <f t="shared" ref="Q414:S414" ca="1" si="273">Q415+Q416</f>
        <v>0</v>
      </c>
      <c r="R414" s="264">
        <f t="shared" ca="1" si="273"/>
        <v>0</v>
      </c>
      <c r="S414" s="264">
        <f t="shared" ca="1" si="273"/>
        <v>0</v>
      </c>
      <c r="T414" s="264">
        <f t="shared" ref="T414:T422" ca="1" si="274">IF(Q414&gt;0,S414*100/Q414,0)</f>
        <v>0</v>
      </c>
      <c r="U414" s="264">
        <f t="shared" ref="U414:U422" ca="1" si="275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6">
        <f t="shared" ref="L415:N416" si="276">L418+L421</f>
        <v>0</v>
      </c>
      <c r="M415" s="77">
        <f t="shared" si="276"/>
        <v>0</v>
      </c>
      <c r="N415" s="77">
        <f t="shared" si="276"/>
        <v>0</v>
      </c>
      <c r="O415" s="77">
        <f t="shared" si="271"/>
        <v>0</v>
      </c>
      <c r="P415" s="77">
        <f t="shared" si="272"/>
        <v>0</v>
      </c>
      <c r="Q415" s="77">
        <f t="shared" ref="Q415:S416" si="277">Q418+Q421</f>
        <v>0</v>
      </c>
      <c r="R415" s="77">
        <f t="shared" si="277"/>
        <v>0</v>
      </c>
      <c r="S415" s="77">
        <f t="shared" si="277"/>
        <v>0</v>
      </c>
      <c r="T415" s="77">
        <f t="shared" si="274"/>
        <v>0</v>
      </c>
      <c r="U415" s="77">
        <f t="shared" si="275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3">
        <f t="shared" si="276"/>
        <v>0</v>
      </c>
      <c r="M416" s="74">
        <f t="shared" si="276"/>
        <v>0</v>
      </c>
      <c r="N416" s="74">
        <f t="shared" si="276"/>
        <v>0</v>
      </c>
      <c r="O416" s="74">
        <f t="shared" si="271"/>
        <v>0</v>
      </c>
      <c r="P416" s="74">
        <f t="shared" si="272"/>
        <v>0</v>
      </c>
      <c r="Q416" s="74">
        <f t="shared" ca="1" si="277"/>
        <v>0</v>
      </c>
      <c r="R416" s="74">
        <f t="shared" ca="1" si="277"/>
        <v>0</v>
      </c>
      <c r="S416" s="74">
        <f t="shared" ca="1" si="277"/>
        <v>0</v>
      </c>
      <c r="T416" s="74">
        <f t="shared" ca="1" si="274"/>
        <v>0</v>
      </c>
      <c r="U416" s="74">
        <f t="shared" ca="1" si="275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3">
        <f t="shared" ref="L417:N417" si="278">L418+L419</f>
        <v>0</v>
      </c>
      <c r="M417" s="74">
        <f t="shared" si="278"/>
        <v>0</v>
      </c>
      <c r="N417" s="74">
        <f t="shared" si="278"/>
        <v>0</v>
      </c>
      <c r="O417" s="74">
        <f t="shared" si="271"/>
        <v>0</v>
      </c>
      <c r="P417" s="74">
        <f t="shared" si="272"/>
        <v>0</v>
      </c>
      <c r="Q417" s="74">
        <f t="shared" ref="Q417:S417" ca="1" si="279">Q418+Q419</f>
        <v>0</v>
      </c>
      <c r="R417" s="74">
        <f t="shared" ca="1" si="279"/>
        <v>0</v>
      </c>
      <c r="S417" s="74">
        <f t="shared" ca="1" si="279"/>
        <v>0</v>
      </c>
      <c r="T417" s="74">
        <f t="shared" ca="1" si="274"/>
        <v>0</v>
      </c>
      <c r="U417" s="74">
        <f t="shared" ca="1" si="275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77">
        <f t="shared" si="271"/>
        <v>0</v>
      </c>
      <c r="P418" s="77">
        <f t="shared" si="272"/>
        <v>0</v>
      </c>
      <c r="Q418" s="77">
        <v>0</v>
      </c>
      <c r="R418" s="77">
        <v>0</v>
      </c>
      <c r="S418" s="77">
        <v>0</v>
      </c>
      <c r="T418" s="77">
        <f t="shared" si="274"/>
        <v>0</v>
      </c>
      <c r="U418" s="77">
        <f t="shared" si="275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74">
        <f t="shared" si="271"/>
        <v>0</v>
      </c>
      <c r="P419" s="74">
        <f t="shared" si="272"/>
        <v>0</v>
      </c>
      <c r="Q419" s="74">
        <f ca="1">IFERROR(__xludf.DUMMYFUNCTION("IMPORTRANGE(""https://docs.google.com/spreadsheets/d/1ItG2mGa2ceCfYo0BwxsXqNm01IGEUdYcSSLTEv9YCik/edit?usp=sharing"",""เบิกจ่ายกองทุน!BH73"")"),0)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IFERROR(__xludf.DUMMYFUNCTION("IMPORTRANGE(""https://docs.google.com/spreadsheets/d/1ItG2mGa2ceCfYo0BwxsXqNm01IGEUdYcSSLTEv9YCik/edit?usp=sharing"",""เบิกจ่ายกองทุน!BI73"")"),0)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IFERROR(__xludf.DUMMYFUNCTION("IMPORTRANGE(""https://docs.google.com/spreadsheets/d/1ItG2mGa2ceCfYo0BwxsXqNm01IGEUdYcSSLTEv9YCik/edit?usp=sharing"",""เบิกจ่ายกองทุน!BJ73"")"),0)</f>
        <v>0</v>
      </c>
      <c r="T419" s="74">
        <f t="shared" ca="1" si="274"/>
        <v>0</v>
      </c>
      <c r="U419" s="74">
        <f t="shared" ca="1" si="275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3">
        <f t="shared" ref="L420:N420" si="280">L421+L422</f>
        <v>0</v>
      </c>
      <c r="M420" s="74">
        <f t="shared" si="280"/>
        <v>0</v>
      </c>
      <c r="N420" s="74">
        <f t="shared" si="280"/>
        <v>0</v>
      </c>
      <c r="O420" s="74">
        <f t="shared" si="271"/>
        <v>0</v>
      </c>
      <c r="P420" s="74">
        <f t="shared" si="272"/>
        <v>0</v>
      </c>
      <c r="Q420" s="74">
        <f t="shared" ref="Q420:S420" si="281">Q421+Q422</f>
        <v>0</v>
      </c>
      <c r="R420" s="74">
        <f t="shared" si="281"/>
        <v>0</v>
      </c>
      <c r="S420" s="74">
        <f t="shared" si="281"/>
        <v>0</v>
      </c>
      <c r="T420" s="74">
        <f t="shared" si="274"/>
        <v>0</v>
      </c>
      <c r="U420" s="74">
        <f t="shared" si="275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77">
        <f t="shared" si="271"/>
        <v>0</v>
      </c>
      <c r="P421" s="77">
        <f t="shared" si="272"/>
        <v>0</v>
      </c>
      <c r="Q421" s="77">
        <v>0</v>
      </c>
      <c r="R421" s="77">
        <v>0</v>
      </c>
      <c r="S421" s="77">
        <v>0</v>
      </c>
      <c r="T421" s="77">
        <f t="shared" si="274"/>
        <v>0</v>
      </c>
      <c r="U421" s="77">
        <f t="shared" si="275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74">
        <f t="shared" si="271"/>
        <v>0</v>
      </c>
      <c r="P422" s="74">
        <f t="shared" si="272"/>
        <v>0</v>
      </c>
      <c r="Q422" s="74">
        <v>0</v>
      </c>
      <c r="R422" s="74">
        <v>0</v>
      </c>
      <c r="S422" s="74">
        <v>0</v>
      </c>
      <c r="T422" s="74">
        <f t="shared" si="274"/>
        <v>0</v>
      </c>
      <c r="U422" s="74">
        <f t="shared" si="275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2">I441</f>
        <v>0</v>
      </c>
      <c r="J424" s="622">
        <f t="shared" si="282"/>
        <v>0</v>
      </c>
      <c r="K424" s="264">
        <f t="shared" ref="K424:K426" ca="1" si="283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IFERROR(__xludf.DUMMYFUNCTION("IMPORTRANGE(""https://docs.google.com/spreadsheets/d/1eHaY18a8A9IcSdp1K8H6x8fbOy06t2VsZHhMHf-1x7Y/edit?usp=sharing"",""แผน!HJ73"")"),0)</f>
        <v>0</v>
      </c>
      <c r="J425" s="622">
        <f t="shared" ref="J425:J426" si="284">J427+J429+J431</f>
        <v>0</v>
      </c>
      <c r="K425" s="264">
        <f t="shared" ca="1" si="283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IFERROR(__xludf.DUMMYFUNCTION("IMPORTRANGE(""https://docs.google.com/spreadsheets/d/1eHaY18a8A9IcSdp1K8H6x8fbOy06t2VsZHhMHf-1x7Y/edit?usp=sharing"",""แผน!HK73"")"),0)</f>
        <v>0</v>
      </c>
      <c r="J426" s="622">
        <f t="shared" si="284"/>
        <v>0</v>
      </c>
      <c r="K426" s="264">
        <f t="shared" ca="1" si="283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IFERROR(__xludf.DUMMYFUNCTION("IMPORTRANGE(""https://docs.google.com/spreadsheets/d/1eHaY18a8A9IcSdp1K8H6x8fbOy06t2VsZHhMHf-1x7Y/edit?usp=sharing"",""แผน!HJ73"")"),0)</f>
        <v>0</v>
      </c>
      <c r="J433" s="622">
        <f t="shared" ref="J433:J434" si="285">J435+J437+J439</f>
        <v>0</v>
      </c>
      <c r="K433" s="264">
        <f t="shared" ref="K433:K434" ca="1" si="286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IFERROR(__xludf.DUMMYFUNCTION("IMPORTRANGE(""https://docs.google.com/spreadsheets/d/1eHaY18a8A9IcSdp1K8H6x8fbOy06t2VsZHhMHf-1x7Y/edit?usp=sharing"",""แผน!HK73"")"),0)</f>
        <v>0</v>
      </c>
      <c r="J434" s="622">
        <f t="shared" si="285"/>
        <v>0</v>
      </c>
      <c r="K434" s="264">
        <f t="shared" ca="1" si="286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IFERROR(__xludf.DUMMYFUNCTION("IMPORTRANGE(""https://docs.google.com/spreadsheets/d/1eHaY18a8A9IcSdp1K8H6x8fbOy06t2VsZHhMHf-1x7Y/edit?usp=sharing"",""แผน!HJ73"")"),0)</f>
        <v>0</v>
      </c>
      <c r="J441" s="622">
        <f t="shared" ref="J441:J442" si="287">J443+J445+J447+J453+J455</f>
        <v>0</v>
      </c>
      <c r="K441" s="264">
        <f t="shared" ref="K441:K442" ca="1" si="288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IFERROR(__xludf.DUMMYFUNCTION("IMPORTRANGE(""https://docs.google.com/spreadsheets/d/1eHaY18a8A9IcSdp1K8H6x8fbOy06t2VsZHhMHf-1x7Y/edit?usp=sharing"",""แผน!HK73"")"),0)</f>
        <v>0</v>
      </c>
      <c r="J442" s="622">
        <f t="shared" si="287"/>
        <v>0</v>
      </c>
      <c r="K442" s="264">
        <f t="shared" ca="1" si="288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89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89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0">I458</f>
        <v>0</v>
      </c>
      <c r="J457" s="622">
        <f t="shared" si="290"/>
        <v>0</v>
      </c>
      <c r="K457" s="264">
        <f t="shared" ref="K457:K459" ca="1" si="291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IFERROR(__xludf.DUMMYFUNCTION("IMPORTRANGE(""https://docs.google.com/spreadsheets/d/1eHaY18a8A9IcSdp1K8H6x8fbOy06t2VsZHhMHf-1x7Y/edit?usp=sharing"",""แผน!HL73"")"),0)</f>
        <v>0</v>
      </c>
      <c r="J458" s="622">
        <f t="shared" ref="J458:J459" si="292">J460+J468+J474</f>
        <v>0</v>
      </c>
      <c r="K458" s="264">
        <f t="shared" ca="1" si="291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IFERROR(__xludf.DUMMYFUNCTION("IMPORTRANGE(""https://docs.google.com/spreadsheets/d/1eHaY18a8A9IcSdp1K8H6x8fbOy06t2VsZHhMHf-1x7Y/edit?usp=sharing"",""แผน!HM73"")"),0)</f>
        <v>0</v>
      </c>
      <c r="J459" s="622">
        <f t="shared" si="292"/>
        <v>0</v>
      </c>
      <c r="K459" s="264">
        <f t="shared" ca="1" si="291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3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3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4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4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5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6">J479+J481</f>
        <v>0</v>
      </c>
      <c r="K477" s="264">
        <f t="shared" si="295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6"/>
        <v>0</v>
      </c>
      <c r="K478" s="264">
        <f t="shared" si="295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IFERROR(__xludf.DUMMYFUNCTION("IMPORTRANGE(""https://docs.google.com/spreadsheets/d/1eHaY18a8A9IcSdp1K8H6x8fbOy06t2VsZHhMHf-1x7Y/edit?usp=sharing"",""แผน!HN73"")"),0)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IFERROR(__xludf.DUMMYFUNCTION("IMPORTRANGE(""https://docs.google.com/spreadsheets/d/1eHaY18a8A9IcSdp1K8H6x8fbOy06t2VsZHhMHf-1x7Y/edit?usp=sharing"",""แผน!HO73"")"),0)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7">J481</f>
        <v>0</v>
      </c>
      <c r="J485" s="622">
        <f t="shared" ref="J485:J486" si="298">J487+J489+J491</f>
        <v>0</v>
      </c>
      <c r="K485" s="264">
        <f t="shared" ref="K485:K486" si="299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7"/>
        <v>0</v>
      </c>
      <c r="J486" s="622">
        <f t="shared" si="298"/>
        <v>0</v>
      </c>
      <c r="K486" s="264">
        <f t="shared" si="299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hidden="1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0">I504</f>
        <v>0</v>
      </c>
      <c r="J493" s="617">
        <f t="shared" ca="1" si="300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1257">
        <f t="shared" ref="L494:N494" si="301">L495+L496</f>
        <v>0</v>
      </c>
      <c r="M494" s="264">
        <f t="shared" si="301"/>
        <v>0</v>
      </c>
      <c r="N494" s="264">
        <f t="shared" si="301"/>
        <v>0</v>
      </c>
      <c r="O494" s="264">
        <f t="shared" ref="O494:O502" si="302">IF(L494&gt;0,N494*100/L494,0)</f>
        <v>0</v>
      </c>
      <c r="P494" s="264">
        <f t="shared" ref="P494:P502" si="303">IF(M494&gt;0,N494*100/M494,0)</f>
        <v>0</v>
      </c>
      <c r="Q494" s="264">
        <f t="shared" ref="Q494:S494" ca="1" si="304">Q495+Q496</f>
        <v>0</v>
      </c>
      <c r="R494" s="264">
        <f t="shared" ca="1" si="304"/>
        <v>0</v>
      </c>
      <c r="S494" s="264">
        <f t="shared" ca="1" si="304"/>
        <v>0</v>
      </c>
      <c r="T494" s="264">
        <f t="shared" ref="T494:T502" ca="1" si="305">IF(Q494&gt;0,S494*100/Q494,0)</f>
        <v>0</v>
      </c>
      <c r="U494" s="264">
        <f t="shared" ref="U494:U502" ca="1" si="306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6">
        <f t="shared" ref="L495:N496" si="307">L498+L501</f>
        <v>0</v>
      </c>
      <c r="M495" s="77">
        <f t="shared" si="307"/>
        <v>0</v>
      </c>
      <c r="N495" s="77">
        <f t="shared" si="307"/>
        <v>0</v>
      </c>
      <c r="O495" s="77">
        <f t="shared" si="302"/>
        <v>0</v>
      </c>
      <c r="P495" s="77">
        <f t="shared" si="303"/>
        <v>0</v>
      </c>
      <c r="Q495" s="77">
        <f t="shared" ref="Q495:S496" si="308">Q498+Q501</f>
        <v>0</v>
      </c>
      <c r="R495" s="77">
        <f t="shared" si="308"/>
        <v>0</v>
      </c>
      <c r="S495" s="77">
        <f t="shared" si="308"/>
        <v>0</v>
      </c>
      <c r="T495" s="77">
        <f t="shared" si="305"/>
        <v>0</v>
      </c>
      <c r="U495" s="77">
        <f t="shared" si="306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3">
        <f t="shared" si="307"/>
        <v>0</v>
      </c>
      <c r="M496" s="74">
        <f t="shared" si="307"/>
        <v>0</v>
      </c>
      <c r="N496" s="74">
        <f t="shared" si="307"/>
        <v>0</v>
      </c>
      <c r="O496" s="74">
        <f t="shared" si="302"/>
        <v>0</v>
      </c>
      <c r="P496" s="74">
        <f t="shared" si="303"/>
        <v>0</v>
      </c>
      <c r="Q496" s="74">
        <f t="shared" ca="1" si="308"/>
        <v>0</v>
      </c>
      <c r="R496" s="74">
        <f t="shared" ca="1" si="308"/>
        <v>0</v>
      </c>
      <c r="S496" s="74">
        <f t="shared" ca="1" si="308"/>
        <v>0</v>
      </c>
      <c r="T496" s="74">
        <f t="shared" ca="1" si="305"/>
        <v>0</v>
      </c>
      <c r="U496" s="74">
        <f t="shared" ca="1" si="306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3">
        <f t="shared" ref="L497:N497" si="309">L498+L499</f>
        <v>0</v>
      </c>
      <c r="M497" s="74">
        <f t="shared" si="309"/>
        <v>0</v>
      </c>
      <c r="N497" s="74">
        <f t="shared" si="309"/>
        <v>0</v>
      </c>
      <c r="O497" s="74">
        <f t="shared" si="302"/>
        <v>0</v>
      </c>
      <c r="P497" s="74">
        <f t="shared" si="303"/>
        <v>0</v>
      </c>
      <c r="Q497" s="74">
        <f t="shared" ref="Q497:S497" ca="1" si="310">Q498+Q499</f>
        <v>0</v>
      </c>
      <c r="R497" s="74">
        <f t="shared" ca="1" si="310"/>
        <v>0</v>
      </c>
      <c r="S497" s="74">
        <f t="shared" ca="1" si="310"/>
        <v>0</v>
      </c>
      <c r="T497" s="74">
        <f t="shared" ca="1" si="305"/>
        <v>0</v>
      </c>
      <c r="U497" s="74">
        <f t="shared" ca="1" si="306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77">
        <f t="shared" si="302"/>
        <v>0</v>
      </c>
      <c r="P498" s="77">
        <f t="shared" si="303"/>
        <v>0</v>
      </c>
      <c r="Q498" s="77">
        <v>0</v>
      </c>
      <c r="R498" s="77">
        <v>0</v>
      </c>
      <c r="S498" s="77">
        <v>0</v>
      </c>
      <c r="T498" s="77">
        <f t="shared" si="305"/>
        <v>0</v>
      </c>
      <c r="U498" s="77">
        <f t="shared" si="306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74">
        <f t="shared" si="302"/>
        <v>0</v>
      </c>
      <c r="P499" s="74">
        <f t="shared" si="303"/>
        <v>0</v>
      </c>
      <c r="Q499" s="74">
        <f ca="1">IFERROR(__xludf.DUMMYFUNCTION("IMPORTRANGE(""https://docs.google.com/spreadsheets/d/1ItG2mGa2ceCfYo0BwxsXqNm01IGEUdYcSSLTEv9YCik/edit?usp=sharing"",""เบิกจ่ายกองทุน!X73"")"),0)</f>
        <v>0</v>
      </c>
      <c r="R499" s="74">
        <f ca="1">IFERROR(__xludf.DUMMYFUNCTION("IMPORTRANGE(""https://docs.google.com/spreadsheets/d/1ItG2mGa2ceCfYo0BwxsXqNm01IGEUdYcSSLTEv9YCik/edit?usp=sharing"",""เบิกจ่ายกองทุน!Y73"")"),0)</f>
        <v>0</v>
      </c>
      <c r="S499" s="74">
        <f ca="1">IFERROR(__xludf.DUMMYFUNCTION("IMPORTRANGE(""https://docs.google.com/spreadsheets/d/1ItG2mGa2ceCfYo0BwxsXqNm01IGEUdYcSSLTEv9YCik/edit?usp=sharing"",""เบิกจ่ายกองทุน!Z73"")"),0)</f>
        <v>0</v>
      </c>
      <c r="T499" s="74">
        <f t="shared" ca="1" si="305"/>
        <v>0</v>
      </c>
      <c r="U499" s="74">
        <f t="shared" ca="1" si="306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3">
        <f t="shared" ref="L500:N500" si="311">L501+L502</f>
        <v>0</v>
      </c>
      <c r="M500" s="74">
        <f t="shared" si="311"/>
        <v>0</v>
      </c>
      <c r="N500" s="74">
        <f t="shared" si="311"/>
        <v>0</v>
      </c>
      <c r="O500" s="74">
        <f t="shared" si="302"/>
        <v>0</v>
      </c>
      <c r="P500" s="74">
        <f t="shared" si="303"/>
        <v>0</v>
      </c>
      <c r="Q500" s="74">
        <f t="shared" ref="Q500:S500" si="312">Q501+Q502</f>
        <v>0</v>
      </c>
      <c r="R500" s="74">
        <f t="shared" si="312"/>
        <v>0</v>
      </c>
      <c r="S500" s="74">
        <f t="shared" si="312"/>
        <v>0</v>
      </c>
      <c r="T500" s="74">
        <f t="shared" si="305"/>
        <v>0</v>
      </c>
      <c r="U500" s="74">
        <f t="shared" si="306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77">
        <f t="shared" si="302"/>
        <v>0</v>
      </c>
      <c r="P501" s="77">
        <f t="shared" si="303"/>
        <v>0</v>
      </c>
      <c r="Q501" s="77">
        <v>0</v>
      </c>
      <c r="R501" s="77">
        <v>0</v>
      </c>
      <c r="S501" s="77">
        <v>0</v>
      </c>
      <c r="T501" s="77">
        <f t="shared" si="305"/>
        <v>0</v>
      </c>
      <c r="U501" s="77">
        <f t="shared" si="306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74">
        <f t="shared" si="302"/>
        <v>0</v>
      </c>
      <c r="P502" s="74">
        <f t="shared" si="303"/>
        <v>0</v>
      </c>
      <c r="Q502" s="74">
        <v>0</v>
      </c>
      <c r="R502" s="74">
        <v>0</v>
      </c>
      <c r="S502" s="74">
        <v>0</v>
      </c>
      <c r="T502" s="74">
        <f t="shared" si="305"/>
        <v>0</v>
      </c>
      <c r="U502" s="74">
        <f t="shared" si="306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IFERROR(__xludf.DUMMYFUNCTION("IMPORTRANGE(""https://docs.google.com/spreadsheets/d/1eHaY18a8A9IcSdp1K8H6x8fbOy06t2VsZHhMHf-1x7Y/edit?usp=sharing"",""แผน!GX73"")"),0)</f>
        <v>0</v>
      </c>
      <c r="J504" s="622">
        <f ca="1">IF(AND(J505=I505,J506=I506,J507=I507,J508=I508),I504,0)</f>
        <v>0</v>
      </c>
      <c r="K504" s="264">
        <f t="shared" ref="K504:K510" ca="1" si="313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IFERROR(__xludf.DUMMYFUNCTION("IMPORTRANGE(""https://docs.google.com/spreadsheets/d/1eHaY18a8A9IcSdp1K8H6x8fbOy06t2VsZHhMHf-1x7Y/edit?usp=sharing"",""แผน!GY73"")"),0)</f>
        <v>0</v>
      </c>
      <c r="J505" s="294">
        <v>0</v>
      </c>
      <c r="K505" s="74">
        <f t="shared" ca="1" si="313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IFERROR(__xludf.DUMMYFUNCTION("IMPORTRANGE(""https://docs.google.com/spreadsheets/d/1eHaY18a8A9IcSdp1K8H6x8fbOy06t2VsZHhMHf-1x7Y/edit?usp=sharing"",""แผน!GZ73"")"),0)</f>
        <v>0</v>
      </c>
      <c r="J506" s="294">
        <v>0</v>
      </c>
      <c r="K506" s="74">
        <f t="shared" ca="1" si="313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IFERROR(__xludf.DUMMYFUNCTION("IMPORTRANGE(""https://docs.google.com/spreadsheets/d/1eHaY18a8A9IcSdp1K8H6x8fbOy06t2VsZHhMHf-1x7Y/edit?usp=sharing"",""แผน!HA73"")"),0)</f>
        <v>0</v>
      </c>
      <c r="J507" s="294">
        <v>0</v>
      </c>
      <c r="K507" s="74">
        <f t="shared" ca="1" si="313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IFERROR(__xludf.DUMMYFUNCTION("IMPORTRANGE(""https://docs.google.com/spreadsheets/d/1eHaY18a8A9IcSdp1K8H6x8fbOy06t2VsZHhMHf-1x7Y/edit?usp=sharing"",""แผน!HB73"")"),0)</f>
        <v>0</v>
      </c>
      <c r="J508" s="294">
        <v>0</v>
      </c>
      <c r="K508" s="74">
        <f t="shared" ca="1" si="313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3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IFERROR(__xludf.DUMMYFUNCTION("IMPORTRANGE(""https://docs.google.com/spreadsheets/d/1eHaY18a8A9IcSdp1K8H6x8fbOy06t2VsZHhMHf-1x7Y/edit?usp=sharing"",""แผน!HC73"")"),0)</f>
        <v>0</v>
      </c>
      <c r="J510" s="761">
        <v>0</v>
      </c>
      <c r="K510" s="182">
        <f t="shared" ca="1" si="313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9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309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987" t="s">
        <v>61</v>
      </c>
      <c r="I513" s="988">
        <f t="shared" ref="I513:J513" si="314">I525</f>
        <v>0</v>
      </c>
      <c r="J513" s="988">
        <f t="shared" si="314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7">
        <f t="shared" ref="L514:N514" ca="1" si="315">L515+L516</f>
        <v>0</v>
      </c>
      <c r="M514" s="264">
        <f t="shared" ca="1" si="315"/>
        <v>0</v>
      </c>
      <c r="N514" s="264">
        <f t="shared" ca="1" si="315"/>
        <v>0</v>
      </c>
      <c r="O514" s="264">
        <f t="shared" ref="O514:O522" ca="1" si="316">IF(L514&gt;0,N514*100/L514,0)</f>
        <v>0</v>
      </c>
      <c r="P514" s="264">
        <f t="shared" ref="P514:P522" ca="1" si="317">IF(M514&gt;0,N514*100/M514,0)</f>
        <v>0</v>
      </c>
      <c r="Q514" s="264">
        <f t="shared" ref="Q514:S514" si="318">Q515+Q516</f>
        <v>0</v>
      </c>
      <c r="R514" s="264">
        <f t="shared" si="318"/>
        <v>0</v>
      </c>
      <c r="S514" s="264">
        <f t="shared" si="318"/>
        <v>0</v>
      </c>
      <c r="T514" s="264">
        <f t="shared" ref="T514:T522" si="319">IF(Q514&gt;0,S514*100/Q514,0)</f>
        <v>0</v>
      </c>
      <c r="U514" s="264">
        <f t="shared" ref="U514:U522" si="320">IF(R514&gt;0,S514*100/R514,0)</f>
        <v>0</v>
      </c>
    </row>
    <row r="515" spans="1:21" ht="18.75" hidden="1" x14ac:dyDescent="0.25">
      <c r="A515" s="257"/>
      <c r="B515" s="258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6">
        <f t="shared" ref="L515:N516" si="321">L518+L521</f>
        <v>0</v>
      </c>
      <c r="M515" s="77">
        <f t="shared" si="321"/>
        <v>0</v>
      </c>
      <c r="N515" s="77">
        <f t="shared" si="321"/>
        <v>0</v>
      </c>
      <c r="O515" s="77">
        <f t="shared" si="316"/>
        <v>0</v>
      </c>
      <c r="P515" s="77">
        <f t="shared" si="317"/>
        <v>0</v>
      </c>
      <c r="Q515" s="77">
        <f t="shared" ref="Q515:S516" si="322">Q518+Q521</f>
        <v>0</v>
      </c>
      <c r="R515" s="77">
        <f t="shared" si="322"/>
        <v>0</v>
      </c>
      <c r="S515" s="77">
        <f t="shared" si="322"/>
        <v>0</v>
      </c>
      <c r="T515" s="77">
        <f t="shared" si="319"/>
        <v>0</v>
      </c>
      <c r="U515" s="77">
        <f t="shared" si="320"/>
        <v>0</v>
      </c>
    </row>
    <row r="516" spans="1:21" ht="18.75" hidden="1" x14ac:dyDescent="0.25">
      <c r="A516" s="257"/>
      <c r="B516" s="258"/>
      <c r="C516" s="258"/>
      <c r="D516" s="258"/>
      <c r="E516" s="265" t="s">
        <v>21</v>
      </c>
      <c r="F516" s="258"/>
      <c r="G516" s="261"/>
      <c r="H516" s="266" t="s">
        <v>14</v>
      </c>
      <c r="I516" s="263"/>
      <c r="J516" s="263"/>
      <c r="K516" s="87"/>
      <c r="L516" s="73">
        <f t="shared" ca="1" si="321"/>
        <v>0</v>
      </c>
      <c r="M516" s="74">
        <f t="shared" ca="1" si="321"/>
        <v>0</v>
      </c>
      <c r="N516" s="74">
        <f t="shared" ca="1" si="321"/>
        <v>0</v>
      </c>
      <c r="O516" s="74">
        <f t="shared" ca="1" si="316"/>
        <v>0</v>
      </c>
      <c r="P516" s="74">
        <f t="shared" ca="1" si="317"/>
        <v>0</v>
      </c>
      <c r="Q516" s="74">
        <f t="shared" si="322"/>
        <v>0</v>
      </c>
      <c r="R516" s="74">
        <f t="shared" si="322"/>
        <v>0</v>
      </c>
      <c r="S516" s="74">
        <f t="shared" si="322"/>
        <v>0</v>
      </c>
      <c r="T516" s="74">
        <f t="shared" si="319"/>
        <v>0</v>
      </c>
      <c r="U516" s="74">
        <f t="shared" si="320"/>
        <v>0</v>
      </c>
    </row>
    <row r="517" spans="1:21" ht="18.75" hidden="1" x14ac:dyDescent="0.25">
      <c r="A517" s="257"/>
      <c r="B517" s="258"/>
      <c r="C517" s="258"/>
      <c r="D517" s="991" t="s">
        <v>22</v>
      </c>
      <c r="E517" s="258"/>
      <c r="F517" s="258"/>
      <c r="G517" s="261"/>
      <c r="H517" s="273" t="s">
        <v>14</v>
      </c>
      <c r="I517" s="272"/>
      <c r="J517" s="272"/>
      <c r="K517" s="229"/>
      <c r="L517" s="73">
        <f t="shared" ref="L517:N517" ca="1" si="323">L518+L519</f>
        <v>0</v>
      </c>
      <c r="M517" s="74">
        <f t="shared" ca="1" si="323"/>
        <v>0</v>
      </c>
      <c r="N517" s="74">
        <f t="shared" ca="1" si="323"/>
        <v>0</v>
      </c>
      <c r="O517" s="74">
        <f t="shared" ca="1" si="316"/>
        <v>0</v>
      </c>
      <c r="P517" s="74">
        <f t="shared" ca="1" si="317"/>
        <v>0</v>
      </c>
      <c r="Q517" s="74">
        <f t="shared" ref="Q517:S517" si="324">Q518+Q519</f>
        <v>0</v>
      </c>
      <c r="R517" s="74">
        <f t="shared" si="324"/>
        <v>0</v>
      </c>
      <c r="S517" s="74">
        <f t="shared" si="324"/>
        <v>0</v>
      </c>
      <c r="T517" s="74">
        <f t="shared" si="319"/>
        <v>0</v>
      </c>
      <c r="U517" s="74">
        <f t="shared" si="320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77">
        <f t="shared" si="316"/>
        <v>0</v>
      </c>
      <c r="P518" s="77">
        <f t="shared" si="317"/>
        <v>0</v>
      </c>
      <c r="Q518" s="77">
        <v>0</v>
      </c>
      <c r="R518" s="77">
        <v>0</v>
      </c>
      <c r="S518" s="77">
        <v>0</v>
      </c>
      <c r="T518" s="77">
        <f t="shared" si="319"/>
        <v>0</v>
      </c>
      <c r="U518" s="77">
        <f t="shared" si="320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3">
        <f ca="1">IFERROR(__xludf.DUMMYFUNCTION("IMPORTRANGE(""https://docs.google.com/spreadsheets/d/1-uDff_7J0KD5mKrp0Vvzr7lt3OU09vwQwhkpOPPYv2Y/edit?usp=sharing"",""งบพรบ!FM73"")"),0)</f>
        <v>0</v>
      </c>
      <c r="M519" s="74">
        <f ca="1">IFERROR(__xludf.DUMMYFUNCTION("IMPORTRANGE(""https://docs.google.com/spreadsheets/d/1-uDff_7J0KD5mKrp0Vvzr7lt3OU09vwQwhkpOPPYv2Y/edit?usp=sharing"",""งบพรบ!FR73"")"),0)</f>
        <v>0</v>
      </c>
      <c r="N519" s="74">
        <f ca="1">IFERROR(__xludf.DUMMYFUNCTION("IMPORTRANGE(""https://docs.google.com/spreadsheets/d/1-uDff_7J0KD5mKrp0Vvzr7lt3OU09vwQwhkpOPPYv2Y/edit?usp=sharing"",""งบพรบ!FT73"")"),0)</f>
        <v>0</v>
      </c>
      <c r="O519" s="74">
        <f t="shared" ca="1" si="316"/>
        <v>0</v>
      </c>
      <c r="P519" s="74">
        <f t="shared" ca="1" si="317"/>
        <v>0</v>
      </c>
      <c r="Q519" s="74">
        <v>0</v>
      </c>
      <c r="R519" s="74">
        <v>0</v>
      </c>
      <c r="S519" s="74">
        <v>0</v>
      </c>
      <c r="T519" s="74">
        <f t="shared" si="319"/>
        <v>0</v>
      </c>
      <c r="U519" s="74">
        <f t="shared" si="320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3">
        <f t="shared" ref="L520:N520" ca="1" si="325">L521+L522</f>
        <v>0</v>
      </c>
      <c r="M520" s="74">
        <f t="shared" ca="1" si="325"/>
        <v>0</v>
      </c>
      <c r="N520" s="74">
        <f t="shared" ca="1" si="325"/>
        <v>0</v>
      </c>
      <c r="O520" s="74">
        <f t="shared" ca="1" si="316"/>
        <v>0</v>
      </c>
      <c r="P520" s="74">
        <f t="shared" ca="1" si="317"/>
        <v>0</v>
      </c>
      <c r="Q520" s="74">
        <f t="shared" ref="Q520:S520" si="326">Q521+Q522</f>
        <v>0</v>
      </c>
      <c r="R520" s="74">
        <f t="shared" si="326"/>
        <v>0</v>
      </c>
      <c r="S520" s="74">
        <f t="shared" si="326"/>
        <v>0</v>
      </c>
      <c r="T520" s="74">
        <f t="shared" si="319"/>
        <v>0</v>
      </c>
      <c r="U520" s="74">
        <f t="shared" si="320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77">
        <f t="shared" si="316"/>
        <v>0</v>
      </c>
      <c r="P521" s="77">
        <f t="shared" si="317"/>
        <v>0</v>
      </c>
      <c r="Q521" s="77">
        <v>0</v>
      </c>
      <c r="R521" s="77">
        <v>0</v>
      </c>
      <c r="S521" s="77">
        <v>0</v>
      </c>
      <c r="T521" s="77">
        <f t="shared" si="319"/>
        <v>0</v>
      </c>
      <c r="U521" s="77">
        <f t="shared" si="320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3">
        <f ca="1">IFERROR(__xludf.DUMMYFUNCTION("IMPORTRANGE(""https://docs.google.com/spreadsheets/d/1-uDff_7J0KD5mKrp0Vvzr7lt3OU09vwQwhkpOPPYv2Y/edit?usp=sharing"",""งบพรบ!FP73"")"),0)</f>
        <v>0</v>
      </c>
      <c r="M522" s="74">
        <f ca="1">IFERROR(__xludf.DUMMYFUNCTION("IMPORTRANGE(""https://docs.google.com/spreadsheets/d/1-uDff_7J0KD5mKrp0Vvzr7lt3OU09vwQwhkpOPPYv2Y/edit?usp=sharing"",""งบพรบ!FS73"")"),0)</f>
        <v>0</v>
      </c>
      <c r="N522" s="74">
        <f ca="1">IFERROR(__xludf.DUMMYFUNCTION("IMPORTRANGE(""https://docs.google.com/spreadsheets/d/1-uDff_7J0KD5mKrp0Vvzr7lt3OU09vwQwhkpOPPYv2Y/edit?usp=sharing"",""งบพรบ!FU73"")"),0)</f>
        <v>0</v>
      </c>
      <c r="O522" s="74">
        <f t="shared" ca="1" si="316"/>
        <v>0</v>
      </c>
      <c r="P522" s="74">
        <f t="shared" ca="1" si="317"/>
        <v>0</v>
      </c>
      <c r="Q522" s="74">
        <v>0</v>
      </c>
      <c r="R522" s="74">
        <v>0</v>
      </c>
      <c r="S522" s="74">
        <v>0</v>
      </c>
      <c r="T522" s="74">
        <f t="shared" si="319"/>
        <v>0</v>
      </c>
      <c r="U522" s="74">
        <f t="shared" si="320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7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7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8">I546</f>
        <v>0</v>
      </c>
      <c r="J534" s="1002">
        <f t="shared" si="328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1257">
        <f t="shared" ref="L535:N535" si="329">L536+L537</f>
        <v>0</v>
      </c>
      <c r="M535" s="264">
        <f t="shared" si="329"/>
        <v>0</v>
      </c>
      <c r="N535" s="264">
        <f t="shared" si="329"/>
        <v>0</v>
      </c>
      <c r="O535" s="264">
        <f t="shared" ref="O535:O543" si="330">IF(L535&gt;0,N535*100/L535,0)</f>
        <v>0</v>
      </c>
      <c r="P535" s="264">
        <f t="shared" ref="P535:P543" si="331">IF(M535&gt;0,N535*100/M535,0)</f>
        <v>0</v>
      </c>
      <c r="Q535" s="264">
        <f t="shared" ref="Q535:S535" si="332">Q536+Q537</f>
        <v>0</v>
      </c>
      <c r="R535" s="264">
        <f t="shared" si="332"/>
        <v>0</v>
      </c>
      <c r="S535" s="264">
        <f t="shared" si="332"/>
        <v>0</v>
      </c>
      <c r="T535" s="264">
        <f t="shared" ref="T535:T543" si="333">IF(Q535&gt;0,S535*100/Q535,0)</f>
        <v>0</v>
      </c>
      <c r="U535" s="264">
        <f t="shared" ref="U535:U543" si="334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6">
        <f t="shared" ref="L536:N537" si="335">L539+L542</f>
        <v>0</v>
      </c>
      <c r="M536" s="77">
        <f t="shared" si="335"/>
        <v>0</v>
      </c>
      <c r="N536" s="77">
        <f t="shared" si="335"/>
        <v>0</v>
      </c>
      <c r="O536" s="77">
        <f t="shared" si="330"/>
        <v>0</v>
      </c>
      <c r="P536" s="77">
        <f t="shared" si="331"/>
        <v>0</v>
      </c>
      <c r="Q536" s="77">
        <f t="shared" ref="Q536:S537" si="336">Q539+Q542</f>
        <v>0</v>
      </c>
      <c r="R536" s="77">
        <f t="shared" si="336"/>
        <v>0</v>
      </c>
      <c r="S536" s="77">
        <f t="shared" si="336"/>
        <v>0</v>
      </c>
      <c r="T536" s="77">
        <f t="shared" si="333"/>
        <v>0</v>
      </c>
      <c r="U536" s="77">
        <f t="shared" si="334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3">
        <f t="shared" si="335"/>
        <v>0</v>
      </c>
      <c r="M537" s="74">
        <f t="shared" si="335"/>
        <v>0</v>
      </c>
      <c r="N537" s="74">
        <f t="shared" si="335"/>
        <v>0</v>
      </c>
      <c r="O537" s="74">
        <f t="shared" si="330"/>
        <v>0</v>
      </c>
      <c r="P537" s="74">
        <f t="shared" si="331"/>
        <v>0</v>
      </c>
      <c r="Q537" s="74">
        <f t="shared" si="336"/>
        <v>0</v>
      </c>
      <c r="R537" s="74">
        <f t="shared" si="336"/>
        <v>0</v>
      </c>
      <c r="S537" s="74">
        <f t="shared" si="336"/>
        <v>0</v>
      </c>
      <c r="T537" s="74">
        <f t="shared" si="333"/>
        <v>0</v>
      </c>
      <c r="U537" s="74">
        <f t="shared" si="334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3">
        <f t="shared" ref="L538:N538" si="337">L539+L540</f>
        <v>0</v>
      </c>
      <c r="M538" s="74">
        <f t="shared" si="337"/>
        <v>0</v>
      </c>
      <c r="N538" s="74">
        <f t="shared" si="337"/>
        <v>0</v>
      </c>
      <c r="O538" s="74">
        <f t="shared" si="330"/>
        <v>0</v>
      </c>
      <c r="P538" s="74">
        <f t="shared" si="331"/>
        <v>0</v>
      </c>
      <c r="Q538" s="74">
        <f t="shared" ref="Q538:S538" si="338">Q539+Q540</f>
        <v>0</v>
      </c>
      <c r="R538" s="74">
        <f t="shared" si="338"/>
        <v>0</v>
      </c>
      <c r="S538" s="74">
        <f t="shared" si="338"/>
        <v>0</v>
      </c>
      <c r="T538" s="74">
        <f t="shared" si="333"/>
        <v>0</v>
      </c>
      <c r="U538" s="74">
        <f t="shared" si="334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77">
        <f t="shared" si="330"/>
        <v>0</v>
      </c>
      <c r="P539" s="77">
        <f t="shared" si="331"/>
        <v>0</v>
      </c>
      <c r="Q539" s="77">
        <v>0</v>
      </c>
      <c r="R539" s="77">
        <v>0</v>
      </c>
      <c r="S539" s="77">
        <v>0</v>
      </c>
      <c r="T539" s="77">
        <f t="shared" si="333"/>
        <v>0</v>
      </c>
      <c r="U539" s="77">
        <f t="shared" si="334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74">
        <f t="shared" si="330"/>
        <v>0</v>
      </c>
      <c r="P540" s="74">
        <f t="shared" si="331"/>
        <v>0</v>
      </c>
      <c r="Q540" s="74">
        <v>0</v>
      </c>
      <c r="R540" s="74">
        <v>0</v>
      </c>
      <c r="S540" s="74">
        <v>0</v>
      </c>
      <c r="T540" s="74">
        <f t="shared" si="333"/>
        <v>0</v>
      </c>
      <c r="U540" s="74">
        <f t="shared" si="334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3">
        <f t="shared" ref="L541:N541" si="339">L542+L543</f>
        <v>0</v>
      </c>
      <c r="M541" s="74">
        <f t="shared" si="339"/>
        <v>0</v>
      </c>
      <c r="N541" s="74">
        <f t="shared" si="339"/>
        <v>0</v>
      </c>
      <c r="O541" s="74">
        <f t="shared" si="330"/>
        <v>0</v>
      </c>
      <c r="P541" s="74">
        <f t="shared" si="331"/>
        <v>0</v>
      </c>
      <c r="Q541" s="74">
        <f t="shared" ref="Q541:S541" si="340">Q542+Q543</f>
        <v>0</v>
      </c>
      <c r="R541" s="74">
        <f t="shared" si="340"/>
        <v>0</v>
      </c>
      <c r="S541" s="74">
        <f t="shared" si="340"/>
        <v>0</v>
      </c>
      <c r="T541" s="74">
        <f t="shared" si="333"/>
        <v>0</v>
      </c>
      <c r="U541" s="74">
        <f t="shared" si="334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77">
        <f t="shared" si="330"/>
        <v>0</v>
      </c>
      <c r="P542" s="77">
        <f t="shared" si="331"/>
        <v>0</v>
      </c>
      <c r="Q542" s="77">
        <v>0</v>
      </c>
      <c r="R542" s="77">
        <v>0</v>
      </c>
      <c r="S542" s="77">
        <v>0</v>
      </c>
      <c r="T542" s="77">
        <f t="shared" si="333"/>
        <v>0</v>
      </c>
      <c r="U542" s="77">
        <f t="shared" si="334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74">
        <f t="shared" si="330"/>
        <v>0</v>
      </c>
      <c r="P543" s="74">
        <f t="shared" si="331"/>
        <v>0</v>
      </c>
      <c r="Q543" s="74">
        <v>0</v>
      </c>
      <c r="R543" s="74">
        <v>0</v>
      </c>
      <c r="S543" s="74">
        <v>0</v>
      </c>
      <c r="T543" s="74">
        <f t="shared" si="333"/>
        <v>0</v>
      </c>
      <c r="U543" s="74">
        <f t="shared" si="334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1">I567</f>
        <v>0</v>
      </c>
      <c r="J555" s="1002">
        <f t="shared" si="341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1257">
        <f t="shared" ref="L556:N556" si="342">L557+L558</f>
        <v>0</v>
      </c>
      <c r="M556" s="264">
        <f t="shared" si="342"/>
        <v>0</v>
      </c>
      <c r="N556" s="264">
        <f t="shared" si="342"/>
        <v>0</v>
      </c>
      <c r="O556" s="264">
        <f t="shared" ref="O556:O564" si="343">IF(L556&gt;0,N556*100/L556,0)</f>
        <v>0</v>
      </c>
      <c r="P556" s="264">
        <f t="shared" ref="P556:P564" si="344">IF(M556&gt;0,N556*100/M556,0)</f>
        <v>0</v>
      </c>
      <c r="Q556" s="264">
        <f t="shared" ref="Q556:S556" si="345">Q557+Q558</f>
        <v>0</v>
      </c>
      <c r="R556" s="264">
        <f t="shared" si="345"/>
        <v>0</v>
      </c>
      <c r="S556" s="264">
        <f t="shared" si="345"/>
        <v>0</v>
      </c>
      <c r="T556" s="264">
        <f t="shared" ref="T556:T564" si="346">IF(Q556&gt;0,S556*100/Q556,0)</f>
        <v>0</v>
      </c>
      <c r="U556" s="264">
        <f t="shared" ref="U556:U564" si="347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6">
        <f t="shared" ref="L557:N558" si="348">L560+L563</f>
        <v>0</v>
      </c>
      <c r="M557" s="77">
        <f t="shared" si="348"/>
        <v>0</v>
      </c>
      <c r="N557" s="77">
        <f t="shared" si="348"/>
        <v>0</v>
      </c>
      <c r="O557" s="77">
        <f t="shared" si="343"/>
        <v>0</v>
      </c>
      <c r="P557" s="77">
        <f t="shared" si="344"/>
        <v>0</v>
      </c>
      <c r="Q557" s="77">
        <f t="shared" ref="Q557:S558" si="349">Q560+Q563</f>
        <v>0</v>
      </c>
      <c r="R557" s="77">
        <f t="shared" si="349"/>
        <v>0</v>
      </c>
      <c r="S557" s="77">
        <f t="shared" si="349"/>
        <v>0</v>
      </c>
      <c r="T557" s="77">
        <f t="shared" si="346"/>
        <v>0</v>
      </c>
      <c r="U557" s="77">
        <f t="shared" si="347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3">
        <f t="shared" si="348"/>
        <v>0</v>
      </c>
      <c r="M558" s="74">
        <f t="shared" si="348"/>
        <v>0</v>
      </c>
      <c r="N558" s="74">
        <f t="shared" si="348"/>
        <v>0</v>
      </c>
      <c r="O558" s="74">
        <f t="shared" si="343"/>
        <v>0</v>
      </c>
      <c r="P558" s="74">
        <f t="shared" si="344"/>
        <v>0</v>
      </c>
      <c r="Q558" s="74">
        <f t="shared" si="349"/>
        <v>0</v>
      </c>
      <c r="R558" s="74">
        <f t="shared" si="349"/>
        <v>0</v>
      </c>
      <c r="S558" s="74">
        <f t="shared" si="349"/>
        <v>0</v>
      </c>
      <c r="T558" s="74">
        <f t="shared" si="346"/>
        <v>0</v>
      </c>
      <c r="U558" s="74">
        <f t="shared" si="347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3">
        <f t="shared" ref="L559:N559" si="350">L560+L561</f>
        <v>0</v>
      </c>
      <c r="M559" s="74">
        <f t="shared" si="350"/>
        <v>0</v>
      </c>
      <c r="N559" s="74">
        <f t="shared" si="350"/>
        <v>0</v>
      </c>
      <c r="O559" s="74">
        <f t="shared" si="343"/>
        <v>0</v>
      </c>
      <c r="P559" s="74">
        <f t="shared" si="344"/>
        <v>0</v>
      </c>
      <c r="Q559" s="74">
        <f t="shared" ref="Q559:S559" si="351">Q560+Q561</f>
        <v>0</v>
      </c>
      <c r="R559" s="74">
        <f t="shared" si="351"/>
        <v>0</v>
      </c>
      <c r="S559" s="74">
        <f t="shared" si="351"/>
        <v>0</v>
      </c>
      <c r="T559" s="74">
        <f t="shared" si="346"/>
        <v>0</v>
      </c>
      <c r="U559" s="74">
        <f t="shared" si="347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77">
        <f t="shared" si="343"/>
        <v>0</v>
      </c>
      <c r="P560" s="77">
        <f t="shared" si="344"/>
        <v>0</v>
      </c>
      <c r="Q560" s="77">
        <v>0</v>
      </c>
      <c r="R560" s="77">
        <v>0</v>
      </c>
      <c r="S560" s="77">
        <v>0</v>
      </c>
      <c r="T560" s="77">
        <f t="shared" si="346"/>
        <v>0</v>
      </c>
      <c r="U560" s="77">
        <f t="shared" si="347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74">
        <f t="shared" si="343"/>
        <v>0</v>
      </c>
      <c r="P561" s="74">
        <f t="shared" si="344"/>
        <v>0</v>
      </c>
      <c r="Q561" s="74">
        <v>0</v>
      </c>
      <c r="R561" s="74">
        <v>0</v>
      </c>
      <c r="S561" s="74">
        <v>0</v>
      </c>
      <c r="T561" s="74">
        <f t="shared" si="346"/>
        <v>0</v>
      </c>
      <c r="U561" s="74">
        <f t="shared" si="347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3">
        <f t="shared" ref="L562:N562" si="352">L563+L564</f>
        <v>0</v>
      </c>
      <c r="M562" s="74">
        <f t="shared" si="352"/>
        <v>0</v>
      </c>
      <c r="N562" s="74">
        <f t="shared" si="352"/>
        <v>0</v>
      </c>
      <c r="O562" s="74">
        <f t="shared" si="343"/>
        <v>0</v>
      </c>
      <c r="P562" s="74">
        <f t="shared" si="344"/>
        <v>0</v>
      </c>
      <c r="Q562" s="74">
        <f t="shared" ref="Q562:S562" si="353">Q563+Q564</f>
        <v>0</v>
      </c>
      <c r="R562" s="74">
        <f t="shared" si="353"/>
        <v>0</v>
      </c>
      <c r="S562" s="74">
        <f t="shared" si="353"/>
        <v>0</v>
      </c>
      <c r="T562" s="74">
        <f t="shared" si="346"/>
        <v>0</v>
      </c>
      <c r="U562" s="74">
        <f t="shared" si="347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77">
        <f t="shared" si="343"/>
        <v>0</v>
      </c>
      <c r="P563" s="77">
        <f t="shared" si="344"/>
        <v>0</v>
      </c>
      <c r="Q563" s="77">
        <v>0</v>
      </c>
      <c r="R563" s="77">
        <v>0</v>
      </c>
      <c r="S563" s="77">
        <v>0</v>
      </c>
      <c r="T563" s="77">
        <f t="shared" si="346"/>
        <v>0</v>
      </c>
      <c r="U563" s="77">
        <f t="shared" si="347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74">
        <f t="shared" si="343"/>
        <v>0</v>
      </c>
      <c r="P564" s="74">
        <f t="shared" si="344"/>
        <v>0</v>
      </c>
      <c r="Q564" s="74">
        <v>0</v>
      </c>
      <c r="R564" s="74">
        <v>0</v>
      </c>
      <c r="S564" s="74">
        <v>0</v>
      </c>
      <c r="T564" s="74">
        <f t="shared" si="346"/>
        <v>0</v>
      </c>
      <c r="U564" s="74">
        <f t="shared" si="347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4">I588</f>
        <v>0</v>
      </c>
      <c r="J576" s="1002">
        <f t="shared" si="354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1257">
        <f t="shared" ref="L577:N577" si="355">L578+L579</f>
        <v>0</v>
      </c>
      <c r="M577" s="264">
        <f t="shared" si="355"/>
        <v>0</v>
      </c>
      <c r="N577" s="264">
        <f t="shared" si="355"/>
        <v>0</v>
      </c>
      <c r="O577" s="264">
        <f t="shared" ref="O577:O585" si="356">IF(L577&gt;0,N577*100/L577,0)</f>
        <v>0</v>
      </c>
      <c r="P577" s="264">
        <f t="shared" ref="P577:P585" si="357">IF(M577&gt;0,N577*100/M577,0)</f>
        <v>0</v>
      </c>
      <c r="Q577" s="264">
        <f t="shared" ref="Q577:S577" si="358">Q578+Q579</f>
        <v>0</v>
      </c>
      <c r="R577" s="264">
        <f t="shared" si="358"/>
        <v>0</v>
      </c>
      <c r="S577" s="264">
        <f t="shared" si="358"/>
        <v>0</v>
      </c>
      <c r="T577" s="264">
        <f t="shared" ref="T577:T585" si="359">IF(Q577&gt;0,S577*100/Q577,0)</f>
        <v>0</v>
      </c>
      <c r="U577" s="264">
        <f t="shared" ref="U577:U585" si="360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6">
        <f t="shared" ref="L578:N579" si="361">L581+L584</f>
        <v>0</v>
      </c>
      <c r="M578" s="77">
        <f t="shared" si="361"/>
        <v>0</v>
      </c>
      <c r="N578" s="77">
        <f t="shared" si="361"/>
        <v>0</v>
      </c>
      <c r="O578" s="77">
        <f t="shared" si="356"/>
        <v>0</v>
      </c>
      <c r="P578" s="77">
        <f t="shared" si="357"/>
        <v>0</v>
      </c>
      <c r="Q578" s="77">
        <f t="shared" ref="Q578:S579" si="362">Q581+Q584</f>
        <v>0</v>
      </c>
      <c r="R578" s="77">
        <f t="shared" si="362"/>
        <v>0</v>
      </c>
      <c r="S578" s="77">
        <f t="shared" si="362"/>
        <v>0</v>
      </c>
      <c r="T578" s="77">
        <f t="shared" si="359"/>
        <v>0</v>
      </c>
      <c r="U578" s="77">
        <f t="shared" si="360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3">
        <f t="shared" si="361"/>
        <v>0</v>
      </c>
      <c r="M579" s="74">
        <f t="shared" si="361"/>
        <v>0</v>
      </c>
      <c r="N579" s="74">
        <f t="shared" si="361"/>
        <v>0</v>
      </c>
      <c r="O579" s="74">
        <f t="shared" si="356"/>
        <v>0</v>
      </c>
      <c r="P579" s="74">
        <f t="shared" si="357"/>
        <v>0</v>
      </c>
      <c r="Q579" s="74">
        <f t="shared" si="362"/>
        <v>0</v>
      </c>
      <c r="R579" s="74">
        <f t="shared" si="362"/>
        <v>0</v>
      </c>
      <c r="S579" s="74">
        <f t="shared" si="362"/>
        <v>0</v>
      </c>
      <c r="T579" s="74">
        <f t="shared" si="359"/>
        <v>0</v>
      </c>
      <c r="U579" s="74">
        <f t="shared" si="360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3">
        <f t="shared" ref="L580:N580" si="363">L581+L582</f>
        <v>0</v>
      </c>
      <c r="M580" s="74">
        <f t="shared" si="363"/>
        <v>0</v>
      </c>
      <c r="N580" s="74">
        <f t="shared" si="363"/>
        <v>0</v>
      </c>
      <c r="O580" s="74">
        <f t="shared" si="356"/>
        <v>0</v>
      </c>
      <c r="P580" s="74">
        <f t="shared" si="357"/>
        <v>0</v>
      </c>
      <c r="Q580" s="74">
        <f t="shared" ref="Q580:S580" si="364">Q581+Q582</f>
        <v>0</v>
      </c>
      <c r="R580" s="74">
        <f t="shared" si="364"/>
        <v>0</v>
      </c>
      <c r="S580" s="74">
        <f t="shared" si="364"/>
        <v>0</v>
      </c>
      <c r="T580" s="74">
        <f t="shared" si="359"/>
        <v>0</v>
      </c>
      <c r="U580" s="74">
        <f t="shared" si="360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77">
        <f t="shared" si="356"/>
        <v>0</v>
      </c>
      <c r="P581" s="77">
        <f t="shared" si="357"/>
        <v>0</v>
      </c>
      <c r="Q581" s="77">
        <v>0</v>
      </c>
      <c r="R581" s="77">
        <v>0</v>
      </c>
      <c r="S581" s="77">
        <v>0</v>
      </c>
      <c r="T581" s="77">
        <f t="shared" si="359"/>
        <v>0</v>
      </c>
      <c r="U581" s="77">
        <f t="shared" si="360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74">
        <f t="shared" si="356"/>
        <v>0</v>
      </c>
      <c r="P582" s="74">
        <f t="shared" si="357"/>
        <v>0</v>
      </c>
      <c r="Q582" s="74">
        <v>0</v>
      </c>
      <c r="R582" s="74">
        <v>0</v>
      </c>
      <c r="S582" s="74">
        <v>0</v>
      </c>
      <c r="T582" s="74">
        <f t="shared" si="359"/>
        <v>0</v>
      </c>
      <c r="U582" s="74">
        <f t="shared" si="360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3">
        <f t="shared" ref="L583:N583" si="365">L584+L585</f>
        <v>0</v>
      </c>
      <c r="M583" s="74">
        <f t="shared" si="365"/>
        <v>0</v>
      </c>
      <c r="N583" s="74">
        <f t="shared" si="365"/>
        <v>0</v>
      </c>
      <c r="O583" s="74">
        <f t="shared" si="356"/>
        <v>0</v>
      </c>
      <c r="P583" s="74">
        <f t="shared" si="357"/>
        <v>0</v>
      </c>
      <c r="Q583" s="74">
        <f t="shared" ref="Q583:S583" si="366">Q584+Q585</f>
        <v>0</v>
      </c>
      <c r="R583" s="74">
        <f t="shared" si="366"/>
        <v>0</v>
      </c>
      <c r="S583" s="74">
        <f t="shared" si="366"/>
        <v>0</v>
      </c>
      <c r="T583" s="74">
        <f t="shared" si="359"/>
        <v>0</v>
      </c>
      <c r="U583" s="74">
        <f t="shared" si="360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77">
        <f t="shared" si="356"/>
        <v>0</v>
      </c>
      <c r="P584" s="77">
        <f t="shared" si="357"/>
        <v>0</v>
      </c>
      <c r="Q584" s="77">
        <v>0</v>
      </c>
      <c r="R584" s="77">
        <v>0</v>
      </c>
      <c r="S584" s="77">
        <v>0</v>
      </c>
      <c r="T584" s="77">
        <f t="shared" si="359"/>
        <v>0</v>
      </c>
      <c r="U584" s="77">
        <f t="shared" si="360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74">
        <f t="shared" si="356"/>
        <v>0</v>
      </c>
      <c r="P585" s="74">
        <f t="shared" si="357"/>
        <v>0</v>
      </c>
      <c r="Q585" s="74">
        <v>0</v>
      </c>
      <c r="R585" s="74">
        <v>0</v>
      </c>
      <c r="S585" s="74">
        <v>0</v>
      </c>
      <c r="T585" s="74">
        <f t="shared" si="359"/>
        <v>0</v>
      </c>
      <c r="U585" s="74">
        <f t="shared" si="360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1257">
        <f t="shared" ref="L600:N600" si="367">L601+L602</f>
        <v>0</v>
      </c>
      <c r="M600" s="264">
        <f t="shared" si="367"/>
        <v>0</v>
      </c>
      <c r="N600" s="264">
        <f t="shared" si="367"/>
        <v>0</v>
      </c>
      <c r="O600" s="264">
        <f t="shared" ref="O600:O608" si="368">IF(L600&gt;0,N600*100/L600,0)</f>
        <v>0</v>
      </c>
      <c r="P600" s="264">
        <f t="shared" ref="P600:P608" si="369">IF(M600&gt;0,N600*100/M600,0)</f>
        <v>0</v>
      </c>
      <c r="Q600" s="264">
        <f t="shared" ref="Q600:S600" si="370">Q601+Q602</f>
        <v>0</v>
      </c>
      <c r="R600" s="264">
        <f t="shared" si="370"/>
        <v>0</v>
      </c>
      <c r="S600" s="264">
        <f t="shared" si="370"/>
        <v>0</v>
      </c>
      <c r="T600" s="264">
        <f t="shared" ref="T600:T608" si="371">IF(Q600&gt;0,S600*100/Q600,0)</f>
        <v>0</v>
      </c>
      <c r="U600" s="264">
        <f t="shared" ref="U600:U608" si="372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6">
        <f t="shared" ref="L601:N602" si="373">L604+L607</f>
        <v>0</v>
      </c>
      <c r="M601" s="77">
        <f t="shared" si="373"/>
        <v>0</v>
      </c>
      <c r="N601" s="77">
        <f t="shared" si="373"/>
        <v>0</v>
      </c>
      <c r="O601" s="77">
        <f t="shared" si="368"/>
        <v>0</v>
      </c>
      <c r="P601" s="77">
        <f t="shared" si="369"/>
        <v>0</v>
      </c>
      <c r="Q601" s="77">
        <f t="shared" ref="Q601:S602" si="374">Q604+Q607</f>
        <v>0</v>
      </c>
      <c r="R601" s="77">
        <f t="shared" si="374"/>
        <v>0</v>
      </c>
      <c r="S601" s="77">
        <f t="shared" si="374"/>
        <v>0</v>
      </c>
      <c r="T601" s="77">
        <f t="shared" si="371"/>
        <v>0</v>
      </c>
      <c r="U601" s="77">
        <f t="shared" si="372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3">
        <f t="shared" si="373"/>
        <v>0</v>
      </c>
      <c r="M602" s="74">
        <f t="shared" si="373"/>
        <v>0</v>
      </c>
      <c r="N602" s="74">
        <f t="shared" si="373"/>
        <v>0</v>
      </c>
      <c r="O602" s="74">
        <f t="shared" si="368"/>
        <v>0</v>
      </c>
      <c r="P602" s="74">
        <f t="shared" si="369"/>
        <v>0</v>
      </c>
      <c r="Q602" s="74">
        <f t="shared" si="374"/>
        <v>0</v>
      </c>
      <c r="R602" s="74">
        <f t="shared" si="374"/>
        <v>0</v>
      </c>
      <c r="S602" s="74">
        <f t="shared" si="374"/>
        <v>0</v>
      </c>
      <c r="T602" s="74">
        <f t="shared" si="371"/>
        <v>0</v>
      </c>
      <c r="U602" s="74">
        <f t="shared" si="372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3">
        <f t="shared" ref="L603:N603" si="375">L604+L605</f>
        <v>0</v>
      </c>
      <c r="M603" s="74">
        <f t="shared" si="375"/>
        <v>0</v>
      </c>
      <c r="N603" s="74">
        <f t="shared" si="375"/>
        <v>0</v>
      </c>
      <c r="O603" s="74">
        <f t="shared" si="368"/>
        <v>0</v>
      </c>
      <c r="P603" s="74">
        <f t="shared" si="369"/>
        <v>0</v>
      </c>
      <c r="Q603" s="74">
        <f t="shared" ref="Q603:S603" si="376">Q604+Q605</f>
        <v>0</v>
      </c>
      <c r="R603" s="74">
        <f t="shared" si="376"/>
        <v>0</v>
      </c>
      <c r="S603" s="74">
        <f t="shared" si="376"/>
        <v>0</v>
      </c>
      <c r="T603" s="74">
        <f t="shared" si="371"/>
        <v>0</v>
      </c>
      <c r="U603" s="74">
        <f t="shared" si="372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77">
        <f t="shared" si="368"/>
        <v>0</v>
      </c>
      <c r="P604" s="77">
        <f t="shared" si="369"/>
        <v>0</v>
      </c>
      <c r="Q604" s="77">
        <v>0</v>
      </c>
      <c r="R604" s="77">
        <v>0</v>
      </c>
      <c r="S604" s="77">
        <v>0</v>
      </c>
      <c r="T604" s="77">
        <f t="shared" si="371"/>
        <v>0</v>
      </c>
      <c r="U604" s="77">
        <f t="shared" si="372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74">
        <f t="shared" si="368"/>
        <v>0</v>
      </c>
      <c r="P605" s="74">
        <f t="shared" si="369"/>
        <v>0</v>
      </c>
      <c r="Q605" s="74">
        <v>0</v>
      </c>
      <c r="R605" s="74">
        <v>0</v>
      </c>
      <c r="S605" s="74">
        <v>0</v>
      </c>
      <c r="T605" s="74">
        <f t="shared" si="371"/>
        <v>0</v>
      </c>
      <c r="U605" s="74">
        <f t="shared" si="372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3">
        <f t="shared" ref="L606:N606" si="377">L607+L608</f>
        <v>0</v>
      </c>
      <c r="M606" s="74">
        <f t="shared" si="377"/>
        <v>0</v>
      </c>
      <c r="N606" s="74">
        <f t="shared" si="377"/>
        <v>0</v>
      </c>
      <c r="O606" s="74">
        <f t="shared" si="368"/>
        <v>0</v>
      </c>
      <c r="P606" s="74">
        <f t="shared" si="369"/>
        <v>0</v>
      </c>
      <c r="Q606" s="74">
        <f t="shared" ref="Q606:S606" si="378">Q607+Q608</f>
        <v>0</v>
      </c>
      <c r="R606" s="74">
        <f t="shared" si="378"/>
        <v>0</v>
      </c>
      <c r="S606" s="74">
        <f t="shared" si="378"/>
        <v>0</v>
      </c>
      <c r="T606" s="74">
        <f t="shared" si="371"/>
        <v>0</v>
      </c>
      <c r="U606" s="74">
        <f t="shared" si="372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77">
        <f t="shared" si="368"/>
        <v>0</v>
      </c>
      <c r="P607" s="77">
        <f t="shared" si="369"/>
        <v>0</v>
      </c>
      <c r="Q607" s="77">
        <v>0</v>
      </c>
      <c r="R607" s="77">
        <v>0</v>
      </c>
      <c r="S607" s="77">
        <v>0</v>
      </c>
      <c r="T607" s="77">
        <f t="shared" si="371"/>
        <v>0</v>
      </c>
      <c r="U607" s="77">
        <f t="shared" si="372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74">
        <f t="shared" si="368"/>
        <v>0</v>
      </c>
      <c r="P608" s="74">
        <f t="shared" si="369"/>
        <v>0</v>
      </c>
      <c r="Q608" s="74">
        <v>0</v>
      </c>
      <c r="R608" s="74">
        <v>0</v>
      </c>
      <c r="S608" s="74">
        <v>0</v>
      </c>
      <c r="T608" s="74">
        <f t="shared" si="371"/>
        <v>0</v>
      </c>
      <c r="U608" s="74">
        <f t="shared" si="372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740">
        <f t="shared" ref="I616:J616" ca="1" si="379">I627</f>
        <v>30</v>
      </c>
      <c r="J616" s="740">
        <f t="shared" si="379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1257">
        <f t="shared" ref="L617:N617" si="380">L618+L619</f>
        <v>0</v>
      </c>
      <c r="M617" s="264">
        <f t="shared" si="380"/>
        <v>0</v>
      </c>
      <c r="N617" s="264">
        <f t="shared" si="380"/>
        <v>0</v>
      </c>
      <c r="O617" s="264">
        <f t="shared" ref="O617:O625" si="381">IF(L617&gt;0,N617*100/L617,0)</f>
        <v>0</v>
      </c>
      <c r="P617" s="264">
        <f t="shared" ref="P617:P625" si="382">IF(M617&gt;0,N617*100/M617,0)</f>
        <v>0</v>
      </c>
      <c r="Q617" s="264">
        <f t="shared" ref="Q617:S617" ca="1" si="383">Q618+Q619</f>
        <v>4675</v>
      </c>
      <c r="R617" s="264">
        <f t="shared" ca="1" si="383"/>
        <v>4675</v>
      </c>
      <c r="S617" s="264">
        <f t="shared" ca="1" si="383"/>
        <v>0</v>
      </c>
      <c r="T617" s="264">
        <f t="shared" ref="T617:T625" ca="1" si="384">IF(Q617&gt;0,S617*100/Q617,0)</f>
        <v>0</v>
      </c>
      <c r="U617" s="264">
        <f t="shared" ref="U617:U625" ca="1" si="385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6">
        <f t="shared" ref="L618:N619" si="386">L621+L624</f>
        <v>0</v>
      </c>
      <c r="M618" s="77">
        <f t="shared" si="386"/>
        <v>0</v>
      </c>
      <c r="N618" s="77">
        <f t="shared" si="386"/>
        <v>0</v>
      </c>
      <c r="O618" s="77">
        <f t="shared" si="381"/>
        <v>0</v>
      </c>
      <c r="P618" s="77">
        <f t="shared" si="382"/>
        <v>0</v>
      </c>
      <c r="Q618" s="77">
        <f t="shared" ref="Q618:S619" si="387">Q621+Q624</f>
        <v>0</v>
      </c>
      <c r="R618" s="77">
        <f t="shared" si="387"/>
        <v>0</v>
      </c>
      <c r="S618" s="77">
        <f t="shared" si="387"/>
        <v>0</v>
      </c>
      <c r="T618" s="77">
        <f t="shared" si="384"/>
        <v>0</v>
      </c>
      <c r="U618" s="77">
        <f t="shared" si="385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3">
        <f t="shared" si="386"/>
        <v>0</v>
      </c>
      <c r="M619" s="74">
        <f t="shared" si="386"/>
        <v>0</v>
      </c>
      <c r="N619" s="74">
        <f t="shared" si="386"/>
        <v>0</v>
      </c>
      <c r="O619" s="74">
        <f t="shared" si="381"/>
        <v>0</v>
      </c>
      <c r="P619" s="74">
        <f t="shared" si="382"/>
        <v>0</v>
      </c>
      <c r="Q619" s="74">
        <f t="shared" ca="1" si="387"/>
        <v>4675</v>
      </c>
      <c r="R619" s="74">
        <f t="shared" ca="1" si="387"/>
        <v>4675</v>
      </c>
      <c r="S619" s="74">
        <f t="shared" ca="1" si="387"/>
        <v>0</v>
      </c>
      <c r="T619" s="74">
        <f t="shared" ca="1" si="384"/>
        <v>0</v>
      </c>
      <c r="U619" s="74">
        <f t="shared" ca="1" si="385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3">
        <f t="shared" ref="L620:N620" si="388">L621+L622</f>
        <v>0</v>
      </c>
      <c r="M620" s="74">
        <f t="shared" si="388"/>
        <v>0</v>
      </c>
      <c r="N620" s="74">
        <f t="shared" si="388"/>
        <v>0</v>
      </c>
      <c r="O620" s="74">
        <f t="shared" si="381"/>
        <v>0</v>
      </c>
      <c r="P620" s="74">
        <f t="shared" si="382"/>
        <v>0</v>
      </c>
      <c r="Q620" s="74">
        <f t="shared" ref="Q620:S620" ca="1" si="389">Q621+Q622</f>
        <v>4675</v>
      </c>
      <c r="R620" s="74">
        <f t="shared" ca="1" si="389"/>
        <v>4675</v>
      </c>
      <c r="S620" s="74">
        <f t="shared" ca="1" si="389"/>
        <v>0</v>
      </c>
      <c r="T620" s="74">
        <f t="shared" ca="1" si="384"/>
        <v>0</v>
      </c>
      <c r="U620" s="74">
        <f t="shared" ca="1" si="385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77">
        <f t="shared" si="381"/>
        <v>0</v>
      </c>
      <c r="P621" s="77">
        <f t="shared" si="382"/>
        <v>0</v>
      </c>
      <c r="Q621" s="77">
        <v>0</v>
      </c>
      <c r="R621" s="77">
        <v>0</v>
      </c>
      <c r="S621" s="77">
        <v>0</v>
      </c>
      <c r="T621" s="77">
        <f t="shared" si="384"/>
        <v>0</v>
      </c>
      <c r="U621" s="77">
        <f t="shared" si="385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74">
        <f t="shared" si="381"/>
        <v>0</v>
      </c>
      <c r="P622" s="74">
        <f t="shared" si="382"/>
        <v>0</v>
      </c>
      <c r="Q622" s="74">
        <f ca="1">IFERROR(__xludf.DUMMYFUNCTION("IMPORTRANGE(""https://docs.google.com/spreadsheets/d/1ItG2mGa2ceCfYo0BwxsXqNm01IGEUdYcSSLTEv9YCik/edit?usp=sharing"",""เบิกจ่ายกองทุน!F73"")"),4675)</f>
        <v>4675</v>
      </c>
      <c r="R622" s="74">
        <f ca="1">IFERROR(__xludf.DUMMYFUNCTION("IMPORTRANGE(""https://docs.google.com/spreadsheets/d/1ItG2mGa2ceCfYo0BwxsXqNm01IGEUdYcSSLTEv9YCik/edit?usp=sharing"",""เบิกจ่ายกองทุน!G73"")"),4675)</f>
        <v>4675</v>
      </c>
      <c r="S622" s="74">
        <f ca="1">IFERROR(__xludf.DUMMYFUNCTION("IMPORTRANGE(""https://docs.google.com/spreadsheets/d/1ItG2mGa2ceCfYo0BwxsXqNm01IGEUdYcSSLTEv9YCik/edit?usp=sharing"",""เบิกจ่ายกองทุน!H73"")"),0)</f>
        <v>0</v>
      </c>
      <c r="T622" s="74">
        <f t="shared" ca="1" si="384"/>
        <v>0</v>
      </c>
      <c r="U622" s="74">
        <f t="shared" ca="1" si="385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3">
        <f t="shared" ref="L623:N623" si="390">L624+L625</f>
        <v>0</v>
      </c>
      <c r="M623" s="74">
        <f t="shared" si="390"/>
        <v>0</v>
      </c>
      <c r="N623" s="74">
        <f t="shared" si="390"/>
        <v>0</v>
      </c>
      <c r="O623" s="74">
        <f t="shared" si="381"/>
        <v>0</v>
      </c>
      <c r="P623" s="74">
        <f t="shared" si="382"/>
        <v>0</v>
      </c>
      <c r="Q623" s="74">
        <f t="shared" ref="Q623:S623" si="391">Q624+Q625</f>
        <v>0</v>
      </c>
      <c r="R623" s="74">
        <f t="shared" si="391"/>
        <v>0</v>
      </c>
      <c r="S623" s="74">
        <f t="shared" si="391"/>
        <v>0</v>
      </c>
      <c r="T623" s="74">
        <f t="shared" si="384"/>
        <v>0</v>
      </c>
      <c r="U623" s="74">
        <f t="shared" si="385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77">
        <f t="shared" si="381"/>
        <v>0</v>
      </c>
      <c r="P624" s="77">
        <f t="shared" si="382"/>
        <v>0</v>
      </c>
      <c r="Q624" s="77">
        <v>0</v>
      </c>
      <c r="R624" s="77">
        <v>0</v>
      </c>
      <c r="S624" s="77">
        <v>0</v>
      </c>
      <c r="T624" s="77">
        <f t="shared" si="384"/>
        <v>0</v>
      </c>
      <c r="U624" s="77">
        <f t="shared" si="385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74">
        <f t="shared" si="381"/>
        <v>0</v>
      </c>
      <c r="P625" s="74">
        <f t="shared" si="382"/>
        <v>0</v>
      </c>
      <c r="Q625" s="74">
        <v>0</v>
      </c>
      <c r="R625" s="74">
        <v>0</v>
      </c>
      <c r="S625" s="74">
        <v>0</v>
      </c>
      <c r="T625" s="74">
        <f t="shared" si="384"/>
        <v>0</v>
      </c>
      <c r="U625" s="74">
        <f t="shared" si="385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IFERROR(__xludf.DUMMYFUNCTION("IMPORTRANGE(""https://docs.google.com/spreadsheets/d/1eHaY18a8A9IcSdp1K8H6x8fbOy06t2VsZHhMHf-1x7Y/edit?usp=sharing"",""แผน!ID73"")"),30)</f>
        <v>30</v>
      </c>
      <c r="J627" s="622">
        <f>J633</f>
        <v>0</v>
      </c>
      <c r="K627" s="26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IFERROR(__xludf.DUMMYFUNCTION("IMPORTRANGE(""https://docs.google.com/spreadsheets/d/1eHaY18a8A9IcSdp1K8H6x8fbOy06t2VsZHhMHf-1x7Y/edit?usp=sharing"",""แผน!IC73"")"),0)</f>
        <v>0</v>
      </c>
      <c r="J628" s="294">
        <v>0</v>
      </c>
      <c r="K628" s="74">
        <f t="shared" ref="K628:K629" ca="1" si="392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IFERROR(__xludf.DUMMYFUNCTION("IMPORTRANGE(""https://docs.google.com/spreadsheets/d/1eHaY18a8A9IcSdp1K8H6x8fbOy06t2VsZHhMHf-1x7Y/edit?usp=sharing"",""แผน!IC73"")"),0)</f>
        <v>0</v>
      </c>
      <c r="J629" s="294">
        <v>0</v>
      </c>
      <c r="K629" s="74">
        <f t="shared" ca="1" si="392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60</v>
      </c>
      <c r="K630" s="74">
        <f t="shared" ref="K630:K632" ca="1" si="393">IF(I$627&gt;0,J630*100/I$627,0)</f>
        <v>200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t="shared" ca="1" si="393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t="shared" ca="1" si="393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IFERROR(__xludf.DUMMYFUNCTION("IMPORTRANGE(""https://docs.google.com/spreadsheets/d/1eHaY18a8A9IcSdp1K8H6x8fbOy06t2VsZHhMHf-1x7Y/edit?usp=sharing"",""แผน!IE73"")"),0)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1257">
        <f t="shared" ref="L643:N643" si="394">L644+L645</f>
        <v>0</v>
      </c>
      <c r="M643" s="264">
        <f t="shared" si="394"/>
        <v>0</v>
      </c>
      <c r="N643" s="264">
        <f t="shared" si="394"/>
        <v>0</v>
      </c>
      <c r="O643" s="264">
        <f t="shared" ref="O643:O651" si="395">IF(L643&gt;0,N643*100/L643,0)</f>
        <v>0</v>
      </c>
      <c r="P643" s="264">
        <f t="shared" ref="P643:P651" si="396">IF(M643&gt;0,N643*100/M643,0)</f>
        <v>0</v>
      </c>
      <c r="Q643" s="264">
        <f t="shared" ref="Q643:S643" ca="1" si="397">Q644+Q645</f>
        <v>15160</v>
      </c>
      <c r="R643" s="264">
        <f t="shared" ca="1" si="397"/>
        <v>15160</v>
      </c>
      <c r="S643" s="264">
        <f t="shared" ca="1" si="397"/>
        <v>0</v>
      </c>
      <c r="T643" s="264">
        <f t="shared" ref="T643:T651" ca="1" si="398">IF(Q643&gt;0,S643*100/Q643,0)</f>
        <v>0</v>
      </c>
      <c r="U643" s="264">
        <f t="shared" ref="U643:U651" ca="1" si="399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6">
        <f t="shared" ref="L644:N645" si="400">L647+L650</f>
        <v>0</v>
      </c>
      <c r="M644" s="77">
        <f t="shared" si="400"/>
        <v>0</v>
      </c>
      <c r="N644" s="77">
        <f t="shared" si="400"/>
        <v>0</v>
      </c>
      <c r="O644" s="77">
        <f t="shared" si="395"/>
        <v>0</v>
      </c>
      <c r="P644" s="77">
        <f t="shared" si="396"/>
        <v>0</v>
      </c>
      <c r="Q644" s="77">
        <f t="shared" ref="Q644:S645" si="401">Q647+Q650</f>
        <v>0</v>
      </c>
      <c r="R644" s="77">
        <f t="shared" si="401"/>
        <v>0</v>
      </c>
      <c r="S644" s="77">
        <f t="shared" si="401"/>
        <v>0</v>
      </c>
      <c r="T644" s="77">
        <f t="shared" si="398"/>
        <v>0</v>
      </c>
      <c r="U644" s="77">
        <f t="shared" si="399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3">
        <f t="shared" si="400"/>
        <v>0</v>
      </c>
      <c r="M645" s="74">
        <f t="shared" si="400"/>
        <v>0</v>
      </c>
      <c r="N645" s="74">
        <f t="shared" si="400"/>
        <v>0</v>
      </c>
      <c r="O645" s="74">
        <f t="shared" si="395"/>
        <v>0</v>
      </c>
      <c r="P645" s="74">
        <f t="shared" si="396"/>
        <v>0</v>
      </c>
      <c r="Q645" s="74">
        <f t="shared" ca="1" si="401"/>
        <v>15160</v>
      </c>
      <c r="R645" s="74">
        <f t="shared" ca="1" si="401"/>
        <v>15160</v>
      </c>
      <c r="S645" s="74">
        <f t="shared" ca="1" si="401"/>
        <v>0</v>
      </c>
      <c r="T645" s="74">
        <f t="shared" ca="1" si="398"/>
        <v>0</v>
      </c>
      <c r="U645" s="74">
        <f t="shared" ca="1" si="399"/>
        <v>0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3">
        <f t="shared" ref="L646:N646" si="402">L647+L648</f>
        <v>0</v>
      </c>
      <c r="M646" s="74">
        <f t="shared" si="402"/>
        <v>0</v>
      </c>
      <c r="N646" s="74">
        <f t="shared" si="402"/>
        <v>0</v>
      </c>
      <c r="O646" s="74">
        <f t="shared" si="395"/>
        <v>0</v>
      </c>
      <c r="P646" s="74">
        <f t="shared" si="396"/>
        <v>0</v>
      </c>
      <c r="Q646" s="74">
        <f t="shared" ref="Q646:S646" ca="1" si="403">Q647+Q648</f>
        <v>15160</v>
      </c>
      <c r="R646" s="74">
        <f t="shared" ca="1" si="403"/>
        <v>15160</v>
      </c>
      <c r="S646" s="74">
        <f t="shared" ca="1" si="403"/>
        <v>0</v>
      </c>
      <c r="T646" s="74">
        <f t="shared" ca="1" si="398"/>
        <v>0</v>
      </c>
      <c r="U646" s="74">
        <f t="shared" ca="1" si="399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77">
        <f t="shared" si="395"/>
        <v>0</v>
      </c>
      <c r="P647" s="77">
        <f t="shared" si="396"/>
        <v>0</v>
      </c>
      <c r="Q647" s="77">
        <v>0</v>
      </c>
      <c r="R647" s="77">
        <v>0</v>
      </c>
      <c r="S647" s="77">
        <v>0</v>
      </c>
      <c r="T647" s="77">
        <f t="shared" si="398"/>
        <v>0</v>
      </c>
      <c r="U647" s="77">
        <f t="shared" si="399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74">
        <f t="shared" si="395"/>
        <v>0</v>
      </c>
      <c r="P648" s="74">
        <f t="shared" si="396"/>
        <v>0</v>
      </c>
      <c r="Q648" s="74">
        <f ca="1">IFERROR(__xludf.DUMMYFUNCTION("IMPORTRANGE(""https://docs.google.com/spreadsheets/d/1ItG2mGa2ceCfYo0BwxsXqNm01IGEUdYcSSLTEv9YCik/edit?usp=sharing"",""เบิกจ่ายกองทุน!I73"")"),15160)</f>
        <v>15160</v>
      </c>
      <c r="R648" s="74">
        <f ca="1">IFERROR(__xludf.DUMMYFUNCTION("IMPORTRANGE(""https://docs.google.com/spreadsheets/d/1ItG2mGa2ceCfYo0BwxsXqNm01IGEUdYcSSLTEv9YCik/edit?usp=sharing"",""เบิกจ่ายกองทุน!J73"")"),15160)</f>
        <v>15160</v>
      </c>
      <c r="S648" s="74">
        <f ca="1">IFERROR(__xludf.DUMMYFUNCTION("IMPORTRANGE(""https://docs.google.com/spreadsheets/d/1ItG2mGa2ceCfYo0BwxsXqNm01IGEUdYcSSLTEv9YCik/edit?usp=sharing"",""เบิกจ่ายกองทุน!K73"")"),0)</f>
        <v>0</v>
      </c>
      <c r="T648" s="74">
        <f t="shared" ca="1" si="398"/>
        <v>0</v>
      </c>
      <c r="U648" s="74">
        <f t="shared" ca="1" si="399"/>
        <v>0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3">
        <f t="shared" ref="L649:N649" si="404">L650+L651</f>
        <v>0</v>
      </c>
      <c r="M649" s="74">
        <f t="shared" si="404"/>
        <v>0</v>
      </c>
      <c r="N649" s="74">
        <f t="shared" si="404"/>
        <v>0</v>
      </c>
      <c r="O649" s="74">
        <f t="shared" si="395"/>
        <v>0</v>
      </c>
      <c r="P649" s="74">
        <f t="shared" si="396"/>
        <v>0</v>
      </c>
      <c r="Q649" s="74">
        <f t="shared" ref="Q649:S649" si="405">Q650+Q651</f>
        <v>0</v>
      </c>
      <c r="R649" s="74">
        <f t="shared" si="405"/>
        <v>0</v>
      </c>
      <c r="S649" s="74">
        <f t="shared" si="405"/>
        <v>0</v>
      </c>
      <c r="T649" s="74">
        <f t="shared" si="398"/>
        <v>0</v>
      </c>
      <c r="U649" s="74">
        <f t="shared" si="399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77">
        <f t="shared" si="395"/>
        <v>0</v>
      </c>
      <c r="P650" s="77">
        <f t="shared" si="396"/>
        <v>0</v>
      </c>
      <c r="Q650" s="77">
        <v>0</v>
      </c>
      <c r="R650" s="77">
        <v>0</v>
      </c>
      <c r="S650" s="77">
        <v>0</v>
      </c>
      <c r="T650" s="77">
        <f t="shared" si="398"/>
        <v>0</v>
      </c>
      <c r="U650" s="77">
        <f t="shared" si="399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74">
        <f t="shared" si="395"/>
        <v>0</v>
      </c>
      <c r="P651" s="74">
        <f t="shared" si="396"/>
        <v>0</v>
      </c>
      <c r="Q651" s="74">
        <v>0</v>
      </c>
      <c r="R651" s="74">
        <v>0</v>
      </c>
      <c r="S651" s="74">
        <v>0</v>
      </c>
      <c r="T651" s="74">
        <f t="shared" si="398"/>
        <v>0</v>
      </c>
      <c r="U651" s="74">
        <f t="shared" si="399"/>
        <v>0</v>
      </c>
    </row>
    <row r="652" spans="1:21" ht="19.5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IFERROR(__xludf.DUMMYFUNCTION("IMPORTRANGE(""https://docs.google.com/spreadsheets/d/1eHaY18a8A9IcSdp1K8H6x8fbOy06t2VsZHhMHf-1x7Y/edit?usp=sharing"",""แผน!IF73"")"),0)</f>
        <v>0</v>
      </c>
      <c r="J653" s="293">
        <f ca="1">IFERROR(__xludf.DUMMYFUNCTION("IMPORTRANGE(""https://docs.google.com/spreadsheets/d/1tdoBKaGub7dwA3U6UFTqxio9LNnvDCQjHKmttSEBsFQ/edit?usp=sharing"",""จัดที่ดิน!AU73"")"),0)</f>
        <v>0</v>
      </c>
      <c r="K653" s="74">
        <f t="shared" ref="K653:K655" ca="1" si="406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IFERROR(__xludf.DUMMYFUNCTION("IMPORTRANGE(""https://docs.google.com/spreadsheets/d/1eHaY18a8A9IcSdp1K8H6x8fbOy06t2VsZHhMHf-1x7Y/edit?usp=sharing"",""แผน!IG73"")"),41)</f>
        <v>41</v>
      </c>
      <c r="J654" s="293">
        <f ca="1">IFERROR(__xludf.DUMMYFUNCTION("IMPORTRANGE(""https://docs.google.com/spreadsheets/d/1tdoBKaGub7dwA3U6UFTqxio9LNnvDCQjHKmttSEBsFQ/edit?usp=sharing"",""จัดที่ดิน!AW73"")"),0)</f>
        <v>0</v>
      </c>
      <c r="K654" s="74">
        <f t="shared" ca="1" si="406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hidden="1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IFERROR(__xludf.DUMMYFUNCTION("IMPORTRANGE(""https://docs.google.com/spreadsheets/d/1eHaY18a8A9IcSdp1K8H6x8fbOy06t2VsZHhMHf-1x7Y/edit?usp=sharing"",""แผน!IH73"")"),0)</f>
        <v>0</v>
      </c>
      <c r="J655" s="622">
        <f>J658+J661</f>
        <v>0</v>
      </c>
      <c r="K655" s="264">
        <f t="shared" ca="1" si="406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hidden="1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hidden="1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hidden="1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IFERROR(__xludf.DUMMYFUNCTION("IMPORTRANGE(""https://docs.google.com/spreadsheets/d/1eHaY18a8A9IcSdp1K8H6x8fbOy06t2VsZHhMHf-1x7Y/edit?usp=sharing"",""แผน!II73"")"),0)</f>
        <v>0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hidden="1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hidden="1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hidden="1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IFERROR(__xludf.DUMMYFUNCTION("IMPORTRANGE(""https://docs.google.com/spreadsheets/d/1eHaY18a8A9IcSdp1K8H6x8fbOy06t2VsZHhMHf-1x7Y/edit?usp=sharing"",""แผน!IJ73"")"),0)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IFERROR(__xludf.DUMMYFUNCTION("IMPORTRANGE(""https://docs.google.com/spreadsheets/d/1eHaY18a8A9IcSdp1K8H6x8fbOy06t2VsZHhMHf-1x7Y/edit?usp=sharing"",""แผน!IK73"")"),228)</f>
        <v>228</v>
      </c>
      <c r="J662" s="622">
        <f>J668+J671</f>
        <v>0</v>
      </c>
      <c r="K662" s="264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hidden="1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IFERROR(__xludf.DUMMYFUNCTION("IMPORTRANGE(""https://docs.google.com/spreadsheets/d/1tdoBKaGub7dwA3U6UFTqxio9LNnvDCQjHKmttSEBsFQ/edit?usp=sharing"",""จัดที่ดิน!AY73"")"),0)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hidden="1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IFERROR(__xludf.DUMMYFUNCTION("IMPORTRANGE(""https://docs.google.com/spreadsheets/d/1tdoBKaGub7dwA3U6UFTqxio9LNnvDCQjHKmttSEBsFQ/edit?usp=sharing"",""จัดที่ดิน!AZ73"")"),0)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hidden="1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IFERROR(__xludf.DUMMYFUNCTION("IMPORTRANGE(""https://docs.google.com/spreadsheets/d/1eHaY18a8A9IcSdp1K8H6x8fbOy06t2VsZHhMHf-1x7Y/edit?usp=sharing"",""แผน!IL73"")"),0)</f>
        <v>0</v>
      </c>
      <c r="J674" s="293">
        <f ca="1">IFERROR(__xludf.DUMMYFUNCTION("IMPORTRANGE(""https://docs.google.com/spreadsheets/d/1tdoBKaGub7dwA3U6UFTqxio9LNnvDCQjHKmttSEBsFQ/edit?usp=sharing"",""จัดที่ดิน!BA73"")"),0)</f>
        <v>0</v>
      </c>
      <c r="K674" s="74">
        <f t="shared" ref="K674:K677" ca="1" si="407">IF(I674&gt;0,J674*100/I674,0)</f>
        <v>0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IFERROR(__xludf.DUMMYFUNCTION("IMPORTRANGE(""https://docs.google.com/spreadsheets/d/1eHaY18a8A9IcSdp1K8H6x8fbOy06t2VsZHhMHf-1x7Y/edit?usp=sharing"",""แผน!IM73"")"),1)</f>
        <v>1</v>
      </c>
      <c r="J675" s="622">
        <f ca="1">J677+J680</f>
        <v>0</v>
      </c>
      <c r="K675" s="264">
        <f t="shared" ca="1" si="407"/>
        <v>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IFERROR(__xludf.DUMMYFUNCTION("IMPORTRANGE(""https://docs.google.com/spreadsheets/d/1eHaY18a8A9IcSdp1K8H6x8fbOy06t2VsZHhMHf-1x7Y/edit?usp=sharing"",""แผน!IN73"")"),6)</f>
        <v>6</v>
      </c>
      <c r="J676" s="622">
        <f ca="1">J679+J682</f>
        <v>0</v>
      </c>
      <c r="K676" s="264">
        <f t="shared" ca="1" si="407"/>
        <v>0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IFERROR(__xludf.DUMMYFUNCTION("IMPORTRANGE(""https://docs.google.com/spreadsheets/d/1eHaY18a8A9IcSdp1K8H6x8fbOy06t2VsZHhMHf-1x7Y/edit?usp=sharing"",""แผน!IO73"")"),1)</f>
        <v>1</v>
      </c>
      <c r="J677" s="293">
        <f ca="1">IFERROR(__xludf.DUMMYFUNCTION("IMPORTRANGE(""https://docs.google.com/spreadsheets/d/1tdoBKaGub7dwA3U6UFTqxio9LNnvDCQjHKmttSEBsFQ/edit?usp=sharing"",""จัดที่ดิน!BF73"")"),0)</f>
        <v>0</v>
      </c>
      <c r="K677" s="74">
        <f t="shared" ca="1" si="407"/>
        <v>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IFERROR(__xludf.DUMMYFUNCTION("IMPORTRANGE(""https://docs.google.com/spreadsheets/d/1tdoBKaGub7dwA3U6UFTqxio9LNnvDCQjHKmttSEBsFQ/edit?usp=sharing"",""จัดที่ดิน!BG73"")"),0)</f>
        <v>0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IFERROR(__xludf.DUMMYFUNCTION("IMPORTRANGE(""https://docs.google.com/spreadsheets/d/1eHaY18a8A9IcSdp1K8H6x8fbOy06t2VsZHhMHf-1x7Y/edit?usp=sharing"",""แผน!IP73"")"),6)</f>
        <v>6</v>
      </c>
      <c r="J679" s="293">
        <f ca="1">IFERROR(__xludf.DUMMYFUNCTION("IMPORTRANGE(""https://docs.google.com/spreadsheets/d/1tdoBKaGub7dwA3U6UFTqxio9LNnvDCQjHKmttSEBsFQ/edit?usp=sharing"",""จัดที่ดิน!BH73"")"),0)</f>
        <v>0</v>
      </c>
      <c r="K679" s="74">
        <f t="shared" ref="K679:K680" ca="1" si="408">IF(I679&gt;0,J679*100/I679,0)</f>
        <v>0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IFERROR(__xludf.DUMMYFUNCTION("IMPORTRANGE(""https://docs.google.com/spreadsheets/d/1eHaY18a8A9IcSdp1K8H6x8fbOy06t2VsZHhMHf-1x7Y/edit?usp=sharing"",""แผน!IQ73"")"),0)</f>
        <v>0</v>
      </c>
      <c r="J680" s="293">
        <f ca="1">IFERROR(__xludf.DUMMYFUNCTION("IMPORTRANGE(""https://docs.google.com/spreadsheets/d/1tdoBKaGub7dwA3U6UFTqxio9LNnvDCQjHKmttSEBsFQ/edit?usp=sharing"",""จัดที่ดิน!BK73"")"),0)</f>
        <v>0</v>
      </c>
      <c r="K680" s="74">
        <f t="shared" ca="1" si="408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IFERROR(__xludf.DUMMYFUNCTION("IMPORTRANGE(""https://docs.google.com/spreadsheets/d/1tdoBKaGub7dwA3U6UFTqxio9LNnvDCQjHKmttSEBsFQ/edit?usp=sharing"",""จัดที่ดิน!BL73"")"),0)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IFERROR(__xludf.DUMMYFUNCTION("IMPORTRANGE(""https://docs.google.com/spreadsheets/d/1eHaY18a8A9IcSdp1K8H6x8fbOy06t2VsZHhMHf-1x7Y/edit?usp=sharing"",""แผน!IR73"")"),0)</f>
        <v>0</v>
      </c>
      <c r="J682" s="293">
        <f ca="1">IFERROR(__xludf.DUMMYFUNCTION("IMPORTRANGE(""https://docs.google.com/spreadsheets/d/1tdoBKaGub7dwA3U6UFTqxio9LNnvDCQjHKmttSEBsFQ/edit?usp=sharing"",""จัดที่ดิน!BM73"")"),0)</f>
        <v>0</v>
      </c>
      <c r="K682" s="74">
        <f t="shared" ref="K682:K683" ca="1" si="409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hidden="1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IFERROR(__xludf.DUMMYFUNCTION("IMPORTRANGE(""https://docs.google.com/spreadsheets/d/1eHaY18a8A9IcSdp1K8H6x8fbOy06t2VsZHhMHf-1x7Y/edit?usp=sharing"",""แผน!IS73"")"),0)</f>
        <v>0</v>
      </c>
      <c r="J683" s="622">
        <f>J686+J689</f>
        <v>0</v>
      </c>
      <c r="K683" s="264">
        <f t="shared" ca="1" si="409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hidden="1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hidden="1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hidden="1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hidden="1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hidden="1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hidden="1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hidden="1" x14ac:dyDescent="0.3">
      <c r="A690" s="727"/>
      <c r="B690" s="728" t="s">
        <v>255</v>
      </c>
      <c r="C690" s="727"/>
      <c r="D690" s="729"/>
      <c r="E690" s="729"/>
      <c r="F690" s="729"/>
      <c r="G690" s="730"/>
      <c r="H690" s="764" t="s">
        <v>35</v>
      </c>
      <c r="I690" s="765">
        <f t="shared" ref="I690:J690" ca="1" si="410">I708</f>
        <v>0</v>
      </c>
      <c r="J690" s="765">
        <f t="shared" ca="1" si="410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hidden="1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1257">
        <f t="shared" ref="L691:N691" si="411">L692+L693</f>
        <v>0</v>
      </c>
      <c r="M691" s="264">
        <f t="shared" si="411"/>
        <v>0</v>
      </c>
      <c r="N691" s="264">
        <f t="shared" si="411"/>
        <v>0</v>
      </c>
      <c r="O691" s="264">
        <f t="shared" ref="O691:O699" si="412">IF(L691&gt;0,N691*100/L691,0)</f>
        <v>0</v>
      </c>
      <c r="P691" s="264">
        <f t="shared" ref="P691:P699" si="413">IF(M691&gt;0,N691*100/M691,0)</f>
        <v>0</v>
      </c>
      <c r="Q691" s="264">
        <f t="shared" ref="Q691:S691" ca="1" si="414">Q692+Q693</f>
        <v>0</v>
      </c>
      <c r="R691" s="264">
        <f t="shared" ca="1" si="414"/>
        <v>0</v>
      </c>
      <c r="S691" s="264">
        <f t="shared" ca="1" si="414"/>
        <v>0</v>
      </c>
      <c r="T691" s="264">
        <f t="shared" ref="T691:T699" ca="1" si="415">IF(Q691&gt;0,S691*100/Q691,0)</f>
        <v>0</v>
      </c>
      <c r="U691" s="264">
        <f t="shared" ref="U691:U699" ca="1" si="416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6">
        <f t="shared" ref="L692:N693" si="417">L695+L698</f>
        <v>0</v>
      </c>
      <c r="M692" s="77">
        <f t="shared" si="417"/>
        <v>0</v>
      </c>
      <c r="N692" s="77">
        <f t="shared" si="417"/>
        <v>0</v>
      </c>
      <c r="O692" s="77">
        <f t="shared" si="412"/>
        <v>0</v>
      </c>
      <c r="P692" s="77">
        <f t="shared" si="413"/>
        <v>0</v>
      </c>
      <c r="Q692" s="77">
        <f t="shared" ref="Q692:S693" si="418">Q695+Q698</f>
        <v>0</v>
      </c>
      <c r="R692" s="77">
        <f t="shared" si="418"/>
        <v>0</v>
      </c>
      <c r="S692" s="77">
        <f t="shared" si="418"/>
        <v>0</v>
      </c>
      <c r="T692" s="77">
        <f t="shared" si="415"/>
        <v>0</v>
      </c>
      <c r="U692" s="77">
        <f t="shared" si="416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3">
        <f t="shared" si="417"/>
        <v>0</v>
      </c>
      <c r="M693" s="74">
        <f t="shared" si="417"/>
        <v>0</v>
      </c>
      <c r="N693" s="74">
        <f t="shared" si="417"/>
        <v>0</v>
      </c>
      <c r="O693" s="74">
        <f t="shared" si="412"/>
        <v>0</v>
      </c>
      <c r="P693" s="74">
        <f t="shared" si="413"/>
        <v>0</v>
      </c>
      <c r="Q693" s="74">
        <f t="shared" ca="1" si="418"/>
        <v>0</v>
      </c>
      <c r="R693" s="74">
        <f t="shared" ca="1" si="418"/>
        <v>0</v>
      </c>
      <c r="S693" s="74">
        <f t="shared" ca="1" si="418"/>
        <v>0</v>
      </c>
      <c r="T693" s="74">
        <f t="shared" ca="1" si="415"/>
        <v>0</v>
      </c>
      <c r="U693" s="74">
        <f t="shared" ca="1" si="416"/>
        <v>0</v>
      </c>
    </row>
    <row r="694" spans="1:21" ht="18.75" hidden="1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3">
        <f t="shared" ref="L694:N694" si="419">L695+L696</f>
        <v>0</v>
      </c>
      <c r="M694" s="74">
        <f t="shared" si="419"/>
        <v>0</v>
      </c>
      <c r="N694" s="74">
        <f t="shared" si="419"/>
        <v>0</v>
      </c>
      <c r="O694" s="74">
        <f t="shared" si="412"/>
        <v>0</v>
      </c>
      <c r="P694" s="74">
        <f t="shared" si="413"/>
        <v>0</v>
      </c>
      <c r="Q694" s="74">
        <f t="shared" ref="Q694:S694" ca="1" si="420">Q695+Q696</f>
        <v>0</v>
      </c>
      <c r="R694" s="74">
        <f t="shared" ca="1" si="420"/>
        <v>0</v>
      </c>
      <c r="S694" s="74">
        <f t="shared" ca="1" si="420"/>
        <v>0</v>
      </c>
      <c r="T694" s="74">
        <f t="shared" ca="1" si="415"/>
        <v>0</v>
      </c>
      <c r="U694" s="74">
        <f t="shared" ca="1" si="416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77">
        <f t="shared" si="412"/>
        <v>0</v>
      </c>
      <c r="P695" s="77">
        <f t="shared" si="413"/>
        <v>0</v>
      </c>
      <c r="Q695" s="77">
        <v>0</v>
      </c>
      <c r="R695" s="77">
        <v>0</v>
      </c>
      <c r="S695" s="77">
        <v>0</v>
      </c>
      <c r="T695" s="77">
        <f t="shared" si="415"/>
        <v>0</v>
      </c>
      <c r="U695" s="77">
        <f t="shared" si="416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74">
        <f t="shared" si="412"/>
        <v>0</v>
      </c>
      <c r="P696" s="74">
        <f t="shared" si="413"/>
        <v>0</v>
      </c>
      <c r="Q696" s="74">
        <f ca="1">IFERROR(__xludf.DUMMYFUNCTION("IMPORTRANGE(""https://docs.google.com/spreadsheets/d/1ItG2mGa2ceCfYo0BwxsXqNm01IGEUdYcSSLTEv9YCik/edit?usp=sharing"",""เบิกจ่ายกองทุน!L73"")"),0)</f>
        <v>0</v>
      </c>
      <c r="R696" s="74">
        <f ca="1">IFERROR(__xludf.DUMMYFUNCTION("IMPORTRANGE(""https://docs.google.com/spreadsheets/d/1ItG2mGa2ceCfYo0BwxsXqNm01IGEUdYcSSLTEv9YCik/edit?usp=sharing"",""เบิกจ่ายกองทุน!M73"")"),0)</f>
        <v>0</v>
      </c>
      <c r="S696" s="74">
        <f ca="1">IFERROR(__xludf.DUMMYFUNCTION("IMPORTRANGE(""https://docs.google.com/spreadsheets/d/1ItG2mGa2ceCfYo0BwxsXqNm01IGEUdYcSSLTEv9YCik/edit?usp=sharing"",""เบิกจ่ายกองทุน!N73"")"),0)</f>
        <v>0</v>
      </c>
      <c r="T696" s="74">
        <f t="shared" ca="1" si="415"/>
        <v>0</v>
      </c>
      <c r="U696" s="74">
        <f t="shared" ca="1" si="416"/>
        <v>0</v>
      </c>
    </row>
    <row r="697" spans="1:21" ht="18.75" hidden="1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3">
        <f t="shared" ref="L697:N697" si="421">L698+L699</f>
        <v>0</v>
      </c>
      <c r="M697" s="74">
        <f t="shared" si="421"/>
        <v>0</v>
      </c>
      <c r="N697" s="74">
        <f t="shared" si="421"/>
        <v>0</v>
      </c>
      <c r="O697" s="74">
        <f t="shared" si="412"/>
        <v>0</v>
      </c>
      <c r="P697" s="74">
        <f t="shared" si="413"/>
        <v>0</v>
      </c>
      <c r="Q697" s="74">
        <f t="shared" ref="Q697:S697" si="422">Q698+Q699</f>
        <v>0</v>
      </c>
      <c r="R697" s="74">
        <f t="shared" si="422"/>
        <v>0</v>
      </c>
      <c r="S697" s="74">
        <f t="shared" si="422"/>
        <v>0</v>
      </c>
      <c r="T697" s="74">
        <f t="shared" si="415"/>
        <v>0</v>
      </c>
      <c r="U697" s="74">
        <f t="shared" si="416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77">
        <f t="shared" si="412"/>
        <v>0</v>
      </c>
      <c r="P698" s="77">
        <f t="shared" si="413"/>
        <v>0</v>
      </c>
      <c r="Q698" s="77">
        <v>0</v>
      </c>
      <c r="R698" s="77">
        <v>0</v>
      </c>
      <c r="S698" s="77">
        <v>0</v>
      </c>
      <c r="T698" s="77">
        <f t="shared" si="415"/>
        <v>0</v>
      </c>
      <c r="U698" s="77">
        <f t="shared" si="416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74">
        <f t="shared" si="412"/>
        <v>0</v>
      </c>
      <c r="P699" s="74">
        <f t="shared" si="413"/>
        <v>0</v>
      </c>
      <c r="Q699" s="74">
        <v>0</v>
      </c>
      <c r="R699" s="74">
        <v>0</v>
      </c>
      <c r="S699" s="74">
        <v>0</v>
      </c>
      <c r="T699" s="74">
        <f t="shared" si="415"/>
        <v>0</v>
      </c>
      <c r="U699" s="74">
        <f t="shared" si="416"/>
        <v>0</v>
      </c>
    </row>
    <row r="700" spans="1:21" ht="19.5" hidden="1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hidden="1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IFERROR(__xludf.DUMMYFUNCTION("IMPORTRANGE(""https://docs.google.com/spreadsheets/d/1eHaY18a8A9IcSdp1K8H6x8fbOy06t2VsZHhMHf-1x7Y/edit?usp=sharing"",""แผน!LC73"")"),0)</f>
        <v>0</v>
      </c>
      <c r="J701" s="294">
        <v>0</v>
      </c>
      <c r="K701" s="768">
        <f t="shared" ref="K701:K711" ca="1" si="423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hidden="1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t="shared" ref="I702:J702" ca="1" si="424">I704+I706</f>
        <v>0</v>
      </c>
      <c r="J702" s="622">
        <f t="shared" ca="1" si="424"/>
        <v>0</v>
      </c>
      <c r="K702" s="264">
        <f t="shared" ca="1" si="423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hidden="1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0</v>
      </c>
      <c r="K703" s="264">
        <f t="shared" si="423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hidden="1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IFERROR(__xludf.DUMMYFUNCTION("IMPORTRANGE(""https://docs.google.com/spreadsheets/d/1eHaY18a8A9IcSdp1K8H6x8fbOy06t2VsZHhMHf-1x7Y/edit?usp=sharing"",""แผน!LJ73"")"),0)</f>
        <v>0</v>
      </c>
      <c r="J704" s="293">
        <f ca="1">IFERROR(__xludf.DUMMYFUNCTION("IMPORTRANGE(""https://docs.google.com/spreadsheets/d/1tdoBKaGub7dwA3U6UFTqxio9LNnvDCQjHKmttSEBsFQ/edit?usp=sharing"",""จัดที่ดิน!AP73"")"),0)</f>
        <v>0</v>
      </c>
      <c r="K704" s="74">
        <f t="shared" ca="1" si="423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hidden="1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IFERROR(__xludf.DUMMYFUNCTION("IMPORTRANGE(""https://docs.google.com/spreadsheets/d/1tdoBKaGub7dwA3U6UFTqxio9LNnvDCQjHKmttSEBsFQ/edit?usp=sharing"",""จัดที่ดิน!AQ73"")"),0)</f>
        <v>0</v>
      </c>
      <c r="K705" s="74">
        <f t="shared" si="423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hidden="1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IFERROR(__xludf.DUMMYFUNCTION("IMPORTRANGE(""https://docs.google.com/spreadsheets/d/1eHaY18a8A9IcSdp1K8H6x8fbOy06t2VsZHhMHf-1x7Y/edit?usp=sharing"",""แผน!LK73"")"),0)</f>
        <v>0</v>
      </c>
      <c r="J706" s="293">
        <f ca="1">IFERROR(__xludf.DUMMYFUNCTION("IMPORTRANGE(""https://docs.google.com/spreadsheets/d/1tdoBKaGub7dwA3U6UFTqxio9LNnvDCQjHKmttSEBsFQ/edit?usp=sharing"",""จัดที่ดิน!AR73"")"),0)</f>
        <v>0</v>
      </c>
      <c r="K706" s="768">
        <f t="shared" ca="1" si="423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hidden="1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IFERROR(__xludf.DUMMYFUNCTION("IMPORTRANGE(""https://docs.google.com/spreadsheets/d/1tdoBKaGub7dwA3U6UFTqxio9LNnvDCQjHKmttSEBsFQ/edit?usp=sharing"",""จัดที่ดิน!AS73"")"),0)</f>
        <v>0</v>
      </c>
      <c r="K707" s="74">
        <f t="shared" si="423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hidden="1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IFERROR(__xludf.DUMMYFUNCTION("IMPORTRANGE(""https://docs.google.com/spreadsheets/d/1eHaY18a8A9IcSdp1K8H6x8fbOy06t2VsZHhMHf-1x7Y/edit?usp=sharing"",""แผน!LJ73"")"),0)</f>
        <v>0</v>
      </c>
      <c r="J708" s="293">
        <f ca="1">IFERROR(__xludf.DUMMYFUNCTION("IMPORTRANGE(""https://docs.google.com/spreadsheets/d/1tdoBKaGub7dwA3U6UFTqxio9LNnvDCQjHKmttSEBsFQ/edit?usp=sharing"",""จัดที่ดิน!BN73"")"),0)</f>
        <v>0</v>
      </c>
      <c r="K708" s="74">
        <f t="shared" ca="1" si="423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hidden="1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IFERROR(__xludf.DUMMYFUNCTION("IMPORTRANGE(""https://docs.google.com/spreadsheets/d/1tdoBKaGub7dwA3U6UFTqxio9LNnvDCQjHKmttSEBsFQ/edit?usp=sharing"",""จัดที่ดิน!BO73"")"),0)</f>
        <v>0</v>
      </c>
      <c r="K709" s="74">
        <f t="shared" si="423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hidden="1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IFERROR(__xludf.DUMMYFUNCTION("IMPORTRANGE(""https://docs.google.com/spreadsheets/d/1eHaY18a8A9IcSdp1K8H6x8fbOy06t2VsZHhMHf-1x7Y/edit?usp=sharing"",""แผน!LK73"")"),0)</f>
        <v>0</v>
      </c>
      <c r="J710" s="293">
        <f ca="1">IFERROR(__xludf.DUMMYFUNCTION("IMPORTRANGE(""https://docs.google.com/spreadsheets/d/1tdoBKaGub7dwA3U6UFTqxio9LNnvDCQjHKmttSEBsFQ/edit?usp=sharing"",""จัดที่ดิน!BP73"")"),0)</f>
        <v>0</v>
      </c>
      <c r="K710" s="74">
        <f t="shared" ca="1" si="423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hidden="1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IFERROR(__xludf.DUMMYFUNCTION("IMPORTRANGE(""https://docs.google.com/spreadsheets/d/1tdoBKaGub7dwA3U6UFTqxio9LNnvDCQjHKmttSEBsFQ/edit?usp=sharing"",""จัดที่ดิน!BQ73"")"),0)</f>
        <v>0</v>
      </c>
      <c r="K711" s="74">
        <f t="shared" si="423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1257">
        <f t="shared" ref="L715:N715" si="425">L716+L717</f>
        <v>0</v>
      </c>
      <c r="M715" s="264">
        <f t="shared" si="425"/>
        <v>0</v>
      </c>
      <c r="N715" s="264">
        <f t="shared" si="425"/>
        <v>0</v>
      </c>
      <c r="O715" s="264">
        <f t="shared" ref="O715:O723" si="426">IF(L715&gt;0,N715*100/L715,0)</f>
        <v>0</v>
      </c>
      <c r="P715" s="264">
        <f t="shared" ref="P715:P723" si="427">IF(M715&gt;0,N715*100/M715,0)</f>
        <v>0</v>
      </c>
      <c r="Q715" s="264">
        <f t="shared" ref="Q715:S715" si="428">Q716+Q717</f>
        <v>0</v>
      </c>
      <c r="R715" s="264">
        <f t="shared" si="428"/>
        <v>0</v>
      </c>
      <c r="S715" s="264">
        <f t="shared" si="428"/>
        <v>0</v>
      </c>
      <c r="T715" s="264">
        <f t="shared" ref="T715:T723" si="429">IF(Q715&gt;0,S715*100/Q715,0)</f>
        <v>0</v>
      </c>
      <c r="U715" s="264">
        <f t="shared" ref="U715:U723" si="430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6">
        <f t="shared" ref="L716:N717" si="431">L719+L722</f>
        <v>0</v>
      </c>
      <c r="M716" s="77">
        <f t="shared" si="431"/>
        <v>0</v>
      </c>
      <c r="N716" s="77">
        <f t="shared" si="431"/>
        <v>0</v>
      </c>
      <c r="O716" s="77">
        <f t="shared" si="426"/>
        <v>0</v>
      </c>
      <c r="P716" s="77">
        <f t="shared" si="427"/>
        <v>0</v>
      </c>
      <c r="Q716" s="77">
        <f t="shared" ref="Q716:S717" si="432">Q719+Q722</f>
        <v>0</v>
      </c>
      <c r="R716" s="77">
        <f t="shared" si="432"/>
        <v>0</v>
      </c>
      <c r="S716" s="77">
        <f t="shared" si="432"/>
        <v>0</v>
      </c>
      <c r="T716" s="77">
        <f t="shared" si="429"/>
        <v>0</v>
      </c>
      <c r="U716" s="77">
        <f t="shared" si="430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3">
        <f t="shared" si="431"/>
        <v>0</v>
      </c>
      <c r="M717" s="74">
        <f t="shared" si="431"/>
        <v>0</v>
      </c>
      <c r="N717" s="74">
        <f t="shared" si="431"/>
        <v>0</v>
      </c>
      <c r="O717" s="74">
        <f t="shared" si="426"/>
        <v>0</v>
      </c>
      <c r="P717" s="74">
        <f t="shared" si="427"/>
        <v>0</v>
      </c>
      <c r="Q717" s="74">
        <f t="shared" si="432"/>
        <v>0</v>
      </c>
      <c r="R717" s="74">
        <f t="shared" si="432"/>
        <v>0</v>
      </c>
      <c r="S717" s="74">
        <f t="shared" si="432"/>
        <v>0</v>
      </c>
      <c r="T717" s="74">
        <f t="shared" si="429"/>
        <v>0</v>
      </c>
      <c r="U717" s="74">
        <f t="shared" si="430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3">
        <f t="shared" ref="L718:N718" si="433">L719+L720</f>
        <v>0</v>
      </c>
      <c r="M718" s="74">
        <f t="shared" si="433"/>
        <v>0</v>
      </c>
      <c r="N718" s="74">
        <f t="shared" si="433"/>
        <v>0</v>
      </c>
      <c r="O718" s="74">
        <f t="shared" si="426"/>
        <v>0</v>
      </c>
      <c r="P718" s="74">
        <f t="shared" si="427"/>
        <v>0</v>
      </c>
      <c r="Q718" s="74">
        <f t="shared" ref="Q718:S718" si="434">Q719+Q720</f>
        <v>0</v>
      </c>
      <c r="R718" s="74">
        <f t="shared" si="434"/>
        <v>0</v>
      </c>
      <c r="S718" s="74">
        <f t="shared" si="434"/>
        <v>0</v>
      </c>
      <c r="T718" s="74">
        <f t="shared" si="429"/>
        <v>0</v>
      </c>
      <c r="U718" s="74">
        <f t="shared" si="430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77">
        <f t="shared" si="426"/>
        <v>0</v>
      </c>
      <c r="P719" s="77">
        <f t="shared" si="427"/>
        <v>0</v>
      </c>
      <c r="Q719" s="77">
        <v>0</v>
      </c>
      <c r="R719" s="77">
        <v>0</v>
      </c>
      <c r="S719" s="77">
        <v>0</v>
      </c>
      <c r="T719" s="77">
        <f t="shared" si="429"/>
        <v>0</v>
      </c>
      <c r="U719" s="77">
        <f t="shared" si="430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74">
        <f t="shared" si="426"/>
        <v>0</v>
      </c>
      <c r="P720" s="74">
        <f t="shared" si="427"/>
        <v>0</v>
      </c>
      <c r="Q720" s="74">
        <v>0</v>
      </c>
      <c r="R720" s="74">
        <v>0</v>
      </c>
      <c r="S720" s="74">
        <v>0</v>
      </c>
      <c r="T720" s="74">
        <f t="shared" si="429"/>
        <v>0</v>
      </c>
      <c r="U720" s="74">
        <f t="shared" si="430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3">
        <f t="shared" ref="L721:N721" si="435">L722+L723</f>
        <v>0</v>
      </c>
      <c r="M721" s="74">
        <f t="shared" si="435"/>
        <v>0</v>
      </c>
      <c r="N721" s="74">
        <f t="shared" si="435"/>
        <v>0</v>
      </c>
      <c r="O721" s="74">
        <f t="shared" si="426"/>
        <v>0</v>
      </c>
      <c r="P721" s="74">
        <f t="shared" si="427"/>
        <v>0</v>
      </c>
      <c r="Q721" s="74">
        <f t="shared" ref="Q721:S721" si="436">Q722+Q723</f>
        <v>0</v>
      </c>
      <c r="R721" s="74">
        <f t="shared" si="436"/>
        <v>0</v>
      </c>
      <c r="S721" s="74">
        <f t="shared" si="436"/>
        <v>0</v>
      </c>
      <c r="T721" s="74">
        <f t="shared" si="429"/>
        <v>0</v>
      </c>
      <c r="U721" s="74">
        <f t="shared" si="430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77">
        <f t="shared" si="426"/>
        <v>0</v>
      </c>
      <c r="P722" s="77">
        <f t="shared" si="427"/>
        <v>0</v>
      </c>
      <c r="Q722" s="77">
        <v>0</v>
      </c>
      <c r="R722" s="77">
        <v>0</v>
      </c>
      <c r="S722" s="77">
        <v>0</v>
      </c>
      <c r="T722" s="77">
        <f t="shared" si="429"/>
        <v>0</v>
      </c>
      <c r="U722" s="77">
        <f t="shared" si="430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74">
        <f t="shared" si="426"/>
        <v>0</v>
      </c>
      <c r="P723" s="74">
        <f t="shared" si="427"/>
        <v>0</v>
      </c>
      <c r="Q723" s="74">
        <v>0</v>
      </c>
      <c r="R723" s="74">
        <v>0</v>
      </c>
      <c r="S723" s="74">
        <v>0</v>
      </c>
      <c r="T723" s="74">
        <f t="shared" si="429"/>
        <v>0</v>
      </c>
      <c r="U723" s="74">
        <f t="shared" si="430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hidden="1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IFERROR(__xludf.DUMMYFUNCTION("IMPORTRANGE(""https://docs.google.com/spreadsheets/d/1eHaY18a8A9IcSdp1K8H6x8fbOy06t2VsZHhMHf-1x7Y/edit?usp=sharing"",""แผน!FZ73"")"),0)</f>
        <v>0</v>
      </c>
      <c r="J727" s="781">
        <f>J743+J747+J750</f>
        <v>0</v>
      </c>
      <c r="K727" s="766">
        <f t="shared" ref="K727:K728" ca="1" si="437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hidden="1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IFERROR(__xludf.DUMMYFUNCTION("IMPORTRANGE(""https://docs.google.com/spreadsheets/d/1eHaY18a8A9IcSdp1K8H6x8fbOy06t2VsZHhMHf-1x7Y/edit?usp=sharing"",""แผน!GA73"")"),0)</f>
        <v>0</v>
      </c>
      <c r="J728" s="781">
        <f>J753+J756</f>
        <v>0</v>
      </c>
      <c r="K728" s="766">
        <f t="shared" ca="1" si="437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hidden="1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1257">
        <f t="shared" ref="L729:N729" si="438">L730+L731</f>
        <v>0</v>
      </c>
      <c r="M729" s="264">
        <f t="shared" si="438"/>
        <v>0</v>
      </c>
      <c r="N729" s="264">
        <f t="shared" si="438"/>
        <v>0</v>
      </c>
      <c r="O729" s="264">
        <f t="shared" ref="O729:O737" si="439">IF(L729&gt;0,N729*100/L729,0)</f>
        <v>0</v>
      </c>
      <c r="P729" s="264">
        <f t="shared" ref="P729:P737" si="440">IF(M729&gt;0,N729*100/M729,0)</f>
        <v>0</v>
      </c>
      <c r="Q729" s="264">
        <f t="shared" ref="Q729:S729" ca="1" si="441">Q730+Q731</f>
        <v>0</v>
      </c>
      <c r="R729" s="264">
        <f t="shared" ca="1" si="441"/>
        <v>0</v>
      </c>
      <c r="S729" s="264">
        <f t="shared" ca="1" si="441"/>
        <v>0</v>
      </c>
      <c r="T729" s="264">
        <f t="shared" ref="T729:T737" ca="1" si="442">IF(Q729&gt;0,S729*100/Q729,0)</f>
        <v>0</v>
      </c>
      <c r="U729" s="264">
        <f t="shared" ref="U729:U737" ca="1" si="443">IF(R729&gt;0,S729*100/R729,0)</f>
        <v>0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6">
        <f t="shared" ref="L730:N731" si="444">L733+L736</f>
        <v>0</v>
      </c>
      <c r="M730" s="77">
        <f t="shared" si="444"/>
        <v>0</v>
      </c>
      <c r="N730" s="77">
        <f t="shared" si="444"/>
        <v>0</v>
      </c>
      <c r="O730" s="77">
        <f t="shared" si="439"/>
        <v>0</v>
      </c>
      <c r="P730" s="77">
        <f t="shared" si="440"/>
        <v>0</v>
      </c>
      <c r="Q730" s="77">
        <f t="shared" ref="Q730:S731" si="445">Q733+Q736</f>
        <v>0</v>
      </c>
      <c r="R730" s="77">
        <f t="shared" si="445"/>
        <v>0</v>
      </c>
      <c r="S730" s="77">
        <f t="shared" si="445"/>
        <v>0</v>
      </c>
      <c r="T730" s="77">
        <f t="shared" si="442"/>
        <v>0</v>
      </c>
      <c r="U730" s="77">
        <f t="shared" si="443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3">
        <f t="shared" si="444"/>
        <v>0</v>
      </c>
      <c r="M731" s="74">
        <f t="shared" si="444"/>
        <v>0</v>
      </c>
      <c r="N731" s="74">
        <f t="shared" si="444"/>
        <v>0</v>
      </c>
      <c r="O731" s="74">
        <f t="shared" si="439"/>
        <v>0</v>
      </c>
      <c r="P731" s="74">
        <f t="shared" si="440"/>
        <v>0</v>
      </c>
      <c r="Q731" s="74">
        <f t="shared" ca="1" si="445"/>
        <v>0</v>
      </c>
      <c r="R731" s="74">
        <f t="shared" ca="1" si="445"/>
        <v>0</v>
      </c>
      <c r="S731" s="74">
        <f t="shared" ca="1" si="445"/>
        <v>0</v>
      </c>
      <c r="T731" s="74">
        <f t="shared" ca="1" si="442"/>
        <v>0</v>
      </c>
      <c r="U731" s="74">
        <f t="shared" ca="1" si="443"/>
        <v>0</v>
      </c>
    </row>
    <row r="732" spans="1:21" ht="18.75" hidden="1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3">
        <f t="shared" ref="L732:N732" si="446">L733+L734</f>
        <v>0</v>
      </c>
      <c r="M732" s="74">
        <f t="shared" si="446"/>
        <v>0</v>
      </c>
      <c r="N732" s="74">
        <f t="shared" si="446"/>
        <v>0</v>
      </c>
      <c r="O732" s="74">
        <f t="shared" si="439"/>
        <v>0</v>
      </c>
      <c r="P732" s="74">
        <f t="shared" si="440"/>
        <v>0</v>
      </c>
      <c r="Q732" s="74">
        <f t="shared" ref="Q732:S732" ca="1" si="447">Q733+Q734</f>
        <v>0</v>
      </c>
      <c r="R732" s="74">
        <f t="shared" ca="1" si="447"/>
        <v>0</v>
      </c>
      <c r="S732" s="74">
        <f t="shared" ca="1" si="447"/>
        <v>0</v>
      </c>
      <c r="T732" s="74">
        <f t="shared" ca="1" si="442"/>
        <v>0</v>
      </c>
      <c r="U732" s="74">
        <f t="shared" ca="1" si="443"/>
        <v>0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77">
        <f t="shared" si="439"/>
        <v>0</v>
      </c>
      <c r="P733" s="77">
        <f t="shared" si="440"/>
        <v>0</v>
      </c>
      <c r="Q733" s="77">
        <v>0</v>
      </c>
      <c r="R733" s="77">
        <v>0</v>
      </c>
      <c r="S733" s="77">
        <v>0</v>
      </c>
      <c r="T733" s="77">
        <f t="shared" si="442"/>
        <v>0</v>
      </c>
      <c r="U733" s="77">
        <f t="shared" si="443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74">
        <f t="shared" si="439"/>
        <v>0</v>
      </c>
      <c r="P734" s="74">
        <f t="shared" si="440"/>
        <v>0</v>
      </c>
      <c r="Q734" s="74">
        <f ca="1">IFERROR(__xludf.DUMMYFUNCTION("IMPORTRANGE(""https://docs.google.com/spreadsheets/d/1ItG2mGa2ceCfYo0BwxsXqNm01IGEUdYcSSLTEv9YCik/edit?usp=sharing"",""เบิกจ่ายกองทุน!O73"")"),0)</f>
        <v>0</v>
      </c>
      <c r="R734" s="74">
        <f ca="1">IFERROR(__xludf.DUMMYFUNCTION("IMPORTRANGE(""https://docs.google.com/spreadsheets/d/1ItG2mGa2ceCfYo0BwxsXqNm01IGEUdYcSSLTEv9YCik/edit?usp=sharing"",""เบิกจ่ายกองทุน!P73"")"),0)</f>
        <v>0</v>
      </c>
      <c r="S734" s="74">
        <f ca="1">IFERROR(__xludf.DUMMYFUNCTION("IMPORTRANGE(""https://docs.google.com/spreadsheets/d/1ItG2mGa2ceCfYo0BwxsXqNm01IGEUdYcSSLTEv9YCik/edit?usp=sharing"",""เบิกจ่ายกองทุน!Q73"")"),0)</f>
        <v>0</v>
      </c>
      <c r="T734" s="74">
        <f t="shared" ca="1" si="442"/>
        <v>0</v>
      </c>
      <c r="U734" s="74">
        <f t="shared" ca="1" si="443"/>
        <v>0</v>
      </c>
    </row>
    <row r="735" spans="1:21" ht="18.75" hidden="1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3">
        <f t="shared" ref="L735:N735" si="448">L736+L737</f>
        <v>0</v>
      </c>
      <c r="M735" s="74">
        <f t="shared" si="448"/>
        <v>0</v>
      </c>
      <c r="N735" s="74">
        <f t="shared" si="448"/>
        <v>0</v>
      </c>
      <c r="O735" s="74">
        <f t="shared" si="439"/>
        <v>0</v>
      </c>
      <c r="P735" s="74">
        <f t="shared" si="440"/>
        <v>0</v>
      </c>
      <c r="Q735" s="74">
        <f t="shared" ref="Q735:S735" si="449">Q736+Q737</f>
        <v>0</v>
      </c>
      <c r="R735" s="74">
        <f t="shared" si="449"/>
        <v>0</v>
      </c>
      <c r="S735" s="74">
        <f t="shared" si="449"/>
        <v>0</v>
      </c>
      <c r="T735" s="74">
        <f t="shared" si="442"/>
        <v>0</v>
      </c>
      <c r="U735" s="74">
        <f t="shared" si="443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77">
        <f t="shared" si="439"/>
        <v>0</v>
      </c>
      <c r="P736" s="77">
        <f t="shared" si="440"/>
        <v>0</v>
      </c>
      <c r="Q736" s="77">
        <v>0</v>
      </c>
      <c r="R736" s="77">
        <v>0</v>
      </c>
      <c r="S736" s="77">
        <v>0</v>
      </c>
      <c r="T736" s="77">
        <f t="shared" si="442"/>
        <v>0</v>
      </c>
      <c r="U736" s="77">
        <f t="shared" si="443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74">
        <f t="shared" si="439"/>
        <v>0</v>
      </c>
      <c r="P737" s="74">
        <f t="shared" si="440"/>
        <v>0</v>
      </c>
      <c r="Q737" s="74">
        <v>0</v>
      </c>
      <c r="R737" s="74">
        <v>0</v>
      </c>
      <c r="S737" s="74">
        <v>0</v>
      </c>
      <c r="T737" s="74">
        <f t="shared" si="442"/>
        <v>0</v>
      </c>
      <c r="U737" s="74">
        <f t="shared" si="443"/>
        <v>0</v>
      </c>
    </row>
    <row r="738" spans="1:21" ht="19.5" hidden="1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hidden="1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hidden="1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hidden="1" x14ac:dyDescent="0.25">
      <c r="A741" s="276"/>
      <c r="B741" s="277"/>
      <c r="C741" s="277"/>
      <c r="D741" s="277"/>
      <c r="E741" s="277"/>
      <c r="F741" s="745" t="s">
        <v>271</v>
      </c>
      <c r="G741" s="282"/>
      <c r="H741" s="268" t="s">
        <v>46</v>
      </c>
      <c r="I741" s="293">
        <f ca="1">IFERROR(__xludf.DUMMYFUNCTION("IMPORTRANGE(""https://docs.google.com/spreadsheets/d/1eHaY18a8A9IcSdp1K8H6x8fbOy06t2VsZHhMHf-1x7Y/edit?usp=sharing"",""แผน!GB73"")"),0)</f>
        <v>0</v>
      </c>
      <c r="J741" s="294">
        <v>0</v>
      </c>
      <c r="K741" s="74">
        <f ca="1">IF(I741&gt;0,J741*100/I741,0)</f>
        <v>0</v>
      </c>
      <c r="L741" s="86"/>
      <c r="M741" s="87"/>
      <c r="N741" s="87"/>
      <c r="O741" s="87"/>
      <c r="P741" s="87"/>
      <c r="Q741" s="87"/>
      <c r="R741" s="87"/>
      <c r="S741" s="87"/>
      <c r="T741" s="87"/>
      <c r="U741" s="87"/>
    </row>
    <row r="742" spans="1:21" ht="18.75" hidden="1" x14ac:dyDescent="0.25">
      <c r="A742" s="276"/>
      <c r="B742" s="277"/>
      <c r="C742" s="277"/>
      <c r="D742" s="277"/>
      <c r="E742" s="277"/>
      <c r="F742" s="745" t="s">
        <v>272</v>
      </c>
      <c r="G742" s="282"/>
      <c r="H742" s="268" t="s">
        <v>35</v>
      </c>
      <c r="I742" s="263"/>
      <c r="J742" s="294">
        <v>0</v>
      </c>
      <c r="K742" s="87"/>
      <c r="L742" s="86"/>
      <c r="M742" s="87"/>
      <c r="N742" s="87"/>
      <c r="O742" s="87"/>
      <c r="P742" s="87"/>
      <c r="Q742" s="87"/>
      <c r="R742" s="87"/>
      <c r="S742" s="87"/>
      <c r="T742" s="87"/>
      <c r="U742" s="87"/>
    </row>
    <row r="743" spans="1:21" ht="18.75" hidden="1" x14ac:dyDescent="0.25">
      <c r="A743" s="276"/>
      <c r="B743" s="277"/>
      <c r="C743" s="277"/>
      <c r="D743" s="277"/>
      <c r="E743" s="277"/>
      <c r="F743" s="745" t="s">
        <v>273</v>
      </c>
      <c r="G743" s="282"/>
      <c r="H743" s="268" t="s">
        <v>35</v>
      </c>
      <c r="I743" s="293">
        <f ca="1">IFERROR(__xludf.DUMMYFUNCTION("IMPORTRANGE(""https://docs.google.com/spreadsheets/d/1eHaY18a8A9IcSdp1K8H6x8fbOy06t2VsZHhMHf-1x7Y/edit?usp=sharing"",""แผน!GC73"")"),0)</f>
        <v>0</v>
      </c>
      <c r="J743" s="294">
        <v>0</v>
      </c>
      <c r="K743" s="74">
        <f ca="1">IF(I743&gt;0,J743*100/I743,0)</f>
        <v>0</v>
      </c>
      <c r="L743" s="86"/>
      <c r="M743" s="87"/>
      <c r="N743" s="87"/>
      <c r="O743" s="87"/>
      <c r="P743" s="87"/>
      <c r="Q743" s="87"/>
      <c r="R743" s="87"/>
      <c r="S743" s="87"/>
      <c r="T743" s="87"/>
      <c r="U743" s="87"/>
    </row>
    <row r="744" spans="1:21" ht="18.75" hidden="1" x14ac:dyDescent="0.25">
      <c r="A744" s="276"/>
      <c r="B744" s="277"/>
      <c r="C744" s="277"/>
      <c r="D744" s="277"/>
      <c r="E744" s="745" t="s">
        <v>274</v>
      </c>
      <c r="F744" s="277"/>
      <c r="G744" s="282"/>
      <c r="H744" s="312"/>
      <c r="I744" s="263"/>
      <c r="J744" s="263"/>
      <c r="K744" s="87"/>
      <c r="L744" s="86"/>
      <c r="M744" s="87"/>
      <c r="N744" s="87"/>
      <c r="O744" s="87"/>
      <c r="P744" s="87"/>
      <c r="Q744" s="87"/>
      <c r="R744" s="87"/>
      <c r="S744" s="87"/>
      <c r="T744" s="87"/>
      <c r="U744" s="87"/>
    </row>
    <row r="745" spans="1:21" ht="18.75" hidden="1" x14ac:dyDescent="0.25">
      <c r="A745" s="276"/>
      <c r="B745" s="277"/>
      <c r="C745" s="277"/>
      <c r="D745" s="277"/>
      <c r="E745" s="277"/>
      <c r="F745" s="745" t="s">
        <v>271</v>
      </c>
      <c r="G745" s="282"/>
      <c r="H745" s="268" t="s">
        <v>46</v>
      </c>
      <c r="I745" s="293">
        <f ca="1">IFERROR(__xludf.DUMMYFUNCTION("IMPORTRANGE(""https://docs.google.com/spreadsheets/d/1eHaY18a8A9IcSdp1K8H6x8fbOy06t2VsZHhMHf-1x7Y/edit?usp=sharing"",""แผน!GD73"")"),0)</f>
        <v>0</v>
      </c>
      <c r="J745" s="294">
        <v>0</v>
      </c>
      <c r="K745" s="74">
        <f ca="1">IF(I745&gt;0,J745*100/I745,0)</f>
        <v>0</v>
      </c>
      <c r="L745" s="86"/>
      <c r="M745" s="87"/>
      <c r="N745" s="87"/>
      <c r="O745" s="87"/>
      <c r="P745" s="87"/>
      <c r="Q745" s="87"/>
      <c r="R745" s="87"/>
      <c r="S745" s="87"/>
      <c r="T745" s="87"/>
      <c r="U745" s="87"/>
    </row>
    <row r="746" spans="1:21" ht="18.75" hidden="1" x14ac:dyDescent="0.25">
      <c r="A746" s="276"/>
      <c r="B746" s="277"/>
      <c r="C746" s="277"/>
      <c r="D746" s="277"/>
      <c r="E746" s="277"/>
      <c r="F746" s="745" t="s">
        <v>275</v>
      </c>
      <c r="G746" s="282"/>
      <c r="H746" s="268" t="s">
        <v>35</v>
      </c>
      <c r="I746" s="263"/>
      <c r="J746" s="294">
        <v>0</v>
      </c>
      <c r="K746" s="87"/>
      <c r="L746" s="86"/>
      <c r="M746" s="87"/>
      <c r="N746" s="87"/>
      <c r="O746" s="87"/>
      <c r="P746" s="87"/>
      <c r="Q746" s="87"/>
      <c r="R746" s="87"/>
      <c r="S746" s="87"/>
      <c r="T746" s="87"/>
      <c r="U746" s="87"/>
    </row>
    <row r="747" spans="1:21" ht="18.75" hidden="1" x14ac:dyDescent="0.25">
      <c r="A747" s="276"/>
      <c r="B747" s="277"/>
      <c r="C747" s="277"/>
      <c r="D747" s="277"/>
      <c r="E747" s="277"/>
      <c r="F747" s="745" t="s">
        <v>276</v>
      </c>
      <c r="G747" s="282"/>
      <c r="H747" s="268" t="s">
        <v>35</v>
      </c>
      <c r="I747" s="293">
        <f ca="1">IFERROR(__xludf.DUMMYFUNCTION("IMPORTRANGE(""https://docs.google.com/spreadsheets/d/1eHaY18a8A9IcSdp1K8H6x8fbOy06t2VsZHhMHf-1x7Y/edit?usp=sharing"",""แผน!GE73"")"),0)</f>
        <v>0</v>
      </c>
      <c r="J747" s="294">
        <v>0</v>
      </c>
      <c r="K747" s="74">
        <f ca="1">IF(I747&gt;0,J747*100/I747,0)</f>
        <v>0</v>
      </c>
      <c r="L747" s="86"/>
      <c r="M747" s="87"/>
      <c r="N747" s="87"/>
      <c r="O747" s="87"/>
      <c r="P747" s="87"/>
      <c r="Q747" s="87"/>
      <c r="R747" s="87"/>
      <c r="S747" s="87"/>
      <c r="T747" s="87"/>
      <c r="U747" s="87"/>
    </row>
    <row r="748" spans="1:21" ht="18.75" hidden="1" x14ac:dyDescent="0.25">
      <c r="A748" s="276"/>
      <c r="B748" s="277"/>
      <c r="C748" s="277"/>
      <c r="D748" s="277"/>
      <c r="E748" s="745" t="s">
        <v>277</v>
      </c>
      <c r="F748" s="296"/>
      <c r="G748" s="282"/>
      <c r="H748" s="312"/>
      <c r="I748" s="263"/>
      <c r="J748" s="263"/>
      <c r="K748" s="87"/>
      <c r="L748" s="86"/>
      <c r="M748" s="87"/>
      <c r="N748" s="87"/>
      <c r="O748" s="87"/>
      <c r="P748" s="87"/>
      <c r="Q748" s="87"/>
      <c r="R748" s="87"/>
      <c r="S748" s="87"/>
      <c r="T748" s="87"/>
      <c r="U748" s="87"/>
    </row>
    <row r="749" spans="1:21" ht="18.75" hidden="1" x14ac:dyDescent="0.25">
      <c r="A749" s="276"/>
      <c r="B749" s="277"/>
      <c r="C749" s="277"/>
      <c r="D749" s="277"/>
      <c r="E749" s="277"/>
      <c r="F749" s="745" t="s">
        <v>278</v>
      </c>
      <c r="G749" s="282"/>
      <c r="H749" s="268" t="s">
        <v>35</v>
      </c>
      <c r="I749" s="263"/>
      <c r="J749" s="294">
        <v>0</v>
      </c>
      <c r="K749" s="87"/>
      <c r="L749" s="86"/>
      <c r="M749" s="87"/>
      <c r="N749" s="87"/>
      <c r="O749" s="87"/>
      <c r="P749" s="87"/>
      <c r="Q749" s="87"/>
      <c r="R749" s="87"/>
      <c r="S749" s="87"/>
      <c r="T749" s="87"/>
      <c r="U749" s="87"/>
    </row>
    <row r="750" spans="1:21" ht="18.75" hidden="1" x14ac:dyDescent="0.25">
      <c r="A750" s="276"/>
      <c r="B750" s="277"/>
      <c r="C750" s="277"/>
      <c r="D750" s="277"/>
      <c r="E750" s="277"/>
      <c r="F750" s="745" t="s">
        <v>279</v>
      </c>
      <c r="G750" s="282"/>
      <c r="H750" s="268" t="s">
        <v>35</v>
      </c>
      <c r="I750" s="293">
        <f ca="1">IFERROR(__xludf.DUMMYFUNCTION("IMPORTRANGE(""https://docs.google.com/spreadsheets/d/1eHaY18a8A9IcSdp1K8H6x8fbOy06t2VsZHhMHf-1x7Y/edit?usp=sharing"",""แผน!GF73"")"),0)</f>
        <v>0</v>
      </c>
      <c r="J750" s="294">
        <v>0</v>
      </c>
      <c r="K750" s="74">
        <f ca="1">IF(I750&gt;0,J750*100/I750,0)</f>
        <v>0</v>
      </c>
      <c r="L750" s="86"/>
      <c r="M750" s="87"/>
      <c r="N750" s="87"/>
      <c r="O750" s="87"/>
      <c r="P750" s="87"/>
      <c r="Q750" s="87"/>
      <c r="R750" s="87"/>
      <c r="S750" s="87"/>
      <c r="T750" s="87"/>
      <c r="U750" s="87"/>
    </row>
    <row r="751" spans="1:21" ht="19.5" hidden="1" x14ac:dyDescent="0.3">
      <c r="A751" s="276"/>
      <c r="B751" s="277"/>
      <c r="C751" s="277"/>
      <c r="D751" s="784" t="s">
        <v>50</v>
      </c>
      <c r="E751" s="277"/>
      <c r="F751" s="296"/>
      <c r="G751" s="282"/>
      <c r="H751" s="312"/>
      <c r="I751" s="263"/>
      <c r="J751" s="263"/>
      <c r="K751" s="87"/>
      <c r="L751" s="86"/>
      <c r="M751" s="87"/>
      <c r="N751" s="87"/>
      <c r="O751" s="87"/>
      <c r="P751" s="87"/>
      <c r="Q751" s="87"/>
      <c r="R751" s="87"/>
      <c r="S751" s="87"/>
      <c r="T751" s="87"/>
      <c r="U751" s="87"/>
    </row>
    <row r="752" spans="1:21" ht="18.75" hidden="1" x14ac:dyDescent="0.25">
      <c r="A752" s="276"/>
      <c r="B752" s="277"/>
      <c r="C752" s="277"/>
      <c r="D752" s="277"/>
      <c r="E752" s="745" t="s">
        <v>270</v>
      </c>
      <c r="F752" s="296"/>
      <c r="G752" s="282"/>
      <c r="H752" s="312"/>
      <c r="I752" s="263"/>
      <c r="J752" s="263"/>
      <c r="K752" s="87"/>
      <c r="L752" s="86"/>
      <c r="M752" s="87"/>
      <c r="N752" s="87"/>
      <c r="O752" s="87"/>
      <c r="P752" s="87"/>
      <c r="Q752" s="87"/>
      <c r="R752" s="87"/>
      <c r="S752" s="87"/>
      <c r="T752" s="87"/>
      <c r="U752" s="87"/>
    </row>
    <row r="753" spans="1:21" ht="18.75" hidden="1" x14ac:dyDescent="0.25">
      <c r="A753" s="276"/>
      <c r="B753" s="277"/>
      <c r="C753" s="277"/>
      <c r="D753" s="277"/>
      <c r="E753" s="277"/>
      <c r="F753" s="295" t="s">
        <v>280</v>
      </c>
      <c r="G753" s="282"/>
      <c r="H753" s="268" t="s">
        <v>46</v>
      </c>
      <c r="I753" s="293">
        <f ca="1">IFERROR(__xludf.DUMMYFUNCTION("IMPORTRANGE(""https://docs.google.com/spreadsheets/d/1eHaY18a8A9IcSdp1K8H6x8fbOy06t2VsZHhMHf-1x7Y/edit?usp=sharing"",""แผน!GC73"")"),0)</f>
        <v>0</v>
      </c>
      <c r="J753" s="294">
        <v>0</v>
      </c>
      <c r="K753" s="74">
        <f ca="1">IF(I753&gt;0,J753*100/I753,0)</f>
        <v>0</v>
      </c>
      <c r="L753" s="86"/>
      <c r="M753" s="87"/>
      <c r="N753" s="87"/>
      <c r="O753" s="87"/>
      <c r="P753" s="87"/>
      <c r="Q753" s="87"/>
      <c r="R753" s="87"/>
      <c r="S753" s="87"/>
      <c r="T753" s="87"/>
      <c r="U753" s="87"/>
    </row>
    <row r="754" spans="1:21" ht="18.75" hidden="1" x14ac:dyDescent="0.25">
      <c r="A754" s="276"/>
      <c r="B754" s="277"/>
      <c r="C754" s="277"/>
      <c r="D754" s="277"/>
      <c r="E754" s="277"/>
      <c r="F754" s="295" t="s">
        <v>281</v>
      </c>
      <c r="G754" s="282"/>
      <c r="H754" s="268" t="s">
        <v>46</v>
      </c>
      <c r="I754" s="263"/>
      <c r="J754" s="294">
        <v>0</v>
      </c>
      <c r="K754" s="87"/>
      <c r="L754" s="86"/>
      <c r="M754" s="87"/>
      <c r="N754" s="87"/>
      <c r="O754" s="87"/>
      <c r="P754" s="87"/>
      <c r="Q754" s="87"/>
      <c r="R754" s="87"/>
      <c r="S754" s="87"/>
      <c r="T754" s="87"/>
      <c r="U754" s="87"/>
    </row>
    <row r="755" spans="1:21" ht="18.75" hidden="1" x14ac:dyDescent="0.25">
      <c r="A755" s="276"/>
      <c r="B755" s="277"/>
      <c r="C755" s="277"/>
      <c r="D755" s="277"/>
      <c r="E755" s="745" t="s">
        <v>274</v>
      </c>
      <c r="F755" s="296"/>
      <c r="G755" s="282"/>
      <c r="H755" s="312"/>
      <c r="I755" s="263"/>
      <c r="J755" s="263"/>
      <c r="K755" s="87"/>
      <c r="L755" s="86"/>
      <c r="M755" s="87"/>
      <c r="N755" s="87"/>
      <c r="O755" s="87"/>
      <c r="P755" s="87"/>
      <c r="Q755" s="87"/>
      <c r="R755" s="87"/>
      <c r="S755" s="87"/>
      <c r="T755" s="87"/>
      <c r="U755" s="87"/>
    </row>
    <row r="756" spans="1:21" ht="18.75" hidden="1" x14ac:dyDescent="0.25">
      <c r="A756" s="276"/>
      <c r="B756" s="277"/>
      <c r="C756" s="277"/>
      <c r="D756" s="277"/>
      <c r="E756" s="296"/>
      <c r="F756" s="295" t="s">
        <v>282</v>
      </c>
      <c r="G756" s="282"/>
      <c r="H756" s="268" t="s">
        <v>46</v>
      </c>
      <c r="I756" s="293">
        <f ca="1">IFERROR(__xludf.DUMMYFUNCTION("IMPORTRANGE(""https://docs.google.com/spreadsheets/d/1eHaY18a8A9IcSdp1K8H6x8fbOy06t2VsZHhMHf-1x7Y/edit?usp=sharing"",""แผน!GE73"")"),0)</f>
        <v>0</v>
      </c>
      <c r="J756" s="294">
        <v>0</v>
      </c>
      <c r="K756" s="74">
        <f ca="1">IF(I756&gt;0,J756*100/I756,0)</f>
        <v>0</v>
      </c>
      <c r="L756" s="86"/>
      <c r="M756" s="87"/>
      <c r="N756" s="87"/>
      <c r="O756" s="87"/>
      <c r="P756" s="87"/>
      <c r="Q756" s="87"/>
      <c r="R756" s="87"/>
      <c r="S756" s="87"/>
      <c r="T756" s="87"/>
      <c r="U756" s="87"/>
    </row>
    <row r="757" spans="1:21" ht="18.75" hidden="1" x14ac:dyDescent="0.25">
      <c r="A757" s="276"/>
      <c r="B757" s="277"/>
      <c r="C757" s="277"/>
      <c r="D757" s="277"/>
      <c r="E757" s="296"/>
      <c r="F757" s="295" t="s">
        <v>283</v>
      </c>
      <c r="G757" s="282"/>
      <c r="H757" s="268" t="s">
        <v>46</v>
      </c>
      <c r="I757" s="263"/>
      <c r="J757" s="294">
        <v>0</v>
      </c>
      <c r="K757" s="87"/>
      <c r="L757" s="86"/>
      <c r="M757" s="87"/>
      <c r="N757" s="87"/>
      <c r="O757" s="87"/>
      <c r="P757" s="87"/>
      <c r="Q757" s="87"/>
      <c r="R757" s="87"/>
      <c r="S757" s="87"/>
      <c r="T757" s="87"/>
      <c r="U757" s="87"/>
    </row>
    <row r="758" spans="1:21" ht="19.5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0">I772</f>
        <v>15</v>
      </c>
      <c r="J758" s="781">
        <f t="shared" si="450"/>
        <v>0</v>
      </c>
      <c r="K758" s="766">
        <f t="shared" ref="K758:K759" ca="1" si="451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2">I774</f>
        <v>30</v>
      </c>
      <c r="J759" s="781">
        <f t="shared" si="452"/>
        <v>0</v>
      </c>
      <c r="K759" s="766">
        <f t="shared" ca="1" si="451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1257">
        <f t="shared" ref="L760:N760" si="453">L761+L762</f>
        <v>0</v>
      </c>
      <c r="M760" s="264">
        <f t="shared" si="453"/>
        <v>0</v>
      </c>
      <c r="N760" s="264">
        <f t="shared" si="453"/>
        <v>0</v>
      </c>
      <c r="O760" s="264">
        <f t="shared" ref="O760:O768" si="454">IF(L760&gt;0,N760*100/L760,0)</f>
        <v>0</v>
      </c>
      <c r="P760" s="264">
        <f t="shared" ref="P760:P768" si="455">IF(M760&gt;0,N760*100/M760,0)</f>
        <v>0</v>
      </c>
      <c r="Q760" s="264">
        <f t="shared" ref="Q760:S760" ca="1" si="456">Q761+Q762</f>
        <v>115510</v>
      </c>
      <c r="R760" s="264">
        <f t="shared" ca="1" si="456"/>
        <v>115510</v>
      </c>
      <c r="S760" s="264">
        <f t="shared" ca="1" si="456"/>
        <v>0</v>
      </c>
      <c r="T760" s="264">
        <f t="shared" ref="T760:T768" ca="1" si="457">IF(Q760&gt;0,S760*100/Q760,0)</f>
        <v>0</v>
      </c>
      <c r="U760" s="264">
        <f t="shared" ref="U760:U768" ca="1" si="458">IF(R760&gt;0,S760*100/R760,0)</f>
        <v>0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6">
        <f t="shared" ref="L761:N762" si="459">L764+L767</f>
        <v>0</v>
      </c>
      <c r="M761" s="77">
        <f t="shared" si="459"/>
        <v>0</v>
      </c>
      <c r="N761" s="77">
        <f t="shared" si="459"/>
        <v>0</v>
      </c>
      <c r="O761" s="77">
        <f t="shared" si="454"/>
        <v>0</v>
      </c>
      <c r="P761" s="77">
        <f t="shared" si="455"/>
        <v>0</v>
      </c>
      <c r="Q761" s="77">
        <f t="shared" ref="Q761:S762" si="460">Q764+Q767</f>
        <v>0</v>
      </c>
      <c r="R761" s="77">
        <f t="shared" si="460"/>
        <v>0</v>
      </c>
      <c r="S761" s="77">
        <f t="shared" si="460"/>
        <v>0</v>
      </c>
      <c r="T761" s="77">
        <f t="shared" si="457"/>
        <v>0</v>
      </c>
      <c r="U761" s="77">
        <f t="shared" si="458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3">
        <f t="shared" si="459"/>
        <v>0</v>
      </c>
      <c r="M762" s="74">
        <f t="shared" si="459"/>
        <v>0</v>
      </c>
      <c r="N762" s="74">
        <f t="shared" si="459"/>
        <v>0</v>
      </c>
      <c r="O762" s="74">
        <f t="shared" si="454"/>
        <v>0</v>
      </c>
      <c r="P762" s="74">
        <f t="shared" si="455"/>
        <v>0</v>
      </c>
      <c r="Q762" s="74">
        <f t="shared" ca="1" si="460"/>
        <v>115510</v>
      </c>
      <c r="R762" s="74">
        <f t="shared" ca="1" si="460"/>
        <v>115510</v>
      </c>
      <c r="S762" s="74">
        <f t="shared" ca="1" si="460"/>
        <v>0</v>
      </c>
      <c r="T762" s="74">
        <f t="shared" ca="1" si="457"/>
        <v>0</v>
      </c>
      <c r="U762" s="74">
        <f t="shared" ca="1" si="458"/>
        <v>0</v>
      </c>
    </row>
    <row r="763" spans="1:21" ht="18.75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3">
        <f t="shared" ref="L763:N763" si="461">L764+L765</f>
        <v>0</v>
      </c>
      <c r="M763" s="74">
        <f t="shared" si="461"/>
        <v>0</v>
      </c>
      <c r="N763" s="74">
        <f t="shared" si="461"/>
        <v>0</v>
      </c>
      <c r="O763" s="74">
        <f t="shared" si="454"/>
        <v>0</v>
      </c>
      <c r="P763" s="74">
        <f t="shared" si="455"/>
        <v>0</v>
      </c>
      <c r="Q763" s="74">
        <f t="shared" ref="Q763:S763" ca="1" si="462">Q764+Q765</f>
        <v>115510</v>
      </c>
      <c r="R763" s="74">
        <f t="shared" ca="1" si="462"/>
        <v>115510</v>
      </c>
      <c r="S763" s="74">
        <f t="shared" ca="1" si="462"/>
        <v>0</v>
      </c>
      <c r="T763" s="74">
        <f t="shared" ca="1" si="457"/>
        <v>0</v>
      </c>
      <c r="U763" s="74">
        <f t="shared" ca="1" si="458"/>
        <v>0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77">
        <f t="shared" si="454"/>
        <v>0</v>
      </c>
      <c r="P764" s="77">
        <f t="shared" si="455"/>
        <v>0</v>
      </c>
      <c r="Q764" s="77">
        <v>0</v>
      </c>
      <c r="R764" s="77">
        <v>0</v>
      </c>
      <c r="S764" s="77">
        <v>0</v>
      </c>
      <c r="T764" s="77">
        <f t="shared" si="457"/>
        <v>0</v>
      </c>
      <c r="U764" s="77">
        <f t="shared" si="458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74">
        <f t="shared" si="454"/>
        <v>0</v>
      </c>
      <c r="P765" s="74">
        <f t="shared" si="455"/>
        <v>0</v>
      </c>
      <c r="Q765" s="74">
        <f ca="1">IFERROR(__xludf.DUMMYFUNCTION("IMPORTRANGE(""https://docs.google.com/spreadsheets/d/1ItG2mGa2ceCfYo0BwxsXqNm01IGEUdYcSSLTEv9YCik/edit?usp=sharing"",""เบิกจ่ายกองทุน!U73"")"),115510)</f>
        <v>115510</v>
      </c>
      <c r="R765" s="74">
        <f ca="1">IFERROR(__xludf.DUMMYFUNCTION("IMPORTRANGE(""https://docs.google.com/spreadsheets/d/1ItG2mGa2ceCfYo0BwxsXqNm01IGEUdYcSSLTEv9YCik/edit?usp=sharing"",""เบิกจ่ายกองทุน!V73"")"),115510)</f>
        <v>115510</v>
      </c>
      <c r="S765" s="74">
        <f ca="1">IFERROR(__xludf.DUMMYFUNCTION("IMPORTRANGE(""https://docs.google.com/spreadsheets/d/1ItG2mGa2ceCfYo0BwxsXqNm01IGEUdYcSSLTEv9YCik/edit?usp=sharing"",""เบิกจ่ายกองทุน!W73"")"),0)</f>
        <v>0</v>
      </c>
      <c r="T765" s="74">
        <f t="shared" ca="1" si="457"/>
        <v>0</v>
      </c>
      <c r="U765" s="74">
        <f t="shared" ca="1" si="458"/>
        <v>0</v>
      </c>
    </row>
    <row r="766" spans="1:21" ht="18.75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3">
        <f t="shared" ref="L766:N766" si="463">L767+L768</f>
        <v>0</v>
      </c>
      <c r="M766" s="74">
        <f t="shared" si="463"/>
        <v>0</v>
      </c>
      <c r="N766" s="74">
        <f t="shared" si="463"/>
        <v>0</v>
      </c>
      <c r="O766" s="74">
        <f t="shared" si="454"/>
        <v>0</v>
      </c>
      <c r="P766" s="74">
        <f t="shared" si="455"/>
        <v>0</v>
      </c>
      <c r="Q766" s="74">
        <f t="shared" ref="Q766:S766" si="464">Q767+Q768</f>
        <v>0</v>
      </c>
      <c r="R766" s="74">
        <f t="shared" si="464"/>
        <v>0</v>
      </c>
      <c r="S766" s="74">
        <f t="shared" si="464"/>
        <v>0</v>
      </c>
      <c r="T766" s="74">
        <f t="shared" si="457"/>
        <v>0</v>
      </c>
      <c r="U766" s="74">
        <f t="shared" si="458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77">
        <f t="shared" si="454"/>
        <v>0</v>
      </c>
      <c r="P767" s="77">
        <f t="shared" si="455"/>
        <v>0</v>
      </c>
      <c r="Q767" s="77">
        <v>0</v>
      </c>
      <c r="R767" s="77">
        <v>0</v>
      </c>
      <c r="S767" s="77">
        <v>0</v>
      </c>
      <c r="T767" s="77">
        <f t="shared" si="457"/>
        <v>0</v>
      </c>
      <c r="U767" s="77">
        <f t="shared" si="458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74">
        <f t="shared" si="454"/>
        <v>0</v>
      </c>
      <c r="P768" s="74">
        <f t="shared" si="455"/>
        <v>0</v>
      </c>
      <c r="Q768" s="74">
        <v>0</v>
      </c>
      <c r="R768" s="74">
        <v>0</v>
      </c>
      <c r="S768" s="74">
        <v>0</v>
      </c>
      <c r="T768" s="74">
        <f t="shared" si="457"/>
        <v>0</v>
      </c>
      <c r="U768" s="74">
        <f t="shared" si="458"/>
        <v>0</v>
      </c>
    </row>
    <row r="769" spans="1:21" ht="19.5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IFERROR(__xludf.DUMMYFUNCTION("IMPORTRANGE(""https://docs.google.com/spreadsheets/d/1eHaY18a8A9IcSdp1K8H6x8fbOy06t2VsZHhMHf-1x7Y/edit?usp=sharing"",""แผน!FI73"")"),0)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IFERROR(__xludf.DUMMYFUNCTION("IMPORTRANGE(""https://docs.google.com/spreadsheets/d/1eHaY18a8A9IcSdp1K8H6x8fbOy06t2VsZHhMHf-1x7Y/edit?usp=sharing"",""แผน!FQ73"")"),15)</f>
        <v>15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IFERROR(__xludf.DUMMYFUNCTION("IMPORTRANGE(""https://docs.google.com/spreadsheets/d/1eHaY18a8A9IcSdp1K8H6x8fbOy06t2VsZHhMHf-1x7Y/edit?usp=sharing"",""แผน!FR73"")"),30)</f>
        <v>30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IFERROR(__xludf.DUMMYFUNCTION("IMPORTRANGE(""https://docs.google.com/spreadsheets/d/1eHaY18a8A9IcSdp1K8H6x8fbOy06t2VsZHhMHf-1x7Y/edit?usp=sharing"",""แผน!FS73"")"),30)</f>
        <v>30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IFERROR(__xludf.DUMMYFUNCTION("IMPORTRANGE(""https://docs.google.com/spreadsheets/d/1eHaY18a8A9IcSdp1K8H6x8fbOy06t2VsZHhMHf-1x7Y/edit?usp=sharing"",""แผน!FT73"")"),15)</f>
        <v>15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IFERROR(__xludf.DUMMYFUNCTION("IMPORTRANGE(""https://docs.google.com/spreadsheets/d/10OvvATaaLtwErnr3qtWFcTmtbfpFEt5Bsqel9sXx0uE/edit?usp=sharing"",""งานกองทุน!D73"")"),180000)</f>
        <v>180000</v>
      </c>
      <c r="J778" s="293">
        <f ca="1">IFERROR(__xludf.DUMMYFUNCTION("IMPORTRANGE(""https://docs.google.com/spreadsheets/d/10OvvATaaLtwErnr3qtWFcTmtbfpFEt5Bsqel9sXx0uE/edit?usp=sharing"",""งานกองทุน!F73"")"),0)</f>
        <v>0</v>
      </c>
      <c r="K778" s="74">
        <f t="shared" ref="K778:K785" ca="1" si="465">IF(I778&gt;0,J778*100/I778,0)</f>
        <v>0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IFERROR(__xludf.DUMMYFUNCTION("IMPORTRANGE(""https://docs.google.com/spreadsheets/d/10OvvATaaLtwErnr3qtWFcTmtbfpFEt5Bsqel9sXx0uE/edit?usp=sharing"",""งานกองทุน!C73"")"),6)</f>
        <v>6</v>
      </c>
      <c r="J779" s="293">
        <f ca="1">IFERROR(__xludf.DUMMYFUNCTION("IMPORTRANGE(""https://docs.google.com/spreadsheets/d/10OvvATaaLtwErnr3qtWFcTmtbfpFEt5Bsqel9sXx0uE/edit?usp=sharing"",""งานกองทุน!E73"")"),0)</f>
        <v>0</v>
      </c>
      <c r="K779" s="74">
        <f t="shared" ca="1" si="465"/>
        <v>0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 t="str">
        <f ca="1">IFERROR(__xludf.DUMMYFUNCTION("IMPORTRANGE(""https://docs.google.com/spreadsheets/d/10OvvATaaLtwErnr3qtWFcTmtbfpFEt5Bsqel9sXx0uE/edit?usp=sharing"",""งานกองทุน!I73"")"),"")</f>
        <v/>
      </c>
      <c r="J780" s="293">
        <f ca="1">IFERROR(__xludf.DUMMYFUNCTION("IMPORTRANGE(""https://docs.google.com/spreadsheets/d/10OvvATaaLtwErnr3qtWFcTmtbfpFEt5Bsqel9sXx0uE/edit?usp=sharing"",""งานกองทุน!K73"")"),0)</f>
        <v>0</v>
      </c>
      <c r="K780" s="74" t="e">
        <f t="shared" ca="1" si="465"/>
        <v>#VALUE!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 t="str">
        <f ca="1">IFERROR(__xludf.DUMMYFUNCTION("IMPORTRANGE(""https://docs.google.com/spreadsheets/d/10OvvATaaLtwErnr3qtWFcTmtbfpFEt5Bsqel9sXx0uE/edit?usp=sharing"",""งานกองทุน!H73"")"),"")</f>
        <v/>
      </c>
      <c r="J781" s="293">
        <f ca="1">IFERROR(__xludf.DUMMYFUNCTION("IMPORTRANGE(""https://docs.google.com/spreadsheets/d/10OvvATaaLtwErnr3qtWFcTmtbfpFEt5Bsqel9sXx0uE/edit?usp=sharing"",""งานกองทุน!J73"")"),0)</f>
        <v>0</v>
      </c>
      <c r="K781" s="74" t="e">
        <f t="shared" ca="1" si="465"/>
        <v>#VALUE!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IFERROR(__xludf.DUMMYFUNCTION("IMPORTRANGE(""https://docs.google.com/spreadsheets/d/10OvvATaaLtwErnr3qtWFcTmtbfpFEt5Bsqel9sXx0uE/edit?usp=sharing"",""งานกองทุน!N73"")"),37048.31)</f>
        <v>37048.31</v>
      </c>
      <c r="J782" s="293">
        <f ca="1">IFERROR(__xludf.DUMMYFUNCTION("IMPORTRANGE(""https://docs.google.com/spreadsheets/d/10OvvATaaLtwErnr3qtWFcTmtbfpFEt5Bsqel9sXx0uE/edit?usp=sharing"",""งานกองทุน!P73"")"),36272.81)</f>
        <v>36272.81</v>
      </c>
      <c r="K782" s="74">
        <f t="shared" ca="1" si="465"/>
        <v>97.906787111206967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IFERROR(__xludf.DUMMYFUNCTION("IMPORTRANGE(""https://docs.google.com/spreadsheets/d/10OvvATaaLtwErnr3qtWFcTmtbfpFEt5Bsqel9sXx0uE/edit?usp=sharing"",""งานกองทุน!M73"")"),50)</f>
        <v>50</v>
      </c>
      <c r="J783" s="293">
        <f ca="1">IFERROR(__xludf.DUMMYFUNCTION("IMPORTRANGE(""https://docs.google.com/spreadsheets/d/10OvvATaaLtwErnr3qtWFcTmtbfpFEt5Bsqel9sXx0uE/edit?usp=sharing"",""งานกองทุน!O73"")"),49)</f>
        <v>49</v>
      </c>
      <c r="K783" s="74">
        <f t="shared" ca="1" si="465"/>
        <v>98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IFERROR(__xludf.DUMMYFUNCTION("IMPORTRANGE(""https://docs.google.com/spreadsheets/d/10OvvATaaLtwErnr3qtWFcTmtbfpFEt5Bsqel9sXx0uE/edit?usp=sharing"",""งานกองทุน!S73"")"),168000)</f>
        <v>168000</v>
      </c>
      <c r="J784" s="293">
        <f ca="1">IFERROR(__xludf.DUMMYFUNCTION("IMPORTRANGE(""https://docs.google.com/spreadsheets/d/10OvvATaaLtwErnr3qtWFcTmtbfpFEt5Bsqel9sXx0uE/edit?usp=sharing"",""งานกองทุน!U73"")"),0)</f>
        <v>0</v>
      </c>
      <c r="K784" s="74">
        <f t="shared" ca="1" si="465"/>
        <v>0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IFERROR(__xludf.DUMMYFUNCTION("IMPORTRANGE(""https://docs.google.com/spreadsheets/d/10OvvATaaLtwErnr3qtWFcTmtbfpFEt5Bsqel9sXx0uE/edit?usp=sharing"",""งานกองทุน!R73"")"),6)</f>
        <v>6</v>
      </c>
      <c r="J785" s="786">
        <f ca="1">IFERROR(__xludf.DUMMYFUNCTION("IMPORTRANGE(""https://docs.google.com/spreadsheets/d/10OvvATaaLtwErnr3qtWFcTmtbfpFEt5Bsqel9sXx0uE/edit?usp=sharing"",""งานกองทุน!T73"")"),0)</f>
        <v>0</v>
      </c>
      <c r="K785" s="182">
        <f t="shared" ca="1" si="465"/>
        <v>0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19D92-9941-40C0-9EE2-3B0E9B0C2C94}">
  <sheetPr codeName="Sheet3"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5.140625" customWidth="1"/>
    <col min="12" max="13" width="21.28515625" bestFit="1" customWidth="1"/>
    <col min="14" max="14" width="18.7109375" bestFit="1" customWidth="1"/>
    <col min="15" max="15" width="12.5703125" bestFit="1" customWidth="1"/>
    <col min="16" max="16" width="12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321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4" t="s">
        <v>4</v>
      </c>
      <c r="B6" s="1385"/>
      <c r="C6" s="1385"/>
      <c r="D6" s="1385"/>
      <c r="E6" s="1385"/>
      <c r="F6" s="1385"/>
      <c r="G6" s="1386"/>
      <c r="H6" s="1037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823">
        <f t="shared" ref="L19:N19" ca="1" si="0">L20+L21</f>
        <v>1453437</v>
      </c>
      <c r="M19" s="824">
        <f t="shared" ca="1" si="0"/>
        <v>1562309</v>
      </c>
      <c r="N19" s="824">
        <f t="shared" ca="1" si="0"/>
        <v>860587.8600000001</v>
      </c>
      <c r="O19" s="824">
        <f t="shared" ref="O19:O27" ca="1" si="1">IF(L19&gt;0,N19*100/L19,0)</f>
        <v>59.210537505237596</v>
      </c>
      <c r="P19" s="824">
        <f t="shared" ref="P19:P27" ca="1" si="2">IF(M19&gt;0,N19*100/M19,0)</f>
        <v>55.084356551744897</v>
      </c>
      <c r="Q19" s="824">
        <f t="shared" ref="Q19:S19" ca="1" si="3">Q20+Q21</f>
        <v>1198439.3900000001</v>
      </c>
      <c r="R19" s="824">
        <f t="shared" ca="1" si="3"/>
        <v>1135939</v>
      </c>
      <c r="S19" s="824">
        <f t="shared" ca="1" si="3"/>
        <v>37195</v>
      </c>
      <c r="T19" s="824">
        <f t="shared" ref="T19:T27" ca="1" si="4">IF(Q19&gt;0,S19*100/Q19,0)</f>
        <v>3.1036196165080985</v>
      </c>
      <c r="U19" s="824">
        <f t="shared" ref="U19:U27" ca="1" si="5">IF(R19&gt;0,S19*100/R19,0)</f>
        <v>3.2743835716530554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832">
        <f t="shared" ref="L20:N21" si="6">L23+L26</f>
        <v>0</v>
      </c>
      <c r="M20" s="833">
        <f t="shared" si="6"/>
        <v>0</v>
      </c>
      <c r="N20" s="833">
        <f t="shared" si="6"/>
        <v>0</v>
      </c>
      <c r="O20" s="833">
        <f t="shared" si="1"/>
        <v>0</v>
      </c>
      <c r="P20" s="833">
        <f t="shared" si="2"/>
        <v>0</v>
      </c>
      <c r="Q20" s="833">
        <f t="shared" ref="Q20:S21" si="7">Q23+Q26</f>
        <v>0</v>
      </c>
      <c r="R20" s="833">
        <f t="shared" si="7"/>
        <v>0</v>
      </c>
      <c r="S20" s="833">
        <f t="shared" si="7"/>
        <v>0</v>
      </c>
      <c r="T20" s="833">
        <f t="shared" si="4"/>
        <v>0</v>
      </c>
      <c r="U20" s="83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834">
        <f t="shared" ca="1" si="6"/>
        <v>1453437</v>
      </c>
      <c r="M21" s="835">
        <f t="shared" ca="1" si="6"/>
        <v>1562309</v>
      </c>
      <c r="N21" s="835">
        <f t="shared" ca="1" si="6"/>
        <v>860587.8600000001</v>
      </c>
      <c r="O21" s="835">
        <f t="shared" ca="1" si="1"/>
        <v>59.210537505237596</v>
      </c>
      <c r="P21" s="835">
        <f t="shared" ca="1" si="2"/>
        <v>55.084356551744897</v>
      </c>
      <c r="Q21" s="835">
        <f t="shared" ca="1" si="7"/>
        <v>1198439.3900000001</v>
      </c>
      <c r="R21" s="835">
        <f t="shared" ca="1" si="7"/>
        <v>1135939</v>
      </c>
      <c r="S21" s="835">
        <f t="shared" ca="1" si="7"/>
        <v>37195</v>
      </c>
      <c r="T21" s="835">
        <f t="shared" ca="1" si="4"/>
        <v>3.1036196165080985</v>
      </c>
      <c r="U21" s="835">
        <f t="shared" ca="1" si="5"/>
        <v>3.2743835716530554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131">
        <f t="shared" ref="L22:N22" ca="1" si="8">L23+L24</f>
        <v>1453437</v>
      </c>
      <c r="M22" s="132">
        <f t="shared" ca="1" si="8"/>
        <v>1562309</v>
      </c>
      <c r="N22" s="132">
        <f t="shared" ca="1" si="8"/>
        <v>860587.8600000001</v>
      </c>
      <c r="O22" s="132">
        <f t="shared" ca="1" si="1"/>
        <v>59.210537505237596</v>
      </c>
      <c r="P22" s="132">
        <f t="shared" ca="1" si="2"/>
        <v>55.084356551744897</v>
      </c>
      <c r="Q22" s="132">
        <f t="shared" ref="Q22:S22" ca="1" si="9">Q23+Q24</f>
        <v>1198439.3900000001</v>
      </c>
      <c r="R22" s="132">
        <f t="shared" ca="1" si="9"/>
        <v>1135939</v>
      </c>
      <c r="S22" s="132">
        <f t="shared" ca="1" si="9"/>
        <v>37195</v>
      </c>
      <c r="T22" s="132">
        <f t="shared" ca="1" si="4"/>
        <v>3.1036196165080985</v>
      </c>
      <c r="U22" s="132">
        <f t="shared" ca="1" si="5"/>
        <v>3.2743835716530554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217">
        <f t="shared" ref="L23:N24" si="10">L49+L64+L77+L99+L130+L144+L162+L191+L178+L271+L287+L308+L325+L338+L361+L518</f>
        <v>0</v>
      </c>
      <c r="M23" s="133">
        <f t="shared" si="10"/>
        <v>0</v>
      </c>
      <c r="N23" s="133">
        <f t="shared" si="10"/>
        <v>0</v>
      </c>
      <c r="O23" s="133">
        <f t="shared" si="1"/>
        <v>0</v>
      </c>
      <c r="P23" s="133">
        <f t="shared" si="2"/>
        <v>0</v>
      </c>
      <c r="Q23" s="133">
        <f t="shared" ref="Q23:S24" si="11">Q77+Q99+Q122+Q144+Q162+Q178+Q191+Q271+Q287+Q308+Q338+Q380+Q397+Q418+Q498+Q604+Q621+Q647+Q695+Q719+Q733+Q764</f>
        <v>0</v>
      </c>
      <c r="R23" s="133">
        <f t="shared" si="11"/>
        <v>0</v>
      </c>
      <c r="S23" s="133">
        <f t="shared" si="11"/>
        <v>0</v>
      </c>
      <c r="T23" s="133">
        <f t="shared" si="4"/>
        <v>0</v>
      </c>
      <c r="U23" s="133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131">
        <f t="shared" ca="1" si="10"/>
        <v>1453437</v>
      </c>
      <c r="M24" s="132">
        <f t="shared" ca="1" si="10"/>
        <v>1562309</v>
      </c>
      <c r="N24" s="132">
        <f t="shared" ca="1" si="10"/>
        <v>860587.8600000001</v>
      </c>
      <c r="O24" s="132">
        <f t="shared" ca="1" si="1"/>
        <v>59.210537505237596</v>
      </c>
      <c r="P24" s="132">
        <f t="shared" ca="1" si="2"/>
        <v>55.084356551744897</v>
      </c>
      <c r="Q24" s="132">
        <f t="shared" ca="1" si="11"/>
        <v>1198439.3900000001</v>
      </c>
      <c r="R24" s="132">
        <f t="shared" ca="1" si="11"/>
        <v>1135939</v>
      </c>
      <c r="S24" s="132">
        <f t="shared" ca="1" si="11"/>
        <v>37195</v>
      </c>
      <c r="T24" s="132">
        <f t="shared" ca="1" si="4"/>
        <v>3.1036196165080985</v>
      </c>
      <c r="U24" s="132">
        <f t="shared" ca="1" si="5"/>
        <v>3.2743835716530554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131">
        <f t="shared" ref="L25:N25" ca="1" si="12">L26+L27</f>
        <v>0</v>
      </c>
      <c r="M25" s="132">
        <f t="shared" ca="1" si="12"/>
        <v>0</v>
      </c>
      <c r="N25" s="132">
        <f t="shared" ca="1" si="12"/>
        <v>0</v>
      </c>
      <c r="O25" s="132">
        <f t="shared" ca="1" si="1"/>
        <v>0</v>
      </c>
      <c r="P25" s="132">
        <f t="shared" ca="1" si="2"/>
        <v>0</v>
      </c>
      <c r="Q25" s="132">
        <f t="shared" ref="Q25:S25" si="13">Q26+Q27</f>
        <v>0</v>
      </c>
      <c r="R25" s="132">
        <f t="shared" si="13"/>
        <v>0</v>
      </c>
      <c r="S25" s="132">
        <f t="shared" si="13"/>
        <v>0</v>
      </c>
      <c r="T25" s="132">
        <f t="shared" si="4"/>
        <v>0</v>
      </c>
      <c r="U25" s="132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217">
        <f t="shared" ref="L26:N27" si="14">L52+L67+L80+L102+L133+L147+L165+L194+L181+L274+L290+L311+L328+L341+L364+L521</f>
        <v>0</v>
      </c>
      <c r="M26" s="133">
        <f t="shared" si="14"/>
        <v>0</v>
      </c>
      <c r="N26" s="133">
        <f t="shared" si="14"/>
        <v>0</v>
      </c>
      <c r="O26" s="133">
        <f t="shared" si="1"/>
        <v>0</v>
      </c>
      <c r="P26" s="133">
        <f t="shared" si="2"/>
        <v>0</v>
      </c>
      <c r="Q26" s="133">
        <f t="shared" ref="Q26:S27" si="15">Q80+Q102+Q125+Q147+Q165+Q181+Q194+Q274+Q290+Q311+Q341+Q383+Q400+Q421+Q501+Q607+Q624+Q650+Q698+Q722+Q736+Q767</f>
        <v>0</v>
      </c>
      <c r="R26" s="133">
        <f t="shared" si="15"/>
        <v>0</v>
      </c>
      <c r="S26" s="133">
        <f t="shared" si="15"/>
        <v>0</v>
      </c>
      <c r="T26" s="133">
        <f t="shared" si="4"/>
        <v>0</v>
      </c>
      <c r="U26" s="133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131">
        <f t="shared" ca="1" si="14"/>
        <v>0</v>
      </c>
      <c r="M27" s="132">
        <f t="shared" ca="1" si="14"/>
        <v>0</v>
      </c>
      <c r="N27" s="132">
        <f t="shared" ca="1" si="14"/>
        <v>0</v>
      </c>
      <c r="O27" s="132">
        <f t="shared" ca="1" si="1"/>
        <v>0</v>
      </c>
      <c r="P27" s="132">
        <f t="shared" ca="1" si="2"/>
        <v>0</v>
      </c>
      <c r="Q27" s="133">
        <f t="shared" si="15"/>
        <v>0</v>
      </c>
      <c r="R27" s="133">
        <f t="shared" si="15"/>
        <v>0</v>
      </c>
      <c r="S27" s="133">
        <f t="shared" si="15"/>
        <v>0</v>
      </c>
      <c r="T27" s="132">
        <f t="shared" si="4"/>
        <v>0</v>
      </c>
      <c r="U27" s="132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81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851">
        <f t="shared" ref="L41:N41" ca="1" si="16">L45+L60+L73+L95+L126+L140+L158+L174+L187+L267+L283+L304+L321+L334+L357</f>
        <v>1453437</v>
      </c>
      <c r="M41" s="852">
        <f t="shared" ca="1" si="16"/>
        <v>1562309</v>
      </c>
      <c r="N41" s="852">
        <f t="shared" ca="1" si="16"/>
        <v>860587.8600000001</v>
      </c>
      <c r="O41" s="852">
        <f ca="1">IF(L41&gt;0,N41*100/L41,0)</f>
        <v>59.210537505237596</v>
      </c>
      <c r="P41" s="852">
        <f ca="1">IF(M41&gt;0,N41*100/M41,0)</f>
        <v>55.084356551744897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859">
        <f t="shared" ref="L45:N45" ca="1" si="17">L46+L47</f>
        <v>202842</v>
      </c>
      <c r="M45" s="860">
        <f t="shared" ca="1" si="17"/>
        <v>293774</v>
      </c>
      <c r="N45" s="860">
        <f t="shared" ca="1" si="17"/>
        <v>182497</v>
      </c>
      <c r="O45" s="860">
        <f t="shared" ref="O45:O53" ca="1" si="18">IF(L45&gt;0,N45*100/L45,0)</f>
        <v>89.970025931513192</v>
      </c>
      <c r="P45" s="860">
        <f t="shared" ref="P45:P53" ca="1" si="19">IF(M45&gt;0,N45*100/M45,0)</f>
        <v>62.121562834015265</v>
      </c>
      <c r="Q45" s="860">
        <f t="shared" ref="Q45:S45" si="20">Q46+Q47</f>
        <v>0</v>
      </c>
      <c r="R45" s="860">
        <f t="shared" si="20"/>
        <v>0</v>
      </c>
      <c r="S45" s="860">
        <f t="shared" si="20"/>
        <v>0</v>
      </c>
      <c r="T45" s="860">
        <f t="shared" ref="T45:T53" si="21">IF(Q45&gt;0,S45*100/Q45,0)</f>
        <v>0</v>
      </c>
      <c r="U45" s="860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">
        <f t="shared" ref="L46:N47" si="23">L49+L52</f>
        <v>0</v>
      </c>
      <c r="M46" s="128">
        <f t="shared" si="23"/>
        <v>0</v>
      </c>
      <c r="N46" s="128">
        <f t="shared" si="23"/>
        <v>0</v>
      </c>
      <c r="O46" s="128">
        <f t="shared" si="18"/>
        <v>0</v>
      </c>
      <c r="P46" s="128">
        <f t="shared" si="19"/>
        <v>0</v>
      </c>
      <c r="Q46" s="128">
        <f t="shared" ref="Q46:S47" si="24">Q49+Q52</f>
        <v>0</v>
      </c>
      <c r="R46" s="128">
        <f t="shared" si="24"/>
        <v>0</v>
      </c>
      <c r="S46" s="128">
        <f t="shared" si="24"/>
        <v>0</v>
      </c>
      <c r="T46" s="128">
        <f t="shared" si="21"/>
        <v>0</v>
      </c>
      <c r="U46" s="128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9">
        <f t="shared" ca="1" si="23"/>
        <v>202842</v>
      </c>
      <c r="M47" s="130">
        <f t="shared" ca="1" si="23"/>
        <v>293774</v>
      </c>
      <c r="N47" s="130">
        <f t="shared" ca="1" si="23"/>
        <v>182497</v>
      </c>
      <c r="O47" s="130">
        <f t="shared" ca="1" si="18"/>
        <v>89.970025931513192</v>
      </c>
      <c r="P47" s="130">
        <f t="shared" ca="1" si="19"/>
        <v>62.121562834015265</v>
      </c>
      <c r="Q47" s="130">
        <f t="shared" si="24"/>
        <v>0</v>
      </c>
      <c r="R47" s="130">
        <f t="shared" si="24"/>
        <v>0</v>
      </c>
      <c r="S47" s="130">
        <f t="shared" si="24"/>
        <v>0</v>
      </c>
      <c r="T47" s="130">
        <f t="shared" si="21"/>
        <v>0</v>
      </c>
      <c r="U47" s="130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131">
        <f t="shared" ref="L48:N48" ca="1" si="25">L49+L50</f>
        <v>202842</v>
      </c>
      <c r="M48" s="132">
        <f t="shared" ca="1" si="25"/>
        <v>293774</v>
      </c>
      <c r="N48" s="132">
        <f t="shared" ca="1" si="25"/>
        <v>182497</v>
      </c>
      <c r="O48" s="132">
        <f t="shared" ca="1" si="18"/>
        <v>89.970025931513192</v>
      </c>
      <c r="P48" s="132">
        <f t="shared" ca="1" si="19"/>
        <v>62.121562834015265</v>
      </c>
      <c r="Q48" s="132">
        <f t="shared" ref="Q48:S48" si="26">Q49+Q50</f>
        <v>0</v>
      </c>
      <c r="R48" s="132">
        <f t="shared" si="26"/>
        <v>0</v>
      </c>
      <c r="S48" s="132">
        <f t="shared" si="26"/>
        <v>0</v>
      </c>
      <c r="T48" s="132">
        <f t="shared" si="21"/>
        <v>0</v>
      </c>
      <c r="U48" s="132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133">
        <f t="shared" si="18"/>
        <v>0</v>
      </c>
      <c r="P49" s="133">
        <f t="shared" si="19"/>
        <v>0</v>
      </c>
      <c r="Q49" s="77">
        <v>0</v>
      </c>
      <c r="R49" s="77">
        <v>0</v>
      </c>
      <c r="S49" s="77">
        <v>0</v>
      </c>
      <c r="T49" s="133">
        <f t="shared" si="21"/>
        <v>0</v>
      </c>
      <c r="U49" s="133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131">
        <f ca="1">IFERROR(__xludf.DUMMYFUNCTION("IMPORTRANGE(""https://docs.google.com/spreadsheets/d/1-uDff_7J0KD5mKrp0Vvzr7lt3OU09vwQwhkpOPPYv2Y/edit?usp=sharing"",""งบพรบ!P54"")"),202842)</f>
        <v>202842</v>
      </c>
      <c r="M50" s="132">
        <f ca="1">IFERROR(__xludf.DUMMYFUNCTION("IMPORTRANGE(""https://docs.google.com/spreadsheets/d/1-uDff_7J0KD5mKrp0Vvzr7lt3OU09vwQwhkpOPPYv2Y/edit?usp=sharing"",""งบพรบ!V54"")"),293774)</f>
        <v>293774</v>
      </c>
      <c r="N50" s="132">
        <f ca="1">IFERROR(__xludf.DUMMYFUNCTION("IMPORTRANGE(""https://docs.google.com/spreadsheets/d/1-uDff_7J0KD5mKrp0Vvzr7lt3OU09vwQwhkpOPPYv2Y/edit?usp=sharing"",""งบพรบ!Y54"")"),182497)</f>
        <v>182497</v>
      </c>
      <c r="O50" s="132">
        <f t="shared" ca="1" si="18"/>
        <v>89.970025931513192</v>
      </c>
      <c r="P50" s="132">
        <f t="shared" ca="1" si="19"/>
        <v>62.121562834015265</v>
      </c>
      <c r="Q50" s="74">
        <v>0</v>
      </c>
      <c r="R50" s="74">
        <v>0</v>
      </c>
      <c r="S50" s="74">
        <v>0</v>
      </c>
      <c r="T50" s="132">
        <f t="shared" si="21"/>
        <v>0</v>
      </c>
      <c r="U50" s="132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131">
        <f t="shared" ref="L51:N51" ca="1" si="27">L52+L53</f>
        <v>0</v>
      </c>
      <c r="M51" s="132">
        <f t="shared" ca="1" si="27"/>
        <v>0</v>
      </c>
      <c r="N51" s="132">
        <f t="shared" ca="1" si="27"/>
        <v>0</v>
      </c>
      <c r="O51" s="132">
        <f t="shared" ca="1" si="18"/>
        <v>0</v>
      </c>
      <c r="P51" s="132">
        <f t="shared" ca="1" si="19"/>
        <v>0</v>
      </c>
      <c r="Q51" s="132">
        <f t="shared" ref="Q51:S51" si="28">Q52+Q53</f>
        <v>0</v>
      </c>
      <c r="R51" s="132">
        <f t="shared" si="28"/>
        <v>0</v>
      </c>
      <c r="S51" s="132">
        <f t="shared" si="28"/>
        <v>0</v>
      </c>
      <c r="T51" s="132">
        <f t="shared" si="21"/>
        <v>0</v>
      </c>
      <c r="U51" s="132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133">
        <f t="shared" si="18"/>
        <v>0</v>
      </c>
      <c r="P52" s="133">
        <f t="shared" si="19"/>
        <v>0</v>
      </c>
      <c r="Q52" s="77">
        <v>0</v>
      </c>
      <c r="R52" s="77">
        <v>0</v>
      </c>
      <c r="S52" s="77">
        <v>0</v>
      </c>
      <c r="T52" s="133">
        <f t="shared" si="21"/>
        <v>0</v>
      </c>
      <c r="U52" s="133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131">
        <f ca="1">IFERROR(__xludf.DUMMYFUNCTION("IMPORTRANGE(""https://docs.google.com/spreadsheets/d/1-uDff_7J0KD5mKrp0Vvzr7lt3OU09vwQwhkpOPPYv2Y/edit?usp=sharing"",""งบพรบ!S54"")"),0)</f>
        <v>0</v>
      </c>
      <c r="M53" s="132">
        <f ca="1">IFERROR(__xludf.DUMMYFUNCTION("IMPORTRANGE(""https://docs.google.com/spreadsheets/d/1-uDff_7J0KD5mKrp0Vvzr7lt3OU09vwQwhkpOPPYv2Y/edit?usp=sharing"",""งบพรบ!W54"")"),0)</f>
        <v>0</v>
      </c>
      <c r="N53" s="132">
        <f ca="1">IFERROR(__xludf.DUMMYFUNCTION("IMPORTRANGE(""https://docs.google.com/spreadsheets/d/1-uDff_7J0KD5mKrp0Vvzr7lt3OU09vwQwhkpOPPYv2Y/edit?usp=sharing"",""งบพรบ!Z54"")"),0)</f>
        <v>0</v>
      </c>
      <c r="O53" s="132">
        <f t="shared" ca="1" si="18"/>
        <v>0</v>
      </c>
      <c r="P53" s="132">
        <f t="shared" ca="1" si="19"/>
        <v>0</v>
      </c>
      <c r="Q53" s="74">
        <v>0</v>
      </c>
      <c r="R53" s="74">
        <v>0</v>
      </c>
      <c r="S53" s="74">
        <v>0</v>
      </c>
      <c r="T53" s="132">
        <f t="shared" si="21"/>
        <v>0</v>
      </c>
      <c r="U53" s="132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65">
        <f t="shared" ref="L60:N60" ca="1" si="29">L61+L62</f>
        <v>419200</v>
      </c>
      <c r="M60" s="166">
        <f t="shared" ca="1" si="29"/>
        <v>419200</v>
      </c>
      <c r="N60" s="166">
        <f t="shared" ca="1" si="29"/>
        <v>256991.81</v>
      </c>
      <c r="O60" s="166">
        <f t="shared" ref="O60:O68" ca="1" si="30">IF(L60&gt;0,N60*100/L60,0)</f>
        <v>61.305298187022899</v>
      </c>
      <c r="P60" s="166">
        <f t="shared" ref="P60:P68" ca="1" si="31">IF(M60&gt;0,N60*100/M60,0)</f>
        <v>61.305298187022899</v>
      </c>
      <c r="Q60" s="166">
        <f t="shared" ref="Q60:S60" si="32">Q61+Q62</f>
        <v>0</v>
      </c>
      <c r="R60" s="166">
        <f t="shared" si="32"/>
        <v>0</v>
      </c>
      <c r="S60" s="166">
        <f t="shared" si="32"/>
        <v>0</v>
      </c>
      <c r="T60" s="166">
        <f t="shared" ref="T60:T68" si="33">IF(Q60&gt;0,S60*100/Q60,0)</f>
        <v>0</v>
      </c>
      <c r="U60" s="166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70">
        <f t="shared" ref="L61:N62" si="35">L64+L67</f>
        <v>0</v>
      </c>
      <c r="M61" s="171">
        <f t="shared" si="35"/>
        <v>0</v>
      </c>
      <c r="N61" s="171">
        <f t="shared" si="35"/>
        <v>0</v>
      </c>
      <c r="O61" s="171">
        <f t="shared" si="30"/>
        <v>0</v>
      </c>
      <c r="P61" s="171">
        <f t="shared" si="31"/>
        <v>0</v>
      </c>
      <c r="Q61" s="171">
        <f t="shared" ref="Q61:S62" si="36">Q64+Q67</f>
        <v>0</v>
      </c>
      <c r="R61" s="171">
        <f t="shared" si="36"/>
        <v>0</v>
      </c>
      <c r="S61" s="171">
        <f t="shared" si="36"/>
        <v>0</v>
      </c>
      <c r="T61" s="171">
        <f t="shared" si="33"/>
        <v>0</v>
      </c>
      <c r="U61" s="171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72">
        <f t="shared" ca="1" si="35"/>
        <v>419200</v>
      </c>
      <c r="M62" s="173">
        <f t="shared" ca="1" si="35"/>
        <v>419200</v>
      </c>
      <c r="N62" s="173">
        <f t="shared" ca="1" si="35"/>
        <v>256991.81</v>
      </c>
      <c r="O62" s="173">
        <f t="shared" ca="1" si="30"/>
        <v>61.305298187022899</v>
      </c>
      <c r="P62" s="173">
        <f t="shared" ca="1" si="31"/>
        <v>61.305298187022899</v>
      </c>
      <c r="Q62" s="173">
        <f t="shared" si="36"/>
        <v>0</v>
      </c>
      <c r="R62" s="173">
        <f t="shared" si="36"/>
        <v>0</v>
      </c>
      <c r="S62" s="173">
        <f t="shared" si="36"/>
        <v>0</v>
      </c>
      <c r="T62" s="173">
        <f t="shared" si="33"/>
        <v>0</v>
      </c>
      <c r="U62" s="173">
        <f t="shared" si="34"/>
        <v>0</v>
      </c>
    </row>
    <row r="63" spans="1:21" ht="18.75" x14ac:dyDescent="0.25">
      <c r="A63" s="550"/>
      <c r="B63" s="269"/>
      <c r="C63" s="269"/>
      <c r="D63" s="967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131">
        <f t="shared" ref="L63:N63" ca="1" si="37">L64+L65</f>
        <v>419200</v>
      </c>
      <c r="M63" s="132">
        <f t="shared" ca="1" si="37"/>
        <v>419200</v>
      </c>
      <c r="N63" s="132">
        <f t="shared" ca="1" si="37"/>
        <v>256991.81</v>
      </c>
      <c r="O63" s="132">
        <f t="shared" ca="1" si="30"/>
        <v>61.305298187022899</v>
      </c>
      <c r="P63" s="132">
        <f t="shared" ca="1" si="31"/>
        <v>61.305298187022899</v>
      </c>
      <c r="Q63" s="132">
        <f t="shared" ref="Q63:S63" si="38">Q64+Q65</f>
        <v>0</v>
      </c>
      <c r="R63" s="132">
        <f t="shared" si="38"/>
        <v>0</v>
      </c>
      <c r="S63" s="132">
        <f t="shared" si="38"/>
        <v>0</v>
      </c>
      <c r="T63" s="132">
        <f t="shared" si="33"/>
        <v>0</v>
      </c>
      <c r="U63" s="132">
        <f t="shared" si="34"/>
        <v>0</v>
      </c>
    </row>
    <row r="64" spans="1:21" ht="18.75" hidden="1" x14ac:dyDescent="0.25">
      <c r="A64" s="550"/>
      <c r="B64" s="258"/>
      <c r="C64" s="269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133">
        <f t="shared" si="30"/>
        <v>0</v>
      </c>
      <c r="P64" s="133">
        <f t="shared" si="31"/>
        <v>0</v>
      </c>
      <c r="Q64" s="77">
        <v>0</v>
      </c>
      <c r="R64" s="77">
        <v>0</v>
      </c>
      <c r="S64" s="77">
        <v>0</v>
      </c>
      <c r="T64" s="133">
        <f t="shared" si="33"/>
        <v>0</v>
      </c>
      <c r="U64" s="133">
        <f t="shared" si="34"/>
        <v>0</v>
      </c>
    </row>
    <row r="65" spans="1:21" ht="18.75" hidden="1" x14ac:dyDescent="0.25">
      <c r="A65" s="257"/>
      <c r="B65" s="258"/>
      <c r="C65" s="258"/>
      <c r="D65" s="269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131">
        <f ca="1">IFERROR(__xludf.DUMMYFUNCTION("IMPORTRANGE(""https://docs.google.com/spreadsheets/d/1-uDff_7J0KD5mKrp0Vvzr7lt3OU09vwQwhkpOPPYv2Y/edit?usp=sharing"",""งบพรบ!AC54"")"),419200)</f>
        <v>419200</v>
      </c>
      <c r="M65" s="132">
        <f ca="1">IFERROR(__xludf.DUMMYFUNCTION("IMPORTRANGE(""https://docs.google.com/spreadsheets/d/1-uDff_7J0KD5mKrp0Vvzr7lt3OU09vwQwhkpOPPYv2Y/edit?usp=sharing"",""งบพรบ!AH54"")"),419200)</f>
        <v>419200</v>
      </c>
      <c r="N65" s="132">
        <f ca="1">IFERROR(__xludf.DUMMYFUNCTION("IMPORTRANGE(""https://docs.google.com/spreadsheets/d/1-uDff_7J0KD5mKrp0Vvzr7lt3OU09vwQwhkpOPPYv2Y/edit?usp=sharing"",""งบพรบ!AJ54"")"),256991.81)</f>
        <v>256991.81</v>
      </c>
      <c r="O65" s="132">
        <f t="shared" ca="1" si="30"/>
        <v>61.305298187022899</v>
      </c>
      <c r="P65" s="132">
        <f t="shared" ca="1" si="31"/>
        <v>61.305298187022899</v>
      </c>
      <c r="Q65" s="74">
        <v>0</v>
      </c>
      <c r="R65" s="74">
        <v>0</v>
      </c>
      <c r="S65" s="74">
        <v>0</v>
      </c>
      <c r="T65" s="132">
        <f t="shared" si="33"/>
        <v>0</v>
      </c>
      <c r="U65" s="132">
        <f t="shared" si="34"/>
        <v>0</v>
      </c>
    </row>
    <row r="66" spans="1:21" ht="18.75" x14ac:dyDescent="0.25">
      <c r="A66" s="257"/>
      <c r="B66" s="258"/>
      <c r="C66" s="258"/>
      <c r="D66" s="967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131">
        <f t="shared" ref="L66:N66" ca="1" si="39">L67+L68</f>
        <v>0</v>
      </c>
      <c r="M66" s="132">
        <f t="shared" ca="1" si="39"/>
        <v>0</v>
      </c>
      <c r="N66" s="132">
        <f t="shared" ca="1" si="39"/>
        <v>0</v>
      </c>
      <c r="O66" s="132">
        <f t="shared" ca="1" si="30"/>
        <v>0</v>
      </c>
      <c r="P66" s="132">
        <f t="shared" ca="1" si="31"/>
        <v>0</v>
      </c>
      <c r="Q66" s="132">
        <f t="shared" ref="Q66:S66" si="40">Q67+Q68</f>
        <v>0</v>
      </c>
      <c r="R66" s="132">
        <f t="shared" si="40"/>
        <v>0</v>
      </c>
      <c r="S66" s="132">
        <f t="shared" si="40"/>
        <v>0</v>
      </c>
      <c r="T66" s="132">
        <f t="shared" si="33"/>
        <v>0</v>
      </c>
      <c r="U66" s="132">
        <f t="shared" si="34"/>
        <v>0</v>
      </c>
    </row>
    <row r="67" spans="1:21" ht="18.75" x14ac:dyDescent="0.25">
      <c r="A67" s="257"/>
      <c r="B67" s="258"/>
      <c r="C67" s="258"/>
      <c r="D67" s="258"/>
      <c r="E67" s="265" t="s">
        <v>20</v>
      </c>
      <c r="F67" s="258"/>
      <c r="G67" s="261"/>
      <c r="H67" s="266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133">
        <f t="shared" si="30"/>
        <v>0</v>
      </c>
      <c r="P67" s="133">
        <f t="shared" si="31"/>
        <v>0</v>
      </c>
      <c r="Q67" s="77">
        <v>0</v>
      </c>
      <c r="R67" s="77">
        <v>0</v>
      </c>
      <c r="S67" s="77">
        <v>0</v>
      </c>
      <c r="T67" s="133">
        <f t="shared" si="33"/>
        <v>0</v>
      </c>
      <c r="U67" s="133">
        <f t="shared" si="34"/>
        <v>0</v>
      </c>
    </row>
    <row r="68" spans="1:21" ht="18.75" x14ac:dyDescent="0.25">
      <c r="A68" s="1094"/>
      <c r="B68" s="636"/>
      <c r="C68" s="636"/>
      <c r="D68" s="636"/>
      <c r="E68" s="849" t="s">
        <v>21</v>
      </c>
      <c r="F68" s="636"/>
      <c r="G68" s="637"/>
      <c r="H68" s="630" t="s">
        <v>14</v>
      </c>
      <c r="I68" s="631"/>
      <c r="J68" s="631"/>
      <c r="K68" s="98"/>
      <c r="L68" s="878">
        <f ca="1">IFERROR(__xludf.DUMMYFUNCTION("IMPORTRANGE(""https://docs.google.com/spreadsheets/d/1-uDff_7J0KD5mKrp0Vvzr7lt3OU09vwQwhkpOPPYv2Y/edit?usp=sharing"",""งบพรบ!AF54"")"),0)</f>
        <v>0</v>
      </c>
      <c r="M68" s="183">
        <f ca="1">IFERROR(__xludf.DUMMYFUNCTION("IMPORTRANGE(""https://docs.google.com/spreadsheets/d/1-uDff_7J0KD5mKrp0Vvzr7lt3OU09vwQwhkpOPPYv2Y/edit?usp=sharing"",""งบพรบ!AI54"")"),0)</f>
        <v>0</v>
      </c>
      <c r="N68" s="183">
        <f ca="1">IFERROR(__xludf.DUMMYFUNCTION("IMPORTRANGE(""https://docs.google.com/spreadsheets/d/1-uDff_7J0KD5mKrp0Vvzr7lt3OU09vwQwhkpOPPYv2Y/edit?usp=sharing"",""งบพรบ!AK54"")"),0)</f>
        <v>0</v>
      </c>
      <c r="O68" s="183">
        <f t="shared" ca="1" si="30"/>
        <v>0</v>
      </c>
      <c r="P68" s="183">
        <f t="shared" ca="1" si="31"/>
        <v>0</v>
      </c>
      <c r="Q68" s="182">
        <v>0</v>
      </c>
      <c r="R68" s="182">
        <v>0</v>
      </c>
      <c r="S68" s="182">
        <v>0</v>
      </c>
      <c r="T68" s="183">
        <f t="shared" si="33"/>
        <v>0</v>
      </c>
      <c r="U68" s="183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6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hidden="1" x14ac:dyDescent="0.3">
      <c r="A70" s="1099" t="s">
        <v>32</v>
      </c>
      <c r="B70" s="691"/>
      <c r="C70" s="693"/>
      <c r="D70" s="691"/>
      <c r="E70" s="691"/>
      <c r="F70" s="691"/>
      <c r="G70" s="1100"/>
      <c r="H70" s="1101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39" hidden="1" x14ac:dyDescent="0.3">
      <c r="A71" s="250"/>
      <c r="B71" s="251" t="s">
        <v>33</v>
      </c>
      <c r="C71" s="252"/>
      <c r="D71" s="253"/>
      <c r="E71" s="252"/>
      <c r="F71" s="252"/>
      <c r="G71" s="254"/>
      <c r="H71" s="255" t="s">
        <v>34</v>
      </c>
      <c r="I71" s="256">
        <f t="shared" ref="I71:J72" ca="1" si="41">I83</f>
        <v>0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hidden="1" x14ac:dyDescent="0.3">
      <c r="A72" s="250"/>
      <c r="B72" s="252"/>
      <c r="C72" s="252"/>
      <c r="D72" s="253"/>
      <c r="E72" s="252"/>
      <c r="F72" s="252"/>
      <c r="G72" s="254"/>
      <c r="H72" s="255" t="s">
        <v>35</v>
      </c>
      <c r="I72" s="256">
        <f t="shared" ca="1" si="41"/>
        <v>0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hidden="1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214">
        <f t="shared" ref="L73:N73" ca="1" si="43">L74+L75</f>
        <v>0</v>
      </c>
      <c r="M73" s="215">
        <f t="shared" ca="1" si="43"/>
        <v>0</v>
      </c>
      <c r="N73" s="215">
        <f t="shared" ca="1" si="43"/>
        <v>0</v>
      </c>
      <c r="O73" s="215">
        <f t="shared" ref="O73:O81" ca="1" si="44">IF(L73&gt;0,N73*100/L73,0)</f>
        <v>0</v>
      </c>
      <c r="P73" s="215">
        <f t="shared" ref="P73:P81" ca="1" si="45">IF(M73&gt;0,N73*100/M73,0)</f>
        <v>0</v>
      </c>
      <c r="Q73" s="215">
        <f t="shared" ref="Q73:S73" ca="1" si="46">Q74+Q75</f>
        <v>0</v>
      </c>
      <c r="R73" s="215">
        <f t="shared" ca="1" si="46"/>
        <v>0</v>
      </c>
      <c r="S73" s="215">
        <f t="shared" ca="1" si="46"/>
        <v>0</v>
      </c>
      <c r="T73" s="215">
        <f t="shared" ref="T73:T81" ca="1" si="47">IF(Q73&gt;0,S73*100/Q73,0)</f>
        <v>0</v>
      </c>
      <c r="U73" s="215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217">
        <f t="shared" ref="L74:N75" si="49">L77+L80</f>
        <v>0</v>
      </c>
      <c r="M74" s="133">
        <f t="shared" si="49"/>
        <v>0</v>
      </c>
      <c r="N74" s="133">
        <f t="shared" si="49"/>
        <v>0</v>
      </c>
      <c r="O74" s="133">
        <f t="shared" si="44"/>
        <v>0</v>
      </c>
      <c r="P74" s="133">
        <f t="shared" si="45"/>
        <v>0</v>
      </c>
      <c r="Q74" s="133">
        <f t="shared" ref="Q74:S75" si="50">Q77+Q80</f>
        <v>0</v>
      </c>
      <c r="R74" s="133">
        <f t="shared" si="50"/>
        <v>0</v>
      </c>
      <c r="S74" s="133">
        <f t="shared" si="50"/>
        <v>0</v>
      </c>
      <c r="T74" s="133">
        <f t="shared" si="47"/>
        <v>0</v>
      </c>
      <c r="U74" s="133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131">
        <f t="shared" ca="1" si="49"/>
        <v>0</v>
      </c>
      <c r="M75" s="132">
        <f t="shared" ca="1" si="49"/>
        <v>0</v>
      </c>
      <c r="N75" s="132">
        <f t="shared" ca="1" si="49"/>
        <v>0</v>
      </c>
      <c r="O75" s="132">
        <f t="shared" ca="1" si="44"/>
        <v>0</v>
      </c>
      <c r="P75" s="132">
        <f t="shared" ca="1" si="45"/>
        <v>0</v>
      </c>
      <c r="Q75" s="132">
        <f t="shared" ca="1" si="50"/>
        <v>0</v>
      </c>
      <c r="R75" s="132">
        <f t="shared" ca="1" si="50"/>
        <v>0</v>
      </c>
      <c r="S75" s="132">
        <f t="shared" ca="1" si="50"/>
        <v>0</v>
      </c>
      <c r="T75" s="132">
        <f t="shared" ca="1" si="47"/>
        <v>0</v>
      </c>
      <c r="U75" s="132">
        <f t="shared" ca="1" si="48"/>
        <v>0</v>
      </c>
    </row>
    <row r="76" spans="1:21" ht="18.75" hidden="1" x14ac:dyDescent="0.25">
      <c r="A76" s="257"/>
      <c r="B76" s="269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131">
        <f t="shared" ref="L76:N76" ca="1" si="51">L77+L78</f>
        <v>0</v>
      </c>
      <c r="M76" s="132">
        <f t="shared" ca="1" si="51"/>
        <v>0</v>
      </c>
      <c r="N76" s="132">
        <f t="shared" ca="1" si="51"/>
        <v>0</v>
      </c>
      <c r="O76" s="132">
        <f t="shared" ca="1" si="44"/>
        <v>0</v>
      </c>
      <c r="P76" s="132">
        <f t="shared" ca="1" si="45"/>
        <v>0</v>
      </c>
      <c r="Q76" s="132">
        <f t="shared" ref="Q76:S76" ca="1" si="52">Q77+Q78</f>
        <v>0</v>
      </c>
      <c r="R76" s="132">
        <f t="shared" ca="1" si="52"/>
        <v>0</v>
      </c>
      <c r="S76" s="132">
        <f t="shared" ca="1" si="52"/>
        <v>0</v>
      </c>
      <c r="T76" s="132">
        <f t="shared" ca="1" si="47"/>
        <v>0</v>
      </c>
      <c r="U76" s="132">
        <f t="shared" ca="1" si="48"/>
        <v>0</v>
      </c>
    </row>
    <row r="77" spans="1:21" ht="18.75" hidden="1" x14ac:dyDescent="0.25">
      <c r="A77" s="257"/>
      <c r="B77" s="269"/>
      <c r="C77" s="269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133">
        <f t="shared" si="44"/>
        <v>0</v>
      </c>
      <c r="P77" s="133">
        <f t="shared" si="45"/>
        <v>0</v>
      </c>
      <c r="Q77" s="77">
        <v>0</v>
      </c>
      <c r="R77" s="77">
        <v>0</v>
      </c>
      <c r="S77" s="77">
        <v>0</v>
      </c>
      <c r="T77" s="133">
        <f t="shared" si="47"/>
        <v>0</v>
      </c>
      <c r="U77" s="133">
        <f t="shared" si="48"/>
        <v>0</v>
      </c>
    </row>
    <row r="78" spans="1:21" ht="18.75" hidden="1" x14ac:dyDescent="0.25">
      <c r="A78" s="257"/>
      <c r="B78" s="269"/>
      <c r="C78" s="269"/>
      <c r="D78" s="269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131">
        <f ca="1">IFERROR(__xludf.DUMMYFUNCTION("IMPORTRANGE(""https://docs.google.com/spreadsheets/d/1-uDff_7J0KD5mKrp0Vvzr7lt3OU09vwQwhkpOPPYv2Y/edit?usp=sharing"",""งบพรบ!AM54"")"),0)</f>
        <v>0</v>
      </c>
      <c r="M78" s="132">
        <f ca="1">IFERROR(__xludf.DUMMYFUNCTION("IMPORTRANGE(""https://docs.google.com/spreadsheets/d/1-uDff_7J0KD5mKrp0Vvzr7lt3OU09vwQwhkpOPPYv2Y/edit?usp=sharing"",""งบพรบ!AR54"")"),0)</f>
        <v>0</v>
      </c>
      <c r="N78" s="132">
        <f ca="1">IFERROR(__xludf.DUMMYFUNCTION("IMPORTRANGE(""https://docs.google.com/spreadsheets/d/1-uDff_7J0KD5mKrp0Vvzr7lt3OU09vwQwhkpOPPYv2Y/edit?usp=sharing"",""งบพรบ!AT54"")"),0)</f>
        <v>0</v>
      </c>
      <c r="O78" s="132">
        <f t="shared" ca="1" si="44"/>
        <v>0</v>
      </c>
      <c r="P78" s="132">
        <f t="shared" ca="1" si="45"/>
        <v>0</v>
      </c>
      <c r="Q78" s="132">
        <f ca="1">IFERROR(__xludf.DUMMYFUNCTION("IMPORTRANGE(""https://docs.google.com/spreadsheets/d/1ItG2mGa2ceCfYo0BwxsXqNm01IGEUdYcSSLTEv9YCik/edit?usp=sharing"",""เบิกจ่ายกองทุน!AS54"")"),0)</f>
        <v>0</v>
      </c>
      <c r="R78" s="132">
        <f ca="1">IFERROR(__xludf.DUMMYFUNCTION("IMPORTRANGE(""https://docs.google.com/spreadsheets/d/1ItG2mGa2ceCfYo0BwxsXqNm01IGEUdYcSSLTEv9YCik/edit?usp=sharing"",""เบิกจ่ายกองทุน!AT54"")"),0)</f>
        <v>0</v>
      </c>
      <c r="S78" s="132">
        <f ca="1">IFERROR(__xludf.DUMMYFUNCTION("IMPORTRANGE(""https://docs.google.com/spreadsheets/d/1ItG2mGa2ceCfYo0BwxsXqNm01IGEUdYcSSLTEv9YCik/edit?usp=sharing"",""เบิกจ่ายกองทุน!AU54"")"),0)</f>
        <v>0</v>
      </c>
      <c r="T78" s="132">
        <f t="shared" ca="1" si="47"/>
        <v>0</v>
      </c>
      <c r="U78" s="132">
        <f t="shared" ca="1" si="48"/>
        <v>0</v>
      </c>
    </row>
    <row r="79" spans="1:21" ht="18.75" hidden="1" x14ac:dyDescent="0.25">
      <c r="A79" s="257"/>
      <c r="B79" s="269"/>
      <c r="C79" s="269"/>
      <c r="D79" s="967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131">
        <f t="shared" ref="L79:N79" ca="1" si="53">L80+L81</f>
        <v>0</v>
      </c>
      <c r="M79" s="132">
        <f t="shared" ca="1" si="53"/>
        <v>0</v>
      </c>
      <c r="N79" s="132">
        <f t="shared" ca="1" si="53"/>
        <v>0</v>
      </c>
      <c r="O79" s="132">
        <f t="shared" ca="1" si="44"/>
        <v>0</v>
      </c>
      <c r="P79" s="132">
        <f t="shared" ca="1" si="45"/>
        <v>0</v>
      </c>
      <c r="Q79" s="132">
        <f t="shared" ref="Q79:S79" si="54">Q80+Q81</f>
        <v>0</v>
      </c>
      <c r="R79" s="132">
        <f t="shared" si="54"/>
        <v>0</v>
      </c>
      <c r="S79" s="132">
        <f t="shared" si="54"/>
        <v>0</v>
      </c>
      <c r="T79" s="132">
        <f t="shared" si="47"/>
        <v>0</v>
      </c>
      <c r="U79" s="132">
        <f t="shared" si="48"/>
        <v>0</v>
      </c>
    </row>
    <row r="80" spans="1:21" ht="18.75" hidden="1" x14ac:dyDescent="0.25">
      <c r="A80" s="257"/>
      <c r="B80" s="269"/>
      <c r="C80" s="269"/>
      <c r="D80" s="269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133">
        <f t="shared" si="44"/>
        <v>0</v>
      </c>
      <c r="P80" s="133">
        <f t="shared" si="45"/>
        <v>0</v>
      </c>
      <c r="Q80" s="77">
        <v>0</v>
      </c>
      <c r="R80" s="74">
        <v>0</v>
      </c>
      <c r="S80" s="74">
        <v>0</v>
      </c>
      <c r="T80" s="133">
        <f t="shared" si="47"/>
        <v>0</v>
      </c>
      <c r="U80" s="133">
        <f t="shared" si="48"/>
        <v>0</v>
      </c>
    </row>
    <row r="81" spans="1:21" ht="18.75" hidden="1" x14ac:dyDescent="0.25">
      <c r="A81" s="257"/>
      <c r="B81" s="269"/>
      <c r="C81" s="269"/>
      <c r="D81" s="269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131">
        <f ca="1">IFERROR(__xludf.DUMMYFUNCTION("IMPORTRANGE(""https://docs.google.com/spreadsheets/d/1-uDff_7J0KD5mKrp0Vvzr7lt3OU09vwQwhkpOPPYv2Y/edit?usp=sharing"",""งบพรบ!AP54"")"),0)</f>
        <v>0</v>
      </c>
      <c r="M81" s="132">
        <f ca="1">IFERROR(__xludf.DUMMYFUNCTION("IMPORTRANGE(""https://docs.google.com/spreadsheets/d/1-uDff_7J0KD5mKrp0Vvzr7lt3OU09vwQwhkpOPPYv2Y/edit?usp=sharing"",""งบพรบ!AS54"")"),0)</f>
        <v>0</v>
      </c>
      <c r="N81" s="132">
        <f ca="1">IFERROR(__xludf.DUMMYFUNCTION("IMPORTRANGE(""https://docs.google.com/spreadsheets/d/1-uDff_7J0KD5mKrp0Vvzr7lt3OU09vwQwhkpOPPYv2Y/edit?usp=sharing"",""งบพรบ!AU54"")"),0)</f>
        <v>0</v>
      </c>
      <c r="O81" s="132">
        <f t="shared" ca="1" si="44"/>
        <v>0</v>
      </c>
      <c r="P81" s="132">
        <f t="shared" ca="1" si="45"/>
        <v>0</v>
      </c>
      <c r="Q81" s="74">
        <v>0</v>
      </c>
      <c r="R81" s="74">
        <v>0</v>
      </c>
      <c r="S81" s="74">
        <v>0</v>
      </c>
      <c r="T81" s="132">
        <f t="shared" si="47"/>
        <v>0</v>
      </c>
      <c r="U81" s="132">
        <f t="shared" si="48"/>
        <v>0</v>
      </c>
    </row>
    <row r="82" spans="1:21" ht="19.5" hidden="1" x14ac:dyDescent="0.3">
      <c r="A82" s="276"/>
      <c r="B82" s="277"/>
      <c r="C82" s="621" t="s">
        <v>18</v>
      </c>
      <c r="D82" s="968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hidden="1" x14ac:dyDescent="0.3">
      <c r="A83" s="276"/>
      <c r="B83" s="277"/>
      <c r="C83" s="277"/>
      <c r="D83" s="1103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0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hidden="1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0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hidden="1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IFERROR(__xludf.DUMMYFUNCTION("IMPORTRANGE(""https://docs.google.com/spreadsheets/d/1eHaY18a8A9IcSdp1K8H6x8fbOy06t2VsZHhMHf-1x7Y/edit?usp=sharing"",""แผน!H54"")"),0)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hidden="1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IFERROR(__xludf.DUMMYFUNCTION("IMPORTRANGE(""https://docs.google.com/spreadsheets/d/1eHaY18a8A9IcSdp1K8H6x8fbOy06t2VsZHhMHf-1x7Y/edit?usp=sharing"",""แผน!I54"")"),0)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hidden="1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IFERROR(__xludf.DUMMYFUNCTION("IMPORTRANGE(""https://docs.google.com/spreadsheets/d/1eHaY18a8A9IcSdp1K8H6x8fbOy06t2VsZHhMHf-1x7Y/edit?usp=sharing"",""แผน!F54"")"),0)</f>
        <v>0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hidden="1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IFERROR(__xludf.DUMMYFUNCTION("IMPORTRANGE(""https://docs.google.com/spreadsheets/d/1eHaY18a8A9IcSdp1K8H6x8fbOy06t2VsZHhMHf-1x7Y/edit?usp=sharing"",""แผน!G54"")"),0)</f>
        <v>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hidden="1" x14ac:dyDescent="0.25">
      <c r="A89" s="276"/>
      <c r="B89" s="277"/>
      <c r="C89" s="277"/>
      <c r="D89" s="277"/>
      <c r="E89" s="295" t="s">
        <v>42</v>
      </c>
      <c r="F89" s="296"/>
      <c r="G89" s="282"/>
      <c r="H89" s="275" t="s">
        <v>34</v>
      </c>
      <c r="I89" s="298">
        <f ca="1">IFERROR(__xludf.DUMMYFUNCTION("IMPORTRANGE(""https://docs.google.com/spreadsheets/d/1eHaY18a8A9IcSdp1K8H6x8fbOy06t2VsZHhMHf-1x7Y/edit?usp=sharing"",""แผน!D54"")"),0)</f>
        <v>0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hidden="1" x14ac:dyDescent="0.25">
      <c r="A90" s="276"/>
      <c r="B90" s="277"/>
      <c r="C90" s="277"/>
      <c r="D90" s="277"/>
      <c r="E90" s="296"/>
      <c r="F90" s="296"/>
      <c r="G90" s="282"/>
      <c r="H90" s="275" t="s">
        <v>35</v>
      </c>
      <c r="I90" s="298">
        <f ca="1">IFERROR(__xludf.DUMMYFUNCTION("IMPORTRANGE(""https://docs.google.com/spreadsheets/d/1eHaY18a8A9IcSdp1K8H6x8fbOy06t2VsZHhMHf-1x7Y/edit?usp=sharing"",""แผน!E54"")"),0)</f>
        <v>0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hidden="1" x14ac:dyDescent="0.25">
      <c r="A91" s="276"/>
      <c r="B91" s="277"/>
      <c r="C91" s="277"/>
      <c r="D91" s="767" t="s">
        <v>43</v>
      </c>
      <c r="E91" s="296"/>
      <c r="F91" s="296"/>
      <c r="G91" s="282"/>
      <c r="H91" s="271" t="s">
        <v>34</v>
      </c>
      <c r="I91" s="298">
        <f ca="1">IFERROR(__xludf.DUMMYFUNCTION("IMPORTRANGE(""https://docs.google.com/spreadsheets/d/1eHaY18a8A9IcSdp1K8H6x8fbOy06t2VsZHhMHf-1x7Y/edit?usp=sharing"",""แผน!J54"")"),0)</f>
        <v>0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x14ac:dyDescent="0.3">
      <c r="A92" s="1099" t="s">
        <v>44</v>
      </c>
      <c r="B92" s="691"/>
      <c r="C92" s="693"/>
      <c r="D92" s="691"/>
      <c r="E92" s="691"/>
      <c r="F92" s="691"/>
      <c r="G92" s="1100"/>
      <c r="H92" s="1101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x14ac:dyDescent="0.3">
      <c r="A93" s="250"/>
      <c r="B93" s="251" t="s">
        <v>45</v>
      </c>
      <c r="C93" s="252"/>
      <c r="D93" s="253"/>
      <c r="E93" s="252"/>
      <c r="F93" s="252"/>
      <c r="G93" s="254"/>
      <c r="H93" s="255" t="s">
        <v>46</v>
      </c>
      <c r="I93" s="256">
        <f t="shared" ref="I93:J94" ca="1" si="57">I109</f>
        <v>36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x14ac:dyDescent="0.3">
      <c r="A94" s="250"/>
      <c r="B94" s="252"/>
      <c r="C94" s="252"/>
      <c r="D94" s="253"/>
      <c r="E94" s="252"/>
      <c r="F94" s="252"/>
      <c r="G94" s="254"/>
      <c r="H94" s="255" t="s">
        <v>35</v>
      </c>
      <c r="I94" s="256">
        <f t="shared" ca="1" si="57"/>
        <v>12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214">
        <f t="shared" ref="L95:N95" ca="1" si="59">L96+L97</f>
        <v>0</v>
      </c>
      <c r="M95" s="215">
        <f t="shared" ca="1" si="59"/>
        <v>0</v>
      </c>
      <c r="N95" s="215">
        <f t="shared" ca="1" si="59"/>
        <v>0</v>
      </c>
      <c r="O95" s="215">
        <f t="shared" ref="O95:O103" ca="1" si="60">IF(L95&gt;0,N95*100/L95,0)</f>
        <v>0</v>
      </c>
      <c r="P95" s="215">
        <f t="shared" ref="P95:P103" ca="1" si="61">IF(M95&gt;0,N95*100/M95,0)</f>
        <v>0</v>
      </c>
      <c r="Q95" s="215">
        <f t="shared" ref="Q95:S95" ca="1" si="62">Q96+Q97</f>
        <v>101304</v>
      </c>
      <c r="R95" s="215">
        <f t="shared" ca="1" si="62"/>
        <v>101304</v>
      </c>
      <c r="S95" s="215">
        <f t="shared" ca="1" si="62"/>
        <v>0</v>
      </c>
      <c r="T95" s="215">
        <f t="shared" ref="T95:T103" ca="1" si="63">IF(Q95&gt;0,S95*100/Q95,0)</f>
        <v>0</v>
      </c>
      <c r="U95" s="215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217">
        <f t="shared" ref="L96:N97" si="65">L99+L102</f>
        <v>0</v>
      </c>
      <c r="M96" s="133">
        <f t="shared" si="65"/>
        <v>0</v>
      </c>
      <c r="N96" s="133">
        <f t="shared" si="65"/>
        <v>0</v>
      </c>
      <c r="O96" s="133">
        <f t="shared" si="60"/>
        <v>0</v>
      </c>
      <c r="P96" s="133">
        <f t="shared" si="61"/>
        <v>0</v>
      </c>
      <c r="Q96" s="133">
        <f t="shared" ref="Q96:S97" si="66">Q99+Q102</f>
        <v>0</v>
      </c>
      <c r="R96" s="133">
        <f t="shared" si="66"/>
        <v>0</v>
      </c>
      <c r="S96" s="133">
        <f t="shared" si="66"/>
        <v>0</v>
      </c>
      <c r="T96" s="133">
        <f t="shared" si="63"/>
        <v>0</v>
      </c>
      <c r="U96" s="133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131">
        <f t="shared" ca="1" si="65"/>
        <v>0</v>
      </c>
      <c r="M97" s="132">
        <f t="shared" ca="1" si="65"/>
        <v>0</v>
      </c>
      <c r="N97" s="132">
        <f t="shared" ca="1" si="65"/>
        <v>0</v>
      </c>
      <c r="O97" s="132">
        <f t="shared" ca="1" si="60"/>
        <v>0</v>
      </c>
      <c r="P97" s="132">
        <f t="shared" ca="1" si="61"/>
        <v>0</v>
      </c>
      <c r="Q97" s="132">
        <f t="shared" ca="1" si="66"/>
        <v>101304</v>
      </c>
      <c r="R97" s="132">
        <f t="shared" ca="1" si="66"/>
        <v>101304</v>
      </c>
      <c r="S97" s="132">
        <f t="shared" ca="1" si="66"/>
        <v>0</v>
      </c>
      <c r="T97" s="132">
        <f t="shared" ca="1" si="63"/>
        <v>0</v>
      </c>
      <c r="U97" s="132">
        <f t="shared" ca="1" si="64"/>
        <v>0</v>
      </c>
    </row>
    <row r="98" spans="1:21" ht="18.75" x14ac:dyDescent="0.25">
      <c r="A98" s="257"/>
      <c r="B98" s="269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131">
        <f t="shared" ref="L98:N98" ca="1" si="67">L99+L100</f>
        <v>0</v>
      </c>
      <c r="M98" s="132">
        <f t="shared" ca="1" si="67"/>
        <v>0</v>
      </c>
      <c r="N98" s="132">
        <f t="shared" ca="1" si="67"/>
        <v>0</v>
      </c>
      <c r="O98" s="132">
        <f t="shared" ca="1" si="60"/>
        <v>0</v>
      </c>
      <c r="P98" s="132">
        <f t="shared" ca="1" si="61"/>
        <v>0</v>
      </c>
      <c r="Q98" s="132">
        <f t="shared" ref="Q98:S98" ca="1" si="68">Q99+Q100</f>
        <v>101304</v>
      </c>
      <c r="R98" s="132">
        <f t="shared" ca="1" si="68"/>
        <v>101304</v>
      </c>
      <c r="S98" s="132">
        <f t="shared" ca="1" si="68"/>
        <v>0</v>
      </c>
      <c r="T98" s="132">
        <f t="shared" ca="1" si="63"/>
        <v>0</v>
      </c>
      <c r="U98" s="132">
        <f t="shared" ca="1" si="64"/>
        <v>0</v>
      </c>
    </row>
    <row r="99" spans="1:21" ht="18.75" hidden="1" x14ac:dyDescent="0.25">
      <c r="A99" s="257"/>
      <c r="B99" s="269"/>
      <c r="C99" s="269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133">
        <f t="shared" si="60"/>
        <v>0</v>
      </c>
      <c r="P99" s="133">
        <f t="shared" si="61"/>
        <v>0</v>
      </c>
      <c r="Q99" s="77">
        <v>0</v>
      </c>
      <c r="R99" s="77">
        <v>0</v>
      </c>
      <c r="S99" s="77">
        <v>0</v>
      </c>
      <c r="T99" s="133">
        <f t="shared" si="63"/>
        <v>0</v>
      </c>
      <c r="U99" s="133">
        <f t="shared" si="64"/>
        <v>0</v>
      </c>
    </row>
    <row r="100" spans="1:21" ht="18.75" hidden="1" x14ac:dyDescent="0.25">
      <c r="A100" s="257"/>
      <c r="B100" s="269"/>
      <c r="C100" s="269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131">
        <f ca="1">IFERROR(__xludf.DUMMYFUNCTION("IMPORTRANGE(""https://docs.google.com/spreadsheets/d/1-uDff_7J0KD5mKrp0Vvzr7lt3OU09vwQwhkpOPPYv2Y/edit?usp=sharing"",""งบพรบ!AW54"")"),0)</f>
        <v>0</v>
      </c>
      <c r="M100" s="132">
        <f ca="1">IFERROR(__xludf.DUMMYFUNCTION("IMPORTRANGE(""https://docs.google.com/spreadsheets/d/1-uDff_7J0KD5mKrp0Vvzr7lt3OU09vwQwhkpOPPYv2Y/edit?usp=sharing"",""งบพรบ!BB54"")"),0)</f>
        <v>0</v>
      </c>
      <c r="N100" s="132">
        <f ca="1">IFERROR(__xludf.DUMMYFUNCTION("IMPORTRANGE(""https://docs.google.com/spreadsheets/d/1-uDff_7J0KD5mKrp0Vvzr7lt3OU09vwQwhkpOPPYv2Y/edit?usp=sharing"",""งบพรบ!BD54"")"),0)</f>
        <v>0</v>
      </c>
      <c r="O100" s="132">
        <f t="shared" ca="1" si="60"/>
        <v>0</v>
      </c>
      <c r="P100" s="132">
        <f t="shared" ca="1" si="61"/>
        <v>0</v>
      </c>
      <c r="Q100" s="132">
        <f ca="1">IFERROR(__xludf.DUMMYFUNCTION("IMPORTRANGE(""https://docs.google.com/spreadsheets/d/1ItG2mGa2ceCfYo0BwxsXqNm01IGEUdYcSSLTEv9YCik/edit?usp=sharing"",""เบิกจ่ายกองทุน!AD54"")"),101304)</f>
        <v>101304</v>
      </c>
      <c r="R100" s="132">
        <f ca="1">IFERROR(__xludf.DUMMYFUNCTION("IMPORTRANGE(""https://docs.google.com/spreadsheets/d/1ItG2mGa2ceCfYo0BwxsXqNm01IGEUdYcSSLTEv9YCik/edit?usp=sharing"",""เบิกจ่ายกองทุน!AE54"")"),101304)</f>
        <v>101304</v>
      </c>
      <c r="S100" s="132">
        <f ca="1">IFERROR(__xludf.DUMMYFUNCTION("IMPORTRANGE(""https://docs.google.com/spreadsheets/d/1ItG2mGa2ceCfYo0BwxsXqNm01IGEUdYcSSLTEv9YCik/edit?usp=sharing"",""เบิกจ่ายกองทุน!AF54"")"),0)</f>
        <v>0</v>
      </c>
      <c r="T100" s="132">
        <f t="shared" ca="1" si="63"/>
        <v>0</v>
      </c>
      <c r="U100" s="132">
        <f t="shared" ca="1" si="64"/>
        <v>0</v>
      </c>
    </row>
    <row r="101" spans="1:21" ht="18.75" x14ac:dyDescent="0.25">
      <c r="A101" s="257"/>
      <c r="B101" s="269"/>
      <c r="C101" s="269"/>
      <c r="D101" s="967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131">
        <f t="shared" ref="L101:N101" ca="1" si="69">L102+L103</f>
        <v>0</v>
      </c>
      <c r="M101" s="132">
        <f t="shared" ca="1" si="69"/>
        <v>0</v>
      </c>
      <c r="N101" s="132">
        <f t="shared" ca="1" si="69"/>
        <v>0</v>
      </c>
      <c r="O101" s="132">
        <f t="shared" ca="1" si="60"/>
        <v>0</v>
      </c>
      <c r="P101" s="132">
        <f t="shared" ca="1" si="61"/>
        <v>0</v>
      </c>
      <c r="Q101" s="132">
        <f t="shared" ref="Q101:S101" si="70">Q102+Q103</f>
        <v>0</v>
      </c>
      <c r="R101" s="132">
        <f t="shared" si="70"/>
        <v>0</v>
      </c>
      <c r="S101" s="132">
        <f t="shared" si="70"/>
        <v>0</v>
      </c>
      <c r="T101" s="132">
        <f t="shared" si="63"/>
        <v>0</v>
      </c>
      <c r="U101" s="132">
        <f t="shared" si="64"/>
        <v>0</v>
      </c>
    </row>
    <row r="102" spans="1:21" ht="18.75" hidden="1" x14ac:dyDescent="0.25">
      <c r="A102" s="257"/>
      <c r="B102" s="269"/>
      <c r="C102" s="269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133">
        <f t="shared" si="60"/>
        <v>0</v>
      </c>
      <c r="P102" s="133">
        <f t="shared" si="61"/>
        <v>0</v>
      </c>
      <c r="Q102" s="77">
        <v>0</v>
      </c>
      <c r="R102" s="77">
        <v>0</v>
      </c>
      <c r="S102" s="77">
        <v>0</v>
      </c>
      <c r="T102" s="133">
        <f t="shared" si="63"/>
        <v>0</v>
      </c>
      <c r="U102" s="133">
        <f t="shared" si="64"/>
        <v>0</v>
      </c>
    </row>
    <row r="103" spans="1:21" ht="18.75" hidden="1" x14ac:dyDescent="0.25">
      <c r="A103" s="257"/>
      <c r="B103" s="269"/>
      <c r="C103" s="269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131">
        <f ca="1">IFERROR(__xludf.DUMMYFUNCTION("IMPORTRANGE(""https://docs.google.com/spreadsheets/d/1-uDff_7J0KD5mKrp0Vvzr7lt3OU09vwQwhkpOPPYv2Y/edit?usp=sharing"",""งบพรบ!AZ54"")"),0)</f>
        <v>0</v>
      </c>
      <c r="M103" s="132">
        <f ca="1">IFERROR(__xludf.DUMMYFUNCTION("IMPORTRANGE(""https://docs.google.com/spreadsheets/d/1-uDff_7J0KD5mKrp0Vvzr7lt3OU09vwQwhkpOPPYv2Y/edit?usp=sharing"",""งบพรบ!BC54"")"),0)</f>
        <v>0</v>
      </c>
      <c r="N103" s="132">
        <f ca="1">IFERROR(__xludf.DUMMYFUNCTION("IMPORTRANGE(""https://docs.google.com/spreadsheets/d/1-uDff_7J0KD5mKrp0Vvzr7lt3OU09vwQwhkpOPPYv2Y/edit?usp=sharing"",""งบพรบ!BE54"")"),0)</f>
        <v>0</v>
      </c>
      <c r="O103" s="132">
        <f t="shared" ca="1" si="60"/>
        <v>0</v>
      </c>
      <c r="P103" s="132">
        <f t="shared" ca="1" si="61"/>
        <v>0</v>
      </c>
      <c r="Q103" s="74">
        <v>0</v>
      </c>
      <c r="R103" s="74">
        <v>0</v>
      </c>
      <c r="S103" s="74">
        <v>0</v>
      </c>
      <c r="T103" s="132">
        <f t="shared" si="63"/>
        <v>0</v>
      </c>
      <c r="U103" s="132">
        <f t="shared" si="64"/>
        <v>0</v>
      </c>
    </row>
    <row r="104" spans="1:21" ht="19.5" x14ac:dyDescent="0.3">
      <c r="A104" s="276"/>
      <c r="B104" s="277"/>
      <c r="C104" s="621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IFERROR(__xludf.DUMMYFUNCTION("IMPORTRANGE(""https://docs.google.com/spreadsheets/d/1eHaY18a8A9IcSdp1K8H6x8fbOy06t2VsZHhMHf-1x7Y/edit?usp=sharing"",""แผน!N54"")"),36)</f>
        <v>36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IFERROR(__xludf.DUMMYFUNCTION("IMPORTRANGE(""https://docs.google.com/spreadsheets/d/1eHaY18a8A9IcSdp1K8H6x8fbOy06t2VsZHhMHf-1x7Y/edit?usp=sharing"",""แผน!O54"")"),12)</f>
        <v>12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4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8.75" x14ac:dyDescent="0.25">
      <c r="A114" s="890"/>
      <c r="B114" s="891"/>
      <c r="C114" s="891"/>
      <c r="D114" s="1106" t="s">
        <v>50</v>
      </c>
      <c r="E114" s="893"/>
      <c r="F114" s="893"/>
      <c r="G114" s="894"/>
      <c r="H114" s="895" t="s">
        <v>46</v>
      </c>
      <c r="I114" s="896">
        <f ca="1">IFERROR(__xludf.DUMMYFUNCTION("IMPORTRANGE(""https://docs.google.com/spreadsheets/d/1eHaY18a8A9IcSdp1K8H6x8fbOy06t2VsZHhMHf-1x7Y/edit?usp=sharing"",""แผน!S54"")"),0)</f>
        <v>0</v>
      </c>
      <c r="J114" s="897">
        <v>0</v>
      </c>
      <c r="K114" s="898">
        <f t="shared" ref="K114:K115" ca="1" si="72">IF(I114&gt;0,J114*100/I114,0)</f>
        <v>0</v>
      </c>
      <c r="L114" s="450"/>
      <c r="M114" s="450"/>
      <c r="N114" s="450"/>
      <c r="O114" s="899"/>
      <c r="P114" s="899"/>
      <c r="Q114" s="450"/>
      <c r="R114" s="450"/>
      <c r="S114" s="450"/>
      <c r="T114" s="899"/>
      <c r="U114" s="899"/>
    </row>
    <row r="115" spans="1:21" ht="18.75" x14ac:dyDescent="0.25">
      <c r="A115" s="276"/>
      <c r="B115" s="277"/>
      <c r="C115" s="277"/>
      <c r="D115" s="296"/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IFERROR(__xludf.DUMMYFUNCTION("IMPORTRANGE(""https://docs.google.com/spreadsheets/d/1eHaY18a8A9IcSdp1K8H6x8fbOy06t2VsZHhMHf-1x7Y/edit?usp=sharing"",""แผน!R54"")"),12)</f>
        <v>12</v>
      </c>
      <c r="J115" s="294">
        <v>0</v>
      </c>
      <c r="K115" s="74">
        <f t="shared" ca="1" si="72"/>
        <v>0</v>
      </c>
      <c r="L115" s="87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1099" t="s">
        <v>51</v>
      </c>
      <c r="B116" s="691"/>
      <c r="C116" s="692"/>
      <c r="D116" s="691"/>
      <c r="E116" s="691"/>
      <c r="F116" s="691"/>
      <c r="G116" s="691"/>
      <c r="H116" s="693"/>
      <c r="I116" s="694"/>
      <c r="J116" s="694"/>
      <c r="K116" s="695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50"/>
      <c r="B117" s="251" t="s">
        <v>52</v>
      </c>
      <c r="C117" s="304"/>
      <c r="D117" s="253"/>
      <c r="E117" s="252"/>
      <c r="F117" s="252"/>
      <c r="G117" s="254"/>
      <c r="H117" s="1107"/>
      <c r="I117" s="900">
        <f t="shared" ref="I117:J117" ca="1" si="73">I128</f>
        <v>20</v>
      </c>
      <c r="J117" s="901">
        <f t="shared" si="73"/>
        <v>0</v>
      </c>
      <c r="K117" s="902">
        <f ca="1">IF(I117&gt;0,J117*100/I117,0)</f>
        <v>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58"/>
      <c r="C118" s="259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214">
        <f t="shared" ref="L118:N118" ca="1" si="74">L119+L120</f>
        <v>0</v>
      </c>
      <c r="M118" s="215">
        <f t="shared" ca="1" si="74"/>
        <v>0</v>
      </c>
      <c r="N118" s="215">
        <f t="shared" ca="1" si="74"/>
        <v>0</v>
      </c>
      <c r="O118" s="215">
        <f t="shared" ref="O118:O126" ca="1" si="75">IF(L118&gt;0,N118*100/L118,0)</f>
        <v>0</v>
      </c>
      <c r="P118" s="215">
        <f t="shared" ref="P118:P126" ca="1" si="76">IF(M118&gt;0,N118*100/M118,0)</f>
        <v>0</v>
      </c>
      <c r="Q118" s="215">
        <f t="shared" ref="Q118:S118" ca="1" si="77">Q119+Q120</f>
        <v>209360</v>
      </c>
      <c r="R118" s="215">
        <f t="shared" ca="1" si="77"/>
        <v>209360</v>
      </c>
      <c r="S118" s="215">
        <f t="shared" ca="1" si="77"/>
        <v>13000</v>
      </c>
      <c r="T118" s="215">
        <f t="shared" ref="T118:T126" ca="1" si="78">IF(Q118&gt;0,S118*100/Q118,0)</f>
        <v>6.2094000764233854</v>
      </c>
      <c r="U118" s="215">
        <f t="shared" ref="U118:U126" ca="1" si="79">IF(R118&gt;0,S118*100/R118,0)</f>
        <v>6.2094000764233854</v>
      </c>
    </row>
    <row r="119" spans="1:21" ht="18.75" hidden="1" x14ac:dyDescent="0.25">
      <c r="A119" s="257"/>
      <c r="B119" s="258"/>
      <c r="C119" s="258"/>
      <c r="D119" s="258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217">
        <f t="shared" ref="L119:N120" si="80">L122+L125</f>
        <v>0</v>
      </c>
      <c r="M119" s="133">
        <f t="shared" si="80"/>
        <v>0</v>
      </c>
      <c r="N119" s="133">
        <f t="shared" si="80"/>
        <v>0</v>
      </c>
      <c r="O119" s="133">
        <f t="shared" si="75"/>
        <v>0</v>
      </c>
      <c r="P119" s="133">
        <f t="shared" si="76"/>
        <v>0</v>
      </c>
      <c r="Q119" s="133">
        <f t="shared" ref="Q119:S120" si="81">Q122+Q125</f>
        <v>0</v>
      </c>
      <c r="R119" s="133">
        <f t="shared" si="81"/>
        <v>0</v>
      </c>
      <c r="S119" s="133">
        <f t="shared" si="81"/>
        <v>0</v>
      </c>
      <c r="T119" s="133">
        <f t="shared" si="78"/>
        <v>0</v>
      </c>
      <c r="U119" s="133">
        <f t="shared" si="79"/>
        <v>0</v>
      </c>
    </row>
    <row r="120" spans="1:21" ht="18.75" hidden="1" x14ac:dyDescent="0.25">
      <c r="A120" s="257"/>
      <c r="B120" s="258"/>
      <c r="C120" s="258"/>
      <c r="D120" s="258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131">
        <f t="shared" ca="1" si="80"/>
        <v>0</v>
      </c>
      <c r="M120" s="132">
        <f t="shared" ca="1" si="80"/>
        <v>0</v>
      </c>
      <c r="N120" s="132">
        <f t="shared" ca="1" si="80"/>
        <v>0</v>
      </c>
      <c r="O120" s="132">
        <f t="shared" ca="1" si="75"/>
        <v>0</v>
      </c>
      <c r="P120" s="132">
        <f t="shared" ca="1" si="76"/>
        <v>0</v>
      </c>
      <c r="Q120" s="132">
        <f t="shared" ca="1" si="81"/>
        <v>209360</v>
      </c>
      <c r="R120" s="132">
        <f t="shared" ca="1" si="81"/>
        <v>209360</v>
      </c>
      <c r="S120" s="132">
        <f t="shared" ca="1" si="81"/>
        <v>13000</v>
      </c>
      <c r="T120" s="132">
        <f t="shared" ca="1" si="78"/>
        <v>6.2094000764233854</v>
      </c>
      <c r="U120" s="132">
        <f t="shared" ca="1" si="79"/>
        <v>6.2094000764233854</v>
      </c>
    </row>
    <row r="121" spans="1:21" ht="18.75" x14ac:dyDescent="0.25">
      <c r="A121" s="257"/>
      <c r="B121" s="258"/>
      <c r="C121" s="306"/>
      <c r="D121" s="270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131">
        <f t="shared" ref="L121:N121" ca="1" si="82">L122+L123</f>
        <v>0</v>
      </c>
      <c r="M121" s="132">
        <f t="shared" ca="1" si="82"/>
        <v>0</v>
      </c>
      <c r="N121" s="132">
        <f t="shared" ca="1" si="82"/>
        <v>0</v>
      </c>
      <c r="O121" s="132">
        <f t="shared" ca="1" si="75"/>
        <v>0</v>
      </c>
      <c r="P121" s="132">
        <f t="shared" ca="1" si="76"/>
        <v>0</v>
      </c>
      <c r="Q121" s="132">
        <f t="shared" ref="Q121:S121" ca="1" si="83">Q122+Q123</f>
        <v>209360</v>
      </c>
      <c r="R121" s="132">
        <f t="shared" ca="1" si="83"/>
        <v>209360</v>
      </c>
      <c r="S121" s="132">
        <f t="shared" ca="1" si="83"/>
        <v>13000</v>
      </c>
      <c r="T121" s="132">
        <f t="shared" ca="1" si="78"/>
        <v>6.2094000764233854</v>
      </c>
      <c r="U121" s="132">
        <f t="shared" ca="1" si="79"/>
        <v>6.2094000764233854</v>
      </c>
    </row>
    <row r="122" spans="1:21" ht="18.75" hidden="1" x14ac:dyDescent="0.25">
      <c r="A122" s="257"/>
      <c r="B122" s="258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133">
        <f t="shared" si="75"/>
        <v>0</v>
      </c>
      <c r="P122" s="133">
        <f t="shared" si="76"/>
        <v>0</v>
      </c>
      <c r="Q122" s="77">
        <v>0</v>
      </c>
      <c r="R122" s="77">
        <v>0</v>
      </c>
      <c r="S122" s="77">
        <v>0</v>
      </c>
      <c r="T122" s="133">
        <f t="shared" si="78"/>
        <v>0</v>
      </c>
      <c r="U122" s="133">
        <f t="shared" si="79"/>
        <v>0</v>
      </c>
    </row>
    <row r="123" spans="1:21" ht="18.75" hidden="1" x14ac:dyDescent="0.25">
      <c r="A123" s="257"/>
      <c r="B123" s="258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131">
        <f ca="1">IFERROR(__xludf.DUMMYFUNCTION("IMPORTRANGE(""https://docs.google.com/spreadsheets/d/1-uDff_7J0KD5mKrp0Vvzr7lt3OU09vwQwhkpOPPYv2Y/edit?usp=sharing"",""งบพรบ!BG54"")"),0)</f>
        <v>0</v>
      </c>
      <c r="M123" s="132">
        <f ca="1">IFERROR(__xludf.DUMMYFUNCTION("IMPORTRANGE(""https://docs.google.com/spreadsheets/d/1-uDff_7J0KD5mKrp0Vvzr7lt3OU09vwQwhkpOPPYv2Y/edit?usp=sharing"",""งบพรบ!BL54"")"),0)</f>
        <v>0</v>
      </c>
      <c r="N123" s="132">
        <f ca="1">IFERROR(__xludf.DUMMYFUNCTION("IMPORTRANGE(""https://docs.google.com/spreadsheets/d/1-uDff_7J0KD5mKrp0Vvzr7lt3OU09vwQwhkpOPPYv2Y/edit?usp=sharing"",""งบพรบ!BN54"")"),0)</f>
        <v>0</v>
      </c>
      <c r="O123" s="132">
        <f t="shared" ca="1" si="75"/>
        <v>0</v>
      </c>
      <c r="P123" s="132">
        <f t="shared" ca="1" si="76"/>
        <v>0</v>
      </c>
      <c r="Q123" s="132">
        <f ca="1">IFERROR(__xludf.DUMMYFUNCTION("IMPORTRANGE(""https://docs.google.com/spreadsheets/d/1ItG2mGa2ceCfYo0BwxsXqNm01IGEUdYcSSLTEv9YCik/edit?usp=sharing"",""เบิกจ่ายกองทุน!R54"")"),209360)</f>
        <v>209360</v>
      </c>
      <c r="R123" s="132">
        <f ca="1">IFERROR(__xludf.DUMMYFUNCTION("IMPORTRANGE(""https://docs.google.com/spreadsheets/d/1ItG2mGa2ceCfYo0BwxsXqNm01IGEUdYcSSLTEv9YCik/edit?usp=sharing"",""เบิกจ่ายกองทุน!S54"")"),209360)</f>
        <v>209360</v>
      </c>
      <c r="S123" s="132">
        <f ca="1">IFERROR(__xludf.DUMMYFUNCTION("IMPORTRANGE(""https://docs.google.com/spreadsheets/d/1ItG2mGa2ceCfYo0BwxsXqNm01IGEUdYcSSLTEv9YCik/edit?usp=sharing"",""เบิกจ่ายกองทุน!T54"")"),13000)</f>
        <v>13000</v>
      </c>
      <c r="T123" s="132">
        <f t="shared" ca="1" si="78"/>
        <v>6.2094000764233854</v>
      </c>
      <c r="U123" s="132">
        <f t="shared" ca="1" si="79"/>
        <v>6.2094000764233854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131">
        <f t="shared" ref="L124:N124" ca="1" si="84">L125+L126</f>
        <v>0</v>
      </c>
      <c r="M124" s="132">
        <f t="shared" ca="1" si="84"/>
        <v>0</v>
      </c>
      <c r="N124" s="132">
        <f t="shared" ca="1" si="84"/>
        <v>0</v>
      </c>
      <c r="O124" s="132">
        <f t="shared" ca="1" si="75"/>
        <v>0</v>
      </c>
      <c r="P124" s="132">
        <f t="shared" ca="1" si="76"/>
        <v>0</v>
      </c>
      <c r="Q124" s="132">
        <f t="shared" ref="Q124:S124" si="85">Q125+Q126</f>
        <v>0</v>
      </c>
      <c r="R124" s="132">
        <f t="shared" si="85"/>
        <v>0</v>
      </c>
      <c r="S124" s="132">
        <f t="shared" si="85"/>
        <v>0</v>
      </c>
      <c r="T124" s="132">
        <f t="shared" si="78"/>
        <v>0</v>
      </c>
      <c r="U124" s="132">
        <f t="shared" si="79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133">
        <f t="shared" si="75"/>
        <v>0</v>
      </c>
      <c r="P125" s="133">
        <f t="shared" si="76"/>
        <v>0</v>
      </c>
      <c r="Q125" s="77">
        <v>0</v>
      </c>
      <c r="R125" s="77">
        <v>0</v>
      </c>
      <c r="S125" s="77">
        <v>0</v>
      </c>
      <c r="T125" s="133">
        <f t="shared" si="78"/>
        <v>0</v>
      </c>
      <c r="U125" s="133">
        <f t="shared" si="79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131">
        <f ca="1">IFERROR(__xludf.DUMMYFUNCTION("IMPORTRANGE(""https://docs.google.com/spreadsheets/d/1-uDff_7J0KD5mKrp0Vvzr7lt3OU09vwQwhkpOPPYv2Y/edit?usp=sharing"",""งบพรบ!BJ54"")"),0)</f>
        <v>0</v>
      </c>
      <c r="M126" s="132">
        <f ca="1">IFERROR(__xludf.DUMMYFUNCTION("IMPORTRANGE(""https://docs.google.com/spreadsheets/d/1-uDff_7J0KD5mKrp0Vvzr7lt3OU09vwQwhkpOPPYv2Y/edit?usp=sharing"",""งบพรบ!BM54"")"),0)</f>
        <v>0</v>
      </c>
      <c r="N126" s="132">
        <f ca="1">IFERROR(__xludf.DUMMYFUNCTION("IMPORTRANGE(""https://docs.google.com/spreadsheets/d/1-uDff_7J0KD5mKrp0Vvzr7lt3OU09vwQwhkpOPPYv2Y/edit?usp=sharing"",""งบพรบ!BO54"")"),0)</f>
        <v>0</v>
      </c>
      <c r="O126" s="132">
        <f t="shared" ca="1" si="75"/>
        <v>0</v>
      </c>
      <c r="P126" s="132">
        <f t="shared" ca="1" si="76"/>
        <v>0</v>
      </c>
      <c r="Q126" s="74">
        <v>0</v>
      </c>
      <c r="R126" s="74">
        <v>0</v>
      </c>
      <c r="S126" s="74">
        <v>0</v>
      </c>
      <c r="T126" s="132">
        <f t="shared" si="78"/>
        <v>0</v>
      </c>
      <c r="U126" s="132">
        <f t="shared" si="79"/>
        <v>0</v>
      </c>
    </row>
    <row r="127" spans="1:21" ht="19.5" x14ac:dyDescent="0.3">
      <c r="A127" s="890"/>
      <c r="B127" s="891"/>
      <c r="C127" s="905" t="s">
        <v>18</v>
      </c>
      <c r="D127" s="1108" t="s">
        <v>38</v>
      </c>
      <c r="E127" s="1109"/>
      <c r="F127" s="1109"/>
      <c r="G127" s="1110"/>
      <c r="H127" s="1111"/>
      <c r="I127" s="846"/>
      <c r="J127" s="846"/>
      <c r="K127" s="450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623">
        <f ca="1">IFERROR(__xludf.DUMMYFUNCTION("IMPORTRANGE(""https://docs.google.com/spreadsheets/d/1eHaY18a8A9IcSdp1K8H6x8fbOy06t2VsZHhMHf-1x7Y/edit?usp=sharing"",""แผน!FF54"")"),20)</f>
        <v>20</v>
      </c>
      <c r="J128" s="294">
        <v>0</v>
      </c>
      <c r="K128" s="132">
        <f t="shared" ref="K128:K131" ca="1" si="86">IF(I128&gt;0,J128*100/I128,0)</f>
        <v>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623">
        <f ca="1">IFERROR(__xludf.DUMMYFUNCTION("IMPORTRANGE(""https://docs.google.com/spreadsheets/d/1eHaY18a8A9IcSdp1K8H6x8fbOy06t2VsZHhMHf-1x7Y/edit?usp=sharing"",""แผน!FG54"")"),0)</f>
        <v>0</v>
      </c>
      <c r="J129" s="294">
        <v>0</v>
      </c>
      <c r="K129" s="132">
        <f t="shared" ca="1" si="86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745" t="s">
        <v>55</v>
      </c>
      <c r="E130" s="296"/>
      <c r="F130" s="296"/>
      <c r="G130" s="282"/>
      <c r="H130" s="268" t="s">
        <v>35</v>
      </c>
      <c r="I130" s="623">
        <f ca="1">IFERROR(__xludf.DUMMYFUNCTION("IMPORTRANGE(""https://docs.google.com/spreadsheets/d/1eHaY18a8A9IcSdp1K8H6x8fbOy06t2VsZHhMHf-1x7Y/edit?usp=sharing"",""แผน!FH54"")"),20)</f>
        <v>20</v>
      </c>
      <c r="J130" s="294">
        <v>0</v>
      </c>
      <c r="K130" s="132">
        <f t="shared" ca="1" si="86"/>
        <v>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77"/>
      <c r="E131" s="296"/>
      <c r="F131" s="296"/>
      <c r="G131" s="282"/>
      <c r="H131" s="268" t="s">
        <v>54</v>
      </c>
      <c r="I131" s="623">
        <f ca="1">IFERROR(__xludf.DUMMYFUNCTION("IMPORTRANGE(""https://docs.google.com/spreadsheets/d/1eHaY18a8A9IcSdp1K8H6x8fbOy06t2VsZHhMHf-1x7Y/edit?usp=sharing"",""แผน!FI54"")"),0)</f>
        <v>0</v>
      </c>
      <c r="J131" s="294">
        <v>0</v>
      </c>
      <c r="K131" s="132">
        <f t="shared" ca="1" si="86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708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708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hidden="1" x14ac:dyDescent="0.3">
      <c r="A135" s="1099" t="s">
        <v>58</v>
      </c>
      <c r="B135" s="691"/>
      <c r="C135" s="692"/>
      <c r="D135" s="691"/>
      <c r="E135" s="691"/>
      <c r="F135" s="691"/>
      <c r="G135" s="691"/>
      <c r="H135" s="693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hidden="1" x14ac:dyDescent="0.3">
      <c r="A136" s="250"/>
      <c r="B136" s="251" t="s">
        <v>59</v>
      </c>
      <c r="C136" s="304"/>
      <c r="D136" s="253"/>
      <c r="E136" s="252"/>
      <c r="F136" s="252"/>
      <c r="G136" s="252"/>
      <c r="H136" s="253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hidden="1" x14ac:dyDescent="0.3">
      <c r="A137" s="250"/>
      <c r="B137" s="252"/>
      <c r="C137" s="1112" t="s">
        <v>60</v>
      </c>
      <c r="D137" s="253"/>
      <c r="E137" s="252"/>
      <c r="F137" s="252"/>
      <c r="G137" s="254"/>
      <c r="H137" s="255" t="s">
        <v>61</v>
      </c>
      <c r="I137" s="256">
        <f t="shared" ref="I137:J137" ca="1" si="87">I155</f>
        <v>0</v>
      </c>
      <c r="J137" s="256">
        <f t="shared" si="87"/>
        <v>0</v>
      </c>
      <c r="K137" s="59">
        <f t="shared" ref="K137:K139" ca="1" si="88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hidden="1" x14ac:dyDescent="0.3">
      <c r="A138" s="250"/>
      <c r="B138" s="252"/>
      <c r="C138" s="1112" t="s">
        <v>62</v>
      </c>
      <c r="D138" s="253"/>
      <c r="E138" s="252"/>
      <c r="F138" s="252"/>
      <c r="G138" s="254"/>
      <c r="H138" s="255" t="s">
        <v>35</v>
      </c>
      <c r="I138" s="256">
        <f t="shared" ref="I138:J139" ca="1" si="89">I153</f>
        <v>0</v>
      </c>
      <c r="J138" s="256">
        <f t="shared" si="89"/>
        <v>0</v>
      </c>
      <c r="K138" s="59">
        <f t="shared" ca="1" si="88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hidden="1" x14ac:dyDescent="0.3">
      <c r="A139" s="250"/>
      <c r="B139" s="252"/>
      <c r="C139" s="304"/>
      <c r="D139" s="253"/>
      <c r="E139" s="252"/>
      <c r="F139" s="252"/>
      <c r="G139" s="254"/>
      <c r="H139" s="255" t="s">
        <v>54</v>
      </c>
      <c r="I139" s="256">
        <f t="shared" ca="1" si="89"/>
        <v>0</v>
      </c>
      <c r="J139" s="256">
        <f t="shared" si="89"/>
        <v>0</v>
      </c>
      <c r="K139" s="59">
        <f t="shared" ca="1" si="88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hidden="1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214">
        <f t="shared" ref="L140:N140" ca="1" si="90">L141+L142</f>
        <v>0</v>
      </c>
      <c r="M140" s="215">
        <f t="shared" ca="1" si="90"/>
        <v>0</v>
      </c>
      <c r="N140" s="215">
        <f t="shared" ca="1" si="90"/>
        <v>0</v>
      </c>
      <c r="O140" s="215">
        <f t="shared" ref="O140:O148" ca="1" si="91">IF(L140&gt;0,N140*100/L140,0)</f>
        <v>0</v>
      </c>
      <c r="P140" s="215">
        <f t="shared" ref="P140:P148" ca="1" si="92">IF(M140&gt;0,N140*100/M140,0)</f>
        <v>0</v>
      </c>
      <c r="Q140" s="215">
        <f t="shared" ref="Q140:S140" ca="1" si="93">Q141+Q142</f>
        <v>0</v>
      </c>
      <c r="R140" s="215">
        <f t="shared" ca="1" si="93"/>
        <v>0</v>
      </c>
      <c r="S140" s="215">
        <f t="shared" ca="1" si="93"/>
        <v>0</v>
      </c>
      <c r="T140" s="215">
        <f t="shared" ref="T140:T148" ca="1" si="94">IF(Q140&gt;0,S140*100/Q140,0)</f>
        <v>0</v>
      </c>
      <c r="U140" s="215">
        <f t="shared" ref="U140:U148" ca="1" si="95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217">
        <f t="shared" ref="L141:N142" si="96">L144+L147</f>
        <v>0</v>
      </c>
      <c r="M141" s="133">
        <f t="shared" si="96"/>
        <v>0</v>
      </c>
      <c r="N141" s="133">
        <f t="shared" si="96"/>
        <v>0</v>
      </c>
      <c r="O141" s="133">
        <f t="shared" si="91"/>
        <v>0</v>
      </c>
      <c r="P141" s="133">
        <f t="shared" si="92"/>
        <v>0</v>
      </c>
      <c r="Q141" s="133">
        <f t="shared" ref="Q141:S142" si="97">Q144+Q147</f>
        <v>0</v>
      </c>
      <c r="R141" s="133">
        <f t="shared" si="97"/>
        <v>0</v>
      </c>
      <c r="S141" s="133">
        <f t="shared" si="97"/>
        <v>0</v>
      </c>
      <c r="T141" s="133">
        <f t="shared" si="94"/>
        <v>0</v>
      </c>
      <c r="U141" s="133">
        <f t="shared" si="95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131">
        <f t="shared" ca="1" si="96"/>
        <v>0</v>
      </c>
      <c r="M142" s="132">
        <f t="shared" ca="1" si="96"/>
        <v>0</v>
      </c>
      <c r="N142" s="132">
        <f t="shared" ca="1" si="96"/>
        <v>0</v>
      </c>
      <c r="O142" s="132">
        <f t="shared" ca="1" si="91"/>
        <v>0</v>
      </c>
      <c r="P142" s="132">
        <f t="shared" ca="1" si="92"/>
        <v>0</v>
      </c>
      <c r="Q142" s="132">
        <f t="shared" ca="1" si="97"/>
        <v>0</v>
      </c>
      <c r="R142" s="132">
        <f t="shared" ca="1" si="97"/>
        <v>0</v>
      </c>
      <c r="S142" s="132">
        <f t="shared" ca="1" si="97"/>
        <v>0</v>
      </c>
      <c r="T142" s="132">
        <f t="shared" ca="1" si="94"/>
        <v>0</v>
      </c>
      <c r="U142" s="132">
        <f t="shared" ca="1" si="95"/>
        <v>0</v>
      </c>
    </row>
    <row r="143" spans="1:21" ht="18.75" hidden="1" x14ac:dyDescent="0.25">
      <c r="A143" s="257"/>
      <c r="B143" s="269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131">
        <f t="shared" ref="L143:N143" ca="1" si="98">L144+L145</f>
        <v>0</v>
      </c>
      <c r="M143" s="132">
        <f t="shared" ca="1" si="98"/>
        <v>0</v>
      </c>
      <c r="N143" s="132">
        <f t="shared" ca="1" si="98"/>
        <v>0</v>
      </c>
      <c r="O143" s="132">
        <f t="shared" ca="1" si="91"/>
        <v>0</v>
      </c>
      <c r="P143" s="132">
        <f t="shared" ca="1" si="92"/>
        <v>0</v>
      </c>
      <c r="Q143" s="132">
        <f t="shared" ref="Q143:S143" ca="1" si="99">Q144+Q145</f>
        <v>0</v>
      </c>
      <c r="R143" s="132">
        <f t="shared" ca="1" si="99"/>
        <v>0</v>
      </c>
      <c r="S143" s="132">
        <f t="shared" ca="1" si="99"/>
        <v>0</v>
      </c>
      <c r="T143" s="132">
        <f t="shared" ca="1" si="94"/>
        <v>0</v>
      </c>
      <c r="U143" s="132">
        <f t="shared" ca="1" si="95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133">
        <f t="shared" si="91"/>
        <v>0</v>
      </c>
      <c r="P144" s="133">
        <f t="shared" si="92"/>
        <v>0</v>
      </c>
      <c r="Q144" s="77">
        <v>0</v>
      </c>
      <c r="R144" s="77">
        <v>0</v>
      </c>
      <c r="S144" s="77">
        <v>0</v>
      </c>
      <c r="T144" s="133">
        <f t="shared" si="94"/>
        <v>0</v>
      </c>
      <c r="U144" s="133">
        <f t="shared" si="95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131">
        <f ca="1">IFERROR(__xludf.DUMMYFUNCTION("IMPORTRANGE(""https://docs.google.com/spreadsheets/d/1-uDff_7J0KD5mKrp0Vvzr7lt3OU09vwQwhkpOPPYv2Y/edit?usp=sharing"",""งบพรบ!BQ54"")"),0)</f>
        <v>0</v>
      </c>
      <c r="M145" s="132">
        <f ca="1">IFERROR(__xludf.DUMMYFUNCTION("IMPORTRANGE(""https://docs.google.com/spreadsheets/d/1-uDff_7J0KD5mKrp0Vvzr7lt3OU09vwQwhkpOPPYv2Y/edit?usp=sharing"",""งบพรบ!BV54"")"),0)</f>
        <v>0</v>
      </c>
      <c r="N145" s="132">
        <f ca="1">IFERROR(__xludf.DUMMYFUNCTION("IMPORTRANGE(""https://docs.google.com/spreadsheets/d/1-uDff_7J0KD5mKrp0Vvzr7lt3OU09vwQwhkpOPPYv2Y/edit?usp=sharing"",""งบพรบ!BX54"")"),0)</f>
        <v>0</v>
      </c>
      <c r="O145" s="132">
        <f t="shared" ca="1" si="91"/>
        <v>0</v>
      </c>
      <c r="P145" s="132">
        <f t="shared" ca="1" si="92"/>
        <v>0</v>
      </c>
      <c r="Q145" s="132">
        <f ca="1">IFERROR(__xludf.DUMMYFUNCTION("IMPORTRANGE(""https://docs.google.com/spreadsheets/d/1ItG2mGa2ceCfYo0BwxsXqNm01IGEUdYcSSLTEv9YCik/edit?usp=sharing"",""เบิกจ่ายกองทุน!BB54"")"),0)</f>
        <v>0</v>
      </c>
      <c r="R145" s="132">
        <f ca="1">IFERROR(__xludf.DUMMYFUNCTION("IMPORTRANGE(""https://docs.google.com/spreadsheets/d/1ItG2mGa2ceCfYo0BwxsXqNm01IGEUdYcSSLTEv9YCik/edit?usp=sharing"",""เบิกจ่ายกองทุน!BC54"")"),0)</f>
        <v>0</v>
      </c>
      <c r="S145" s="132">
        <f ca="1">IFERROR(__xludf.DUMMYFUNCTION("IMPORTRANGE(""https://docs.google.com/spreadsheets/d/1ItG2mGa2ceCfYo0BwxsXqNm01IGEUdYcSSLTEv9YCik/edit?usp=sharing"",""เบิกจ่ายกองทุน!BD54"")"),0)</f>
        <v>0</v>
      </c>
      <c r="T145" s="132">
        <f t="shared" ca="1" si="94"/>
        <v>0</v>
      </c>
      <c r="U145" s="132">
        <f t="shared" ca="1" si="95"/>
        <v>0</v>
      </c>
    </row>
    <row r="146" spans="1:21" ht="18.75" hidden="1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131">
        <f t="shared" ref="L146:N146" ca="1" si="100">L147+L148</f>
        <v>0</v>
      </c>
      <c r="M146" s="132">
        <f t="shared" ca="1" si="100"/>
        <v>0</v>
      </c>
      <c r="N146" s="132">
        <f t="shared" ca="1" si="100"/>
        <v>0</v>
      </c>
      <c r="O146" s="132">
        <f t="shared" ca="1" si="91"/>
        <v>0</v>
      </c>
      <c r="P146" s="132">
        <f t="shared" ca="1" si="92"/>
        <v>0</v>
      </c>
      <c r="Q146" s="132">
        <f t="shared" ref="Q146:S146" si="101">Q147+Q148</f>
        <v>0</v>
      </c>
      <c r="R146" s="132">
        <f t="shared" si="101"/>
        <v>0</v>
      </c>
      <c r="S146" s="132">
        <f t="shared" si="101"/>
        <v>0</v>
      </c>
      <c r="T146" s="132">
        <f t="shared" si="94"/>
        <v>0</v>
      </c>
      <c r="U146" s="132">
        <f t="shared" si="95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133">
        <f t="shared" si="91"/>
        <v>0</v>
      </c>
      <c r="P147" s="133">
        <f t="shared" si="92"/>
        <v>0</v>
      </c>
      <c r="Q147" s="77">
        <v>0</v>
      </c>
      <c r="R147" s="77">
        <v>0</v>
      </c>
      <c r="S147" s="77">
        <v>0</v>
      </c>
      <c r="T147" s="133">
        <f t="shared" si="94"/>
        <v>0</v>
      </c>
      <c r="U147" s="133">
        <f t="shared" si="95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131">
        <f ca="1">IFERROR(__xludf.DUMMYFUNCTION("IMPORTRANGE(""https://docs.google.com/spreadsheets/d/1-uDff_7J0KD5mKrp0Vvzr7lt3OU09vwQwhkpOPPYv2Y/edit?usp=sharing"",""งบพรบ!BT54"")"),0)</f>
        <v>0</v>
      </c>
      <c r="M148" s="132">
        <f ca="1">IFERROR(__xludf.DUMMYFUNCTION("IMPORTRANGE(""https://docs.google.com/spreadsheets/d/1-uDff_7J0KD5mKrp0Vvzr7lt3OU09vwQwhkpOPPYv2Y/edit?usp=sharing"",""งบพรบ!BW54"")"),0)</f>
        <v>0</v>
      </c>
      <c r="N148" s="132">
        <f ca="1">IFERROR(__xludf.DUMMYFUNCTION("IMPORTRANGE(""https://docs.google.com/spreadsheets/d/1-uDff_7J0KD5mKrp0Vvzr7lt3OU09vwQwhkpOPPYv2Y/edit?usp=sharing"",""งบพรบ!BY54"")"),0)</f>
        <v>0</v>
      </c>
      <c r="O148" s="132">
        <f t="shared" ca="1" si="91"/>
        <v>0</v>
      </c>
      <c r="P148" s="132">
        <f t="shared" ca="1" si="92"/>
        <v>0</v>
      </c>
      <c r="Q148" s="74">
        <v>0</v>
      </c>
      <c r="R148" s="74">
        <v>0</v>
      </c>
      <c r="S148" s="74">
        <v>0</v>
      </c>
      <c r="T148" s="132">
        <f t="shared" si="94"/>
        <v>0</v>
      </c>
      <c r="U148" s="132">
        <f t="shared" si="95"/>
        <v>0</v>
      </c>
    </row>
    <row r="149" spans="1:21" ht="19.5" hidden="1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hidden="1" x14ac:dyDescent="0.25">
      <c r="A150" s="257"/>
      <c r="B150" s="258"/>
      <c r="C150" s="306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hidden="1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IFERROR(__xludf.DUMMYFUNCTION("IMPORTRANGE(""https://docs.google.com/spreadsheets/d/1eHaY18a8A9IcSdp1K8H6x8fbOy06t2VsZHhMHf-1x7Y/edit?usp=sharing"",""แผน!U54"")"),0)</f>
        <v>0</v>
      </c>
      <c r="J151" s="294">
        <v>0</v>
      </c>
      <c r="K151" s="74">
        <f t="shared" ref="K151:K155" ca="1" si="102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hidden="1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IFERROR(__xludf.DUMMYFUNCTION("IMPORTRANGE(""https://docs.google.com/spreadsheets/d/1eHaY18a8A9IcSdp1K8H6x8fbOy06t2VsZHhMHf-1x7Y/edit?usp=sharing"",""แผน!V54"")"),0)</f>
        <v>0</v>
      </c>
      <c r="J152" s="294">
        <v>0</v>
      </c>
      <c r="K152" s="74">
        <f t="shared" ca="1" si="102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hidden="1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IFERROR(__xludf.DUMMYFUNCTION("IMPORTRANGE(""https://docs.google.com/spreadsheets/d/1eHaY18a8A9IcSdp1K8H6x8fbOy06t2VsZHhMHf-1x7Y/edit?usp=sharing"",""แผน!W54"")"),0)</f>
        <v>0</v>
      </c>
      <c r="J153" s="294">
        <v>0</v>
      </c>
      <c r="K153" s="74">
        <f t="shared" ca="1" si="102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hidden="1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IFERROR(__xludf.DUMMYFUNCTION("IMPORTRANGE(""https://docs.google.com/spreadsheets/d/1eHaY18a8A9IcSdp1K8H6x8fbOy06t2VsZHhMHf-1x7Y/edit?usp=sharing"",""แผน!X54"")"),0)</f>
        <v>0</v>
      </c>
      <c r="J154" s="294">
        <v>0</v>
      </c>
      <c r="K154" s="74">
        <f t="shared" ca="1" si="102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hidden="1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IFERROR(__xludf.DUMMYFUNCTION("IMPORTRANGE(""https://docs.google.com/spreadsheets/d/1eHaY18a8A9IcSdp1K8H6x8fbOy06t2VsZHhMHf-1x7Y/edit?usp=sharing"",""แผน!Y54"")"),0)</f>
        <v>0</v>
      </c>
      <c r="J155" s="294">
        <v>0</v>
      </c>
      <c r="K155" s="74">
        <f t="shared" ca="1" si="102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hidden="1" x14ac:dyDescent="0.3">
      <c r="A156" s="1099" t="s">
        <v>67</v>
      </c>
      <c r="B156" s="691"/>
      <c r="C156" s="692"/>
      <c r="D156" s="691"/>
      <c r="E156" s="691"/>
      <c r="F156" s="691"/>
      <c r="G156" s="691"/>
      <c r="H156" s="693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hidden="1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3">I170</f>
        <v>0</v>
      </c>
      <c r="J157" s="256">
        <f t="shared" si="103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hidden="1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214">
        <f t="shared" ref="L158:N158" ca="1" si="104">L159+L160</f>
        <v>0</v>
      </c>
      <c r="M158" s="215">
        <f t="shared" ca="1" si="104"/>
        <v>0</v>
      </c>
      <c r="N158" s="215">
        <f t="shared" ca="1" si="104"/>
        <v>0</v>
      </c>
      <c r="O158" s="215">
        <f t="shared" ref="O158:O166" ca="1" si="105">IF(L158&gt;0,N158*100/L158,0)</f>
        <v>0</v>
      </c>
      <c r="P158" s="215">
        <f t="shared" ref="P158:P166" ca="1" si="106">IF(M158&gt;0,N158*100/M158,0)</f>
        <v>0</v>
      </c>
      <c r="Q158" s="215">
        <f t="shared" ref="Q158:S158" ca="1" si="107">Q159+Q160</f>
        <v>0</v>
      </c>
      <c r="R158" s="215">
        <f t="shared" ca="1" si="107"/>
        <v>0</v>
      </c>
      <c r="S158" s="215">
        <f t="shared" ca="1" si="107"/>
        <v>0</v>
      </c>
      <c r="T158" s="215">
        <f t="shared" ref="T158:T166" ca="1" si="108">IF(Q158&gt;0,S158*100/Q158,0)</f>
        <v>0</v>
      </c>
      <c r="U158" s="215">
        <f t="shared" ref="U158:U166" ca="1" si="109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217">
        <f t="shared" ref="L159:N160" si="110">L162+L165</f>
        <v>0</v>
      </c>
      <c r="M159" s="133">
        <f t="shared" si="110"/>
        <v>0</v>
      </c>
      <c r="N159" s="133">
        <f t="shared" si="110"/>
        <v>0</v>
      </c>
      <c r="O159" s="133">
        <f t="shared" si="105"/>
        <v>0</v>
      </c>
      <c r="P159" s="133">
        <f t="shared" si="106"/>
        <v>0</v>
      </c>
      <c r="Q159" s="133">
        <f t="shared" ref="Q159:S160" si="111">Q162+Q165</f>
        <v>0</v>
      </c>
      <c r="R159" s="133">
        <f t="shared" si="111"/>
        <v>0</v>
      </c>
      <c r="S159" s="133">
        <f t="shared" si="111"/>
        <v>0</v>
      </c>
      <c r="T159" s="133">
        <f t="shared" si="108"/>
        <v>0</v>
      </c>
      <c r="U159" s="133">
        <f t="shared" si="109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131">
        <f t="shared" ca="1" si="110"/>
        <v>0</v>
      </c>
      <c r="M160" s="132">
        <f t="shared" ca="1" si="110"/>
        <v>0</v>
      </c>
      <c r="N160" s="132">
        <f t="shared" ca="1" si="110"/>
        <v>0</v>
      </c>
      <c r="O160" s="132">
        <f t="shared" ca="1" si="105"/>
        <v>0</v>
      </c>
      <c r="P160" s="132">
        <f t="shared" ca="1" si="106"/>
        <v>0</v>
      </c>
      <c r="Q160" s="132">
        <f t="shared" ca="1" si="111"/>
        <v>0</v>
      </c>
      <c r="R160" s="132">
        <f t="shared" ca="1" si="111"/>
        <v>0</v>
      </c>
      <c r="S160" s="132">
        <f t="shared" ca="1" si="111"/>
        <v>0</v>
      </c>
      <c r="T160" s="132">
        <f t="shared" ca="1" si="108"/>
        <v>0</v>
      </c>
      <c r="U160" s="132">
        <f t="shared" ca="1" si="109"/>
        <v>0</v>
      </c>
    </row>
    <row r="161" spans="1:21" ht="18.75" hidden="1" x14ac:dyDescent="0.25">
      <c r="A161" s="257"/>
      <c r="B161" s="269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131">
        <f t="shared" ref="L161:N161" ca="1" si="112">L162+L163</f>
        <v>0</v>
      </c>
      <c r="M161" s="132">
        <f t="shared" ca="1" si="112"/>
        <v>0</v>
      </c>
      <c r="N161" s="132">
        <f t="shared" ca="1" si="112"/>
        <v>0</v>
      </c>
      <c r="O161" s="132">
        <f t="shared" ca="1" si="105"/>
        <v>0</v>
      </c>
      <c r="P161" s="132">
        <f t="shared" ca="1" si="106"/>
        <v>0</v>
      </c>
      <c r="Q161" s="132">
        <f t="shared" ref="Q161:S161" ca="1" si="113">Q162+Q163</f>
        <v>0</v>
      </c>
      <c r="R161" s="132">
        <f t="shared" ca="1" si="113"/>
        <v>0</v>
      </c>
      <c r="S161" s="132">
        <f t="shared" ca="1" si="113"/>
        <v>0</v>
      </c>
      <c r="T161" s="132">
        <f t="shared" ca="1" si="108"/>
        <v>0</v>
      </c>
      <c r="U161" s="132">
        <f t="shared" ca="1" si="109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133">
        <f t="shared" si="105"/>
        <v>0</v>
      </c>
      <c r="P162" s="133">
        <f t="shared" si="106"/>
        <v>0</v>
      </c>
      <c r="Q162" s="77">
        <v>0</v>
      </c>
      <c r="R162" s="77">
        <v>0</v>
      </c>
      <c r="S162" s="77">
        <v>0</v>
      </c>
      <c r="T162" s="133">
        <f t="shared" si="108"/>
        <v>0</v>
      </c>
      <c r="U162" s="133">
        <f t="shared" si="109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131">
        <f ca="1">IFERROR(__xludf.DUMMYFUNCTION("IMPORTRANGE(""https://docs.google.com/spreadsheets/d/1-uDff_7J0KD5mKrp0Vvzr7lt3OU09vwQwhkpOPPYv2Y/edit?usp=sharing"",""งบพรบ!CA54"")"),0)</f>
        <v>0</v>
      </c>
      <c r="M163" s="132">
        <f ca="1">IFERROR(__xludf.DUMMYFUNCTION("IMPORTRANGE(""https://docs.google.com/spreadsheets/d/1-uDff_7J0KD5mKrp0Vvzr7lt3OU09vwQwhkpOPPYv2Y/edit?usp=sharing"",""งบพรบ!CF54"")"),0)</f>
        <v>0</v>
      </c>
      <c r="N163" s="132">
        <f ca="1">IFERROR(__xludf.DUMMYFUNCTION("IMPORTRANGE(""https://docs.google.com/spreadsheets/d/1-uDff_7J0KD5mKrp0Vvzr7lt3OU09vwQwhkpOPPYv2Y/edit?usp=sharing"",""งบพรบ!CH54"")"),0)</f>
        <v>0</v>
      </c>
      <c r="O163" s="132">
        <f t="shared" ca="1" si="105"/>
        <v>0</v>
      </c>
      <c r="P163" s="132">
        <f t="shared" ca="1" si="106"/>
        <v>0</v>
      </c>
      <c r="Q163" s="132">
        <f ca="1">IFERROR(__xludf.DUMMYFUNCTION("IMPORTRANGE(""https://docs.google.com/spreadsheets/d/1ItG2mGa2ceCfYo0BwxsXqNm01IGEUdYcSSLTEv9YCik/edit?usp=sharing"",""เบิกจ่ายกองทุน!AG54"")"),0)</f>
        <v>0</v>
      </c>
      <c r="R163" s="132">
        <f ca="1">IFERROR(__xludf.DUMMYFUNCTION("IMPORTRANGE(""https://docs.google.com/spreadsheets/d/1ItG2mGa2ceCfYo0BwxsXqNm01IGEUdYcSSLTEv9YCik/edit?usp=sharing"",""เบิกจ่ายกองทุน!AH54"")"),0)</f>
        <v>0</v>
      </c>
      <c r="S163" s="132">
        <f ca="1">IFERROR(__xludf.DUMMYFUNCTION("IMPORTRANGE(""https://docs.google.com/spreadsheets/d/1ItG2mGa2ceCfYo0BwxsXqNm01IGEUdYcSSLTEv9YCik/edit?usp=sharing"",""เบิกจ่ายกองทุน!AI54"")"),0)</f>
        <v>0</v>
      </c>
      <c r="T163" s="132">
        <f t="shared" ca="1" si="108"/>
        <v>0</v>
      </c>
      <c r="U163" s="132">
        <f t="shared" ca="1" si="109"/>
        <v>0</v>
      </c>
    </row>
    <row r="164" spans="1:21" ht="18.75" hidden="1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131">
        <f t="shared" ref="L164:N164" ca="1" si="114">L165+L166</f>
        <v>0</v>
      </c>
      <c r="M164" s="132">
        <f t="shared" ca="1" si="114"/>
        <v>0</v>
      </c>
      <c r="N164" s="132">
        <f t="shared" ca="1" si="114"/>
        <v>0</v>
      </c>
      <c r="O164" s="132">
        <f t="shared" ca="1" si="105"/>
        <v>0</v>
      </c>
      <c r="P164" s="132">
        <f t="shared" ca="1" si="106"/>
        <v>0</v>
      </c>
      <c r="Q164" s="132">
        <f t="shared" ref="Q164:S164" si="115">Q165+Q166</f>
        <v>0</v>
      </c>
      <c r="R164" s="132">
        <f t="shared" si="115"/>
        <v>0</v>
      </c>
      <c r="S164" s="132">
        <f t="shared" si="115"/>
        <v>0</v>
      </c>
      <c r="T164" s="132">
        <f t="shared" si="108"/>
        <v>0</v>
      </c>
      <c r="U164" s="132">
        <f t="shared" si="109"/>
        <v>0</v>
      </c>
    </row>
    <row r="165" spans="1:21" ht="18.75" hidden="1" x14ac:dyDescent="0.25">
      <c r="A165" s="257"/>
      <c r="B165" s="269"/>
      <c r="C165" s="269"/>
      <c r="D165" s="269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133">
        <f t="shared" si="105"/>
        <v>0</v>
      </c>
      <c r="P165" s="133">
        <f t="shared" si="106"/>
        <v>0</v>
      </c>
      <c r="Q165" s="77">
        <v>0</v>
      </c>
      <c r="R165" s="77">
        <v>0</v>
      </c>
      <c r="S165" s="77">
        <v>0</v>
      </c>
      <c r="T165" s="133">
        <f t="shared" si="108"/>
        <v>0</v>
      </c>
      <c r="U165" s="133">
        <f t="shared" si="109"/>
        <v>0</v>
      </c>
    </row>
    <row r="166" spans="1:21" ht="18.75" hidden="1" x14ac:dyDescent="0.25">
      <c r="A166" s="257"/>
      <c r="B166" s="269"/>
      <c r="C166" s="269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131">
        <f ca="1">IFERROR(__xludf.DUMMYFUNCTION("IMPORTRANGE(""https://docs.google.com/spreadsheets/d/1-uDff_7J0KD5mKrp0Vvzr7lt3OU09vwQwhkpOPPYv2Y/edit?usp=sharing"",""งบพรบ!CD54"")"),0)</f>
        <v>0</v>
      </c>
      <c r="M166" s="132">
        <f ca="1">IFERROR(__xludf.DUMMYFUNCTION("IMPORTRANGE(""https://docs.google.com/spreadsheets/d/1-uDff_7J0KD5mKrp0Vvzr7lt3OU09vwQwhkpOPPYv2Y/edit?usp=sharing"",""งบพรบ!CG54"")"),0)</f>
        <v>0</v>
      </c>
      <c r="N166" s="132">
        <f ca="1">IFERROR(__xludf.DUMMYFUNCTION("IMPORTRANGE(""https://docs.google.com/spreadsheets/d/1-uDff_7J0KD5mKrp0Vvzr7lt3OU09vwQwhkpOPPYv2Y/edit?usp=sharing"",""งบพรบ!CI54"")"),0)</f>
        <v>0</v>
      </c>
      <c r="O166" s="132">
        <f t="shared" ca="1" si="105"/>
        <v>0</v>
      </c>
      <c r="P166" s="132">
        <f t="shared" ca="1" si="106"/>
        <v>0</v>
      </c>
      <c r="Q166" s="74">
        <v>0</v>
      </c>
      <c r="R166" s="74">
        <v>0</v>
      </c>
      <c r="S166" s="74">
        <v>0</v>
      </c>
      <c r="T166" s="132">
        <f t="shared" si="108"/>
        <v>0</v>
      </c>
      <c r="U166" s="132">
        <f t="shared" si="109"/>
        <v>0</v>
      </c>
    </row>
    <row r="167" spans="1:21" ht="19.5" hidden="1" x14ac:dyDescent="0.3">
      <c r="A167" s="276"/>
      <c r="B167" s="277"/>
      <c r="C167" s="621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hidden="1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IFERROR(__xludf.DUMMYFUNCTION("IMPORTRANGE(""https://docs.google.com/spreadsheets/d/1eHaY18a8A9IcSdp1K8H6x8fbOy06t2VsZHhMHf-1x7Y/edit?usp=sharing"",""แผน!Z54"")"),0)</f>
        <v>0</v>
      </c>
      <c r="J168" s="294">
        <v>0</v>
      </c>
      <c r="K168" s="74">
        <f t="shared" ref="K168:K170" ca="1" si="116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IFERROR(__xludf.DUMMYFUNCTION("IMPORTRANGE(""https://docs.google.com/spreadsheets/d/1eHaY18a8A9IcSdp1K8H6x8fbOy06t2VsZHhMHf-1x7Y/edit?usp=sharing"",""แผน!Z54"")"),0)</f>
        <v>0</v>
      </c>
      <c r="J169" s="910">
        <v>0</v>
      </c>
      <c r="K169" s="77">
        <f t="shared" ca="1" si="116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IFERROR(__xludf.DUMMYFUNCTION("IMPORTRANGE(""https://docs.google.com/spreadsheets/d/1eHaY18a8A9IcSdp1K8H6x8fbOy06t2VsZHhMHf-1x7Y/edit?usp=sharing"",""แผน!Z54"")"),0)</f>
        <v>0</v>
      </c>
      <c r="J170" s="999">
        <v>0</v>
      </c>
      <c r="K170" s="1000">
        <f t="shared" ca="1" si="116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5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121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125" t="s">
        <v>35</v>
      </c>
      <c r="I173" s="1126">
        <f t="shared" ref="I173:J173" ca="1" si="117">I184+I185</f>
        <v>7</v>
      </c>
      <c r="J173" s="1126">
        <f t="shared" si="117"/>
        <v>7</v>
      </c>
      <c r="K173" s="1127">
        <f ca="1">IF(I173&gt;0,J173*100/I173,0)</f>
        <v>100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214">
        <f t="shared" ref="L174:N174" ca="1" si="118">L175+L176</f>
        <v>19590</v>
      </c>
      <c r="M174" s="215">
        <f t="shared" ca="1" si="118"/>
        <v>30530</v>
      </c>
      <c r="N174" s="215">
        <f t="shared" ca="1" si="118"/>
        <v>19590</v>
      </c>
      <c r="O174" s="215">
        <f t="shared" ref="O174:O182" ca="1" si="119">IF(L174&gt;0,N174*100/L174,0)</f>
        <v>100</v>
      </c>
      <c r="P174" s="215">
        <f t="shared" ref="P174:P182" ca="1" si="120">IF(M174&gt;0,N174*100/M174,0)</f>
        <v>64.166393711103836</v>
      </c>
      <c r="Q174" s="215">
        <f t="shared" ref="Q174:S174" ca="1" si="121">Q175+Q176</f>
        <v>0</v>
      </c>
      <c r="R174" s="215">
        <f t="shared" ca="1" si="121"/>
        <v>0</v>
      </c>
      <c r="S174" s="215">
        <f t="shared" ca="1" si="121"/>
        <v>0</v>
      </c>
      <c r="T174" s="215">
        <f t="shared" ref="T174:T182" ca="1" si="122">IF(Q174&gt;0,S174*100/Q174,0)</f>
        <v>0</v>
      </c>
      <c r="U174" s="215">
        <f t="shared" ref="U174:U182" ca="1" si="123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217">
        <f t="shared" ref="L175:N176" si="124">L178+L181</f>
        <v>0</v>
      </c>
      <c r="M175" s="133">
        <f t="shared" si="124"/>
        <v>0</v>
      </c>
      <c r="N175" s="133">
        <f t="shared" si="124"/>
        <v>0</v>
      </c>
      <c r="O175" s="133">
        <f t="shared" si="119"/>
        <v>0</v>
      </c>
      <c r="P175" s="133">
        <f t="shared" si="120"/>
        <v>0</v>
      </c>
      <c r="Q175" s="133">
        <f t="shared" ref="Q175:S176" si="125">Q178+Q181</f>
        <v>0</v>
      </c>
      <c r="R175" s="133">
        <f t="shared" si="125"/>
        <v>0</v>
      </c>
      <c r="S175" s="133">
        <f t="shared" si="125"/>
        <v>0</v>
      </c>
      <c r="T175" s="133">
        <f t="shared" si="122"/>
        <v>0</v>
      </c>
      <c r="U175" s="133">
        <f t="shared" si="123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131">
        <f t="shared" ca="1" si="124"/>
        <v>19590</v>
      </c>
      <c r="M176" s="132">
        <f t="shared" ca="1" si="124"/>
        <v>30530</v>
      </c>
      <c r="N176" s="132">
        <f t="shared" ca="1" si="124"/>
        <v>19590</v>
      </c>
      <c r="O176" s="132">
        <f t="shared" ca="1" si="119"/>
        <v>100</v>
      </c>
      <c r="P176" s="132">
        <f t="shared" ca="1" si="120"/>
        <v>64.166393711103836</v>
      </c>
      <c r="Q176" s="132">
        <f t="shared" ca="1" si="125"/>
        <v>0</v>
      </c>
      <c r="R176" s="132">
        <f t="shared" ca="1" si="125"/>
        <v>0</v>
      </c>
      <c r="S176" s="132">
        <f t="shared" ca="1" si="125"/>
        <v>0</v>
      </c>
      <c r="T176" s="132">
        <f t="shared" ca="1" si="122"/>
        <v>0</v>
      </c>
      <c r="U176" s="132">
        <f t="shared" ca="1" si="123"/>
        <v>0</v>
      </c>
    </row>
    <row r="177" spans="1:21" ht="18.75" x14ac:dyDescent="0.25">
      <c r="A177" s="257"/>
      <c r="B177" s="269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131">
        <f t="shared" ref="L177:N177" ca="1" si="126">L178+L179</f>
        <v>19590</v>
      </c>
      <c r="M177" s="132">
        <f t="shared" ca="1" si="126"/>
        <v>30530</v>
      </c>
      <c r="N177" s="132">
        <f t="shared" ca="1" si="126"/>
        <v>19590</v>
      </c>
      <c r="O177" s="132">
        <f t="shared" ca="1" si="119"/>
        <v>100</v>
      </c>
      <c r="P177" s="132">
        <f t="shared" ca="1" si="120"/>
        <v>64.166393711103836</v>
      </c>
      <c r="Q177" s="132">
        <f t="shared" ref="Q177:S177" ca="1" si="127">Q178+Q179</f>
        <v>0</v>
      </c>
      <c r="R177" s="132">
        <f t="shared" ca="1" si="127"/>
        <v>0</v>
      </c>
      <c r="S177" s="132">
        <f t="shared" ca="1" si="127"/>
        <v>0</v>
      </c>
      <c r="T177" s="132">
        <f t="shared" ca="1" si="122"/>
        <v>0</v>
      </c>
      <c r="U177" s="132">
        <f t="shared" ca="1" si="123"/>
        <v>0</v>
      </c>
    </row>
    <row r="178" spans="1:21" ht="18.75" hidden="1" x14ac:dyDescent="0.25">
      <c r="A178" s="257"/>
      <c r="B178" s="258"/>
      <c r="C178" s="269"/>
      <c r="D178" s="269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133">
        <f t="shared" si="119"/>
        <v>0</v>
      </c>
      <c r="P178" s="133">
        <f t="shared" si="120"/>
        <v>0</v>
      </c>
      <c r="Q178" s="77">
        <v>0</v>
      </c>
      <c r="R178" s="77">
        <v>0</v>
      </c>
      <c r="S178" s="77">
        <v>0</v>
      </c>
      <c r="T178" s="133">
        <f t="shared" si="122"/>
        <v>0</v>
      </c>
      <c r="U178" s="133">
        <f t="shared" si="123"/>
        <v>0</v>
      </c>
    </row>
    <row r="179" spans="1:21" ht="18.75" hidden="1" x14ac:dyDescent="0.25">
      <c r="A179" s="257"/>
      <c r="B179" s="269"/>
      <c r="C179" s="269"/>
      <c r="D179" s="269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131">
        <f ca="1">IFERROR(__xludf.DUMMYFUNCTION("IMPORTRANGE(""https://docs.google.com/spreadsheets/d/1-uDff_7J0KD5mKrp0Vvzr7lt3OU09vwQwhkpOPPYv2Y/edit?usp=sharing"",""งบพรบ!CK54"")"),19590)</f>
        <v>19590</v>
      </c>
      <c r="M179" s="132">
        <f ca="1">IFERROR(__xludf.DUMMYFUNCTION("IMPORTRANGE(""https://docs.google.com/spreadsheets/d/1-uDff_7J0KD5mKrp0Vvzr7lt3OU09vwQwhkpOPPYv2Y/edit?usp=sharing"",""งบพรบ!CP54"")"),30530)</f>
        <v>30530</v>
      </c>
      <c r="N179" s="132">
        <f ca="1">IFERROR(__xludf.DUMMYFUNCTION("IMPORTRANGE(""https://docs.google.com/spreadsheets/d/1-uDff_7J0KD5mKrp0Vvzr7lt3OU09vwQwhkpOPPYv2Y/edit?usp=sharing"",""งบพรบ!CR54"")"),19590)</f>
        <v>19590</v>
      </c>
      <c r="O179" s="132">
        <f t="shared" ca="1" si="119"/>
        <v>100</v>
      </c>
      <c r="P179" s="132">
        <f t="shared" ca="1" si="120"/>
        <v>64.166393711103836</v>
      </c>
      <c r="Q179" s="132">
        <f ca="1">IFERROR(__xludf.DUMMYFUNCTION("IMPORTRANGE(""https://docs.google.com/spreadsheets/d/1ItG2mGa2ceCfYo0BwxsXqNm01IGEUdYcSSLTEv9YCik/edit?usp=sharing"",""เบิกจ่ายกองทุน!BE54"")"),0)</f>
        <v>0</v>
      </c>
      <c r="R179" s="132">
        <f ca="1">IFERROR(__xludf.DUMMYFUNCTION("IMPORTRANGE(""https://docs.google.com/spreadsheets/d/1ItG2mGa2ceCfYo0BwxsXqNm01IGEUdYcSSLTEv9YCik/edit?usp=sharing"",""เบิกจ่ายกองทุน!BF54"")"),0)</f>
        <v>0</v>
      </c>
      <c r="S179" s="132">
        <f ca="1">IFERROR(__xludf.DUMMYFUNCTION("IMPORTRANGE(""https://docs.google.com/spreadsheets/d/1ItG2mGa2ceCfYo0BwxsXqNm01IGEUdYcSSLTEv9YCik/edit?usp=sharing"",""เบิกจ่ายกองทุน!BG54"")"),0)</f>
        <v>0</v>
      </c>
      <c r="T179" s="132">
        <f t="shared" ca="1" si="122"/>
        <v>0</v>
      </c>
      <c r="U179" s="132">
        <f t="shared" ca="1" si="123"/>
        <v>0</v>
      </c>
    </row>
    <row r="180" spans="1:21" ht="18.75" x14ac:dyDescent="0.25">
      <c r="A180" s="257"/>
      <c r="B180" s="258"/>
      <c r="C180" s="269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131">
        <f t="shared" ref="L180:N180" ca="1" si="128">L181+L182</f>
        <v>0</v>
      </c>
      <c r="M180" s="132">
        <f t="shared" ca="1" si="128"/>
        <v>0</v>
      </c>
      <c r="N180" s="132">
        <f t="shared" ca="1" si="128"/>
        <v>0</v>
      </c>
      <c r="O180" s="132">
        <f t="shared" ca="1" si="119"/>
        <v>0</v>
      </c>
      <c r="P180" s="132">
        <f t="shared" ca="1" si="120"/>
        <v>0</v>
      </c>
      <c r="Q180" s="132">
        <f t="shared" ref="Q180:S180" si="129">Q181+Q182</f>
        <v>0</v>
      </c>
      <c r="R180" s="132">
        <f t="shared" si="129"/>
        <v>0</v>
      </c>
      <c r="S180" s="132">
        <f t="shared" si="129"/>
        <v>0</v>
      </c>
      <c r="T180" s="132">
        <f t="shared" si="122"/>
        <v>0</v>
      </c>
      <c r="U180" s="132">
        <f t="shared" si="123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133">
        <f t="shared" si="119"/>
        <v>0</v>
      </c>
      <c r="P181" s="133">
        <f t="shared" si="120"/>
        <v>0</v>
      </c>
      <c r="Q181" s="77">
        <v>0</v>
      </c>
      <c r="R181" s="77">
        <v>0</v>
      </c>
      <c r="S181" s="77">
        <v>0</v>
      </c>
      <c r="T181" s="133">
        <f t="shared" si="122"/>
        <v>0</v>
      </c>
      <c r="U181" s="133">
        <f t="shared" si="123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131">
        <f ca="1">IFERROR(__xludf.DUMMYFUNCTION("IMPORTRANGE(""https://docs.google.com/spreadsheets/d/1-uDff_7J0KD5mKrp0Vvzr7lt3OU09vwQwhkpOPPYv2Y/edit?usp=sharing"",""งบพรบ!CN54"")"),0)</f>
        <v>0</v>
      </c>
      <c r="M182" s="132">
        <f ca="1">IFERROR(__xludf.DUMMYFUNCTION("IMPORTRANGE(""https://docs.google.com/spreadsheets/d/1-uDff_7J0KD5mKrp0Vvzr7lt3OU09vwQwhkpOPPYv2Y/edit?usp=sharing"",""งบพรบ!CQ54"")"),0)</f>
        <v>0</v>
      </c>
      <c r="N182" s="132">
        <f ca="1">IFERROR(__xludf.DUMMYFUNCTION("IMPORTRANGE(""https://docs.google.com/spreadsheets/d/1-uDff_7J0KD5mKrp0Vvzr7lt3OU09vwQwhkpOPPYv2Y/edit?usp=sharing"",""งบพรบ!CS54"")"),0)</f>
        <v>0</v>
      </c>
      <c r="O182" s="132">
        <f t="shared" ca="1" si="119"/>
        <v>0</v>
      </c>
      <c r="P182" s="132">
        <f t="shared" ca="1" si="120"/>
        <v>0</v>
      </c>
      <c r="Q182" s="74">
        <v>0</v>
      </c>
      <c r="R182" s="74">
        <v>0</v>
      </c>
      <c r="S182" s="74">
        <v>0</v>
      </c>
      <c r="T182" s="132">
        <f t="shared" si="122"/>
        <v>0</v>
      </c>
      <c r="U182" s="132">
        <f t="shared" si="123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307" t="s">
        <v>35</v>
      </c>
      <c r="I184" s="293">
        <f ca="1">IFERROR(__xludf.DUMMYFUNCTION("IMPORTRANGE(""https://docs.google.com/spreadsheets/d/1eHaY18a8A9IcSdp1K8H6x8fbOy06t2VsZHhMHf-1x7Y/edit?usp=sharing"",""แผน!AA54"")"),7)</f>
        <v>7</v>
      </c>
      <c r="J184" s="294">
        <v>7</v>
      </c>
      <c r="K184" s="74">
        <f t="shared" ref="K184:K186" ca="1" si="130">IF(I184&gt;0,J184*100/I184,0)</f>
        <v>100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308" t="s">
        <v>35</v>
      </c>
      <c r="I185" s="592">
        <v>0</v>
      </c>
      <c r="J185" s="592">
        <v>0</v>
      </c>
      <c r="K185" s="77">
        <f t="shared" si="130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125" t="s">
        <v>35</v>
      </c>
      <c r="I186" s="1126">
        <f t="shared" ref="I186:J186" ca="1" si="131">I231+I232</f>
        <v>10</v>
      </c>
      <c r="J186" s="1126">
        <f t="shared" si="131"/>
        <v>0</v>
      </c>
      <c r="K186" s="1127">
        <f t="shared" ca="1" si="130"/>
        <v>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214">
        <f t="shared" ref="L187:N187" ca="1" si="132">L188+L189</f>
        <v>263400</v>
      </c>
      <c r="M187" s="215">
        <f t="shared" ca="1" si="132"/>
        <v>260400</v>
      </c>
      <c r="N187" s="215">
        <f t="shared" ca="1" si="132"/>
        <v>104448.97</v>
      </c>
      <c r="O187" s="215">
        <f t="shared" ref="O187:O195" ca="1" si="133">IF(L187&gt;0,N187*100/L187,0)</f>
        <v>39.65412680334093</v>
      </c>
      <c r="P187" s="215">
        <f t="shared" ref="P187:P195" ca="1" si="134">IF(M187&gt;0,N187*100/M187,0)</f>
        <v>40.110971582181257</v>
      </c>
      <c r="Q187" s="215">
        <f t="shared" ref="Q187:S187" ca="1" si="135">Q188+Q189</f>
        <v>69700</v>
      </c>
      <c r="R187" s="215">
        <f t="shared" ca="1" si="135"/>
        <v>69700</v>
      </c>
      <c r="S187" s="215">
        <f t="shared" ca="1" si="135"/>
        <v>0</v>
      </c>
      <c r="T187" s="215">
        <f t="shared" ref="T187:T195" ca="1" si="136">IF(Q187&gt;0,S187*100/Q187,0)</f>
        <v>0</v>
      </c>
      <c r="U187" s="215">
        <f t="shared" ref="U187:U195" ca="1" si="137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217">
        <f t="shared" ref="L188:N189" si="138">L191+L194</f>
        <v>0</v>
      </c>
      <c r="M188" s="133">
        <f t="shared" si="138"/>
        <v>0</v>
      </c>
      <c r="N188" s="133">
        <f t="shared" si="138"/>
        <v>0</v>
      </c>
      <c r="O188" s="133">
        <f t="shared" si="133"/>
        <v>0</v>
      </c>
      <c r="P188" s="133">
        <f t="shared" si="134"/>
        <v>0</v>
      </c>
      <c r="Q188" s="133">
        <f t="shared" ref="Q188:S189" si="139">Q191+Q194</f>
        <v>0</v>
      </c>
      <c r="R188" s="133">
        <f t="shared" si="139"/>
        <v>0</v>
      </c>
      <c r="S188" s="133">
        <f t="shared" si="139"/>
        <v>0</v>
      </c>
      <c r="T188" s="133">
        <f t="shared" si="136"/>
        <v>0</v>
      </c>
      <c r="U188" s="133">
        <f t="shared" si="137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131">
        <f t="shared" ca="1" si="138"/>
        <v>263400</v>
      </c>
      <c r="M189" s="132">
        <f t="shared" ca="1" si="138"/>
        <v>260400</v>
      </c>
      <c r="N189" s="132">
        <f t="shared" ca="1" si="138"/>
        <v>104448.97</v>
      </c>
      <c r="O189" s="132">
        <f t="shared" ca="1" si="133"/>
        <v>39.65412680334093</v>
      </c>
      <c r="P189" s="132">
        <f t="shared" ca="1" si="134"/>
        <v>40.110971582181257</v>
      </c>
      <c r="Q189" s="132">
        <f t="shared" ca="1" si="139"/>
        <v>69700</v>
      </c>
      <c r="R189" s="132">
        <f t="shared" ca="1" si="139"/>
        <v>69700</v>
      </c>
      <c r="S189" s="132">
        <f t="shared" ca="1" si="139"/>
        <v>0</v>
      </c>
      <c r="T189" s="132">
        <f t="shared" ca="1" si="136"/>
        <v>0</v>
      </c>
      <c r="U189" s="132">
        <f t="shared" ca="1" si="137"/>
        <v>0</v>
      </c>
    </row>
    <row r="190" spans="1:21" ht="18.75" x14ac:dyDescent="0.25">
      <c r="A190" s="257"/>
      <c r="B190" s="269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131">
        <f t="shared" ref="L190:N190" ca="1" si="140">L191+L192</f>
        <v>263400</v>
      </c>
      <c r="M190" s="132">
        <f t="shared" ca="1" si="140"/>
        <v>260400</v>
      </c>
      <c r="N190" s="132">
        <f t="shared" ca="1" si="140"/>
        <v>104448.97</v>
      </c>
      <c r="O190" s="132">
        <f t="shared" ca="1" si="133"/>
        <v>39.65412680334093</v>
      </c>
      <c r="P190" s="132">
        <f t="shared" ca="1" si="134"/>
        <v>40.110971582181257</v>
      </c>
      <c r="Q190" s="132">
        <f t="shared" ref="Q190:S190" ca="1" si="141">Q191+Q192</f>
        <v>69700</v>
      </c>
      <c r="R190" s="132">
        <f t="shared" ca="1" si="141"/>
        <v>69700</v>
      </c>
      <c r="S190" s="132">
        <f t="shared" ca="1" si="141"/>
        <v>0</v>
      </c>
      <c r="T190" s="132">
        <f t="shared" ca="1" si="136"/>
        <v>0</v>
      </c>
      <c r="U190" s="132">
        <f t="shared" ca="1" si="137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133">
        <f t="shared" si="133"/>
        <v>0</v>
      </c>
      <c r="P191" s="133">
        <f t="shared" si="134"/>
        <v>0</v>
      </c>
      <c r="Q191" s="77">
        <v>0</v>
      </c>
      <c r="R191" s="77">
        <v>0</v>
      </c>
      <c r="S191" s="77">
        <v>0</v>
      </c>
      <c r="T191" s="133">
        <f t="shared" si="136"/>
        <v>0</v>
      </c>
      <c r="U191" s="133">
        <f t="shared" si="137"/>
        <v>0</v>
      </c>
    </row>
    <row r="192" spans="1:21" ht="18.75" hidden="1" x14ac:dyDescent="0.25">
      <c r="A192" s="257"/>
      <c r="B192" s="269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131">
        <f ca="1">IFERROR(__xludf.DUMMYFUNCTION("IMPORTRANGE(""https://docs.google.com/spreadsheets/d/1-uDff_7J0KD5mKrp0Vvzr7lt3OU09vwQwhkpOPPYv2Y/edit?usp=sharing"",""งบพรบ!CU54"")"),263400)</f>
        <v>263400</v>
      </c>
      <c r="M192" s="132">
        <f ca="1">IFERROR(__xludf.DUMMYFUNCTION("IMPORTRANGE(""https://docs.google.com/spreadsheets/d/1-uDff_7J0KD5mKrp0Vvzr7lt3OU09vwQwhkpOPPYv2Y/edit?usp=sharing"",""งบพรบ!CZ54"")"),260400)</f>
        <v>260400</v>
      </c>
      <c r="N192" s="132">
        <f ca="1">IFERROR(__xludf.DUMMYFUNCTION("IMPORTRANGE(""https://docs.google.com/spreadsheets/d/1-uDff_7J0KD5mKrp0Vvzr7lt3OU09vwQwhkpOPPYv2Y/edit?usp=sharing"",""งบพรบ!DB54"")"),104448.97)</f>
        <v>104448.97</v>
      </c>
      <c r="O192" s="132">
        <f t="shared" ca="1" si="133"/>
        <v>39.65412680334093</v>
      </c>
      <c r="P192" s="132">
        <f t="shared" ca="1" si="134"/>
        <v>40.110971582181257</v>
      </c>
      <c r="Q192" s="132">
        <f ca="1">IFERROR(__xludf.DUMMYFUNCTION("IMPORTRANGE(""https://docs.google.com/spreadsheets/d/1ItG2mGa2ceCfYo0BwxsXqNm01IGEUdYcSSLTEv9YCik/edit?usp=sharing"",""เบิกจ่ายกองทุน!AV54"")"),69700)</f>
        <v>69700</v>
      </c>
      <c r="R192" s="132">
        <f ca="1">IFERROR(__xludf.DUMMYFUNCTION("IMPORTRANGE(""https://docs.google.com/spreadsheets/d/1ItG2mGa2ceCfYo0BwxsXqNm01IGEUdYcSSLTEv9YCik/edit?usp=sharing"",""เบิกจ่ายกองทุน!AW54"")"),69700)</f>
        <v>69700</v>
      </c>
      <c r="S192" s="132">
        <f ca="1">IFERROR(__xludf.DUMMYFUNCTION("IMPORTRANGE(""https://docs.google.com/spreadsheets/d/1ItG2mGa2ceCfYo0BwxsXqNm01IGEUdYcSSLTEv9YCik/edit?usp=sharing"",""เบิกจ่ายกองทุน!AX54"")"),0)</f>
        <v>0</v>
      </c>
      <c r="T192" s="132">
        <f t="shared" ca="1" si="136"/>
        <v>0</v>
      </c>
      <c r="U192" s="132">
        <f t="shared" ca="1" si="137"/>
        <v>0</v>
      </c>
    </row>
    <row r="193" spans="1:21" ht="18.75" x14ac:dyDescent="0.25">
      <c r="A193" s="257"/>
      <c r="B193" s="269"/>
      <c r="C193" s="269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131">
        <f t="shared" ref="L193:N193" ca="1" si="142">L194+L195</f>
        <v>0</v>
      </c>
      <c r="M193" s="132">
        <f t="shared" ca="1" si="142"/>
        <v>0</v>
      </c>
      <c r="N193" s="132">
        <f t="shared" ca="1" si="142"/>
        <v>0</v>
      </c>
      <c r="O193" s="132">
        <f t="shared" ca="1" si="133"/>
        <v>0</v>
      </c>
      <c r="P193" s="132">
        <f t="shared" ca="1" si="134"/>
        <v>0</v>
      </c>
      <c r="Q193" s="132">
        <f t="shared" ref="Q193:S193" si="143">Q194+Q195</f>
        <v>0</v>
      </c>
      <c r="R193" s="132">
        <f t="shared" si="143"/>
        <v>0</v>
      </c>
      <c r="S193" s="132">
        <f t="shared" si="143"/>
        <v>0</v>
      </c>
      <c r="T193" s="132">
        <f t="shared" si="136"/>
        <v>0</v>
      </c>
      <c r="U193" s="132">
        <f t="shared" si="137"/>
        <v>0</v>
      </c>
    </row>
    <row r="194" spans="1:21" ht="18.75" hidden="1" x14ac:dyDescent="0.25">
      <c r="A194" s="257"/>
      <c r="B194" s="269"/>
      <c r="C194" s="269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133">
        <f t="shared" si="133"/>
        <v>0</v>
      </c>
      <c r="P194" s="133">
        <f t="shared" si="134"/>
        <v>0</v>
      </c>
      <c r="Q194" s="77">
        <v>0</v>
      </c>
      <c r="R194" s="77">
        <v>0</v>
      </c>
      <c r="S194" s="77">
        <v>0</v>
      </c>
      <c r="T194" s="133">
        <f t="shared" si="136"/>
        <v>0</v>
      </c>
      <c r="U194" s="133">
        <f t="shared" si="137"/>
        <v>0</v>
      </c>
    </row>
    <row r="195" spans="1:21" ht="18.75" hidden="1" x14ac:dyDescent="0.25">
      <c r="A195" s="257"/>
      <c r="B195" s="269"/>
      <c r="C195" s="269"/>
      <c r="D195" s="269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131">
        <f ca="1">IFERROR(__xludf.DUMMYFUNCTION("IMPORTRANGE(""https://docs.google.com/spreadsheets/d/1-uDff_7J0KD5mKrp0Vvzr7lt3OU09vwQwhkpOPPYv2Y/edit?usp=sharing"",""งบพรบ!CX54"")"),0)</f>
        <v>0</v>
      </c>
      <c r="M195" s="132">
        <f ca="1">IFERROR(__xludf.DUMMYFUNCTION("IMPORTRANGE(""https://docs.google.com/spreadsheets/d/1-uDff_7J0KD5mKrp0Vvzr7lt3OU09vwQwhkpOPPYv2Y/edit?usp=sharing"",""งบพรบ!DA54"")"),0)</f>
        <v>0</v>
      </c>
      <c r="N195" s="132">
        <f ca="1">IFERROR(__xludf.DUMMYFUNCTION("IMPORTRANGE(""https://docs.google.com/spreadsheets/d/1-uDff_7J0KD5mKrp0Vvzr7lt3OU09vwQwhkpOPPYv2Y/edit?usp=sharing"",""งบพรบ!DC54"")"),0)</f>
        <v>0</v>
      </c>
      <c r="O195" s="132">
        <f t="shared" ca="1" si="133"/>
        <v>0</v>
      </c>
      <c r="P195" s="132">
        <f t="shared" ca="1" si="134"/>
        <v>0</v>
      </c>
      <c r="Q195" s="74">
        <v>0</v>
      </c>
      <c r="R195" s="74">
        <v>0</v>
      </c>
      <c r="S195" s="74">
        <v>0</v>
      </c>
      <c r="T195" s="132">
        <f t="shared" si="136"/>
        <v>0</v>
      </c>
      <c r="U195" s="132">
        <f t="shared" si="137"/>
        <v>0</v>
      </c>
    </row>
    <row r="196" spans="1:21" ht="19.5" x14ac:dyDescent="0.3">
      <c r="A196" s="553"/>
      <c r="B196" s="555"/>
      <c r="C196" s="1128" t="s">
        <v>78</v>
      </c>
      <c r="D196" s="555"/>
      <c r="E196" s="554"/>
      <c r="F196" s="554"/>
      <c r="G196" s="557"/>
      <c r="H196" s="558" t="s">
        <v>79</v>
      </c>
      <c r="I196" s="559">
        <f t="shared" ref="I196:J196" ca="1" si="144">I199</f>
        <v>4</v>
      </c>
      <c r="J196" s="559">
        <f t="shared" si="144"/>
        <v>2</v>
      </c>
      <c r="K196" s="560">
        <f ca="1">IF(I196&gt;0,J196*100/I196,0)</f>
        <v>50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69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214">
        <f ca="1">IFERROR(__xludf.DUMMYFUNCTION("IMPORTRANGE(""https://docs.google.com/spreadsheets/d/1eHaY18a8A9IcSdp1K8H6x8fbOy06t2VsZHhMHf-1x7Y/edit?usp=sharing"",""แผน!AB54"")"),6000)</f>
        <v>6000</v>
      </c>
      <c r="M197" s="87"/>
      <c r="N197" s="923">
        <v>0</v>
      </c>
      <c r="O197" s="215">
        <f ca="1">IF(L197&gt;0,N197*100/L197,0)</f>
        <v>0</v>
      </c>
      <c r="P197" s="215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310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75" t="s">
        <v>79</v>
      </c>
      <c r="I199" s="293">
        <f ca="1">IFERROR(__xludf.DUMMYFUNCTION("IMPORTRANGE(""https://docs.google.com/spreadsheets/d/1eHaY18a8A9IcSdp1K8H6x8fbOy06t2VsZHhMHf-1x7Y/edit?usp=sharing"",""แผน!AE54"")"),4)</f>
        <v>4</v>
      </c>
      <c r="J199" s="294">
        <v>2</v>
      </c>
      <c r="K199" s="74">
        <f ca="1">IF(I199&gt;0,J199*100/I199,0)</f>
        <v>50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174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174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5">I210</f>
        <v>1</v>
      </c>
      <c r="J203" s="559">
        <f t="shared" si="145"/>
        <v>1</v>
      </c>
      <c r="K203" s="560">
        <f ca="1">IF(I203&gt;0,J203*100/I203,0)</f>
        <v>100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69"/>
      <c r="C204" s="621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214">
        <f ca="1">L205+L206+L207+L208</f>
        <v>13000</v>
      </c>
      <c r="M204" s="87"/>
      <c r="N204" s="215">
        <f>N205+N206+N207+N208</f>
        <v>8000</v>
      </c>
      <c r="O204" s="215">
        <f ca="1">IF(L204&gt;0,N204*100/L204,0)</f>
        <v>61.53846153846154</v>
      </c>
      <c r="P204" s="215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69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131">
        <f ca="1">IFERROR(__xludf.DUMMYFUNCTION("IMPORTRANGE(""https://docs.google.com/spreadsheets/d/1eHaY18a8A9IcSdp1K8H6x8fbOy06t2VsZHhMHf-1x7Y/edit?usp=sharing"",""แผน!AG54"")"),1000)</f>
        <v>1000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69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131">
        <f ca="1">IFERROR(__xludf.DUMMYFUNCTION("IMPORTRANGE(""https://docs.google.com/spreadsheets/d/1eHaY18a8A9IcSdp1K8H6x8fbOy06t2VsZHhMHf-1x7Y/edit?usp=sharing"",""แผน!AH54"")"),0)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69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131">
        <f ca="1">IFERROR(__xludf.DUMMYFUNCTION("IMPORTRANGE(""https://docs.google.com/spreadsheets/d/1eHaY18a8A9IcSdp1K8H6x8fbOy06t2VsZHhMHf-1x7Y/edit?usp=sharing"",""แผน!AI54"")"),8000)</f>
        <v>8000</v>
      </c>
      <c r="M207" s="87"/>
      <c r="N207" s="924">
        <v>8000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69"/>
      <c r="D208" s="267" t="s">
        <v>89</v>
      </c>
      <c r="E208" s="258"/>
      <c r="F208" s="258"/>
      <c r="G208" s="261"/>
      <c r="H208" s="292" t="s">
        <v>14</v>
      </c>
      <c r="I208" s="263"/>
      <c r="J208" s="263"/>
      <c r="K208" s="87"/>
      <c r="L208" s="131">
        <f ca="1">IFERROR(__xludf.DUMMYFUNCTION("IMPORTRANGE(""https://docs.google.com/spreadsheets/d/1eHaY18a8A9IcSdp1K8H6x8fbOy06t2VsZHhMHf-1x7Y/edit?usp=sharing"",""แผน!AJ54"")"),4000)</f>
        <v>4000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310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2" t="s">
        <v>85</v>
      </c>
      <c r="I210" s="293">
        <f ca="1">IFERROR(__xludf.DUMMYFUNCTION("IMPORTRANGE(""https://docs.google.com/spreadsheets/d/1eHaY18a8A9IcSdp1K8H6x8fbOy06t2VsZHhMHf-1x7Y/edit?usp=sharing"",""แผน!AK54"")"),1)</f>
        <v>1</v>
      </c>
      <c r="J210" s="294">
        <v>1</v>
      </c>
      <c r="K210" s="768">
        <f ca="1">IF(I210&gt;0,J210*100/I210,0)</f>
        <v>100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310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2" t="s">
        <v>85</v>
      </c>
      <c r="I212" s="293">
        <f ca="1">IFERROR(__xludf.DUMMYFUNCTION("IMPORTRANGE(""https://docs.google.com/spreadsheets/d/1eHaY18a8A9IcSdp1K8H6x8fbOy06t2VsZHhMHf-1x7Y/edit?usp=sharing"",""แผน!JX54"")"),1)</f>
        <v>1</v>
      </c>
      <c r="J212" s="294">
        <v>0</v>
      </c>
      <c r="K212" s="768">
        <f t="shared" ref="K212:K214" ca="1" si="146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IFERROR(__xludf.DUMMYFUNCTION("IMPORTRANGE(""https://docs.google.com/spreadsheets/d/1eHaY18a8A9IcSdp1K8H6x8fbOy06t2VsZHhMHf-1x7Y/edit?usp=sharing"",""แผน!JY54"")"),0)</f>
        <v>0</v>
      </c>
      <c r="J213" s="294">
        <v>0</v>
      </c>
      <c r="K213" s="768">
        <f t="shared" ca="1" si="146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x14ac:dyDescent="0.3">
      <c r="A214" s="553"/>
      <c r="B214" s="555"/>
      <c r="C214" s="1128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7">I221</f>
        <v>1</v>
      </c>
      <c r="J214" s="559">
        <f t="shared" si="147"/>
        <v>0</v>
      </c>
      <c r="K214" s="560">
        <f t="shared" ca="1" si="146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x14ac:dyDescent="0.3">
      <c r="A215" s="257"/>
      <c r="B215" s="269"/>
      <c r="C215" s="621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214">
        <f ca="1">L216+L217+L218</f>
        <v>14000</v>
      </c>
      <c r="M215" s="87"/>
      <c r="N215" s="215">
        <f>N216+N217+N218</f>
        <v>0</v>
      </c>
      <c r="O215" s="215">
        <f ca="1">IF(L215&gt;0,N215*100/L215,0)</f>
        <v>0</v>
      </c>
      <c r="P215" s="215">
        <f>IF(M215&gt;0,N215*100/M215,0)</f>
        <v>0</v>
      </c>
      <c r="Q215" s="87"/>
      <c r="R215" s="87"/>
      <c r="S215" s="87"/>
      <c r="T215" s="87"/>
      <c r="U215" s="87"/>
    </row>
    <row r="216" spans="1:21" ht="18.75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131">
        <f ca="1">IFERROR(__xludf.DUMMYFUNCTION("IMPORTRANGE(""https://docs.google.com/spreadsheets/d/1eHaY18a8A9IcSdp1K8H6x8fbOy06t2VsZHhMHf-1x7Y/edit?usp=sharing"",""แผน!AM54"")"),1000)</f>
        <v>1000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131">
        <f ca="1">IFERROR(__xludf.DUMMYFUNCTION("IMPORTRANGE(""https://docs.google.com/spreadsheets/d/1eHaY18a8A9IcSdp1K8H6x8fbOy06t2VsZHhMHf-1x7Y/edit?usp=sharing"",""แผน!AN54"")"),5000)</f>
        <v>5000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131">
        <f ca="1">IFERROR(__xludf.DUMMYFUNCTION("IMPORTRANGE(""https://docs.google.com/spreadsheets/d/1eHaY18a8A9IcSdp1K8H6x8fbOy06t2VsZHhMHf-1x7Y/edit?usp=sharing"",""แผน!AO54"")"),8000)</f>
        <v>8000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310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2" t="s">
        <v>85</v>
      </c>
      <c r="I220" s="293">
        <f ca="1">IFERROR(__xludf.DUMMYFUNCTION("IMPORTRANGE(""https://docs.google.com/spreadsheets/d/1eHaY18a8A9IcSdp1K8H6x8fbOy06t2VsZHhMHf-1x7Y/edit?usp=sharing"",""แผน!AP54"")"),1)</f>
        <v>1</v>
      </c>
      <c r="J220" s="294">
        <v>0</v>
      </c>
      <c r="K220" s="74">
        <f t="shared" ref="K220:K222" ca="1" si="148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IFERROR(__xludf.DUMMYFUNCTION("IMPORTRANGE(""https://docs.google.com/spreadsheets/d/1eHaY18a8A9IcSdp1K8H6x8fbOy06t2VsZHhMHf-1x7Y/edit?usp=sharing"",""แผน!AP54"")"),1)</f>
        <v>1</v>
      </c>
      <c r="J221" s="294">
        <v>0</v>
      </c>
      <c r="K221" s="74">
        <f t="shared" ca="1" si="148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28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9">I230</f>
        <v>12800</v>
      </c>
      <c r="J222" s="559">
        <f t="shared" si="149"/>
        <v>0</v>
      </c>
      <c r="K222" s="560">
        <f t="shared" ca="1" si="148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69"/>
      <c r="C223" s="621" t="s">
        <v>18</v>
      </c>
      <c r="D223" s="96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214">
        <f ca="1">L224+L225+L226</f>
        <v>4500</v>
      </c>
      <c r="M223" s="87"/>
      <c r="N223" s="215">
        <f>N224+N225+N226</f>
        <v>0</v>
      </c>
      <c r="O223" s="215">
        <f ca="1">IF(L223&gt;0,N223*100/L223,0)</f>
        <v>0</v>
      </c>
      <c r="P223" s="215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69"/>
      <c r="D224" s="1134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131">
        <f ca="1">IFERROR(__xludf.DUMMYFUNCTION("IMPORTRANGE(""https://docs.google.com/spreadsheets/d/1eHaY18a8A9IcSdp1K8H6x8fbOy06t2VsZHhMHf-1x7Y/edit?usp=sharing"",""แผน!AR54"")"),3000)</f>
        <v>3000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131">
        <f ca="1">IFERROR(__xludf.DUMMYFUNCTION("IMPORTRANGE(""https://docs.google.com/spreadsheets/d/1eHaY18a8A9IcSdp1K8H6x8fbOy06t2VsZHhMHf-1x7Y/edit?usp=sharing"",""แผน!AS54"")"),1500)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131">
        <f ca="1">IFERROR(__xludf.DUMMYFUNCTION("IMPORTRANGE(""https://docs.google.com/spreadsheets/d/1eHaY18a8A9IcSdp1K8H6x8fbOy06t2VsZHhMHf-1x7Y/edit?usp=sharing"",""แผน!AT54"")"),0)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310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310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75" t="s">
        <v>99</v>
      </c>
      <c r="I229" s="293">
        <f ca="1">IFERROR(__xludf.DUMMYFUNCTION("IMPORTRANGE(""https://docs.google.com/spreadsheets/d/1eHaY18a8A9IcSdp1K8H6x8fbOy06t2VsZHhMHf-1x7Y/edit?usp=sharing"",""แผน!AV54"")"),12800)</f>
        <v>12800</v>
      </c>
      <c r="J229" s="294">
        <v>12800</v>
      </c>
      <c r="K229" s="768">
        <f t="shared" ref="K229:K232" ca="1" si="150">IF(I229&gt;0,J229*100/I229,0)</f>
        <v>100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75" t="s">
        <v>99</v>
      </c>
      <c r="I230" s="293">
        <f ca="1">IFERROR(__xludf.DUMMYFUNCTION("IMPORTRANGE(""https://docs.google.com/spreadsheets/d/1eHaY18a8A9IcSdp1K8H6x8fbOy06t2VsZHhMHf-1x7Y/edit?usp=sharing"",""แผน!AV54"")"),12800)</f>
        <v>12800</v>
      </c>
      <c r="J230" s="294">
        <v>0</v>
      </c>
      <c r="K230" s="768">
        <f t="shared" ca="1" si="150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75" t="s">
        <v>35</v>
      </c>
      <c r="I231" s="293">
        <f ca="1">IFERROR(__xludf.DUMMYFUNCTION("IMPORTRANGE(""https://docs.google.com/spreadsheets/d/1eHaY18a8A9IcSdp1K8H6x8fbOy06t2VsZHhMHf-1x7Y/edit?usp=sharing"",""แผน!AU54"")"),0)</f>
        <v>0</v>
      </c>
      <c r="J231" s="294">
        <v>0</v>
      </c>
      <c r="K231" s="768">
        <f t="shared" ca="1" si="150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925"/>
      <c r="B232" s="926"/>
      <c r="C232" s="1135" t="s">
        <v>105</v>
      </c>
      <c r="D232" s="928"/>
      <c r="E232" s="928"/>
      <c r="F232" s="928"/>
      <c r="G232" s="929"/>
      <c r="H232" s="930" t="s">
        <v>35</v>
      </c>
      <c r="I232" s="931">
        <f t="shared" ref="I232:J232" ca="1" si="151">I243+I254</f>
        <v>10</v>
      </c>
      <c r="J232" s="931">
        <f t="shared" si="151"/>
        <v>0</v>
      </c>
      <c r="K232" s="932">
        <f t="shared" ca="1" si="150"/>
        <v>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880"/>
      <c r="B233" s="920"/>
      <c r="C233" s="939" t="s">
        <v>18</v>
      </c>
      <c r="D233" s="934" t="s">
        <v>19</v>
      </c>
      <c r="E233" s="838"/>
      <c r="F233" s="838"/>
      <c r="G233" s="839"/>
      <c r="H233" s="703" t="s">
        <v>14</v>
      </c>
      <c r="I233" s="881"/>
      <c r="J233" s="881"/>
      <c r="K233" s="882"/>
      <c r="L233" s="935">
        <f t="shared" ref="L233:L237" ca="1" si="152">L244+L255</f>
        <v>57700</v>
      </c>
      <c r="M233" s="87"/>
      <c r="N233" s="936">
        <f t="shared" ref="N233:N237" si="153">N244+N255</f>
        <v>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880"/>
      <c r="B234" s="920"/>
      <c r="C234" s="920"/>
      <c r="D234" s="1134" t="s">
        <v>299</v>
      </c>
      <c r="E234" s="838"/>
      <c r="F234" s="838"/>
      <c r="G234" s="839"/>
      <c r="H234" s="273" t="s">
        <v>14</v>
      </c>
      <c r="I234" s="881"/>
      <c r="J234" s="881"/>
      <c r="K234" s="882"/>
      <c r="L234" s="217">
        <f t="shared" ca="1" si="152"/>
        <v>8000</v>
      </c>
      <c r="M234" s="87"/>
      <c r="N234" s="133">
        <f t="shared" si="153"/>
        <v>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919"/>
      <c r="B235" s="920"/>
      <c r="C235" s="920"/>
      <c r="D235" s="749" t="s">
        <v>87</v>
      </c>
      <c r="E235" s="838"/>
      <c r="F235" s="838"/>
      <c r="G235" s="839"/>
      <c r="H235" s="273" t="s">
        <v>14</v>
      </c>
      <c r="I235" s="841"/>
      <c r="J235" s="841"/>
      <c r="K235" s="842"/>
      <c r="L235" s="217">
        <f t="shared" ca="1" si="152"/>
        <v>2000</v>
      </c>
      <c r="M235" s="87"/>
      <c r="N235" s="133">
        <f t="shared" si="153"/>
        <v>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919"/>
      <c r="B236" s="920"/>
      <c r="C236" s="920"/>
      <c r="D236" s="749" t="s">
        <v>88</v>
      </c>
      <c r="E236" s="838"/>
      <c r="F236" s="838"/>
      <c r="G236" s="839"/>
      <c r="H236" s="273" t="s">
        <v>14</v>
      </c>
      <c r="I236" s="841"/>
      <c r="J236" s="841"/>
      <c r="K236" s="842"/>
      <c r="L236" s="217">
        <f t="shared" ca="1" si="152"/>
        <v>27700</v>
      </c>
      <c r="M236" s="87"/>
      <c r="N236" s="133">
        <f t="shared" si="153"/>
        <v>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919"/>
      <c r="B237" s="920"/>
      <c r="C237" s="920"/>
      <c r="D237" s="267" t="s">
        <v>89</v>
      </c>
      <c r="E237" s="838"/>
      <c r="F237" s="838"/>
      <c r="G237" s="839"/>
      <c r="H237" s="273" t="s">
        <v>14</v>
      </c>
      <c r="I237" s="841"/>
      <c r="J237" s="841"/>
      <c r="K237" s="842"/>
      <c r="L237" s="217">
        <f t="shared" ca="1" si="152"/>
        <v>20000</v>
      </c>
      <c r="M237" s="87"/>
      <c r="N237" s="133">
        <f t="shared" si="153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937"/>
      <c r="B238" s="938"/>
      <c r="C238" s="939" t="s">
        <v>18</v>
      </c>
      <c r="D238" s="940" t="s">
        <v>38</v>
      </c>
      <c r="E238" s="941"/>
      <c r="F238" s="941"/>
      <c r="G238" s="942"/>
      <c r="H238" s="1136"/>
      <c r="I238" s="881"/>
      <c r="J238" s="841"/>
      <c r="K238" s="842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937"/>
      <c r="B239" s="938"/>
      <c r="C239" s="938"/>
      <c r="D239" s="311" t="s">
        <v>108</v>
      </c>
      <c r="E239" s="944"/>
      <c r="F239" s="944"/>
      <c r="G239" s="943"/>
      <c r="H239" s="706" t="s">
        <v>35</v>
      </c>
      <c r="I239" s="592">
        <f t="shared" ref="I239:J239" ca="1" si="154">I250+I261</f>
        <v>10</v>
      </c>
      <c r="J239" s="592">
        <f t="shared" si="154"/>
        <v>0</v>
      </c>
      <c r="K239" s="77">
        <f ca="1">IF(I239&gt;0,J239*100/I239,0)</f>
        <v>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937"/>
      <c r="B240" s="938"/>
      <c r="C240" s="938"/>
      <c r="D240" s="946" t="s">
        <v>43</v>
      </c>
      <c r="E240" s="944"/>
      <c r="F240" s="944"/>
      <c r="G240" s="943"/>
      <c r="H240" s="1136"/>
      <c r="I240" s="841"/>
      <c r="J240" s="841"/>
      <c r="K240" s="842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937"/>
      <c r="B241" s="938"/>
      <c r="C241" s="938"/>
      <c r="D241" s="938"/>
      <c r="E241" s="947" t="s">
        <v>109</v>
      </c>
      <c r="F241" s="944"/>
      <c r="G241" s="943"/>
      <c r="H241" s="706" t="s">
        <v>35</v>
      </c>
      <c r="I241" s="592">
        <f t="shared" ref="I241:J242" ca="1" si="155">I252+I263</f>
        <v>10</v>
      </c>
      <c r="J241" s="592">
        <f t="shared" si="155"/>
        <v>0</v>
      </c>
      <c r="K241" s="77">
        <f t="shared" ref="K241:K243" ca="1" si="156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937"/>
      <c r="B242" s="938"/>
      <c r="C242" s="938"/>
      <c r="D242" s="938"/>
      <c r="E242" s="947" t="s">
        <v>110</v>
      </c>
      <c r="F242" s="944"/>
      <c r="G242" s="943"/>
      <c r="H242" s="706" t="s">
        <v>61</v>
      </c>
      <c r="I242" s="592">
        <f t="shared" ca="1" si="155"/>
        <v>1</v>
      </c>
      <c r="J242" s="592">
        <f t="shared" si="155"/>
        <v>0</v>
      </c>
      <c r="K242" s="77">
        <f t="shared" ca="1" si="156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x14ac:dyDescent="0.3">
      <c r="A243" s="382"/>
      <c r="B243" s="383"/>
      <c r="C243" s="1137" t="s">
        <v>324</v>
      </c>
      <c r="D243" s="385"/>
      <c r="E243" s="385"/>
      <c r="F243" s="385"/>
      <c r="G243" s="386"/>
      <c r="H243" s="387" t="s">
        <v>35</v>
      </c>
      <c r="I243" s="388">
        <f t="shared" ref="I243:J243" ca="1" si="157">I250</f>
        <v>10</v>
      </c>
      <c r="J243" s="388">
        <f t="shared" si="157"/>
        <v>0</v>
      </c>
      <c r="K243" s="389">
        <f t="shared" ca="1" si="156"/>
        <v>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x14ac:dyDescent="0.3">
      <c r="A244" s="209"/>
      <c r="B244" s="381"/>
      <c r="C244" s="402" t="s">
        <v>18</v>
      </c>
      <c r="D244" s="879" t="s">
        <v>19</v>
      </c>
      <c r="E244" s="67"/>
      <c r="F244" s="67"/>
      <c r="G244" s="69"/>
      <c r="H244" s="394" t="s">
        <v>14</v>
      </c>
      <c r="I244" s="219"/>
      <c r="J244" s="219"/>
      <c r="K244" s="220"/>
      <c r="L244" s="214">
        <f ca="1">L245+L246+L247+L248</f>
        <v>57700</v>
      </c>
      <c r="M244" s="87"/>
      <c r="N244" s="215">
        <f>N245+N246+N247+N248</f>
        <v>0</v>
      </c>
      <c r="O244" s="215">
        <f ca="1">IF(L244&gt;0,N244*100/L244,0)</f>
        <v>0</v>
      </c>
      <c r="P244" s="215">
        <f>IF(M244&gt;0,N244*100/M244,0)</f>
        <v>0</v>
      </c>
      <c r="Q244" s="87"/>
      <c r="R244" s="87"/>
      <c r="S244" s="87"/>
      <c r="T244" s="87"/>
      <c r="U244" s="87"/>
    </row>
    <row r="245" spans="1:21" ht="18.75" x14ac:dyDescent="0.25">
      <c r="A245" s="209"/>
      <c r="B245" s="381"/>
      <c r="C245" s="381"/>
      <c r="D245" s="1134" t="s">
        <v>299</v>
      </c>
      <c r="E245" s="67"/>
      <c r="F245" s="67"/>
      <c r="G245" s="69"/>
      <c r="H245" s="218" t="s">
        <v>14</v>
      </c>
      <c r="I245" s="219"/>
      <c r="J245" s="219"/>
      <c r="K245" s="220"/>
      <c r="L245" s="131">
        <f ca="1">IFERROR(__xludf.DUMMYFUNCTION("IMPORTRANGE(""https://docs.google.com/spreadsheets/d/1eHaY18a8A9IcSdp1K8H6x8fbOy06t2VsZHhMHf-1x7Y/edit?usp=sharing"",""แผน!AX54"")"),8000)</f>
        <v>8000</v>
      </c>
      <c r="M245" s="87"/>
      <c r="N245" s="924">
        <v>0</v>
      </c>
      <c r="O245" s="87"/>
      <c r="P245" s="87"/>
      <c r="Q245" s="87"/>
      <c r="R245" s="87"/>
      <c r="S245" s="87"/>
      <c r="T245" s="87"/>
      <c r="U245" s="87"/>
    </row>
    <row r="246" spans="1:21" ht="18.75" x14ac:dyDescent="0.25">
      <c r="A246" s="377"/>
      <c r="B246" s="381"/>
      <c r="C246" s="381"/>
      <c r="D246" s="749" t="s">
        <v>87</v>
      </c>
      <c r="E246" s="67"/>
      <c r="F246" s="67"/>
      <c r="G246" s="69"/>
      <c r="H246" s="218" t="s">
        <v>14</v>
      </c>
      <c r="I246" s="71"/>
      <c r="J246" s="71"/>
      <c r="K246" s="72"/>
      <c r="L246" s="131">
        <f ca="1">IFERROR(__xludf.DUMMYFUNCTION("IMPORTRANGE(""https://docs.google.com/spreadsheets/d/1eHaY18a8A9IcSdp1K8H6x8fbOy06t2VsZHhMHf-1x7Y/edit?usp=sharing"",""แผน!AY54"")"),2000)</f>
        <v>2000</v>
      </c>
      <c r="M246" s="87"/>
      <c r="N246" s="924">
        <v>0</v>
      </c>
      <c r="O246" s="87"/>
      <c r="P246" s="87"/>
      <c r="Q246" s="87"/>
      <c r="R246" s="87"/>
      <c r="S246" s="87"/>
      <c r="T246" s="87"/>
      <c r="U246" s="87"/>
    </row>
    <row r="247" spans="1:21" ht="18.75" x14ac:dyDescent="0.25">
      <c r="A247" s="377"/>
      <c r="B247" s="381"/>
      <c r="C247" s="381"/>
      <c r="D247" s="749" t="s">
        <v>88</v>
      </c>
      <c r="E247" s="67"/>
      <c r="F247" s="67"/>
      <c r="G247" s="69"/>
      <c r="H247" s="218" t="s">
        <v>14</v>
      </c>
      <c r="I247" s="71"/>
      <c r="J247" s="71"/>
      <c r="K247" s="72"/>
      <c r="L247" s="131">
        <f ca="1">IFERROR(__xludf.DUMMYFUNCTION("IMPORTRANGE(""https://docs.google.com/spreadsheets/d/1eHaY18a8A9IcSdp1K8H6x8fbOy06t2VsZHhMHf-1x7Y/edit?usp=sharing"",""แผน!AZ54"")"),27700)</f>
        <v>27700</v>
      </c>
      <c r="M247" s="87"/>
      <c r="N247" s="924">
        <v>0</v>
      </c>
      <c r="O247" s="87"/>
      <c r="P247" s="87"/>
      <c r="Q247" s="87"/>
      <c r="R247" s="87"/>
      <c r="S247" s="87"/>
      <c r="T247" s="87"/>
      <c r="U247" s="87"/>
    </row>
    <row r="248" spans="1:21" ht="18.75" x14ac:dyDescent="0.25">
      <c r="A248" s="377"/>
      <c r="B248" s="381"/>
      <c r="C248" s="381"/>
      <c r="D248" s="267" t="s">
        <v>89</v>
      </c>
      <c r="E248" s="67"/>
      <c r="F248" s="67"/>
      <c r="G248" s="69"/>
      <c r="H248" s="218" t="s">
        <v>14</v>
      </c>
      <c r="I248" s="71"/>
      <c r="J248" s="71"/>
      <c r="K248" s="72"/>
      <c r="L248" s="131">
        <f ca="1">IFERROR(__xludf.DUMMYFUNCTION("IMPORTRANGE(""https://docs.google.com/spreadsheets/d/1eHaY18a8A9IcSdp1K8H6x8fbOy06t2VsZHhMHf-1x7Y/edit?usp=sharing"",""แผน!BA54"")"),20000)</f>
        <v>20000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x14ac:dyDescent="0.3">
      <c r="A249" s="222"/>
      <c r="B249" s="223"/>
      <c r="C249" s="402" t="s">
        <v>18</v>
      </c>
      <c r="D249" s="883" t="s">
        <v>38</v>
      </c>
      <c r="E249" s="225"/>
      <c r="F249" s="225"/>
      <c r="G249" s="226"/>
      <c r="H249" s="320"/>
      <c r="I249" s="219"/>
      <c r="J249" s="71"/>
      <c r="K249" s="72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x14ac:dyDescent="0.25">
      <c r="A250" s="222"/>
      <c r="B250" s="223"/>
      <c r="C250" s="223"/>
      <c r="D250" s="395" t="s">
        <v>108</v>
      </c>
      <c r="E250" s="231"/>
      <c r="F250" s="231"/>
      <c r="G250" s="227"/>
      <c r="H250" s="221" t="s">
        <v>35</v>
      </c>
      <c r="I250" s="321">
        <f ca="1">IFERROR(__xludf.DUMMYFUNCTION("IMPORTRANGE(""https://docs.google.com/spreadsheets/d/1eHaY18a8A9IcSdp1K8H6x8fbOy06t2VsZHhMHf-1x7Y/edit?usp=sharing"",""แผน!BG54"")"),10)</f>
        <v>10</v>
      </c>
      <c r="J250" s="884">
        <v>0</v>
      </c>
      <c r="K250" s="399">
        <f ca="1">IF(I250&gt;0,J250*100/I250,0)</f>
        <v>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x14ac:dyDescent="0.25">
      <c r="A251" s="222"/>
      <c r="B251" s="223"/>
      <c r="C251" s="223"/>
      <c r="D251" s="412" t="s">
        <v>43</v>
      </c>
      <c r="E251" s="231"/>
      <c r="F251" s="231"/>
      <c r="G251" s="227"/>
      <c r="H251" s="320"/>
      <c r="I251" s="71"/>
      <c r="J251" s="71"/>
      <c r="K251" s="72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x14ac:dyDescent="0.25">
      <c r="A252" s="222"/>
      <c r="B252" s="223"/>
      <c r="C252" s="223"/>
      <c r="D252" s="223"/>
      <c r="E252" s="567" t="s">
        <v>109</v>
      </c>
      <c r="F252" s="231"/>
      <c r="G252" s="227"/>
      <c r="H252" s="221" t="s">
        <v>35</v>
      </c>
      <c r="I252" s="321">
        <f ca="1">IFERROR(__xludf.DUMMYFUNCTION("IMPORTRANGE(""https://docs.google.com/spreadsheets/d/1eHaY18a8A9IcSdp1K8H6x8fbOy06t2VsZHhMHf-1x7Y/edit?usp=sharing"",""แผน!KD54"")"),10)</f>
        <v>10</v>
      </c>
      <c r="J252" s="884">
        <v>0</v>
      </c>
      <c r="K252" s="399">
        <f t="shared" ref="K252:K254" ca="1" si="158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x14ac:dyDescent="0.25">
      <c r="A253" s="222"/>
      <c r="B253" s="223"/>
      <c r="C253" s="223"/>
      <c r="D253" s="223"/>
      <c r="E253" s="567" t="s">
        <v>110</v>
      </c>
      <c r="F253" s="231"/>
      <c r="G253" s="227"/>
      <c r="H253" s="221" t="s">
        <v>61</v>
      </c>
      <c r="I253" s="321">
        <f ca="1">IFERROR(__xludf.DUMMYFUNCTION("IMPORTRANGE(""https://docs.google.com/spreadsheets/d/1eHaY18a8A9IcSdp1K8H6x8fbOy06t2VsZHhMHf-1x7Y/edit?usp=sharing"",""แผน!KE54"")"),1)</f>
        <v>1</v>
      </c>
      <c r="J253" s="884">
        <v>0</v>
      </c>
      <c r="K253" s="399">
        <f t="shared" ca="1" si="158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553"/>
      <c r="B254" s="555"/>
      <c r="C254" s="1135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9">I261</f>
        <v>0</v>
      </c>
      <c r="J254" s="931">
        <f t="shared" si="159"/>
        <v>0</v>
      </c>
      <c r="K254" s="932">
        <f t="shared" ca="1" si="158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257"/>
      <c r="B255" s="269"/>
      <c r="C255" s="939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214">
        <f ca="1">L256+L257+L258+L259</f>
        <v>0</v>
      </c>
      <c r="M255" s="87"/>
      <c r="N255" s="215">
        <f>N256+N257+N258+N259</f>
        <v>0</v>
      </c>
      <c r="O255" s="215">
        <f ca="1">IF(L255&gt;0,N255*100/L255,0)</f>
        <v>0</v>
      </c>
      <c r="P255" s="215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257"/>
      <c r="B256" s="269"/>
      <c r="C256" s="269"/>
      <c r="D256" s="1134" t="s">
        <v>299</v>
      </c>
      <c r="E256" s="258"/>
      <c r="F256" s="258"/>
      <c r="G256" s="261"/>
      <c r="H256" s="273" t="s">
        <v>14</v>
      </c>
      <c r="I256" s="272"/>
      <c r="J256" s="272"/>
      <c r="K256" s="229"/>
      <c r="L256" s="131">
        <f ca="1">IFERROR(__xludf.DUMMYFUNCTION("IMPORTRANGE(""https://docs.google.com/spreadsheets/d/1eHaY18a8A9IcSdp1K8H6x8fbOy06t2VsZHhMHf-1x7Y/edit?usp=sharing"",""แผน!BB54"")"),0)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749" t="s">
        <v>87</v>
      </c>
      <c r="E257" s="258"/>
      <c r="F257" s="258"/>
      <c r="G257" s="261"/>
      <c r="H257" s="273" t="s">
        <v>14</v>
      </c>
      <c r="I257" s="263"/>
      <c r="J257" s="263"/>
      <c r="K257" s="87"/>
      <c r="L257" s="131">
        <f ca="1">IFERROR(__xludf.DUMMYFUNCTION("IMPORTRANGE(""https://docs.google.com/spreadsheets/d/1eHaY18a8A9IcSdp1K8H6x8fbOy06t2VsZHhMHf-1x7Y/edit?usp=sharing"",""แผน!BC54"")"),0)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749" t="s">
        <v>88</v>
      </c>
      <c r="E258" s="258"/>
      <c r="F258" s="258"/>
      <c r="G258" s="261"/>
      <c r="H258" s="273" t="s">
        <v>14</v>
      </c>
      <c r="I258" s="263"/>
      <c r="J258" s="263"/>
      <c r="K258" s="87"/>
      <c r="L258" s="131">
        <f ca="1">IFERROR(__xludf.DUMMYFUNCTION("IMPORTRANGE(""https://docs.google.com/spreadsheets/d/1eHaY18a8A9IcSdp1K8H6x8fbOy06t2VsZHhMHf-1x7Y/edit?usp=sharing"",""แผน!BD54"")"),0)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7" t="s">
        <v>89</v>
      </c>
      <c r="E259" s="258"/>
      <c r="F259" s="258"/>
      <c r="G259" s="261"/>
      <c r="H259" s="273" t="s">
        <v>14</v>
      </c>
      <c r="I259" s="263"/>
      <c r="J259" s="263"/>
      <c r="K259" s="87"/>
      <c r="L259" s="131">
        <f ca="1">IFERROR(__xludf.DUMMYFUNCTION("IMPORTRANGE(""https://docs.google.com/spreadsheets/d/1eHaY18a8A9IcSdp1K8H6x8fbOy06t2VsZHhMHf-1x7Y/edit?usp=sharing"",""แผน!BE54"")"),0)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706" t="s">
        <v>35</v>
      </c>
      <c r="I261" s="592">
        <f ca="1">IFERROR(__xludf.DUMMYFUNCTION("IMPORTRANGE(""https://docs.google.com/spreadsheets/d/1eHaY18a8A9IcSdp1K8H6x8fbOy06t2VsZHhMHf-1x7Y/edit?usp=sharing"",""แผน!BH54"")"),0)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310"/>
      <c r="I262" s="263"/>
      <c r="J262" s="263"/>
      <c r="K262" s="87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706" t="s">
        <v>35</v>
      </c>
      <c r="I263" s="263"/>
      <c r="J263" s="910">
        <v>0</v>
      </c>
      <c r="K263" s="77">
        <f t="shared" ref="K263:K264" si="160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706" t="s">
        <v>61</v>
      </c>
      <c r="I264" s="263"/>
      <c r="J264" s="910">
        <v>0</v>
      </c>
      <c r="K264" s="77">
        <f t="shared" si="160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1138"/>
      <c r="I265" s="364"/>
      <c r="J265" s="364"/>
      <c r="K265" s="365"/>
      <c r="L265" s="366"/>
      <c r="M265" s="367"/>
      <c r="N265" s="367"/>
      <c r="O265" s="367"/>
      <c r="P265" s="367"/>
      <c r="Q265" s="367"/>
      <c r="R265" s="367"/>
      <c r="S265" s="367"/>
      <c r="T265" s="367"/>
      <c r="U265" s="367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1139" t="s">
        <v>35</v>
      </c>
      <c r="I266" s="1140">
        <f t="shared" ref="I266:J266" ca="1" si="161">I277</f>
        <v>22</v>
      </c>
      <c r="J266" s="1140">
        <f t="shared" si="161"/>
        <v>0</v>
      </c>
      <c r="K266" s="373">
        <f ca="1">IF(I266&gt;0,J266*100/I266,0)</f>
        <v>0</v>
      </c>
      <c r="L266" s="375"/>
      <c r="M266" s="376"/>
      <c r="N266" s="376"/>
      <c r="O266" s="376"/>
      <c r="P266" s="376"/>
      <c r="Q266" s="376"/>
      <c r="R266" s="376"/>
      <c r="S266" s="376"/>
      <c r="T266" s="376"/>
      <c r="U266" s="376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214">
        <f t="shared" ref="L267:N267" ca="1" si="162">L268+L269</f>
        <v>0</v>
      </c>
      <c r="M267" s="215">
        <f t="shared" ca="1" si="162"/>
        <v>5000</v>
      </c>
      <c r="N267" s="215">
        <f t="shared" ca="1" si="162"/>
        <v>0</v>
      </c>
      <c r="O267" s="215">
        <f t="shared" ref="O267:O275" ca="1" si="163">IF(L267&gt;0,N267*100/L267,0)</f>
        <v>0</v>
      </c>
      <c r="P267" s="215">
        <f t="shared" ref="P267:P275" ca="1" si="164">IF(M267&gt;0,N267*100/M267,0)</f>
        <v>0</v>
      </c>
      <c r="Q267" s="215">
        <f t="shared" ref="Q267:S267" ca="1" si="165">Q268+Q269</f>
        <v>50660</v>
      </c>
      <c r="R267" s="215">
        <f t="shared" ca="1" si="165"/>
        <v>50660</v>
      </c>
      <c r="S267" s="215">
        <f t="shared" ca="1" si="165"/>
        <v>0</v>
      </c>
      <c r="T267" s="215">
        <f t="shared" ref="T267:T275" ca="1" si="166">IF(Q267&gt;0,S267*100/Q267,0)</f>
        <v>0</v>
      </c>
      <c r="U267" s="215">
        <f t="shared" ref="U267:U275" ca="1" si="167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217">
        <f t="shared" ref="L268:N269" si="168">L271+L274</f>
        <v>0</v>
      </c>
      <c r="M268" s="133">
        <f t="shared" si="168"/>
        <v>0</v>
      </c>
      <c r="N268" s="133">
        <f t="shared" si="168"/>
        <v>0</v>
      </c>
      <c r="O268" s="133">
        <f t="shared" si="163"/>
        <v>0</v>
      </c>
      <c r="P268" s="133">
        <f t="shared" si="164"/>
        <v>0</v>
      </c>
      <c r="Q268" s="133">
        <f t="shared" ref="Q268:S269" si="169">Q271+Q274</f>
        <v>0</v>
      </c>
      <c r="R268" s="133">
        <f t="shared" si="169"/>
        <v>0</v>
      </c>
      <c r="S268" s="133">
        <f t="shared" si="169"/>
        <v>0</v>
      </c>
      <c r="T268" s="133">
        <f t="shared" si="166"/>
        <v>0</v>
      </c>
      <c r="U268" s="133">
        <f t="shared" si="167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31">
        <f t="shared" ca="1" si="168"/>
        <v>0</v>
      </c>
      <c r="M269" s="132">
        <f t="shared" ca="1" si="168"/>
        <v>5000</v>
      </c>
      <c r="N269" s="132">
        <f t="shared" ca="1" si="168"/>
        <v>0</v>
      </c>
      <c r="O269" s="132">
        <f t="shared" ca="1" si="163"/>
        <v>0</v>
      </c>
      <c r="P269" s="132">
        <f t="shared" ca="1" si="164"/>
        <v>0</v>
      </c>
      <c r="Q269" s="132">
        <f t="shared" ca="1" si="169"/>
        <v>50660</v>
      </c>
      <c r="R269" s="132">
        <f t="shared" ca="1" si="169"/>
        <v>50660</v>
      </c>
      <c r="S269" s="132">
        <f t="shared" ca="1" si="169"/>
        <v>0</v>
      </c>
      <c r="T269" s="132">
        <f t="shared" ca="1" si="166"/>
        <v>0</v>
      </c>
      <c r="U269" s="132">
        <f t="shared" ca="1" si="167"/>
        <v>0</v>
      </c>
    </row>
    <row r="270" spans="1:21" ht="18.75" x14ac:dyDescent="0.25">
      <c r="A270" s="209"/>
      <c r="B270" s="381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31">
        <f t="shared" ref="L270:N270" ca="1" si="170">L271+L272</f>
        <v>0</v>
      </c>
      <c r="M270" s="132">
        <f t="shared" ca="1" si="170"/>
        <v>5000</v>
      </c>
      <c r="N270" s="132">
        <f t="shared" ca="1" si="170"/>
        <v>0</v>
      </c>
      <c r="O270" s="132">
        <f t="shared" ca="1" si="163"/>
        <v>0</v>
      </c>
      <c r="P270" s="132">
        <f t="shared" ca="1" si="164"/>
        <v>0</v>
      </c>
      <c r="Q270" s="132">
        <f t="shared" ref="Q270:S270" ca="1" si="171">Q271+Q272</f>
        <v>50660</v>
      </c>
      <c r="R270" s="132">
        <f t="shared" ca="1" si="171"/>
        <v>50660</v>
      </c>
      <c r="S270" s="132">
        <f t="shared" ca="1" si="171"/>
        <v>0</v>
      </c>
      <c r="T270" s="132">
        <f t="shared" ca="1" si="166"/>
        <v>0</v>
      </c>
      <c r="U270" s="132">
        <f t="shared" ca="1" si="167"/>
        <v>0</v>
      </c>
    </row>
    <row r="271" spans="1:21" ht="18.75" hidden="1" x14ac:dyDescent="0.25">
      <c r="A271" s="880"/>
      <c r="B271" s="920"/>
      <c r="C271" s="920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133">
        <f t="shared" si="163"/>
        <v>0</v>
      </c>
      <c r="P271" s="133">
        <f t="shared" si="164"/>
        <v>0</v>
      </c>
      <c r="Q271" s="77">
        <v>0</v>
      </c>
      <c r="R271" s="77">
        <v>0</v>
      </c>
      <c r="S271" s="77">
        <v>0</v>
      </c>
      <c r="T271" s="133">
        <f t="shared" si="166"/>
        <v>0</v>
      </c>
      <c r="U271" s="133">
        <f t="shared" si="167"/>
        <v>0</v>
      </c>
    </row>
    <row r="272" spans="1:21" ht="18.75" hidden="1" x14ac:dyDescent="0.25">
      <c r="A272" s="209"/>
      <c r="B272" s="381"/>
      <c r="C272" s="381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31">
        <f ca="1">IFERROR(__xludf.DUMMYFUNCTION("IMPORTRANGE(""https://docs.google.com/spreadsheets/d/1-uDff_7J0KD5mKrp0Vvzr7lt3OU09vwQwhkpOPPYv2Y/edit?usp=sharing"",""งบพรบ!DE54"")"),0)</f>
        <v>0</v>
      </c>
      <c r="M272" s="132">
        <f ca="1">IFERROR(__xludf.DUMMYFUNCTION("IMPORTRANGE(""https://docs.google.com/spreadsheets/d/1-uDff_7J0KD5mKrp0Vvzr7lt3OU09vwQwhkpOPPYv2Y/edit?usp=sharing"",""งบพรบ!DJ54"")"),5000)</f>
        <v>5000</v>
      </c>
      <c r="N272" s="132">
        <f ca="1">IFERROR(__xludf.DUMMYFUNCTION("IMPORTRANGE(""https://docs.google.com/spreadsheets/d/1-uDff_7J0KD5mKrp0Vvzr7lt3OU09vwQwhkpOPPYv2Y/edit?usp=sharing"",""งบพรบ!DL54"")"),0)</f>
        <v>0</v>
      </c>
      <c r="O272" s="132">
        <f t="shared" ca="1" si="163"/>
        <v>0</v>
      </c>
      <c r="P272" s="132">
        <f t="shared" ca="1" si="164"/>
        <v>0</v>
      </c>
      <c r="Q272" s="132">
        <f ca="1">IFERROR(__xludf.DUMMYFUNCTION("IMPORTRANGE(""https://docs.google.com/spreadsheets/d/1ItG2mGa2ceCfYo0BwxsXqNm01IGEUdYcSSLTEv9YCik/edit?usp=sharing"",""เบิกจ่ายกองทุน!AJ54"")"),50660)</f>
        <v>50660</v>
      </c>
      <c r="R272" s="132">
        <f ca="1">IFERROR(__xludf.DUMMYFUNCTION("IMPORTRANGE(""https://docs.google.com/spreadsheets/d/1ItG2mGa2ceCfYo0BwxsXqNm01IGEUdYcSSLTEv9YCik/edit?usp=sharing"",""เบิกจ่ายกองทุน!AK54"")"),50660)</f>
        <v>50660</v>
      </c>
      <c r="S272" s="132">
        <f ca="1">IFERROR(__xludf.DUMMYFUNCTION("IMPORTRANGE(""https://docs.google.com/spreadsheets/d/1ItG2mGa2ceCfYo0BwxsXqNm01IGEUdYcSSLTEv9YCik/edit?usp=sharing"",""เบิกจ่ายกองทุน!AL54"")"),0)</f>
        <v>0</v>
      </c>
      <c r="T272" s="132">
        <f t="shared" ca="1" si="166"/>
        <v>0</v>
      </c>
      <c r="U272" s="132">
        <f t="shared" ca="1" si="167"/>
        <v>0</v>
      </c>
    </row>
    <row r="273" spans="1:21" ht="18.75" x14ac:dyDescent="0.25">
      <c r="A273" s="209"/>
      <c r="B273" s="381"/>
      <c r="C273" s="381"/>
      <c r="D273" s="1141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31">
        <f t="shared" ref="L273:N273" ca="1" si="172">L274+L275</f>
        <v>0</v>
      </c>
      <c r="M273" s="132">
        <f t="shared" ca="1" si="172"/>
        <v>0</v>
      </c>
      <c r="N273" s="132">
        <f t="shared" ca="1" si="172"/>
        <v>0</v>
      </c>
      <c r="O273" s="132">
        <f t="shared" ca="1" si="163"/>
        <v>0</v>
      </c>
      <c r="P273" s="132">
        <f t="shared" ca="1" si="164"/>
        <v>0</v>
      </c>
      <c r="Q273" s="132">
        <f t="shared" ref="Q273:S273" si="173">Q274+Q275</f>
        <v>0</v>
      </c>
      <c r="R273" s="132">
        <f t="shared" si="173"/>
        <v>0</v>
      </c>
      <c r="S273" s="132">
        <f t="shared" si="173"/>
        <v>0</v>
      </c>
      <c r="T273" s="132">
        <f t="shared" si="166"/>
        <v>0</v>
      </c>
      <c r="U273" s="132">
        <f t="shared" si="167"/>
        <v>0</v>
      </c>
    </row>
    <row r="274" spans="1:21" ht="18.75" hidden="1" x14ac:dyDescent="0.25">
      <c r="A274" s="880"/>
      <c r="B274" s="838"/>
      <c r="C274" s="920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133">
        <f t="shared" si="163"/>
        <v>0</v>
      </c>
      <c r="P274" s="133">
        <f t="shared" si="164"/>
        <v>0</v>
      </c>
      <c r="Q274" s="77">
        <v>0</v>
      </c>
      <c r="R274" s="77">
        <v>0</v>
      </c>
      <c r="S274" s="77">
        <v>0</v>
      </c>
      <c r="T274" s="133">
        <f t="shared" si="166"/>
        <v>0</v>
      </c>
      <c r="U274" s="133">
        <f t="shared" si="167"/>
        <v>0</v>
      </c>
    </row>
    <row r="275" spans="1:21" ht="18.75" hidden="1" x14ac:dyDescent="0.25">
      <c r="A275" s="209"/>
      <c r="B275" s="67"/>
      <c r="C275" s="67"/>
      <c r="D275" s="381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31">
        <f ca="1">IFERROR(__xludf.DUMMYFUNCTION("IMPORTRANGE(""https://docs.google.com/spreadsheets/d/1-uDff_7J0KD5mKrp0Vvzr7lt3OU09vwQwhkpOPPYv2Y/edit?usp=sharing"",""งบพรบ!DH54"")"),0)</f>
        <v>0</v>
      </c>
      <c r="M275" s="132">
        <f ca="1">IFERROR(__xludf.DUMMYFUNCTION("IMPORTRANGE(""https://docs.google.com/spreadsheets/d/1-uDff_7J0KD5mKrp0Vvzr7lt3OU09vwQwhkpOPPYv2Y/edit?usp=sharing"",""งบพรบ!DK54"")"),0)</f>
        <v>0</v>
      </c>
      <c r="N275" s="132">
        <f ca="1">IFERROR(__xludf.DUMMYFUNCTION("IMPORTRANGE(""https://docs.google.com/spreadsheets/d/1-uDff_7J0KD5mKrp0Vvzr7lt3OU09vwQwhkpOPPYv2Y/edit?usp=sharing"",""งบพรบ!DM54"")"),0)</f>
        <v>0</v>
      </c>
      <c r="O275" s="132">
        <f t="shared" ca="1" si="163"/>
        <v>0</v>
      </c>
      <c r="P275" s="132">
        <f t="shared" ca="1" si="164"/>
        <v>0</v>
      </c>
      <c r="Q275" s="74">
        <v>0</v>
      </c>
      <c r="R275" s="74">
        <v>0</v>
      </c>
      <c r="S275" s="74">
        <v>0</v>
      </c>
      <c r="T275" s="132">
        <f t="shared" si="166"/>
        <v>0</v>
      </c>
      <c r="U275" s="132">
        <f t="shared" si="167"/>
        <v>0</v>
      </c>
    </row>
    <row r="276" spans="1:21" ht="19.5" x14ac:dyDescent="0.3">
      <c r="A276" s="222"/>
      <c r="B276" s="223"/>
      <c r="C276" s="440" t="s">
        <v>18</v>
      </c>
      <c r="D276" s="1142" t="s">
        <v>38</v>
      </c>
      <c r="E276" s="225"/>
      <c r="F276" s="225"/>
      <c r="G276" s="226"/>
      <c r="H276" s="227"/>
      <c r="I276" s="219"/>
      <c r="J276" s="219"/>
      <c r="K276" s="220"/>
      <c r="L276" s="228"/>
      <c r="M276" s="229"/>
      <c r="N276" s="229"/>
      <c r="O276" s="229"/>
      <c r="P276" s="229"/>
      <c r="Q276" s="229"/>
      <c r="R276" s="229"/>
      <c r="S276" s="229"/>
      <c r="T276" s="229"/>
      <c r="U276" s="229"/>
    </row>
    <row r="277" spans="1:21" ht="18.75" x14ac:dyDescent="0.25">
      <c r="A277" s="949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1143">
        <f ca="1">IFERROR(__xludf.DUMMYFUNCTION("IMPORTRANGE(""https://docs.google.com/spreadsheets/d/1eHaY18a8A9IcSdp1K8H6x8fbOy06t2VsZHhMHf-1x7Y/edit?usp=sharing"",""แผน!EC54"")"),22)</f>
        <v>22</v>
      </c>
      <c r="J277" s="908">
        <v>0</v>
      </c>
      <c r="K277" s="1144">
        <f ca="1">IF(I277&gt;0,J277*100/I277,0)</f>
        <v>0</v>
      </c>
      <c r="L277" s="86"/>
      <c r="M277" s="87"/>
      <c r="N277" s="87"/>
      <c r="O277" s="87"/>
      <c r="P277" s="87"/>
      <c r="Q277" s="87"/>
      <c r="R277" s="87"/>
      <c r="S277" s="87"/>
      <c r="T277" s="87"/>
      <c r="U277" s="87"/>
    </row>
    <row r="278" spans="1:21" ht="18.75" hidden="1" x14ac:dyDescent="0.25">
      <c r="A278" s="755"/>
      <c r="B278" s="757"/>
      <c r="C278" s="757"/>
      <c r="D278" s="1145" t="s">
        <v>116</v>
      </c>
      <c r="E278" s="758"/>
      <c r="F278" s="758"/>
      <c r="G278" s="759"/>
      <c r="H278" s="1146" t="s">
        <v>35</v>
      </c>
      <c r="I278" s="779">
        <v>0</v>
      </c>
      <c r="J278" s="779">
        <v>0</v>
      </c>
      <c r="K278" s="1147">
        <v>0</v>
      </c>
      <c r="L278" s="459"/>
      <c r="M278" s="460"/>
      <c r="N278" s="460"/>
      <c r="O278" s="460"/>
      <c r="P278" s="460"/>
      <c r="Q278" s="460"/>
      <c r="R278" s="460"/>
      <c r="S278" s="460"/>
      <c r="T278" s="460"/>
      <c r="U278" s="46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49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4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162" t="s">
        <v>35</v>
      </c>
      <c r="I281" s="1163">
        <f t="shared" ref="I281:J281" ca="1" si="174">I294</f>
        <v>0</v>
      </c>
      <c r="J281" s="1163">
        <f t="shared" si="174"/>
        <v>0</v>
      </c>
      <c r="K281" s="1164">
        <f t="shared" ref="K281:K282" ca="1" si="175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162" t="s">
        <v>46</v>
      </c>
      <c r="I282" s="1163">
        <f t="shared" ref="I282:J282" ca="1" si="176">I293</f>
        <v>0</v>
      </c>
      <c r="J282" s="1163">
        <f t="shared" si="176"/>
        <v>0</v>
      </c>
      <c r="K282" s="1164">
        <f t="shared" ca="1" si="175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214">
        <f t="shared" ref="L283:N283" ca="1" si="177">L284+L285</f>
        <v>0</v>
      </c>
      <c r="M283" s="215">
        <f t="shared" ca="1" si="177"/>
        <v>0</v>
      </c>
      <c r="N283" s="215">
        <f t="shared" ca="1" si="177"/>
        <v>0</v>
      </c>
      <c r="O283" s="215">
        <f t="shared" ref="O283:O291" ca="1" si="178">IF(L283&gt;0,N283*100/L283,0)</f>
        <v>0</v>
      </c>
      <c r="P283" s="215">
        <f t="shared" ref="P283:P291" ca="1" si="179">IF(M283&gt;0,N283*100/M283,0)</f>
        <v>0</v>
      </c>
      <c r="Q283" s="215">
        <f t="shared" ref="Q283:S283" si="180">Q284+Q285</f>
        <v>0</v>
      </c>
      <c r="R283" s="215">
        <f t="shared" si="180"/>
        <v>0</v>
      </c>
      <c r="S283" s="215">
        <f t="shared" si="180"/>
        <v>0</v>
      </c>
      <c r="T283" s="215">
        <f t="shared" ref="T283:T291" si="181">IF(Q283&gt;0,S283*100/Q283,0)</f>
        <v>0</v>
      </c>
      <c r="U283" s="215">
        <f t="shared" ref="U283:U291" si="182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217">
        <f t="shared" ref="L284:N285" si="183">L287+L290</f>
        <v>0</v>
      </c>
      <c r="M284" s="133">
        <f t="shared" si="183"/>
        <v>0</v>
      </c>
      <c r="N284" s="133">
        <f t="shared" si="183"/>
        <v>0</v>
      </c>
      <c r="O284" s="133">
        <f t="shared" si="178"/>
        <v>0</v>
      </c>
      <c r="P284" s="133">
        <f t="shared" si="179"/>
        <v>0</v>
      </c>
      <c r="Q284" s="133">
        <f t="shared" ref="Q284:S285" si="184">Q287+Q290</f>
        <v>0</v>
      </c>
      <c r="R284" s="133">
        <f t="shared" si="184"/>
        <v>0</v>
      </c>
      <c r="S284" s="133">
        <f t="shared" si="184"/>
        <v>0</v>
      </c>
      <c r="T284" s="133">
        <f t="shared" si="181"/>
        <v>0</v>
      </c>
      <c r="U284" s="133">
        <f t="shared" si="182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131">
        <f t="shared" ca="1" si="183"/>
        <v>0</v>
      </c>
      <c r="M285" s="132">
        <f t="shared" ca="1" si="183"/>
        <v>0</v>
      </c>
      <c r="N285" s="132">
        <f t="shared" ca="1" si="183"/>
        <v>0</v>
      </c>
      <c r="O285" s="132">
        <f t="shared" ca="1" si="178"/>
        <v>0</v>
      </c>
      <c r="P285" s="132">
        <f t="shared" ca="1" si="179"/>
        <v>0</v>
      </c>
      <c r="Q285" s="132">
        <f t="shared" si="184"/>
        <v>0</v>
      </c>
      <c r="R285" s="132">
        <f t="shared" si="184"/>
        <v>0</v>
      </c>
      <c r="S285" s="132">
        <f t="shared" si="184"/>
        <v>0</v>
      </c>
      <c r="T285" s="132">
        <f t="shared" si="181"/>
        <v>0</v>
      </c>
      <c r="U285" s="132">
        <f t="shared" si="182"/>
        <v>0</v>
      </c>
    </row>
    <row r="286" spans="1:21" ht="18.75" hidden="1" x14ac:dyDescent="0.25">
      <c r="A286" s="257"/>
      <c r="B286" s="269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131">
        <f t="shared" ref="L286:N286" ca="1" si="185">L287+L288</f>
        <v>0</v>
      </c>
      <c r="M286" s="132">
        <f t="shared" ca="1" si="185"/>
        <v>0</v>
      </c>
      <c r="N286" s="132">
        <f t="shared" ca="1" si="185"/>
        <v>0</v>
      </c>
      <c r="O286" s="132">
        <f t="shared" ca="1" si="178"/>
        <v>0</v>
      </c>
      <c r="P286" s="132">
        <f t="shared" ca="1" si="179"/>
        <v>0</v>
      </c>
      <c r="Q286" s="132">
        <f t="shared" ref="Q286:S286" si="186">Q287+Q288</f>
        <v>0</v>
      </c>
      <c r="R286" s="132">
        <f t="shared" si="186"/>
        <v>0</v>
      </c>
      <c r="S286" s="132">
        <f t="shared" si="186"/>
        <v>0</v>
      </c>
      <c r="T286" s="132">
        <f t="shared" si="181"/>
        <v>0</v>
      </c>
      <c r="U286" s="132">
        <f t="shared" si="182"/>
        <v>0</v>
      </c>
    </row>
    <row r="287" spans="1:21" ht="18.75" hidden="1" x14ac:dyDescent="0.25">
      <c r="A287" s="257"/>
      <c r="B287" s="269"/>
      <c r="C287" s="269"/>
      <c r="D287" s="258"/>
      <c r="E287" s="77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133">
        <f t="shared" si="178"/>
        <v>0</v>
      </c>
      <c r="P287" s="133">
        <f t="shared" si="179"/>
        <v>0</v>
      </c>
      <c r="Q287" s="77">
        <v>0</v>
      </c>
      <c r="R287" s="77">
        <v>0</v>
      </c>
      <c r="S287" s="77">
        <v>0</v>
      </c>
      <c r="T287" s="133">
        <f t="shared" si="181"/>
        <v>0</v>
      </c>
      <c r="U287" s="133">
        <f t="shared" si="182"/>
        <v>0</v>
      </c>
    </row>
    <row r="288" spans="1:21" ht="18.75" hidden="1" x14ac:dyDescent="0.25">
      <c r="A288" s="257"/>
      <c r="B288" s="269"/>
      <c r="C288" s="269"/>
      <c r="D288" s="258"/>
      <c r="E288" s="749" t="s">
        <v>37</v>
      </c>
      <c r="F288" s="258"/>
      <c r="G288" s="261"/>
      <c r="H288" s="271" t="s">
        <v>14</v>
      </c>
      <c r="I288" s="272"/>
      <c r="J288" s="272"/>
      <c r="K288" s="229"/>
      <c r="L288" s="131">
        <f ca="1">IFERROR(__xludf.DUMMYFUNCTION("IMPORTRANGE(""https://docs.google.com/spreadsheets/d/1-uDff_7J0KD5mKrp0Vvzr7lt3OU09vwQwhkpOPPYv2Y/edit?usp=sharing"",""งบพรบ!DO54"")"),0)</f>
        <v>0</v>
      </c>
      <c r="M288" s="132">
        <f ca="1">IFERROR(__xludf.DUMMYFUNCTION("IMPORTRANGE(""https://docs.google.com/spreadsheets/d/1-uDff_7J0KD5mKrp0Vvzr7lt3OU09vwQwhkpOPPYv2Y/edit?usp=sharing"",""งบพรบ!DT54"")"),0)</f>
        <v>0</v>
      </c>
      <c r="N288" s="132">
        <f ca="1">IFERROR(__xludf.DUMMYFUNCTION("IMPORTRANGE(""https://docs.google.com/spreadsheets/d/1-uDff_7J0KD5mKrp0Vvzr7lt3OU09vwQwhkpOPPYv2Y/edit?usp=sharing"",""งบพรบ!DV54"")"),0)</f>
        <v>0</v>
      </c>
      <c r="O288" s="132">
        <f t="shared" ca="1" si="178"/>
        <v>0</v>
      </c>
      <c r="P288" s="132">
        <f t="shared" ca="1" si="179"/>
        <v>0</v>
      </c>
      <c r="Q288" s="74">
        <v>0</v>
      </c>
      <c r="R288" s="74">
        <v>0</v>
      </c>
      <c r="S288" s="74">
        <v>0</v>
      </c>
      <c r="T288" s="133">
        <f t="shared" si="181"/>
        <v>0</v>
      </c>
      <c r="U288" s="133">
        <f t="shared" si="182"/>
        <v>0</v>
      </c>
    </row>
    <row r="289" spans="1:21" ht="18.75" hidden="1" x14ac:dyDescent="0.25">
      <c r="A289" s="257"/>
      <c r="B289" s="269"/>
      <c r="C289" s="269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131">
        <f t="shared" ref="L289:N289" ca="1" si="187">L290+L291</f>
        <v>0</v>
      </c>
      <c r="M289" s="132">
        <f t="shared" ca="1" si="187"/>
        <v>0</v>
      </c>
      <c r="N289" s="132">
        <f t="shared" ca="1" si="187"/>
        <v>0</v>
      </c>
      <c r="O289" s="132">
        <f t="shared" ca="1" si="178"/>
        <v>0</v>
      </c>
      <c r="P289" s="132">
        <f t="shared" ca="1" si="179"/>
        <v>0</v>
      </c>
      <c r="Q289" s="132">
        <f t="shared" ref="Q289:S289" si="188">Q290+Q291</f>
        <v>0</v>
      </c>
      <c r="R289" s="132">
        <f t="shared" si="188"/>
        <v>0</v>
      </c>
      <c r="S289" s="132">
        <f t="shared" si="188"/>
        <v>0</v>
      </c>
      <c r="T289" s="132">
        <f t="shared" si="181"/>
        <v>0</v>
      </c>
      <c r="U289" s="132">
        <f t="shared" si="182"/>
        <v>0</v>
      </c>
    </row>
    <row r="290" spans="1:21" ht="18.75" hidden="1" x14ac:dyDescent="0.25">
      <c r="A290" s="257"/>
      <c r="B290" s="269"/>
      <c r="C290" s="269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133">
        <f t="shared" si="178"/>
        <v>0</v>
      </c>
      <c r="P290" s="133">
        <f t="shared" si="179"/>
        <v>0</v>
      </c>
      <c r="Q290" s="77">
        <v>0</v>
      </c>
      <c r="R290" s="77">
        <v>0</v>
      </c>
      <c r="S290" s="77">
        <v>0</v>
      </c>
      <c r="T290" s="133">
        <f t="shared" si="181"/>
        <v>0</v>
      </c>
      <c r="U290" s="133">
        <f t="shared" si="182"/>
        <v>0</v>
      </c>
    </row>
    <row r="291" spans="1:21" ht="18.75" hidden="1" x14ac:dyDescent="0.25">
      <c r="A291" s="257"/>
      <c r="B291" s="269"/>
      <c r="C291" s="269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131">
        <f ca="1">IFERROR(__xludf.DUMMYFUNCTION("IMPORTRANGE(""https://docs.google.com/spreadsheets/d/1-uDff_7J0KD5mKrp0Vvzr7lt3OU09vwQwhkpOPPYv2Y/edit?usp=sharing"",""งบพรบ!DR54"")"),0)</f>
        <v>0</v>
      </c>
      <c r="M291" s="132">
        <f ca="1">IFERROR(__xludf.DUMMYFUNCTION("IMPORTRANGE(""https://docs.google.com/spreadsheets/d/1-uDff_7J0KD5mKrp0Vvzr7lt3OU09vwQwhkpOPPYv2Y/edit?usp=sharing"",""งบพรบ!DU54"")"),0)</f>
        <v>0</v>
      </c>
      <c r="N291" s="132">
        <f ca="1">IFERROR(__xludf.DUMMYFUNCTION("IMPORTRANGE(""https://docs.google.com/spreadsheets/d/1-uDff_7J0KD5mKrp0Vvzr7lt3OU09vwQwhkpOPPYv2Y/edit?usp=sharing"",""งบพรบ!DW54"")"),0)</f>
        <v>0</v>
      </c>
      <c r="O291" s="132">
        <f t="shared" ca="1" si="178"/>
        <v>0</v>
      </c>
      <c r="P291" s="132">
        <f t="shared" ca="1" si="179"/>
        <v>0</v>
      </c>
      <c r="Q291" s="74">
        <v>0</v>
      </c>
      <c r="R291" s="74">
        <v>0</v>
      </c>
      <c r="S291" s="74">
        <v>0</v>
      </c>
      <c r="T291" s="132">
        <f t="shared" si="181"/>
        <v>0</v>
      </c>
      <c r="U291" s="132">
        <f t="shared" si="182"/>
        <v>0</v>
      </c>
    </row>
    <row r="292" spans="1:21" ht="19.5" hidden="1" x14ac:dyDescent="0.3">
      <c r="A292" s="276"/>
      <c r="B292" s="277"/>
      <c r="C292" s="621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IFERROR(__xludf.DUMMYFUNCTION("IMPORTRANGE(""https://docs.google.com/spreadsheets/d/1eHaY18a8A9IcSdp1K8H6x8fbOy06t2VsZHhMHf-1x7Y/edit?usp=sharing"",""แผน!EE54"")"),0)</f>
        <v>0</v>
      </c>
      <c r="J293" s="294">
        <v>0</v>
      </c>
      <c r="K293" s="768">
        <f t="shared" ref="K293:K294" ca="1" si="189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IFERROR(__xludf.DUMMYFUNCTION("IMPORTRANGE(""https://docs.google.com/spreadsheets/d/1eHaY18a8A9IcSdp1K8H6x8fbOy06t2VsZHhMHf-1x7Y/edit?usp=sharing"",""แผน!ED54"")"),0)</f>
        <v>0</v>
      </c>
      <c r="J294" s="622">
        <f>J297</f>
        <v>0</v>
      </c>
      <c r="K294" s="1105">
        <f t="shared" ca="1" si="189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77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IFERROR(__xludf.DUMMYFUNCTION("IMPORTRANGE(""https://docs.google.com/spreadsheets/d/1eHaY18a8A9IcSdp1K8H6x8fbOy06t2VsZHhMHf-1x7Y/edit?usp=sharing"",""แผน!ED54"")"),0)</f>
        <v>0</v>
      </c>
      <c r="J296" s="294">
        <v>0</v>
      </c>
      <c r="K296" s="768">
        <f t="shared" ref="K296:K297" ca="1" si="190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IFERROR(__xludf.DUMMYFUNCTION("IMPORTRANGE(""https://docs.google.com/spreadsheets/d/1eHaY18a8A9IcSdp1K8H6x8fbOy06t2VsZHhMHf-1x7Y/edit?usp=sharing"",""แผน!ED54"")"),0)</f>
        <v>0</v>
      </c>
      <c r="J297" s="294">
        <v>0</v>
      </c>
      <c r="K297" s="768">
        <f t="shared" ca="1" si="190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313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313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168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0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7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x14ac:dyDescent="0.3">
      <c r="A303" s="1179"/>
      <c r="B303" s="1180" t="s">
        <v>127</v>
      </c>
      <c r="C303" s="607"/>
      <c r="D303" s="607"/>
      <c r="E303" s="607"/>
      <c r="F303" s="607"/>
      <c r="G303" s="608"/>
      <c r="H303" s="609" t="s">
        <v>35</v>
      </c>
      <c r="I303" s="617">
        <f t="shared" ref="I303:J303" ca="1" si="191">I315</f>
        <v>25</v>
      </c>
      <c r="J303" s="617">
        <f t="shared" si="191"/>
        <v>0</v>
      </c>
      <c r="K303" s="611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214">
        <f t="shared" ref="L304:N304" ca="1" si="192">L305+L306</f>
        <v>0</v>
      </c>
      <c r="M304" s="215">
        <f t="shared" ca="1" si="192"/>
        <v>0</v>
      </c>
      <c r="N304" s="215">
        <f t="shared" ca="1" si="192"/>
        <v>0</v>
      </c>
      <c r="O304" s="215">
        <f t="shared" ref="O304:O312" ca="1" si="193">IF(L304&gt;0,N304*100/L304,0)</f>
        <v>0</v>
      </c>
      <c r="P304" s="215">
        <f t="shared" ref="P304:P312" ca="1" si="194">IF(M304&gt;0,N304*100/M304,0)</f>
        <v>0</v>
      </c>
      <c r="Q304" s="215">
        <f t="shared" ref="Q304:S304" ca="1" si="195">Q305+Q306</f>
        <v>228095.39</v>
      </c>
      <c r="R304" s="215">
        <f t="shared" ca="1" si="195"/>
        <v>228095</v>
      </c>
      <c r="S304" s="215">
        <f t="shared" ca="1" si="195"/>
        <v>0</v>
      </c>
      <c r="T304" s="215">
        <f t="shared" ref="T304:T312" ca="1" si="196">IF(Q304&gt;0,S304*100/Q304,0)</f>
        <v>0</v>
      </c>
      <c r="U304" s="215">
        <f t="shared" ref="U304:U312" ca="1" si="197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217">
        <f t="shared" ref="L305:N306" si="198">L308+L311</f>
        <v>0</v>
      </c>
      <c r="M305" s="133">
        <f t="shared" si="198"/>
        <v>0</v>
      </c>
      <c r="N305" s="133">
        <f t="shared" si="198"/>
        <v>0</v>
      </c>
      <c r="O305" s="133">
        <f t="shared" si="193"/>
        <v>0</v>
      </c>
      <c r="P305" s="133">
        <f t="shared" si="194"/>
        <v>0</v>
      </c>
      <c r="Q305" s="133">
        <f t="shared" ref="Q305:S306" si="199">Q308+Q311</f>
        <v>0</v>
      </c>
      <c r="R305" s="133">
        <f t="shared" si="199"/>
        <v>0</v>
      </c>
      <c r="S305" s="133">
        <f t="shared" si="199"/>
        <v>0</v>
      </c>
      <c r="T305" s="133">
        <f t="shared" si="196"/>
        <v>0</v>
      </c>
      <c r="U305" s="133">
        <f t="shared" si="197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131">
        <f t="shared" ca="1" si="198"/>
        <v>0</v>
      </c>
      <c r="M306" s="132">
        <f t="shared" ca="1" si="198"/>
        <v>0</v>
      </c>
      <c r="N306" s="132">
        <f t="shared" ca="1" si="198"/>
        <v>0</v>
      </c>
      <c r="O306" s="132">
        <f t="shared" ca="1" si="193"/>
        <v>0</v>
      </c>
      <c r="P306" s="132">
        <f t="shared" ca="1" si="194"/>
        <v>0</v>
      </c>
      <c r="Q306" s="132">
        <f t="shared" ca="1" si="199"/>
        <v>228095.39</v>
      </c>
      <c r="R306" s="132">
        <f t="shared" ca="1" si="199"/>
        <v>228095</v>
      </c>
      <c r="S306" s="132">
        <f t="shared" ca="1" si="199"/>
        <v>0</v>
      </c>
      <c r="T306" s="132">
        <f t="shared" ca="1" si="196"/>
        <v>0</v>
      </c>
      <c r="U306" s="132">
        <f t="shared" ca="1" si="197"/>
        <v>0</v>
      </c>
    </row>
    <row r="307" spans="1:21" ht="18.75" x14ac:dyDescent="0.25">
      <c r="A307" s="257"/>
      <c r="B307" s="269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131">
        <f t="shared" ref="L307:N307" ca="1" si="200">L308+L309</f>
        <v>0</v>
      </c>
      <c r="M307" s="132">
        <f t="shared" ca="1" si="200"/>
        <v>0</v>
      </c>
      <c r="N307" s="132">
        <f t="shared" ca="1" si="200"/>
        <v>0</v>
      </c>
      <c r="O307" s="132">
        <f t="shared" ca="1" si="193"/>
        <v>0</v>
      </c>
      <c r="P307" s="132">
        <f t="shared" ca="1" si="194"/>
        <v>0</v>
      </c>
      <c r="Q307" s="132">
        <f t="shared" ref="Q307:S307" ca="1" si="201">Q308+Q309</f>
        <v>228095.39</v>
      </c>
      <c r="R307" s="132">
        <f t="shared" ca="1" si="201"/>
        <v>228095</v>
      </c>
      <c r="S307" s="132">
        <f t="shared" ca="1" si="201"/>
        <v>0</v>
      </c>
      <c r="T307" s="132">
        <f t="shared" ca="1" si="196"/>
        <v>0</v>
      </c>
      <c r="U307" s="132">
        <f t="shared" ca="1" si="197"/>
        <v>0</v>
      </c>
    </row>
    <row r="308" spans="1:21" ht="18.75" hidden="1" x14ac:dyDescent="0.25">
      <c r="A308" s="257"/>
      <c r="B308" s="269"/>
      <c r="C308" s="269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133">
        <f t="shared" si="193"/>
        <v>0</v>
      </c>
      <c r="P308" s="133">
        <f t="shared" si="194"/>
        <v>0</v>
      </c>
      <c r="Q308" s="77">
        <v>0</v>
      </c>
      <c r="R308" s="77">
        <v>0</v>
      </c>
      <c r="S308" s="77">
        <v>0</v>
      </c>
      <c r="T308" s="133">
        <f t="shared" si="196"/>
        <v>0</v>
      </c>
      <c r="U308" s="133">
        <f t="shared" si="197"/>
        <v>0</v>
      </c>
    </row>
    <row r="309" spans="1:21" ht="18.75" hidden="1" x14ac:dyDescent="0.25">
      <c r="A309" s="257"/>
      <c r="B309" s="269"/>
      <c r="C309" s="269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131">
        <f ca="1">IFERROR(__xludf.DUMMYFUNCTION("IMPORTRANGE(""https://docs.google.com/spreadsheets/d/1-uDff_7J0KD5mKrp0Vvzr7lt3OU09vwQwhkpOPPYv2Y/edit?usp=sharing"",""งบพรบ!DY54"")"),0)</f>
        <v>0</v>
      </c>
      <c r="M309" s="132">
        <f ca="1">IFERROR(__xludf.DUMMYFUNCTION("IMPORTRANGE(""https://docs.google.com/spreadsheets/d/1-uDff_7J0KD5mKrp0Vvzr7lt3OU09vwQwhkpOPPYv2Y/edit?usp=sharing"",""งบพรบ!ED54"")"),0)</f>
        <v>0</v>
      </c>
      <c r="N309" s="132">
        <f ca="1">IFERROR(__xludf.DUMMYFUNCTION("IMPORTRANGE(""https://docs.google.com/spreadsheets/d/1-uDff_7J0KD5mKrp0Vvzr7lt3OU09vwQwhkpOPPYv2Y/edit?usp=sharing"",""งบพรบ!EF54"")"),0)</f>
        <v>0</v>
      </c>
      <c r="O309" s="132">
        <f t="shared" ca="1" si="193"/>
        <v>0</v>
      </c>
      <c r="P309" s="132">
        <f t="shared" ca="1" si="194"/>
        <v>0</v>
      </c>
      <c r="Q309" s="132">
        <f ca="1">IFERROR(__xludf.DUMMYFUNCTION("IMPORTRANGE(""https://docs.google.com/spreadsheets/d/1ItG2mGa2ceCfYo0BwxsXqNm01IGEUdYcSSLTEv9YCik/edit?usp=sharing"",""เบิกจ่ายกองทุน!AP54"")"),228095.39)</f>
        <v>228095.39</v>
      </c>
      <c r="R309" s="132">
        <f ca="1">IFERROR(__xludf.DUMMYFUNCTION("IMPORTRANGE(""https://docs.google.com/spreadsheets/d/1ItG2mGa2ceCfYo0BwxsXqNm01IGEUdYcSSLTEv9YCik/edit?usp=sharing"",""เบิกจ่ายกองทุน!AQ54"")"),228095)</f>
        <v>228095</v>
      </c>
      <c r="S309" s="132">
        <f ca="1">IFERROR(__xludf.DUMMYFUNCTION("IMPORTRANGE(""https://docs.google.com/spreadsheets/d/1ItG2mGa2ceCfYo0BwxsXqNm01IGEUdYcSSLTEv9YCik/edit?usp=sharing"",""เบิกจ่ายกองทุน!AR54"")"),0)</f>
        <v>0</v>
      </c>
      <c r="T309" s="132">
        <f t="shared" ca="1" si="196"/>
        <v>0</v>
      </c>
      <c r="U309" s="132">
        <f t="shared" ca="1" si="197"/>
        <v>0</v>
      </c>
    </row>
    <row r="310" spans="1:21" ht="18.75" x14ac:dyDescent="0.25">
      <c r="A310" s="257"/>
      <c r="B310" s="269"/>
      <c r="C310" s="269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131">
        <f t="shared" ref="L310:N310" ca="1" si="202">L311+L312</f>
        <v>0</v>
      </c>
      <c r="M310" s="132">
        <f t="shared" ca="1" si="202"/>
        <v>0</v>
      </c>
      <c r="N310" s="132">
        <f t="shared" ca="1" si="202"/>
        <v>0</v>
      </c>
      <c r="O310" s="132">
        <f t="shared" ca="1" si="193"/>
        <v>0</v>
      </c>
      <c r="P310" s="132">
        <f t="shared" ca="1" si="194"/>
        <v>0</v>
      </c>
      <c r="Q310" s="132">
        <f t="shared" ref="Q310:S310" si="203">Q311+Q312</f>
        <v>0</v>
      </c>
      <c r="R310" s="132">
        <f t="shared" si="203"/>
        <v>0</v>
      </c>
      <c r="S310" s="132">
        <f t="shared" si="203"/>
        <v>0</v>
      </c>
      <c r="T310" s="132">
        <f t="shared" si="196"/>
        <v>0</v>
      </c>
      <c r="U310" s="132">
        <f t="shared" si="197"/>
        <v>0</v>
      </c>
    </row>
    <row r="311" spans="1:21" ht="18.75" hidden="1" x14ac:dyDescent="0.25">
      <c r="A311" s="257"/>
      <c r="B311" s="269"/>
      <c r="C311" s="269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133">
        <f t="shared" si="193"/>
        <v>0</v>
      </c>
      <c r="P311" s="133">
        <f t="shared" si="194"/>
        <v>0</v>
      </c>
      <c r="Q311" s="77">
        <v>0</v>
      </c>
      <c r="R311" s="77">
        <v>0</v>
      </c>
      <c r="S311" s="77">
        <v>0</v>
      </c>
      <c r="T311" s="133">
        <f t="shared" si="196"/>
        <v>0</v>
      </c>
      <c r="U311" s="133">
        <f t="shared" si="197"/>
        <v>0</v>
      </c>
    </row>
    <row r="312" spans="1:21" ht="18.75" hidden="1" x14ac:dyDescent="0.25">
      <c r="A312" s="257"/>
      <c r="B312" s="269"/>
      <c r="C312" s="269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131">
        <f ca="1">IFERROR(__xludf.DUMMYFUNCTION("IMPORTRANGE(""https://docs.google.com/spreadsheets/d/1-uDff_7J0KD5mKrp0Vvzr7lt3OU09vwQwhkpOPPYv2Y/edit?usp=sharing"",""งบพรบ!EB54"")"),0)</f>
        <v>0</v>
      </c>
      <c r="M312" s="132">
        <f ca="1">IFERROR(__xludf.DUMMYFUNCTION("IMPORTRANGE(""https://docs.google.com/spreadsheets/d/1-uDff_7J0KD5mKrp0Vvzr7lt3OU09vwQwhkpOPPYv2Y/edit?usp=sharing"",""งบพรบ!EE54"")"),0)</f>
        <v>0</v>
      </c>
      <c r="N312" s="132">
        <f ca="1">IFERROR(__xludf.DUMMYFUNCTION("IMPORTRANGE(""https://docs.google.com/spreadsheets/d/1-uDff_7J0KD5mKrp0Vvzr7lt3OU09vwQwhkpOPPYv2Y/edit?usp=sharing"",""งบพรบ!EG54"")"),0)</f>
        <v>0</v>
      </c>
      <c r="O312" s="132">
        <f t="shared" ca="1" si="193"/>
        <v>0</v>
      </c>
      <c r="P312" s="132">
        <f t="shared" ca="1" si="194"/>
        <v>0</v>
      </c>
      <c r="Q312" s="74">
        <v>0</v>
      </c>
      <c r="R312" s="74">
        <v>0</v>
      </c>
      <c r="S312" s="74">
        <v>0</v>
      </c>
      <c r="T312" s="132">
        <f t="shared" si="196"/>
        <v>0</v>
      </c>
      <c r="U312" s="132">
        <f t="shared" si="197"/>
        <v>0</v>
      </c>
    </row>
    <row r="313" spans="1:21" ht="19.5" x14ac:dyDescent="0.3">
      <c r="A313" s="276"/>
      <c r="B313" s="277"/>
      <c r="C313" s="621" t="s">
        <v>18</v>
      </c>
      <c r="D313" s="1019" t="s">
        <v>38</v>
      </c>
      <c r="E313" s="783"/>
      <c r="F313" s="783"/>
      <c r="G313" s="11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612"/>
      <c r="B314" s="593"/>
      <c r="C314" s="593"/>
      <c r="D314" s="1182"/>
      <c r="E314" s="613"/>
      <c r="F314" s="613"/>
      <c r="G314" s="614"/>
      <c r="H314" s="614"/>
      <c r="I314" s="595"/>
      <c r="J314" s="1183"/>
      <c r="K314" s="596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x14ac:dyDescent="0.25">
      <c r="A315" s="276"/>
      <c r="B315" s="277"/>
      <c r="C315" s="277"/>
      <c r="D315" s="295" t="s">
        <v>121</v>
      </c>
      <c r="E315" s="296"/>
      <c r="F315" s="296"/>
      <c r="G315" s="282"/>
      <c r="H315" s="275" t="s">
        <v>35</v>
      </c>
      <c r="I315" s="293">
        <f ca="1">IFERROR(__xludf.DUMMYFUNCTION("IMPORTRANGE(""https://docs.google.com/spreadsheets/d/1eHaY18a8A9IcSdp1K8H6x8fbOy06t2VsZHhMHf-1x7Y/edit?usp=sharing"",""แผน!EF54"")"),25)</f>
        <v>25</v>
      </c>
      <c r="J315" s="294">
        <v>0</v>
      </c>
      <c r="K315" s="74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612"/>
      <c r="B316" s="593"/>
      <c r="C316" s="593"/>
      <c r="D316" s="1184"/>
      <c r="E316" s="613"/>
      <c r="F316" s="613"/>
      <c r="G316" s="614"/>
      <c r="H316" s="1185"/>
      <c r="I316" s="1183"/>
      <c r="J316" s="1183"/>
      <c r="K316" s="1186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612"/>
      <c r="B317" s="593"/>
      <c r="C317" s="593"/>
      <c r="D317" s="1184"/>
      <c r="E317" s="613"/>
      <c r="F317" s="613"/>
      <c r="G317" s="614"/>
      <c r="H317" s="1185"/>
      <c r="I317" s="1183"/>
      <c r="J317" s="1183"/>
      <c r="K317" s="1186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612"/>
      <c r="B318" s="593"/>
      <c r="C318" s="593"/>
      <c r="D318" s="428"/>
      <c r="E318" s="613"/>
      <c r="F318" s="613"/>
      <c r="G318" s="614"/>
      <c r="H318" s="1187"/>
      <c r="I318" s="435"/>
      <c r="J318" s="435"/>
      <c r="K318" s="436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4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609" t="s">
        <v>133</v>
      </c>
      <c r="I320" s="617">
        <f t="shared" ref="I320:J320" ca="1" si="204">I331</f>
        <v>0</v>
      </c>
      <c r="J320" s="617">
        <f t="shared" si="204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214">
        <f t="shared" ref="L321:N321" ca="1" si="205">L322+L323</f>
        <v>0</v>
      </c>
      <c r="M321" s="215">
        <f t="shared" ca="1" si="205"/>
        <v>0</v>
      </c>
      <c r="N321" s="215">
        <f t="shared" ca="1" si="205"/>
        <v>0</v>
      </c>
      <c r="O321" s="215">
        <f t="shared" ref="O321:O329" ca="1" si="206">IF(L321&gt;0,N321*100/L321,0)</f>
        <v>0</v>
      </c>
      <c r="P321" s="215">
        <f t="shared" ref="P321:P329" ca="1" si="207">IF(M321&gt;0,N321*100/M321,0)</f>
        <v>0</v>
      </c>
      <c r="Q321" s="215">
        <f t="shared" ref="Q321:S321" si="208">Q322+Q323</f>
        <v>0</v>
      </c>
      <c r="R321" s="215">
        <f t="shared" si="208"/>
        <v>0</v>
      </c>
      <c r="S321" s="215">
        <f t="shared" si="208"/>
        <v>0</v>
      </c>
      <c r="T321" s="215">
        <f t="shared" ref="T321:T329" si="209">IF(Q321&gt;0,S321*100/Q321,0)</f>
        <v>0</v>
      </c>
      <c r="U321" s="215">
        <f t="shared" ref="U321:U329" si="210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217">
        <f t="shared" ref="L322:N323" si="211">L325+L328</f>
        <v>0</v>
      </c>
      <c r="M322" s="133">
        <f t="shared" si="211"/>
        <v>0</v>
      </c>
      <c r="N322" s="133">
        <f t="shared" si="211"/>
        <v>0</v>
      </c>
      <c r="O322" s="133">
        <f t="shared" si="206"/>
        <v>0</v>
      </c>
      <c r="P322" s="133">
        <f t="shared" si="207"/>
        <v>0</v>
      </c>
      <c r="Q322" s="133">
        <f t="shared" ref="Q322:S323" si="212">Q325+Q328</f>
        <v>0</v>
      </c>
      <c r="R322" s="133">
        <f t="shared" si="212"/>
        <v>0</v>
      </c>
      <c r="S322" s="133">
        <f t="shared" si="212"/>
        <v>0</v>
      </c>
      <c r="T322" s="133">
        <f t="shared" si="209"/>
        <v>0</v>
      </c>
      <c r="U322" s="133">
        <f t="shared" si="210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131">
        <f t="shared" ca="1" si="211"/>
        <v>0</v>
      </c>
      <c r="M323" s="132">
        <f t="shared" ca="1" si="211"/>
        <v>0</v>
      </c>
      <c r="N323" s="132">
        <f t="shared" ca="1" si="211"/>
        <v>0</v>
      </c>
      <c r="O323" s="132">
        <f t="shared" ca="1" si="206"/>
        <v>0</v>
      </c>
      <c r="P323" s="132">
        <f t="shared" ca="1" si="207"/>
        <v>0</v>
      </c>
      <c r="Q323" s="132">
        <f t="shared" si="212"/>
        <v>0</v>
      </c>
      <c r="R323" s="132">
        <f t="shared" si="212"/>
        <v>0</v>
      </c>
      <c r="S323" s="132">
        <f t="shared" si="212"/>
        <v>0</v>
      </c>
      <c r="T323" s="132">
        <f t="shared" si="209"/>
        <v>0</v>
      </c>
      <c r="U323" s="132">
        <f t="shared" si="210"/>
        <v>0</v>
      </c>
    </row>
    <row r="324" spans="1:21" ht="18.75" hidden="1" x14ac:dyDescent="0.25">
      <c r="A324" s="257"/>
      <c r="B324" s="269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131">
        <f t="shared" ref="L324:N324" ca="1" si="213">L325+L326</f>
        <v>0</v>
      </c>
      <c r="M324" s="132">
        <f t="shared" ca="1" si="213"/>
        <v>0</v>
      </c>
      <c r="N324" s="132">
        <f t="shared" ca="1" si="213"/>
        <v>0</v>
      </c>
      <c r="O324" s="132">
        <f t="shared" ca="1" si="206"/>
        <v>0</v>
      </c>
      <c r="P324" s="132">
        <f t="shared" ca="1" si="207"/>
        <v>0</v>
      </c>
      <c r="Q324" s="132">
        <f t="shared" ref="Q324:S324" si="214">Q325+Q326</f>
        <v>0</v>
      </c>
      <c r="R324" s="132">
        <f t="shared" si="214"/>
        <v>0</v>
      </c>
      <c r="S324" s="132">
        <f t="shared" si="214"/>
        <v>0</v>
      </c>
      <c r="T324" s="132">
        <f t="shared" si="209"/>
        <v>0</v>
      </c>
      <c r="U324" s="132">
        <f t="shared" si="210"/>
        <v>0</v>
      </c>
    </row>
    <row r="325" spans="1:21" ht="18.75" hidden="1" x14ac:dyDescent="0.25">
      <c r="A325" s="257"/>
      <c r="B325" s="269"/>
      <c r="C325" s="269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133">
        <f t="shared" si="206"/>
        <v>0</v>
      </c>
      <c r="P325" s="133">
        <f t="shared" si="207"/>
        <v>0</v>
      </c>
      <c r="Q325" s="77">
        <v>0</v>
      </c>
      <c r="R325" s="77">
        <v>0</v>
      </c>
      <c r="S325" s="77">
        <v>0</v>
      </c>
      <c r="T325" s="133">
        <f t="shared" si="209"/>
        <v>0</v>
      </c>
      <c r="U325" s="133">
        <f t="shared" si="210"/>
        <v>0</v>
      </c>
    </row>
    <row r="326" spans="1:21" ht="18.75" hidden="1" x14ac:dyDescent="0.25">
      <c r="A326" s="257"/>
      <c r="B326" s="269"/>
      <c r="C326" s="269"/>
      <c r="D326" s="258"/>
      <c r="E326" s="749" t="s">
        <v>37</v>
      </c>
      <c r="F326" s="269"/>
      <c r="G326" s="312"/>
      <c r="H326" s="271" t="s">
        <v>14</v>
      </c>
      <c r="I326" s="272"/>
      <c r="J326" s="272"/>
      <c r="K326" s="229"/>
      <c r="L326" s="131">
        <f ca="1">IFERROR(__xludf.DUMMYFUNCTION("IMPORTRANGE(""https://docs.google.com/spreadsheets/d/1-uDff_7J0KD5mKrp0Vvzr7lt3OU09vwQwhkpOPPYv2Y/edit?usp=sharing"",""งบพรบ!EI54"")"),0)</f>
        <v>0</v>
      </c>
      <c r="M326" s="132">
        <f ca="1">IFERROR(__xludf.DUMMYFUNCTION("IMPORTRANGE(""https://docs.google.com/spreadsheets/d/1-uDff_7J0KD5mKrp0Vvzr7lt3OU09vwQwhkpOPPYv2Y/edit?usp=sharing"",""งบพรบ!EN54"")"),0)</f>
        <v>0</v>
      </c>
      <c r="N326" s="132">
        <f ca="1">IFERROR(__xludf.DUMMYFUNCTION("IMPORTRANGE(""https://docs.google.com/spreadsheets/d/1-uDff_7J0KD5mKrp0Vvzr7lt3OU09vwQwhkpOPPYv2Y/edit?usp=sharing"",""งบพรบ!EP54"")"),0)</f>
        <v>0</v>
      </c>
      <c r="O326" s="132">
        <f t="shared" ca="1" si="206"/>
        <v>0</v>
      </c>
      <c r="P326" s="132">
        <f t="shared" ca="1" si="207"/>
        <v>0</v>
      </c>
      <c r="Q326" s="74">
        <v>0</v>
      </c>
      <c r="R326" s="74">
        <v>0</v>
      </c>
      <c r="S326" s="74">
        <v>0</v>
      </c>
      <c r="T326" s="132">
        <f t="shared" si="209"/>
        <v>0</v>
      </c>
      <c r="U326" s="132">
        <f t="shared" si="210"/>
        <v>0</v>
      </c>
    </row>
    <row r="327" spans="1:21" ht="18.75" hidden="1" x14ac:dyDescent="0.25">
      <c r="A327" s="257"/>
      <c r="B327" s="258"/>
      <c r="C327" s="269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131">
        <f t="shared" ref="L327:N327" ca="1" si="215">L328+L329</f>
        <v>0</v>
      </c>
      <c r="M327" s="132">
        <f t="shared" ca="1" si="215"/>
        <v>0</v>
      </c>
      <c r="N327" s="132">
        <f t="shared" ca="1" si="215"/>
        <v>0</v>
      </c>
      <c r="O327" s="132">
        <f t="shared" ca="1" si="206"/>
        <v>0</v>
      </c>
      <c r="P327" s="132">
        <f t="shared" ca="1" si="207"/>
        <v>0</v>
      </c>
      <c r="Q327" s="132">
        <f t="shared" ref="Q327:S327" si="216">Q328+Q329</f>
        <v>0</v>
      </c>
      <c r="R327" s="132">
        <f t="shared" si="216"/>
        <v>0</v>
      </c>
      <c r="S327" s="132">
        <f t="shared" si="216"/>
        <v>0</v>
      </c>
      <c r="T327" s="132">
        <f t="shared" si="209"/>
        <v>0</v>
      </c>
      <c r="U327" s="132">
        <f t="shared" si="210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133">
        <f t="shared" si="206"/>
        <v>0</v>
      </c>
      <c r="P328" s="133">
        <f t="shared" si="207"/>
        <v>0</v>
      </c>
      <c r="Q328" s="77">
        <v>0</v>
      </c>
      <c r="R328" s="77">
        <v>0</v>
      </c>
      <c r="S328" s="77">
        <v>0</v>
      </c>
      <c r="T328" s="133">
        <f t="shared" si="209"/>
        <v>0</v>
      </c>
      <c r="U328" s="133">
        <f t="shared" si="210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131">
        <f ca="1">IFERROR(__xludf.DUMMYFUNCTION("IMPORTRANGE(""https://docs.google.com/spreadsheets/d/1-uDff_7J0KD5mKrp0Vvzr7lt3OU09vwQwhkpOPPYv2Y/edit?usp=sharing"",""งบพรบ!EL54"")"),0)</f>
        <v>0</v>
      </c>
      <c r="M329" s="132">
        <f ca="1">IFERROR(__xludf.DUMMYFUNCTION("IMPORTRANGE(""https://docs.google.com/spreadsheets/d/1-uDff_7J0KD5mKrp0Vvzr7lt3OU09vwQwhkpOPPYv2Y/edit?usp=sharing"",""งบพรบ!EO54"")"),0)</f>
        <v>0</v>
      </c>
      <c r="N329" s="132">
        <f ca="1">IFERROR(__xludf.DUMMYFUNCTION("IMPORTRANGE(""https://docs.google.com/spreadsheets/d/1-uDff_7J0KD5mKrp0Vvzr7lt3OU09vwQwhkpOPPYv2Y/edit?usp=sharing"",""งบพรบ!EQ54"")"),0)</f>
        <v>0</v>
      </c>
      <c r="O329" s="132">
        <f t="shared" ca="1" si="206"/>
        <v>0</v>
      </c>
      <c r="P329" s="132">
        <f t="shared" ca="1" si="207"/>
        <v>0</v>
      </c>
      <c r="Q329" s="74">
        <v>0</v>
      </c>
      <c r="R329" s="74">
        <v>0</v>
      </c>
      <c r="S329" s="74">
        <v>0</v>
      </c>
      <c r="T329" s="132">
        <f t="shared" si="209"/>
        <v>0</v>
      </c>
      <c r="U329" s="132">
        <f t="shared" si="210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310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68" t="s">
        <v>133</v>
      </c>
      <c r="I331" s="293">
        <f ca="1">IFERROR(__xludf.DUMMYFUNCTION("IMPORTRANGE(""https://docs.google.com/spreadsheets/d/1eHaY18a8A9IcSdp1K8H6x8fbOy06t2VsZHhMHf-1x7Y/edit?usp=sharing"",""แผน!EJ54"")"),0)</f>
        <v>0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4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609" t="s">
        <v>35</v>
      </c>
      <c r="I333" s="534">
        <f ca="1">I345</f>
        <v>1060</v>
      </c>
      <c r="J333" s="535">
        <f ca="1">J345+J348+J349+J350+J354</f>
        <v>7380</v>
      </c>
      <c r="K333" s="536">
        <f ca="1">IF(I333&gt;0,J333*100/I333,0)</f>
        <v>696.22641509433959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214">
        <f t="shared" ref="L334:N334" ca="1" si="217">L335+L336</f>
        <v>108000</v>
      </c>
      <c r="M334" s="215">
        <f t="shared" ca="1" si="217"/>
        <v>113000</v>
      </c>
      <c r="N334" s="215">
        <f t="shared" ca="1" si="217"/>
        <v>57816.66</v>
      </c>
      <c r="O334" s="215">
        <f t="shared" ref="O334:O342" ca="1" si="218">IF(L334&gt;0,N334*100/L334,0)</f>
        <v>53.533944444444444</v>
      </c>
      <c r="P334" s="215">
        <f t="shared" ref="P334:P342" ca="1" si="219">IF(M334&gt;0,N334*100/M334,0)</f>
        <v>51.165185840707963</v>
      </c>
      <c r="Q334" s="215">
        <f t="shared" ref="Q334:S334" si="220">Q335+Q336</f>
        <v>0</v>
      </c>
      <c r="R334" s="215">
        <f t="shared" si="220"/>
        <v>0</v>
      </c>
      <c r="S334" s="215">
        <f t="shared" si="220"/>
        <v>0</v>
      </c>
      <c r="T334" s="215">
        <f t="shared" ref="T334:T342" si="221">IF(Q334&gt;0,S334*100/Q334,0)</f>
        <v>0</v>
      </c>
      <c r="U334" s="215">
        <f t="shared" ref="U334:U342" si="222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217">
        <f t="shared" ref="L335:N336" si="223">L338+L341</f>
        <v>0</v>
      </c>
      <c r="M335" s="133">
        <f t="shared" si="223"/>
        <v>0</v>
      </c>
      <c r="N335" s="133">
        <f t="shared" si="223"/>
        <v>0</v>
      </c>
      <c r="O335" s="133">
        <f t="shared" si="218"/>
        <v>0</v>
      </c>
      <c r="P335" s="133">
        <f t="shared" si="219"/>
        <v>0</v>
      </c>
      <c r="Q335" s="133">
        <f t="shared" ref="Q335:S336" si="224">Q338+Q341</f>
        <v>0</v>
      </c>
      <c r="R335" s="133">
        <f t="shared" si="224"/>
        <v>0</v>
      </c>
      <c r="S335" s="133">
        <f t="shared" si="224"/>
        <v>0</v>
      </c>
      <c r="T335" s="133">
        <f t="shared" si="221"/>
        <v>0</v>
      </c>
      <c r="U335" s="133">
        <f t="shared" si="222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131">
        <f t="shared" ca="1" si="223"/>
        <v>108000</v>
      </c>
      <c r="M336" s="132">
        <f t="shared" ca="1" si="223"/>
        <v>113000</v>
      </c>
      <c r="N336" s="132">
        <f t="shared" ca="1" si="223"/>
        <v>57816.66</v>
      </c>
      <c r="O336" s="132">
        <f t="shared" ca="1" si="218"/>
        <v>53.533944444444444</v>
      </c>
      <c r="P336" s="132">
        <f t="shared" ca="1" si="219"/>
        <v>51.165185840707963</v>
      </c>
      <c r="Q336" s="132">
        <f t="shared" si="224"/>
        <v>0</v>
      </c>
      <c r="R336" s="132">
        <f t="shared" si="224"/>
        <v>0</v>
      </c>
      <c r="S336" s="132">
        <f t="shared" si="224"/>
        <v>0</v>
      </c>
      <c r="T336" s="132">
        <f t="shared" si="221"/>
        <v>0</v>
      </c>
      <c r="U336" s="132">
        <f t="shared" si="222"/>
        <v>0</v>
      </c>
    </row>
    <row r="337" spans="1:21" ht="18.75" x14ac:dyDescent="0.25">
      <c r="A337" s="257"/>
      <c r="B337" s="269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131">
        <f t="shared" ref="L337:N337" ca="1" si="225">L338+L339</f>
        <v>108000</v>
      </c>
      <c r="M337" s="132">
        <f t="shared" ca="1" si="225"/>
        <v>113000</v>
      </c>
      <c r="N337" s="132">
        <f t="shared" ca="1" si="225"/>
        <v>57816.66</v>
      </c>
      <c r="O337" s="132">
        <f t="shared" ca="1" si="218"/>
        <v>53.533944444444444</v>
      </c>
      <c r="P337" s="132">
        <f t="shared" ca="1" si="219"/>
        <v>51.165185840707963</v>
      </c>
      <c r="Q337" s="132">
        <f t="shared" ref="Q337:S337" si="226">Q338+Q339</f>
        <v>0</v>
      </c>
      <c r="R337" s="132">
        <f t="shared" si="226"/>
        <v>0</v>
      </c>
      <c r="S337" s="132">
        <f t="shared" si="226"/>
        <v>0</v>
      </c>
      <c r="T337" s="132">
        <f t="shared" si="221"/>
        <v>0</v>
      </c>
      <c r="U337" s="132">
        <f t="shared" si="222"/>
        <v>0</v>
      </c>
    </row>
    <row r="338" spans="1:21" ht="18.75" hidden="1" x14ac:dyDescent="0.25">
      <c r="A338" s="257"/>
      <c r="B338" s="258"/>
      <c r="C338" s="269"/>
      <c r="D338" s="258"/>
      <c r="E338" s="77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133">
        <f t="shared" si="218"/>
        <v>0</v>
      </c>
      <c r="P338" s="133">
        <f t="shared" si="219"/>
        <v>0</v>
      </c>
      <c r="Q338" s="77">
        <v>0</v>
      </c>
      <c r="R338" s="77">
        <v>0</v>
      </c>
      <c r="S338" s="77">
        <v>0</v>
      </c>
      <c r="T338" s="133">
        <f t="shared" si="221"/>
        <v>0</v>
      </c>
      <c r="U338" s="133">
        <f t="shared" si="222"/>
        <v>0</v>
      </c>
    </row>
    <row r="339" spans="1:21" ht="18.75" hidden="1" x14ac:dyDescent="0.25">
      <c r="A339" s="257"/>
      <c r="B339" s="258"/>
      <c r="C339" s="269"/>
      <c r="D339" s="258"/>
      <c r="E339" s="749" t="s">
        <v>37</v>
      </c>
      <c r="F339" s="258"/>
      <c r="G339" s="261"/>
      <c r="H339" s="271" t="s">
        <v>14</v>
      </c>
      <c r="I339" s="272"/>
      <c r="J339" s="272"/>
      <c r="K339" s="229"/>
      <c r="L339" s="131">
        <f ca="1">IFERROR(__xludf.DUMMYFUNCTION("IMPORTRANGE(""https://docs.google.com/spreadsheets/d/1-uDff_7J0KD5mKrp0Vvzr7lt3OU09vwQwhkpOPPYv2Y/edit?usp=sharing"",""งบพรบ!ES54"")"),108000)</f>
        <v>108000</v>
      </c>
      <c r="M339" s="132">
        <f ca="1">IFERROR(__xludf.DUMMYFUNCTION("IMPORTRANGE(""https://docs.google.com/spreadsheets/d/1-uDff_7J0KD5mKrp0Vvzr7lt3OU09vwQwhkpOPPYv2Y/edit?usp=sharing"",""งบพรบ!EX54"")"),113000)</f>
        <v>113000</v>
      </c>
      <c r="N339" s="132">
        <f ca="1">IFERROR(__xludf.DUMMYFUNCTION("IMPORTRANGE(""https://docs.google.com/spreadsheets/d/1-uDff_7J0KD5mKrp0Vvzr7lt3OU09vwQwhkpOPPYv2Y/edit?usp=sharing"",""งบพรบ!EZ54"")"),57816.66)</f>
        <v>57816.66</v>
      </c>
      <c r="O339" s="132">
        <f t="shared" ca="1" si="218"/>
        <v>53.533944444444444</v>
      </c>
      <c r="P339" s="132">
        <f t="shared" ca="1" si="219"/>
        <v>51.165185840707963</v>
      </c>
      <c r="Q339" s="74">
        <v>0</v>
      </c>
      <c r="R339" s="74">
        <v>0</v>
      </c>
      <c r="S339" s="74">
        <v>0</v>
      </c>
      <c r="T339" s="132">
        <f t="shared" si="221"/>
        <v>0</v>
      </c>
      <c r="U339" s="132">
        <f t="shared" si="222"/>
        <v>0</v>
      </c>
    </row>
    <row r="340" spans="1:21" ht="18.75" x14ac:dyDescent="0.25">
      <c r="A340" s="257"/>
      <c r="B340" s="258"/>
      <c r="C340" s="269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131">
        <f t="shared" ref="L340:N340" ca="1" si="227">L341+L342</f>
        <v>0</v>
      </c>
      <c r="M340" s="132">
        <f t="shared" ca="1" si="227"/>
        <v>0</v>
      </c>
      <c r="N340" s="132">
        <f t="shared" ca="1" si="227"/>
        <v>0</v>
      </c>
      <c r="O340" s="132">
        <f t="shared" ca="1" si="218"/>
        <v>0</v>
      </c>
      <c r="P340" s="132">
        <f t="shared" ca="1" si="219"/>
        <v>0</v>
      </c>
      <c r="Q340" s="132">
        <f t="shared" ref="Q340:S340" si="228">Q341+Q342</f>
        <v>0</v>
      </c>
      <c r="R340" s="132">
        <f t="shared" si="228"/>
        <v>0</v>
      </c>
      <c r="S340" s="132">
        <f t="shared" si="228"/>
        <v>0</v>
      </c>
      <c r="T340" s="132">
        <f t="shared" si="221"/>
        <v>0</v>
      </c>
      <c r="U340" s="132">
        <f t="shared" si="222"/>
        <v>0</v>
      </c>
    </row>
    <row r="341" spans="1:21" ht="18.75" hidden="1" x14ac:dyDescent="0.25">
      <c r="A341" s="257"/>
      <c r="B341" s="258"/>
      <c r="C341" s="269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133">
        <f t="shared" si="218"/>
        <v>0</v>
      </c>
      <c r="P341" s="133">
        <f t="shared" si="219"/>
        <v>0</v>
      </c>
      <c r="Q341" s="77">
        <v>0</v>
      </c>
      <c r="R341" s="77">
        <v>0</v>
      </c>
      <c r="S341" s="77">
        <v>0</v>
      </c>
      <c r="T341" s="133">
        <f t="shared" si="221"/>
        <v>0</v>
      </c>
      <c r="U341" s="133">
        <f t="shared" si="222"/>
        <v>0</v>
      </c>
    </row>
    <row r="342" spans="1:21" ht="18.75" hidden="1" x14ac:dyDescent="0.25">
      <c r="A342" s="257"/>
      <c r="B342" s="258"/>
      <c r="C342" s="269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131">
        <f ca="1">IFERROR(__xludf.DUMMYFUNCTION("IMPORTRANGE(""https://docs.google.com/spreadsheets/d/1-uDff_7J0KD5mKrp0Vvzr7lt3OU09vwQwhkpOPPYv2Y/edit?usp=sharing"",""งบพรบ!EV54"")"),0)</f>
        <v>0</v>
      </c>
      <c r="M342" s="132">
        <f ca="1">IFERROR(__xludf.DUMMYFUNCTION("IMPORTRANGE(""https://docs.google.com/spreadsheets/d/1-uDff_7J0KD5mKrp0Vvzr7lt3OU09vwQwhkpOPPYv2Y/edit?usp=sharing"",""งบพรบ!EY54"")"),0)</f>
        <v>0</v>
      </c>
      <c r="N342" s="132">
        <f ca="1">IFERROR(__xludf.DUMMYFUNCTION("IMPORTRANGE(""https://docs.google.com/spreadsheets/d/1-uDff_7J0KD5mKrp0Vvzr7lt3OU09vwQwhkpOPPYv2Y/edit?usp=sharing"",""งบพรบ!FA54"")"),0)</f>
        <v>0</v>
      </c>
      <c r="O342" s="132">
        <f t="shared" ca="1" si="218"/>
        <v>0</v>
      </c>
      <c r="P342" s="132">
        <f t="shared" ca="1" si="219"/>
        <v>0</v>
      </c>
      <c r="Q342" s="74">
        <v>0</v>
      </c>
      <c r="R342" s="74">
        <v>0</v>
      </c>
      <c r="S342" s="74">
        <v>0</v>
      </c>
      <c r="T342" s="132">
        <f t="shared" si="221"/>
        <v>0</v>
      </c>
      <c r="U342" s="132">
        <f t="shared" si="222"/>
        <v>0</v>
      </c>
    </row>
    <row r="343" spans="1:21" ht="19.5" x14ac:dyDescent="0.3">
      <c r="A343" s="276"/>
      <c r="B343" s="277"/>
      <c r="C343" s="621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5038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307" t="s">
        <v>35</v>
      </c>
      <c r="I345" s="293">
        <f ca="1">IFERROR(__xludf.DUMMYFUNCTION("IMPORTRANGE(""https://docs.google.com/spreadsheets/d/1eHaY18a8A9IcSdp1K8H6x8fbOy06t2VsZHhMHf-1x7Y/edit?usp=sharing"",""แผน!EK54"")"),1060)</f>
        <v>1060</v>
      </c>
      <c r="J345" s="293">
        <f ca="1">IFERROR(__xludf.DUMMYFUNCTION("IMPORTRANGE(""https://docs.google.com/spreadsheets/d/1awYsYK3VOup2i3Pq_Yjnu8DRu_mYwSBnCR2QPthd0rU/edit?usp=sharing"",""ศูนย์ยกเว้นโฉนด!D54"")"),3461)</f>
        <v>3461</v>
      </c>
      <c r="K345" s="74">
        <f ca="1">IF(I345&gt;0,J345*100/I345,0)</f>
        <v>326.50943396226415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IFERROR(__xludf.DUMMYFUNCTION("IMPORTRANGE(""https://docs.google.com/spreadsheets/d/1eHaY18a8A9IcSdp1K8H6x8fbOy06t2VsZHhMHf-1x7Y/edit?usp=sharing"",""แผน!EL54"")"),4)</f>
        <v>4</v>
      </c>
      <c r="J347" s="293">
        <f ca="1">IFERROR(__xludf.DUMMYFUNCTION("IMPORTRANGE(""https://docs.google.com/spreadsheets/d/1awYsYK3VOup2i3Pq_Yjnu8DRu_mYwSBnCR2QPthd0rU/edit?usp=sharing"",""ศูนย์รวม!E54"")"),0)</f>
        <v>0</v>
      </c>
      <c r="K347" s="74">
        <f ca="1">IF(I347&gt;0,J347*100/I347,0)</f>
        <v>0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IFERROR(__xludf.DUMMYFUNCTION("IMPORTRANGE(""https://docs.google.com/spreadsheets/d/1awYsYK3VOup2i3Pq_Yjnu8DRu_mYwSBnCR2QPthd0rU/edit?usp=sharing"",""ศูนย์ยกเว้นโฉนด!F54"")"),329)</f>
        <v>329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IFERROR(__xludf.DUMMYFUNCTION("IMPORTRANGE(""https://docs.google.com/spreadsheets/d/1awYsYK3VOup2i3Pq_Yjnu8DRu_mYwSBnCR2QPthd0rU/edit?usp=sharing"",""ศูนย์ยกเว้นโฉนด!G54"")"),1248)</f>
        <v>1248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IFERROR(__xludf.DUMMYFUNCTION("IMPORTRANGE(""https://docs.google.com/spreadsheets/d/1awYsYK3VOup2i3Pq_Yjnu8DRu_mYwSBnCR2QPthd0rU/edit?usp=sharing"",""ศูนย์ยกเว้นโฉนด!H54"")"),0)</f>
        <v>0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1188" t="s">
        <v>35</v>
      </c>
      <c r="I352" s="559">
        <v>0</v>
      </c>
      <c r="J352" s="559">
        <f ca="1">J353+J354</f>
        <v>3084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IFERROR(__xludf.DUMMYFUNCTION("IMPORTRANGE(""https://docs.google.com/spreadsheets/d/1awYsYK3VOup2i3Pq_Yjnu8DRu_mYwSBnCR2QPthd0rU/edit?usp=sharing"",""โฉนดM3!G54"")"),742)</f>
        <v>742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IFERROR(__xludf.DUMMYFUNCTION("IMPORTRANGE(""https://docs.google.com/spreadsheets/d/1awYsYK3VOup2i3Pq_Yjnu8DRu_mYwSBnCR2QPthd0rU/edit?usp=sharing"",""โฉนดM3!H54"")"),2342)</f>
        <v>2342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15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214">
        <f t="shared" ref="L357:N357" ca="1" si="229">L358+L359</f>
        <v>440405</v>
      </c>
      <c r="M357" s="215">
        <f t="shared" ca="1" si="229"/>
        <v>440405</v>
      </c>
      <c r="N357" s="215">
        <f t="shared" ca="1" si="229"/>
        <v>239243.42</v>
      </c>
      <c r="O357" s="215">
        <f t="shared" ref="O357:O365" ca="1" si="230">IF(L357&gt;0,N357*100/L357,0)</f>
        <v>54.323502230901106</v>
      </c>
      <c r="P357" s="215">
        <f t="shared" ref="P357:P365" ca="1" si="231">IF(M357&gt;0,N357*100/M357,0)</f>
        <v>54.323502230901106</v>
      </c>
      <c r="Q357" s="215">
        <f t="shared" ref="Q357:S357" si="232">Q358+Q359</f>
        <v>0</v>
      </c>
      <c r="R357" s="215">
        <f t="shared" si="232"/>
        <v>0</v>
      </c>
      <c r="S357" s="215">
        <f t="shared" si="232"/>
        <v>0</v>
      </c>
      <c r="T357" s="215">
        <f t="shared" ref="T357:T365" si="233">IF(Q357&gt;0,S357*100/Q357,0)</f>
        <v>0</v>
      </c>
      <c r="U357" s="215">
        <f t="shared" ref="U357:U365" si="234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217">
        <f t="shared" ref="L358:N359" si="235">L361+L364</f>
        <v>0</v>
      </c>
      <c r="M358" s="133">
        <f t="shared" si="235"/>
        <v>0</v>
      </c>
      <c r="N358" s="133">
        <f t="shared" si="235"/>
        <v>0</v>
      </c>
      <c r="O358" s="133">
        <f t="shared" si="230"/>
        <v>0</v>
      </c>
      <c r="P358" s="133">
        <f t="shared" si="231"/>
        <v>0</v>
      </c>
      <c r="Q358" s="133">
        <f t="shared" ref="Q358:S359" si="236">Q361+Q364</f>
        <v>0</v>
      </c>
      <c r="R358" s="133">
        <f t="shared" si="236"/>
        <v>0</v>
      </c>
      <c r="S358" s="133">
        <f t="shared" si="236"/>
        <v>0</v>
      </c>
      <c r="T358" s="133">
        <f t="shared" si="233"/>
        <v>0</v>
      </c>
      <c r="U358" s="133">
        <f t="shared" si="234"/>
        <v>0</v>
      </c>
    </row>
    <row r="359" spans="1:21" ht="18.75" hidden="1" x14ac:dyDescent="0.25">
      <c r="A359" s="257"/>
      <c r="B359" s="269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131">
        <f t="shared" ca="1" si="235"/>
        <v>440405</v>
      </c>
      <c r="M359" s="132">
        <f t="shared" ca="1" si="235"/>
        <v>440405</v>
      </c>
      <c r="N359" s="132">
        <f t="shared" ca="1" si="235"/>
        <v>239243.42</v>
      </c>
      <c r="O359" s="132">
        <f t="shared" ca="1" si="230"/>
        <v>54.323502230901106</v>
      </c>
      <c r="P359" s="132">
        <f t="shared" ca="1" si="231"/>
        <v>54.323502230901106</v>
      </c>
      <c r="Q359" s="132">
        <f t="shared" si="236"/>
        <v>0</v>
      </c>
      <c r="R359" s="132">
        <f t="shared" si="236"/>
        <v>0</v>
      </c>
      <c r="S359" s="132">
        <f t="shared" si="236"/>
        <v>0</v>
      </c>
      <c r="T359" s="132">
        <f t="shared" si="233"/>
        <v>0</v>
      </c>
      <c r="U359" s="132">
        <f t="shared" si="234"/>
        <v>0</v>
      </c>
    </row>
    <row r="360" spans="1:21" ht="18.75" x14ac:dyDescent="0.25">
      <c r="A360" s="257"/>
      <c r="B360" s="269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131">
        <f t="shared" ref="L360:N360" ca="1" si="237">L361+L362</f>
        <v>440405</v>
      </c>
      <c r="M360" s="132">
        <f t="shared" ca="1" si="237"/>
        <v>440405</v>
      </c>
      <c r="N360" s="132">
        <f t="shared" ca="1" si="237"/>
        <v>239243.42</v>
      </c>
      <c r="O360" s="132">
        <f t="shared" ca="1" si="230"/>
        <v>54.323502230901106</v>
      </c>
      <c r="P360" s="132">
        <f t="shared" ca="1" si="231"/>
        <v>54.323502230901106</v>
      </c>
      <c r="Q360" s="132">
        <f t="shared" ref="Q360:S360" si="238">Q361+Q362</f>
        <v>0</v>
      </c>
      <c r="R360" s="132">
        <f t="shared" si="238"/>
        <v>0</v>
      </c>
      <c r="S360" s="132">
        <f t="shared" si="238"/>
        <v>0</v>
      </c>
      <c r="T360" s="132">
        <f t="shared" si="233"/>
        <v>0</v>
      </c>
      <c r="U360" s="132">
        <f t="shared" si="234"/>
        <v>0</v>
      </c>
    </row>
    <row r="361" spans="1:21" ht="18.75" hidden="1" x14ac:dyDescent="0.25">
      <c r="A361" s="257"/>
      <c r="B361" s="258"/>
      <c r="C361" s="269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133">
        <f t="shared" si="230"/>
        <v>0</v>
      </c>
      <c r="P361" s="133">
        <f t="shared" si="231"/>
        <v>0</v>
      </c>
      <c r="Q361" s="77">
        <v>0</v>
      </c>
      <c r="R361" s="77">
        <v>0</v>
      </c>
      <c r="S361" s="77">
        <v>0</v>
      </c>
      <c r="T361" s="133">
        <f t="shared" si="233"/>
        <v>0</v>
      </c>
      <c r="U361" s="133">
        <f t="shared" si="234"/>
        <v>0</v>
      </c>
    </row>
    <row r="362" spans="1:21" ht="18.75" hidden="1" x14ac:dyDescent="0.25">
      <c r="A362" s="257"/>
      <c r="B362" s="258"/>
      <c r="C362" s="269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131">
        <f ca="1">IFERROR(__xludf.DUMMYFUNCTION("IMPORTRANGE(""https://docs.google.com/spreadsheets/d/1-uDff_7J0KD5mKrp0Vvzr7lt3OU09vwQwhkpOPPYv2Y/edit?usp=sharing"",""งบพรบ!FC54"")"),440405)</f>
        <v>440405</v>
      </c>
      <c r="M362" s="132">
        <f ca="1">IFERROR(__xludf.DUMMYFUNCTION("IMPORTRANGE(""https://docs.google.com/spreadsheets/d/1-uDff_7J0KD5mKrp0Vvzr7lt3OU09vwQwhkpOPPYv2Y/edit?usp=sharing"",""งบพรบ!FH54"")"),440405)</f>
        <v>440405</v>
      </c>
      <c r="N362" s="132">
        <f ca="1">IFERROR(__xludf.DUMMYFUNCTION("IMPORTRANGE(""https://docs.google.com/spreadsheets/d/1-uDff_7J0KD5mKrp0Vvzr7lt3OU09vwQwhkpOPPYv2Y/edit?usp=sharing"",""งบพรบ!FJ54"")"),239243.42)</f>
        <v>239243.42</v>
      </c>
      <c r="O362" s="132">
        <f t="shared" ca="1" si="230"/>
        <v>54.323502230901106</v>
      </c>
      <c r="P362" s="132">
        <f t="shared" ca="1" si="231"/>
        <v>54.323502230901106</v>
      </c>
      <c r="Q362" s="74">
        <v>0</v>
      </c>
      <c r="R362" s="74">
        <v>0</v>
      </c>
      <c r="S362" s="74">
        <v>0</v>
      </c>
      <c r="T362" s="132">
        <f t="shared" si="233"/>
        <v>0</v>
      </c>
      <c r="U362" s="132">
        <f t="shared" si="234"/>
        <v>0</v>
      </c>
    </row>
    <row r="363" spans="1:21" ht="18.75" x14ac:dyDescent="0.25">
      <c r="A363" s="257"/>
      <c r="B363" s="258"/>
      <c r="C363" s="269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131">
        <f t="shared" ref="L363:N363" ca="1" si="239">L364+L365</f>
        <v>0</v>
      </c>
      <c r="M363" s="132">
        <f t="shared" ca="1" si="239"/>
        <v>0</v>
      </c>
      <c r="N363" s="132">
        <f t="shared" ca="1" si="239"/>
        <v>0</v>
      </c>
      <c r="O363" s="132">
        <f t="shared" ca="1" si="230"/>
        <v>0</v>
      </c>
      <c r="P363" s="132">
        <f t="shared" ca="1" si="231"/>
        <v>0</v>
      </c>
      <c r="Q363" s="132">
        <f t="shared" ref="Q363:S363" si="240">Q364+Q365</f>
        <v>0</v>
      </c>
      <c r="R363" s="132">
        <f t="shared" si="240"/>
        <v>0</v>
      </c>
      <c r="S363" s="132">
        <f t="shared" si="240"/>
        <v>0</v>
      </c>
      <c r="T363" s="132">
        <f t="shared" si="233"/>
        <v>0</v>
      </c>
      <c r="U363" s="132">
        <f t="shared" si="234"/>
        <v>0</v>
      </c>
    </row>
    <row r="364" spans="1:21" ht="18.75" hidden="1" x14ac:dyDescent="0.25">
      <c r="A364" s="257"/>
      <c r="B364" s="258"/>
      <c r="C364" s="269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133">
        <f t="shared" si="230"/>
        <v>0</v>
      </c>
      <c r="P364" s="133">
        <f t="shared" si="231"/>
        <v>0</v>
      </c>
      <c r="Q364" s="77">
        <v>0</v>
      </c>
      <c r="R364" s="77">
        <v>0</v>
      </c>
      <c r="S364" s="77">
        <v>0</v>
      </c>
      <c r="T364" s="133">
        <f t="shared" si="233"/>
        <v>0</v>
      </c>
      <c r="U364" s="133">
        <f t="shared" si="234"/>
        <v>0</v>
      </c>
    </row>
    <row r="365" spans="1:21" ht="18.75" hidden="1" x14ac:dyDescent="0.25">
      <c r="A365" s="257"/>
      <c r="B365" s="258"/>
      <c r="C365" s="269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131">
        <f ca="1">IFERROR(__xludf.DUMMYFUNCTION("IMPORTRANGE(""https://docs.google.com/spreadsheets/d/1-uDff_7J0KD5mKrp0Vvzr7lt3OU09vwQwhkpOPPYv2Y/edit?usp=sharing"",""งบพรบ!FF54"")"),0)</f>
        <v>0</v>
      </c>
      <c r="M365" s="132">
        <f ca="1">IFERROR(__xludf.DUMMYFUNCTION("IMPORTRANGE(""https://docs.google.com/spreadsheets/d/1-uDff_7J0KD5mKrp0Vvzr7lt3OU09vwQwhkpOPPYv2Y/edit?usp=sharing"",""งบพรบ!FI54"")"),0)</f>
        <v>0</v>
      </c>
      <c r="N365" s="132">
        <f ca="1">IFERROR(__xludf.DUMMYFUNCTION("IMPORTRANGE(""https://docs.google.com/spreadsheets/d/1-uDff_7J0KD5mKrp0Vvzr7lt3OU09vwQwhkpOPPYv2Y/edit?usp=sharing"",""งบพรบ!FK54"")"),0)</f>
        <v>0</v>
      </c>
      <c r="O365" s="132">
        <f t="shared" ca="1" si="230"/>
        <v>0</v>
      </c>
      <c r="P365" s="132">
        <f t="shared" ca="1" si="231"/>
        <v>0</v>
      </c>
      <c r="Q365" s="74">
        <v>0</v>
      </c>
      <c r="R365" s="74">
        <v>0</v>
      </c>
      <c r="S365" s="74">
        <v>0</v>
      </c>
      <c r="T365" s="132">
        <f t="shared" si="233"/>
        <v>0</v>
      </c>
      <c r="U365" s="132">
        <f t="shared" si="234"/>
        <v>0</v>
      </c>
    </row>
    <row r="366" spans="1:21" ht="19.5" x14ac:dyDescent="0.3">
      <c r="A366" s="553"/>
      <c r="B366" s="555"/>
      <c r="C366" s="555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1">I372</f>
        <v>79</v>
      </c>
      <c r="J366" s="559">
        <f t="shared" ca="1" si="241"/>
        <v>23</v>
      </c>
      <c r="K366" s="560">
        <f ca="1">IF(I366&gt;0,J366*100/I366,0)</f>
        <v>29.11392405063291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621" t="s">
        <v>18</v>
      </c>
      <c r="D367" s="968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77"/>
      <c r="C368" s="277"/>
      <c r="D368" s="296"/>
      <c r="E368" s="1103" t="s">
        <v>150</v>
      </c>
      <c r="F368" s="277"/>
      <c r="G368" s="310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IFERROR(__xludf.DUMMYFUNCTION("IMPORTRANGE(""https://docs.google.com/spreadsheets/d/1tdoBKaGub7dwA3U6UFTqxio9LNnvDCQjHKmttSEBsFQ/edit?usp=sharing"",""จัดที่ดิน!AB54"")"),80)</f>
        <v>80</v>
      </c>
      <c r="K368" s="74">
        <f t="shared" ref="K368:K373" si="242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IFERROR(__xludf.DUMMYFUNCTION("IMPORTRANGE(""https://docs.google.com/spreadsheets/d/1eHaY18a8A9IcSdp1K8H6x8fbOy06t2VsZHhMHf-1x7Y/edit?usp=sharing"",""แผน!EW54"")"),730)</f>
        <v>730</v>
      </c>
      <c r="J369" s="1190">
        <f ca="1">IFERROR(__xludf.DUMMYFUNCTION("IMPORTRANGE(""https://docs.google.com/spreadsheets/d/1tdoBKaGub7dwA3U6UFTqxio9LNnvDCQjHKmttSEBsFQ/edit?usp=sharing"",""จัดที่ดิน!AC54"")"),797.75)</f>
        <v>797.75</v>
      </c>
      <c r="K369" s="74">
        <f t="shared" ca="1" si="242"/>
        <v>109.28082191780823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75" t="s">
        <v>35</v>
      </c>
      <c r="I370" s="293">
        <f ca="1">IFERROR(__xludf.DUMMYFUNCTION("IMPORTRANGE(""https://docs.google.com/spreadsheets/d/1eHaY18a8A9IcSdp1K8H6x8fbOy06t2VsZHhMHf-1x7Y/edit?usp=sharing"",""แผน!EX54"")"),119)</f>
        <v>119</v>
      </c>
      <c r="J370" s="293">
        <f ca="1">IFERROR(__xludf.DUMMYFUNCTION("IMPORTRANGE(""https://docs.google.com/spreadsheets/d/1tdoBKaGub7dwA3U6UFTqxio9LNnvDCQjHKmttSEBsFQ/edit?usp=sharing"",""จัดที่ดิน!AD54"")"),44)</f>
        <v>44</v>
      </c>
      <c r="K370" s="74">
        <f t="shared" ca="1" si="242"/>
        <v>36.974789915966383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75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IFERROR(__xludf.DUMMYFUNCTION("IMPORTRANGE(""https://docs.google.com/spreadsheets/d/1tdoBKaGub7dwA3U6UFTqxio9LNnvDCQjHKmttSEBsFQ/edit?usp=sharing"",""จัดที่ดิน!AE54"")"),573.45)</f>
        <v>573.45000000000005</v>
      </c>
      <c r="K371" s="74">
        <f t="shared" si="242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75" t="s">
        <v>35</v>
      </c>
      <c r="I372" s="293">
        <f ca="1">IFERROR(__xludf.DUMMYFUNCTION("IMPORTRANGE(""https://docs.google.com/spreadsheets/d/1eHaY18a8A9IcSdp1K8H6x8fbOy06t2VsZHhMHf-1x7Y/edit?usp=sharing"",""แผน!EY54"")"),79)</f>
        <v>79</v>
      </c>
      <c r="J372" s="293">
        <f ca="1">IFERROR(__xludf.DUMMYFUNCTION("IMPORTRANGE(""https://docs.google.com/spreadsheets/d/1tdoBKaGub7dwA3U6UFTqxio9LNnvDCQjHKmttSEBsFQ/edit?usp=sharing"",""จัดที่ดิน!AF54"")"),23)</f>
        <v>23</v>
      </c>
      <c r="K372" s="74">
        <f t="shared" ca="1" si="242"/>
        <v>29.11392405063291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75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IFERROR(__xludf.DUMMYFUNCTION("IMPORTRANGE(""https://docs.google.com/spreadsheets/d/1tdoBKaGub7dwA3U6UFTqxio9LNnvDCQjHKmttSEBsFQ/edit?usp=sharing"",""จัดที่ดิน!AG54"")"),322.46)</f>
        <v>322.45999999999998</v>
      </c>
      <c r="K373" s="74">
        <f t="shared" si="242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29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965">
        <f t="shared" ref="I375:J375" ca="1" si="243">I387+I389</f>
        <v>1000</v>
      </c>
      <c r="J375" s="965">
        <f t="shared" ca="1" si="243"/>
        <v>0</v>
      </c>
      <c r="K375" s="1192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214">
        <f t="shared" ref="L376:N376" si="244">L377+L378</f>
        <v>0</v>
      </c>
      <c r="M376" s="215">
        <f t="shared" si="244"/>
        <v>0</v>
      </c>
      <c r="N376" s="215">
        <f t="shared" si="244"/>
        <v>0</v>
      </c>
      <c r="O376" s="215">
        <f t="shared" ref="O376:O384" si="245">IF(L376&gt;0,N376*100/L376,0)</f>
        <v>0</v>
      </c>
      <c r="P376" s="215">
        <f t="shared" ref="P376:P384" si="246">IF(M376&gt;0,N376*100/M376,0)</f>
        <v>0</v>
      </c>
      <c r="Q376" s="215">
        <f t="shared" ref="Q376:S376" ca="1" si="247">Q377+Q378</f>
        <v>62500</v>
      </c>
      <c r="R376" s="215">
        <f t="shared" ca="1" si="247"/>
        <v>0</v>
      </c>
      <c r="S376" s="215">
        <f t="shared" ca="1" si="247"/>
        <v>0</v>
      </c>
      <c r="T376" s="215">
        <f t="shared" ref="T376:T384" ca="1" si="248">IF(Q376&gt;0,S376*100/Q376,0)</f>
        <v>0</v>
      </c>
      <c r="U376" s="215">
        <f t="shared" ref="U376:U384" ca="1" si="249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217">
        <f t="shared" ref="L377:N378" si="250">L380+L383</f>
        <v>0</v>
      </c>
      <c r="M377" s="133">
        <f t="shared" si="250"/>
        <v>0</v>
      </c>
      <c r="N377" s="133">
        <f t="shared" si="250"/>
        <v>0</v>
      </c>
      <c r="O377" s="133">
        <f t="shared" si="245"/>
        <v>0</v>
      </c>
      <c r="P377" s="133">
        <f t="shared" si="246"/>
        <v>0</v>
      </c>
      <c r="Q377" s="133">
        <f t="shared" ref="Q377:S378" si="251">Q380+Q383</f>
        <v>0</v>
      </c>
      <c r="R377" s="133">
        <f t="shared" si="251"/>
        <v>0</v>
      </c>
      <c r="S377" s="133">
        <f t="shared" si="251"/>
        <v>0</v>
      </c>
      <c r="T377" s="133">
        <f t="shared" si="248"/>
        <v>0</v>
      </c>
      <c r="U377" s="133">
        <f t="shared" si="249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131">
        <f t="shared" si="250"/>
        <v>0</v>
      </c>
      <c r="M378" s="132">
        <f t="shared" si="250"/>
        <v>0</v>
      </c>
      <c r="N378" s="132">
        <f t="shared" si="250"/>
        <v>0</v>
      </c>
      <c r="O378" s="132">
        <f t="shared" si="245"/>
        <v>0</v>
      </c>
      <c r="P378" s="132">
        <f t="shared" si="246"/>
        <v>0</v>
      </c>
      <c r="Q378" s="132">
        <f t="shared" ca="1" si="251"/>
        <v>62500</v>
      </c>
      <c r="R378" s="132">
        <f t="shared" ca="1" si="251"/>
        <v>0</v>
      </c>
      <c r="S378" s="132">
        <f t="shared" ca="1" si="251"/>
        <v>0</v>
      </c>
      <c r="T378" s="132">
        <f t="shared" ca="1" si="248"/>
        <v>0</v>
      </c>
      <c r="U378" s="132">
        <f t="shared" ca="1" si="249"/>
        <v>0</v>
      </c>
    </row>
    <row r="379" spans="1:21" ht="18.75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131">
        <f t="shared" ref="L379:N379" si="252">L380+L381</f>
        <v>0</v>
      </c>
      <c r="M379" s="132">
        <f t="shared" si="252"/>
        <v>0</v>
      </c>
      <c r="N379" s="132">
        <f t="shared" si="252"/>
        <v>0</v>
      </c>
      <c r="O379" s="132">
        <f t="shared" si="245"/>
        <v>0</v>
      </c>
      <c r="P379" s="132">
        <f t="shared" si="246"/>
        <v>0</v>
      </c>
      <c r="Q379" s="132">
        <f t="shared" ref="Q379:S379" ca="1" si="253">Q380+Q381</f>
        <v>62500</v>
      </c>
      <c r="R379" s="132">
        <f t="shared" ca="1" si="253"/>
        <v>0</v>
      </c>
      <c r="S379" s="132">
        <f t="shared" ca="1" si="253"/>
        <v>0</v>
      </c>
      <c r="T379" s="132">
        <f t="shared" ca="1" si="248"/>
        <v>0</v>
      </c>
      <c r="U379" s="132">
        <f t="shared" ca="1" si="249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133">
        <f t="shared" si="245"/>
        <v>0</v>
      </c>
      <c r="P380" s="133">
        <f t="shared" si="246"/>
        <v>0</v>
      </c>
      <c r="Q380" s="77">
        <v>0</v>
      </c>
      <c r="R380" s="77">
        <v>0</v>
      </c>
      <c r="S380" s="77">
        <v>0</v>
      </c>
      <c r="T380" s="133">
        <f t="shared" si="248"/>
        <v>0</v>
      </c>
      <c r="U380" s="133">
        <f t="shared" si="249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132">
        <f t="shared" si="245"/>
        <v>0</v>
      </c>
      <c r="P381" s="132">
        <f t="shared" si="246"/>
        <v>0</v>
      </c>
      <c r="Q381" s="132">
        <f ca="1">IFERROR(__xludf.DUMMYFUNCTION("IMPORTRANGE(""https://docs.google.com/spreadsheets/d/1ItG2mGa2ceCfYo0BwxsXqNm01IGEUdYcSSLTEv9YCik/edit?usp=sharing"",""เบิกจ่ายกองทุน!AY54"")"),62500)</f>
        <v>62500</v>
      </c>
      <c r="R381" s="132">
        <f ca="1">IFERROR(__xludf.DUMMYFUNCTION("IMPORTRANGE(""https://docs.google.com/spreadsheets/d/1ItG2mGa2ceCfYo0BwxsXqNm01IGEUdYcSSLTEv9YCik/edit?usp=sharing"",""เบิกจ่ายกองทุน!AZ54"")"),0)</f>
        <v>0</v>
      </c>
      <c r="S381" s="132">
        <f ca="1">IFERROR(__xludf.DUMMYFUNCTION("IMPORTRANGE(""https://docs.google.com/spreadsheets/d/1ItG2mGa2ceCfYo0BwxsXqNm01IGEUdYcSSLTEv9YCik/edit?usp=sharing"",""เบิกจ่ายกองทุน!BA54"")"),0)</f>
        <v>0</v>
      </c>
      <c r="T381" s="132">
        <f t="shared" ca="1" si="248"/>
        <v>0</v>
      </c>
      <c r="U381" s="132">
        <f t="shared" ca="1" si="249"/>
        <v>0</v>
      </c>
    </row>
    <row r="382" spans="1:21" ht="18.75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131">
        <f t="shared" ref="L382:N382" si="254">L383+L384</f>
        <v>0</v>
      </c>
      <c r="M382" s="132">
        <f t="shared" si="254"/>
        <v>0</v>
      </c>
      <c r="N382" s="132">
        <f t="shared" si="254"/>
        <v>0</v>
      </c>
      <c r="O382" s="132">
        <f t="shared" si="245"/>
        <v>0</v>
      </c>
      <c r="P382" s="132">
        <f t="shared" si="246"/>
        <v>0</v>
      </c>
      <c r="Q382" s="132">
        <f t="shared" ref="Q382:S382" si="255">Q383+Q384</f>
        <v>0</v>
      </c>
      <c r="R382" s="132">
        <f t="shared" si="255"/>
        <v>0</v>
      </c>
      <c r="S382" s="132">
        <f t="shared" si="255"/>
        <v>0</v>
      </c>
      <c r="T382" s="132">
        <f t="shared" si="248"/>
        <v>0</v>
      </c>
      <c r="U382" s="132">
        <f t="shared" si="249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133">
        <f t="shared" si="245"/>
        <v>0</v>
      </c>
      <c r="P383" s="133">
        <f t="shared" si="246"/>
        <v>0</v>
      </c>
      <c r="Q383" s="77">
        <v>0</v>
      </c>
      <c r="R383" s="77">
        <v>0</v>
      </c>
      <c r="S383" s="77">
        <v>0</v>
      </c>
      <c r="T383" s="133">
        <f t="shared" si="248"/>
        <v>0</v>
      </c>
      <c r="U383" s="133">
        <f t="shared" si="249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132">
        <f t="shared" si="245"/>
        <v>0</v>
      </c>
      <c r="P384" s="132">
        <f t="shared" si="246"/>
        <v>0</v>
      </c>
      <c r="Q384" s="74">
        <v>0</v>
      </c>
      <c r="R384" s="74">
        <v>0</v>
      </c>
      <c r="S384" s="74">
        <v>0</v>
      </c>
      <c r="T384" s="132">
        <f t="shared" si="248"/>
        <v>0</v>
      </c>
      <c r="U384" s="132">
        <f t="shared" si="249"/>
        <v>0</v>
      </c>
    </row>
    <row r="385" spans="1:21" ht="19.5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x14ac:dyDescent="0.25">
      <c r="A386" s="377"/>
      <c r="B386" s="381"/>
      <c r="C386" s="381"/>
      <c r="D386" s="381"/>
      <c r="E386" s="1193" t="s">
        <v>154</v>
      </c>
      <c r="F386" s="67"/>
      <c r="G386" s="69"/>
      <c r="H386" s="216" t="s">
        <v>34</v>
      </c>
      <c r="I386" s="1194">
        <v>0</v>
      </c>
      <c r="J386" s="329">
        <f ca="1">IFERROR(__xludf.DUMMYFUNCTION("IMPORTRANGE(""https://docs.google.com/spreadsheets/d/1w5rwWK1o49a35cNtocGL0gxDwhFSTZUQu90BiH9_zqM/edit?usp=sharing"",""RTK!H54"")"),0)</f>
        <v>0</v>
      </c>
      <c r="K386" s="85">
        <f t="shared" ref="K386:K389" si="256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x14ac:dyDescent="0.25">
      <c r="A387" s="381"/>
      <c r="B387" s="381"/>
      <c r="C387" s="381"/>
      <c r="D387" s="381"/>
      <c r="E387" s="381"/>
      <c r="F387" s="381"/>
      <c r="G387" s="1033"/>
      <c r="H387" s="216" t="s">
        <v>46</v>
      </c>
      <c r="I387" s="1195">
        <f ca="1">IFERROR(__xludf.DUMMYFUNCTION("IMPORTRANGE(""https://docs.google.com/spreadsheets/d/1w5rwWK1o49a35cNtocGL0gxDwhFSTZUQu90BiH9_zqM/edit?usp=sharing"",""RTK!G54"")"),1000)</f>
        <v>1000</v>
      </c>
      <c r="J387" s="321">
        <f ca="1">IFERROR(__xludf.DUMMYFUNCTION("IMPORTRANGE(""https://docs.google.com/spreadsheets/d/1w5rwWK1o49a35cNtocGL0gxDwhFSTZUQu90BiH9_zqM/edit?usp=sharing"",""RTK!I54"")"),0)</f>
        <v>0</v>
      </c>
      <c r="K387" s="399">
        <f t="shared" ca="1" si="256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x14ac:dyDescent="0.25">
      <c r="A388" s="381"/>
      <c r="B388" s="381"/>
      <c r="C388" s="381"/>
      <c r="D388" s="381"/>
      <c r="E388" s="1193" t="s">
        <v>155</v>
      </c>
      <c r="F388" s="381"/>
      <c r="G388" s="1033"/>
      <c r="H388" s="216" t="s">
        <v>34</v>
      </c>
      <c r="I388" s="1195">
        <v>0</v>
      </c>
      <c r="J388" s="321">
        <f ca="1">IFERROR(__xludf.DUMMYFUNCTION("IMPORTRANGE(""https://docs.google.com/spreadsheets/d/1w5rwWK1o49a35cNtocGL0gxDwhFSTZUQu90BiH9_zqM/edit?usp=sharing"",""RTK!L54"")"),0)</f>
        <v>0</v>
      </c>
      <c r="K388" s="399">
        <f t="shared" si="256"/>
        <v>0</v>
      </c>
      <c r="L388" s="540"/>
      <c r="M388" s="72"/>
      <c r="N388" s="72"/>
      <c r="O388" s="72"/>
      <c r="P388" s="72"/>
      <c r="Q388" s="72"/>
      <c r="R388" s="72"/>
      <c r="S388" s="72"/>
      <c r="T388" s="72"/>
      <c r="U388" s="72"/>
    </row>
    <row r="389" spans="1:21" ht="18.75" x14ac:dyDescent="0.25">
      <c r="A389" s="381"/>
      <c r="B389" s="381"/>
      <c r="C389" s="381"/>
      <c r="D389" s="381"/>
      <c r="E389" s="381"/>
      <c r="F389" s="381"/>
      <c r="G389" s="1033"/>
      <c r="H389" s="216" t="s">
        <v>46</v>
      </c>
      <c r="I389" s="1195">
        <f ca="1">IFERROR(__xludf.DUMMYFUNCTION("IMPORTRANGE(""https://docs.google.com/spreadsheets/d/1w5rwWK1o49a35cNtocGL0gxDwhFSTZUQu90BiH9_zqM/edit?usp=sharing"",""RTK!K54"")"),0)</f>
        <v>0</v>
      </c>
      <c r="J389" s="321">
        <f ca="1">IFERROR(__xludf.DUMMYFUNCTION("IMPORTRANGE(""https://docs.google.com/spreadsheets/d/1w5rwWK1o49a35cNtocGL0gxDwhFSTZUQu90BiH9_zqM/edit?usp=sharing"",""RTK!M54"")"),0)</f>
        <v>0</v>
      </c>
      <c r="K389" s="399">
        <f t="shared" ca="1" si="256"/>
        <v>0</v>
      </c>
      <c r="L389" s="540"/>
      <c r="M389" s="72"/>
      <c r="N389" s="72"/>
      <c r="O389" s="72"/>
      <c r="P389" s="72"/>
      <c r="Q389" s="72"/>
      <c r="R389" s="72"/>
      <c r="S389" s="72"/>
      <c r="T389" s="72"/>
      <c r="U389" s="72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304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7">I403</f>
        <v>0</v>
      </c>
      <c r="J392" s="1189">
        <f t="shared" si="257"/>
        <v>0</v>
      </c>
      <c r="K392" s="1196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214">
        <f t="shared" ref="L393:N393" si="258">L394+L395</f>
        <v>0</v>
      </c>
      <c r="M393" s="215">
        <f t="shared" si="258"/>
        <v>0</v>
      </c>
      <c r="N393" s="215">
        <f t="shared" si="258"/>
        <v>0</v>
      </c>
      <c r="O393" s="215">
        <f t="shared" ref="O393:O401" si="259">IF(L393&gt;0,N393*100/L393,0)</f>
        <v>0</v>
      </c>
      <c r="P393" s="215">
        <f t="shared" ref="P393:P401" si="260">IF(M393&gt;0,N393*100/M393,0)</f>
        <v>0</v>
      </c>
      <c r="Q393" s="215">
        <f t="shared" ref="Q393:S393" si="261">Q394+Q395</f>
        <v>0</v>
      </c>
      <c r="R393" s="215">
        <f t="shared" si="261"/>
        <v>0</v>
      </c>
      <c r="S393" s="215">
        <f t="shared" si="261"/>
        <v>0</v>
      </c>
      <c r="T393" s="215">
        <f t="shared" ref="T393:T401" si="262">IF(Q393&gt;0,S393*100/Q393,0)</f>
        <v>0</v>
      </c>
      <c r="U393" s="215">
        <f t="shared" ref="U393:U401" si="263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217">
        <f t="shared" ref="L394:N395" si="264">L397+L400</f>
        <v>0</v>
      </c>
      <c r="M394" s="133">
        <f t="shared" si="264"/>
        <v>0</v>
      </c>
      <c r="N394" s="133">
        <f t="shared" si="264"/>
        <v>0</v>
      </c>
      <c r="O394" s="133">
        <f t="shared" si="259"/>
        <v>0</v>
      </c>
      <c r="P394" s="133">
        <f t="shared" si="260"/>
        <v>0</v>
      </c>
      <c r="Q394" s="133">
        <f t="shared" ref="Q394:S395" si="265">Q397+Q400</f>
        <v>0</v>
      </c>
      <c r="R394" s="133">
        <f t="shared" si="265"/>
        <v>0</v>
      </c>
      <c r="S394" s="133">
        <f t="shared" si="265"/>
        <v>0</v>
      </c>
      <c r="T394" s="133">
        <f t="shared" si="262"/>
        <v>0</v>
      </c>
      <c r="U394" s="133">
        <f t="shared" si="263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131">
        <f t="shared" si="264"/>
        <v>0</v>
      </c>
      <c r="M395" s="132">
        <f t="shared" si="264"/>
        <v>0</v>
      </c>
      <c r="N395" s="132">
        <f t="shared" si="264"/>
        <v>0</v>
      </c>
      <c r="O395" s="132">
        <f t="shared" si="259"/>
        <v>0</v>
      </c>
      <c r="P395" s="132">
        <f t="shared" si="260"/>
        <v>0</v>
      </c>
      <c r="Q395" s="132">
        <f t="shared" si="265"/>
        <v>0</v>
      </c>
      <c r="R395" s="132">
        <f t="shared" si="265"/>
        <v>0</v>
      </c>
      <c r="S395" s="132">
        <f t="shared" si="265"/>
        <v>0</v>
      </c>
      <c r="T395" s="132">
        <f t="shared" si="262"/>
        <v>0</v>
      </c>
      <c r="U395" s="132">
        <f t="shared" si="263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131">
        <f t="shared" ref="L396:N396" si="266">L397+L398</f>
        <v>0</v>
      </c>
      <c r="M396" s="132">
        <f t="shared" si="266"/>
        <v>0</v>
      </c>
      <c r="N396" s="132">
        <f t="shared" si="266"/>
        <v>0</v>
      </c>
      <c r="O396" s="132">
        <f t="shared" si="259"/>
        <v>0</v>
      </c>
      <c r="P396" s="132">
        <f t="shared" si="260"/>
        <v>0</v>
      </c>
      <c r="Q396" s="132">
        <f t="shared" ref="Q396:S396" si="267">Q397+Q398</f>
        <v>0</v>
      </c>
      <c r="R396" s="132">
        <f t="shared" si="267"/>
        <v>0</v>
      </c>
      <c r="S396" s="132">
        <f t="shared" si="267"/>
        <v>0</v>
      </c>
      <c r="T396" s="132">
        <f t="shared" si="262"/>
        <v>0</v>
      </c>
      <c r="U396" s="132">
        <f t="shared" si="263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133">
        <f t="shared" si="259"/>
        <v>0</v>
      </c>
      <c r="P397" s="133">
        <f t="shared" si="260"/>
        <v>0</v>
      </c>
      <c r="Q397" s="77">
        <v>0</v>
      </c>
      <c r="R397" s="77">
        <v>0</v>
      </c>
      <c r="S397" s="77">
        <v>0</v>
      </c>
      <c r="T397" s="133">
        <f t="shared" si="262"/>
        <v>0</v>
      </c>
      <c r="U397" s="133">
        <f t="shared" si="263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132">
        <f t="shared" si="259"/>
        <v>0</v>
      </c>
      <c r="P398" s="132">
        <f t="shared" si="260"/>
        <v>0</v>
      </c>
      <c r="Q398" s="74">
        <v>0</v>
      </c>
      <c r="R398" s="74">
        <v>0</v>
      </c>
      <c r="S398" s="74">
        <v>0</v>
      </c>
      <c r="T398" s="132">
        <f t="shared" si="262"/>
        <v>0</v>
      </c>
      <c r="U398" s="132">
        <f t="shared" si="263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131">
        <f t="shared" ref="L399:N399" si="268">L400+L401</f>
        <v>0</v>
      </c>
      <c r="M399" s="132">
        <f t="shared" si="268"/>
        <v>0</v>
      </c>
      <c r="N399" s="132">
        <f t="shared" si="268"/>
        <v>0</v>
      </c>
      <c r="O399" s="132">
        <f t="shared" si="259"/>
        <v>0</v>
      </c>
      <c r="P399" s="132">
        <f t="shared" si="260"/>
        <v>0</v>
      </c>
      <c r="Q399" s="132">
        <f t="shared" ref="Q399:S399" si="269">Q400+Q401</f>
        <v>0</v>
      </c>
      <c r="R399" s="132">
        <f t="shared" si="269"/>
        <v>0</v>
      </c>
      <c r="S399" s="132">
        <f t="shared" si="269"/>
        <v>0</v>
      </c>
      <c r="T399" s="132">
        <f t="shared" si="262"/>
        <v>0</v>
      </c>
      <c r="U399" s="132">
        <f t="shared" si="263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133">
        <f t="shared" si="259"/>
        <v>0</v>
      </c>
      <c r="P400" s="133">
        <f t="shared" si="260"/>
        <v>0</v>
      </c>
      <c r="Q400" s="77">
        <v>0</v>
      </c>
      <c r="R400" s="77">
        <v>0</v>
      </c>
      <c r="S400" s="77">
        <v>0</v>
      </c>
      <c r="T400" s="133">
        <f t="shared" si="262"/>
        <v>0</v>
      </c>
      <c r="U400" s="133">
        <f t="shared" si="263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132">
        <f t="shared" si="259"/>
        <v>0</v>
      </c>
      <c r="P401" s="132">
        <f t="shared" si="260"/>
        <v>0</v>
      </c>
      <c r="Q401" s="74">
        <v>0</v>
      </c>
      <c r="R401" s="74">
        <v>0</v>
      </c>
      <c r="S401" s="74">
        <v>0</v>
      </c>
      <c r="T401" s="132">
        <f t="shared" si="262"/>
        <v>0</v>
      </c>
      <c r="U401" s="132">
        <f t="shared" si="263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305</v>
      </c>
      <c r="C413" s="606"/>
      <c r="D413" s="606"/>
      <c r="E413" s="606"/>
      <c r="F413" s="606"/>
      <c r="G413" s="615"/>
      <c r="H413" s="616" t="s">
        <v>46</v>
      </c>
      <c r="I413" s="610">
        <f t="shared" ref="I413:J413" ca="1" si="270">I424</f>
        <v>0</v>
      </c>
      <c r="J413" s="610">
        <f t="shared" si="270"/>
        <v>0</v>
      </c>
      <c r="K413" s="1196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214">
        <f t="shared" ref="L414:N414" si="271">L415+L416</f>
        <v>0</v>
      </c>
      <c r="M414" s="215">
        <f t="shared" si="271"/>
        <v>0</v>
      </c>
      <c r="N414" s="215">
        <f t="shared" si="271"/>
        <v>0</v>
      </c>
      <c r="O414" s="215">
        <f t="shared" ref="O414:O422" si="272">IF(L414&gt;0,N414*100/L414,0)</f>
        <v>0</v>
      </c>
      <c r="P414" s="215">
        <f t="shared" ref="P414:P422" si="273">IF(M414&gt;0,N414*100/M414,0)</f>
        <v>0</v>
      </c>
      <c r="Q414" s="215">
        <f t="shared" ref="Q414:S414" ca="1" si="274">Q415+Q416</f>
        <v>0</v>
      </c>
      <c r="R414" s="215">
        <f t="shared" ca="1" si="274"/>
        <v>0</v>
      </c>
      <c r="S414" s="215">
        <f t="shared" ca="1" si="274"/>
        <v>0</v>
      </c>
      <c r="T414" s="215">
        <f t="shared" ref="T414:T422" ca="1" si="275">IF(Q414&gt;0,S414*100/Q414,0)</f>
        <v>0</v>
      </c>
      <c r="U414" s="215">
        <f t="shared" ref="U414:U422" ca="1" si="276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217">
        <f t="shared" ref="L415:N416" si="277">L418+L421</f>
        <v>0</v>
      </c>
      <c r="M415" s="133">
        <f t="shared" si="277"/>
        <v>0</v>
      </c>
      <c r="N415" s="133">
        <f t="shared" si="277"/>
        <v>0</v>
      </c>
      <c r="O415" s="133">
        <f t="shared" si="272"/>
        <v>0</v>
      </c>
      <c r="P415" s="133">
        <f t="shared" si="273"/>
        <v>0</v>
      </c>
      <c r="Q415" s="133">
        <f t="shared" ref="Q415:S416" si="278">Q418+Q421</f>
        <v>0</v>
      </c>
      <c r="R415" s="133">
        <f t="shared" si="278"/>
        <v>0</v>
      </c>
      <c r="S415" s="133">
        <f t="shared" si="278"/>
        <v>0</v>
      </c>
      <c r="T415" s="133">
        <f t="shared" si="275"/>
        <v>0</v>
      </c>
      <c r="U415" s="133">
        <f t="shared" si="276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131">
        <f t="shared" si="277"/>
        <v>0</v>
      </c>
      <c r="M416" s="132">
        <f t="shared" si="277"/>
        <v>0</v>
      </c>
      <c r="N416" s="132">
        <f t="shared" si="277"/>
        <v>0</v>
      </c>
      <c r="O416" s="132">
        <f t="shared" si="272"/>
        <v>0</v>
      </c>
      <c r="P416" s="132">
        <f t="shared" si="273"/>
        <v>0</v>
      </c>
      <c r="Q416" s="132">
        <f t="shared" ca="1" si="278"/>
        <v>0</v>
      </c>
      <c r="R416" s="132">
        <f t="shared" ca="1" si="278"/>
        <v>0</v>
      </c>
      <c r="S416" s="132">
        <f t="shared" ca="1" si="278"/>
        <v>0</v>
      </c>
      <c r="T416" s="132">
        <f t="shared" ca="1" si="275"/>
        <v>0</v>
      </c>
      <c r="U416" s="132">
        <f t="shared" ca="1" si="276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131">
        <f t="shared" ref="L417:N417" si="279">L418+L419</f>
        <v>0</v>
      </c>
      <c r="M417" s="132">
        <f t="shared" si="279"/>
        <v>0</v>
      </c>
      <c r="N417" s="132">
        <f t="shared" si="279"/>
        <v>0</v>
      </c>
      <c r="O417" s="132">
        <f t="shared" si="272"/>
        <v>0</v>
      </c>
      <c r="P417" s="132">
        <f t="shared" si="273"/>
        <v>0</v>
      </c>
      <c r="Q417" s="132">
        <f t="shared" ref="Q417:S417" ca="1" si="280">Q418+Q419</f>
        <v>0</v>
      </c>
      <c r="R417" s="132">
        <f t="shared" ca="1" si="280"/>
        <v>0</v>
      </c>
      <c r="S417" s="132">
        <f t="shared" ca="1" si="280"/>
        <v>0</v>
      </c>
      <c r="T417" s="132">
        <f t="shared" ca="1" si="275"/>
        <v>0</v>
      </c>
      <c r="U417" s="132">
        <f t="shared" ca="1" si="276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133">
        <f t="shared" si="272"/>
        <v>0</v>
      </c>
      <c r="P418" s="133">
        <f t="shared" si="273"/>
        <v>0</v>
      </c>
      <c r="Q418" s="77">
        <v>0</v>
      </c>
      <c r="R418" s="77">
        <v>0</v>
      </c>
      <c r="S418" s="77">
        <v>0</v>
      </c>
      <c r="T418" s="133">
        <f t="shared" si="275"/>
        <v>0</v>
      </c>
      <c r="U418" s="133">
        <f t="shared" si="276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132">
        <f t="shared" si="272"/>
        <v>0</v>
      </c>
      <c r="P419" s="132">
        <f t="shared" si="273"/>
        <v>0</v>
      </c>
      <c r="Q419" s="132">
        <f ca="1">IFERROR(__xludf.DUMMYFUNCTION("IMPORTRANGE(""https://docs.google.com/spreadsheets/d/1ItG2mGa2ceCfYo0BwxsXqNm01IGEUdYcSSLTEv9YCik/edit?usp=sharing"",""เบิกจ่ายกองทุน!BH54"")"),0)</f>
        <v>0</v>
      </c>
      <c r="R419" s="132">
        <f ca="1">IFERROR(__xludf.DUMMYFUNCTION("IMPORTRANGE(""https://docs.google.com/spreadsheets/d/1ItG2mGa2ceCfYo0BwxsXqNm01IGEUdYcSSLTEv9YCik/edit?usp=sharing"",""เบิกจ่ายกองทุน!BI54"")"),0)</f>
        <v>0</v>
      </c>
      <c r="S419" s="132">
        <f ca="1">IFERROR(__xludf.DUMMYFUNCTION("IMPORTRANGE(""https://docs.google.com/spreadsheets/d/1ItG2mGa2ceCfYo0BwxsXqNm01IGEUdYcSSLTEv9YCik/edit?usp=sharing"",""เบิกจ่ายกองทุน!BJ54"")"),0)</f>
        <v>0</v>
      </c>
      <c r="T419" s="132">
        <f t="shared" ca="1" si="275"/>
        <v>0</v>
      </c>
      <c r="U419" s="132">
        <f t="shared" ca="1" si="276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131">
        <f t="shared" ref="L420:N420" si="281">L421+L422</f>
        <v>0</v>
      </c>
      <c r="M420" s="132">
        <f t="shared" si="281"/>
        <v>0</v>
      </c>
      <c r="N420" s="132">
        <f t="shared" si="281"/>
        <v>0</v>
      </c>
      <c r="O420" s="132">
        <f t="shared" si="272"/>
        <v>0</v>
      </c>
      <c r="P420" s="132">
        <f t="shared" si="273"/>
        <v>0</v>
      </c>
      <c r="Q420" s="132">
        <f t="shared" ref="Q420:S420" si="282">Q421+Q422</f>
        <v>0</v>
      </c>
      <c r="R420" s="132">
        <f t="shared" si="282"/>
        <v>0</v>
      </c>
      <c r="S420" s="132">
        <f t="shared" si="282"/>
        <v>0</v>
      </c>
      <c r="T420" s="132">
        <f t="shared" si="275"/>
        <v>0</v>
      </c>
      <c r="U420" s="132">
        <f t="shared" si="276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133">
        <f t="shared" si="272"/>
        <v>0</v>
      </c>
      <c r="P421" s="133">
        <f t="shared" si="273"/>
        <v>0</v>
      </c>
      <c r="Q421" s="77">
        <v>0</v>
      </c>
      <c r="R421" s="77">
        <v>0</v>
      </c>
      <c r="S421" s="77">
        <v>0</v>
      </c>
      <c r="T421" s="133">
        <f t="shared" si="275"/>
        <v>0</v>
      </c>
      <c r="U421" s="133">
        <f t="shared" si="276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132">
        <f t="shared" si="272"/>
        <v>0</v>
      </c>
      <c r="P422" s="132">
        <f t="shared" si="273"/>
        <v>0</v>
      </c>
      <c r="Q422" s="74">
        <v>0</v>
      </c>
      <c r="R422" s="74">
        <v>0</v>
      </c>
      <c r="S422" s="74">
        <v>0</v>
      </c>
      <c r="T422" s="132">
        <f t="shared" si="275"/>
        <v>0</v>
      </c>
      <c r="U422" s="132">
        <f t="shared" si="276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1027">
        <f t="shared" ref="I424:J424" ca="1" si="283">I441</f>
        <v>0</v>
      </c>
      <c r="J424" s="1027">
        <f t="shared" si="283"/>
        <v>0</v>
      </c>
      <c r="K424" s="215">
        <f t="shared" ref="K424:K426" ca="1" si="284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1027">
        <f ca="1">IFERROR(__xludf.DUMMYFUNCTION("IMPORTRANGE(""https://docs.google.com/spreadsheets/d/1eHaY18a8A9IcSdp1K8H6x8fbOy06t2VsZHhMHf-1x7Y/edit?usp=sharing"",""แผน!HJ54"")"),0)</f>
        <v>0</v>
      </c>
      <c r="J425" s="1027">
        <f t="shared" ref="J425:J426" si="285">J427+J429+J431</f>
        <v>0</v>
      </c>
      <c r="K425" s="215">
        <f t="shared" ca="1" si="284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1027">
        <f ca="1">IFERROR(__xludf.DUMMYFUNCTION("IMPORTRANGE(""https://docs.google.com/spreadsheets/d/1eHaY18a8A9IcSdp1K8H6x8fbOy06t2VsZHhMHf-1x7Y/edit?usp=sharing"",""แผน!HK54"")"),0)</f>
        <v>0</v>
      </c>
      <c r="J426" s="1027">
        <f t="shared" si="285"/>
        <v>0</v>
      </c>
      <c r="K426" s="215">
        <f t="shared" ca="1" si="284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1027">
        <f ca="1">IFERROR(__xludf.DUMMYFUNCTION("IMPORTRANGE(""https://docs.google.com/spreadsheets/d/1eHaY18a8A9IcSdp1K8H6x8fbOy06t2VsZHhMHf-1x7Y/edit?usp=sharing"",""แผน!HJ54"")"),0)</f>
        <v>0</v>
      </c>
      <c r="J433" s="1027">
        <f t="shared" ref="J433:J434" si="286">J435+J437+J439</f>
        <v>0</v>
      </c>
      <c r="K433" s="215">
        <f t="shared" ref="K433:K434" ca="1" si="287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1027">
        <f ca="1">IFERROR(__xludf.DUMMYFUNCTION("IMPORTRANGE(""https://docs.google.com/spreadsheets/d/1eHaY18a8A9IcSdp1K8H6x8fbOy06t2VsZHhMHf-1x7Y/edit?usp=sharing"",""แผน!HK54"")"),0)</f>
        <v>0</v>
      </c>
      <c r="J434" s="1027">
        <f t="shared" si="286"/>
        <v>0</v>
      </c>
      <c r="K434" s="215">
        <f t="shared" ca="1" si="287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1027">
        <f ca="1">IFERROR(__xludf.DUMMYFUNCTION("IMPORTRANGE(""https://docs.google.com/spreadsheets/d/1eHaY18a8A9IcSdp1K8H6x8fbOy06t2VsZHhMHf-1x7Y/edit?usp=sharing"",""แผน!HJ54"")"),0)</f>
        <v>0</v>
      </c>
      <c r="J441" s="1027">
        <f t="shared" ref="J441:J442" si="288">J443+J445+J447+J453+J455</f>
        <v>0</v>
      </c>
      <c r="K441" s="215">
        <f t="shared" ref="K441:K442" ca="1" si="289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1027">
        <f ca="1">IFERROR(__xludf.DUMMYFUNCTION("IMPORTRANGE(""https://docs.google.com/spreadsheets/d/1eHaY18a8A9IcSdp1K8H6x8fbOy06t2VsZHhMHf-1x7Y/edit?usp=sharing"",""แผน!HK54"")"),0)</f>
        <v>0</v>
      </c>
      <c r="J442" s="1027">
        <f t="shared" si="288"/>
        <v>0</v>
      </c>
      <c r="K442" s="215">
        <f t="shared" ca="1" si="289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1027">
        <f t="shared" ref="J447:J448" si="290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1027">
        <f t="shared" si="290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1027">
        <f t="shared" ref="I457:J457" ca="1" si="291">I458</f>
        <v>0</v>
      </c>
      <c r="J457" s="1027">
        <f t="shared" si="291"/>
        <v>0</v>
      </c>
      <c r="K457" s="215">
        <f t="shared" ref="K457:K459" ca="1" si="292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1027">
        <f ca="1">IFERROR(__xludf.DUMMYFUNCTION("IMPORTRANGE(""https://docs.google.com/spreadsheets/d/1eHaY18a8A9IcSdp1K8H6x8fbOy06t2VsZHhMHf-1x7Y/edit?usp=sharing"",""แผน!HL54"")"),0)</f>
        <v>0</v>
      </c>
      <c r="J458" s="1027">
        <f t="shared" ref="J458:J459" si="293">J460+J468+J474</f>
        <v>0</v>
      </c>
      <c r="K458" s="215">
        <f t="shared" ca="1" si="292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1027">
        <f ca="1">IFERROR(__xludf.DUMMYFUNCTION("IMPORTRANGE(""https://docs.google.com/spreadsheets/d/1eHaY18a8A9IcSdp1K8H6x8fbOy06t2VsZHhMHf-1x7Y/edit?usp=sharing"",""แผน!HM54"")"),0)</f>
        <v>0</v>
      </c>
      <c r="J459" s="1027">
        <f t="shared" si="293"/>
        <v>0</v>
      </c>
      <c r="K459" s="215">
        <f t="shared" ca="1" si="292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623">
        <f t="shared" ref="J460:J461" si="294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623">
        <f t="shared" si="294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623">
        <f t="shared" ref="J468:J469" si="295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623">
        <f t="shared" si="295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1027">
        <f>J479+J481</f>
        <v>0</v>
      </c>
      <c r="K476" s="215">
        <f t="shared" ref="K476:K478" si="296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1027">
        <f t="shared" ref="J477:J478" si="297">J479+J481</f>
        <v>0</v>
      </c>
      <c r="K477" s="215">
        <f t="shared" si="296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1027">
        <f t="shared" si="297"/>
        <v>0</v>
      </c>
      <c r="K478" s="215">
        <f t="shared" si="296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623">
        <f ca="1">IFERROR(__xludf.DUMMYFUNCTION("IMPORTRANGE(""https://docs.google.com/spreadsheets/d/1eHaY18a8A9IcSdp1K8H6x8fbOy06t2VsZHhMHf-1x7Y/edit?usp=sharing"",""แผน!HN54"")"),0)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623">
        <f ca="1">IFERROR(__xludf.DUMMYFUNCTION("IMPORTRANGE(""https://docs.google.com/spreadsheets/d/1eHaY18a8A9IcSdp1K8H6x8fbOy06t2VsZHhMHf-1x7Y/edit?usp=sharing"",""แผน!HO54"")"),0)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8">J481</f>
        <v>0</v>
      </c>
      <c r="J485" s="1027">
        <f t="shared" ref="J485:J486" si="299">J487+J489+J491</f>
        <v>0</v>
      </c>
      <c r="K485" s="215">
        <f t="shared" ref="K485:K486" si="300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8"/>
        <v>0</v>
      </c>
      <c r="J486" s="1027">
        <f t="shared" si="299"/>
        <v>0</v>
      </c>
      <c r="K486" s="215">
        <f t="shared" si="300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hidden="1" x14ac:dyDescent="0.3">
      <c r="A493" s="603"/>
      <c r="B493" s="604" t="s">
        <v>328</v>
      </c>
      <c r="C493" s="606"/>
      <c r="D493" s="606"/>
      <c r="E493" s="607"/>
      <c r="F493" s="607"/>
      <c r="G493" s="608"/>
      <c r="H493" s="616" t="s">
        <v>35</v>
      </c>
      <c r="I493" s="610">
        <f t="shared" ref="I493:J493" ca="1" si="301">I504</f>
        <v>0</v>
      </c>
      <c r="J493" s="610">
        <f t="shared" ca="1" si="301"/>
        <v>0</v>
      </c>
      <c r="K493" s="1196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214">
        <f t="shared" ref="L494:N494" si="302">L495+L496</f>
        <v>0</v>
      </c>
      <c r="M494" s="215">
        <f t="shared" si="302"/>
        <v>0</v>
      </c>
      <c r="N494" s="215">
        <f t="shared" si="302"/>
        <v>0</v>
      </c>
      <c r="O494" s="215">
        <f t="shared" ref="O494:O502" si="303">IF(L494&gt;0,N494*100/L494,0)</f>
        <v>0</v>
      </c>
      <c r="P494" s="215">
        <f t="shared" ref="P494:P502" si="304">IF(M494&gt;0,N494*100/M494,0)</f>
        <v>0</v>
      </c>
      <c r="Q494" s="215">
        <f t="shared" ref="Q494:S494" ca="1" si="305">Q495+Q496</f>
        <v>0</v>
      </c>
      <c r="R494" s="215">
        <f t="shared" ca="1" si="305"/>
        <v>0</v>
      </c>
      <c r="S494" s="215">
        <f t="shared" ca="1" si="305"/>
        <v>0</v>
      </c>
      <c r="T494" s="215">
        <f t="shared" ref="T494:T502" ca="1" si="306">IF(Q494&gt;0,S494*100/Q494,0)</f>
        <v>0</v>
      </c>
      <c r="U494" s="215">
        <f t="shared" ref="U494:U502" ca="1" si="307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217">
        <f t="shared" ref="L495:N496" si="308">L498+L501</f>
        <v>0</v>
      </c>
      <c r="M495" s="133">
        <f t="shared" si="308"/>
        <v>0</v>
      </c>
      <c r="N495" s="133">
        <f t="shared" si="308"/>
        <v>0</v>
      </c>
      <c r="O495" s="133">
        <f t="shared" si="303"/>
        <v>0</v>
      </c>
      <c r="P495" s="133">
        <f t="shared" si="304"/>
        <v>0</v>
      </c>
      <c r="Q495" s="133">
        <f t="shared" ref="Q495:S496" si="309">Q498+Q501</f>
        <v>0</v>
      </c>
      <c r="R495" s="133">
        <f t="shared" si="309"/>
        <v>0</v>
      </c>
      <c r="S495" s="133">
        <f t="shared" si="309"/>
        <v>0</v>
      </c>
      <c r="T495" s="133">
        <f t="shared" si="306"/>
        <v>0</v>
      </c>
      <c r="U495" s="133">
        <f t="shared" si="307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131">
        <f t="shared" si="308"/>
        <v>0</v>
      </c>
      <c r="M496" s="132">
        <f t="shared" si="308"/>
        <v>0</v>
      </c>
      <c r="N496" s="132">
        <f t="shared" si="308"/>
        <v>0</v>
      </c>
      <c r="O496" s="132">
        <f t="shared" si="303"/>
        <v>0</v>
      </c>
      <c r="P496" s="132">
        <f t="shared" si="304"/>
        <v>0</v>
      </c>
      <c r="Q496" s="132">
        <f t="shared" ca="1" si="309"/>
        <v>0</v>
      </c>
      <c r="R496" s="132">
        <f t="shared" ca="1" si="309"/>
        <v>0</v>
      </c>
      <c r="S496" s="132">
        <f t="shared" ca="1" si="309"/>
        <v>0</v>
      </c>
      <c r="T496" s="132">
        <f t="shared" ca="1" si="306"/>
        <v>0</v>
      </c>
      <c r="U496" s="132">
        <f t="shared" ca="1" si="307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131">
        <f t="shared" ref="L497:N497" si="310">L498+L499</f>
        <v>0</v>
      </c>
      <c r="M497" s="132">
        <f t="shared" si="310"/>
        <v>0</v>
      </c>
      <c r="N497" s="132">
        <f t="shared" si="310"/>
        <v>0</v>
      </c>
      <c r="O497" s="132">
        <f t="shared" si="303"/>
        <v>0</v>
      </c>
      <c r="P497" s="132">
        <f t="shared" si="304"/>
        <v>0</v>
      </c>
      <c r="Q497" s="132">
        <f t="shared" ref="Q497:S497" ca="1" si="311">Q498+Q499</f>
        <v>0</v>
      </c>
      <c r="R497" s="132">
        <f t="shared" ca="1" si="311"/>
        <v>0</v>
      </c>
      <c r="S497" s="132">
        <f t="shared" ca="1" si="311"/>
        <v>0</v>
      </c>
      <c r="T497" s="132">
        <f t="shared" ca="1" si="306"/>
        <v>0</v>
      </c>
      <c r="U497" s="132">
        <f t="shared" ca="1" si="307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133">
        <f t="shared" si="303"/>
        <v>0</v>
      </c>
      <c r="P498" s="133">
        <f t="shared" si="304"/>
        <v>0</v>
      </c>
      <c r="Q498" s="77">
        <v>0</v>
      </c>
      <c r="R498" s="77">
        <v>0</v>
      </c>
      <c r="S498" s="77">
        <v>0</v>
      </c>
      <c r="T498" s="133">
        <f t="shared" si="306"/>
        <v>0</v>
      </c>
      <c r="U498" s="133">
        <f t="shared" si="307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132">
        <f t="shared" si="303"/>
        <v>0</v>
      </c>
      <c r="P499" s="132">
        <f t="shared" si="304"/>
        <v>0</v>
      </c>
      <c r="Q499" s="132">
        <f ca="1">IFERROR(__xludf.DUMMYFUNCTION("IMPORTRANGE(""https://docs.google.com/spreadsheets/d/1ItG2mGa2ceCfYo0BwxsXqNm01IGEUdYcSSLTEv9YCik/edit?usp=sharing"",""เบิกจ่ายกองทุน!X54"")"),0)</f>
        <v>0</v>
      </c>
      <c r="R499" s="132">
        <f ca="1">IFERROR(__xludf.DUMMYFUNCTION("IMPORTRANGE(""https://docs.google.com/spreadsheets/d/1ItG2mGa2ceCfYo0BwxsXqNm01IGEUdYcSSLTEv9YCik/edit?usp=sharing"",""เบิกจ่ายกองทุน!Y54"")"),0)</f>
        <v>0</v>
      </c>
      <c r="S499" s="132">
        <f ca="1">IFERROR(__xludf.DUMMYFUNCTION("IMPORTRANGE(""https://docs.google.com/spreadsheets/d/1ItG2mGa2ceCfYo0BwxsXqNm01IGEUdYcSSLTEv9YCik/edit?usp=sharing"",""เบิกจ่ายกองทุน!Z54"")"),0)</f>
        <v>0</v>
      </c>
      <c r="T499" s="132">
        <f t="shared" ca="1" si="306"/>
        <v>0</v>
      </c>
      <c r="U499" s="132">
        <f t="shared" ca="1" si="307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131">
        <f t="shared" ref="L500:N500" si="312">L501+L502</f>
        <v>0</v>
      </c>
      <c r="M500" s="132">
        <f t="shared" si="312"/>
        <v>0</v>
      </c>
      <c r="N500" s="132">
        <f t="shared" si="312"/>
        <v>0</v>
      </c>
      <c r="O500" s="132">
        <f t="shared" si="303"/>
        <v>0</v>
      </c>
      <c r="P500" s="132">
        <f t="shared" si="304"/>
        <v>0</v>
      </c>
      <c r="Q500" s="132">
        <f t="shared" ref="Q500:S500" si="313">Q501+Q502</f>
        <v>0</v>
      </c>
      <c r="R500" s="132">
        <f t="shared" si="313"/>
        <v>0</v>
      </c>
      <c r="S500" s="132">
        <f t="shared" si="313"/>
        <v>0</v>
      </c>
      <c r="T500" s="132">
        <f t="shared" si="306"/>
        <v>0</v>
      </c>
      <c r="U500" s="132">
        <f t="shared" si="307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133">
        <f t="shared" si="303"/>
        <v>0</v>
      </c>
      <c r="P501" s="133">
        <f t="shared" si="304"/>
        <v>0</v>
      </c>
      <c r="Q501" s="77">
        <v>0</v>
      </c>
      <c r="R501" s="77">
        <v>0</v>
      </c>
      <c r="S501" s="77">
        <v>0</v>
      </c>
      <c r="T501" s="133">
        <f t="shared" si="306"/>
        <v>0</v>
      </c>
      <c r="U501" s="133">
        <f t="shared" si="307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132">
        <f t="shared" si="303"/>
        <v>0</v>
      </c>
      <c r="P502" s="132">
        <f t="shared" si="304"/>
        <v>0</v>
      </c>
      <c r="Q502" s="74">
        <v>0</v>
      </c>
      <c r="R502" s="74">
        <v>0</v>
      </c>
      <c r="S502" s="74">
        <v>0</v>
      </c>
      <c r="T502" s="132">
        <f t="shared" si="306"/>
        <v>0</v>
      </c>
      <c r="U502" s="132">
        <f t="shared" si="307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1027">
        <f ca="1">IFERROR(__xludf.DUMMYFUNCTION("IMPORTRANGE(""https://docs.google.com/spreadsheets/d/1eHaY18a8A9IcSdp1K8H6x8fbOy06t2VsZHhMHf-1x7Y/edit?usp=sharing"",""แผน!GX54"")"),0)</f>
        <v>0</v>
      </c>
      <c r="J504" s="1027">
        <f ca="1">IF(AND(J505=I505,J506=I506,J507=I507,J508=I508),I504,0)</f>
        <v>0</v>
      </c>
      <c r="K504" s="215">
        <f t="shared" ref="K504:K510" ca="1" si="314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623">
        <f ca="1">IFERROR(__xludf.DUMMYFUNCTION("IMPORTRANGE(""https://docs.google.com/spreadsheets/d/1eHaY18a8A9IcSdp1K8H6x8fbOy06t2VsZHhMHf-1x7Y/edit?usp=sharing"",""แผน!GY54"")"),0)</f>
        <v>0</v>
      </c>
      <c r="J505" s="294">
        <v>0</v>
      </c>
      <c r="K505" s="132">
        <f t="shared" ca="1" si="314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623">
        <f ca="1">IFERROR(__xludf.DUMMYFUNCTION("IMPORTRANGE(""https://docs.google.com/spreadsheets/d/1eHaY18a8A9IcSdp1K8H6x8fbOy06t2VsZHhMHf-1x7Y/edit?usp=sharing"",""แผน!GZ54"")"),0)</f>
        <v>0</v>
      </c>
      <c r="J506" s="294">
        <v>0</v>
      </c>
      <c r="K506" s="132">
        <f t="shared" ca="1" si="314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623">
        <f ca="1">IFERROR(__xludf.DUMMYFUNCTION("IMPORTRANGE(""https://docs.google.com/spreadsheets/d/1eHaY18a8A9IcSdp1K8H6x8fbOy06t2VsZHhMHf-1x7Y/edit?usp=sharing"",""แผน!HA54"")"),0)</f>
        <v>0</v>
      </c>
      <c r="J507" s="294">
        <v>0</v>
      </c>
      <c r="K507" s="132">
        <f t="shared" ca="1" si="314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623">
        <f ca="1">IFERROR(__xludf.DUMMYFUNCTION("IMPORTRANGE(""https://docs.google.com/spreadsheets/d/1eHaY18a8A9IcSdp1K8H6x8fbOy06t2VsZHhMHf-1x7Y/edit?usp=sharing"",""แผน!HB54"")"),0)</f>
        <v>0</v>
      </c>
      <c r="J508" s="294">
        <v>0</v>
      </c>
      <c r="K508" s="132">
        <f t="shared" ca="1" si="314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132">
        <f t="shared" si="314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632">
        <f ca="1">IFERROR(__xludf.DUMMYFUNCTION("IMPORTRANGE(""https://docs.google.com/spreadsheets/d/1eHaY18a8A9IcSdp1K8H6x8fbOy06t2VsZHhMHf-1x7Y/edit?usp=sharing"",""แผน!HC54"")"),0)</f>
        <v>0</v>
      </c>
      <c r="J510" s="761">
        <v>0</v>
      </c>
      <c r="K510" s="183">
        <f t="shared" ca="1" si="314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8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204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1001" t="s">
        <v>61</v>
      </c>
      <c r="I513" s="988">
        <f t="shared" ref="I513:J513" si="315">I525</f>
        <v>0</v>
      </c>
      <c r="J513" s="988">
        <f t="shared" si="315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214">
        <f t="shared" ref="L514:N514" ca="1" si="316">L515+L516</f>
        <v>0</v>
      </c>
      <c r="M514" s="215">
        <f t="shared" ca="1" si="316"/>
        <v>0</v>
      </c>
      <c r="N514" s="215">
        <f t="shared" ca="1" si="316"/>
        <v>0</v>
      </c>
      <c r="O514" s="215">
        <f t="shared" ref="O514:O522" ca="1" si="317">IF(L514&gt;0,N514*100/L514,0)</f>
        <v>0</v>
      </c>
      <c r="P514" s="215">
        <f t="shared" ref="P514:P522" ca="1" si="318">IF(M514&gt;0,N514*100/M514,0)</f>
        <v>0</v>
      </c>
      <c r="Q514" s="215">
        <f t="shared" ref="Q514:S514" si="319">Q515+Q516</f>
        <v>0</v>
      </c>
      <c r="R514" s="215">
        <f t="shared" si="319"/>
        <v>0</v>
      </c>
      <c r="S514" s="215">
        <f t="shared" si="319"/>
        <v>0</v>
      </c>
      <c r="T514" s="215">
        <f t="shared" ref="T514:T522" si="320">IF(Q514&gt;0,S514*100/Q514,0)</f>
        <v>0</v>
      </c>
      <c r="U514" s="215">
        <f t="shared" ref="U514:U522" si="321">IF(R514&gt;0,S514*100/R514,0)</f>
        <v>0</v>
      </c>
    </row>
    <row r="515" spans="1:21" ht="18.75" hidden="1" x14ac:dyDescent="0.25">
      <c r="A515" s="257"/>
      <c r="B515" s="269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217">
        <f t="shared" ref="L515:N516" si="322">L518+L521</f>
        <v>0</v>
      </c>
      <c r="M515" s="133">
        <f t="shared" si="322"/>
        <v>0</v>
      </c>
      <c r="N515" s="133">
        <f t="shared" si="322"/>
        <v>0</v>
      </c>
      <c r="O515" s="133">
        <f t="shared" si="317"/>
        <v>0</v>
      </c>
      <c r="P515" s="133">
        <f t="shared" si="318"/>
        <v>0</v>
      </c>
      <c r="Q515" s="133">
        <f t="shared" ref="Q515:S516" si="323">Q518+Q521</f>
        <v>0</v>
      </c>
      <c r="R515" s="133">
        <f t="shared" si="323"/>
        <v>0</v>
      </c>
      <c r="S515" s="133">
        <f t="shared" si="323"/>
        <v>0</v>
      </c>
      <c r="T515" s="133">
        <f t="shared" si="320"/>
        <v>0</v>
      </c>
      <c r="U515" s="133">
        <f t="shared" si="321"/>
        <v>0</v>
      </c>
    </row>
    <row r="516" spans="1:21" ht="18.75" hidden="1" x14ac:dyDescent="0.25">
      <c r="A516" s="257"/>
      <c r="B516" s="258"/>
      <c r="C516" s="269"/>
      <c r="D516" s="258"/>
      <c r="E516" s="775" t="s">
        <v>21</v>
      </c>
      <c r="F516" s="258"/>
      <c r="G516" s="261"/>
      <c r="H516" s="266" t="s">
        <v>14</v>
      </c>
      <c r="I516" s="263"/>
      <c r="J516" s="263"/>
      <c r="K516" s="87"/>
      <c r="L516" s="131">
        <f t="shared" ca="1" si="322"/>
        <v>0</v>
      </c>
      <c r="M516" s="132">
        <f t="shared" ca="1" si="322"/>
        <v>0</v>
      </c>
      <c r="N516" s="132">
        <f t="shared" ca="1" si="322"/>
        <v>0</v>
      </c>
      <c r="O516" s="132">
        <f t="shared" ca="1" si="317"/>
        <v>0</v>
      </c>
      <c r="P516" s="132">
        <f t="shared" ca="1" si="318"/>
        <v>0</v>
      </c>
      <c r="Q516" s="132">
        <f t="shared" si="323"/>
        <v>0</v>
      </c>
      <c r="R516" s="132">
        <f t="shared" si="323"/>
        <v>0</v>
      </c>
      <c r="S516" s="132">
        <f t="shared" si="323"/>
        <v>0</v>
      </c>
      <c r="T516" s="132">
        <f t="shared" si="320"/>
        <v>0</v>
      </c>
      <c r="U516" s="132">
        <f t="shared" si="321"/>
        <v>0</v>
      </c>
    </row>
    <row r="517" spans="1:21" ht="18.75" hidden="1" x14ac:dyDescent="0.25">
      <c r="A517" s="257"/>
      <c r="B517" s="258"/>
      <c r="C517" s="269"/>
      <c r="D517" s="991" t="s">
        <v>22</v>
      </c>
      <c r="E517" s="269"/>
      <c r="F517" s="258"/>
      <c r="G517" s="261"/>
      <c r="H517" s="273" t="s">
        <v>14</v>
      </c>
      <c r="I517" s="272"/>
      <c r="J517" s="272"/>
      <c r="K517" s="229"/>
      <c r="L517" s="131">
        <f t="shared" ref="L517:N517" ca="1" si="324">L518+L519</f>
        <v>0</v>
      </c>
      <c r="M517" s="132">
        <f t="shared" ca="1" si="324"/>
        <v>0</v>
      </c>
      <c r="N517" s="132">
        <f t="shared" ca="1" si="324"/>
        <v>0</v>
      </c>
      <c r="O517" s="132">
        <f t="shared" ca="1" si="317"/>
        <v>0</v>
      </c>
      <c r="P517" s="132">
        <f t="shared" ca="1" si="318"/>
        <v>0</v>
      </c>
      <c r="Q517" s="132">
        <f t="shared" ref="Q517:S517" si="325">Q518+Q519</f>
        <v>0</v>
      </c>
      <c r="R517" s="132">
        <f t="shared" si="325"/>
        <v>0</v>
      </c>
      <c r="S517" s="132">
        <f t="shared" si="325"/>
        <v>0</v>
      </c>
      <c r="T517" s="132">
        <f t="shared" si="320"/>
        <v>0</v>
      </c>
      <c r="U517" s="132">
        <f t="shared" si="321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133">
        <f t="shared" si="317"/>
        <v>0</v>
      </c>
      <c r="P518" s="133">
        <f t="shared" si="318"/>
        <v>0</v>
      </c>
      <c r="Q518" s="77">
        <v>0</v>
      </c>
      <c r="R518" s="77">
        <v>0</v>
      </c>
      <c r="S518" s="77">
        <v>0</v>
      </c>
      <c r="T518" s="133">
        <f t="shared" si="320"/>
        <v>0</v>
      </c>
      <c r="U518" s="133">
        <f t="shared" si="321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131">
        <f ca="1">IFERROR(__xludf.DUMMYFUNCTION("IMPORTRANGE(""https://docs.google.com/spreadsheets/d/1-uDff_7J0KD5mKrp0Vvzr7lt3OU09vwQwhkpOPPYv2Y/edit?usp=sharing"",""งบพรบ!FM54"")"),0)</f>
        <v>0</v>
      </c>
      <c r="M519" s="132">
        <f ca="1">IFERROR(__xludf.DUMMYFUNCTION("IMPORTRANGE(""https://docs.google.com/spreadsheets/d/1-uDff_7J0KD5mKrp0Vvzr7lt3OU09vwQwhkpOPPYv2Y/edit?usp=sharing"",""งบพรบ!FR54"")"),0)</f>
        <v>0</v>
      </c>
      <c r="N519" s="132">
        <f ca="1">IFERROR(__xludf.DUMMYFUNCTION("IMPORTRANGE(""https://docs.google.com/spreadsheets/d/1-uDff_7J0KD5mKrp0Vvzr7lt3OU09vwQwhkpOPPYv2Y/edit?usp=sharing"",""งบพรบ!FT54"")"),0)</f>
        <v>0</v>
      </c>
      <c r="O519" s="132">
        <f t="shared" ca="1" si="317"/>
        <v>0</v>
      </c>
      <c r="P519" s="132">
        <f t="shared" ca="1" si="318"/>
        <v>0</v>
      </c>
      <c r="Q519" s="74">
        <v>0</v>
      </c>
      <c r="R519" s="74">
        <v>0</v>
      </c>
      <c r="S519" s="74">
        <v>0</v>
      </c>
      <c r="T519" s="132">
        <f t="shared" si="320"/>
        <v>0</v>
      </c>
      <c r="U519" s="132">
        <f t="shared" si="321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131">
        <f t="shared" ref="L520:N520" ca="1" si="326">L521+L522</f>
        <v>0</v>
      </c>
      <c r="M520" s="132">
        <f t="shared" ca="1" si="326"/>
        <v>0</v>
      </c>
      <c r="N520" s="132">
        <f t="shared" ca="1" si="326"/>
        <v>0</v>
      </c>
      <c r="O520" s="132">
        <f t="shared" ca="1" si="317"/>
        <v>0</v>
      </c>
      <c r="P520" s="132">
        <f t="shared" ca="1" si="318"/>
        <v>0</v>
      </c>
      <c r="Q520" s="132">
        <f t="shared" ref="Q520:S520" si="327">Q521+Q522</f>
        <v>0</v>
      </c>
      <c r="R520" s="132">
        <f t="shared" si="327"/>
        <v>0</v>
      </c>
      <c r="S520" s="132">
        <f t="shared" si="327"/>
        <v>0</v>
      </c>
      <c r="T520" s="132">
        <f t="shared" si="320"/>
        <v>0</v>
      </c>
      <c r="U520" s="132">
        <f t="shared" si="321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133">
        <f t="shared" si="317"/>
        <v>0</v>
      </c>
      <c r="P521" s="133">
        <f t="shared" si="318"/>
        <v>0</v>
      </c>
      <c r="Q521" s="77">
        <v>0</v>
      </c>
      <c r="R521" s="77">
        <v>0</v>
      </c>
      <c r="S521" s="77">
        <v>0</v>
      </c>
      <c r="T521" s="133">
        <f t="shared" si="320"/>
        <v>0</v>
      </c>
      <c r="U521" s="133">
        <f t="shared" si="321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131">
        <f ca="1">IFERROR(__xludf.DUMMYFUNCTION("IMPORTRANGE(""https://docs.google.com/spreadsheets/d/1-uDff_7J0KD5mKrp0Vvzr7lt3OU09vwQwhkpOPPYv2Y/edit?usp=sharing"",""งบพรบ!FP54"")"),0)</f>
        <v>0</v>
      </c>
      <c r="M522" s="132">
        <f ca="1">IFERROR(__xludf.DUMMYFUNCTION("IMPORTRANGE(""https://docs.google.com/spreadsheets/d/1-uDff_7J0KD5mKrp0Vvzr7lt3OU09vwQwhkpOPPYv2Y/edit?usp=sharing"",""งบพรบ!FS54"")"),0)</f>
        <v>0</v>
      </c>
      <c r="N522" s="132">
        <f ca="1">IFERROR(__xludf.DUMMYFUNCTION("IMPORTRANGE(""https://docs.google.com/spreadsheets/d/1-uDff_7J0KD5mKrp0Vvzr7lt3OU09vwQwhkpOPPYv2Y/edit?usp=sharing"",""งบพรบ!FU54"")"),0)</f>
        <v>0</v>
      </c>
      <c r="O522" s="132">
        <f t="shared" ca="1" si="317"/>
        <v>0</v>
      </c>
      <c r="P522" s="132">
        <f t="shared" ca="1" si="318"/>
        <v>0</v>
      </c>
      <c r="Q522" s="74">
        <v>0</v>
      </c>
      <c r="R522" s="74">
        <v>0</v>
      </c>
      <c r="S522" s="74">
        <v>0</v>
      </c>
      <c r="T522" s="132">
        <f t="shared" si="320"/>
        <v>0</v>
      </c>
      <c r="U522" s="132">
        <f t="shared" si="321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8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8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59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59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306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9">I546</f>
        <v>0</v>
      </c>
      <c r="J534" s="1002">
        <f t="shared" si="329"/>
        <v>0</v>
      </c>
      <c r="K534" s="1207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214">
        <f t="shared" ref="L535:N535" si="330">L536+L537</f>
        <v>0</v>
      </c>
      <c r="M535" s="215">
        <f t="shared" si="330"/>
        <v>0</v>
      </c>
      <c r="N535" s="215">
        <f t="shared" si="330"/>
        <v>0</v>
      </c>
      <c r="O535" s="215">
        <f t="shared" ref="O535:O543" si="331">IF(L535&gt;0,N535*100/L535,0)</f>
        <v>0</v>
      </c>
      <c r="P535" s="215">
        <f t="shared" ref="P535:P543" si="332">IF(M535&gt;0,N535*100/M535,0)</f>
        <v>0</v>
      </c>
      <c r="Q535" s="215">
        <f t="shared" ref="Q535:S535" si="333">Q536+Q537</f>
        <v>0</v>
      </c>
      <c r="R535" s="215">
        <f t="shared" si="333"/>
        <v>0</v>
      </c>
      <c r="S535" s="215">
        <f t="shared" si="333"/>
        <v>0</v>
      </c>
      <c r="T535" s="215">
        <f t="shared" ref="T535:T543" si="334">IF(Q535&gt;0,S535*100/Q535,0)</f>
        <v>0</v>
      </c>
      <c r="U535" s="215">
        <f t="shared" ref="U535:U543" si="335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217">
        <f t="shared" ref="L536:N537" si="336">L539+L542</f>
        <v>0</v>
      </c>
      <c r="M536" s="133">
        <f t="shared" si="336"/>
        <v>0</v>
      </c>
      <c r="N536" s="133">
        <f t="shared" si="336"/>
        <v>0</v>
      </c>
      <c r="O536" s="133">
        <f t="shared" si="331"/>
        <v>0</v>
      </c>
      <c r="P536" s="133">
        <f t="shared" si="332"/>
        <v>0</v>
      </c>
      <c r="Q536" s="133">
        <f t="shared" ref="Q536:S537" si="337">Q539+Q542</f>
        <v>0</v>
      </c>
      <c r="R536" s="133">
        <f t="shared" si="337"/>
        <v>0</v>
      </c>
      <c r="S536" s="133">
        <f t="shared" si="337"/>
        <v>0</v>
      </c>
      <c r="T536" s="133">
        <f t="shared" si="334"/>
        <v>0</v>
      </c>
      <c r="U536" s="133">
        <f t="shared" si="335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131">
        <f t="shared" si="336"/>
        <v>0</v>
      </c>
      <c r="M537" s="132">
        <f t="shared" si="336"/>
        <v>0</v>
      </c>
      <c r="N537" s="132">
        <f t="shared" si="336"/>
        <v>0</v>
      </c>
      <c r="O537" s="132">
        <f t="shared" si="331"/>
        <v>0</v>
      </c>
      <c r="P537" s="132">
        <f t="shared" si="332"/>
        <v>0</v>
      </c>
      <c r="Q537" s="132">
        <f t="shared" si="337"/>
        <v>0</v>
      </c>
      <c r="R537" s="132">
        <f t="shared" si="337"/>
        <v>0</v>
      </c>
      <c r="S537" s="132">
        <f t="shared" si="337"/>
        <v>0</v>
      </c>
      <c r="T537" s="132">
        <f t="shared" si="334"/>
        <v>0</v>
      </c>
      <c r="U537" s="132">
        <f t="shared" si="335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131">
        <f t="shared" ref="L538:N538" si="338">L539+L540</f>
        <v>0</v>
      </c>
      <c r="M538" s="132">
        <f t="shared" si="338"/>
        <v>0</v>
      </c>
      <c r="N538" s="132">
        <f t="shared" si="338"/>
        <v>0</v>
      </c>
      <c r="O538" s="132">
        <f t="shared" si="331"/>
        <v>0</v>
      </c>
      <c r="P538" s="132">
        <f t="shared" si="332"/>
        <v>0</v>
      </c>
      <c r="Q538" s="132">
        <f t="shared" ref="Q538:S538" si="339">Q539+Q540</f>
        <v>0</v>
      </c>
      <c r="R538" s="132">
        <f t="shared" si="339"/>
        <v>0</v>
      </c>
      <c r="S538" s="132">
        <f t="shared" si="339"/>
        <v>0</v>
      </c>
      <c r="T538" s="132">
        <f t="shared" si="334"/>
        <v>0</v>
      </c>
      <c r="U538" s="132">
        <f t="shared" si="335"/>
        <v>0</v>
      </c>
    </row>
    <row r="539" spans="1:21" ht="18.75" hidden="1" x14ac:dyDescent="0.25">
      <c r="A539" s="257"/>
      <c r="B539" s="269"/>
      <c r="C539" s="269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133">
        <f t="shared" si="331"/>
        <v>0</v>
      </c>
      <c r="P539" s="133">
        <f t="shared" si="332"/>
        <v>0</v>
      </c>
      <c r="Q539" s="77">
        <v>0</v>
      </c>
      <c r="R539" s="77">
        <v>0</v>
      </c>
      <c r="S539" s="77">
        <v>0</v>
      </c>
      <c r="T539" s="133">
        <f t="shared" si="334"/>
        <v>0</v>
      </c>
      <c r="U539" s="133">
        <f t="shared" si="335"/>
        <v>0</v>
      </c>
    </row>
    <row r="540" spans="1:21" ht="18.75" hidden="1" x14ac:dyDescent="0.25">
      <c r="A540" s="257"/>
      <c r="B540" s="269"/>
      <c r="C540" s="269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132">
        <f t="shared" si="331"/>
        <v>0</v>
      </c>
      <c r="P540" s="132">
        <f t="shared" si="332"/>
        <v>0</v>
      </c>
      <c r="Q540" s="74">
        <v>0</v>
      </c>
      <c r="R540" s="74">
        <v>0</v>
      </c>
      <c r="S540" s="74">
        <v>0</v>
      </c>
      <c r="T540" s="132">
        <f t="shared" si="334"/>
        <v>0</v>
      </c>
      <c r="U540" s="132">
        <f t="shared" si="335"/>
        <v>0</v>
      </c>
    </row>
    <row r="541" spans="1:21" ht="18.75" hidden="1" x14ac:dyDescent="0.25">
      <c r="A541" s="257"/>
      <c r="B541" s="269"/>
      <c r="C541" s="269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131">
        <f t="shared" ref="L541:N541" si="340">L542+L543</f>
        <v>0</v>
      </c>
      <c r="M541" s="132">
        <f t="shared" si="340"/>
        <v>0</v>
      </c>
      <c r="N541" s="132">
        <f t="shared" si="340"/>
        <v>0</v>
      </c>
      <c r="O541" s="132">
        <f t="shared" si="331"/>
        <v>0</v>
      </c>
      <c r="P541" s="132">
        <f t="shared" si="332"/>
        <v>0</v>
      </c>
      <c r="Q541" s="132">
        <f t="shared" ref="Q541:S541" si="341">Q542+Q543</f>
        <v>0</v>
      </c>
      <c r="R541" s="132">
        <f t="shared" si="341"/>
        <v>0</v>
      </c>
      <c r="S541" s="132">
        <f t="shared" si="341"/>
        <v>0</v>
      </c>
      <c r="T541" s="132">
        <f t="shared" si="334"/>
        <v>0</v>
      </c>
      <c r="U541" s="132">
        <f t="shared" si="335"/>
        <v>0</v>
      </c>
    </row>
    <row r="542" spans="1:21" ht="18.75" hidden="1" x14ac:dyDescent="0.25">
      <c r="A542" s="257"/>
      <c r="B542" s="269"/>
      <c r="C542" s="269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133">
        <f t="shared" si="331"/>
        <v>0</v>
      </c>
      <c r="P542" s="133">
        <f t="shared" si="332"/>
        <v>0</v>
      </c>
      <c r="Q542" s="77">
        <v>0</v>
      </c>
      <c r="R542" s="77">
        <v>0</v>
      </c>
      <c r="S542" s="77">
        <v>0</v>
      </c>
      <c r="T542" s="133">
        <f t="shared" si="334"/>
        <v>0</v>
      </c>
      <c r="U542" s="133">
        <f t="shared" si="335"/>
        <v>0</v>
      </c>
    </row>
    <row r="543" spans="1:21" ht="18.75" hidden="1" x14ac:dyDescent="0.25">
      <c r="A543" s="257"/>
      <c r="B543" s="269"/>
      <c r="C543" s="269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132">
        <f t="shared" si="331"/>
        <v>0</v>
      </c>
      <c r="P543" s="132">
        <f t="shared" si="332"/>
        <v>0</v>
      </c>
      <c r="Q543" s="74">
        <v>0</v>
      </c>
      <c r="R543" s="74">
        <v>0</v>
      </c>
      <c r="S543" s="74">
        <v>0</v>
      </c>
      <c r="T543" s="132">
        <f t="shared" si="334"/>
        <v>0</v>
      </c>
      <c r="U543" s="132">
        <f t="shared" si="335"/>
        <v>0</v>
      </c>
    </row>
    <row r="544" spans="1:21" ht="19.5" hidden="1" x14ac:dyDescent="0.3">
      <c r="A544" s="276"/>
      <c r="B544" s="277"/>
      <c r="C544" s="618" t="s">
        <v>18</v>
      </c>
      <c r="D544" s="1019" t="s">
        <v>38</v>
      </c>
      <c r="E544" s="280"/>
      <c r="F544" s="280"/>
      <c r="G544" s="281"/>
      <c r="H544" s="310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593"/>
      <c r="C545" s="593"/>
      <c r="D545" s="613"/>
      <c r="E545" s="593"/>
      <c r="F545" s="613"/>
      <c r="G545" s="614"/>
      <c r="H545" s="59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593"/>
      <c r="C546" s="593"/>
      <c r="D546" s="613"/>
      <c r="E546" s="593"/>
      <c r="F546" s="613"/>
      <c r="G546" s="614"/>
      <c r="H546" s="59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59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59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307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2">I567</f>
        <v>0</v>
      </c>
      <c r="J555" s="1002">
        <f t="shared" si="342"/>
        <v>0</v>
      </c>
      <c r="K555" s="1207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214">
        <f t="shared" ref="L556:N556" si="343">L557+L558</f>
        <v>0</v>
      </c>
      <c r="M556" s="215">
        <f t="shared" si="343"/>
        <v>0</v>
      </c>
      <c r="N556" s="215">
        <f t="shared" si="343"/>
        <v>0</v>
      </c>
      <c r="O556" s="215">
        <f t="shared" ref="O556:O564" si="344">IF(L556&gt;0,N556*100/L556,0)</f>
        <v>0</v>
      </c>
      <c r="P556" s="215">
        <f t="shared" ref="P556:P564" si="345">IF(M556&gt;0,N556*100/M556,0)</f>
        <v>0</v>
      </c>
      <c r="Q556" s="215">
        <f t="shared" ref="Q556:S556" si="346">Q557+Q558</f>
        <v>0</v>
      </c>
      <c r="R556" s="215">
        <f t="shared" si="346"/>
        <v>0</v>
      </c>
      <c r="S556" s="215">
        <f t="shared" si="346"/>
        <v>0</v>
      </c>
      <c r="T556" s="215">
        <f t="shared" ref="T556:T564" si="347">IF(Q556&gt;0,S556*100/Q556,0)</f>
        <v>0</v>
      </c>
      <c r="U556" s="215">
        <f t="shared" ref="U556:U564" si="348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217">
        <f t="shared" ref="L557:N558" si="349">L560+L563</f>
        <v>0</v>
      </c>
      <c r="M557" s="133">
        <f t="shared" si="349"/>
        <v>0</v>
      </c>
      <c r="N557" s="133">
        <f t="shared" si="349"/>
        <v>0</v>
      </c>
      <c r="O557" s="133">
        <f t="shared" si="344"/>
        <v>0</v>
      </c>
      <c r="P557" s="133">
        <f t="shared" si="345"/>
        <v>0</v>
      </c>
      <c r="Q557" s="133">
        <f t="shared" ref="Q557:S558" si="350">Q560+Q563</f>
        <v>0</v>
      </c>
      <c r="R557" s="133">
        <f t="shared" si="350"/>
        <v>0</v>
      </c>
      <c r="S557" s="133">
        <f t="shared" si="350"/>
        <v>0</v>
      </c>
      <c r="T557" s="133">
        <f t="shared" si="347"/>
        <v>0</v>
      </c>
      <c r="U557" s="133">
        <f t="shared" si="348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131">
        <f t="shared" si="349"/>
        <v>0</v>
      </c>
      <c r="M558" s="132">
        <f t="shared" si="349"/>
        <v>0</v>
      </c>
      <c r="N558" s="132">
        <f t="shared" si="349"/>
        <v>0</v>
      </c>
      <c r="O558" s="132">
        <f t="shared" si="344"/>
        <v>0</v>
      </c>
      <c r="P558" s="132">
        <f t="shared" si="345"/>
        <v>0</v>
      </c>
      <c r="Q558" s="132">
        <f t="shared" si="350"/>
        <v>0</v>
      </c>
      <c r="R558" s="132">
        <f t="shared" si="350"/>
        <v>0</v>
      </c>
      <c r="S558" s="132">
        <f t="shared" si="350"/>
        <v>0</v>
      </c>
      <c r="T558" s="132">
        <f t="shared" si="347"/>
        <v>0</v>
      </c>
      <c r="U558" s="132">
        <f t="shared" si="348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131">
        <f t="shared" ref="L559:N559" si="351">L560+L561</f>
        <v>0</v>
      </c>
      <c r="M559" s="132">
        <f t="shared" si="351"/>
        <v>0</v>
      </c>
      <c r="N559" s="132">
        <f t="shared" si="351"/>
        <v>0</v>
      </c>
      <c r="O559" s="132">
        <f t="shared" si="344"/>
        <v>0</v>
      </c>
      <c r="P559" s="132">
        <f t="shared" si="345"/>
        <v>0</v>
      </c>
      <c r="Q559" s="132">
        <f t="shared" ref="Q559:S559" si="352">Q560+Q561</f>
        <v>0</v>
      </c>
      <c r="R559" s="132">
        <f t="shared" si="352"/>
        <v>0</v>
      </c>
      <c r="S559" s="132">
        <f t="shared" si="352"/>
        <v>0</v>
      </c>
      <c r="T559" s="132">
        <f t="shared" si="347"/>
        <v>0</v>
      </c>
      <c r="U559" s="132">
        <f t="shared" si="348"/>
        <v>0</v>
      </c>
    </row>
    <row r="560" spans="1:21" ht="18.75" hidden="1" x14ac:dyDescent="0.25">
      <c r="A560" s="257"/>
      <c r="B560" s="269"/>
      <c r="C560" s="269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133">
        <f t="shared" si="344"/>
        <v>0</v>
      </c>
      <c r="P560" s="133">
        <f t="shared" si="345"/>
        <v>0</v>
      </c>
      <c r="Q560" s="77">
        <v>0</v>
      </c>
      <c r="R560" s="77">
        <v>0</v>
      </c>
      <c r="S560" s="77">
        <v>0</v>
      </c>
      <c r="T560" s="133">
        <f t="shared" si="347"/>
        <v>0</v>
      </c>
      <c r="U560" s="133">
        <f t="shared" si="348"/>
        <v>0</v>
      </c>
    </row>
    <row r="561" spans="1:21" ht="18.75" hidden="1" x14ac:dyDescent="0.25">
      <c r="A561" s="257"/>
      <c r="B561" s="269"/>
      <c r="C561" s="269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132">
        <f t="shared" si="344"/>
        <v>0</v>
      </c>
      <c r="P561" s="132">
        <f t="shared" si="345"/>
        <v>0</v>
      </c>
      <c r="Q561" s="74">
        <v>0</v>
      </c>
      <c r="R561" s="74">
        <v>0</v>
      </c>
      <c r="S561" s="74">
        <v>0</v>
      </c>
      <c r="T561" s="132">
        <f t="shared" si="347"/>
        <v>0</v>
      </c>
      <c r="U561" s="132">
        <f t="shared" si="348"/>
        <v>0</v>
      </c>
    </row>
    <row r="562" spans="1:21" ht="18.75" hidden="1" x14ac:dyDescent="0.25">
      <c r="A562" s="257"/>
      <c r="B562" s="269"/>
      <c r="C562" s="269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131">
        <f t="shared" ref="L562:N562" si="353">L563+L564</f>
        <v>0</v>
      </c>
      <c r="M562" s="132">
        <f t="shared" si="353"/>
        <v>0</v>
      </c>
      <c r="N562" s="132">
        <f t="shared" si="353"/>
        <v>0</v>
      </c>
      <c r="O562" s="132">
        <f t="shared" si="344"/>
        <v>0</v>
      </c>
      <c r="P562" s="132">
        <f t="shared" si="345"/>
        <v>0</v>
      </c>
      <c r="Q562" s="132">
        <f t="shared" ref="Q562:S562" si="354">Q563+Q564</f>
        <v>0</v>
      </c>
      <c r="R562" s="132">
        <f t="shared" si="354"/>
        <v>0</v>
      </c>
      <c r="S562" s="132">
        <f t="shared" si="354"/>
        <v>0</v>
      </c>
      <c r="T562" s="132">
        <f t="shared" si="347"/>
        <v>0</v>
      </c>
      <c r="U562" s="132">
        <f t="shared" si="348"/>
        <v>0</v>
      </c>
    </row>
    <row r="563" spans="1:21" ht="18.75" hidden="1" x14ac:dyDescent="0.25">
      <c r="A563" s="257"/>
      <c r="B563" s="269"/>
      <c r="C563" s="269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133">
        <f t="shared" si="344"/>
        <v>0</v>
      </c>
      <c r="P563" s="133">
        <f t="shared" si="345"/>
        <v>0</v>
      </c>
      <c r="Q563" s="77">
        <v>0</v>
      </c>
      <c r="R563" s="77">
        <v>0</v>
      </c>
      <c r="S563" s="77">
        <v>0</v>
      </c>
      <c r="T563" s="133">
        <f t="shared" si="347"/>
        <v>0</v>
      </c>
      <c r="U563" s="133">
        <f t="shared" si="348"/>
        <v>0</v>
      </c>
    </row>
    <row r="564" spans="1:21" ht="18.75" hidden="1" x14ac:dyDescent="0.25">
      <c r="A564" s="257"/>
      <c r="B564" s="269"/>
      <c r="C564" s="269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132">
        <f t="shared" si="344"/>
        <v>0</v>
      </c>
      <c r="P564" s="132">
        <f t="shared" si="345"/>
        <v>0</v>
      </c>
      <c r="Q564" s="74">
        <v>0</v>
      </c>
      <c r="R564" s="74">
        <v>0</v>
      </c>
      <c r="S564" s="74">
        <v>0</v>
      </c>
      <c r="T564" s="132">
        <f t="shared" si="347"/>
        <v>0</v>
      </c>
      <c r="U564" s="132">
        <f t="shared" si="348"/>
        <v>0</v>
      </c>
    </row>
    <row r="565" spans="1:21" ht="19.5" hidden="1" x14ac:dyDescent="0.3">
      <c r="A565" s="276"/>
      <c r="B565" s="277"/>
      <c r="C565" s="618" t="s">
        <v>18</v>
      </c>
      <c r="D565" s="1019" t="s">
        <v>38</v>
      </c>
      <c r="E565" s="280"/>
      <c r="F565" s="280"/>
      <c r="G565" s="281"/>
      <c r="H565" s="310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593"/>
      <c r="C566" s="593"/>
      <c r="D566" s="613"/>
      <c r="E566" s="593"/>
      <c r="F566" s="613"/>
      <c r="G566" s="614"/>
      <c r="H566" s="59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593"/>
      <c r="C567" s="593"/>
      <c r="D567" s="613"/>
      <c r="E567" s="593"/>
      <c r="F567" s="613"/>
      <c r="G567" s="614"/>
      <c r="H567" s="59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59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59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308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5">I588</f>
        <v>0</v>
      </c>
      <c r="J576" s="1002">
        <f t="shared" si="355"/>
        <v>0</v>
      </c>
      <c r="K576" s="1207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214">
        <f t="shared" ref="L577:N577" si="356">L578+L579</f>
        <v>0</v>
      </c>
      <c r="M577" s="215">
        <f t="shared" si="356"/>
        <v>0</v>
      </c>
      <c r="N577" s="215">
        <f t="shared" si="356"/>
        <v>0</v>
      </c>
      <c r="O577" s="215">
        <f t="shared" ref="O577:O585" si="357">IF(L577&gt;0,N577*100/L577,0)</f>
        <v>0</v>
      </c>
      <c r="P577" s="215">
        <f t="shared" ref="P577:P585" si="358">IF(M577&gt;0,N577*100/M577,0)</f>
        <v>0</v>
      </c>
      <c r="Q577" s="215">
        <f t="shared" ref="Q577:S577" si="359">Q578+Q579</f>
        <v>0</v>
      </c>
      <c r="R577" s="215">
        <f t="shared" si="359"/>
        <v>0</v>
      </c>
      <c r="S577" s="215">
        <f t="shared" si="359"/>
        <v>0</v>
      </c>
      <c r="T577" s="215">
        <f t="shared" ref="T577:T585" si="360">IF(Q577&gt;0,S577*100/Q577,0)</f>
        <v>0</v>
      </c>
      <c r="U577" s="215">
        <f t="shared" ref="U577:U585" si="361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217">
        <f t="shared" ref="L578:N579" si="362">L581+L584</f>
        <v>0</v>
      </c>
      <c r="M578" s="133">
        <f t="shared" si="362"/>
        <v>0</v>
      </c>
      <c r="N578" s="133">
        <f t="shared" si="362"/>
        <v>0</v>
      </c>
      <c r="O578" s="133">
        <f t="shared" si="357"/>
        <v>0</v>
      </c>
      <c r="P578" s="133">
        <f t="shared" si="358"/>
        <v>0</v>
      </c>
      <c r="Q578" s="133">
        <f t="shared" ref="Q578:S579" si="363">Q581+Q584</f>
        <v>0</v>
      </c>
      <c r="R578" s="133">
        <f t="shared" si="363"/>
        <v>0</v>
      </c>
      <c r="S578" s="133">
        <f t="shared" si="363"/>
        <v>0</v>
      </c>
      <c r="T578" s="133">
        <f t="shared" si="360"/>
        <v>0</v>
      </c>
      <c r="U578" s="133">
        <f t="shared" si="361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131">
        <f t="shared" si="362"/>
        <v>0</v>
      </c>
      <c r="M579" s="132">
        <f t="shared" si="362"/>
        <v>0</v>
      </c>
      <c r="N579" s="132">
        <f t="shared" si="362"/>
        <v>0</v>
      </c>
      <c r="O579" s="132">
        <f t="shared" si="357"/>
        <v>0</v>
      </c>
      <c r="P579" s="132">
        <f t="shared" si="358"/>
        <v>0</v>
      </c>
      <c r="Q579" s="132">
        <f t="shared" si="363"/>
        <v>0</v>
      </c>
      <c r="R579" s="132">
        <f t="shared" si="363"/>
        <v>0</v>
      </c>
      <c r="S579" s="132">
        <f t="shared" si="363"/>
        <v>0</v>
      </c>
      <c r="T579" s="132">
        <f t="shared" si="360"/>
        <v>0</v>
      </c>
      <c r="U579" s="132">
        <f t="shared" si="361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131">
        <f t="shared" ref="L580:N580" si="364">L581+L582</f>
        <v>0</v>
      </c>
      <c r="M580" s="132">
        <f t="shared" si="364"/>
        <v>0</v>
      </c>
      <c r="N580" s="132">
        <f t="shared" si="364"/>
        <v>0</v>
      </c>
      <c r="O580" s="132">
        <f t="shared" si="357"/>
        <v>0</v>
      </c>
      <c r="P580" s="132">
        <f t="shared" si="358"/>
        <v>0</v>
      </c>
      <c r="Q580" s="132">
        <f t="shared" ref="Q580:S580" si="365">Q581+Q582</f>
        <v>0</v>
      </c>
      <c r="R580" s="132">
        <f t="shared" si="365"/>
        <v>0</v>
      </c>
      <c r="S580" s="132">
        <f t="shared" si="365"/>
        <v>0</v>
      </c>
      <c r="T580" s="132">
        <f t="shared" si="360"/>
        <v>0</v>
      </c>
      <c r="U580" s="132">
        <f t="shared" si="361"/>
        <v>0</v>
      </c>
    </row>
    <row r="581" spans="1:21" ht="18.75" hidden="1" x14ac:dyDescent="0.25">
      <c r="A581" s="257"/>
      <c r="B581" s="269"/>
      <c r="C581" s="269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133">
        <f t="shared" si="357"/>
        <v>0</v>
      </c>
      <c r="P581" s="133">
        <f t="shared" si="358"/>
        <v>0</v>
      </c>
      <c r="Q581" s="77">
        <v>0</v>
      </c>
      <c r="R581" s="77">
        <v>0</v>
      </c>
      <c r="S581" s="77">
        <v>0</v>
      </c>
      <c r="T581" s="133">
        <f t="shared" si="360"/>
        <v>0</v>
      </c>
      <c r="U581" s="133">
        <f t="shared" si="361"/>
        <v>0</v>
      </c>
    </row>
    <row r="582" spans="1:21" ht="18.75" hidden="1" x14ac:dyDescent="0.25">
      <c r="A582" s="257"/>
      <c r="B582" s="269"/>
      <c r="C582" s="269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132">
        <f t="shared" si="357"/>
        <v>0</v>
      </c>
      <c r="P582" s="132">
        <f t="shared" si="358"/>
        <v>0</v>
      </c>
      <c r="Q582" s="74">
        <v>0</v>
      </c>
      <c r="R582" s="74">
        <v>0</v>
      </c>
      <c r="S582" s="74">
        <v>0</v>
      </c>
      <c r="T582" s="132">
        <f t="shared" si="360"/>
        <v>0</v>
      </c>
      <c r="U582" s="132">
        <f t="shared" si="361"/>
        <v>0</v>
      </c>
    </row>
    <row r="583" spans="1:21" ht="18.75" hidden="1" x14ac:dyDescent="0.25">
      <c r="A583" s="257"/>
      <c r="B583" s="269"/>
      <c r="C583" s="269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131">
        <f t="shared" ref="L583:N583" si="366">L584+L585</f>
        <v>0</v>
      </c>
      <c r="M583" s="132">
        <f t="shared" si="366"/>
        <v>0</v>
      </c>
      <c r="N583" s="132">
        <f t="shared" si="366"/>
        <v>0</v>
      </c>
      <c r="O583" s="132">
        <f t="shared" si="357"/>
        <v>0</v>
      </c>
      <c r="P583" s="132">
        <f t="shared" si="358"/>
        <v>0</v>
      </c>
      <c r="Q583" s="132">
        <f t="shared" ref="Q583:S583" si="367">Q584+Q585</f>
        <v>0</v>
      </c>
      <c r="R583" s="132">
        <f t="shared" si="367"/>
        <v>0</v>
      </c>
      <c r="S583" s="132">
        <f t="shared" si="367"/>
        <v>0</v>
      </c>
      <c r="T583" s="132">
        <f t="shared" si="360"/>
        <v>0</v>
      </c>
      <c r="U583" s="132">
        <f t="shared" si="361"/>
        <v>0</v>
      </c>
    </row>
    <row r="584" spans="1:21" ht="18.75" hidden="1" x14ac:dyDescent="0.25">
      <c r="A584" s="257"/>
      <c r="B584" s="269"/>
      <c r="C584" s="269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133">
        <f t="shared" si="357"/>
        <v>0</v>
      </c>
      <c r="P584" s="133">
        <f t="shared" si="358"/>
        <v>0</v>
      </c>
      <c r="Q584" s="77">
        <v>0</v>
      </c>
      <c r="R584" s="77">
        <v>0</v>
      </c>
      <c r="S584" s="77">
        <v>0</v>
      </c>
      <c r="T584" s="133">
        <f t="shared" si="360"/>
        <v>0</v>
      </c>
      <c r="U584" s="133">
        <f t="shared" si="361"/>
        <v>0</v>
      </c>
    </row>
    <row r="585" spans="1:21" ht="18.75" hidden="1" x14ac:dyDescent="0.25">
      <c r="A585" s="257"/>
      <c r="B585" s="269"/>
      <c r="C585" s="269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132">
        <f t="shared" si="357"/>
        <v>0</v>
      </c>
      <c r="P585" s="132">
        <f t="shared" si="358"/>
        <v>0</v>
      </c>
      <c r="Q585" s="74">
        <v>0</v>
      </c>
      <c r="R585" s="74">
        <v>0</v>
      </c>
      <c r="S585" s="74">
        <v>0</v>
      </c>
      <c r="T585" s="132">
        <f t="shared" si="360"/>
        <v>0</v>
      </c>
      <c r="U585" s="132">
        <f t="shared" si="361"/>
        <v>0</v>
      </c>
    </row>
    <row r="586" spans="1:21" ht="19.5" hidden="1" x14ac:dyDescent="0.3">
      <c r="A586" s="276"/>
      <c r="B586" s="277"/>
      <c r="C586" s="618" t="s">
        <v>18</v>
      </c>
      <c r="D586" s="1019" t="s">
        <v>38</v>
      </c>
      <c r="E586" s="280"/>
      <c r="F586" s="280"/>
      <c r="G586" s="281"/>
      <c r="H586" s="310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593"/>
      <c r="C587" s="593"/>
      <c r="D587" s="613"/>
      <c r="E587" s="593"/>
      <c r="F587" s="613"/>
      <c r="G587" s="614"/>
      <c r="H587" s="59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593"/>
      <c r="C588" s="593"/>
      <c r="D588" s="613"/>
      <c r="E588" s="593"/>
      <c r="F588" s="613"/>
      <c r="G588" s="614"/>
      <c r="H588" s="59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59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3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1208" t="s">
        <v>309</v>
      </c>
      <c r="C598" s="304"/>
      <c r="D598" s="253"/>
      <c r="E598" s="253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3"/>
      <c r="E599" s="253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214">
        <f t="shared" ref="L600:N600" si="368">L601+L602</f>
        <v>0</v>
      </c>
      <c r="M600" s="215">
        <f t="shared" si="368"/>
        <v>0</v>
      </c>
      <c r="N600" s="215">
        <f t="shared" si="368"/>
        <v>0</v>
      </c>
      <c r="O600" s="215">
        <f t="shared" ref="O600:O608" si="369">IF(L600&gt;0,N600*100/L600,0)</f>
        <v>0</v>
      </c>
      <c r="P600" s="215">
        <f t="shared" ref="P600:P608" si="370">IF(M600&gt;0,N600*100/M600,0)</f>
        <v>0</v>
      </c>
      <c r="Q600" s="215">
        <f t="shared" ref="Q600:S600" si="371">Q601+Q602</f>
        <v>0</v>
      </c>
      <c r="R600" s="215">
        <f t="shared" si="371"/>
        <v>0</v>
      </c>
      <c r="S600" s="215">
        <f t="shared" si="371"/>
        <v>0</v>
      </c>
      <c r="T600" s="215">
        <f t="shared" ref="T600:T608" si="372">IF(Q600&gt;0,S600*100/Q600,0)</f>
        <v>0</v>
      </c>
      <c r="U600" s="215">
        <f t="shared" ref="U600:U608" si="373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217">
        <f t="shared" ref="L601:N602" si="374">L604+L607</f>
        <v>0</v>
      </c>
      <c r="M601" s="133">
        <f t="shared" si="374"/>
        <v>0</v>
      </c>
      <c r="N601" s="133">
        <f t="shared" si="374"/>
        <v>0</v>
      </c>
      <c r="O601" s="133">
        <f t="shared" si="369"/>
        <v>0</v>
      </c>
      <c r="P601" s="133">
        <f t="shared" si="370"/>
        <v>0</v>
      </c>
      <c r="Q601" s="133">
        <f t="shared" ref="Q601:S602" si="375">Q604+Q607</f>
        <v>0</v>
      </c>
      <c r="R601" s="133">
        <f t="shared" si="375"/>
        <v>0</v>
      </c>
      <c r="S601" s="133">
        <f t="shared" si="375"/>
        <v>0</v>
      </c>
      <c r="T601" s="133">
        <f t="shared" si="372"/>
        <v>0</v>
      </c>
      <c r="U601" s="133">
        <f t="shared" si="373"/>
        <v>0</v>
      </c>
    </row>
    <row r="602" spans="1:21" ht="18.75" hidden="1" x14ac:dyDescent="0.25">
      <c r="A602" s="257"/>
      <c r="B602" s="269"/>
      <c r="C602" s="269"/>
      <c r="D602" s="277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131">
        <f t="shared" si="374"/>
        <v>0</v>
      </c>
      <c r="M602" s="132">
        <f t="shared" si="374"/>
        <v>0</v>
      </c>
      <c r="N602" s="132">
        <f t="shared" si="374"/>
        <v>0</v>
      </c>
      <c r="O602" s="132">
        <f t="shared" si="369"/>
        <v>0</v>
      </c>
      <c r="P602" s="132">
        <f t="shared" si="370"/>
        <v>0</v>
      </c>
      <c r="Q602" s="132">
        <f t="shared" si="375"/>
        <v>0</v>
      </c>
      <c r="R602" s="132">
        <f t="shared" si="375"/>
        <v>0</v>
      </c>
      <c r="S602" s="132">
        <f t="shared" si="375"/>
        <v>0</v>
      </c>
      <c r="T602" s="132">
        <f t="shared" si="372"/>
        <v>0</v>
      </c>
      <c r="U602" s="132">
        <f t="shared" si="373"/>
        <v>0</v>
      </c>
    </row>
    <row r="603" spans="1:21" ht="19.5" hidden="1" x14ac:dyDescent="0.3">
      <c r="A603" s="257"/>
      <c r="B603" s="269"/>
      <c r="C603" s="269"/>
      <c r="D603" s="1209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131">
        <f t="shared" ref="L603:N603" si="376">L604+L605</f>
        <v>0</v>
      </c>
      <c r="M603" s="132">
        <f t="shared" si="376"/>
        <v>0</v>
      </c>
      <c r="N603" s="132">
        <f t="shared" si="376"/>
        <v>0</v>
      </c>
      <c r="O603" s="132">
        <f t="shared" si="369"/>
        <v>0</v>
      </c>
      <c r="P603" s="132">
        <f t="shared" si="370"/>
        <v>0</v>
      </c>
      <c r="Q603" s="132">
        <f t="shared" ref="Q603:S603" si="377">Q604+Q605</f>
        <v>0</v>
      </c>
      <c r="R603" s="132">
        <f t="shared" si="377"/>
        <v>0</v>
      </c>
      <c r="S603" s="132">
        <f t="shared" si="377"/>
        <v>0</v>
      </c>
      <c r="T603" s="132">
        <f t="shared" si="372"/>
        <v>0</v>
      </c>
      <c r="U603" s="132">
        <f t="shared" si="373"/>
        <v>0</v>
      </c>
    </row>
    <row r="604" spans="1:21" ht="18.75" hidden="1" x14ac:dyDescent="0.25">
      <c r="A604" s="257"/>
      <c r="B604" s="269"/>
      <c r="C604" s="269"/>
      <c r="D604" s="277"/>
      <c r="E604" s="77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133">
        <f t="shared" si="369"/>
        <v>0</v>
      </c>
      <c r="P604" s="133">
        <f t="shared" si="370"/>
        <v>0</v>
      </c>
      <c r="Q604" s="77">
        <v>0</v>
      </c>
      <c r="R604" s="77">
        <v>0</v>
      </c>
      <c r="S604" s="77">
        <v>0</v>
      </c>
      <c r="T604" s="133">
        <f t="shared" si="372"/>
        <v>0</v>
      </c>
      <c r="U604" s="133">
        <f t="shared" si="373"/>
        <v>0</v>
      </c>
    </row>
    <row r="605" spans="1:21" ht="18.75" hidden="1" x14ac:dyDescent="0.25">
      <c r="A605" s="257"/>
      <c r="B605" s="269"/>
      <c r="C605" s="269"/>
      <c r="D605" s="277"/>
      <c r="E605" s="77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132">
        <f t="shared" si="369"/>
        <v>0</v>
      </c>
      <c r="P605" s="132">
        <f t="shared" si="370"/>
        <v>0</v>
      </c>
      <c r="Q605" s="74">
        <v>0</v>
      </c>
      <c r="R605" s="74">
        <v>0</v>
      </c>
      <c r="S605" s="74">
        <v>0</v>
      </c>
      <c r="T605" s="132">
        <f t="shared" si="372"/>
        <v>0</v>
      </c>
      <c r="U605" s="132">
        <f t="shared" si="373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131">
        <f t="shared" ref="L606:N606" si="378">L607+L608</f>
        <v>0</v>
      </c>
      <c r="M606" s="132">
        <f t="shared" si="378"/>
        <v>0</v>
      </c>
      <c r="N606" s="132">
        <f t="shared" si="378"/>
        <v>0</v>
      </c>
      <c r="O606" s="132">
        <f t="shared" si="369"/>
        <v>0</v>
      </c>
      <c r="P606" s="132">
        <f t="shared" si="370"/>
        <v>0</v>
      </c>
      <c r="Q606" s="132">
        <f t="shared" ref="Q606:S606" si="379">Q607+Q608</f>
        <v>0</v>
      </c>
      <c r="R606" s="132">
        <f t="shared" si="379"/>
        <v>0</v>
      </c>
      <c r="S606" s="132">
        <f t="shared" si="379"/>
        <v>0</v>
      </c>
      <c r="T606" s="132">
        <f t="shared" si="372"/>
        <v>0</v>
      </c>
      <c r="U606" s="132">
        <f t="shared" si="373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133">
        <f t="shared" si="369"/>
        <v>0</v>
      </c>
      <c r="P607" s="133">
        <f t="shared" si="370"/>
        <v>0</v>
      </c>
      <c r="Q607" s="77">
        <v>0</v>
      </c>
      <c r="R607" s="77">
        <v>0</v>
      </c>
      <c r="S607" s="77">
        <v>0</v>
      </c>
      <c r="T607" s="133">
        <f t="shared" si="372"/>
        <v>0</v>
      </c>
      <c r="U607" s="133">
        <f t="shared" si="373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132">
        <f t="shared" si="369"/>
        <v>0</v>
      </c>
      <c r="P608" s="132">
        <f t="shared" si="370"/>
        <v>0</v>
      </c>
      <c r="Q608" s="74">
        <v>0</v>
      </c>
      <c r="R608" s="74">
        <v>0</v>
      </c>
      <c r="S608" s="74">
        <v>0</v>
      </c>
      <c r="T608" s="132">
        <f t="shared" si="372"/>
        <v>0</v>
      </c>
      <c r="U608" s="132">
        <f t="shared" si="373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hidden="1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5"/>
      <c r="E616" s="737"/>
      <c r="F616" s="737"/>
      <c r="G616" s="738"/>
      <c r="H616" s="739" t="s">
        <v>46</v>
      </c>
      <c r="I616" s="1210">
        <f t="shared" ref="I616:J616" ca="1" si="380">I627</f>
        <v>50</v>
      </c>
      <c r="J616" s="1210">
        <f t="shared" si="380"/>
        <v>0</v>
      </c>
      <c r="K616" s="121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70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214">
        <f t="shared" ref="L617:N617" si="381">L618+L619</f>
        <v>0</v>
      </c>
      <c r="M617" s="215">
        <f t="shared" si="381"/>
        <v>0</v>
      </c>
      <c r="N617" s="215">
        <f t="shared" si="381"/>
        <v>0</v>
      </c>
      <c r="O617" s="215">
        <f t="shared" ref="O617:O625" si="382">IF(L617&gt;0,N617*100/L617,0)</f>
        <v>0</v>
      </c>
      <c r="P617" s="215">
        <f t="shared" ref="P617:P625" si="383">IF(M617&gt;0,N617*100/M617,0)</f>
        <v>0</v>
      </c>
      <c r="Q617" s="215">
        <f t="shared" ref="Q617:S617" ca="1" si="384">Q618+Q619</f>
        <v>6750</v>
      </c>
      <c r="R617" s="215">
        <f t="shared" ca="1" si="384"/>
        <v>6750</v>
      </c>
      <c r="S617" s="215">
        <f t="shared" ca="1" si="384"/>
        <v>0</v>
      </c>
      <c r="T617" s="215">
        <f t="shared" ref="T617:T625" ca="1" si="385">IF(Q617&gt;0,S617*100/Q617,0)</f>
        <v>0</v>
      </c>
      <c r="U617" s="215">
        <f t="shared" ref="U617:U625" ca="1" si="386">IF(R617&gt;0,S617*100/R617,0)</f>
        <v>0</v>
      </c>
    </row>
    <row r="618" spans="1:21" ht="18.75" hidden="1" x14ac:dyDescent="0.25">
      <c r="A618" s="257"/>
      <c r="B618" s="269"/>
      <c r="C618" s="269"/>
      <c r="D618" s="277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217">
        <f t="shared" ref="L618:N619" si="387">L621+L624</f>
        <v>0</v>
      </c>
      <c r="M618" s="133">
        <f t="shared" si="387"/>
        <v>0</v>
      </c>
      <c r="N618" s="133">
        <f t="shared" si="387"/>
        <v>0</v>
      </c>
      <c r="O618" s="133">
        <f t="shared" si="382"/>
        <v>0</v>
      </c>
      <c r="P618" s="133">
        <f t="shared" si="383"/>
        <v>0</v>
      </c>
      <c r="Q618" s="133">
        <f t="shared" ref="Q618:S619" si="388">Q621+Q624</f>
        <v>0</v>
      </c>
      <c r="R618" s="133">
        <f t="shared" si="388"/>
        <v>0</v>
      </c>
      <c r="S618" s="133">
        <f t="shared" si="388"/>
        <v>0</v>
      </c>
      <c r="T618" s="133">
        <f t="shared" si="385"/>
        <v>0</v>
      </c>
      <c r="U618" s="133">
        <f t="shared" si="386"/>
        <v>0</v>
      </c>
    </row>
    <row r="619" spans="1:21" ht="18.75" hidden="1" x14ac:dyDescent="0.25">
      <c r="A619" s="257"/>
      <c r="B619" s="269"/>
      <c r="C619" s="269"/>
      <c r="D619" s="277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131">
        <f t="shared" si="387"/>
        <v>0</v>
      </c>
      <c r="M619" s="132">
        <f t="shared" si="387"/>
        <v>0</v>
      </c>
      <c r="N619" s="132">
        <f t="shared" si="387"/>
        <v>0</v>
      </c>
      <c r="O619" s="132">
        <f t="shared" si="382"/>
        <v>0</v>
      </c>
      <c r="P619" s="132">
        <f t="shared" si="383"/>
        <v>0</v>
      </c>
      <c r="Q619" s="132">
        <f t="shared" ca="1" si="388"/>
        <v>6750</v>
      </c>
      <c r="R619" s="132">
        <f t="shared" ca="1" si="388"/>
        <v>6750</v>
      </c>
      <c r="S619" s="132">
        <f t="shared" ca="1" si="388"/>
        <v>0</v>
      </c>
      <c r="T619" s="132">
        <f t="shared" ca="1" si="385"/>
        <v>0</v>
      </c>
      <c r="U619" s="132">
        <f t="shared" ca="1" si="386"/>
        <v>0</v>
      </c>
    </row>
    <row r="620" spans="1:21" ht="18.75" x14ac:dyDescent="0.25">
      <c r="A620" s="257"/>
      <c r="B620" s="269"/>
      <c r="C620" s="269"/>
      <c r="D620" s="967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131">
        <f t="shared" ref="L620:N620" si="389">L621+L622</f>
        <v>0</v>
      </c>
      <c r="M620" s="132">
        <f t="shared" si="389"/>
        <v>0</v>
      </c>
      <c r="N620" s="132">
        <f t="shared" si="389"/>
        <v>0</v>
      </c>
      <c r="O620" s="132">
        <f t="shared" si="382"/>
        <v>0</v>
      </c>
      <c r="P620" s="132">
        <f t="shared" si="383"/>
        <v>0</v>
      </c>
      <c r="Q620" s="132">
        <f t="shared" ref="Q620:S620" ca="1" si="390">Q621+Q622</f>
        <v>6750</v>
      </c>
      <c r="R620" s="132">
        <f t="shared" ca="1" si="390"/>
        <v>6750</v>
      </c>
      <c r="S620" s="132">
        <f t="shared" ca="1" si="390"/>
        <v>0</v>
      </c>
      <c r="T620" s="132">
        <f t="shared" ca="1" si="385"/>
        <v>0</v>
      </c>
      <c r="U620" s="132">
        <f t="shared" ca="1" si="386"/>
        <v>0</v>
      </c>
    </row>
    <row r="621" spans="1:21" ht="18.75" hidden="1" x14ac:dyDescent="0.25">
      <c r="A621" s="257"/>
      <c r="B621" s="269"/>
      <c r="C621" s="269"/>
      <c r="D621" s="277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133">
        <f t="shared" si="382"/>
        <v>0</v>
      </c>
      <c r="P621" s="133">
        <f t="shared" si="383"/>
        <v>0</v>
      </c>
      <c r="Q621" s="77">
        <v>0</v>
      </c>
      <c r="R621" s="77">
        <v>0</v>
      </c>
      <c r="S621" s="77">
        <v>0</v>
      </c>
      <c r="T621" s="133">
        <f t="shared" si="385"/>
        <v>0</v>
      </c>
      <c r="U621" s="133">
        <f t="shared" si="386"/>
        <v>0</v>
      </c>
    </row>
    <row r="622" spans="1:21" ht="18.75" hidden="1" x14ac:dyDescent="0.25">
      <c r="A622" s="257"/>
      <c r="B622" s="269"/>
      <c r="C622" s="269"/>
      <c r="D622" s="277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132">
        <f t="shared" si="382"/>
        <v>0</v>
      </c>
      <c r="P622" s="132">
        <f t="shared" si="383"/>
        <v>0</v>
      </c>
      <c r="Q622" s="132">
        <f ca="1">IFERROR(__xludf.DUMMYFUNCTION("IMPORTRANGE(""https://docs.google.com/spreadsheets/d/1ItG2mGa2ceCfYo0BwxsXqNm01IGEUdYcSSLTEv9YCik/edit?usp=sharing"",""เบิกจ่ายกองทุน!F54"")"),6750)</f>
        <v>6750</v>
      </c>
      <c r="R622" s="132">
        <f ca="1">IFERROR(__xludf.DUMMYFUNCTION("IMPORTRANGE(""https://docs.google.com/spreadsheets/d/1ItG2mGa2ceCfYo0BwxsXqNm01IGEUdYcSSLTEv9YCik/edit?usp=sharing"",""เบิกจ่ายกองทุน!G54"")"),6750)</f>
        <v>6750</v>
      </c>
      <c r="S622" s="132">
        <f ca="1">IFERROR(__xludf.DUMMYFUNCTION("IMPORTRANGE(""https://docs.google.com/spreadsheets/d/1ItG2mGa2ceCfYo0BwxsXqNm01IGEUdYcSSLTEv9YCik/edit?usp=sharing"",""เบิกจ่ายกองทุน!H54"")"),0)</f>
        <v>0</v>
      </c>
      <c r="T622" s="132">
        <f t="shared" ca="1" si="385"/>
        <v>0</v>
      </c>
      <c r="U622" s="132">
        <f t="shared" ca="1" si="386"/>
        <v>0</v>
      </c>
    </row>
    <row r="623" spans="1:21" ht="18.75" x14ac:dyDescent="0.25">
      <c r="A623" s="257"/>
      <c r="B623" s="269"/>
      <c r="C623" s="269"/>
      <c r="D623" s="967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131">
        <f t="shared" ref="L623:N623" si="391">L624+L625</f>
        <v>0</v>
      </c>
      <c r="M623" s="132">
        <f t="shared" si="391"/>
        <v>0</v>
      </c>
      <c r="N623" s="132">
        <f t="shared" si="391"/>
        <v>0</v>
      </c>
      <c r="O623" s="132">
        <f t="shared" si="382"/>
        <v>0</v>
      </c>
      <c r="P623" s="132">
        <f t="shared" si="383"/>
        <v>0</v>
      </c>
      <c r="Q623" s="132">
        <f t="shared" ref="Q623:S623" si="392">Q624+Q625</f>
        <v>0</v>
      </c>
      <c r="R623" s="132">
        <f t="shared" si="392"/>
        <v>0</v>
      </c>
      <c r="S623" s="132">
        <f t="shared" si="392"/>
        <v>0</v>
      </c>
      <c r="T623" s="132">
        <f t="shared" si="385"/>
        <v>0</v>
      </c>
      <c r="U623" s="132">
        <f t="shared" si="386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133">
        <f t="shared" si="382"/>
        <v>0</v>
      </c>
      <c r="P624" s="133">
        <f t="shared" si="383"/>
        <v>0</v>
      </c>
      <c r="Q624" s="77">
        <v>0</v>
      </c>
      <c r="R624" s="77">
        <v>0</v>
      </c>
      <c r="S624" s="77">
        <v>0</v>
      </c>
      <c r="T624" s="133">
        <f t="shared" si="385"/>
        <v>0</v>
      </c>
      <c r="U624" s="133">
        <f t="shared" si="386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132">
        <f t="shared" si="382"/>
        <v>0</v>
      </c>
      <c r="P625" s="132">
        <f t="shared" si="383"/>
        <v>0</v>
      </c>
      <c r="Q625" s="74">
        <v>0</v>
      </c>
      <c r="R625" s="74">
        <v>0</v>
      </c>
      <c r="S625" s="74">
        <v>0</v>
      </c>
      <c r="T625" s="132">
        <f t="shared" si="385"/>
        <v>0</v>
      </c>
      <c r="U625" s="132">
        <f t="shared" si="386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1012">
        <f ca="1">IFERROR(__xludf.DUMMYFUNCTION("IMPORTRANGE(""https://docs.google.com/spreadsheets/d/1eHaY18a8A9IcSdp1K8H6x8fbOy06t2VsZHhMHf-1x7Y/edit?usp=sharing"",""แผน!ID54"")"),50)</f>
        <v>50</v>
      </c>
      <c r="J627" s="1013">
        <f>J633</f>
        <v>0</v>
      </c>
      <c r="K627" s="101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1015">
        <f ca="1">IFERROR(__xludf.DUMMYFUNCTION("IMPORTRANGE(""https://docs.google.com/spreadsheets/d/1eHaY18a8A9IcSdp1K8H6x8fbOy06t2VsZHhMHf-1x7Y/edit?usp=sharing"",""แผน!IC54"")"),0)</f>
        <v>0</v>
      </c>
      <c r="J628" s="294">
        <v>0</v>
      </c>
      <c r="K628" s="74">
        <f t="shared" ref="K628:K629" ca="1" si="393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1015">
        <f ca="1">IFERROR(__xludf.DUMMYFUNCTION("IMPORTRANGE(""https://docs.google.com/spreadsheets/d/1eHaY18a8A9IcSdp1K8H6x8fbOy06t2VsZHhMHf-1x7Y/edit?usp=sharing"",""แผน!IC54"")"),0)</f>
        <v>0</v>
      </c>
      <c r="J629" s="294">
        <v>0</v>
      </c>
      <c r="K629" s="74">
        <f t="shared" ca="1" si="393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1016"/>
      <c r="J630" s="294">
        <v>0</v>
      </c>
      <c r="K630" s="74">
        <f t="shared" ref="K630:K632" ca="1" si="394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1016"/>
      <c r="J631" s="294">
        <v>0</v>
      </c>
      <c r="K631" s="74">
        <f t="shared" ca="1" si="394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1016"/>
      <c r="J632" s="294">
        <v>0</v>
      </c>
      <c r="K632" s="74">
        <f t="shared" ca="1" si="394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1016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1016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1016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1017">
        <f ca="1">IFERROR(__xludf.DUMMYFUNCTION("IMPORTRANGE(""https://docs.google.com/spreadsheets/d/1eHaY18a8A9IcSdp1K8H6x8fbOy06t2VsZHhMHf-1x7Y/edit?usp=sharing"",""แผน!IE54"")"),0)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1016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1016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1016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1016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1016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214">
        <f t="shared" ref="L643:N643" si="395">L644+L645</f>
        <v>0</v>
      </c>
      <c r="M643" s="215">
        <f t="shared" si="395"/>
        <v>0</v>
      </c>
      <c r="N643" s="215">
        <f t="shared" si="395"/>
        <v>0</v>
      </c>
      <c r="O643" s="215">
        <f t="shared" ref="O643:O651" si="396">IF(L643&gt;0,N643*100/L643,0)</f>
        <v>0</v>
      </c>
      <c r="P643" s="215">
        <f t="shared" ref="P643:P651" si="397">IF(M643&gt;0,N643*100/M643,0)</f>
        <v>0</v>
      </c>
      <c r="Q643" s="215">
        <f t="shared" ref="Q643:S643" ca="1" si="398">Q644+Q645</f>
        <v>8220</v>
      </c>
      <c r="R643" s="215">
        <f t="shared" ca="1" si="398"/>
        <v>8220</v>
      </c>
      <c r="S643" s="215">
        <f t="shared" ca="1" si="398"/>
        <v>1480</v>
      </c>
      <c r="T643" s="215">
        <f t="shared" ref="T643:T651" ca="1" si="399">IF(Q643&gt;0,S643*100/Q643,0)</f>
        <v>18.004866180048662</v>
      </c>
      <c r="U643" s="215">
        <f t="shared" ref="U643:U651" ca="1" si="400">IF(R643&gt;0,S643*100/R643,0)</f>
        <v>18.004866180048662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217">
        <f t="shared" ref="L644:N645" si="401">L647+L650</f>
        <v>0</v>
      </c>
      <c r="M644" s="133">
        <f t="shared" si="401"/>
        <v>0</v>
      </c>
      <c r="N644" s="133">
        <f t="shared" si="401"/>
        <v>0</v>
      </c>
      <c r="O644" s="133">
        <f t="shared" si="396"/>
        <v>0</v>
      </c>
      <c r="P644" s="133">
        <f t="shared" si="397"/>
        <v>0</v>
      </c>
      <c r="Q644" s="133">
        <f t="shared" ref="Q644:S645" si="402">Q647+Q650</f>
        <v>0</v>
      </c>
      <c r="R644" s="133">
        <f t="shared" si="402"/>
        <v>0</v>
      </c>
      <c r="S644" s="133">
        <f t="shared" si="402"/>
        <v>0</v>
      </c>
      <c r="T644" s="133">
        <f t="shared" si="399"/>
        <v>0</v>
      </c>
      <c r="U644" s="133">
        <f t="shared" si="400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131">
        <f t="shared" si="401"/>
        <v>0</v>
      </c>
      <c r="M645" s="132">
        <f t="shared" si="401"/>
        <v>0</v>
      </c>
      <c r="N645" s="132">
        <f t="shared" si="401"/>
        <v>0</v>
      </c>
      <c r="O645" s="132">
        <f t="shared" si="396"/>
        <v>0</v>
      </c>
      <c r="P645" s="132">
        <f t="shared" si="397"/>
        <v>0</v>
      </c>
      <c r="Q645" s="132">
        <f t="shared" ca="1" si="402"/>
        <v>8220</v>
      </c>
      <c r="R645" s="132">
        <f t="shared" ca="1" si="402"/>
        <v>8220</v>
      </c>
      <c r="S645" s="132">
        <f t="shared" ca="1" si="402"/>
        <v>1480</v>
      </c>
      <c r="T645" s="132">
        <f t="shared" ca="1" si="399"/>
        <v>18.004866180048662</v>
      </c>
      <c r="U645" s="132">
        <f t="shared" ca="1" si="400"/>
        <v>18.004866180048662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131">
        <f t="shared" ref="L646:N646" si="403">L647+L648</f>
        <v>0</v>
      </c>
      <c r="M646" s="132">
        <f t="shared" si="403"/>
        <v>0</v>
      </c>
      <c r="N646" s="132">
        <f t="shared" si="403"/>
        <v>0</v>
      </c>
      <c r="O646" s="132">
        <f t="shared" si="396"/>
        <v>0</v>
      </c>
      <c r="P646" s="132">
        <f t="shared" si="397"/>
        <v>0</v>
      </c>
      <c r="Q646" s="132">
        <f t="shared" ref="Q646:S646" ca="1" si="404">Q647+Q648</f>
        <v>8220</v>
      </c>
      <c r="R646" s="132">
        <f t="shared" ca="1" si="404"/>
        <v>8220</v>
      </c>
      <c r="S646" s="132">
        <f t="shared" ca="1" si="404"/>
        <v>1480</v>
      </c>
      <c r="T646" s="132">
        <f t="shared" ca="1" si="399"/>
        <v>18.004866180048662</v>
      </c>
      <c r="U646" s="132">
        <f t="shared" ca="1" si="400"/>
        <v>18.004866180048662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133">
        <f t="shared" si="396"/>
        <v>0</v>
      </c>
      <c r="P647" s="133">
        <f t="shared" si="397"/>
        <v>0</v>
      </c>
      <c r="Q647" s="77">
        <v>0</v>
      </c>
      <c r="R647" s="77">
        <v>0</v>
      </c>
      <c r="S647" s="77">
        <v>0</v>
      </c>
      <c r="T647" s="133">
        <f t="shared" si="399"/>
        <v>0</v>
      </c>
      <c r="U647" s="133">
        <f t="shared" si="400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132">
        <f t="shared" si="396"/>
        <v>0</v>
      </c>
      <c r="P648" s="132">
        <f t="shared" si="397"/>
        <v>0</v>
      </c>
      <c r="Q648" s="132">
        <f ca="1">IFERROR(__xludf.DUMMYFUNCTION("IMPORTRANGE(""https://docs.google.com/spreadsheets/d/1ItG2mGa2ceCfYo0BwxsXqNm01IGEUdYcSSLTEv9YCik/edit?usp=sharing"",""เบิกจ่ายกองทุน!I54"")"),8220)</f>
        <v>8220</v>
      </c>
      <c r="R648" s="132">
        <f ca="1">IFERROR(__xludf.DUMMYFUNCTION("IMPORTRANGE(""https://docs.google.com/spreadsheets/d/1ItG2mGa2ceCfYo0BwxsXqNm01IGEUdYcSSLTEv9YCik/edit?usp=sharing"",""เบิกจ่ายกองทุน!J54"")"),8220)</f>
        <v>8220</v>
      </c>
      <c r="S648" s="132">
        <f ca="1">IFERROR(__xludf.DUMMYFUNCTION("IMPORTRANGE(""https://docs.google.com/spreadsheets/d/1ItG2mGa2ceCfYo0BwxsXqNm01IGEUdYcSSLTEv9YCik/edit?usp=sharing"",""เบิกจ่ายกองทุน!K54"")"),1480)</f>
        <v>1480</v>
      </c>
      <c r="T648" s="132">
        <f t="shared" ca="1" si="399"/>
        <v>18.004866180048662</v>
      </c>
      <c r="U648" s="132">
        <f t="shared" ca="1" si="400"/>
        <v>18.004866180048662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131">
        <f t="shared" ref="L649:N649" si="405">L650+L651</f>
        <v>0</v>
      </c>
      <c r="M649" s="132">
        <f t="shared" si="405"/>
        <v>0</v>
      </c>
      <c r="N649" s="132">
        <f t="shared" si="405"/>
        <v>0</v>
      </c>
      <c r="O649" s="132">
        <f t="shared" si="396"/>
        <v>0</v>
      </c>
      <c r="P649" s="132">
        <f t="shared" si="397"/>
        <v>0</v>
      </c>
      <c r="Q649" s="132">
        <f t="shared" ref="Q649:S649" si="406">Q650+Q651</f>
        <v>0</v>
      </c>
      <c r="R649" s="132">
        <f t="shared" si="406"/>
        <v>0</v>
      </c>
      <c r="S649" s="132">
        <f t="shared" si="406"/>
        <v>0</v>
      </c>
      <c r="T649" s="132">
        <f t="shared" si="399"/>
        <v>0</v>
      </c>
      <c r="U649" s="132">
        <f t="shared" si="400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133">
        <f t="shared" si="396"/>
        <v>0</v>
      </c>
      <c r="P650" s="133">
        <f t="shared" si="397"/>
        <v>0</v>
      </c>
      <c r="Q650" s="77">
        <v>0</v>
      </c>
      <c r="R650" s="77">
        <v>0</v>
      </c>
      <c r="S650" s="77">
        <v>0</v>
      </c>
      <c r="T650" s="133">
        <f t="shared" si="399"/>
        <v>0</v>
      </c>
      <c r="U650" s="133">
        <f t="shared" si="400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132">
        <f t="shared" si="396"/>
        <v>0</v>
      </c>
      <c r="P651" s="132">
        <f t="shared" si="397"/>
        <v>0</v>
      </c>
      <c r="Q651" s="74">
        <v>0</v>
      </c>
      <c r="R651" s="74">
        <v>0</v>
      </c>
      <c r="S651" s="74">
        <v>0</v>
      </c>
      <c r="T651" s="132">
        <f t="shared" si="399"/>
        <v>0</v>
      </c>
      <c r="U651" s="132">
        <f t="shared" si="400"/>
        <v>0</v>
      </c>
    </row>
    <row r="652" spans="1:21" ht="19.5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1212">
        <f ca="1">IFERROR(__xludf.DUMMYFUNCTION("IMPORTRANGE(""https://docs.google.com/spreadsheets/d/1eHaY18a8A9IcSdp1K8H6x8fbOy06t2VsZHhMHf-1x7Y/edit?usp=sharing"",""แผน!IF54"")"),10)</f>
        <v>10</v>
      </c>
      <c r="J653" s="623">
        <f ca="1">IFERROR(__xludf.DUMMYFUNCTION("IMPORTRANGE(""https://docs.google.com/spreadsheets/d/1tdoBKaGub7dwA3U6UFTqxio9LNnvDCQjHKmttSEBsFQ/edit?usp=sharing"",""จัดที่ดิน!AU54"")"),0)</f>
        <v>0</v>
      </c>
      <c r="K653" s="132">
        <f t="shared" ref="K653:K655" ca="1" si="407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1212">
        <f ca="1">IFERROR(__xludf.DUMMYFUNCTION("IMPORTRANGE(""https://docs.google.com/spreadsheets/d/1eHaY18a8A9IcSdp1K8H6x8fbOy06t2VsZHhMHf-1x7Y/edit?usp=sharing"",""แผน!IG54"")"),2)</f>
        <v>2</v>
      </c>
      <c r="J654" s="623">
        <f ca="1">IFERROR(__xludf.DUMMYFUNCTION("IMPORTRANGE(""https://docs.google.com/spreadsheets/d/1tdoBKaGub7dwA3U6UFTqxio9LNnvDCQjHKmttSEBsFQ/edit?usp=sharing"",""จัดที่ดิน!AW54"")"),0)</f>
        <v>0</v>
      </c>
      <c r="K654" s="132">
        <f t="shared" ca="1" si="407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hidden="1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1213">
        <f ca="1">IFERROR(__xludf.DUMMYFUNCTION("IMPORTRANGE(""https://docs.google.com/spreadsheets/d/1eHaY18a8A9IcSdp1K8H6x8fbOy06t2VsZHhMHf-1x7Y/edit?usp=sharing"",""แผน!IH54"")"),0)</f>
        <v>0</v>
      </c>
      <c r="J655" s="1027">
        <f>J658+J661</f>
        <v>0</v>
      </c>
      <c r="K655" s="215">
        <f t="shared" ca="1" si="407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hidden="1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hidden="1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hidden="1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1212">
        <f ca="1">IFERROR(__xludf.DUMMYFUNCTION("IMPORTRANGE(""https://docs.google.com/spreadsheets/d/1eHaY18a8A9IcSdp1K8H6x8fbOy06t2VsZHhMHf-1x7Y/edit?usp=sharing"",""แผน!II54"")"),0)</f>
        <v>0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hidden="1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hidden="1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hidden="1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1212">
        <f ca="1">IFERROR(__xludf.DUMMYFUNCTION("IMPORTRANGE(""https://docs.google.com/spreadsheets/d/1eHaY18a8A9IcSdp1K8H6x8fbOy06t2VsZHhMHf-1x7Y/edit?usp=sharing"",""แผน!IJ54"")"),0)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1213">
        <f ca="1">IFERROR(__xludf.DUMMYFUNCTION("IMPORTRANGE(""https://docs.google.com/spreadsheets/d/1eHaY18a8A9IcSdp1K8H6x8fbOy06t2VsZHhMHf-1x7Y/edit?usp=sharing"",""แผน!IK54"")"),64)</f>
        <v>64</v>
      </c>
      <c r="J662" s="1027">
        <f>J668+J671</f>
        <v>0</v>
      </c>
      <c r="K662" s="215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623">
        <f ca="1">IFERROR(__xludf.DUMMYFUNCTION("IMPORTRANGE(""https://docs.google.com/spreadsheets/d/1tdoBKaGub7dwA3U6UFTqxio9LNnvDCQjHKmttSEBsFQ/edit?usp=sharing"",""จัดที่ดิน!AY54"")"),0)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623">
        <f ca="1">IFERROR(__xludf.DUMMYFUNCTION("IMPORTRANGE(""https://docs.google.com/spreadsheets/d/1tdoBKaGub7dwA3U6UFTqxio9LNnvDCQjHKmttSEBsFQ/edit?usp=sharing"",""จัดที่ดิน!AZ54"")"),0)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1212">
        <f ca="1">IFERROR(__xludf.DUMMYFUNCTION("IMPORTRANGE(""https://docs.google.com/spreadsheets/d/1eHaY18a8A9IcSdp1K8H6x8fbOy06t2VsZHhMHf-1x7Y/edit?usp=sharing"",""แผน!IL54"")"),47)</f>
        <v>47</v>
      </c>
      <c r="J674" s="623">
        <f ca="1">IFERROR(__xludf.DUMMYFUNCTION("IMPORTRANGE(""https://docs.google.com/spreadsheets/d/1tdoBKaGub7dwA3U6UFTqxio9LNnvDCQjHKmttSEBsFQ/edit?usp=sharing"",""จัดที่ดิน!BA54"")"),0)</f>
        <v>0</v>
      </c>
      <c r="K674" s="132">
        <f t="shared" ref="K674:K677" ca="1" si="408">IF(I674&gt;0,J674*100/I674,0)</f>
        <v>0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1213">
        <f ca="1">IFERROR(__xludf.DUMMYFUNCTION("IMPORTRANGE(""https://docs.google.com/spreadsheets/d/1eHaY18a8A9IcSdp1K8H6x8fbOy06t2VsZHhMHf-1x7Y/edit?usp=sharing"",""แผน!IM54"")"),5)</f>
        <v>5</v>
      </c>
      <c r="J675" s="1027">
        <f ca="1">J677+J680</f>
        <v>0</v>
      </c>
      <c r="K675" s="215">
        <f t="shared" ca="1" si="408"/>
        <v>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1213">
        <f ca="1">IFERROR(__xludf.DUMMYFUNCTION("IMPORTRANGE(""https://docs.google.com/spreadsheets/d/1eHaY18a8A9IcSdp1K8H6x8fbOy06t2VsZHhMHf-1x7Y/edit?usp=sharing"",""แผน!IN54"")"),59)</f>
        <v>59</v>
      </c>
      <c r="J676" s="1027">
        <f ca="1">J679+J682</f>
        <v>0</v>
      </c>
      <c r="K676" s="215">
        <f t="shared" ca="1" si="408"/>
        <v>0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1212">
        <f ca="1">IFERROR(__xludf.DUMMYFUNCTION("IMPORTRANGE(""https://docs.google.com/spreadsheets/d/1eHaY18a8A9IcSdp1K8H6x8fbOy06t2VsZHhMHf-1x7Y/edit?usp=sharing"",""แผน!IO54"")"),5)</f>
        <v>5</v>
      </c>
      <c r="J677" s="623">
        <f ca="1">IFERROR(__xludf.DUMMYFUNCTION("IMPORTRANGE(""https://docs.google.com/spreadsheets/d/1tdoBKaGub7dwA3U6UFTqxio9LNnvDCQjHKmttSEBsFQ/edit?usp=sharing"",""จัดที่ดิน!BF54"")"),0)</f>
        <v>0</v>
      </c>
      <c r="K677" s="132">
        <f t="shared" ca="1" si="408"/>
        <v>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623">
        <f ca="1">IFERROR(__xludf.DUMMYFUNCTION("IMPORTRANGE(""https://docs.google.com/spreadsheets/d/1tdoBKaGub7dwA3U6UFTqxio9LNnvDCQjHKmttSEBsFQ/edit?usp=sharing"",""จัดที่ดิน!BG54"")"),0)</f>
        <v>0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1212">
        <f ca="1">IFERROR(__xludf.DUMMYFUNCTION("IMPORTRANGE(""https://docs.google.com/spreadsheets/d/1eHaY18a8A9IcSdp1K8H6x8fbOy06t2VsZHhMHf-1x7Y/edit?usp=sharing"",""แผน!IP54"")"),59)</f>
        <v>59</v>
      </c>
      <c r="J679" s="623">
        <f ca="1">IFERROR(__xludf.DUMMYFUNCTION("IMPORTRANGE(""https://docs.google.com/spreadsheets/d/1tdoBKaGub7dwA3U6UFTqxio9LNnvDCQjHKmttSEBsFQ/edit?usp=sharing"",""จัดที่ดิน!BH54"")"),0)</f>
        <v>0</v>
      </c>
      <c r="K679" s="132">
        <f t="shared" ref="K679:K680" ca="1" si="409">IF(I679&gt;0,J679*100/I679,0)</f>
        <v>0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1212">
        <f ca="1">IFERROR(__xludf.DUMMYFUNCTION("IMPORTRANGE(""https://docs.google.com/spreadsheets/d/1eHaY18a8A9IcSdp1K8H6x8fbOy06t2VsZHhMHf-1x7Y/edit?usp=sharing"",""แผน!IQ54"")"),0)</f>
        <v>0</v>
      </c>
      <c r="J680" s="623">
        <f ca="1">IFERROR(__xludf.DUMMYFUNCTION("IMPORTRANGE(""https://docs.google.com/spreadsheets/d/1tdoBKaGub7dwA3U6UFTqxio9LNnvDCQjHKmttSEBsFQ/edit?usp=sharing"",""จัดที่ดิน!BK54"")"),0)</f>
        <v>0</v>
      </c>
      <c r="K680" s="132">
        <f t="shared" ca="1" si="409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623">
        <f ca="1">IFERROR(__xludf.DUMMYFUNCTION("IMPORTRANGE(""https://docs.google.com/spreadsheets/d/1tdoBKaGub7dwA3U6UFTqxio9LNnvDCQjHKmttSEBsFQ/edit?usp=sharing"",""จัดที่ดิน!BL54"")"),0)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1212">
        <f ca="1">IFERROR(__xludf.DUMMYFUNCTION("IMPORTRANGE(""https://docs.google.com/spreadsheets/d/1eHaY18a8A9IcSdp1K8H6x8fbOy06t2VsZHhMHf-1x7Y/edit?usp=sharing"",""แผน!IR54"")"),0)</f>
        <v>0</v>
      </c>
      <c r="J682" s="623">
        <f ca="1">IFERROR(__xludf.DUMMYFUNCTION("IMPORTRANGE(""https://docs.google.com/spreadsheets/d/1tdoBKaGub7dwA3U6UFTqxio9LNnvDCQjHKmttSEBsFQ/edit?usp=sharing"",""จัดที่ดิน!BM54"")"),0)</f>
        <v>0</v>
      </c>
      <c r="K682" s="132">
        <f t="shared" ref="K682:K683" ca="1" si="410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hidden="1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1213">
        <f ca="1">IFERROR(__xludf.DUMMYFUNCTION("IMPORTRANGE(""https://docs.google.com/spreadsheets/d/1eHaY18a8A9IcSdp1K8H6x8fbOy06t2VsZHhMHf-1x7Y/edit?usp=sharing"",""แผน!IS54"")"),0)</f>
        <v>0</v>
      </c>
      <c r="J683" s="1027">
        <f>J686+J689</f>
        <v>0</v>
      </c>
      <c r="K683" s="215">
        <f t="shared" ca="1" si="410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hidden="1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hidden="1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hidden="1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hidden="1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hidden="1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hidden="1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80" t="s">
        <v>35</v>
      </c>
      <c r="I690" s="1214">
        <f t="shared" ref="I690:J690" ca="1" si="411">I708</f>
        <v>10</v>
      </c>
      <c r="J690" s="1214">
        <f t="shared" ca="1" si="411"/>
        <v>0</v>
      </c>
      <c r="K690" s="1215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214">
        <f t="shared" ref="L691:N691" si="412">L692+L693</f>
        <v>0</v>
      </c>
      <c r="M691" s="215">
        <f t="shared" si="412"/>
        <v>0</v>
      </c>
      <c r="N691" s="215">
        <f t="shared" si="412"/>
        <v>0</v>
      </c>
      <c r="O691" s="215">
        <f t="shared" ref="O691:O699" si="413">IF(L691&gt;0,N691*100/L691,0)</f>
        <v>0</v>
      </c>
      <c r="P691" s="215">
        <f t="shared" ref="P691:P699" si="414">IF(M691&gt;0,N691*100/M691,0)</f>
        <v>0</v>
      </c>
      <c r="Q691" s="215">
        <f t="shared" ref="Q691:S691" ca="1" si="415">Q692+Q693</f>
        <v>70120</v>
      </c>
      <c r="R691" s="215">
        <f t="shared" ca="1" si="415"/>
        <v>70120</v>
      </c>
      <c r="S691" s="215">
        <f t="shared" ca="1" si="415"/>
        <v>0</v>
      </c>
      <c r="T691" s="215">
        <f t="shared" ref="T691:T699" ca="1" si="416">IF(Q691&gt;0,S691*100/Q691,0)</f>
        <v>0</v>
      </c>
      <c r="U691" s="215">
        <f t="shared" ref="U691:U699" ca="1" si="417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217">
        <f t="shared" ref="L692:N693" si="418">L695+L698</f>
        <v>0</v>
      </c>
      <c r="M692" s="133">
        <f t="shared" si="418"/>
        <v>0</v>
      </c>
      <c r="N692" s="133">
        <f t="shared" si="418"/>
        <v>0</v>
      </c>
      <c r="O692" s="133">
        <f t="shared" si="413"/>
        <v>0</v>
      </c>
      <c r="P692" s="133">
        <f t="shared" si="414"/>
        <v>0</v>
      </c>
      <c r="Q692" s="133">
        <f t="shared" ref="Q692:S693" si="419">Q695+Q698</f>
        <v>0</v>
      </c>
      <c r="R692" s="133">
        <f t="shared" si="419"/>
        <v>0</v>
      </c>
      <c r="S692" s="133">
        <f t="shared" si="419"/>
        <v>0</v>
      </c>
      <c r="T692" s="133">
        <f t="shared" si="416"/>
        <v>0</v>
      </c>
      <c r="U692" s="133">
        <f t="shared" si="417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131">
        <f t="shared" si="418"/>
        <v>0</v>
      </c>
      <c r="M693" s="132">
        <f t="shared" si="418"/>
        <v>0</v>
      </c>
      <c r="N693" s="132">
        <f t="shared" si="418"/>
        <v>0</v>
      </c>
      <c r="O693" s="132">
        <f t="shared" si="413"/>
        <v>0</v>
      </c>
      <c r="P693" s="132">
        <f t="shared" si="414"/>
        <v>0</v>
      </c>
      <c r="Q693" s="132">
        <f t="shared" ca="1" si="419"/>
        <v>70120</v>
      </c>
      <c r="R693" s="132">
        <f t="shared" ca="1" si="419"/>
        <v>70120</v>
      </c>
      <c r="S693" s="132">
        <f t="shared" ca="1" si="419"/>
        <v>0</v>
      </c>
      <c r="T693" s="132">
        <f t="shared" ca="1" si="416"/>
        <v>0</v>
      </c>
      <c r="U693" s="132">
        <f t="shared" ca="1" si="417"/>
        <v>0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131">
        <f t="shared" ref="L694:N694" si="420">L695+L696</f>
        <v>0</v>
      </c>
      <c r="M694" s="132">
        <f t="shared" si="420"/>
        <v>0</v>
      </c>
      <c r="N694" s="132">
        <f t="shared" si="420"/>
        <v>0</v>
      </c>
      <c r="O694" s="132">
        <f t="shared" si="413"/>
        <v>0</v>
      </c>
      <c r="P694" s="132">
        <f t="shared" si="414"/>
        <v>0</v>
      </c>
      <c r="Q694" s="132">
        <f t="shared" ref="Q694:S694" ca="1" si="421">Q695+Q696</f>
        <v>70120</v>
      </c>
      <c r="R694" s="132">
        <f t="shared" ca="1" si="421"/>
        <v>70120</v>
      </c>
      <c r="S694" s="132">
        <f t="shared" ca="1" si="421"/>
        <v>0</v>
      </c>
      <c r="T694" s="132">
        <f t="shared" ca="1" si="416"/>
        <v>0</v>
      </c>
      <c r="U694" s="132">
        <f t="shared" ca="1" si="417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133">
        <f t="shared" si="413"/>
        <v>0</v>
      </c>
      <c r="P695" s="133">
        <f t="shared" si="414"/>
        <v>0</v>
      </c>
      <c r="Q695" s="77">
        <v>0</v>
      </c>
      <c r="R695" s="77">
        <v>0</v>
      </c>
      <c r="S695" s="77">
        <v>0</v>
      </c>
      <c r="T695" s="133">
        <f t="shared" si="416"/>
        <v>0</v>
      </c>
      <c r="U695" s="133">
        <f t="shared" si="417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132">
        <f t="shared" si="413"/>
        <v>0</v>
      </c>
      <c r="P696" s="132">
        <f t="shared" si="414"/>
        <v>0</v>
      </c>
      <c r="Q696" s="132">
        <f ca="1">IFERROR(__xludf.DUMMYFUNCTION("IMPORTRANGE(""https://docs.google.com/spreadsheets/d/1ItG2mGa2ceCfYo0BwxsXqNm01IGEUdYcSSLTEv9YCik/edit?usp=sharing"",""เบิกจ่ายกองทุน!L54"")"),70120)</f>
        <v>70120</v>
      </c>
      <c r="R696" s="132">
        <f ca="1">IFERROR(__xludf.DUMMYFUNCTION("IMPORTRANGE(""https://docs.google.com/spreadsheets/d/1ItG2mGa2ceCfYo0BwxsXqNm01IGEUdYcSSLTEv9YCik/edit?usp=sharing"",""เบิกจ่ายกองทุน!M54"")"),70120)</f>
        <v>70120</v>
      </c>
      <c r="S696" s="132">
        <f ca="1">IFERROR(__xludf.DUMMYFUNCTION("IMPORTRANGE(""https://docs.google.com/spreadsheets/d/1ItG2mGa2ceCfYo0BwxsXqNm01IGEUdYcSSLTEv9YCik/edit?usp=sharing"",""เบิกจ่ายกองทุน!N54"")"),0)</f>
        <v>0</v>
      </c>
      <c r="T696" s="132">
        <f t="shared" ca="1" si="416"/>
        <v>0</v>
      </c>
      <c r="U696" s="132">
        <f t="shared" ca="1" si="417"/>
        <v>0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131">
        <f t="shared" ref="L697:N697" si="422">L698+L699</f>
        <v>0</v>
      </c>
      <c r="M697" s="132">
        <f t="shared" si="422"/>
        <v>0</v>
      </c>
      <c r="N697" s="132">
        <f t="shared" si="422"/>
        <v>0</v>
      </c>
      <c r="O697" s="132">
        <f t="shared" si="413"/>
        <v>0</v>
      </c>
      <c r="P697" s="132">
        <f t="shared" si="414"/>
        <v>0</v>
      </c>
      <c r="Q697" s="132">
        <f t="shared" ref="Q697:S697" si="423">Q698+Q699</f>
        <v>0</v>
      </c>
      <c r="R697" s="132">
        <f t="shared" si="423"/>
        <v>0</v>
      </c>
      <c r="S697" s="132">
        <f t="shared" si="423"/>
        <v>0</v>
      </c>
      <c r="T697" s="132">
        <f t="shared" si="416"/>
        <v>0</v>
      </c>
      <c r="U697" s="132">
        <f t="shared" si="417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133">
        <f t="shared" si="413"/>
        <v>0</v>
      </c>
      <c r="P698" s="133">
        <f t="shared" si="414"/>
        <v>0</v>
      </c>
      <c r="Q698" s="77">
        <v>0</v>
      </c>
      <c r="R698" s="77">
        <v>0</v>
      </c>
      <c r="S698" s="77">
        <v>0</v>
      </c>
      <c r="T698" s="133">
        <f t="shared" si="416"/>
        <v>0</v>
      </c>
      <c r="U698" s="133">
        <f t="shared" si="417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132">
        <f t="shared" si="413"/>
        <v>0</v>
      </c>
      <c r="P699" s="132">
        <f t="shared" si="414"/>
        <v>0</v>
      </c>
      <c r="Q699" s="74">
        <v>0</v>
      </c>
      <c r="R699" s="74">
        <v>0</v>
      </c>
      <c r="S699" s="74">
        <v>0</v>
      </c>
      <c r="T699" s="132">
        <f t="shared" si="416"/>
        <v>0</v>
      </c>
      <c r="U699" s="132">
        <f t="shared" si="417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1020">
        <f ca="1">IFERROR(__xludf.DUMMYFUNCTION("IMPORTRANGE(""https://docs.google.com/spreadsheets/d/1eHaY18a8A9IcSdp1K8H6x8fbOy06t2VsZHhMHf-1x7Y/edit?usp=sharing"",""แผน!LC54"")"),0)</f>
        <v>0</v>
      </c>
      <c r="J701" s="897">
        <v>0</v>
      </c>
      <c r="K701" s="1021">
        <f t="shared" ref="K701:K711" ca="1" si="424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1026">
        <f t="shared" ref="I702:J702" ca="1" si="425">I704+I706</f>
        <v>13</v>
      </c>
      <c r="J702" s="1027">
        <f t="shared" ca="1" si="425"/>
        <v>0</v>
      </c>
      <c r="K702" s="215">
        <f t="shared" ca="1" si="424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1017">
        <v>0</v>
      </c>
      <c r="J703" s="1027">
        <f ca="1">J705+J707</f>
        <v>0</v>
      </c>
      <c r="K703" s="215">
        <f t="shared" si="424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1029">
        <f ca="1">IFERROR(__xludf.DUMMYFUNCTION("IMPORTRANGE(""https://docs.google.com/spreadsheets/d/1eHaY18a8A9IcSdp1K8H6x8fbOy06t2VsZHhMHf-1x7Y/edit?usp=sharing"",""แผน!LJ54"")"),10)</f>
        <v>10</v>
      </c>
      <c r="J704" s="623">
        <f ca="1">IFERROR(__xludf.DUMMYFUNCTION("IMPORTRANGE(""https://docs.google.com/spreadsheets/d/1tdoBKaGub7dwA3U6UFTqxio9LNnvDCQjHKmttSEBsFQ/edit?usp=sharing"",""จัดที่ดิน!AP54"")"),0)</f>
        <v>0</v>
      </c>
      <c r="K704" s="132">
        <f t="shared" ca="1" si="424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1015">
        <v>0</v>
      </c>
      <c r="J705" s="623">
        <f ca="1">IFERROR(__xludf.DUMMYFUNCTION("IMPORTRANGE(""https://docs.google.com/spreadsheets/d/1tdoBKaGub7dwA3U6UFTqxio9LNnvDCQjHKmttSEBsFQ/edit?usp=sharing"",""จัดที่ดิน!AQ54"")"),0)</f>
        <v>0</v>
      </c>
      <c r="K705" s="132">
        <f t="shared" si="424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1029">
        <f ca="1">IFERROR(__xludf.DUMMYFUNCTION("IMPORTRANGE(""https://docs.google.com/spreadsheets/d/1eHaY18a8A9IcSdp1K8H6x8fbOy06t2VsZHhMHf-1x7Y/edit?usp=sharing"",""แผน!LK54"")"),3)</f>
        <v>3</v>
      </c>
      <c r="J706" s="623">
        <f ca="1">IFERROR(__xludf.DUMMYFUNCTION("IMPORTRANGE(""https://docs.google.com/spreadsheets/d/1tdoBKaGub7dwA3U6UFTqxio9LNnvDCQjHKmttSEBsFQ/edit?usp=sharing"",""จัดที่ดิน!AR54"")"),0)</f>
        <v>0</v>
      </c>
      <c r="K706" s="1030">
        <f t="shared" ca="1" si="424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1015">
        <v>0</v>
      </c>
      <c r="J707" s="623">
        <f ca="1">IFERROR(__xludf.DUMMYFUNCTION("IMPORTRANGE(""https://docs.google.com/spreadsheets/d/1tdoBKaGub7dwA3U6UFTqxio9LNnvDCQjHKmttSEBsFQ/edit?usp=sharing"",""จัดที่ดิน!AS54"")"),0)</f>
        <v>0</v>
      </c>
      <c r="K707" s="132">
        <f t="shared" si="424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1029">
        <f ca="1">IFERROR(__xludf.DUMMYFUNCTION("IMPORTRANGE(""https://docs.google.com/spreadsheets/d/1eHaY18a8A9IcSdp1K8H6x8fbOy06t2VsZHhMHf-1x7Y/edit?usp=sharing"",""แผน!LJ54"")"),10)</f>
        <v>10</v>
      </c>
      <c r="J708" s="623">
        <f ca="1">IFERROR(__xludf.DUMMYFUNCTION("IMPORTRANGE(""https://docs.google.com/spreadsheets/d/1tdoBKaGub7dwA3U6UFTqxio9LNnvDCQjHKmttSEBsFQ/edit?usp=sharing"",""จัดที่ดิน!BN54"")"),0)</f>
        <v>0</v>
      </c>
      <c r="K708" s="132">
        <f t="shared" ca="1" si="424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1015">
        <v>0</v>
      </c>
      <c r="J709" s="623">
        <f ca="1">IFERROR(__xludf.DUMMYFUNCTION("IMPORTRANGE(""https://docs.google.com/spreadsheets/d/1tdoBKaGub7dwA3U6UFTqxio9LNnvDCQjHKmttSEBsFQ/edit?usp=sharing"",""จัดที่ดิน!BO54"")"),0)</f>
        <v>0</v>
      </c>
      <c r="K709" s="132">
        <f t="shared" si="424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1029">
        <f ca="1">IFERROR(__xludf.DUMMYFUNCTION("IMPORTRANGE(""https://docs.google.com/spreadsheets/d/1eHaY18a8A9IcSdp1K8H6x8fbOy06t2VsZHhMHf-1x7Y/edit?usp=sharing"",""แผน!LK54"")"),3)</f>
        <v>3</v>
      </c>
      <c r="J710" s="623">
        <f ca="1">IFERROR(__xludf.DUMMYFUNCTION("IMPORTRANGE(""https://docs.google.com/spreadsheets/d/1tdoBKaGub7dwA3U6UFTqxio9LNnvDCQjHKmttSEBsFQ/edit?usp=sharing"",""จัดที่ดิน!BP54"")"),0)</f>
        <v>0</v>
      </c>
      <c r="K710" s="132">
        <f t="shared" ca="1" si="424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1015">
        <v>0</v>
      </c>
      <c r="J711" s="623">
        <f ca="1">IFERROR(__xludf.DUMMYFUNCTION("IMPORTRANGE(""https://docs.google.com/spreadsheets/d/1tdoBKaGub7dwA3U6UFTqxio9LNnvDCQjHKmttSEBsFQ/edit?usp=sharing"",""จัดที่ดิน!BQ54"")"),0)</f>
        <v>0</v>
      </c>
      <c r="K711" s="132">
        <f t="shared" si="424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310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1216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214">
        <f t="shared" ref="L715:N715" si="426">L716+L717</f>
        <v>0</v>
      </c>
      <c r="M715" s="215">
        <f t="shared" si="426"/>
        <v>0</v>
      </c>
      <c r="N715" s="215">
        <f t="shared" si="426"/>
        <v>0</v>
      </c>
      <c r="O715" s="215">
        <f t="shared" ref="O715:O723" si="427">IF(L715&gt;0,N715*100/L715,0)</f>
        <v>0</v>
      </c>
      <c r="P715" s="215">
        <f t="shared" ref="P715:P723" si="428">IF(M715&gt;0,N715*100/M715,0)</f>
        <v>0</v>
      </c>
      <c r="Q715" s="215">
        <f t="shared" ref="Q715:S715" si="429">Q716+Q717</f>
        <v>0</v>
      </c>
      <c r="R715" s="215">
        <f t="shared" si="429"/>
        <v>0</v>
      </c>
      <c r="S715" s="215">
        <f t="shared" si="429"/>
        <v>0</v>
      </c>
      <c r="T715" s="215">
        <f t="shared" ref="T715:T723" si="430">IF(Q715&gt;0,S715*100/Q715,0)</f>
        <v>0</v>
      </c>
      <c r="U715" s="215">
        <f t="shared" ref="U715:U723" si="431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217">
        <f t="shared" ref="L716:N717" si="432">L719+L722</f>
        <v>0</v>
      </c>
      <c r="M716" s="133">
        <f t="shared" si="432"/>
        <v>0</v>
      </c>
      <c r="N716" s="133">
        <f t="shared" si="432"/>
        <v>0</v>
      </c>
      <c r="O716" s="133">
        <f t="shared" si="427"/>
        <v>0</v>
      </c>
      <c r="P716" s="133">
        <f t="shared" si="428"/>
        <v>0</v>
      </c>
      <c r="Q716" s="133">
        <f t="shared" ref="Q716:S717" si="433">Q719+Q722</f>
        <v>0</v>
      </c>
      <c r="R716" s="133">
        <f t="shared" si="433"/>
        <v>0</v>
      </c>
      <c r="S716" s="133">
        <f t="shared" si="433"/>
        <v>0</v>
      </c>
      <c r="T716" s="133">
        <f t="shared" si="430"/>
        <v>0</v>
      </c>
      <c r="U716" s="133">
        <f t="shared" si="431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131">
        <f t="shared" si="432"/>
        <v>0</v>
      </c>
      <c r="M717" s="132">
        <f t="shared" si="432"/>
        <v>0</v>
      </c>
      <c r="N717" s="132">
        <f t="shared" si="432"/>
        <v>0</v>
      </c>
      <c r="O717" s="132">
        <f t="shared" si="427"/>
        <v>0</v>
      </c>
      <c r="P717" s="132">
        <f t="shared" si="428"/>
        <v>0</v>
      </c>
      <c r="Q717" s="132">
        <f t="shared" si="433"/>
        <v>0</v>
      </c>
      <c r="R717" s="132">
        <f t="shared" si="433"/>
        <v>0</v>
      </c>
      <c r="S717" s="132">
        <f t="shared" si="433"/>
        <v>0</v>
      </c>
      <c r="T717" s="132">
        <f t="shared" si="430"/>
        <v>0</v>
      </c>
      <c r="U717" s="132">
        <f t="shared" si="431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131">
        <f t="shared" ref="L718:N718" si="434">L719+L720</f>
        <v>0</v>
      </c>
      <c r="M718" s="132">
        <f t="shared" si="434"/>
        <v>0</v>
      </c>
      <c r="N718" s="132">
        <f t="shared" si="434"/>
        <v>0</v>
      </c>
      <c r="O718" s="132">
        <f t="shared" si="427"/>
        <v>0</v>
      </c>
      <c r="P718" s="132">
        <f t="shared" si="428"/>
        <v>0</v>
      </c>
      <c r="Q718" s="132">
        <f t="shared" ref="Q718:S718" si="435">Q719+Q720</f>
        <v>0</v>
      </c>
      <c r="R718" s="132">
        <f t="shared" si="435"/>
        <v>0</v>
      </c>
      <c r="S718" s="132">
        <f t="shared" si="435"/>
        <v>0</v>
      </c>
      <c r="T718" s="132">
        <f t="shared" si="430"/>
        <v>0</v>
      </c>
      <c r="U718" s="132">
        <f t="shared" si="431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133">
        <f t="shared" si="427"/>
        <v>0</v>
      </c>
      <c r="P719" s="133">
        <f t="shared" si="428"/>
        <v>0</v>
      </c>
      <c r="Q719" s="77">
        <v>0</v>
      </c>
      <c r="R719" s="77">
        <v>0</v>
      </c>
      <c r="S719" s="77">
        <v>0</v>
      </c>
      <c r="T719" s="133">
        <f t="shared" si="430"/>
        <v>0</v>
      </c>
      <c r="U719" s="133">
        <f t="shared" si="431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132">
        <f t="shared" si="427"/>
        <v>0</v>
      </c>
      <c r="P720" s="132">
        <f t="shared" si="428"/>
        <v>0</v>
      </c>
      <c r="Q720" s="74">
        <v>0</v>
      </c>
      <c r="R720" s="74">
        <v>0</v>
      </c>
      <c r="S720" s="74">
        <v>0</v>
      </c>
      <c r="T720" s="132">
        <f t="shared" si="430"/>
        <v>0</v>
      </c>
      <c r="U720" s="132">
        <f t="shared" si="431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131">
        <f t="shared" ref="L721:N721" si="436">L722+L723</f>
        <v>0</v>
      </c>
      <c r="M721" s="132">
        <f t="shared" si="436"/>
        <v>0</v>
      </c>
      <c r="N721" s="132">
        <f t="shared" si="436"/>
        <v>0</v>
      </c>
      <c r="O721" s="132">
        <f t="shared" si="427"/>
        <v>0</v>
      </c>
      <c r="P721" s="132">
        <f t="shared" si="428"/>
        <v>0</v>
      </c>
      <c r="Q721" s="132">
        <f t="shared" ref="Q721:S721" si="437">Q722+Q723</f>
        <v>0</v>
      </c>
      <c r="R721" s="132">
        <f t="shared" si="437"/>
        <v>0</v>
      </c>
      <c r="S721" s="132">
        <f t="shared" si="437"/>
        <v>0</v>
      </c>
      <c r="T721" s="132">
        <f t="shared" si="430"/>
        <v>0</v>
      </c>
      <c r="U721" s="132">
        <f t="shared" si="431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133">
        <f t="shared" si="427"/>
        <v>0</v>
      </c>
      <c r="P722" s="133">
        <f t="shared" si="428"/>
        <v>0</v>
      </c>
      <c r="Q722" s="77">
        <v>0</v>
      </c>
      <c r="R722" s="77">
        <v>0</v>
      </c>
      <c r="S722" s="77">
        <v>0</v>
      </c>
      <c r="T722" s="133">
        <f t="shared" si="430"/>
        <v>0</v>
      </c>
      <c r="U722" s="133">
        <f t="shared" si="431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132">
        <f t="shared" si="427"/>
        <v>0</v>
      </c>
      <c r="P723" s="132">
        <f t="shared" si="428"/>
        <v>0</v>
      </c>
      <c r="Q723" s="74">
        <v>0</v>
      </c>
      <c r="R723" s="74">
        <v>0</v>
      </c>
      <c r="S723" s="74">
        <v>0</v>
      </c>
      <c r="T723" s="132">
        <f t="shared" si="430"/>
        <v>0</v>
      </c>
      <c r="U723" s="132">
        <f t="shared" si="431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x14ac:dyDescent="0.3">
      <c r="A727" s="727"/>
      <c r="B727" s="728" t="s">
        <v>269</v>
      </c>
      <c r="C727" s="727"/>
      <c r="D727" s="729"/>
      <c r="E727" s="727"/>
      <c r="F727" s="727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IFERROR(__xludf.DUMMYFUNCTION("IMPORTRANGE(""https://docs.google.com/spreadsheets/d/1eHaY18a8A9IcSdp1K8H6x8fbOy06t2VsZHhMHf-1x7Y/edit?usp=sharing"",""แผน!GA54"")"),52)</f>
        <v>52</v>
      </c>
      <c r="J727" s="1214">
        <f>J743+J747+J750</f>
        <v>100</v>
      </c>
      <c r="K727" s="1215">
        <f t="shared" ref="K727:K728" ca="1" si="438">IF(I727&gt;0,J727*100/I727,0)</f>
        <v>192.30769230769232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x14ac:dyDescent="0.3">
      <c r="A728" s="782"/>
      <c r="B728" s="727"/>
      <c r="C728" s="727"/>
      <c r="D728" s="727"/>
      <c r="E728" s="727"/>
      <c r="F728" s="727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IFERROR(__xludf.DUMMYFUNCTION("IMPORTRANGE(""https://docs.google.com/spreadsheets/d/1eHaY18a8A9IcSdp1K8H6x8fbOy06t2VsZHhMHf-1x7Y/edit?usp=sharing"",""แผน!FZ54"")"),500)</f>
        <v>500</v>
      </c>
      <c r="J728" s="1214">
        <f>J753+J756</f>
        <v>0</v>
      </c>
      <c r="K728" s="1215">
        <f t="shared" ca="1" si="438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x14ac:dyDescent="0.3">
      <c r="A729" s="257"/>
      <c r="B729" s="269"/>
      <c r="C729" s="309" t="s">
        <v>18</v>
      </c>
      <c r="D729" s="1370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214">
        <f t="shared" ref="L729:N729" si="439">L730+L731</f>
        <v>0</v>
      </c>
      <c r="M729" s="215">
        <f t="shared" si="439"/>
        <v>0</v>
      </c>
      <c r="N729" s="215">
        <f t="shared" si="439"/>
        <v>0</v>
      </c>
      <c r="O729" s="215">
        <f t="shared" ref="O729:O737" si="440">IF(L729&gt;0,N729*100/L729,0)</f>
        <v>0</v>
      </c>
      <c r="P729" s="215">
        <f t="shared" ref="P729:P737" si="441">IF(M729&gt;0,N729*100/M729,0)</f>
        <v>0</v>
      </c>
      <c r="Q729" s="215">
        <f t="shared" ref="Q729:S729" ca="1" si="442">Q730+Q731</f>
        <v>391730</v>
      </c>
      <c r="R729" s="215">
        <f t="shared" ca="1" si="442"/>
        <v>391730</v>
      </c>
      <c r="S729" s="215">
        <f t="shared" ca="1" si="442"/>
        <v>22715</v>
      </c>
      <c r="T729" s="215">
        <f t="shared" ref="T729:T737" ca="1" si="443">IF(Q729&gt;0,S729*100/Q729,0)</f>
        <v>5.7986368161744055</v>
      </c>
      <c r="U729" s="215">
        <f t="shared" ref="U729:U737" ca="1" si="444">IF(R729&gt;0,S729*100/R729,0)</f>
        <v>5.7986368161744055</v>
      </c>
    </row>
    <row r="730" spans="1:21" ht="18.75" hidden="1" x14ac:dyDescent="0.25">
      <c r="A730" s="257"/>
      <c r="B730" s="269"/>
      <c r="C730" s="269"/>
      <c r="D730" s="277"/>
      <c r="E730" s="775" t="s">
        <v>158</v>
      </c>
      <c r="F730" s="258"/>
      <c r="G730" s="261"/>
      <c r="H730" s="273" t="s">
        <v>14</v>
      </c>
      <c r="I730" s="263"/>
      <c r="J730" s="263"/>
      <c r="K730" s="87"/>
      <c r="L730" s="217">
        <f t="shared" ref="L730:N731" si="445">L733+L736</f>
        <v>0</v>
      </c>
      <c r="M730" s="133">
        <f t="shared" si="445"/>
        <v>0</v>
      </c>
      <c r="N730" s="133">
        <f t="shared" si="445"/>
        <v>0</v>
      </c>
      <c r="O730" s="133">
        <f t="shared" si="440"/>
        <v>0</v>
      </c>
      <c r="P730" s="133">
        <f t="shared" si="441"/>
        <v>0</v>
      </c>
      <c r="Q730" s="133">
        <f t="shared" ref="Q730:S731" si="446">Q733+Q736</f>
        <v>0</v>
      </c>
      <c r="R730" s="133">
        <f t="shared" si="446"/>
        <v>0</v>
      </c>
      <c r="S730" s="133">
        <f t="shared" si="446"/>
        <v>0</v>
      </c>
      <c r="T730" s="133">
        <f t="shared" si="443"/>
        <v>0</v>
      </c>
      <c r="U730" s="133">
        <f t="shared" si="444"/>
        <v>0</v>
      </c>
    </row>
    <row r="731" spans="1:21" ht="18.75" hidden="1" x14ac:dyDescent="0.25">
      <c r="A731" s="257"/>
      <c r="B731" s="269"/>
      <c r="C731" s="269"/>
      <c r="D731" s="277"/>
      <c r="E731" s="749" t="s">
        <v>159</v>
      </c>
      <c r="F731" s="269"/>
      <c r="G731" s="261"/>
      <c r="H731" s="271" t="s">
        <v>14</v>
      </c>
      <c r="I731" s="263"/>
      <c r="J731" s="263"/>
      <c r="K731" s="87"/>
      <c r="L731" s="131">
        <f t="shared" si="445"/>
        <v>0</v>
      </c>
      <c r="M731" s="132">
        <f t="shared" si="445"/>
        <v>0</v>
      </c>
      <c r="N731" s="132">
        <f t="shared" si="445"/>
        <v>0</v>
      </c>
      <c r="O731" s="132">
        <f t="shared" si="440"/>
        <v>0</v>
      </c>
      <c r="P731" s="132">
        <f t="shared" si="441"/>
        <v>0</v>
      </c>
      <c r="Q731" s="132">
        <f t="shared" ca="1" si="446"/>
        <v>391730</v>
      </c>
      <c r="R731" s="132">
        <f t="shared" ca="1" si="446"/>
        <v>391730</v>
      </c>
      <c r="S731" s="132">
        <f t="shared" ca="1" si="446"/>
        <v>22715</v>
      </c>
      <c r="T731" s="132">
        <f t="shared" ca="1" si="443"/>
        <v>5.7986368161744055</v>
      </c>
      <c r="U731" s="132">
        <f t="shared" ca="1" si="444"/>
        <v>5.7986368161744055</v>
      </c>
    </row>
    <row r="732" spans="1:21" ht="18.75" x14ac:dyDescent="0.25">
      <c r="A732" s="257"/>
      <c r="B732" s="269"/>
      <c r="C732" s="269"/>
      <c r="D732" s="967" t="s">
        <v>22</v>
      </c>
      <c r="E732" s="269"/>
      <c r="F732" s="269"/>
      <c r="G732" s="261"/>
      <c r="H732" s="271" t="s">
        <v>14</v>
      </c>
      <c r="I732" s="272"/>
      <c r="J732" s="272"/>
      <c r="K732" s="229"/>
      <c r="L732" s="131">
        <f t="shared" ref="L732:N732" si="447">L733+L734</f>
        <v>0</v>
      </c>
      <c r="M732" s="132">
        <f t="shared" si="447"/>
        <v>0</v>
      </c>
      <c r="N732" s="132">
        <f t="shared" si="447"/>
        <v>0</v>
      </c>
      <c r="O732" s="132">
        <f t="shared" si="440"/>
        <v>0</v>
      </c>
      <c r="P732" s="132">
        <f t="shared" si="441"/>
        <v>0</v>
      </c>
      <c r="Q732" s="132">
        <f t="shared" ref="Q732:S732" ca="1" si="448">Q733+Q734</f>
        <v>391730</v>
      </c>
      <c r="R732" s="132">
        <f t="shared" ca="1" si="448"/>
        <v>391730</v>
      </c>
      <c r="S732" s="132">
        <f t="shared" ca="1" si="448"/>
        <v>22715</v>
      </c>
      <c r="T732" s="132">
        <f t="shared" ca="1" si="443"/>
        <v>5.7986368161744055</v>
      </c>
      <c r="U732" s="132">
        <f t="shared" ca="1" si="444"/>
        <v>5.7986368161744055</v>
      </c>
    </row>
    <row r="733" spans="1:21" ht="18.75" hidden="1" x14ac:dyDescent="0.25">
      <c r="A733" s="257"/>
      <c r="B733" s="269"/>
      <c r="C733" s="269"/>
      <c r="D733" s="277"/>
      <c r="E733" s="775" t="s">
        <v>158</v>
      </c>
      <c r="F733" s="269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133">
        <f t="shared" si="440"/>
        <v>0</v>
      </c>
      <c r="P733" s="133">
        <f t="shared" si="441"/>
        <v>0</v>
      </c>
      <c r="Q733" s="77">
        <v>0</v>
      </c>
      <c r="R733" s="77">
        <v>0</v>
      </c>
      <c r="S733" s="77">
        <v>0</v>
      </c>
      <c r="T733" s="133">
        <f t="shared" si="443"/>
        <v>0</v>
      </c>
      <c r="U733" s="133">
        <f t="shared" si="444"/>
        <v>0</v>
      </c>
    </row>
    <row r="734" spans="1:21" ht="18.75" hidden="1" x14ac:dyDescent="0.25">
      <c r="A734" s="257"/>
      <c r="B734" s="269"/>
      <c r="C734" s="269"/>
      <c r="D734" s="277"/>
      <c r="E734" s="749" t="s">
        <v>159</v>
      </c>
      <c r="F734" s="269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132">
        <f t="shared" si="440"/>
        <v>0</v>
      </c>
      <c r="P734" s="132">
        <f t="shared" si="441"/>
        <v>0</v>
      </c>
      <c r="Q734" s="132">
        <f ca="1">IFERROR(__xludf.DUMMYFUNCTION("IMPORTRANGE(""https://docs.google.com/spreadsheets/d/1ItG2mGa2ceCfYo0BwxsXqNm01IGEUdYcSSLTEv9YCik/edit?usp=sharing"",""เบิกจ่ายกองทุน!O54"")"),391730)</f>
        <v>391730</v>
      </c>
      <c r="R734" s="132">
        <f ca="1">IFERROR(__xludf.DUMMYFUNCTION("IMPORTRANGE(""https://docs.google.com/spreadsheets/d/1ItG2mGa2ceCfYo0BwxsXqNm01IGEUdYcSSLTEv9YCik/edit?usp=sharing"",""เบิกจ่ายกองทุน!P54"")"),391730)</f>
        <v>391730</v>
      </c>
      <c r="S734" s="132">
        <f ca="1">IFERROR(__xludf.DUMMYFUNCTION("IMPORTRANGE(""https://docs.google.com/spreadsheets/d/1ItG2mGa2ceCfYo0BwxsXqNm01IGEUdYcSSLTEv9YCik/edit?usp=sharing"",""เบิกจ่ายกองทุน!Q54"")"),22715)</f>
        <v>22715</v>
      </c>
      <c r="T734" s="132">
        <f t="shared" ca="1" si="443"/>
        <v>5.7986368161744055</v>
      </c>
      <c r="U734" s="132">
        <f t="shared" ca="1" si="444"/>
        <v>5.7986368161744055</v>
      </c>
    </row>
    <row r="735" spans="1:21" ht="18.75" x14ac:dyDescent="0.25">
      <c r="A735" s="257"/>
      <c r="B735" s="269"/>
      <c r="C735" s="269"/>
      <c r="D735" s="967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131">
        <f t="shared" ref="L735:N735" si="449">L736+L737</f>
        <v>0</v>
      </c>
      <c r="M735" s="132">
        <f t="shared" si="449"/>
        <v>0</v>
      </c>
      <c r="N735" s="132">
        <f t="shared" si="449"/>
        <v>0</v>
      </c>
      <c r="O735" s="132">
        <f t="shared" si="440"/>
        <v>0</v>
      </c>
      <c r="P735" s="132">
        <f t="shared" si="441"/>
        <v>0</v>
      </c>
      <c r="Q735" s="132">
        <f t="shared" ref="Q735:S735" si="450">Q736+Q737</f>
        <v>0</v>
      </c>
      <c r="R735" s="132">
        <f t="shared" si="450"/>
        <v>0</v>
      </c>
      <c r="S735" s="132">
        <f t="shared" si="450"/>
        <v>0</v>
      </c>
      <c r="T735" s="132">
        <f t="shared" si="443"/>
        <v>0</v>
      </c>
      <c r="U735" s="132">
        <f t="shared" si="444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133">
        <f t="shared" si="440"/>
        <v>0</v>
      </c>
      <c r="P736" s="133">
        <f t="shared" si="441"/>
        <v>0</v>
      </c>
      <c r="Q736" s="77">
        <v>0</v>
      </c>
      <c r="R736" s="77">
        <v>0</v>
      </c>
      <c r="S736" s="77">
        <v>0</v>
      </c>
      <c r="T736" s="133">
        <f t="shared" si="443"/>
        <v>0</v>
      </c>
      <c r="U736" s="133">
        <f t="shared" si="444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132">
        <f t="shared" si="440"/>
        <v>0</v>
      </c>
      <c r="P737" s="132">
        <f t="shared" si="441"/>
        <v>0</v>
      </c>
      <c r="Q737" s="74">
        <v>0</v>
      </c>
      <c r="R737" s="74">
        <v>0</v>
      </c>
      <c r="S737" s="74">
        <v>0</v>
      </c>
      <c r="T737" s="132">
        <f t="shared" si="443"/>
        <v>0</v>
      </c>
      <c r="U737" s="132">
        <f t="shared" si="444"/>
        <v>0</v>
      </c>
    </row>
    <row r="738" spans="1:21" ht="19.5" x14ac:dyDescent="0.3">
      <c r="A738" s="276"/>
      <c r="B738" s="277"/>
      <c r="C738" s="309" t="s">
        <v>18</v>
      </c>
      <c r="D738" s="968" t="s">
        <v>38</v>
      </c>
      <c r="E738" s="783"/>
      <c r="F738" s="783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x14ac:dyDescent="0.25">
      <c r="A741" s="222"/>
      <c r="B741" s="223"/>
      <c r="C741" s="223"/>
      <c r="D741" s="223"/>
      <c r="E741" s="223"/>
      <c r="F741" s="1032" t="s">
        <v>271</v>
      </c>
      <c r="G741" s="227"/>
      <c r="H741" s="216" t="s">
        <v>46</v>
      </c>
      <c r="I741" s="1217">
        <f ca="1">IFERROR(__xludf.DUMMYFUNCTION("IMPORTRANGE(""https://docs.google.com/spreadsheets/d/1eHaY18a8A9IcSdp1K8H6x8fbOy06t2VsZHhMHf-1x7Y/edit?usp=sharing"",""แผน!GB54"")"),400)</f>
        <v>400</v>
      </c>
      <c r="J741" s="884">
        <v>400</v>
      </c>
      <c r="K741" s="1218">
        <f ca="1">IF(I741&gt;0,J741*100/I741,0)</f>
        <v>100</v>
      </c>
      <c r="L741" s="540"/>
      <c r="M741" s="72"/>
      <c r="N741" s="72"/>
      <c r="O741" s="72"/>
      <c r="P741" s="72"/>
      <c r="Q741" s="72"/>
      <c r="R741" s="72"/>
      <c r="S741" s="72"/>
      <c r="T741" s="72"/>
      <c r="U741" s="72"/>
    </row>
    <row r="742" spans="1:21" ht="18.75" x14ac:dyDescent="0.25">
      <c r="A742" s="222"/>
      <c r="B742" s="223"/>
      <c r="C742" s="223"/>
      <c r="D742" s="223"/>
      <c r="E742" s="223"/>
      <c r="F742" s="1032" t="s">
        <v>311</v>
      </c>
      <c r="G742" s="227"/>
      <c r="H742" s="216" t="s">
        <v>35</v>
      </c>
      <c r="I742" s="71"/>
      <c r="J742" s="884">
        <v>0</v>
      </c>
      <c r="K742" s="72"/>
      <c r="L742" s="540"/>
      <c r="M742" s="72"/>
      <c r="N742" s="72"/>
      <c r="O742" s="72"/>
      <c r="P742" s="72"/>
      <c r="Q742" s="72"/>
      <c r="R742" s="72"/>
      <c r="S742" s="72"/>
      <c r="T742" s="72"/>
      <c r="U742" s="72"/>
    </row>
    <row r="743" spans="1:21" ht="18.75" x14ac:dyDescent="0.25">
      <c r="A743" s="222"/>
      <c r="B743" s="223"/>
      <c r="C743" s="223"/>
      <c r="D743" s="223"/>
      <c r="E743" s="223"/>
      <c r="F743" s="1032" t="s">
        <v>312</v>
      </c>
      <c r="G743" s="227"/>
      <c r="H743" s="216" t="s">
        <v>35</v>
      </c>
      <c r="I743" s="1217">
        <f ca="1">IFERROR(__xludf.DUMMYFUNCTION("IMPORTRANGE(""https://docs.google.com/spreadsheets/d/1eHaY18a8A9IcSdp1K8H6x8fbOy06t2VsZHhMHf-1x7Y/edit?usp=sharing"",""แผน!GC54"")"),40)</f>
        <v>40</v>
      </c>
      <c r="J743" s="884">
        <v>100</v>
      </c>
      <c r="K743" s="1218">
        <f ca="1">IF(I743&gt;0,J743*100/I743,0)</f>
        <v>250</v>
      </c>
      <c r="L743" s="540"/>
      <c r="M743" s="72"/>
      <c r="N743" s="72"/>
      <c r="O743" s="72"/>
      <c r="P743" s="72"/>
      <c r="Q743" s="72"/>
      <c r="R743" s="72"/>
      <c r="S743" s="72"/>
      <c r="T743" s="72"/>
      <c r="U743" s="72"/>
    </row>
    <row r="744" spans="1:21" ht="18.75" x14ac:dyDescent="0.25">
      <c r="A744" s="222"/>
      <c r="B744" s="223"/>
      <c r="C744" s="223"/>
      <c r="D744" s="223"/>
      <c r="E744" s="1032" t="s">
        <v>274</v>
      </c>
      <c r="F744" s="223"/>
      <c r="G744" s="227"/>
      <c r="H744" s="1033"/>
      <c r="I744" s="71"/>
      <c r="J744" s="71"/>
      <c r="K744" s="72"/>
      <c r="L744" s="540"/>
      <c r="M744" s="72"/>
      <c r="N744" s="72"/>
      <c r="O744" s="72"/>
      <c r="P744" s="72"/>
      <c r="Q744" s="72"/>
      <c r="R744" s="72"/>
      <c r="S744" s="72"/>
      <c r="T744" s="72"/>
      <c r="U744" s="72"/>
    </row>
    <row r="745" spans="1:21" ht="18.75" x14ac:dyDescent="0.25">
      <c r="A745" s="222"/>
      <c r="B745" s="223"/>
      <c r="C745" s="223"/>
      <c r="D745" s="223"/>
      <c r="E745" s="223"/>
      <c r="F745" s="1032" t="s">
        <v>271</v>
      </c>
      <c r="G745" s="227"/>
      <c r="H745" s="216" t="s">
        <v>46</v>
      </c>
      <c r="I745" s="1217">
        <f ca="1">IFERROR(__xludf.DUMMYFUNCTION("IMPORTRANGE(""https://docs.google.com/spreadsheets/d/1eHaY18a8A9IcSdp1K8H6x8fbOy06t2VsZHhMHf-1x7Y/edit?usp=sharing"",""แผน!GD54"")"),100)</f>
        <v>100</v>
      </c>
      <c r="J745" s="884">
        <v>0</v>
      </c>
      <c r="K745" s="1218">
        <f ca="1">IF(I745&gt;0,J745*100/I745,0)</f>
        <v>0</v>
      </c>
      <c r="L745" s="540"/>
      <c r="M745" s="72"/>
      <c r="N745" s="72"/>
      <c r="O745" s="72"/>
      <c r="P745" s="72"/>
      <c r="Q745" s="72"/>
      <c r="R745" s="72"/>
      <c r="S745" s="72"/>
      <c r="T745" s="72"/>
      <c r="U745" s="72"/>
    </row>
    <row r="746" spans="1:21" ht="18.75" x14ac:dyDescent="0.25">
      <c r="A746" s="222"/>
      <c r="B746" s="223"/>
      <c r="C746" s="223"/>
      <c r="D746" s="223"/>
      <c r="E746" s="223"/>
      <c r="F746" s="1032" t="s">
        <v>313</v>
      </c>
      <c r="G746" s="227"/>
      <c r="H746" s="216" t="s">
        <v>35</v>
      </c>
      <c r="I746" s="71"/>
      <c r="J746" s="884">
        <v>0</v>
      </c>
      <c r="K746" s="72"/>
      <c r="L746" s="540"/>
      <c r="M746" s="72"/>
      <c r="N746" s="72"/>
      <c r="O746" s="72"/>
      <c r="P746" s="72"/>
      <c r="Q746" s="72"/>
      <c r="R746" s="72"/>
      <c r="S746" s="72"/>
      <c r="T746" s="72"/>
      <c r="U746" s="72"/>
    </row>
    <row r="747" spans="1:21" ht="18.75" x14ac:dyDescent="0.25">
      <c r="A747" s="222"/>
      <c r="B747" s="223"/>
      <c r="C747" s="223"/>
      <c r="D747" s="223"/>
      <c r="E747" s="223"/>
      <c r="F747" s="1032" t="s">
        <v>314</v>
      </c>
      <c r="G747" s="227"/>
      <c r="H747" s="216" t="s">
        <v>35</v>
      </c>
      <c r="I747" s="1217">
        <f ca="1">IFERROR(__xludf.DUMMYFUNCTION("IMPORTRANGE(""https://docs.google.com/spreadsheets/d/1eHaY18a8A9IcSdp1K8H6x8fbOy06t2VsZHhMHf-1x7Y/edit?usp=sharing"",""แผน!GE54"")"),10)</f>
        <v>10</v>
      </c>
      <c r="J747" s="884">
        <v>0</v>
      </c>
      <c r="K747" s="1218">
        <f ca="1">IF(I747&gt;0,J747*100/I747,0)</f>
        <v>0</v>
      </c>
      <c r="L747" s="540"/>
      <c r="M747" s="72"/>
      <c r="N747" s="72"/>
      <c r="O747" s="72"/>
      <c r="P747" s="72"/>
      <c r="Q747" s="72"/>
      <c r="R747" s="72"/>
      <c r="S747" s="72"/>
      <c r="T747" s="72"/>
      <c r="U747" s="72"/>
    </row>
    <row r="748" spans="1:21" ht="18.75" x14ac:dyDescent="0.25">
      <c r="A748" s="222"/>
      <c r="B748" s="223"/>
      <c r="C748" s="223"/>
      <c r="D748" s="223"/>
      <c r="E748" s="1032" t="s">
        <v>277</v>
      </c>
      <c r="F748" s="231"/>
      <c r="G748" s="227"/>
      <c r="H748" s="1033"/>
      <c r="I748" s="71"/>
      <c r="J748" s="71"/>
      <c r="K748" s="72"/>
      <c r="L748" s="540"/>
      <c r="M748" s="72"/>
      <c r="N748" s="72"/>
      <c r="O748" s="72"/>
      <c r="P748" s="72"/>
      <c r="Q748" s="72"/>
      <c r="R748" s="72"/>
      <c r="S748" s="72"/>
      <c r="T748" s="72"/>
      <c r="U748" s="72"/>
    </row>
    <row r="749" spans="1:21" ht="18.75" x14ac:dyDescent="0.25">
      <c r="A749" s="222"/>
      <c r="B749" s="223"/>
      <c r="C749" s="223"/>
      <c r="D749" s="223"/>
      <c r="E749" s="223"/>
      <c r="F749" s="1032" t="s">
        <v>315</v>
      </c>
      <c r="G749" s="227"/>
      <c r="H749" s="216" t="s">
        <v>35</v>
      </c>
      <c r="I749" s="71"/>
      <c r="J749" s="884">
        <v>0</v>
      </c>
      <c r="K749" s="72"/>
      <c r="L749" s="540"/>
      <c r="M749" s="72"/>
      <c r="N749" s="72"/>
      <c r="O749" s="72"/>
      <c r="P749" s="72"/>
      <c r="Q749" s="72"/>
      <c r="R749" s="72"/>
      <c r="S749" s="72"/>
      <c r="T749" s="72"/>
      <c r="U749" s="72"/>
    </row>
    <row r="750" spans="1:21" ht="18.75" x14ac:dyDescent="0.25">
      <c r="A750" s="222"/>
      <c r="B750" s="223"/>
      <c r="C750" s="223"/>
      <c r="D750" s="223"/>
      <c r="E750" s="223"/>
      <c r="F750" s="1032" t="s">
        <v>316</v>
      </c>
      <c r="G750" s="227"/>
      <c r="H750" s="216" t="s">
        <v>35</v>
      </c>
      <c r="I750" s="1217">
        <f ca="1">IFERROR(__xludf.DUMMYFUNCTION("IMPORTRANGE(""https://docs.google.com/spreadsheets/d/1eHaY18a8A9IcSdp1K8H6x8fbOy06t2VsZHhMHf-1x7Y/edit?usp=sharing"",""แผน!GF54"")"),2)</f>
        <v>2</v>
      </c>
      <c r="J750" s="884">
        <v>0</v>
      </c>
      <c r="K750" s="1218">
        <f ca="1">IF(I750&gt;0,J750*100/I750,0)</f>
        <v>0</v>
      </c>
      <c r="L750" s="540"/>
      <c r="M750" s="72"/>
      <c r="N750" s="72"/>
      <c r="O750" s="72"/>
      <c r="P750" s="72"/>
      <c r="Q750" s="72"/>
      <c r="R750" s="72"/>
      <c r="S750" s="72"/>
      <c r="T750" s="72"/>
      <c r="U750" s="72"/>
    </row>
    <row r="751" spans="1:21" ht="19.5" x14ac:dyDescent="0.3">
      <c r="A751" s="222"/>
      <c r="B751" s="223"/>
      <c r="C751" s="223"/>
      <c r="D751" s="1034" t="s">
        <v>50</v>
      </c>
      <c r="E751" s="223"/>
      <c r="F751" s="231"/>
      <c r="G751" s="227"/>
      <c r="H751" s="1033"/>
      <c r="I751" s="71"/>
      <c r="J751" s="71"/>
      <c r="K751" s="72"/>
      <c r="L751" s="540"/>
      <c r="M751" s="72"/>
      <c r="N751" s="72"/>
      <c r="O751" s="72"/>
      <c r="P751" s="72"/>
      <c r="Q751" s="72"/>
      <c r="R751" s="72"/>
      <c r="S751" s="72"/>
      <c r="T751" s="72"/>
      <c r="U751" s="72"/>
    </row>
    <row r="752" spans="1:21" ht="18.75" x14ac:dyDescent="0.25">
      <c r="A752" s="222"/>
      <c r="B752" s="223"/>
      <c r="C752" s="223"/>
      <c r="D752" s="223"/>
      <c r="E752" s="1032" t="s">
        <v>270</v>
      </c>
      <c r="F752" s="231"/>
      <c r="G752" s="227"/>
      <c r="H752" s="1033"/>
      <c r="I752" s="71"/>
      <c r="J752" s="71"/>
      <c r="K752" s="72"/>
      <c r="L752" s="540"/>
      <c r="M752" s="72"/>
      <c r="N752" s="72"/>
      <c r="O752" s="72"/>
      <c r="P752" s="72"/>
      <c r="Q752" s="72"/>
      <c r="R752" s="72"/>
      <c r="S752" s="72"/>
      <c r="T752" s="72"/>
      <c r="U752" s="72"/>
    </row>
    <row r="753" spans="1:21" ht="18.75" x14ac:dyDescent="0.25">
      <c r="A753" s="222"/>
      <c r="B753" s="223"/>
      <c r="C753" s="223"/>
      <c r="D753" s="223"/>
      <c r="E753" s="223"/>
      <c r="F753" s="395" t="s">
        <v>317</v>
      </c>
      <c r="G753" s="227"/>
      <c r="H753" s="216" t="s">
        <v>46</v>
      </c>
      <c r="I753" s="1217">
        <f ca="1">IFERROR(__xludf.DUMMYFUNCTION("IMPORTRANGE(""https://docs.google.com/spreadsheets/d/1eHaY18a8A9IcSdp1K8H6x8fbOy06t2VsZHhMHf-1x7Y/edit?usp=sharing"",""แผน!GC54"")"),40)</f>
        <v>40</v>
      </c>
      <c r="J753" s="884">
        <v>0</v>
      </c>
      <c r="K753" s="1218">
        <f ca="1">IF(I753&gt;0,J753*100/I753,0)</f>
        <v>0</v>
      </c>
      <c r="L753" s="540"/>
      <c r="M753" s="72"/>
      <c r="N753" s="72"/>
      <c r="O753" s="72"/>
      <c r="P753" s="72"/>
      <c r="Q753" s="72"/>
      <c r="R753" s="72"/>
      <c r="S753" s="72"/>
      <c r="T753" s="72"/>
      <c r="U753" s="72"/>
    </row>
    <row r="754" spans="1:21" ht="18.75" x14ac:dyDescent="0.25">
      <c r="A754" s="222"/>
      <c r="B754" s="223"/>
      <c r="C754" s="223"/>
      <c r="D754" s="223"/>
      <c r="E754" s="223"/>
      <c r="F754" s="395" t="s">
        <v>318</v>
      </c>
      <c r="G754" s="227"/>
      <c r="H754" s="216" t="s">
        <v>46</v>
      </c>
      <c r="I754" s="71"/>
      <c r="J754" s="884">
        <v>0</v>
      </c>
      <c r="K754" s="72"/>
      <c r="L754" s="540"/>
      <c r="M754" s="72"/>
      <c r="N754" s="72"/>
      <c r="O754" s="72"/>
      <c r="P754" s="72"/>
      <c r="Q754" s="72"/>
      <c r="R754" s="72"/>
      <c r="S754" s="72"/>
      <c r="T754" s="72"/>
      <c r="U754" s="72"/>
    </row>
    <row r="755" spans="1:21" ht="18.75" x14ac:dyDescent="0.25">
      <c r="A755" s="222"/>
      <c r="B755" s="223"/>
      <c r="C755" s="223"/>
      <c r="D755" s="223"/>
      <c r="E755" s="1032" t="s">
        <v>274</v>
      </c>
      <c r="F755" s="231"/>
      <c r="G755" s="227"/>
      <c r="H755" s="1033"/>
      <c r="I755" s="71"/>
      <c r="J755" s="71"/>
      <c r="K755" s="72"/>
      <c r="L755" s="540"/>
      <c r="M755" s="72"/>
      <c r="N755" s="72"/>
      <c r="O755" s="72"/>
      <c r="P755" s="72"/>
      <c r="Q755" s="72"/>
      <c r="R755" s="72"/>
      <c r="S755" s="72"/>
      <c r="T755" s="72"/>
      <c r="U755" s="72"/>
    </row>
    <row r="756" spans="1:21" ht="18.75" x14ac:dyDescent="0.25">
      <c r="A756" s="222"/>
      <c r="B756" s="223"/>
      <c r="C756" s="223"/>
      <c r="D756" s="223"/>
      <c r="E756" s="231"/>
      <c r="F756" s="395" t="s">
        <v>319</v>
      </c>
      <c r="G756" s="227"/>
      <c r="H756" s="216" t="s">
        <v>46</v>
      </c>
      <c r="I756" s="1217">
        <f ca="1">IFERROR(__xludf.DUMMYFUNCTION("IMPORTRANGE(""https://docs.google.com/spreadsheets/d/1eHaY18a8A9IcSdp1K8H6x8fbOy06t2VsZHhMHf-1x7Y/edit?usp=sharing"",""แผน!GE54"")"),10)</f>
        <v>10</v>
      </c>
      <c r="J756" s="884">
        <v>0</v>
      </c>
      <c r="K756" s="1218">
        <f ca="1">IF(I756&gt;0,J756*100/I756,0)</f>
        <v>0</v>
      </c>
      <c r="L756" s="540"/>
      <c r="M756" s="72"/>
      <c r="N756" s="72"/>
      <c r="O756" s="72"/>
      <c r="P756" s="72"/>
      <c r="Q756" s="72"/>
      <c r="R756" s="72"/>
      <c r="S756" s="72"/>
      <c r="T756" s="72"/>
      <c r="U756" s="72"/>
    </row>
    <row r="757" spans="1:21" ht="18.75" x14ac:dyDescent="0.25">
      <c r="A757" s="1219"/>
      <c r="B757" s="668"/>
      <c r="C757" s="668"/>
      <c r="D757" s="668"/>
      <c r="E757" s="1220"/>
      <c r="F757" s="667" t="s">
        <v>320</v>
      </c>
      <c r="G757" s="1221"/>
      <c r="H757" s="1222" t="s">
        <v>46</v>
      </c>
      <c r="I757" s="94"/>
      <c r="J757" s="1223">
        <v>0</v>
      </c>
      <c r="K757" s="95"/>
      <c r="L757" s="540"/>
      <c r="M757" s="72"/>
      <c r="N757" s="72"/>
      <c r="O757" s="72"/>
      <c r="P757" s="72"/>
      <c r="Q757" s="72"/>
      <c r="R757" s="72"/>
      <c r="S757" s="72"/>
      <c r="T757" s="72"/>
      <c r="U757" s="72"/>
    </row>
    <row r="758" spans="1:21" ht="19.5" x14ac:dyDescent="0.3">
      <c r="A758" s="727"/>
      <c r="B758" s="728" t="s">
        <v>329</v>
      </c>
      <c r="C758" s="727"/>
      <c r="D758" s="729"/>
      <c r="E758" s="727"/>
      <c r="F758" s="729"/>
      <c r="G758" s="730"/>
      <c r="H758" s="780" t="s">
        <v>35</v>
      </c>
      <c r="I758" s="1214">
        <f t="shared" ref="I758:J758" ca="1" si="451">I772</f>
        <v>0</v>
      </c>
      <c r="J758" s="1214">
        <f t="shared" si="451"/>
        <v>0</v>
      </c>
      <c r="K758" s="1215">
        <f t="shared" ref="K758:K759" ca="1" si="452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x14ac:dyDescent="0.3">
      <c r="A759" s="782"/>
      <c r="B759" s="727"/>
      <c r="C759" s="727"/>
      <c r="D759" s="727"/>
      <c r="E759" s="727"/>
      <c r="F759" s="729"/>
      <c r="G759" s="730"/>
      <c r="H759" s="780" t="s">
        <v>46</v>
      </c>
      <c r="I759" s="1214">
        <f t="shared" ref="I759:J759" ca="1" si="453">I774</f>
        <v>0</v>
      </c>
      <c r="J759" s="1214">
        <f t="shared" si="453"/>
        <v>0</v>
      </c>
      <c r="K759" s="1215">
        <f t="shared" ca="1" si="452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x14ac:dyDescent="0.3">
      <c r="A760" s="257"/>
      <c r="B760" s="269"/>
      <c r="C760" s="309" t="s">
        <v>18</v>
      </c>
      <c r="D760" s="1370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214">
        <f t="shared" ref="L760:N760" si="454">L761+L762</f>
        <v>0</v>
      </c>
      <c r="M760" s="215">
        <f t="shared" si="454"/>
        <v>0</v>
      </c>
      <c r="N760" s="215">
        <f t="shared" si="454"/>
        <v>0</v>
      </c>
      <c r="O760" s="215">
        <f t="shared" ref="O760:O768" si="455">IF(L760&gt;0,N760*100/L760,0)</f>
        <v>0</v>
      </c>
      <c r="P760" s="215">
        <f t="shared" ref="P760:P768" si="456">IF(M760&gt;0,N760*100/M760,0)</f>
        <v>0</v>
      </c>
      <c r="Q760" s="215">
        <f t="shared" ref="Q760:S760" ca="1" si="457">Q761+Q762</f>
        <v>0</v>
      </c>
      <c r="R760" s="215">
        <f t="shared" ca="1" si="457"/>
        <v>0</v>
      </c>
      <c r="S760" s="215">
        <f t="shared" ca="1" si="457"/>
        <v>0</v>
      </c>
      <c r="T760" s="215">
        <f t="shared" ref="T760:T768" ca="1" si="458">IF(Q760&gt;0,S760*100/Q760,0)</f>
        <v>0</v>
      </c>
      <c r="U760" s="215">
        <f t="shared" ref="U760:U768" ca="1" si="459">IF(R760&gt;0,S760*100/R760,0)</f>
        <v>0</v>
      </c>
    </row>
    <row r="761" spans="1:21" ht="18.75" hidden="1" x14ac:dyDescent="0.25">
      <c r="A761" s="257"/>
      <c r="B761" s="269"/>
      <c r="C761" s="269"/>
      <c r="D761" s="277"/>
      <c r="E761" s="775" t="s">
        <v>158</v>
      </c>
      <c r="F761" s="258"/>
      <c r="G761" s="261"/>
      <c r="H761" s="273" t="s">
        <v>14</v>
      </c>
      <c r="I761" s="263"/>
      <c r="J761" s="263"/>
      <c r="K761" s="87"/>
      <c r="L761" s="217">
        <f t="shared" ref="L761:N762" si="460">L764+L767</f>
        <v>0</v>
      </c>
      <c r="M761" s="133">
        <f t="shared" si="460"/>
        <v>0</v>
      </c>
      <c r="N761" s="133">
        <f t="shared" si="460"/>
        <v>0</v>
      </c>
      <c r="O761" s="133">
        <f t="shared" si="455"/>
        <v>0</v>
      </c>
      <c r="P761" s="133">
        <f t="shared" si="456"/>
        <v>0</v>
      </c>
      <c r="Q761" s="133">
        <f t="shared" ref="Q761:S762" si="461">Q764+Q767</f>
        <v>0</v>
      </c>
      <c r="R761" s="133">
        <f t="shared" si="461"/>
        <v>0</v>
      </c>
      <c r="S761" s="133">
        <f t="shared" si="461"/>
        <v>0</v>
      </c>
      <c r="T761" s="133">
        <f t="shared" si="458"/>
        <v>0</v>
      </c>
      <c r="U761" s="133">
        <f t="shared" si="459"/>
        <v>0</v>
      </c>
    </row>
    <row r="762" spans="1:21" ht="18.75" hidden="1" x14ac:dyDescent="0.25">
      <c r="A762" s="257"/>
      <c r="B762" s="269"/>
      <c r="C762" s="306"/>
      <c r="D762" s="277"/>
      <c r="E762" s="749" t="s">
        <v>159</v>
      </c>
      <c r="F762" s="258"/>
      <c r="G762" s="261"/>
      <c r="H762" s="271" t="s">
        <v>14</v>
      </c>
      <c r="I762" s="263"/>
      <c r="J762" s="263"/>
      <c r="K762" s="87"/>
      <c r="L762" s="131">
        <f t="shared" si="460"/>
        <v>0</v>
      </c>
      <c r="M762" s="132">
        <f t="shared" si="460"/>
        <v>0</v>
      </c>
      <c r="N762" s="132">
        <f t="shared" si="460"/>
        <v>0</v>
      </c>
      <c r="O762" s="132">
        <f t="shared" si="455"/>
        <v>0</v>
      </c>
      <c r="P762" s="132">
        <f t="shared" si="456"/>
        <v>0</v>
      </c>
      <c r="Q762" s="132">
        <f t="shared" ca="1" si="461"/>
        <v>0</v>
      </c>
      <c r="R762" s="132">
        <f t="shared" ca="1" si="461"/>
        <v>0</v>
      </c>
      <c r="S762" s="132">
        <f t="shared" ca="1" si="461"/>
        <v>0</v>
      </c>
      <c r="T762" s="132">
        <f t="shared" ca="1" si="458"/>
        <v>0</v>
      </c>
      <c r="U762" s="132">
        <f t="shared" ca="1" si="459"/>
        <v>0</v>
      </c>
    </row>
    <row r="763" spans="1:21" ht="18.75" x14ac:dyDescent="0.25">
      <c r="A763" s="257"/>
      <c r="B763" s="269"/>
      <c r="C763" s="306"/>
      <c r="D763" s="967" t="s">
        <v>22</v>
      </c>
      <c r="E763" s="269"/>
      <c r="F763" s="258"/>
      <c r="G763" s="261"/>
      <c r="H763" s="271" t="s">
        <v>14</v>
      </c>
      <c r="I763" s="272"/>
      <c r="J763" s="272"/>
      <c r="K763" s="229"/>
      <c r="L763" s="131">
        <f t="shared" ref="L763:N763" si="462">L764+L765</f>
        <v>0</v>
      </c>
      <c r="M763" s="132">
        <f t="shared" si="462"/>
        <v>0</v>
      </c>
      <c r="N763" s="132">
        <f t="shared" si="462"/>
        <v>0</v>
      </c>
      <c r="O763" s="132">
        <f t="shared" si="455"/>
        <v>0</v>
      </c>
      <c r="P763" s="132">
        <f t="shared" si="456"/>
        <v>0</v>
      </c>
      <c r="Q763" s="132">
        <f t="shared" ref="Q763:S763" ca="1" si="463">Q764+Q765</f>
        <v>0</v>
      </c>
      <c r="R763" s="132">
        <f t="shared" ca="1" si="463"/>
        <v>0</v>
      </c>
      <c r="S763" s="132">
        <f t="shared" ca="1" si="463"/>
        <v>0</v>
      </c>
      <c r="T763" s="132">
        <f t="shared" ca="1" si="458"/>
        <v>0</v>
      </c>
      <c r="U763" s="132">
        <f t="shared" ca="1" si="459"/>
        <v>0</v>
      </c>
    </row>
    <row r="764" spans="1:21" ht="18.75" hidden="1" x14ac:dyDescent="0.25">
      <c r="A764" s="257"/>
      <c r="B764" s="269"/>
      <c r="C764" s="306"/>
      <c r="D764" s="277"/>
      <c r="E764" s="77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133">
        <f t="shared" si="455"/>
        <v>0</v>
      </c>
      <c r="P764" s="133">
        <f t="shared" si="456"/>
        <v>0</v>
      </c>
      <c r="Q764" s="77">
        <v>0</v>
      </c>
      <c r="R764" s="77">
        <v>0</v>
      </c>
      <c r="S764" s="77">
        <v>0</v>
      </c>
      <c r="T764" s="133">
        <f t="shared" si="458"/>
        <v>0</v>
      </c>
      <c r="U764" s="133">
        <f t="shared" si="459"/>
        <v>0</v>
      </c>
    </row>
    <row r="765" spans="1:21" ht="18.75" hidden="1" x14ac:dyDescent="0.25">
      <c r="A765" s="257"/>
      <c r="B765" s="269"/>
      <c r="C765" s="306"/>
      <c r="D765" s="277"/>
      <c r="E765" s="749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132">
        <f t="shared" si="455"/>
        <v>0</v>
      </c>
      <c r="P765" s="132">
        <f t="shared" si="456"/>
        <v>0</v>
      </c>
      <c r="Q765" s="132">
        <f ca="1">IFERROR(__xludf.DUMMYFUNCTION("IMPORTRANGE(""https://docs.google.com/spreadsheets/d/1ItG2mGa2ceCfYo0BwxsXqNm01IGEUdYcSSLTEv9YCik/edit?usp=sharing"",""เบิกจ่ายกองทุน!U54"")"),0)</f>
        <v>0</v>
      </c>
      <c r="R765" s="132">
        <f ca="1">IFERROR(__xludf.DUMMYFUNCTION("IMPORTRANGE(""https://docs.google.com/spreadsheets/d/1ItG2mGa2ceCfYo0BwxsXqNm01IGEUdYcSSLTEv9YCik/edit?usp=sharing"",""เบิกจ่ายกองทุน!V54"")"),0)</f>
        <v>0</v>
      </c>
      <c r="S765" s="132">
        <f ca="1">IFERROR(__xludf.DUMMYFUNCTION("IMPORTRANGE(""https://docs.google.com/spreadsheets/d/1ItG2mGa2ceCfYo0BwxsXqNm01IGEUdYcSSLTEv9YCik/edit?usp=sharing"",""เบิกจ่ายกองทุน!W54"")"),0)</f>
        <v>0</v>
      </c>
      <c r="T765" s="132">
        <f t="shared" ca="1" si="458"/>
        <v>0</v>
      </c>
      <c r="U765" s="132">
        <f t="shared" ca="1" si="459"/>
        <v>0</v>
      </c>
    </row>
    <row r="766" spans="1:21" ht="18.75" x14ac:dyDescent="0.25">
      <c r="A766" s="257"/>
      <c r="B766" s="269"/>
      <c r="C766" s="269"/>
      <c r="D766" s="967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131">
        <f t="shared" ref="L766:N766" si="464">L767+L768</f>
        <v>0</v>
      </c>
      <c r="M766" s="132">
        <f t="shared" si="464"/>
        <v>0</v>
      </c>
      <c r="N766" s="132">
        <f t="shared" si="464"/>
        <v>0</v>
      </c>
      <c r="O766" s="132">
        <f t="shared" si="455"/>
        <v>0</v>
      </c>
      <c r="P766" s="132">
        <f t="shared" si="456"/>
        <v>0</v>
      </c>
      <c r="Q766" s="132">
        <f t="shared" ref="Q766:S766" si="465">Q767+Q768</f>
        <v>0</v>
      </c>
      <c r="R766" s="132">
        <f t="shared" si="465"/>
        <v>0</v>
      </c>
      <c r="S766" s="132">
        <f t="shared" si="465"/>
        <v>0</v>
      </c>
      <c r="T766" s="132">
        <f t="shared" si="458"/>
        <v>0</v>
      </c>
      <c r="U766" s="132">
        <f t="shared" si="459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133">
        <f t="shared" si="455"/>
        <v>0</v>
      </c>
      <c r="P767" s="133">
        <f t="shared" si="456"/>
        <v>0</v>
      </c>
      <c r="Q767" s="77">
        <v>0</v>
      </c>
      <c r="R767" s="77">
        <v>0</v>
      </c>
      <c r="S767" s="77">
        <v>0</v>
      </c>
      <c r="T767" s="133">
        <f t="shared" si="458"/>
        <v>0</v>
      </c>
      <c r="U767" s="133">
        <f t="shared" si="459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132">
        <f t="shared" si="455"/>
        <v>0</v>
      </c>
      <c r="P768" s="132">
        <f t="shared" si="456"/>
        <v>0</v>
      </c>
      <c r="Q768" s="74">
        <v>0</v>
      </c>
      <c r="R768" s="74">
        <v>0</v>
      </c>
      <c r="S768" s="74">
        <v>0</v>
      </c>
      <c r="T768" s="132">
        <f t="shared" si="458"/>
        <v>0</v>
      </c>
      <c r="U768" s="132">
        <f t="shared" si="459"/>
        <v>0</v>
      </c>
    </row>
    <row r="769" spans="1:21" ht="19.5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1224">
        <f ca="1">IFERROR(__xludf.DUMMYFUNCTION("IMPORTRANGE(""https://docs.google.com/spreadsheets/d/1eHaY18a8A9IcSdp1K8H6x8fbOy06t2VsZHhMHf-1x7Y/edit?usp=sharing"",""แผน!FI54"")"),0)</f>
        <v>0</v>
      </c>
      <c r="J770" s="592">
        <v>0</v>
      </c>
      <c r="K770" s="133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623">
        <f ca="1">IFERROR(__xludf.DUMMYFUNCTION("IMPORTRANGE(""https://docs.google.com/spreadsheets/d/1eHaY18a8A9IcSdp1K8H6x8fbOy06t2VsZHhMHf-1x7Y/edit?usp=sharing"",""แผน!FQ54"")"),0)</f>
        <v>0</v>
      </c>
      <c r="J772" s="294">
        <v>0</v>
      </c>
      <c r="K772" s="132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623">
        <f ca="1">IFERROR(__xludf.DUMMYFUNCTION("IMPORTRANGE(""https://docs.google.com/spreadsheets/d/1eHaY18a8A9IcSdp1K8H6x8fbOy06t2VsZHhMHf-1x7Y/edit?usp=sharing"",""แผน!FR54"")"),0)</f>
        <v>0</v>
      </c>
      <c r="J774" s="294">
        <v>0</v>
      </c>
      <c r="K774" s="132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623">
        <f ca="1">IFERROR(__xludf.DUMMYFUNCTION("IMPORTRANGE(""https://docs.google.com/spreadsheets/d/1eHaY18a8A9IcSdp1K8H6x8fbOy06t2VsZHhMHf-1x7Y/edit?usp=sharing"",""แผน!FS54"")"),0)</f>
        <v>0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632">
        <f ca="1">IFERROR(__xludf.DUMMYFUNCTION("IMPORTRANGE(""https://docs.google.com/spreadsheets/d/1eHaY18a8A9IcSdp1K8H6x8fbOy06t2VsZHhMHf-1x7Y/edit?usp=sharing"",""แผน!FT54"")"),0)</f>
        <v>0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IFERROR(__xludf.DUMMYFUNCTION("IMPORTRANGE(""https://docs.google.com/spreadsheets/d/10OvvATaaLtwErnr3qtWFcTmtbfpFEt5Bsqel9sXx0uE/edit?usp=sharing"",""งานกองทุน!D54"")"),6633500)</f>
        <v>6633500</v>
      </c>
      <c r="J778" s="293">
        <f ca="1">IFERROR(__xludf.DUMMYFUNCTION("IMPORTRANGE(""https://docs.google.com/spreadsheets/d/10OvvATaaLtwErnr3qtWFcTmtbfpFEt5Bsqel9sXx0uE/edit?usp=sharing"",""งานกองทุน!F54"")"),1095954.42)</f>
        <v>1095954.42</v>
      </c>
      <c r="K778" s="74">
        <f t="shared" ref="K778:K785" ca="1" si="466">IF(I778&gt;0,J778*100/I778,0)</f>
        <v>16.521510816311149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IFERROR(__xludf.DUMMYFUNCTION("IMPORTRANGE(""https://docs.google.com/spreadsheets/d/10OvvATaaLtwErnr3qtWFcTmtbfpFEt5Bsqel9sXx0uE/edit?usp=sharing"",""งานกองทุน!C54"")"),327)</f>
        <v>327</v>
      </c>
      <c r="J779" s="293">
        <f ca="1">IFERROR(__xludf.DUMMYFUNCTION("IMPORTRANGE(""https://docs.google.com/spreadsheets/d/10OvvATaaLtwErnr3qtWFcTmtbfpFEt5Bsqel9sXx0uE/edit?usp=sharing"",""งานกองทุน!E54"")"),56)</f>
        <v>56</v>
      </c>
      <c r="K779" s="74">
        <f t="shared" ca="1" si="466"/>
        <v>17.125382262996943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IFERROR(__xludf.DUMMYFUNCTION("IMPORTRANGE(""https://docs.google.com/spreadsheets/d/10OvvATaaLtwErnr3qtWFcTmtbfpFEt5Bsqel9sXx0uE/edit?usp=sharing"",""งานกองทุน!I54"")"),14675872.61)</f>
        <v>14675872.609999999</v>
      </c>
      <c r="J780" s="293">
        <f ca="1">IFERROR(__xludf.DUMMYFUNCTION("IMPORTRANGE(""https://docs.google.com/spreadsheets/d/10OvvATaaLtwErnr3qtWFcTmtbfpFEt5Bsqel9sXx0uE/edit?usp=sharing"",""งานกองทุน!K54"")"),338331.89)</f>
        <v>338331.89</v>
      </c>
      <c r="K780" s="74">
        <f t="shared" ca="1" si="466"/>
        <v>2.3053613164335038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IFERROR(__xludf.DUMMYFUNCTION("IMPORTRANGE(""https://docs.google.com/spreadsheets/d/10OvvATaaLtwErnr3qtWFcTmtbfpFEt5Bsqel9sXx0uE/edit?usp=sharing"",""งานกองทุน!H54"")"),347)</f>
        <v>347</v>
      </c>
      <c r="J781" s="293">
        <f ca="1">IFERROR(__xludf.DUMMYFUNCTION("IMPORTRANGE(""https://docs.google.com/spreadsheets/d/10OvvATaaLtwErnr3qtWFcTmtbfpFEt5Bsqel9sXx0uE/edit?usp=sharing"",""งานกองทุน!J54"")"),81)</f>
        <v>81</v>
      </c>
      <c r="K781" s="74">
        <f t="shared" ca="1" si="466"/>
        <v>23.342939481268012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IFERROR(__xludf.DUMMYFUNCTION("IMPORTRANGE(""https://docs.google.com/spreadsheets/d/10OvvATaaLtwErnr3qtWFcTmtbfpFEt5Bsqel9sXx0uE/edit?usp=sharing"",""งานกองทุน!N54"")"),656394.72)</f>
        <v>656394.72</v>
      </c>
      <c r="J782" s="293">
        <f ca="1">IFERROR(__xludf.DUMMYFUNCTION("IMPORTRANGE(""https://docs.google.com/spreadsheets/d/10OvvATaaLtwErnr3qtWFcTmtbfpFEt5Bsqel9sXx0uE/edit?usp=sharing"",""งานกองทุน!P54"")"),1033)</f>
        <v>1033</v>
      </c>
      <c r="K782" s="74">
        <f t="shared" ca="1" si="466"/>
        <v>0.15737481861523811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IFERROR(__xludf.DUMMYFUNCTION("IMPORTRANGE(""https://docs.google.com/spreadsheets/d/10OvvATaaLtwErnr3qtWFcTmtbfpFEt5Bsqel9sXx0uE/edit?usp=sharing"",""งานกองทุน!M54"")"),96)</f>
        <v>96</v>
      </c>
      <c r="J783" s="293">
        <f ca="1">IFERROR(__xludf.DUMMYFUNCTION("IMPORTRANGE(""https://docs.google.com/spreadsheets/d/10OvvATaaLtwErnr3qtWFcTmtbfpFEt5Bsqel9sXx0uE/edit?usp=sharing"",""งานกองทุน!O54"")"),4)</f>
        <v>4</v>
      </c>
      <c r="K783" s="74">
        <f t="shared" ca="1" si="466"/>
        <v>4.166666666666667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IFERROR(__xludf.DUMMYFUNCTION("IMPORTRANGE(""https://docs.google.com/spreadsheets/d/10OvvATaaLtwErnr3qtWFcTmtbfpFEt5Bsqel9sXx0uE/edit?usp=sharing"",""งานกองทุน!S54"")"),6524000)</f>
        <v>6524000</v>
      </c>
      <c r="J784" s="293">
        <f ca="1">IFERROR(__xludf.DUMMYFUNCTION("IMPORTRANGE(""https://docs.google.com/spreadsheets/d/10OvvATaaLtwErnr3qtWFcTmtbfpFEt5Bsqel9sXx0uE/edit?usp=sharing"",""งานกองทุน!U54"")"),150000)</f>
        <v>150000</v>
      </c>
      <c r="K784" s="74">
        <f t="shared" ca="1" si="466"/>
        <v>2.2992029429797669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IFERROR(__xludf.DUMMYFUNCTION("IMPORTRANGE(""https://docs.google.com/spreadsheets/d/10OvvATaaLtwErnr3qtWFcTmtbfpFEt5Bsqel9sXx0uE/edit?usp=sharing"",""งานกองทุน!R54"")"),233)</f>
        <v>233</v>
      </c>
      <c r="J785" s="786">
        <f ca="1">IFERROR(__xludf.DUMMYFUNCTION("IMPORTRANGE(""https://docs.google.com/spreadsheets/d/10OvvATaaLtwErnr3qtWFcTmtbfpFEt5Bsqel9sXx0uE/edit?usp=sharing"",""งานกองทุน!T54"")"),5)</f>
        <v>5</v>
      </c>
      <c r="K785" s="182">
        <f t="shared" ca="1" si="466"/>
        <v>2.1459227467811157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A80E8-D39E-4E6C-BE55-FCAB2AAD0DDE}">
  <sheetPr codeName="Sheet4"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4" width="21.28515625" bestFit="1" customWidth="1"/>
    <col min="15" max="16" width="12.5703125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330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4" t="s">
        <v>4</v>
      </c>
      <c r="B6" s="1385"/>
      <c r="C6" s="1385"/>
      <c r="D6" s="1385"/>
      <c r="E6" s="1385"/>
      <c r="F6" s="1385"/>
      <c r="G6" s="1386"/>
      <c r="H6" s="1037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823">
        <f t="shared" ref="L19:N19" ca="1" si="0">L20+L21</f>
        <v>2447761</v>
      </c>
      <c r="M19" s="824">
        <f t="shared" ca="1" si="0"/>
        <v>2463841</v>
      </c>
      <c r="N19" s="824">
        <f t="shared" ca="1" si="0"/>
        <v>1201845.82</v>
      </c>
      <c r="O19" s="824">
        <f t="shared" ref="O19:O27" ca="1" si="1">IF(L19&gt;0,N19*100/L19,0)</f>
        <v>49.099802635959968</v>
      </c>
      <c r="P19" s="824">
        <f t="shared" ref="P19:P27" ca="1" si="2">IF(M19&gt;0,N19*100/M19,0)</f>
        <v>48.779357921229497</v>
      </c>
      <c r="Q19" s="824">
        <f t="shared" ref="Q19:S19" ca="1" si="3">Q20+Q21</f>
        <v>2439684.2400000002</v>
      </c>
      <c r="R19" s="824">
        <f t="shared" ca="1" si="3"/>
        <v>2377184</v>
      </c>
      <c r="S19" s="824">
        <f t="shared" ca="1" si="3"/>
        <v>83466</v>
      </c>
      <c r="T19" s="824">
        <f t="shared" ref="T19:T27" ca="1" si="4">IF(Q19&gt;0,S19*100/Q19,0)</f>
        <v>3.4211804393178356</v>
      </c>
      <c r="U19" s="824">
        <f t="shared" ref="U19:U27" ca="1" si="5">IF(R19&gt;0,S19*100/R19,0)</f>
        <v>3.5111291343034448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832">
        <f t="shared" ref="L20:N21" si="6">L23+L26</f>
        <v>0</v>
      </c>
      <c r="M20" s="833">
        <f t="shared" si="6"/>
        <v>0</v>
      </c>
      <c r="N20" s="833">
        <f t="shared" si="6"/>
        <v>0</v>
      </c>
      <c r="O20" s="833">
        <f t="shared" si="1"/>
        <v>0</v>
      </c>
      <c r="P20" s="833">
        <f t="shared" si="2"/>
        <v>0</v>
      </c>
      <c r="Q20" s="833">
        <f t="shared" ref="Q20:S21" si="7">Q23+Q26</f>
        <v>0</v>
      </c>
      <c r="R20" s="833">
        <f t="shared" si="7"/>
        <v>0</v>
      </c>
      <c r="S20" s="833">
        <f t="shared" si="7"/>
        <v>0</v>
      </c>
      <c r="T20" s="833">
        <f t="shared" si="4"/>
        <v>0</v>
      </c>
      <c r="U20" s="83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834">
        <f t="shared" ca="1" si="6"/>
        <v>2447761</v>
      </c>
      <c r="M21" s="835">
        <f t="shared" ca="1" si="6"/>
        <v>2463841</v>
      </c>
      <c r="N21" s="835">
        <f t="shared" ca="1" si="6"/>
        <v>1201845.82</v>
      </c>
      <c r="O21" s="835">
        <f t="shared" ca="1" si="1"/>
        <v>49.099802635959968</v>
      </c>
      <c r="P21" s="835">
        <f t="shared" ca="1" si="2"/>
        <v>48.779357921229497</v>
      </c>
      <c r="Q21" s="835">
        <f t="shared" ca="1" si="7"/>
        <v>2439684.2400000002</v>
      </c>
      <c r="R21" s="835">
        <f t="shared" ca="1" si="7"/>
        <v>2377184</v>
      </c>
      <c r="S21" s="835">
        <f t="shared" ca="1" si="7"/>
        <v>83466</v>
      </c>
      <c r="T21" s="835">
        <f t="shared" ca="1" si="4"/>
        <v>3.4211804393178356</v>
      </c>
      <c r="U21" s="835">
        <f t="shared" ca="1" si="5"/>
        <v>3.5111291343034448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131">
        <f t="shared" ref="L22:N22" ca="1" si="8">L23+L24</f>
        <v>2447761</v>
      </c>
      <c r="M22" s="132">
        <f t="shared" ca="1" si="8"/>
        <v>2463841</v>
      </c>
      <c r="N22" s="132">
        <f t="shared" ca="1" si="8"/>
        <v>1201845.82</v>
      </c>
      <c r="O22" s="132">
        <f t="shared" ca="1" si="1"/>
        <v>49.099802635959968</v>
      </c>
      <c r="P22" s="132">
        <f t="shared" ca="1" si="2"/>
        <v>48.779357921229497</v>
      </c>
      <c r="Q22" s="132">
        <f t="shared" ref="Q22:S22" ca="1" si="9">Q23+Q24</f>
        <v>2439684.2400000002</v>
      </c>
      <c r="R22" s="132">
        <f t="shared" ca="1" si="9"/>
        <v>2377184</v>
      </c>
      <c r="S22" s="132">
        <f t="shared" ca="1" si="9"/>
        <v>83466</v>
      </c>
      <c r="T22" s="132">
        <f t="shared" ca="1" si="4"/>
        <v>3.4211804393178356</v>
      </c>
      <c r="U22" s="132">
        <f t="shared" ca="1" si="5"/>
        <v>3.5111291343034448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217">
        <f t="shared" ref="L23:N24" si="10">L49+L64+L77+L99+L130+L144+L162+L191+L178+L271+L287+L308+L325+L338+L361+L518</f>
        <v>0</v>
      </c>
      <c r="M23" s="133">
        <f t="shared" si="10"/>
        <v>0</v>
      </c>
      <c r="N23" s="133">
        <f t="shared" si="10"/>
        <v>0</v>
      </c>
      <c r="O23" s="133">
        <f t="shared" si="1"/>
        <v>0</v>
      </c>
      <c r="P23" s="133">
        <f t="shared" si="2"/>
        <v>0</v>
      </c>
      <c r="Q23" s="133">
        <f t="shared" ref="Q23:S24" si="11">Q77+Q99+Q122+Q144+Q162+Q178+Q191+Q271+Q287+Q308+Q338+Q380+Q397+Q418+Q498+Q604+Q621+Q647+Q695+Q719+Q733+Q764</f>
        <v>0</v>
      </c>
      <c r="R23" s="133">
        <f t="shared" si="11"/>
        <v>0</v>
      </c>
      <c r="S23" s="133">
        <f t="shared" si="11"/>
        <v>0</v>
      </c>
      <c r="T23" s="133">
        <f t="shared" si="4"/>
        <v>0</v>
      </c>
      <c r="U23" s="133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131">
        <f t="shared" ca="1" si="10"/>
        <v>2447761</v>
      </c>
      <c r="M24" s="132">
        <f t="shared" ca="1" si="10"/>
        <v>2463841</v>
      </c>
      <c r="N24" s="132">
        <f t="shared" ca="1" si="10"/>
        <v>1201845.82</v>
      </c>
      <c r="O24" s="132">
        <f t="shared" ca="1" si="1"/>
        <v>49.099802635959968</v>
      </c>
      <c r="P24" s="132">
        <f t="shared" ca="1" si="2"/>
        <v>48.779357921229497</v>
      </c>
      <c r="Q24" s="132">
        <f t="shared" ca="1" si="11"/>
        <v>2439684.2400000002</v>
      </c>
      <c r="R24" s="132">
        <f t="shared" ca="1" si="11"/>
        <v>2377184</v>
      </c>
      <c r="S24" s="132">
        <f t="shared" ca="1" si="11"/>
        <v>83466</v>
      </c>
      <c r="T24" s="132">
        <f t="shared" ca="1" si="4"/>
        <v>3.4211804393178356</v>
      </c>
      <c r="U24" s="132">
        <f t="shared" ca="1" si="5"/>
        <v>3.5111291343034448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131">
        <f t="shared" ref="L25:N25" ca="1" si="12">L26+L27</f>
        <v>0</v>
      </c>
      <c r="M25" s="132">
        <f t="shared" ca="1" si="12"/>
        <v>0</v>
      </c>
      <c r="N25" s="132">
        <f t="shared" ca="1" si="12"/>
        <v>0</v>
      </c>
      <c r="O25" s="132">
        <f t="shared" ca="1" si="1"/>
        <v>0</v>
      </c>
      <c r="P25" s="132">
        <f t="shared" ca="1" si="2"/>
        <v>0</v>
      </c>
      <c r="Q25" s="132">
        <f t="shared" ref="Q25:S25" si="13">Q26+Q27</f>
        <v>0</v>
      </c>
      <c r="R25" s="132">
        <f t="shared" si="13"/>
        <v>0</v>
      </c>
      <c r="S25" s="132">
        <f t="shared" si="13"/>
        <v>0</v>
      </c>
      <c r="T25" s="132">
        <f t="shared" si="4"/>
        <v>0</v>
      </c>
      <c r="U25" s="132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217">
        <f t="shared" ref="L26:N27" si="14">L52+L67+L80+L102+L133+L147+L165+L194+L181+L274+L290+L311+L328+L341+L364+L521</f>
        <v>0</v>
      </c>
      <c r="M26" s="133">
        <f t="shared" si="14"/>
        <v>0</v>
      </c>
      <c r="N26" s="133">
        <f t="shared" si="14"/>
        <v>0</v>
      </c>
      <c r="O26" s="133">
        <f t="shared" si="1"/>
        <v>0</v>
      </c>
      <c r="P26" s="133">
        <f t="shared" si="2"/>
        <v>0</v>
      </c>
      <c r="Q26" s="133">
        <f t="shared" ref="Q26:S27" si="15">Q80+Q102+Q125+Q147+Q165+Q181+Q194+Q274+Q290+Q311+Q341+Q383+Q400+Q421+Q501+Q607+Q624+Q650+Q698+Q722+Q736+Q767</f>
        <v>0</v>
      </c>
      <c r="R26" s="133">
        <f t="shared" si="15"/>
        <v>0</v>
      </c>
      <c r="S26" s="133">
        <f t="shared" si="15"/>
        <v>0</v>
      </c>
      <c r="T26" s="133">
        <f t="shared" si="4"/>
        <v>0</v>
      </c>
      <c r="U26" s="133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131">
        <f t="shared" ca="1" si="14"/>
        <v>0</v>
      </c>
      <c r="M27" s="132">
        <f t="shared" ca="1" si="14"/>
        <v>0</v>
      </c>
      <c r="N27" s="132">
        <f t="shared" ca="1" si="14"/>
        <v>0</v>
      </c>
      <c r="O27" s="132">
        <f t="shared" ca="1" si="1"/>
        <v>0</v>
      </c>
      <c r="P27" s="132">
        <f t="shared" ca="1" si="2"/>
        <v>0</v>
      </c>
      <c r="Q27" s="133">
        <f t="shared" si="15"/>
        <v>0</v>
      </c>
      <c r="R27" s="133">
        <f t="shared" si="15"/>
        <v>0</v>
      </c>
      <c r="S27" s="133">
        <f t="shared" si="15"/>
        <v>0</v>
      </c>
      <c r="T27" s="132">
        <f t="shared" si="4"/>
        <v>0</v>
      </c>
      <c r="U27" s="132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81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851">
        <f t="shared" ref="L41:N41" ca="1" si="16">L45+L60+L73+L95+L126+L140+L158+L174+L187+L267+L283+L304+L321+L334+L357</f>
        <v>2447761</v>
      </c>
      <c r="M41" s="852">
        <f t="shared" ca="1" si="16"/>
        <v>2463841</v>
      </c>
      <c r="N41" s="852">
        <f t="shared" ca="1" si="16"/>
        <v>1201845.82</v>
      </c>
      <c r="O41" s="852">
        <f ca="1">IF(L41&gt;0,N41*100/L41,0)</f>
        <v>49.099802635959968</v>
      </c>
      <c r="P41" s="852">
        <f ca="1">IF(M41&gt;0,N41*100/M41,0)</f>
        <v>48.779357921229497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859">
        <f t="shared" ref="L45:N45" ca="1" si="17">L46+L47</f>
        <v>366416</v>
      </c>
      <c r="M45" s="860">
        <f t="shared" ca="1" si="17"/>
        <v>382231</v>
      </c>
      <c r="N45" s="860">
        <f t="shared" ca="1" si="17"/>
        <v>258295.45</v>
      </c>
      <c r="O45" s="860">
        <f t="shared" ref="O45:O53" ca="1" si="18">IF(L45&gt;0,N45*100/L45,0)</f>
        <v>70.492404807650317</v>
      </c>
      <c r="P45" s="860">
        <f t="shared" ref="P45:P53" ca="1" si="19">IF(M45&gt;0,N45*100/M45,0)</f>
        <v>67.5757460802499</v>
      </c>
      <c r="Q45" s="860">
        <f t="shared" ref="Q45:S45" si="20">Q46+Q47</f>
        <v>0</v>
      </c>
      <c r="R45" s="860">
        <f t="shared" si="20"/>
        <v>0</v>
      </c>
      <c r="S45" s="860">
        <f t="shared" si="20"/>
        <v>0</v>
      </c>
      <c r="T45" s="860">
        <f t="shared" ref="T45:T53" si="21">IF(Q45&gt;0,S45*100/Q45,0)</f>
        <v>0</v>
      </c>
      <c r="U45" s="860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">
        <f t="shared" ref="L46:N47" si="23">L49+L52</f>
        <v>0</v>
      </c>
      <c r="M46" s="128">
        <f t="shared" si="23"/>
        <v>0</v>
      </c>
      <c r="N46" s="128">
        <f t="shared" si="23"/>
        <v>0</v>
      </c>
      <c r="O46" s="128">
        <f t="shared" si="18"/>
        <v>0</v>
      </c>
      <c r="P46" s="128">
        <f t="shared" si="19"/>
        <v>0</v>
      </c>
      <c r="Q46" s="128">
        <f t="shared" ref="Q46:S47" si="24">Q49+Q52</f>
        <v>0</v>
      </c>
      <c r="R46" s="128">
        <f t="shared" si="24"/>
        <v>0</v>
      </c>
      <c r="S46" s="128">
        <f t="shared" si="24"/>
        <v>0</v>
      </c>
      <c r="T46" s="128">
        <f t="shared" si="21"/>
        <v>0</v>
      </c>
      <c r="U46" s="128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9">
        <f t="shared" ca="1" si="23"/>
        <v>366416</v>
      </c>
      <c r="M47" s="130">
        <f t="shared" ca="1" si="23"/>
        <v>382231</v>
      </c>
      <c r="N47" s="130">
        <f t="shared" ca="1" si="23"/>
        <v>258295.45</v>
      </c>
      <c r="O47" s="130">
        <f t="shared" ca="1" si="18"/>
        <v>70.492404807650317</v>
      </c>
      <c r="P47" s="130">
        <f t="shared" ca="1" si="19"/>
        <v>67.5757460802499</v>
      </c>
      <c r="Q47" s="130">
        <f t="shared" si="24"/>
        <v>0</v>
      </c>
      <c r="R47" s="130">
        <f t="shared" si="24"/>
        <v>0</v>
      </c>
      <c r="S47" s="130">
        <f t="shared" si="24"/>
        <v>0</v>
      </c>
      <c r="T47" s="130">
        <f t="shared" si="21"/>
        <v>0</v>
      </c>
      <c r="U47" s="130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131">
        <f t="shared" ref="L48:N48" ca="1" si="25">L49+L50</f>
        <v>366416</v>
      </c>
      <c r="M48" s="132">
        <f t="shared" ca="1" si="25"/>
        <v>382231</v>
      </c>
      <c r="N48" s="132">
        <f t="shared" ca="1" si="25"/>
        <v>258295.45</v>
      </c>
      <c r="O48" s="132">
        <f t="shared" ca="1" si="18"/>
        <v>70.492404807650317</v>
      </c>
      <c r="P48" s="132">
        <f t="shared" ca="1" si="19"/>
        <v>67.5757460802499</v>
      </c>
      <c r="Q48" s="132">
        <f t="shared" ref="Q48:S48" si="26">Q49+Q50</f>
        <v>0</v>
      </c>
      <c r="R48" s="132">
        <f t="shared" si="26"/>
        <v>0</v>
      </c>
      <c r="S48" s="132">
        <f t="shared" si="26"/>
        <v>0</v>
      </c>
      <c r="T48" s="132">
        <f t="shared" si="21"/>
        <v>0</v>
      </c>
      <c r="U48" s="132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133">
        <f t="shared" si="18"/>
        <v>0</v>
      </c>
      <c r="P49" s="133">
        <f t="shared" si="19"/>
        <v>0</v>
      </c>
      <c r="Q49" s="77">
        <v>0</v>
      </c>
      <c r="R49" s="77">
        <v>0</v>
      </c>
      <c r="S49" s="77">
        <v>0</v>
      </c>
      <c r="T49" s="133">
        <f t="shared" si="21"/>
        <v>0</v>
      </c>
      <c r="U49" s="133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131">
        <f ca="1">IFERROR(__xludf.DUMMYFUNCTION("IMPORTRANGE(""https://docs.google.com/spreadsheets/d/1-uDff_7J0KD5mKrp0Vvzr7lt3OU09vwQwhkpOPPYv2Y/edit?usp=sharing"",""งบพรบ!P55"")"),366416)</f>
        <v>366416</v>
      </c>
      <c r="M50" s="132">
        <f ca="1">IFERROR(__xludf.DUMMYFUNCTION("IMPORTRANGE(""https://docs.google.com/spreadsheets/d/1-uDff_7J0KD5mKrp0Vvzr7lt3OU09vwQwhkpOPPYv2Y/edit?usp=sharing"",""งบพรบ!V55"")"),382231)</f>
        <v>382231</v>
      </c>
      <c r="N50" s="132">
        <f ca="1">IFERROR(__xludf.DUMMYFUNCTION("IMPORTRANGE(""https://docs.google.com/spreadsheets/d/1-uDff_7J0KD5mKrp0Vvzr7lt3OU09vwQwhkpOPPYv2Y/edit?usp=sharing"",""งบพรบ!Y55"")"),258295.45)</f>
        <v>258295.45</v>
      </c>
      <c r="O50" s="132">
        <f t="shared" ca="1" si="18"/>
        <v>70.492404807650317</v>
      </c>
      <c r="P50" s="132">
        <f t="shared" ca="1" si="19"/>
        <v>67.5757460802499</v>
      </c>
      <c r="Q50" s="74">
        <v>0</v>
      </c>
      <c r="R50" s="74">
        <v>0</v>
      </c>
      <c r="S50" s="74">
        <v>0</v>
      </c>
      <c r="T50" s="132">
        <f t="shared" si="21"/>
        <v>0</v>
      </c>
      <c r="U50" s="132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131">
        <f t="shared" ref="L51:N51" ca="1" si="27">L52+L53</f>
        <v>0</v>
      </c>
      <c r="M51" s="132">
        <f t="shared" ca="1" si="27"/>
        <v>0</v>
      </c>
      <c r="N51" s="132">
        <f t="shared" ca="1" si="27"/>
        <v>0</v>
      </c>
      <c r="O51" s="132">
        <f t="shared" ca="1" si="18"/>
        <v>0</v>
      </c>
      <c r="P51" s="132">
        <f t="shared" ca="1" si="19"/>
        <v>0</v>
      </c>
      <c r="Q51" s="132">
        <f t="shared" ref="Q51:S51" si="28">Q52+Q53</f>
        <v>0</v>
      </c>
      <c r="R51" s="132">
        <f t="shared" si="28"/>
        <v>0</v>
      </c>
      <c r="S51" s="132">
        <f t="shared" si="28"/>
        <v>0</v>
      </c>
      <c r="T51" s="132">
        <f t="shared" si="21"/>
        <v>0</v>
      </c>
      <c r="U51" s="132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133">
        <f t="shared" si="18"/>
        <v>0</v>
      </c>
      <c r="P52" s="133">
        <f t="shared" si="19"/>
        <v>0</v>
      </c>
      <c r="Q52" s="77">
        <v>0</v>
      </c>
      <c r="R52" s="77">
        <v>0</v>
      </c>
      <c r="S52" s="77">
        <v>0</v>
      </c>
      <c r="T52" s="133">
        <f t="shared" si="21"/>
        <v>0</v>
      </c>
      <c r="U52" s="133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131">
        <f ca="1">IFERROR(__xludf.DUMMYFUNCTION("IMPORTRANGE(""https://docs.google.com/spreadsheets/d/1-uDff_7J0KD5mKrp0Vvzr7lt3OU09vwQwhkpOPPYv2Y/edit?usp=sharing"",""งบพรบ!S55"")"),0)</f>
        <v>0</v>
      </c>
      <c r="M53" s="132">
        <f ca="1">IFERROR(__xludf.DUMMYFUNCTION("IMPORTRANGE(""https://docs.google.com/spreadsheets/d/1-uDff_7J0KD5mKrp0Vvzr7lt3OU09vwQwhkpOPPYv2Y/edit?usp=sharing"",""งบพรบ!W55"")"),0)</f>
        <v>0</v>
      </c>
      <c r="N53" s="132">
        <f ca="1">IFERROR(__xludf.DUMMYFUNCTION("IMPORTRANGE(""https://docs.google.com/spreadsheets/d/1-uDff_7J0KD5mKrp0Vvzr7lt3OU09vwQwhkpOPPYv2Y/edit?usp=sharing"",""งบพรบ!Z55"")"),0)</f>
        <v>0</v>
      </c>
      <c r="O53" s="132">
        <f t="shared" ca="1" si="18"/>
        <v>0</v>
      </c>
      <c r="P53" s="132">
        <f t="shared" ca="1" si="19"/>
        <v>0</v>
      </c>
      <c r="Q53" s="74">
        <v>0</v>
      </c>
      <c r="R53" s="74">
        <v>0</v>
      </c>
      <c r="S53" s="74">
        <v>0</v>
      </c>
      <c r="T53" s="132">
        <f t="shared" si="21"/>
        <v>0</v>
      </c>
      <c r="U53" s="132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65">
        <f t="shared" ref="L60:N60" ca="1" si="29">L61+L62</f>
        <v>627100</v>
      </c>
      <c r="M60" s="166">
        <f t="shared" ca="1" si="29"/>
        <v>627100</v>
      </c>
      <c r="N60" s="166">
        <f t="shared" ca="1" si="29"/>
        <v>415587.61</v>
      </c>
      <c r="O60" s="166">
        <f t="shared" ref="O60:O68" ca="1" si="30">IF(L60&gt;0,N60*100/L60,0)</f>
        <v>66.271345877850422</v>
      </c>
      <c r="P60" s="166">
        <f t="shared" ref="P60:P68" ca="1" si="31">IF(M60&gt;0,N60*100/M60,0)</f>
        <v>66.271345877850422</v>
      </c>
      <c r="Q60" s="166">
        <f t="shared" ref="Q60:S60" si="32">Q61+Q62</f>
        <v>0</v>
      </c>
      <c r="R60" s="166">
        <f t="shared" si="32"/>
        <v>0</v>
      </c>
      <c r="S60" s="166">
        <f t="shared" si="32"/>
        <v>0</v>
      </c>
      <c r="T60" s="166">
        <f t="shared" ref="T60:T68" si="33">IF(Q60&gt;0,S60*100/Q60,0)</f>
        <v>0</v>
      </c>
      <c r="U60" s="166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70">
        <f t="shared" ref="L61:N62" si="35">L64+L67</f>
        <v>0</v>
      </c>
      <c r="M61" s="171">
        <f t="shared" si="35"/>
        <v>0</v>
      </c>
      <c r="N61" s="171">
        <f t="shared" si="35"/>
        <v>0</v>
      </c>
      <c r="O61" s="171">
        <f t="shared" si="30"/>
        <v>0</v>
      </c>
      <c r="P61" s="171">
        <f t="shared" si="31"/>
        <v>0</v>
      </c>
      <c r="Q61" s="171">
        <f t="shared" ref="Q61:S62" si="36">Q64+Q67</f>
        <v>0</v>
      </c>
      <c r="R61" s="171">
        <f t="shared" si="36"/>
        <v>0</v>
      </c>
      <c r="S61" s="171">
        <f t="shared" si="36"/>
        <v>0</v>
      </c>
      <c r="T61" s="171">
        <f t="shared" si="33"/>
        <v>0</v>
      </c>
      <c r="U61" s="171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72">
        <f t="shared" ca="1" si="35"/>
        <v>627100</v>
      </c>
      <c r="M62" s="173">
        <f t="shared" ca="1" si="35"/>
        <v>627100</v>
      </c>
      <c r="N62" s="173">
        <f t="shared" ca="1" si="35"/>
        <v>415587.61</v>
      </c>
      <c r="O62" s="173">
        <f t="shared" ca="1" si="30"/>
        <v>66.271345877850422</v>
      </c>
      <c r="P62" s="173">
        <f t="shared" ca="1" si="31"/>
        <v>66.271345877850422</v>
      </c>
      <c r="Q62" s="173">
        <f t="shared" si="36"/>
        <v>0</v>
      </c>
      <c r="R62" s="173">
        <f t="shared" si="36"/>
        <v>0</v>
      </c>
      <c r="S62" s="173">
        <f t="shared" si="36"/>
        <v>0</v>
      </c>
      <c r="T62" s="173">
        <f t="shared" si="33"/>
        <v>0</v>
      </c>
      <c r="U62" s="173">
        <f t="shared" si="34"/>
        <v>0</v>
      </c>
    </row>
    <row r="63" spans="1:21" ht="18.75" x14ac:dyDescent="0.25">
      <c r="A63" s="550"/>
      <c r="B63" s="269"/>
      <c r="C63" s="269"/>
      <c r="D63" s="967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131">
        <f t="shared" ref="L63:N63" ca="1" si="37">L64+L65</f>
        <v>627100</v>
      </c>
      <c r="M63" s="132">
        <f t="shared" ca="1" si="37"/>
        <v>627100</v>
      </c>
      <c r="N63" s="132">
        <f t="shared" ca="1" si="37"/>
        <v>415587.61</v>
      </c>
      <c r="O63" s="132">
        <f t="shared" ca="1" si="30"/>
        <v>66.271345877850422</v>
      </c>
      <c r="P63" s="132">
        <f t="shared" ca="1" si="31"/>
        <v>66.271345877850422</v>
      </c>
      <c r="Q63" s="132">
        <f t="shared" ref="Q63:S63" si="38">Q64+Q65</f>
        <v>0</v>
      </c>
      <c r="R63" s="132">
        <f t="shared" si="38"/>
        <v>0</v>
      </c>
      <c r="S63" s="132">
        <f t="shared" si="38"/>
        <v>0</v>
      </c>
      <c r="T63" s="132">
        <f t="shared" si="33"/>
        <v>0</v>
      </c>
      <c r="U63" s="132">
        <f t="shared" si="34"/>
        <v>0</v>
      </c>
    </row>
    <row r="64" spans="1:21" ht="18.75" hidden="1" x14ac:dyDescent="0.25">
      <c r="A64" s="550"/>
      <c r="B64" s="258"/>
      <c r="C64" s="269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133">
        <f t="shared" si="30"/>
        <v>0</v>
      </c>
      <c r="P64" s="133">
        <f t="shared" si="31"/>
        <v>0</v>
      </c>
      <c r="Q64" s="77">
        <v>0</v>
      </c>
      <c r="R64" s="77">
        <v>0</v>
      </c>
      <c r="S64" s="77">
        <v>0</v>
      </c>
      <c r="T64" s="133">
        <f t="shared" si="33"/>
        <v>0</v>
      </c>
      <c r="U64" s="133">
        <f t="shared" si="34"/>
        <v>0</v>
      </c>
    </row>
    <row r="65" spans="1:21" ht="18.75" hidden="1" x14ac:dyDescent="0.25">
      <c r="A65" s="257"/>
      <c r="B65" s="258"/>
      <c r="C65" s="258"/>
      <c r="D65" s="269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131">
        <f ca="1">IFERROR(__xludf.DUMMYFUNCTION("IMPORTRANGE(""https://docs.google.com/spreadsheets/d/1-uDff_7J0KD5mKrp0Vvzr7lt3OU09vwQwhkpOPPYv2Y/edit?usp=sharing"",""งบพรบ!AC55"")"),627100)</f>
        <v>627100</v>
      </c>
      <c r="M65" s="132">
        <f ca="1">IFERROR(__xludf.DUMMYFUNCTION("IMPORTRANGE(""https://docs.google.com/spreadsheets/d/1-uDff_7J0KD5mKrp0Vvzr7lt3OU09vwQwhkpOPPYv2Y/edit?usp=sharing"",""งบพรบ!AH55"")"),627100)</f>
        <v>627100</v>
      </c>
      <c r="N65" s="132">
        <f ca="1">IFERROR(__xludf.DUMMYFUNCTION("IMPORTRANGE(""https://docs.google.com/spreadsheets/d/1-uDff_7J0KD5mKrp0Vvzr7lt3OU09vwQwhkpOPPYv2Y/edit?usp=sharing"",""งบพรบ!AJ55"")"),415587.61)</f>
        <v>415587.61</v>
      </c>
      <c r="O65" s="132">
        <f t="shared" ca="1" si="30"/>
        <v>66.271345877850422</v>
      </c>
      <c r="P65" s="132">
        <f t="shared" ca="1" si="31"/>
        <v>66.271345877850422</v>
      </c>
      <c r="Q65" s="74">
        <v>0</v>
      </c>
      <c r="R65" s="74">
        <v>0</v>
      </c>
      <c r="S65" s="74">
        <v>0</v>
      </c>
      <c r="T65" s="132">
        <f t="shared" si="33"/>
        <v>0</v>
      </c>
      <c r="U65" s="132">
        <f t="shared" si="34"/>
        <v>0</v>
      </c>
    </row>
    <row r="66" spans="1:21" ht="18.75" x14ac:dyDescent="0.25">
      <c r="A66" s="257"/>
      <c r="B66" s="258"/>
      <c r="C66" s="258"/>
      <c r="D66" s="967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131">
        <f t="shared" ref="L66:N66" ca="1" si="39">L67+L68</f>
        <v>0</v>
      </c>
      <c r="M66" s="132">
        <f t="shared" ca="1" si="39"/>
        <v>0</v>
      </c>
      <c r="N66" s="132">
        <f t="shared" ca="1" si="39"/>
        <v>0</v>
      </c>
      <c r="O66" s="132">
        <f t="shared" ca="1" si="30"/>
        <v>0</v>
      </c>
      <c r="P66" s="132">
        <f t="shared" ca="1" si="31"/>
        <v>0</v>
      </c>
      <c r="Q66" s="132">
        <f t="shared" ref="Q66:S66" si="40">Q67+Q68</f>
        <v>0</v>
      </c>
      <c r="R66" s="132">
        <f t="shared" si="40"/>
        <v>0</v>
      </c>
      <c r="S66" s="132">
        <f t="shared" si="40"/>
        <v>0</v>
      </c>
      <c r="T66" s="132">
        <f t="shared" si="33"/>
        <v>0</v>
      </c>
      <c r="U66" s="132">
        <f t="shared" si="34"/>
        <v>0</v>
      </c>
    </row>
    <row r="67" spans="1:21" ht="18.75" hidden="1" x14ac:dyDescent="0.25">
      <c r="A67" s="257"/>
      <c r="B67" s="258"/>
      <c r="C67" s="258"/>
      <c r="D67" s="258"/>
      <c r="E67" s="265" t="s">
        <v>20</v>
      </c>
      <c r="F67" s="258"/>
      <c r="G67" s="261"/>
      <c r="H67" s="266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133">
        <f t="shared" si="30"/>
        <v>0</v>
      </c>
      <c r="P67" s="133">
        <f t="shared" si="31"/>
        <v>0</v>
      </c>
      <c r="Q67" s="77">
        <v>0</v>
      </c>
      <c r="R67" s="77">
        <v>0</v>
      </c>
      <c r="S67" s="77">
        <v>0</v>
      </c>
      <c r="T67" s="133">
        <f t="shared" si="33"/>
        <v>0</v>
      </c>
      <c r="U67" s="133">
        <f t="shared" si="34"/>
        <v>0</v>
      </c>
    </row>
    <row r="68" spans="1:21" ht="18.75" hidden="1" x14ac:dyDescent="0.25">
      <c r="A68" s="1094"/>
      <c r="B68" s="636"/>
      <c r="C68" s="636"/>
      <c r="D68" s="636"/>
      <c r="E68" s="849" t="s">
        <v>21</v>
      </c>
      <c r="F68" s="636"/>
      <c r="G68" s="637"/>
      <c r="H68" s="630" t="s">
        <v>14</v>
      </c>
      <c r="I68" s="631"/>
      <c r="J68" s="631"/>
      <c r="K68" s="98"/>
      <c r="L68" s="878">
        <f ca="1">IFERROR(__xludf.DUMMYFUNCTION("IMPORTRANGE(""https://docs.google.com/spreadsheets/d/1-uDff_7J0KD5mKrp0Vvzr7lt3OU09vwQwhkpOPPYv2Y/edit?usp=sharing"",""งบพรบ!AF55"")"),0)</f>
        <v>0</v>
      </c>
      <c r="M68" s="183">
        <f ca="1">IFERROR(__xludf.DUMMYFUNCTION("IMPORTRANGE(""https://docs.google.com/spreadsheets/d/1-uDff_7J0KD5mKrp0Vvzr7lt3OU09vwQwhkpOPPYv2Y/edit?usp=sharing"",""งบพรบ!AI55"")"),0)</f>
        <v>0</v>
      </c>
      <c r="N68" s="183">
        <f ca="1">IFERROR(__xludf.DUMMYFUNCTION("IMPORTRANGE(""https://docs.google.com/spreadsheets/d/1-uDff_7J0KD5mKrp0Vvzr7lt3OU09vwQwhkpOPPYv2Y/edit?usp=sharing"",""งบพรบ!AK55"")"),0)</f>
        <v>0</v>
      </c>
      <c r="O68" s="183">
        <f t="shared" ca="1" si="30"/>
        <v>0</v>
      </c>
      <c r="P68" s="183">
        <f t="shared" ca="1" si="31"/>
        <v>0</v>
      </c>
      <c r="Q68" s="182">
        <v>0</v>
      </c>
      <c r="R68" s="182">
        <v>0</v>
      </c>
      <c r="S68" s="182">
        <v>0</v>
      </c>
      <c r="T68" s="183">
        <f t="shared" si="33"/>
        <v>0</v>
      </c>
      <c r="U68" s="183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6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hidden="1" x14ac:dyDescent="0.3">
      <c r="A70" s="1099" t="s">
        <v>32</v>
      </c>
      <c r="B70" s="691"/>
      <c r="C70" s="693"/>
      <c r="D70" s="691"/>
      <c r="E70" s="691"/>
      <c r="F70" s="691"/>
      <c r="G70" s="1100"/>
      <c r="H70" s="1101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39" hidden="1" x14ac:dyDescent="0.3">
      <c r="A71" s="250"/>
      <c r="B71" s="251" t="s">
        <v>33</v>
      </c>
      <c r="C71" s="252"/>
      <c r="D71" s="253"/>
      <c r="E71" s="252"/>
      <c r="F71" s="252"/>
      <c r="G71" s="254"/>
      <c r="H71" s="255" t="s">
        <v>34</v>
      </c>
      <c r="I71" s="256">
        <f t="shared" ref="I71:J72" ca="1" si="41">I83</f>
        <v>0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hidden="1" x14ac:dyDescent="0.3">
      <c r="A72" s="250"/>
      <c r="B72" s="252"/>
      <c r="C72" s="252"/>
      <c r="D72" s="253"/>
      <c r="E72" s="252"/>
      <c r="F72" s="252"/>
      <c r="G72" s="254"/>
      <c r="H72" s="255" t="s">
        <v>35</v>
      </c>
      <c r="I72" s="256">
        <f t="shared" ca="1" si="41"/>
        <v>0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hidden="1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214">
        <f t="shared" ref="L73:N73" ca="1" si="43">L74+L75</f>
        <v>0</v>
      </c>
      <c r="M73" s="215">
        <f t="shared" ca="1" si="43"/>
        <v>0</v>
      </c>
      <c r="N73" s="215">
        <f t="shared" ca="1" si="43"/>
        <v>0</v>
      </c>
      <c r="O73" s="215">
        <f t="shared" ref="O73:O81" ca="1" si="44">IF(L73&gt;0,N73*100/L73,0)</f>
        <v>0</v>
      </c>
      <c r="P73" s="215">
        <f t="shared" ref="P73:P81" ca="1" si="45">IF(M73&gt;0,N73*100/M73,0)</f>
        <v>0</v>
      </c>
      <c r="Q73" s="215">
        <f t="shared" ref="Q73:S73" ca="1" si="46">Q74+Q75</f>
        <v>0</v>
      </c>
      <c r="R73" s="215">
        <f t="shared" ca="1" si="46"/>
        <v>0</v>
      </c>
      <c r="S73" s="215">
        <f t="shared" ca="1" si="46"/>
        <v>0</v>
      </c>
      <c r="T73" s="215">
        <f t="shared" ref="T73:T81" ca="1" si="47">IF(Q73&gt;0,S73*100/Q73,0)</f>
        <v>0</v>
      </c>
      <c r="U73" s="215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217">
        <f t="shared" ref="L74:N75" si="49">L77+L80</f>
        <v>0</v>
      </c>
      <c r="M74" s="133">
        <f t="shared" si="49"/>
        <v>0</v>
      </c>
      <c r="N74" s="133">
        <f t="shared" si="49"/>
        <v>0</v>
      </c>
      <c r="O74" s="133">
        <f t="shared" si="44"/>
        <v>0</v>
      </c>
      <c r="P74" s="133">
        <f t="shared" si="45"/>
        <v>0</v>
      </c>
      <c r="Q74" s="133">
        <f t="shared" ref="Q74:S75" si="50">Q77+Q80</f>
        <v>0</v>
      </c>
      <c r="R74" s="133">
        <f t="shared" si="50"/>
        <v>0</v>
      </c>
      <c r="S74" s="133">
        <f t="shared" si="50"/>
        <v>0</v>
      </c>
      <c r="T74" s="133">
        <f t="shared" si="47"/>
        <v>0</v>
      </c>
      <c r="U74" s="133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131">
        <f t="shared" ca="1" si="49"/>
        <v>0</v>
      </c>
      <c r="M75" s="132">
        <f t="shared" ca="1" si="49"/>
        <v>0</v>
      </c>
      <c r="N75" s="132">
        <f t="shared" ca="1" si="49"/>
        <v>0</v>
      </c>
      <c r="O75" s="132">
        <f t="shared" ca="1" si="44"/>
        <v>0</v>
      </c>
      <c r="P75" s="132">
        <f t="shared" ca="1" si="45"/>
        <v>0</v>
      </c>
      <c r="Q75" s="132">
        <f t="shared" ca="1" si="50"/>
        <v>0</v>
      </c>
      <c r="R75" s="132">
        <f t="shared" ca="1" si="50"/>
        <v>0</v>
      </c>
      <c r="S75" s="132">
        <f t="shared" ca="1" si="50"/>
        <v>0</v>
      </c>
      <c r="T75" s="132">
        <f t="shared" ca="1" si="47"/>
        <v>0</v>
      </c>
      <c r="U75" s="132">
        <f t="shared" ca="1" si="48"/>
        <v>0</v>
      </c>
    </row>
    <row r="76" spans="1:21" ht="18.75" hidden="1" x14ac:dyDescent="0.25">
      <c r="A76" s="257"/>
      <c r="B76" s="269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131">
        <f t="shared" ref="L76:N76" ca="1" si="51">L77+L78</f>
        <v>0</v>
      </c>
      <c r="M76" s="132">
        <f t="shared" ca="1" si="51"/>
        <v>0</v>
      </c>
      <c r="N76" s="132">
        <f t="shared" ca="1" si="51"/>
        <v>0</v>
      </c>
      <c r="O76" s="132">
        <f t="shared" ca="1" si="44"/>
        <v>0</v>
      </c>
      <c r="P76" s="132">
        <f t="shared" ca="1" si="45"/>
        <v>0</v>
      </c>
      <c r="Q76" s="132">
        <f t="shared" ref="Q76:S76" ca="1" si="52">Q77+Q78</f>
        <v>0</v>
      </c>
      <c r="R76" s="132">
        <f t="shared" ca="1" si="52"/>
        <v>0</v>
      </c>
      <c r="S76" s="132">
        <f t="shared" ca="1" si="52"/>
        <v>0</v>
      </c>
      <c r="T76" s="132">
        <f t="shared" ca="1" si="47"/>
        <v>0</v>
      </c>
      <c r="U76" s="132">
        <f t="shared" ca="1" si="48"/>
        <v>0</v>
      </c>
    </row>
    <row r="77" spans="1:21" ht="18.75" hidden="1" x14ac:dyDescent="0.25">
      <c r="A77" s="257"/>
      <c r="B77" s="269"/>
      <c r="C77" s="269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133">
        <f t="shared" si="44"/>
        <v>0</v>
      </c>
      <c r="P77" s="133">
        <f t="shared" si="45"/>
        <v>0</v>
      </c>
      <c r="Q77" s="77">
        <v>0</v>
      </c>
      <c r="R77" s="77">
        <v>0</v>
      </c>
      <c r="S77" s="77">
        <v>0</v>
      </c>
      <c r="T77" s="133">
        <f t="shared" si="47"/>
        <v>0</v>
      </c>
      <c r="U77" s="133">
        <f t="shared" si="48"/>
        <v>0</v>
      </c>
    </row>
    <row r="78" spans="1:21" ht="18.75" hidden="1" x14ac:dyDescent="0.25">
      <c r="A78" s="257"/>
      <c r="B78" s="269"/>
      <c r="C78" s="269"/>
      <c r="D78" s="269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131">
        <f ca="1">IFERROR(__xludf.DUMMYFUNCTION("IMPORTRANGE(""https://docs.google.com/spreadsheets/d/1-uDff_7J0KD5mKrp0Vvzr7lt3OU09vwQwhkpOPPYv2Y/edit?usp=sharing"",""งบพรบ!AM55"")"),0)</f>
        <v>0</v>
      </c>
      <c r="M78" s="132">
        <f ca="1">IFERROR(__xludf.DUMMYFUNCTION("IMPORTRANGE(""https://docs.google.com/spreadsheets/d/1-uDff_7J0KD5mKrp0Vvzr7lt3OU09vwQwhkpOPPYv2Y/edit?usp=sharing"",""งบพรบ!AR55"")"),0)</f>
        <v>0</v>
      </c>
      <c r="N78" s="132">
        <f ca="1">IFERROR(__xludf.DUMMYFUNCTION("IMPORTRANGE(""https://docs.google.com/spreadsheets/d/1-uDff_7J0KD5mKrp0Vvzr7lt3OU09vwQwhkpOPPYv2Y/edit?usp=sharing"",""งบพรบ!AT55"")"),0)</f>
        <v>0</v>
      </c>
      <c r="O78" s="132">
        <f t="shared" ca="1" si="44"/>
        <v>0</v>
      </c>
      <c r="P78" s="132">
        <f t="shared" ca="1" si="45"/>
        <v>0</v>
      </c>
      <c r="Q78" s="132">
        <f ca="1">IFERROR(__xludf.DUMMYFUNCTION("IMPORTRANGE(""https://docs.google.com/spreadsheets/d/1ItG2mGa2ceCfYo0BwxsXqNm01IGEUdYcSSLTEv9YCik/edit?usp=sharing"",""เบิกจ่ายกองทุน!AS55"")"),0)</f>
        <v>0</v>
      </c>
      <c r="R78" s="132">
        <f ca="1">IFERROR(__xludf.DUMMYFUNCTION("IMPORTRANGE(""https://docs.google.com/spreadsheets/d/1ItG2mGa2ceCfYo0BwxsXqNm01IGEUdYcSSLTEv9YCik/edit?usp=sharing"",""เบิกจ่ายกองทุน!AT55"")"),0)</f>
        <v>0</v>
      </c>
      <c r="S78" s="132">
        <f ca="1">IFERROR(__xludf.DUMMYFUNCTION("IMPORTRANGE(""https://docs.google.com/spreadsheets/d/1ItG2mGa2ceCfYo0BwxsXqNm01IGEUdYcSSLTEv9YCik/edit?usp=sharing"",""เบิกจ่ายกองทุน!AU55"")"),0)</f>
        <v>0</v>
      </c>
      <c r="T78" s="132">
        <f t="shared" ca="1" si="47"/>
        <v>0</v>
      </c>
      <c r="U78" s="132">
        <f t="shared" ca="1" si="48"/>
        <v>0</v>
      </c>
    </row>
    <row r="79" spans="1:21" ht="18.75" hidden="1" x14ac:dyDescent="0.25">
      <c r="A79" s="257"/>
      <c r="B79" s="269"/>
      <c r="C79" s="269"/>
      <c r="D79" s="967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131">
        <f t="shared" ref="L79:N79" ca="1" si="53">L80+L81</f>
        <v>0</v>
      </c>
      <c r="M79" s="132">
        <f t="shared" ca="1" si="53"/>
        <v>0</v>
      </c>
      <c r="N79" s="132">
        <f t="shared" ca="1" si="53"/>
        <v>0</v>
      </c>
      <c r="O79" s="132">
        <f t="shared" ca="1" si="44"/>
        <v>0</v>
      </c>
      <c r="P79" s="132">
        <f t="shared" ca="1" si="45"/>
        <v>0</v>
      </c>
      <c r="Q79" s="132">
        <f t="shared" ref="Q79:S79" si="54">Q80+Q81</f>
        <v>0</v>
      </c>
      <c r="R79" s="132">
        <f t="shared" si="54"/>
        <v>0</v>
      </c>
      <c r="S79" s="132">
        <f t="shared" si="54"/>
        <v>0</v>
      </c>
      <c r="T79" s="132">
        <f t="shared" si="47"/>
        <v>0</v>
      </c>
      <c r="U79" s="132">
        <f t="shared" si="48"/>
        <v>0</v>
      </c>
    </row>
    <row r="80" spans="1:21" ht="18.75" hidden="1" x14ac:dyDescent="0.25">
      <c r="A80" s="257"/>
      <c r="B80" s="269"/>
      <c r="C80" s="269"/>
      <c r="D80" s="269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133">
        <f t="shared" si="44"/>
        <v>0</v>
      </c>
      <c r="P80" s="133">
        <f t="shared" si="45"/>
        <v>0</v>
      </c>
      <c r="Q80" s="77">
        <v>0</v>
      </c>
      <c r="R80" s="74">
        <v>0</v>
      </c>
      <c r="S80" s="74">
        <v>0</v>
      </c>
      <c r="T80" s="133">
        <f t="shared" si="47"/>
        <v>0</v>
      </c>
      <c r="U80" s="133">
        <f t="shared" si="48"/>
        <v>0</v>
      </c>
    </row>
    <row r="81" spans="1:21" ht="18.75" hidden="1" x14ac:dyDescent="0.25">
      <c r="A81" s="257"/>
      <c r="B81" s="269"/>
      <c r="C81" s="269"/>
      <c r="D81" s="269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131">
        <f ca="1">IFERROR(__xludf.DUMMYFUNCTION("IMPORTRANGE(""https://docs.google.com/spreadsheets/d/1-uDff_7J0KD5mKrp0Vvzr7lt3OU09vwQwhkpOPPYv2Y/edit?usp=sharing"",""งบพรบ!AP55"")"),0)</f>
        <v>0</v>
      </c>
      <c r="M81" s="132">
        <f ca="1">IFERROR(__xludf.DUMMYFUNCTION("IMPORTRANGE(""https://docs.google.com/spreadsheets/d/1-uDff_7J0KD5mKrp0Vvzr7lt3OU09vwQwhkpOPPYv2Y/edit?usp=sharing"",""งบพรบ!AS55"")"),0)</f>
        <v>0</v>
      </c>
      <c r="N81" s="132">
        <f ca="1">IFERROR(__xludf.DUMMYFUNCTION("IMPORTRANGE(""https://docs.google.com/spreadsheets/d/1-uDff_7J0KD5mKrp0Vvzr7lt3OU09vwQwhkpOPPYv2Y/edit?usp=sharing"",""งบพรบ!AU55"")"),0)</f>
        <v>0</v>
      </c>
      <c r="O81" s="132">
        <f t="shared" ca="1" si="44"/>
        <v>0</v>
      </c>
      <c r="P81" s="132">
        <f t="shared" ca="1" si="45"/>
        <v>0</v>
      </c>
      <c r="Q81" s="74">
        <v>0</v>
      </c>
      <c r="R81" s="74">
        <v>0</v>
      </c>
      <c r="S81" s="74">
        <v>0</v>
      </c>
      <c r="T81" s="132">
        <f t="shared" si="47"/>
        <v>0</v>
      </c>
      <c r="U81" s="132">
        <f t="shared" si="48"/>
        <v>0</v>
      </c>
    </row>
    <row r="82" spans="1:21" ht="19.5" hidden="1" x14ac:dyDescent="0.3">
      <c r="A82" s="276"/>
      <c r="B82" s="277"/>
      <c r="C82" s="621" t="s">
        <v>18</v>
      </c>
      <c r="D82" s="968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hidden="1" x14ac:dyDescent="0.3">
      <c r="A83" s="276"/>
      <c r="B83" s="277"/>
      <c r="C83" s="277"/>
      <c r="D83" s="1103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0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hidden="1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0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hidden="1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IFERROR(__xludf.DUMMYFUNCTION("IMPORTRANGE(""https://docs.google.com/spreadsheets/d/1eHaY18a8A9IcSdp1K8H6x8fbOy06t2VsZHhMHf-1x7Y/edit?usp=sharing"",""แผน!H55"")"),0)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hidden="1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IFERROR(__xludf.DUMMYFUNCTION("IMPORTRANGE(""https://docs.google.com/spreadsheets/d/1eHaY18a8A9IcSdp1K8H6x8fbOy06t2VsZHhMHf-1x7Y/edit?usp=sharing"",""แผน!I55"")"),0)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hidden="1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IFERROR(__xludf.DUMMYFUNCTION("IMPORTRANGE(""https://docs.google.com/spreadsheets/d/1eHaY18a8A9IcSdp1K8H6x8fbOy06t2VsZHhMHf-1x7Y/edit?usp=sharing"",""แผน!F55"")"),0)</f>
        <v>0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hidden="1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IFERROR(__xludf.DUMMYFUNCTION("IMPORTRANGE(""https://docs.google.com/spreadsheets/d/1eHaY18a8A9IcSdp1K8H6x8fbOy06t2VsZHhMHf-1x7Y/edit?usp=sharing"",""แผน!G55"")"),0)</f>
        <v>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hidden="1" x14ac:dyDescent="0.25">
      <c r="A89" s="276"/>
      <c r="B89" s="277"/>
      <c r="C89" s="277"/>
      <c r="D89" s="277"/>
      <c r="E89" s="295" t="s">
        <v>42</v>
      </c>
      <c r="F89" s="296"/>
      <c r="G89" s="282"/>
      <c r="H89" s="275" t="s">
        <v>34</v>
      </c>
      <c r="I89" s="298">
        <f ca="1">IFERROR(__xludf.DUMMYFUNCTION("IMPORTRANGE(""https://docs.google.com/spreadsheets/d/1eHaY18a8A9IcSdp1K8H6x8fbOy06t2VsZHhMHf-1x7Y/edit?usp=sharing"",""แผน!D55"")"),0)</f>
        <v>0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hidden="1" x14ac:dyDescent="0.25">
      <c r="A90" s="276"/>
      <c r="B90" s="277"/>
      <c r="C90" s="277"/>
      <c r="D90" s="277"/>
      <c r="E90" s="296"/>
      <c r="F90" s="296"/>
      <c r="G90" s="282"/>
      <c r="H90" s="275" t="s">
        <v>35</v>
      </c>
      <c r="I90" s="298">
        <f ca="1">IFERROR(__xludf.DUMMYFUNCTION("IMPORTRANGE(""https://docs.google.com/spreadsheets/d/1eHaY18a8A9IcSdp1K8H6x8fbOy06t2VsZHhMHf-1x7Y/edit?usp=sharing"",""แผน!E55"")"),0)</f>
        <v>0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hidden="1" x14ac:dyDescent="0.25">
      <c r="A91" s="276"/>
      <c r="B91" s="277"/>
      <c r="C91" s="277"/>
      <c r="D91" s="767" t="s">
        <v>43</v>
      </c>
      <c r="E91" s="296"/>
      <c r="F91" s="296"/>
      <c r="G91" s="282"/>
      <c r="H91" s="271" t="s">
        <v>34</v>
      </c>
      <c r="I91" s="298">
        <f ca="1">IFERROR(__xludf.DUMMYFUNCTION("IMPORTRANGE(""https://docs.google.com/spreadsheets/d/1eHaY18a8A9IcSdp1K8H6x8fbOy06t2VsZHhMHf-1x7Y/edit?usp=sharing"",""แผน!J55"")"),0)</f>
        <v>0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hidden="1" x14ac:dyDescent="0.3">
      <c r="A92" s="1099" t="s">
        <v>44</v>
      </c>
      <c r="B92" s="691"/>
      <c r="C92" s="693"/>
      <c r="D92" s="691"/>
      <c r="E92" s="691"/>
      <c r="F92" s="691"/>
      <c r="G92" s="1100"/>
      <c r="H92" s="1101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hidden="1" x14ac:dyDescent="0.3">
      <c r="A93" s="250"/>
      <c r="B93" s="251" t="s">
        <v>45</v>
      </c>
      <c r="C93" s="252"/>
      <c r="D93" s="253"/>
      <c r="E93" s="252"/>
      <c r="F93" s="252"/>
      <c r="G93" s="254"/>
      <c r="H93" s="255" t="s">
        <v>46</v>
      </c>
      <c r="I93" s="256">
        <f t="shared" ref="I93:J94" ca="1" si="57">I109</f>
        <v>0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hidden="1" x14ac:dyDescent="0.3">
      <c r="A94" s="250"/>
      <c r="B94" s="252"/>
      <c r="C94" s="252"/>
      <c r="D94" s="253"/>
      <c r="E94" s="252"/>
      <c r="F94" s="252"/>
      <c r="G94" s="254"/>
      <c r="H94" s="255" t="s">
        <v>35</v>
      </c>
      <c r="I94" s="256">
        <f t="shared" ca="1" si="57"/>
        <v>0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hidden="1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214">
        <f t="shared" ref="L95:N95" ca="1" si="59">L96+L97</f>
        <v>0</v>
      </c>
      <c r="M95" s="215">
        <f t="shared" ca="1" si="59"/>
        <v>0</v>
      </c>
      <c r="N95" s="215">
        <f t="shared" ca="1" si="59"/>
        <v>0</v>
      </c>
      <c r="O95" s="215">
        <f t="shared" ref="O95:O103" ca="1" si="60">IF(L95&gt;0,N95*100/L95,0)</f>
        <v>0</v>
      </c>
      <c r="P95" s="215">
        <f t="shared" ref="P95:P103" ca="1" si="61">IF(M95&gt;0,N95*100/M95,0)</f>
        <v>0</v>
      </c>
      <c r="Q95" s="215">
        <f t="shared" ref="Q95:S95" ca="1" si="62">Q96+Q97</f>
        <v>0</v>
      </c>
      <c r="R95" s="215">
        <f t="shared" ca="1" si="62"/>
        <v>0</v>
      </c>
      <c r="S95" s="215">
        <f t="shared" ca="1" si="62"/>
        <v>0</v>
      </c>
      <c r="T95" s="215">
        <f t="shared" ref="T95:T103" ca="1" si="63">IF(Q95&gt;0,S95*100/Q95,0)</f>
        <v>0</v>
      </c>
      <c r="U95" s="215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217">
        <f t="shared" ref="L96:N97" si="65">L99+L102</f>
        <v>0</v>
      </c>
      <c r="M96" s="133">
        <f t="shared" si="65"/>
        <v>0</v>
      </c>
      <c r="N96" s="133">
        <f t="shared" si="65"/>
        <v>0</v>
      </c>
      <c r="O96" s="133">
        <f t="shared" si="60"/>
        <v>0</v>
      </c>
      <c r="P96" s="133">
        <f t="shared" si="61"/>
        <v>0</v>
      </c>
      <c r="Q96" s="133">
        <f t="shared" ref="Q96:S97" si="66">Q99+Q102</f>
        <v>0</v>
      </c>
      <c r="R96" s="133">
        <f t="shared" si="66"/>
        <v>0</v>
      </c>
      <c r="S96" s="133">
        <f t="shared" si="66"/>
        <v>0</v>
      </c>
      <c r="T96" s="133">
        <f t="shared" si="63"/>
        <v>0</v>
      </c>
      <c r="U96" s="133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131">
        <f t="shared" ca="1" si="65"/>
        <v>0</v>
      </c>
      <c r="M97" s="132">
        <f t="shared" ca="1" si="65"/>
        <v>0</v>
      </c>
      <c r="N97" s="132">
        <f t="shared" ca="1" si="65"/>
        <v>0</v>
      </c>
      <c r="O97" s="132">
        <f t="shared" ca="1" si="60"/>
        <v>0</v>
      </c>
      <c r="P97" s="132">
        <f t="shared" ca="1" si="61"/>
        <v>0</v>
      </c>
      <c r="Q97" s="132">
        <f t="shared" ca="1" si="66"/>
        <v>0</v>
      </c>
      <c r="R97" s="132">
        <f t="shared" ca="1" si="66"/>
        <v>0</v>
      </c>
      <c r="S97" s="132">
        <f t="shared" ca="1" si="66"/>
        <v>0</v>
      </c>
      <c r="T97" s="132">
        <f t="shared" ca="1" si="63"/>
        <v>0</v>
      </c>
      <c r="U97" s="132">
        <f t="shared" ca="1" si="64"/>
        <v>0</v>
      </c>
    </row>
    <row r="98" spans="1:21" ht="18.75" hidden="1" x14ac:dyDescent="0.25">
      <c r="A98" s="257"/>
      <c r="B98" s="269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131">
        <f t="shared" ref="L98:N98" ca="1" si="67">L99+L100</f>
        <v>0</v>
      </c>
      <c r="M98" s="132">
        <f t="shared" ca="1" si="67"/>
        <v>0</v>
      </c>
      <c r="N98" s="132">
        <f t="shared" ca="1" si="67"/>
        <v>0</v>
      </c>
      <c r="O98" s="132">
        <f t="shared" ca="1" si="60"/>
        <v>0</v>
      </c>
      <c r="P98" s="132">
        <f t="shared" ca="1" si="61"/>
        <v>0</v>
      </c>
      <c r="Q98" s="132">
        <f t="shared" ref="Q98:S98" ca="1" si="68">Q99+Q100</f>
        <v>0</v>
      </c>
      <c r="R98" s="132">
        <f t="shared" ca="1" si="68"/>
        <v>0</v>
      </c>
      <c r="S98" s="132">
        <f t="shared" ca="1" si="68"/>
        <v>0</v>
      </c>
      <c r="T98" s="132">
        <f t="shared" ca="1" si="63"/>
        <v>0</v>
      </c>
      <c r="U98" s="132">
        <f t="shared" ca="1" si="64"/>
        <v>0</v>
      </c>
    </row>
    <row r="99" spans="1:21" ht="18.75" hidden="1" x14ac:dyDescent="0.25">
      <c r="A99" s="257"/>
      <c r="B99" s="269"/>
      <c r="C99" s="269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133">
        <f t="shared" si="60"/>
        <v>0</v>
      </c>
      <c r="P99" s="133">
        <f t="shared" si="61"/>
        <v>0</v>
      </c>
      <c r="Q99" s="77">
        <v>0</v>
      </c>
      <c r="R99" s="77">
        <v>0</v>
      </c>
      <c r="S99" s="77">
        <v>0</v>
      </c>
      <c r="T99" s="133">
        <f t="shared" si="63"/>
        <v>0</v>
      </c>
      <c r="U99" s="133">
        <f t="shared" si="64"/>
        <v>0</v>
      </c>
    </row>
    <row r="100" spans="1:21" ht="18.75" hidden="1" x14ac:dyDescent="0.25">
      <c r="A100" s="257"/>
      <c r="B100" s="269"/>
      <c r="C100" s="269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131">
        <f ca="1">IFERROR(__xludf.DUMMYFUNCTION("IMPORTRANGE(""https://docs.google.com/spreadsheets/d/1-uDff_7J0KD5mKrp0Vvzr7lt3OU09vwQwhkpOPPYv2Y/edit?usp=sharing"",""งบพรบ!AW55"")"),0)</f>
        <v>0</v>
      </c>
      <c r="M100" s="132">
        <f ca="1">IFERROR(__xludf.DUMMYFUNCTION("IMPORTRANGE(""https://docs.google.com/spreadsheets/d/1-uDff_7J0KD5mKrp0Vvzr7lt3OU09vwQwhkpOPPYv2Y/edit?usp=sharing"",""งบพรบ!BB55"")"),0)</f>
        <v>0</v>
      </c>
      <c r="N100" s="132">
        <f ca="1">IFERROR(__xludf.DUMMYFUNCTION("IMPORTRANGE(""https://docs.google.com/spreadsheets/d/1-uDff_7J0KD5mKrp0Vvzr7lt3OU09vwQwhkpOPPYv2Y/edit?usp=sharing"",""งบพรบ!BD55"")"),0)</f>
        <v>0</v>
      </c>
      <c r="O100" s="132">
        <f t="shared" ca="1" si="60"/>
        <v>0</v>
      </c>
      <c r="P100" s="132">
        <f t="shared" ca="1" si="61"/>
        <v>0</v>
      </c>
      <c r="Q100" s="132">
        <f ca="1">IFERROR(__xludf.DUMMYFUNCTION("IMPORTRANGE(""https://docs.google.com/spreadsheets/d/1ItG2mGa2ceCfYo0BwxsXqNm01IGEUdYcSSLTEv9YCik/edit?usp=sharing"",""เบิกจ่ายกองทุน!AD55"")"),0)</f>
        <v>0</v>
      </c>
      <c r="R100" s="132">
        <f ca="1">IFERROR(__xludf.DUMMYFUNCTION("IMPORTRANGE(""https://docs.google.com/spreadsheets/d/1ItG2mGa2ceCfYo0BwxsXqNm01IGEUdYcSSLTEv9YCik/edit?usp=sharing"",""เบิกจ่ายกองทุน!AE55"")"),0)</f>
        <v>0</v>
      </c>
      <c r="S100" s="132">
        <f ca="1">IFERROR(__xludf.DUMMYFUNCTION("IMPORTRANGE(""https://docs.google.com/spreadsheets/d/1ItG2mGa2ceCfYo0BwxsXqNm01IGEUdYcSSLTEv9YCik/edit?usp=sharing"",""เบิกจ่ายกองทุน!AF55"")"),0)</f>
        <v>0</v>
      </c>
      <c r="T100" s="132">
        <f t="shared" ca="1" si="63"/>
        <v>0</v>
      </c>
      <c r="U100" s="132">
        <f t="shared" ca="1" si="64"/>
        <v>0</v>
      </c>
    </row>
    <row r="101" spans="1:21" ht="18.75" hidden="1" x14ac:dyDescent="0.25">
      <c r="A101" s="257"/>
      <c r="B101" s="269"/>
      <c r="C101" s="269"/>
      <c r="D101" s="967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131">
        <f t="shared" ref="L101:N101" ca="1" si="69">L102+L103</f>
        <v>0</v>
      </c>
      <c r="M101" s="132">
        <f t="shared" ca="1" si="69"/>
        <v>0</v>
      </c>
      <c r="N101" s="132">
        <f t="shared" ca="1" si="69"/>
        <v>0</v>
      </c>
      <c r="O101" s="132">
        <f t="shared" ca="1" si="60"/>
        <v>0</v>
      </c>
      <c r="P101" s="132">
        <f t="shared" ca="1" si="61"/>
        <v>0</v>
      </c>
      <c r="Q101" s="132">
        <f t="shared" ref="Q101:S101" si="70">Q102+Q103</f>
        <v>0</v>
      </c>
      <c r="R101" s="132">
        <f t="shared" si="70"/>
        <v>0</v>
      </c>
      <c r="S101" s="132">
        <f t="shared" si="70"/>
        <v>0</v>
      </c>
      <c r="T101" s="132">
        <f t="shared" si="63"/>
        <v>0</v>
      </c>
      <c r="U101" s="132">
        <f t="shared" si="64"/>
        <v>0</v>
      </c>
    </row>
    <row r="102" spans="1:21" ht="18.75" hidden="1" x14ac:dyDescent="0.25">
      <c r="A102" s="257"/>
      <c r="B102" s="269"/>
      <c r="C102" s="269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133">
        <f t="shared" si="60"/>
        <v>0</v>
      </c>
      <c r="P102" s="133">
        <f t="shared" si="61"/>
        <v>0</v>
      </c>
      <c r="Q102" s="77">
        <v>0</v>
      </c>
      <c r="R102" s="77">
        <v>0</v>
      </c>
      <c r="S102" s="77">
        <v>0</v>
      </c>
      <c r="T102" s="133">
        <f t="shared" si="63"/>
        <v>0</v>
      </c>
      <c r="U102" s="133">
        <f t="shared" si="64"/>
        <v>0</v>
      </c>
    </row>
    <row r="103" spans="1:21" ht="18.75" hidden="1" x14ac:dyDescent="0.25">
      <c r="A103" s="257"/>
      <c r="B103" s="269"/>
      <c r="C103" s="269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131">
        <f ca="1">IFERROR(__xludf.DUMMYFUNCTION("IMPORTRANGE(""https://docs.google.com/spreadsheets/d/1-uDff_7J0KD5mKrp0Vvzr7lt3OU09vwQwhkpOPPYv2Y/edit?usp=sharing"",""งบพรบ!AZ55"")"),0)</f>
        <v>0</v>
      </c>
      <c r="M103" s="132">
        <f ca="1">IFERROR(__xludf.DUMMYFUNCTION("IMPORTRANGE(""https://docs.google.com/spreadsheets/d/1-uDff_7J0KD5mKrp0Vvzr7lt3OU09vwQwhkpOPPYv2Y/edit?usp=sharing"",""งบพรบ!BC55"")"),0)</f>
        <v>0</v>
      </c>
      <c r="N103" s="132">
        <f ca="1">IFERROR(__xludf.DUMMYFUNCTION("IMPORTRANGE(""https://docs.google.com/spreadsheets/d/1-uDff_7J0KD5mKrp0Vvzr7lt3OU09vwQwhkpOPPYv2Y/edit?usp=sharing"",""งบพรบ!BE55"")"),0)</f>
        <v>0</v>
      </c>
      <c r="O103" s="132">
        <f t="shared" ca="1" si="60"/>
        <v>0</v>
      </c>
      <c r="P103" s="132">
        <f t="shared" ca="1" si="61"/>
        <v>0</v>
      </c>
      <c r="Q103" s="74">
        <v>0</v>
      </c>
      <c r="R103" s="74">
        <v>0</v>
      </c>
      <c r="S103" s="74">
        <v>0</v>
      </c>
      <c r="T103" s="132">
        <f t="shared" si="63"/>
        <v>0</v>
      </c>
      <c r="U103" s="132">
        <f t="shared" si="64"/>
        <v>0</v>
      </c>
    </row>
    <row r="104" spans="1:21" ht="19.5" hidden="1" x14ac:dyDescent="0.3">
      <c r="A104" s="276"/>
      <c r="B104" s="277"/>
      <c r="C104" s="621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hidden="1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IFERROR(__xludf.DUMMYFUNCTION("IMPORTRANGE(""https://docs.google.com/spreadsheets/d/1eHaY18a8A9IcSdp1K8H6x8fbOy06t2VsZHhMHf-1x7Y/edit?usp=sharing"",""แผน!N55"")"),0)</f>
        <v>0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hidden="1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IFERROR(__xludf.DUMMYFUNCTION("IMPORTRANGE(""https://docs.google.com/spreadsheets/d/1eHaY18a8A9IcSdp1K8H6x8fbOy06t2VsZHhMHf-1x7Y/edit?usp=sharing"",""แผน!O55"")"),0)</f>
        <v>0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4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2.75" hidden="1" x14ac:dyDescent="0.2">
      <c r="A114" s="283"/>
      <c r="B114" s="284"/>
      <c r="C114" s="284"/>
      <c r="D114" s="284"/>
      <c r="E114" s="285"/>
      <c r="F114" s="285"/>
      <c r="G114" s="286"/>
      <c r="H114" s="286"/>
      <c r="I114" s="287">
        <v>0</v>
      </c>
      <c r="J114" s="287">
        <v>0</v>
      </c>
      <c r="K114" s="30"/>
      <c r="L114" s="29"/>
      <c r="M114" s="30"/>
      <c r="N114" s="30"/>
      <c r="O114" s="30"/>
      <c r="P114" s="30"/>
      <c r="Q114" s="30"/>
      <c r="R114" s="30"/>
      <c r="S114" s="30"/>
      <c r="T114" s="30"/>
      <c r="U114" s="30"/>
    </row>
    <row r="115" spans="1:21" ht="18.75" hidden="1" x14ac:dyDescent="0.25">
      <c r="A115" s="276"/>
      <c r="B115" s="277"/>
      <c r="C115" s="277"/>
      <c r="D115" s="295" t="s">
        <v>50</v>
      </c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IFERROR(__xludf.DUMMYFUNCTION("IMPORTRANGE(""https://docs.google.com/spreadsheets/d/1eHaY18a8A9IcSdp1K8H6x8fbOy06t2VsZHhMHf-1x7Y/edit?usp=sharing"",""แผน!R55"")"),0)</f>
        <v>0</v>
      </c>
      <c r="J115" s="294">
        <v>0</v>
      </c>
      <c r="K115" s="74">
        <f ca="1">IF(I115&gt;0,J115*100/I115,0)</f>
        <v>0</v>
      </c>
      <c r="L115" s="86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1099" t="s">
        <v>51</v>
      </c>
      <c r="B116" s="691"/>
      <c r="C116" s="692"/>
      <c r="D116" s="691"/>
      <c r="E116" s="691"/>
      <c r="F116" s="691"/>
      <c r="G116" s="691"/>
      <c r="H116" s="693"/>
      <c r="I116" s="694"/>
      <c r="J116" s="694"/>
      <c r="K116" s="695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50"/>
      <c r="B117" s="251" t="s">
        <v>331</v>
      </c>
      <c r="C117" s="304"/>
      <c r="D117" s="253"/>
      <c r="E117" s="252"/>
      <c r="F117" s="252"/>
      <c r="G117" s="252"/>
      <c r="H117" s="253"/>
      <c r="I117" s="900">
        <f t="shared" ref="I117:J117" ca="1" si="72">I128</f>
        <v>20</v>
      </c>
      <c r="J117" s="901">
        <f t="shared" si="72"/>
        <v>20</v>
      </c>
      <c r="K117" s="902">
        <f ca="1">IF(I117&gt;0,J117*100/I117,0)</f>
        <v>100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58"/>
      <c r="C118" s="259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214">
        <f t="shared" ref="L118:N118" ca="1" si="73">L119+L120</f>
        <v>0</v>
      </c>
      <c r="M118" s="215">
        <f t="shared" ca="1" si="73"/>
        <v>0</v>
      </c>
      <c r="N118" s="215">
        <f t="shared" ca="1" si="73"/>
        <v>0</v>
      </c>
      <c r="O118" s="215">
        <f t="shared" ref="O118:O126" ca="1" si="74">IF(L118&gt;0,N118*100/L118,0)</f>
        <v>0</v>
      </c>
      <c r="P118" s="215">
        <f t="shared" ref="P118:P126" ca="1" si="75">IF(M118&gt;0,N118*100/M118,0)</f>
        <v>0</v>
      </c>
      <c r="Q118" s="215">
        <f t="shared" ref="Q118:S118" ca="1" si="76">Q119+Q120</f>
        <v>209360</v>
      </c>
      <c r="R118" s="215">
        <f t="shared" ca="1" si="76"/>
        <v>209360</v>
      </c>
      <c r="S118" s="215">
        <f t="shared" ca="1" si="76"/>
        <v>48640</v>
      </c>
      <c r="T118" s="215">
        <f t="shared" ref="T118:T126" ca="1" si="77">IF(Q118&gt;0,S118*100/Q118,0)</f>
        <v>23.232709209017958</v>
      </c>
      <c r="U118" s="215">
        <f t="shared" ref="U118:U126" ca="1" si="78">IF(R118&gt;0,S118*100/R118,0)</f>
        <v>23.232709209017958</v>
      </c>
    </row>
    <row r="119" spans="1:21" ht="18.75" hidden="1" x14ac:dyDescent="0.25">
      <c r="A119" s="257"/>
      <c r="B119" s="258"/>
      <c r="C119" s="258"/>
      <c r="D119" s="258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217">
        <f t="shared" ref="L119:N120" si="79">L122+L125</f>
        <v>0</v>
      </c>
      <c r="M119" s="133">
        <f t="shared" si="79"/>
        <v>0</v>
      </c>
      <c r="N119" s="133">
        <f t="shared" si="79"/>
        <v>0</v>
      </c>
      <c r="O119" s="133">
        <f t="shared" si="74"/>
        <v>0</v>
      </c>
      <c r="P119" s="133">
        <f t="shared" si="75"/>
        <v>0</v>
      </c>
      <c r="Q119" s="133">
        <f t="shared" ref="Q119:S120" si="80">Q122+Q125</f>
        <v>0</v>
      </c>
      <c r="R119" s="133">
        <f t="shared" si="80"/>
        <v>0</v>
      </c>
      <c r="S119" s="133">
        <f t="shared" si="80"/>
        <v>0</v>
      </c>
      <c r="T119" s="133">
        <f t="shared" si="77"/>
        <v>0</v>
      </c>
      <c r="U119" s="133">
        <f t="shared" si="78"/>
        <v>0</v>
      </c>
    </row>
    <row r="120" spans="1:21" ht="18.75" hidden="1" x14ac:dyDescent="0.25">
      <c r="A120" s="257"/>
      <c r="B120" s="258"/>
      <c r="C120" s="258"/>
      <c r="D120" s="258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131">
        <f t="shared" ca="1" si="79"/>
        <v>0</v>
      </c>
      <c r="M120" s="132">
        <f t="shared" ca="1" si="79"/>
        <v>0</v>
      </c>
      <c r="N120" s="132">
        <f t="shared" ca="1" si="79"/>
        <v>0</v>
      </c>
      <c r="O120" s="132">
        <f t="shared" ca="1" si="74"/>
        <v>0</v>
      </c>
      <c r="P120" s="132">
        <f t="shared" ca="1" si="75"/>
        <v>0</v>
      </c>
      <c r="Q120" s="132">
        <f t="shared" ca="1" si="80"/>
        <v>209360</v>
      </c>
      <c r="R120" s="132">
        <f t="shared" ca="1" si="80"/>
        <v>209360</v>
      </c>
      <c r="S120" s="132">
        <f t="shared" ca="1" si="80"/>
        <v>48640</v>
      </c>
      <c r="T120" s="132">
        <f t="shared" ca="1" si="77"/>
        <v>23.232709209017958</v>
      </c>
      <c r="U120" s="132">
        <f t="shared" ca="1" si="78"/>
        <v>23.232709209017958</v>
      </c>
    </row>
    <row r="121" spans="1:21" ht="18.75" x14ac:dyDescent="0.25">
      <c r="A121" s="257"/>
      <c r="B121" s="258"/>
      <c r="C121" s="306"/>
      <c r="D121" s="270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131">
        <f t="shared" ref="L121:N121" ca="1" si="81">L122+L123</f>
        <v>0</v>
      </c>
      <c r="M121" s="132">
        <f t="shared" ca="1" si="81"/>
        <v>0</v>
      </c>
      <c r="N121" s="132">
        <f t="shared" ca="1" si="81"/>
        <v>0</v>
      </c>
      <c r="O121" s="132">
        <f t="shared" ca="1" si="74"/>
        <v>0</v>
      </c>
      <c r="P121" s="132">
        <f t="shared" ca="1" si="75"/>
        <v>0</v>
      </c>
      <c r="Q121" s="132">
        <f t="shared" ref="Q121:S121" ca="1" si="82">Q122+Q123</f>
        <v>209360</v>
      </c>
      <c r="R121" s="132">
        <f t="shared" ca="1" si="82"/>
        <v>209360</v>
      </c>
      <c r="S121" s="132">
        <f t="shared" ca="1" si="82"/>
        <v>48640</v>
      </c>
      <c r="T121" s="132">
        <f t="shared" ca="1" si="77"/>
        <v>23.232709209017958</v>
      </c>
      <c r="U121" s="132">
        <f t="shared" ca="1" si="78"/>
        <v>23.232709209017958</v>
      </c>
    </row>
    <row r="122" spans="1:21" ht="18.75" hidden="1" x14ac:dyDescent="0.25">
      <c r="A122" s="257"/>
      <c r="B122" s="258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133">
        <f t="shared" si="74"/>
        <v>0</v>
      </c>
      <c r="P122" s="133">
        <f t="shared" si="75"/>
        <v>0</v>
      </c>
      <c r="Q122" s="77">
        <v>0</v>
      </c>
      <c r="R122" s="77">
        <v>0</v>
      </c>
      <c r="S122" s="77">
        <v>0</v>
      </c>
      <c r="T122" s="133">
        <f t="shared" si="77"/>
        <v>0</v>
      </c>
      <c r="U122" s="133">
        <f t="shared" si="78"/>
        <v>0</v>
      </c>
    </row>
    <row r="123" spans="1:21" ht="18.75" hidden="1" x14ac:dyDescent="0.25">
      <c r="A123" s="257"/>
      <c r="B123" s="258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131">
        <f ca="1">IFERROR(__xludf.DUMMYFUNCTION("IMPORTRANGE(""https://docs.google.com/spreadsheets/d/1-uDff_7J0KD5mKrp0Vvzr7lt3OU09vwQwhkpOPPYv2Y/edit?usp=sharing"",""งบพรบ!BG55"")"),0)</f>
        <v>0</v>
      </c>
      <c r="M123" s="132">
        <f ca="1">IFERROR(__xludf.DUMMYFUNCTION("IMPORTRANGE(""https://docs.google.com/spreadsheets/d/1-uDff_7J0KD5mKrp0Vvzr7lt3OU09vwQwhkpOPPYv2Y/edit?usp=sharing"",""งบพรบ!BL55"")"),0)</f>
        <v>0</v>
      </c>
      <c r="N123" s="132">
        <f ca="1">IFERROR(__xludf.DUMMYFUNCTION("IMPORTRANGE(""https://docs.google.com/spreadsheets/d/1-uDff_7J0KD5mKrp0Vvzr7lt3OU09vwQwhkpOPPYv2Y/edit?usp=sharing"",""งบพรบ!BN55"")"),0)</f>
        <v>0</v>
      </c>
      <c r="O123" s="132">
        <f t="shared" ca="1" si="74"/>
        <v>0</v>
      </c>
      <c r="P123" s="132">
        <f t="shared" ca="1" si="75"/>
        <v>0</v>
      </c>
      <c r="Q123" s="132">
        <f ca="1">IFERROR(__xludf.DUMMYFUNCTION("IMPORTRANGE(""https://docs.google.com/spreadsheets/d/1ItG2mGa2ceCfYo0BwxsXqNm01IGEUdYcSSLTEv9YCik/edit?usp=sharing"",""เบิกจ่ายกองทุน!R55"")"),209360)</f>
        <v>209360</v>
      </c>
      <c r="R123" s="132">
        <f ca="1">IFERROR(__xludf.DUMMYFUNCTION("IMPORTRANGE(""https://docs.google.com/spreadsheets/d/1ItG2mGa2ceCfYo0BwxsXqNm01IGEUdYcSSLTEv9YCik/edit?usp=sharing"",""เบิกจ่ายกองทุน!S55"")"),209360)</f>
        <v>209360</v>
      </c>
      <c r="S123" s="132">
        <f ca="1">IFERROR(__xludf.DUMMYFUNCTION("IMPORTRANGE(""https://docs.google.com/spreadsheets/d/1ItG2mGa2ceCfYo0BwxsXqNm01IGEUdYcSSLTEv9YCik/edit?usp=sharing"",""เบิกจ่ายกองทุน!T55"")"),48640)</f>
        <v>48640</v>
      </c>
      <c r="T123" s="132">
        <f t="shared" ca="1" si="77"/>
        <v>23.232709209017958</v>
      </c>
      <c r="U123" s="132">
        <f t="shared" ca="1" si="78"/>
        <v>23.232709209017958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131">
        <f t="shared" ref="L124:N124" ca="1" si="83">L125+L126</f>
        <v>0</v>
      </c>
      <c r="M124" s="132">
        <f t="shared" ca="1" si="83"/>
        <v>0</v>
      </c>
      <c r="N124" s="132">
        <f t="shared" ca="1" si="83"/>
        <v>0</v>
      </c>
      <c r="O124" s="132">
        <f t="shared" ca="1" si="74"/>
        <v>0</v>
      </c>
      <c r="P124" s="132">
        <f t="shared" ca="1" si="75"/>
        <v>0</v>
      </c>
      <c r="Q124" s="132">
        <f t="shared" ref="Q124:S124" si="84">Q125+Q126</f>
        <v>0</v>
      </c>
      <c r="R124" s="132">
        <f t="shared" si="84"/>
        <v>0</v>
      </c>
      <c r="S124" s="132">
        <f t="shared" si="84"/>
        <v>0</v>
      </c>
      <c r="T124" s="132">
        <f t="shared" si="77"/>
        <v>0</v>
      </c>
      <c r="U124" s="132">
        <f t="shared" si="78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133">
        <f t="shared" si="74"/>
        <v>0</v>
      </c>
      <c r="P125" s="133">
        <f t="shared" si="75"/>
        <v>0</v>
      </c>
      <c r="Q125" s="77">
        <v>0</v>
      </c>
      <c r="R125" s="77">
        <v>0</v>
      </c>
      <c r="S125" s="77">
        <v>0</v>
      </c>
      <c r="T125" s="133">
        <f t="shared" si="77"/>
        <v>0</v>
      </c>
      <c r="U125" s="133">
        <f t="shared" si="78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131">
        <f ca="1">IFERROR(__xludf.DUMMYFUNCTION("IMPORTRANGE(""https://docs.google.com/spreadsheets/d/1-uDff_7J0KD5mKrp0Vvzr7lt3OU09vwQwhkpOPPYv2Y/edit?usp=sharing"",""งบพรบ!BJ55"")"),0)</f>
        <v>0</v>
      </c>
      <c r="M126" s="132">
        <f ca="1">IFERROR(__xludf.DUMMYFUNCTION("IMPORTRANGE(""https://docs.google.com/spreadsheets/d/1-uDff_7J0KD5mKrp0Vvzr7lt3OU09vwQwhkpOPPYv2Y/edit?usp=sharing"",""งบพรบ!BM55"")"),0)</f>
        <v>0</v>
      </c>
      <c r="N126" s="132">
        <f ca="1">IFERROR(__xludf.DUMMYFUNCTION("IMPORTRANGE(""https://docs.google.com/spreadsheets/d/1-uDff_7J0KD5mKrp0Vvzr7lt3OU09vwQwhkpOPPYv2Y/edit?usp=sharing"",""งบพรบ!BO55"")"),0)</f>
        <v>0</v>
      </c>
      <c r="O126" s="132">
        <f t="shared" ca="1" si="74"/>
        <v>0</v>
      </c>
      <c r="P126" s="132">
        <f t="shared" ca="1" si="75"/>
        <v>0</v>
      </c>
      <c r="Q126" s="74">
        <v>0</v>
      </c>
      <c r="R126" s="74">
        <v>0</v>
      </c>
      <c r="S126" s="74">
        <v>0</v>
      </c>
      <c r="T126" s="132">
        <f t="shared" si="77"/>
        <v>0</v>
      </c>
      <c r="U126" s="132">
        <f t="shared" si="78"/>
        <v>0</v>
      </c>
    </row>
    <row r="127" spans="1:21" ht="19.5" x14ac:dyDescent="0.3">
      <c r="A127" s="890"/>
      <c r="B127" s="891"/>
      <c r="C127" s="905" t="s">
        <v>18</v>
      </c>
      <c r="D127" s="1108" t="s">
        <v>38</v>
      </c>
      <c r="E127" s="1109"/>
      <c r="F127" s="1109"/>
      <c r="G127" s="1110"/>
      <c r="H127" s="1111"/>
      <c r="I127" s="846"/>
      <c r="J127" s="846"/>
      <c r="K127" s="450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IFERROR(__xludf.DUMMYFUNCTION("IMPORTRANGE(""https://docs.google.com/spreadsheets/d/1eHaY18a8A9IcSdp1K8H6x8fbOy06t2VsZHhMHf-1x7Y/edit?usp=sharing"",""แผน!FF55"")"),20)</f>
        <v>20</v>
      </c>
      <c r="J128" s="294">
        <v>20</v>
      </c>
      <c r="K128" s="74">
        <f t="shared" ref="K128:K131" ca="1" si="85">IF(I128&gt;0,J128*100/I128,0)</f>
        <v>100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IFERROR(__xludf.DUMMYFUNCTION("IMPORTRANGE(""https://docs.google.com/spreadsheets/d/1eHaY18a8A9IcSdp1K8H6x8fbOy06t2VsZHhMHf-1x7Y/edit?usp=sharing"",""แผน!FG55"")"),0)</f>
        <v>0</v>
      </c>
      <c r="J129" s="294">
        <v>1</v>
      </c>
      <c r="K129" s="74">
        <f t="shared" ca="1" si="85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74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IFERROR(__xludf.DUMMYFUNCTION("IMPORTRANGE(""https://docs.google.com/spreadsheets/d/1eHaY18a8A9IcSdp1K8H6x8fbOy06t2VsZHhMHf-1x7Y/edit?usp=sharing"",""แผน!FH55"")"),20)</f>
        <v>20</v>
      </c>
      <c r="J130" s="294">
        <v>20</v>
      </c>
      <c r="K130" s="74">
        <f t="shared" ca="1" si="85"/>
        <v>100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77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IFERROR(__xludf.DUMMYFUNCTION("IMPORTRANGE(""https://docs.google.com/spreadsheets/d/1eHaY18a8A9IcSdp1K8H6x8fbOy06t2VsZHhMHf-1x7Y/edit?usp=sharing"",""แผน!FI55"")"),0)</f>
        <v>0</v>
      </c>
      <c r="J131" s="294">
        <v>0</v>
      </c>
      <c r="K131" s="74">
        <f t="shared" ca="1" si="85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708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708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x14ac:dyDescent="0.3">
      <c r="A135" s="1099" t="s">
        <v>58</v>
      </c>
      <c r="B135" s="691"/>
      <c r="C135" s="692"/>
      <c r="D135" s="691"/>
      <c r="E135" s="691"/>
      <c r="F135" s="691"/>
      <c r="G135" s="691"/>
      <c r="H135" s="693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x14ac:dyDescent="0.3">
      <c r="A136" s="250"/>
      <c r="B136" s="251" t="s">
        <v>59</v>
      </c>
      <c r="C136" s="304"/>
      <c r="D136" s="253"/>
      <c r="E136" s="252"/>
      <c r="F136" s="252"/>
      <c r="G136" s="252"/>
      <c r="H136" s="253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x14ac:dyDescent="0.3">
      <c r="A137" s="250"/>
      <c r="B137" s="252"/>
      <c r="C137" s="1112" t="s">
        <v>60</v>
      </c>
      <c r="D137" s="253"/>
      <c r="E137" s="252"/>
      <c r="F137" s="252"/>
      <c r="G137" s="254"/>
      <c r="H137" s="255" t="s">
        <v>61</v>
      </c>
      <c r="I137" s="256">
        <f t="shared" ref="I137:J137" ca="1" si="86">I155</f>
        <v>3</v>
      </c>
      <c r="J137" s="256">
        <f t="shared" si="86"/>
        <v>0</v>
      </c>
      <c r="K137" s="59">
        <f t="shared" ref="K137:K139" ca="1" si="87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x14ac:dyDescent="0.3">
      <c r="A138" s="250"/>
      <c r="B138" s="252"/>
      <c r="C138" s="1112" t="s">
        <v>62</v>
      </c>
      <c r="D138" s="253"/>
      <c r="E138" s="252"/>
      <c r="F138" s="252"/>
      <c r="G138" s="254"/>
      <c r="H138" s="255" t="s">
        <v>35</v>
      </c>
      <c r="I138" s="256">
        <f t="shared" ref="I138:J139" ca="1" si="88">I153</f>
        <v>50</v>
      </c>
      <c r="J138" s="256">
        <f t="shared" si="88"/>
        <v>0</v>
      </c>
      <c r="K138" s="59">
        <f t="shared" ca="1" si="87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x14ac:dyDescent="0.3">
      <c r="A139" s="250"/>
      <c r="B139" s="252"/>
      <c r="C139" s="304"/>
      <c r="D139" s="253"/>
      <c r="E139" s="252"/>
      <c r="F139" s="252"/>
      <c r="G139" s="254"/>
      <c r="H139" s="255" t="s">
        <v>54</v>
      </c>
      <c r="I139" s="256">
        <f t="shared" ca="1" si="88"/>
        <v>5</v>
      </c>
      <c r="J139" s="256">
        <f t="shared" si="88"/>
        <v>0</v>
      </c>
      <c r="K139" s="59">
        <f t="shared" ca="1" si="87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214">
        <f t="shared" ref="L140:N140" ca="1" si="89">L141+L142</f>
        <v>170500</v>
      </c>
      <c r="M140" s="215">
        <f t="shared" ca="1" si="89"/>
        <v>165500</v>
      </c>
      <c r="N140" s="215">
        <f t="shared" ca="1" si="89"/>
        <v>38997.360000000001</v>
      </c>
      <c r="O140" s="215">
        <f t="shared" ref="O140:O148" ca="1" si="90">IF(L140&gt;0,N140*100/L140,0)</f>
        <v>22.872351906158357</v>
      </c>
      <c r="P140" s="215">
        <f t="shared" ref="P140:P148" ca="1" si="91">IF(M140&gt;0,N140*100/M140,0)</f>
        <v>23.563359516616313</v>
      </c>
      <c r="Q140" s="215">
        <f t="shared" ref="Q140:S140" ca="1" si="92">Q141+Q142</f>
        <v>0</v>
      </c>
      <c r="R140" s="215">
        <f t="shared" ca="1" si="92"/>
        <v>0</v>
      </c>
      <c r="S140" s="215">
        <f t="shared" ca="1" si="92"/>
        <v>0</v>
      </c>
      <c r="T140" s="215">
        <f t="shared" ref="T140:T148" ca="1" si="93">IF(Q140&gt;0,S140*100/Q140,0)</f>
        <v>0</v>
      </c>
      <c r="U140" s="215">
        <f t="shared" ref="U140:U148" ca="1" si="94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217">
        <f t="shared" ref="L141:N142" si="95">L144+L147</f>
        <v>0</v>
      </c>
      <c r="M141" s="133">
        <f t="shared" si="95"/>
        <v>0</v>
      </c>
      <c r="N141" s="133">
        <f t="shared" si="95"/>
        <v>0</v>
      </c>
      <c r="O141" s="133">
        <f t="shared" si="90"/>
        <v>0</v>
      </c>
      <c r="P141" s="133">
        <f t="shared" si="91"/>
        <v>0</v>
      </c>
      <c r="Q141" s="133">
        <f t="shared" ref="Q141:S142" si="96">Q144+Q147</f>
        <v>0</v>
      </c>
      <c r="R141" s="133">
        <f t="shared" si="96"/>
        <v>0</v>
      </c>
      <c r="S141" s="133">
        <f t="shared" si="96"/>
        <v>0</v>
      </c>
      <c r="T141" s="133">
        <f t="shared" si="93"/>
        <v>0</v>
      </c>
      <c r="U141" s="133">
        <f t="shared" si="94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131">
        <f t="shared" ca="1" si="95"/>
        <v>170500</v>
      </c>
      <c r="M142" s="132">
        <f t="shared" ca="1" si="95"/>
        <v>165500</v>
      </c>
      <c r="N142" s="132">
        <f t="shared" ca="1" si="95"/>
        <v>38997.360000000001</v>
      </c>
      <c r="O142" s="132">
        <f t="shared" ca="1" si="90"/>
        <v>22.872351906158357</v>
      </c>
      <c r="P142" s="132">
        <f t="shared" ca="1" si="91"/>
        <v>23.563359516616313</v>
      </c>
      <c r="Q142" s="132">
        <f t="shared" ca="1" si="96"/>
        <v>0</v>
      </c>
      <c r="R142" s="132">
        <f t="shared" ca="1" si="96"/>
        <v>0</v>
      </c>
      <c r="S142" s="132">
        <f t="shared" ca="1" si="96"/>
        <v>0</v>
      </c>
      <c r="T142" s="132">
        <f t="shared" ca="1" si="93"/>
        <v>0</v>
      </c>
      <c r="U142" s="132">
        <f t="shared" ca="1" si="94"/>
        <v>0</v>
      </c>
    </row>
    <row r="143" spans="1:21" ht="18.75" x14ac:dyDescent="0.25">
      <c r="A143" s="257"/>
      <c r="B143" s="269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131">
        <f t="shared" ref="L143:N143" ca="1" si="97">L144+L145</f>
        <v>170500</v>
      </c>
      <c r="M143" s="132">
        <f t="shared" ca="1" si="97"/>
        <v>165500</v>
      </c>
      <c r="N143" s="132">
        <f t="shared" ca="1" si="97"/>
        <v>38997.360000000001</v>
      </c>
      <c r="O143" s="132">
        <f t="shared" ca="1" si="90"/>
        <v>22.872351906158357</v>
      </c>
      <c r="P143" s="132">
        <f t="shared" ca="1" si="91"/>
        <v>23.563359516616313</v>
      </c>
      <c r="Q143" s="132">
        <f t="shared" ref="Q143:S143" ca="1" si="98">Q144+Q145</f>
        <v>0</v>
      </c>
      <c r="R143" s="132">
        <f t="shared" ca="1" si="98"/>
        <v>0</v>
      </c>
      <c r="S143" s="132">
        <f t="shared" ca="1" si="98"/>
        <v>0</v>
      </c>
      <c r="T143" s="132">
        <f t="shared" ca="1" si="93"/>
        <v>0</v>
      </c>
      <c r="U143" s="132">
        <f t="shared" ca="1" si="94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133">
        <f t="shared" si="90"/>
        <v>0</v>
      </c>
      <c r="P144" s="133">
        <f t="shared" si="91"/>
        <v>0</v>
      </c>
      <c r="Q144" s="77">
        <v>0</v>
      </c>
      <c r="R144" s="77">
        <v>0</v>
      </c>
      <c r="S144" s="77">
        <v>0</v>
      </c>
      <c r="T144" s="133">
        <f t="shared" si="93"/>
        <v>0</v>
      </c>
      <c r="U144" s="133">
        <f t="shared" si="94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131">
        <f ca="1">IFERROR(__xludf.DUMMYFUNCTION("IMPORTRANGE(""https://docs.google.com/spreadsheets/d/1-uDff_7J0KD5mKrp0Vvzr7lt3OU09vwQwhkpOPPYv2Y/edit?usp=sharing"",""งบพรบ!BQ55"")"),170500)</f>
        <v>170500</v>
      </c>
      <c r="M145" s="132">
        <f ca="1">IFERROR(__xludf.DUMMYFUNCTION("IMPORTRANGE(""https://docs.google.com/spreadsheets/d/1-uDff_7J0KD5mKrp0Vvzr7lt3OU09vwQwhkpOPPYv2Y/edit?usp=sharing"",""งบพรบ!BV55"")"),165500)</f>
        <v>165500</v>
      </c>
      <c r="N145" s="132">
        <f ca="1">IFERROR(__xludf.DUMMYFUNCTION("IMPORTRANGE(""https://docs.google.com/spreadsheets/d/1-uDff_7J0KD5mKrp0Vvzr7lt3OU09vwQwhkpOPPYv2Y/edit?usp=sharing"",""งบพรบ!BX55"")"),38997.36)</f>
        <v>38997.360000000001</v>
      </c>
      <c r="O145" s="132">
        <f t="shared" ca="1" si="90"/>
        <v>22.872351906158357</v>
      </c>
      <c r="P145" s="132">
        <f t="shared" ca="1" si="91"/>
        <v>23.563359516616313</v>
      </c>
      <c r="Q145" s="132">
        <f ca="1">IFERROR(__xludf.DUMMYFUNCTION("IMPORTRANGE(""https://docs.google.com/spreadsheets/d/1ItG2mGa2ceCfYo0BwxsXqNm01IGEUdYcSSLTEv9YCik/edit?usp=sharing"",""เบิกจ่ายกองทุน!BB55"")"),0)</f>
        <v>0</v>
      </c>
      <c r="R145" s="132">
        <f ca="1">IFERROR(__xludf.DUMMYFUNCTION("IMPORTRANGE(""https://docs.google.com/spreadsheets/d/1ItG2mGa2ceCfYo0BwxsXqNm01IGEUdYcSSLTEv9YCik/edit?usp=sharing"",""เบิกจ่ายกองทุน!BC55"")"),0)</f>
        <v>0</v>
      </c>
      <c r="S145" s="132">
        <f ca="1">IFERROR(__xludf.DUMMYFUNCTION("IMPORTRANGE(""https://docs.google.com/spreadsheets/d/1ItG2mGa2ceCfYo0BwxsXqNm01IGEUdYcSSLTEv9YCik/edit?usp=sharing"",""เบิกจ่ายกองทุน!BD55"")"),0)</f>
        <v>0</v>
      </c>
      <c r="T145" s="132">
        <f t="shared" ca="1" si="93"/>
        <v>0</v>
      </c>
      <c r="U145" s="132">
        <f t="shared" ca="1" si="94"/>
        <v>0</v>
      </c>
    </row>
    <row r="146" spans="1:21" ht="18.75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131">
        <f t="shared" ref="L146:N146" ca="1" si="99">L147+L148</f>
        <v>0</v>
      </c>
      <c r="M146" s="132">
        <f t="shared" ca="1" si="99"/>
        <v>0</v>
      </c>
      <c r="N146" s="132">
        <f t="shared" ca="1" si="99"/>
        <v>0</v>
      </c>
      <c r="O146" s="132">
        <f t="shared" ca="1" si="90"/>
        <v>0</v>
      </c>
      <c r="P146" s="132">
        <f t="shared" ca="1" si="91"/>
        <v>0</v>
      </c>
      <c r="Q146" s="132">
        <f t="shared" ref="Q146:S146" si="100">Q147+Q148</f>
        <v>0</v>
      </c>
      <c r="R146" s="132">
        <f t="shared" si="100"/>
        <v>0</v>
      </c>
      <c r="S146" s="132">
        <f t="shared" si="100"/>
        <v>0</v>
      </c>
      <c r="T146" s="132">
        <f t="shared" si="93"/>
        <v>0</v>
      </c>
      <c r="U146" s="132">
        <f t="shared" si="94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133">
        <f t="shared" si="90"/>
        <v>0</v>
      </c>
      <c r="P147" s="133">
        <f t="shared" si="91"/>
        <v>0</v>
      </c>
      <c r="Q147" s="77">
        <v>0</v>
      </c>
      <c r="R147" s="77">
        <v>0</v>
      </c>
      <c r="S147" s="77">
        <v>0</v>
      </c>
      <c r="T147" s="133">
        <f t="shared" si="93"/>
        <v>0</v>
      </c>
      <c r="U147" s="133">
        <f t="shared" si="94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131">
        <f ca="1">IFERROR(__xludf.DUMMYFUNCTION("IMPORTRANGE(""https://docs.google.com/spreadsheets/d/1-uDff_7J0KD5mKrp0Vvzr7lt3OU09vwQwhkpOPPYv2Y/edit?usp=sharing"",""งบพรบ!BT55"")"),0)</f>
        <v>0</v>
      </c>
      <c r="M148" s="132">
        <f ca="1">IFERROR(__xludf.DUMMYFUNCTION("IMPORTRANGE(""https://docs.google.com/spreadsheets/d/1-uDff_7J0KD5mKrp0Vvzr7lt3OU09vwQwhkpOPPYv2Y/edit?usp=sharing"",""งบพรบ!BW55"")"),0)</f>
        <v>0</v>
      </c>
      <c r="N148" s="132">
        <f ca="1">IFERROR(__xludf.DUMMYFUNCTION("IMPORTRANGE(""https://docs.google.com/spreadsheets/d/1-uDff_7J0KD5mKrp0Vvzr7lt3OU09vwQwhkpOPPYv2Y/edit?usp=sharing"",""งบพรบ!BY55"")"),0)</f>
        <v>0</v>
      </c>
      <c r="O148" s="132">
        <f t="shared" ca="1" si="90"/>
        <v>0</v>
      </c>
      <c r="P148" s="132">
        <f t="shared" ca="1" si="91"/>
        <v>0</v>
      </c>
      <c r="Q148" s="74">
        <v>0</v>
      </c>
      <c r="R148" s="74">
        <v>0</v>
      </c>
      <c r="S148" s="74">
        <v>0</v>
      </c>
      <c r="T148" s="132">
        <f t="shared" si="93"/>
        <v>0</v>
      </c>
      <c r="U148" s="132">
        <f t="shared" si="94"/>
        <v>0</v>
      </c>
    </row>
    <row r="149" spans="1:21" ht="19.5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x14ac:dyDescent="0.25">
      <c r="A150" s="257"/>
      <c r="B150" s="258"/>
      <c r="C150" s="306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IFERROR(__xludf.DUMMYFUNCTION("IMPORTRANGE(""https://docs.google.com/spreadsheets/d/1eHaY18a8A9IcSdp1K8H6x8fbOy06t2VsZHhMHf-1x7Y/edit?usp=sharing"",""แผน!U55"")"),30)</f>
        <v>30</v>
      </c>
      <c r="J151" s="294">
        <v>0</v>
      </c>
      <c r="K151" s="74">
        <f t="shared" ref="K151:K155" ca="1" si="101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IFERROR(__xludf.DUMMYFUNCTION("IMPORTRANGE(""https://docs.google.com/spreadsheets/d/1eHaY18a8A9IcSdp1K8H6x8fbOy06t2VsZHhMHf-1x7Y/edit?usp=sharing"",""แผน!V55"")"),3)</f>
        <v>3</v>
      </c>
      <c r="J152" s="294">
        <v>0</v>
      </c>
      <c r="K152" s="74">
        <f t="shared" ca="1" si="101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IFERROR(__xludf.DUMMYFUNCTION("IMPORTRANGE(""https://docs.google.com/spreadsheets/d/1eHaY18a8A9IcSdp1K8H6x8fbOy06t2VsZHhMHf-1x7Y/edit?usp=sharing"",""แผน!W55"")"),50)</f>
        <v>50</v>
      </c>
      <c r="J153" s="294">
        <v>0</v>
      </c>
      <c r="K153" s="74">
        <f t="shared" ca="1" si="101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IFERROR(__xludf.DUMMYFUNCTION("IMPORTRANGE(""https://docs.google.com/spreadsheets/d/1eHaY18a8A9IcSdp1K8H6x8fbOy06t2VsZHhMHf-1x7Y/edit?usp=sharing"",""แผน!X55"")"),5)</f>
        <v>5</v>
      </c>
      <c r="J154" s="294">
        <v>0</v>
      </c>
      <c r="K154" s="74">
        <f t="shared" ca="1" si="101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IFERROR(__xludf.DUMMYFUNCTION("IMPORTRANGE(""https://docs.google.com/spreadsheets/d/1eHaY18a8A9IcSdp1K8H6x8fbOy06t2VsZHhMHf-1x7Y/edit?usp=sharing"",""แผน!Y55"")"),3)</f>
        <v>3</v>
      </c>
      <c r="J155" s="294">
        <v>0</v>
      </c>
      <c r="K155" s="74">
        <f t="shared" ca="1" si="101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x14ac:dyDescent="0.3">
      <c r="A156" s="1099" t="s">
        <v>67</v>
      </c>
      <c r="B156" s="691"/>
      <c r="C156" s="692"/>
      <c r="D156" s="691"/>
      <c r="E156" s="691"/>
      <c r="F156" s="691"/>
      <c r="G156" s="691"/>
      <c r="H156" s="693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2">I168</f>
        <v>10</v>
      </c>
      <c r="J157" s="256">
        <f t="shared" si="102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214">
        <f t="shared" ref="L158:N158" ca="1" si="103">L159+L160</f>
        <v>3000</v>
      </c>
      <c r="M158" s="215">
        <f t="shared" ca="1" si="103"/>
        <v>2250</v>
      </c>
      <c r="N158" s="215">
        <f t="shared" ca="1" si="103"/>
        <v>0</v>
      </c>
      <c r="O158" s="215">
        <f t="shared" ref="O158:O166" ca="1" si="104">IF(L158&gt;0,N158*100/L158,0)</f>
        <v>0</v>
      </c>
      <c r="P158" s="215">
        <f t="shared" ref="P158:P166" ca="1" si="105">IF(M158&gt;0,N158*100/M158,0)</f>
        <v>0</v>
      </c>
      <c r="Q158" s="215">
        <f t="shared" ref="Q158:S158" ca="1" si="106">Q159+Q160</f>
        <v>0</v>
      </c>
      <c r="R158" s="215">
        <f t="shared" ca="1" si="106"/>
        <v>0</v>
      </c>
      <c r="S158" s="215">
        <f t="shared" ca="1" si="106"/>
        <v>0</v>
      </c>
      <c r="T158" s="215">
        <f t="shared" ref="T158:T166" ca="1" si="107">IF(Q158&gt;0,S158*100/Q158,0)</f>
        <v>0</v>
      </c>
      <c r="U158" s="215">
        <f t="shared" ref="U158:U166" ca="1" si="108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217">
        <f t="shared" ref="L159:N160" si="109">L162+L165</f>
        <v>0</v>
      </c>
      <c r="M159" s="133">
        <f t="shared" si="109"/>
        <v>0</v>
      </c>
      <c r="N159" s="133">
        <f t="shared" si="109"/>
        <v>0</v>
      </c>
      <c r="O159" s="133">
        <f t="shared" si="104"/>
        <v>0</v>
      </c>
      <c r="P159" s="133">
        <f t="shared" si="105"/>
        <v>0</v>
      </c>
      <c r="Q159" s="133">
        <f t="shared" ref="Q159:S160" si="110">Q162+Q165</f>
        <v>0</v>
      </c>
      <c r="R159" s="133">
        <f t="shared" si="110"/>
        <v>0</v>
      </c>
      <c r="S159" s="133">
        <f t="shared" si="110"/>
        <v>0</v>
      </c>
      <c r="T159" s="133">
        <f t="shared" si="107"/>
        <v>0</v>
      </c>
      <c r="U159" s="133">
        <f t="shared" si="108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131">
        <f t="shared" ca="1" si="109"/>
        <v>3000</v>
      </c>
      <c r="M160" s="132">
        <f t="shared" ca="1" si="109"/>
        <v>2250</v>
      </c>
      <c r="N160" s="132">
        <f t="shared" ca="1" si="109"/>
        <v>0</v>
      </c>
      <c r="O160" s="132">
        <f t="shared" ca="1" si="104"/>
        <v>0</v>
      </c>
      <c r="P160" s="132">
        <f t="shared" ca="1" si="105"/>
        <v>0</v>
      </c>
      <c r="Q160" s="132">
        <f t="shared" ca="1" si="110"/>
        <v>0</v>
      </c>
      <c r="R160" s="132">
        <f t="shared" ca="1" si="110"/>
        <v>0</v>
      </c>
      <c r="S160" s="132">
        <f t="shared" ca="1" si="110"/>
        <v>0</v>
      </c>
      <c r="T160" s="132">
        <f t="shared" ca="1" si="107"/>
        <v>0</v>
      </c>
      <c r="U160" s="132">
        <f t="shared" ca="1" si="108"/>
        <v>0</v>
      </c>
    </row>
    <row r="161" spans="1:21" ht="18.75" x14ac:dyDescent="0.25">
      <c r="A161" s="257"/>
      <c r="B161" s="269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131">
        <f t="shared" ref="L161:N161" ca="1" si="111">L162+L163</f>
        <v>3000</v>
      </c>
      <c r="M161" s="132">
        <f t="shared" ca="1" si="111"/>
        <v>2250</v>
      </c>
      <c r="N161" s="132">
        <f t="shared" ca="1" si="111"/>
        <v>0</v>
      </c>
      <c r="O161" s="132">
        <f t="shared" ca="1" si="104"/>
        <v>0</v>
      </c>
      <c r="P161" s="132">
        <f t="shared" ca="1" si="105"/>
        <v>0</v>
      </c>
      <c r="Q161" s="132">
        <f t="shared" ref="Q161:S161" ca="1" si="112">Q162+Q163</f>
        <v>0</v>
      </c>
      <c r="R161" s="132">
        <f t="shared" ca="1" si="112"/>
        <v>0</v>
      </c>
      <c r="S161" s="132">
        <f t="shared" ca="1" si="112"/>
        <v>0</v>
      </c>
      <c r="T161" s="132">
        <f t="shared" ca="1" si="107"/>
        <v>0</v>
      </c>
      <c r="U161" s="132">
        <f t="shared" ca="1" si="108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133">
        <f t="shared" si="104"/>
        <v>0</v>
      </c>
      <c r="P162" s="133">
        <f t="shared" si="105"/>
        <v>0</v>
      </c>
      <c r="Q162" s="77">
        <v>0</v>
      </c>
      <c r="R162" s="77">
        <v>0</v>
      </c>
      <c r="S162" s="77">
        <v>0</v>
      </c>
      <c r="T162" s="133">
        <f t="shared" si="107"/>
        <v>0</v>
      </c>
      <c r="U162" s="133">
        <f t="shared" si="108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131">
        <f ca="1">IFERROR(__xludf.DUMMYFUNCTION("IMPORTRANGE(""https://docs.google.com/spreadsheets/d/1-uDff_7J0KD5mKrp0Vvzr7lt3OU09vwQwhkpOPPYv2Y/edit?usp=sharing"",""งบพรบ!CA55"")"),3000)</f>
        <v>3000</v>
      </c>
      <c r="M163" s="132">
        <f ca="1">IFERROR(__xludf.DUMMYFUNCTION("IMPORTRANGE(""https://docs.google.com/spreadsheets/d/1-uDff_7J0KD5mKrp0Vvzr7lt3OU09vwQwhkpOPPYv2Y/edit?usp=sharing"",""งบพรบ!CF55"")"),2250)</f>
        <v>2250</v>
      </c>
      <c r="N163" s="132">
        <f ca="1">IFERROR(__xludf.DUMMYFUNCTION("IMPORTRANGE(""https://docs.google.com/spreadsheets/d/1-uDff_7J0KD5mKrp0Vvzr7lt3OU09vwQwhkpOPPYv2Y/edit?usp=sharing"",""งบพรบ!CH55"")"),0)</f>
        <v>0</v>
      </c>
      <c r="O163" s="132">
        <f t="shared" ca="1" si="104"/>
        <v>0</v>
      </c>
      <c r="P163" s="132">
        <f t="shared" ca="1" si="105"/>
        <v>0</v>
      </c>
      <c r="Q163" s="132">
        <f ca="1">IFERROR(__xludf.DUMMYFUNCTION("IMPORTRANGE(""https://docs.google.com/spreadsheets/d/1ItG2mGa2ceCfYo0BwxsXqNm01IGEUdYcSSLTEv9YCik/edit?usp=sharing"",""เบิกจ่ายกองทุน!AG55"")"),0)</f>
        <v>0</v>
      </c>
      <c r="R163" s="132">
        <f ca="1">IFERROR(__xludf.DUMMYFUNCTION("IMPORTRANGE(""https://docs.google.com/spreadsheets/d/1ItG2mGa2ceCfYo0BwxsXqNm01IGEUdYcSSLTEv9YCik/edit?usp=sharing"",""เบิกจ่ายกองทุน!AH55"")"),0)</f>
        <v>0</v>
      </c>
      <c r="S163" s="132">
        <f ca="1">IFERROR(__xludf.DUMMYFUNCTION("IMPORTRANGE(""https://docs.google.com/spreadsheets/d/1ItG2mGa2ceCfYo0BwxsXqNm01IGEUdYcSSLTEv9YCik/edit?usp=sharing"",""เบิกจ่ายกองทุน!AI55"")"),0)</f>
        <v>0</v>
      </c>
      <c r="T163" s="132">
        <f t="shared" ca="1" si="107"/>
        <v>0</v>
      </c>
      <c r="U163" s="132">
        <f t="shared" ca="1" si="108"/>
        <v>0</v>
      </c>
    </row>
    <row r="164" spans="1:21" ht="18.75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131">
        <f t="shared" ref="L164:N164" ca="1" si="113">L165+L166</f>
        <v>0</v>
      </c>
      <c r="M164" s="132">
        <f t="shared" ca="1" si="113"/>
        <v>0</v>
      </c>
      <c r="N164" s="132">
        <f t="shared" ca="1" si="113"/>
        <v>0</v>
      </c>
      <c r="O164" s="132">
        <f t="shared" ca="1" si="104"/>
        <v>0</v>
      </c>
      <c r="P164" s="132">
        <f t="shared" ca="1" si="105"/>
        <v>0</v>
      </c>
      <c r="Q164" s="132">
        <f t="shared" ref="Q164:S164" si="114">Q165+Q166</f>
        <v>0</v>
      </c>
      <c r="R164" s="132">
        <f t="shared" si="114"/>
        <v>0</v>
      </c>
      <c r="S164" s="132">
        <f t="shared" si="114"/>
        <v>0</v>
      </c>
      <c r="T164" s="132">
        <f t="shared" si="107"/>
        <v>0</v>
      </c>
      <c r="U164" s="132">
        <f t="shared" si="108"/>
        <v>0</v>
      </c>
    </row>
    <row r="165" spans="1:21" ht="18.75" hidden="1" x14ac:dyDescent="0.25">
      <c r="A165" s="257"/>
      <c r="B165" s="269"/>
      <c r="C165" s="269"/>
      <c r="D165" s="269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133">
        <f t="shared" si="104"/>
        <v>0</v>
      </c>
      <c r="P165" s="133">
        <f t="shared" si="105"/>
        <v>0</v>
      </c>
      <c r="Q165" s="77">
        <v>0</v>
      </c>
      <c r="R165" s="77">
        <v>0</v>
      </c>
      <c r="S165" s="77">
        <v>0</v>
      </c>
      <c r="T165" s="133">
        <f t="shared" si="107"/>
        <v>0</v>
      </c>
      <c r="U165" s="133">
        <f t="shared" si="108"/>
        <v>0</v>
      </c>
    </row>
    <row r="166" spans="1:21" ht="18.75" hidden="1" x14ac:dyDescent="0.25">
      <c r="A166" s="257"/>
      <c r="B166" s="269"/>
      <c r="C166" s="269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131">
        <f ca="1">IFERROR(__xludf.DUMMYFUNCTION("IMPORTRANGE(""https://docs.google.com/spreadsheets/d/1-uDff_7J0KD5mKrp0Vvzr7lt3OU09vwQwhkpOPPYv2Y/edit?usp=sharing"",""งบพรบ!CD55"")"),0)</f>
        <v>0</v>
      </c>
      <c r="M166" s="132">
        <f ca="1">IFERROR(__xludf.DUMMYFUNCTION("IMPORTRANGE(""https://docs.google.com/spreadsheets/d/1-uDff_7J0KD5mKrp0Vvzr7lt3OU09vwQwhkpOPPYv2Y/edit?usp=sharing"",""งบพรบ!CG55"")"),0)</f>
        <v>0</v>
      </c>
      <c r="N166" s="132">
        <f ca="1">IFERROR(__xludf.DUMMYFUNCTION("IMPORTRANGE(""https://docs.google.com/spreadsheets/d/1-uDff_7J0KD5mKrp0Vvzr7lt3OU09vwQwhkpOPPYv2Y/edit?usp=sharing"",""งบพรบ!CI55"")"),0)</f>
        <v>0</v>
      </c>
      <c r="O166" s="132">
        <f t="shared" ca="1" si="104"/>
        <v>0</v>
      </c>
      <c r="P166" s="132">
        <f t="shared" ca="1" si="105"/>
        <v>0</v>
      </c>
      <c r="Q166" s="74">
        <v>0</v>
      </c>
      <c r="R166" s="74">
        <v>0</v>
      </c>
      <c r="S166" s="74">
        <v>0</v>
      </c>
      <c r="T166" s="132">
        <f t="shared" si="107"/>
        <v>0</v>
      </c>
      <c r="U166" s="132">
        <f t="shared" si="108"/>
        <v>0</v>
      </c>
    </row>
    <row r="167" spans="1:21" ht="19.5" x14ac:dyDescent="0.3">
      <c r="A167" s="276"/>
      <c r="B167" s="277"/>
      <c r="C167" s="621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IFERROR(__xludf.DUMMYFUNCTION("IMPORTRANGE(""https://docs.google.com/spreadsheets/d/1eHaY18a8A9IcSdp1K8H6x8fbOy06t2VsZHhMHf-1x7Y/edit?usp=sharing"",""แผน!Z55"")"),10)</f>
        <v>10</v>
      </c>
      <c r="J168" s="294">
        <v>0</v>
      </c>
      <c r="K168" s="74">
        <f t="shared" ref="K168:K170" ca="1" si="115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I168</f>
        <v>10</v>
      </c>
      <c r="J169" s="910">
        <v>0</v>
      </c>
      <c r="K169" s="77">
        <f t="shared" ca="1" si="115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I168</f>
        <v>10</v>
      </c>
      <c r="J170" s="999">
        <v>0</v>
      </c>
      <c r="K170" s="1000">
        <f t="shared" ca="1" si="115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5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121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125" t="s">
        <v>35</v>
      </c>
      <c r="I173" s="1126">
        <f t="shared" ref="I173:J173" ca="1" si="116">I184+I185</f>
        <v>7</v>
      </c>
      <c r="J173" s="1126">
        <f t="shared" si="116"/>
        <v>7</v>
      </c>
      <c r="K173" s="1127">
        <f ca="1">IF(I173&gt;0,J173*100/I173,0)</f>
        <v>100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214">
        <f t="shared" ref="L174:N174" ca="1" si="117">L175+L176</f>
        <v>19590</v>
      </c>
      <c r="M174" s="215">
        <f t="shared" ca="1" si="117"/>
        <v>29470</v>
      </c>
      <c r="N174" s="215">
        <f t="shared" ca="1" si="117"/>
        <v>29470</v>
      </c>
      <c r="O174" s="215">
        <f t="shared" ref="O174:O182" ca="1" si="118">IF(L174&gt;0,N174*100/L174,0)</f>
        <v>150.43389484430833</v>
      </c>
      <c r="P174" s="215">
        <f t="shared" ref="P174:P182" ca="1" si="119">IF(M174&gt;0,N174*100/M174,0)</f>
        <v>100</v>
      </c>
      <c r="Q174" s="215">
        <f t="shared" ref="Q174:S174" ca="1" si="120">Q175+Q176</f>
        <v>0</v>
      </c>
      <c r="R174" s="215">
        <f t="shared" ca="1" si="120"/>
        <v>0</v>
      </c>
      <c r="S174" s="215">
        <f t="shared" ca="1" si="120"/>
        <v>0</v>
      </c>
      <c r="T174" s="215">
        <f t="shared" ref="T174:T182" ca="1" si="121">IF(Q174&gt;0,S174*100/Q174,0)</f>
        <v>0</v>
      </c>
      <c r="U174" s="215">
        <f t="shared" ref="U174:U182" ca="1" si="122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217">
        <f t="shared" ref="L175:N176" si="123">L178+L181</f>
        <v>0</v>
      </c>
      <c r="M175" s="133">
        <f t="shared" si="123"/>
        <v>0</v>
      </c>
      <c r="N175" s="133">
        <f t="shared" si="123"/>
        <v>0</v>
      </c>
      <c r="O175" s="133">
        <f t="shared" si="118"/>
        <v>0</v>
      </c>
      <c r="P175" s="133">
        <f t="shared" si="119"/>
        <v>0</v>
      </c>
      <c r="Q175" s="133">
        <f t="shared" ref="Q175:S176" si="124">Q178+Q181</f>
        <v>0</v>
      </c>
      <c r="R175" s="133">
        <f t="shared" si="124"/>
        <v>0</v>
      </c>
      <c r="S175" s="133">
        <f t="shared" si="124"/>
        <v>0</v>
      </c>
      <c r="T175" s="133">
        <f t="shared" si="121"/>
        <v>0</v>
      </c>
      <c r="U175" s="133">
        <f t="shared" si="122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131">
        <f t="shared" ca="1" si="123"/>
        <v>19590</v>
      </c>
      <c r="M176" s="132">
        <f t="shared" ca="1" si="123"/>
        <v>29470</v>
      </c>
      <c r="N176" s="132">
        <f t="shared" ca="1" si="123"/>
        <v>29470</v>
      </c>
      <c r="O176" s="132">
        <f t="shared" ca="1" si="118"/>
        <v>150.43389484430833</v>
      </c>
      <c r="P176" s="132">
        <f t="shared" ca="1" si="119"/>
        <v>100</v>
      </c>
      <c r="Q176" s="132">
        <f t="shared" ca="1" si="124"/>
        <v>0</v>
      </c>
      <c r="R176" s="132">
        <f t="shared" ca="1" si="124"/>
        <v>0</v>
      </c>
      <c r="S176" s="132">
        <f t="shared" ca="1" si="124"/>
        <v>0</v>
      </c>
      <c r="T176" s="132">
        <f t="shared" ca="1" si="121"/>
        <v>0</v>
      </c>
      <c r="U176" s="132">
        <f t="shared" ca="1" si="122"/>
        <v>0</v>
      </c>
    </row>
    <row r="177" spans="1:21" ht="18.75" x14ac:dyDescent="0.25">
      <c r="A177" s="257"/>
      <c r="B177" s="269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131">
        <f t="shared" ref="L177:N177" ca="1" si="125">L178+L179</f>
        <v>19590</v>
      </c>
      <c r="M177" s="132">
        <f t="shared" ca="1" si="125"/>
        <v>29470</v>
      </c>
      <c r="N177" s="132">
        <f t="shared" ca="1" si="125"/>
        <v>29470</v>
      </c>
      <c r="O177" s="132">
        <f t="shared" ca="1" si="118"/>
        <v>150.43389484430833</v>
      </c>
      <c r="P177" s="132">
        <f t="shared" ca="1" si="119"/>
        <v>100</v>
      </c>
      <c r="Q177" s="132">
        <f t="shared" ref="Q177:S177" ca="1" si="126">Q178+Q179</f>
        <v>0</v>
      </c>
      <c r="R177" s="132">
        <f t="shared" ca="1" si="126"/>
        <v>0</v>
      </c>
      <c r="S177" s="132">
        <f t="shared" ca="1" si="126"/>
        <v>0</v>
      </c>
      <c r="T177" s="132">
        <f t="shared" ca="1" si="121"/>
        <v>0</v>
      </c>
      <c r="U177" s="132">
        <f t="shared" ca="1" si="122"/>
        <v>0</v>
      </c>
    </row>
    <row r="178" spans="1:21" ht="18.75" hidden="1" x14ac:dyDescent="0.25">
      <c r="A178" s="257"/>
      <c r="B178" s="258"/>
      <c r="C178" s="269"/>
      <c r="D178" s="269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133">
        <f t="shared" si="118"/>
        <v>0</v>
      </c>
      <c r="P178" s="133">
        <f t="shared" si="119"/>
        <v>0</v>
      </c>
      <c r="Q178" s="77">
        <v>0</v>
      </c>
      <c r="R178" s="77">
        <v>0</v>
      </c>
      <c r="S178" s="77">
        <v>0</v>
      </c>
      <c r="T178" s="133">
        <f t="shared" si="121"/>
        <v>0</v>
      </c>
      <c r="U178" s="133">
        <f t="shared" si="122"/>
        <v>0</v>
      </c>
    </row>
    <row r="179" spans="1:21" ht="18.75" hidden="1" x14ac:dyDescent="0.25">
      <c r="A179" s="257"/>
      <c r="B179" s="269"/>
      <c r="C179" s="269"/>
      <c r="D179" s="269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131">
        <f ca="1">IFERROR(__xludf.DUMMYFUNCTION("IMPORTRANGE(""https://docs.google.com/spreadsheets/d/1-uDff_7J0KD5mKrp0Vvzr7lt3OU09vwQwhkpOPPYv2Y/edit?usp=sharing"",""งบพรบ!CK55"")"),19590)</f>
        <v>19590</v>
      </c>
      <c r="M179" s="132">
        <f ca="1">IFERROR(__xludf.DUMMYFUNCTION("IMPORTRANGE(""https://docs.google.com/spreadsheets/d/1-uDff_7J0KD5mKrp0Vvzr7lt3OU09vwQwhkpOPPYv2Y/edit?usp=sharing"",""งบพรบ!CP55"")"),29470)</f>
        <v>29470</v>
      </c>
      <c r="N179" s="132">
        <f ca="1">IFERROR(__xludf.DUMMYFUNCTION("IMPORTRANGE(""https://docs.google.com/spreadsheets/d/1-uDff_7J0KD5mKrp0Vvzr7lt3OU09vwQwhkpOPPYv2Y/edit?usp=sharing"",""งบพรบ!CR55"")"),29470)</f>
        <v>29470</v>
      </c>
      <c r="O179" s="132">
        <f t="shared" ca="1" si="118"/>
        <v>150.43389484430833</v>
      </c>
      <c r="P179" s="132">
        <f t="shared" ca="1" si="119"/>
        <v>100</v>
      </c>
      <c r="Q179" s="132">
        <f ca="1">IFERROR(__xludf.DUMMYFUNCTION("IMPORTRANGE(""https://docs.google.com/spreadsheets/d/1ItG2mGa2ceCfYo0BwxsXqNm01IGEUdYcSSLTEv9YCik/edit?usp=sharing"",""เบิกจ่ายกองทุน!BE55"")"),0)</f>
        <v>0</v>
      </c>
      <c r="R179" s="132">
        <f ca="1">IFERROR(__xludf.DUMMYFUNCTION("IMPORTRANGE(""https://docs.google.com/spreadsheets/d/1ItG2mGa2ceCfYo0BwxsXqNm01IGEUdYcSSLTEv9YCik/edit?usp=sharing"",""เบิกจ่ายกองทุน!BF55"")"),0)</f>
        <v>0</v>
      </c>
      <c r="S179" s="132">
        <f ca="1">IFERROR(__xludf.DUMMYFUNCTION("IMPORTRANGE(""https://docs.google.com/spreadsheets/d/1ItG2mGa2ceCfYo0BwxsXqNm01IGEUdYcSSLTEv9YCik/edit?usp=sharing"",""เบิกจ่ายกองทุน!BG55"")"),0)</f>
        <v>0</v>
      </c>
      <c r="T179" s="132">
        <f t="shared" ca="1" si="121"/>
        <v>0</v>
      </c>
      <c r="U179" s="132">
        <f t="shared" ca="1" si="122"/>
        <v>0</v>
      </c>
    </row>
    <row r="180" spans="1:21" ht="18.75" x14ac:dyDescent="0.25">
      <c r="A180" s="257"/>
      <c r="B180" s="258"/>
      <c r="C180" s="269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131">
        <f t="shared" ref="L180:N180" ca="1" si="127">L181+L182</f>
        <v>0</v>
      </c>
      <c r="M180" s="132">
        <f t="shared" ca="1" si="127"/>
        <v>0</v>
      </c>
      <c r="N180" s="132">
        <f t="shared" ca="1" si="127"/>
        <v>0</v>
      </c>
      <c r="O180" s="132">
        <f t="shared" ca="1" si="118"/>
        <v>0</v>
      </c>
      <c r="P180" s="132">
        <f t="shared" ca="1" si="119"/>
        <v>0</v>
      </c>
      <c r="Q180" s="132">
        <f t="shared" ref="Q180:S180" si="128">Q181+Q182</f>
        <v>0</v>
      </c>
      <c r="R180" s="132">
        <f t="shared" si="128"/>
        <v>0</v>
      </c>
      <c r="S180" s="132">
        <f t="shared" si="128"/>
        <v>0</v>
      </c>
      <c r="T180" s="132">
        <f t="shared" si="121"/>
        <v>0</v>
      </c>
      <c r="U180" s="132">
        <f t="shared" si="122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133">
        <f t="shared" si="118"/>
        <v>0</v>
      </c>
      <c r="P181" s="133">
        <f t="shared" si="119"/>
        <v>0</v>
      </c>
      <c r="Q181" s="77">
        <v>0</v>
      </c>
      <c r="R181" s="77">
        <v>0</v>
      </c>
      <c r="S181" s="77">
        <v>0</v>
      </c>
      <c r="T181" s="133">
        <f t="shared" si="121"/>
        <v>0</v>
      </c>
      <c r="U181" s="133">
        <f t="shared" si="122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131">
        <f ca="1">IFERROR(__xludf.DUMMYFUNCTION("IMPORTRANGE(""https://docs.google.com/spreadsheets/d/1-uDff_7J0KD5mKrp0Vvzr7lt3OU09vwQwhkpOPPYv2Y/edit?usp=sharing"",""งบพรบ!CN55"")"),0)</f>
        <v>0</v>
      </c>
      <c r="M182" s="132">
        <f ca="1">IFERROR(__xludf.DUMMYFUNCTION("IMPORTRANGE(""https://docs.google.com/spreadsheets/d/1-uDff_7J0KD5mKrp0Vvzr7lt3OU09vwQwhkpOPPYv2Y/edit?usp=sharing"",""งบพรบ!CQ55"")"),0)</f>
        <v>0</v>
      </c>
      <c r="N182" s="132">
        <f ca="1">IFERROR(__xludf.DUMMYFUNCTION("IMPORTRANGE(""https://docs.google.com/spreadsheets/d/1-uDff_7J0KD5mKrp0Vvzr7lt3OU09vwQwhkpOPPYv2Y/edit?usp=sharing"",""งบพรบ!CS55"")"),0)</f>
        <v>0</v>
      </c>
      <c r="O182" s="132">
        <f t="shared" ca="1" si="118"/>
        <v>0</v>
      </c>
      <c r="P182" s="132">
        <f t="shared" ca="1" si="119"/>
        <v>0</v>
      </c>
      <c r="Q182" s="74">
        <v>0</v>
      </c>
      <c r="R182" s="74">
        <v>0</v>
      </c>
      <c r="S182" s="74">
        <v>0</v>
      </c>
      <c r="T182" s="132">
        <f t="shared" si="121"/>
        <v>0</v>
      </c>
      <c r="U182" s="132">
        <f t="shared" si="122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307" t="s">
        <v>35</v>
      </c>
      <c r="I184" s="293">
        <f ca="1">IFERROR(__xludf.DUMMYFUNCTION("IMPORTRANGE(""https://docs.google.com/spreadsheets/d/1eHaY18a8A9IcSdp1K8H6x8fbOy06t2VsZHhMHf-1x7Y/edit?usp=sharing"",""แผน!AA55"")"),7)</f>
        <v>7</v>
      </c>
      <c r="J184" s="294">
        <v>7</v>
      </c>
      <c r="K184" s="74">
        <f t="shared" ref="K184:K186" ca="1" si="129">IF(I184&gt;0,J184*100/I184,0)</f>
        <v>100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308" t="s">
        <v>35</v>
      </c>
      <c r="I185" s="592">
        <v>0</v>
      </c>
      <c r="J185" s="592">
        <v>0</v>
      </c>
      <c r="K185" s="77">
        <f t="shared" si="129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125" t="s">
        <v>35</v>
      </c>
      <c r="I186" s="1126">
        <f t="shared" ref="I186:J186" ca="1" si="130">I231+I232</f>
        <v>40</v>
      </c>
      <c r="J186" s="1126">
        <f t="shared" si="130"/>
        <v>0</v>
      </c>
      <c r="K186" s="1127">
        <f t="shared" ca="1" si="129"/>
        <v>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214">
        <f t="shared" ref="L187:N187" ca="1" si="131">L188+L189</f>
        <v>298000</v>
      </c>
      <c r="M187" s="215">
        <f t="shared" ca="1" si="131"/>
        <v>260760</v>
      </c>
      <c r="N187" s="215">
        <f t="shared" ca="1" si="131"/>
        <v>41632</v>
      </c>
      <c r="O187" s="215">
        <f t="shared" ref="O187:O195" ca="1" si="132">IF(L187&gt;0,N187*100/L187,0)</f>
        <v>13.970469798657717</v>
      </c>
      <c r="P187" s="215">
        <f t="shared" ref="P187:P195" ca="1" si="133">IF(M187&gt;0,N187*100/M187,0)</f>
        <v>15.965638901672035</v>
      </c>
      <c r="Q187" s="215">
        <f t="shared" ref="Q187:S187" ca="1" si="134">Q188+Q189</f>
        <v>191100</v>
      </c>
      <c r="R187" s="215">
        <f t="shared" ca="1" si="134"/>
        <v>191100</v>
      </c>
      <c r="S187" s="215">
        <f t="shared" ca="1" si="134"/>
        <v>0</v>
      </c>
      <c r="T187" s="215">
        <f t="shared" ref="T187:T195" ca="1" si="135">IF(Q187&gt;0,S187*100/Q187,0)</f>
        <v>0</v>
      </c>
      <c r="U187" s="215">
        <f t="shared" ref="U187:U195" ca="1" si="136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217">
        <f t="shared" ref="L188:N189" si="137">L191+L194</f>
        <v>0</v>
      </c>
      <c r="M188" s="133">
        <f t="shared" si="137"/>
        <v>0</v>
      </c>
      <c r="N188" s="133">
        <f t="shared" si="137"/>
        <v>0</v>
      </c>
      <c r="O188" s="133">
        <f t="shared" si="132"/>
        <v>0</v>
      </c>
      <c r="P188" s="133">
        <f t="shared" si="133"/>
        <v>0</v>
      </c>
      <c r="Q188" s="133">
        <f t="shared" ref="Q188:S189" si="138">Q191+Q194</f>
        <v>0</v>
      </c>
      <c r="R188" s="133">
        <f t="shared" si="138"/>
        <v>0</v>
      </c>
      <c r="S188" s="133">
        <f t="shared" si="138"/>
        <v>0</v>
      </c>
      <c r="T188" s="133">
        <f t="shared" si="135"/>
        <v>0</v>
      </c>
      <c r="U188" s="133">
        <f t="shared" si="136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131">
        <f t="shared" ca="1" si="137"/>
        <v>298000</v>
      </c>
      <c r="M189" s="132">
        <f t="shared" ca="1" si="137"/>
        <v>260760</v>
      </c>
      <c r="N189" s="132">
        <f t="shared" ca="1" si="137"/>
        <v>41632</v>
      </c>
      <c r="O189" s="132">
        <f t="shared" ca="1" si="132"/>
        <v>13.970469798657717</v>
      </c>
      <c r="P189" s="132">
        <f t="shared" ca="1" si="133"/>
        <v>15.965638901672035</v>
      </c>
      <c r="Q189" s="132">
        <f t="shared" ca="1" si="138"/>
        <v>191100</v>
      </c>
      <c r="R189" s="132">
        <f t="shared" ca="1" si="138"/>
        <v>191100</v>
      </c>
      <c r="S189" s="132">
        <f t="shared" ca="1" si="138"/>
        <v>0</v>
      </c>
      <c r="T189" s="132">
        <f t="shared" ca="1" si="135"/>
        <v>0</v>
      </c>
      <c r="U189" s="132">
        <f t="shared" ca="1" si="136"/>
        <v>0</v>
      </c>
    </row>
    <row r="190" spans="1:21" ht="18.75" x14ac:dyDescent="0.25">
      <c r="A190" s="257"/>
      <c r="B190" s="269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131">
        <f t="shared" ref="L190:N190" ca="1" si="139">L191+L192</f>
        <v>298000</v>
      </c>
      <c r="M190" s="132">
        <f t="shared" ca="1" si="139"/>
        <v>260760</v>
      </c>
      <c r="N190" s="132">
        <f t="shared" ca="1" si="139"/>
        <v>41632</v>
      </c>
      <c r="O190" s="132">
        <f t="shared" ca="1" si="132"/>
        <v>13.970469798657717</v>
      </c>
      <c r="P190" s="132">
        <f t="shared" ca="1" si="133"/>
        <v>15.965638901672035</v>
      </c>
      <c r="Q190" s="132">
        <f t="shared" ref="Q190:S190" ca="1" si="140">Q191+Q192</f>
        <v>191100</v>
      </c>
      <c r="R190" s="132">
        <f t="shared" ca="1" si="140"/>
        <v>191100</v>
      </c>
      <c r="S190" s="132">
        <f t="shared" ca="1" si="140"/>
        <v>0</v>
      </c>
      <c r="T190" s="132">
        <f t="shared" ca="1" si="135"/>
        <v>0</v>
      </c>
      <c r="U190" s="132">
        <f t="shared" ca="1" si="136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133">
        <f t="shared" si="132"/>
        <v>0</v>
      </c>
      <c r="P191" s="133">
        <f t="shared" si="133"/>
        <v>0</v>
      </c>
      <c r="Q191" s="77">
        <v>0</v>
      </c>
      <c r="R191" s="77">
        <v>0</v>
      </c>
      <c r="S191" s="77">
        <v>0</v>
      </c>
      <c r="T191" s="133">
        <f t="shared" si="135"/>
        <v>0</v>
      </c>
      <c r="U191" s="133">
        <f t="shared" si="136"/>
        <v>0</v>
      </c>
    </row>
    <row r="192" spans="1:21" ht="18.75" hidden="1" x14ac:dyDescent="0.25">
      <c r="A192" s="257"/>
      <c r="B192" s="269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131">
        <f ca="1">IFERROR(__xludf.DUMMYFUNCTION("IMPORTRANGE(""https://docs.google.com/spreadsheets/d/1-uDff_7J0KD5mKrp0Vvzr7lt3OU09vwQwhkpOPPYv2Y/edit?usp=sharing"",""งบพรบ!CU55"")"),298000)</f>
        <v>298000</v>
      </c>
      <c r="M192" s="132">
        <f ca="1">IFERROR(__xludf.DUMMYFUNCTION("IMPORTRANGE(""https://docs.google.com/spreadsheets/d/1-uDff_7J0KD5mKrp0Vvzr7lt3OU09vwQwhkpOPPYv2Y/edit?usp=sharing"",""งบพรบ!CZ55"")"),260760)</f>
        <v>260760</v>
      </c>
      <c r="N192" s="132">
        <f ca="1">IFERROR(__xludf.DUMMYFUNCTION("IMPORTRANGE(""https://docs.google.com/spreadsheets/d/1-uDff_7J0KD5mKrp0Vvzr7lt3OU09vwQwhkpOPPYv2Y/edit?usp=sharing"",""งบพรบ!DB55"")"),41632)</f>
        <v>41632</v>
      </c>
      <c r="O192" s="132">
        <f t="shared" ca="1" si="132"/>
        <v>13.970469798657717</v>
      </c>
      <c r="P192" s="132">
        <f t="shared" ca="1" si="133"/>
        <v>15.965638901672035</v>
      </c>
      <c r="Q192" s="132">
        <f ca="1">IFERROR(__xludf.DUMMYFUNCTION("IMPORTRANGE(""https://docs.google.com/spreadsheets/d/1ItG2mGa2ceCfYo0BwxsXqNm01IGEUdYcSSLTEv9YCik/edit?usp=sharing"",""เบิกจ่ายกองทุน!AV55"")"),191100)</f>
        <v>191100</v>
      </c>
      <c r="R192" s="132">
        <f ca="1">IFERROR(__xludf.DUMMYFUNCTION("IMPORTRANGE(""https://docs.google.com/spreadsheets/d/1ItG2mGa2ceCfYo0BwxsXqNm01IGEUdYcSSLTEv9YCik/edit?usp=sharing"",""เบิกจ่ายกองทุน!AW55"")"),191100)</f>
        <v>191100</v>
      </c>
      <c r="S192" s="132">
        <f ca="1">IFERROR(__xludf.DUMMYFUNCTION("IMPORTRANGE(""https://docs.google.com/spreadsheets/d/1ItG2mGa2ceCfYo0BwxsXqNm01IGEUdYcSSLTEv9YCik/edit?usp=sharing"",""เบิกจ่ายกองทุน!AX55"")"),0)</f>
        <v>0</v>
      </c>
      <c r="T192" s="132">
        <f t="shared" ca="1" si="135"/>
        <v>0</v>
      </c>
      <c r="U192" s="132">
        <f t="shared" ca="1" si="136"/>
        <v>0</v>
      </c>
    </row>
    <row r="193" spans="1:21" ht="18.75" x14ac:dyDescent="0.25">
      <c r="A193" s="257"/>
      <c r="B193" s="269"/>
      <c r="C193" s="269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131">
        <f t="shared" ref="L193:N193" ca="1" si="141">L194+L195</f>
        <v>0</v>
      </c>
      <c r="M193" s="132">
        <f t="shared" ca="1" si="141"/>
        <v>0</v>
      </c>
      <c r="N193" s="132">
        <f t="shared" ca="1" si="141"/>
        <v>0</v>
      </c>
      <c r="O193" s="132">
        <f t="shared" ca="1" si="132"/>
        <v>0</v>
      </c>
      <c r="P193" s="132">
        <f t="shared" ca="1" si="133"/>
        <v>0</v>
      </c>
      <c r="Q193" s="132">
        <f t="shared" ref="Q193:S193" si="142">Q194+Q195</f>
        <v>0</v>
      </c>
      <c r="R193" s="132">
        <f t="shared" si="142"/>
        <v>0</v>
      </c>
      <c r="S193" s="132">
        <f t="shared" si="142"/>
        <v>0</v>
      </c>
      <c r="T193" s="132">
        <f t="shared" si="135"/>
        <v>0</v>
      </c>
      <c r="U193" s="132">
        <f t="shared" si="136"/>
        <v>0</v>
      </c>
    </row>
    <row r="194" spans="1:21" ht="18.75" hidden="1" x14ac:dyDescent="0.25">
      <c r="A194" s="257"/>
      <c r="B194" s="269"/>
      <c r="C194" s="269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133">
        <f t="shared" si="132"/>
        <v>0</v>
      </c>
      <c r="P194" s="133">
        <f t="shared" si="133"/>
        <v>0</v>
      </c>
      <c r="Q194" s="77">
        <v>0</v>
      </c>
      <c r="R194" s="77">
        <v>0</v>
      </c>
      <c r="S194" s="77">
        <v>0</v>
      </c>
      <c r="T194" s="133">
        <f t="shared" si="135"/>
        <v>0</v>
      </c>
      <c r="U194" s="133">
        <f t="shared" si="136"/>
        <v>0</v>
      </c>
    </row>
    <row r="195" spans="1:21" ht="18.75" hidden="1" x14ac:dyDescent="0.25">
      <c r="A195" s="257"/>
      <c r="B195" s="269"/>
      <c r="C195" s="269"/>
      <c r="D195" s="269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131">
        <f ca="1">IFERROR(__xludf.DUMMYFUNCTION("IMPORTRANGE(""https://docs.google.com/spreadsheets/d/1-uDff_7J0KD5mKrp0Vvzr7lt3OU09vwQwhkpOPPYv2Y/edit?usp=sharing"",""งบพรบ!CX55"")"),0)</f>
        <v>0</v>
      </c>
      <c r="M195" s="132">
        <f ca="1">IFERROR(__xludf.DUMMYFUNCTION("IMPORTRANGE(""https://docs.google.com/spreadsheets/d/1-uDff_7J0KD5mKrp0Vvzr7lt3OU09vwQwhkpOPPYv2Y/edit?usp=sharing"",""งบพรบ!DA55"")"),0)</f>
        <v>0</v>
      </c>
      <c r="N195" s="132">
        <f ca="1">IFERROR(__xludf.DUMMYFUNCTION("IMPORTRANGE(""https://docs.google.com/spreadsheets/d/1-uDff_7J0KD5mKrp0Vvzr7lt3OU09vwQwhkpOPPYv2Y/edit?usp=sharing"",""งบพรบ!DC55"")"),0)</f>
        <v>0</v>
      </c>
      <c r="O195" s="132">
        <f t="shared" ca="1" si="132"/>
        <v>0</v>
      </c>
      <c r="P195" s="132">
        <f t="shared" ca="1" si="133"/>
        <v>0</v>
      </c>
      <c r="Q195" s="74">
        <v>0</v>
      </c>
      <c r="R195" s="74">
        <v>0</v>
      </c>
      <c r="S195" s="74">
        <v>0</v>
      </c>
      <c r="T195" s="132">
        <f t="shared" si="135"/>
        <v>0</v>
      </c>
      <c r="U195" s="132">
        <f t="shared" si="136"/>
        <v>0</v>
      </c>
    </row>
    <row r="196" spans="1:21" ht="19.5" x14ac:dyDescent="0.3">
      <c r="A196" s="553"/>
      <c r="B196" s="555"/>
      <c r="C196" s="1128" t="s">
        <v>78</v>
      </c>
      <c r="D196" s="555"/>
      <c r="E196" s="554"/>
      <c r="F196" s="554"/>
      <c r="G196" s="557"/>
      <c r="H196" s="558" t="s">
        <v>79</v>
      </c>
      <c r="I196" s="559">
        <f t="shared" ref="I196:J196" ca="1" si="143">I199</f>
        <v>4</v>
      </c>
      <c r="J196" s="559">
        <f t="shared" si="143"/>
        <v>2</v>
      </c>
      <c r="K196" s="560">
        <f ca="1">IF(I196&gt;0,J196*100/I196,0)</f>
        <v>50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69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214">
        <f ca="1">IFERROR(__xludf.DUMMYFUNCTION("IMPORTRANGE(""https://docs.google.com/spreadsheets/d/1eHaY18a8A9IcSdp1K8H6x8fbOy06t2VsZHhMHf-1x7Y/edit?usp=sharing"",""แผน!AB55"")"),6000)</f>
        <v>6000</v>
      </c>
      <c r="M197" s="87"/>
      <c r="N197" s="923">
        <v>2960</v>
      </c>
      <c r="O197" s="215">
        <f ca="1">IF(L197&gt;0,N197*100/L197,0)</f>
        <v>49.333333333333336</v>
      </c>
      <c r="P197" s="215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310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75" t="s">
        <v>79</v>
      </c>
      <c r="I199" s="293">
        <f ca="1">IFERROR(__xludf.DUMMYFUNCTION("IMPORTRANGE(""https://docs.google.com/spreadsheets/d/1eHaY18a8A9IcSdp1K8H6x8fbOy06t2VsZHhMHf-1x7Y/edit?usp=sharing"",""แผน!AE55"")"),4)</f>
        <v>4</v>
      </c>
      <c r="J199" s="294">
        <v>2</v>
      </c>
      <c r="K199" s="74">
        <f ca="1">IF(I199&gt;0,J199*100/I199,0)</f>
        <v>50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240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240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4">I210</f>
        <v>2</v>
      </c>
      <c r="J203" s="559">
        <f t="shared" si="144"/>
        <v>0</v>
      </c>
      <c r="K203" s="560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69"/>
      <c r="C204" s="621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214">
        <f ca="1">L205+L206+L207+L208</f>
        <v>31000</v>
      </c>
      <c r="M204" s="87"/>
      <c r="N204" s="215">
        <f>N205+N206+N207+N208</f>
        <v>720</v>
      </c>
      <c r="O204" s="215">
        <f ca="1">IF(L204&gt;0,N204*100/L204,0)</f>
        <v>2.3225806451612905</v>
      </c>
      <c r="P204" s="215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69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131">
        <f ca="1">IFERROR(__xludf.DUMMYFUNCTION("IMPORTRANGE(""https://docs.google.com/spreadsheets/d/1eHaY18a8A9IcSdp1K8H6x8fbOy06t2VsZHhMHf-1x7Y/edit?usp=sharing"",""แผน!AG55"")"),2000)</f>
        <v>2000</v>
      </c>
      <c r="M205" s="87"/>
      <c r="N205" s="924">
        <v>720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69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131">
        <f ca="1">IFERROR(__xludf.DUMMYFUNCTION("IMPORTRANGE(""https://docs.google.com/spreadsheets/d/1eHaY18a8A9IcSdp1K8H6x8fbOy06t2VsZHhMHf-1x7Y/edit?usp=sharing"",""แผน!AH55"")"),0)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69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131">
        <f ca="1">IFERROR(__xludf.DUMMYFUNCTION("IMPORTRANGE(""https://docs.google.com/spreadsheets/d/1eHaY18a8A9IcSdp1K8H6x8fbOy06t2VsZHhMHf-1x7Y/edit?usp=sharing"",""แผน!AI55"")"),16000)</f>
        <v>16000</v>
      </c>
      <c r="M207" s="87"/>
      <c r="N207" s="924">
        <v>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69"/>
      <c r="D208" s="267" t="s">
        <v>89</v>
      </c>
      <c r="E208" s="258"/>
      <c r="F208" s="258"/>
      <c r="G208" s="261"/>
      <c r="H208" s="292" t="s">
        <v>14</v>
      </c>
      <c r="I208" s="263"/>
      <c r="J208" s="263"/>
      <c r="K208" s="87"/>
      <c r="L208" s="131">
        <f ca="1">IFERROR(__xludf.DUMMYFUNCTION("IMPORTRANGE(""https://docs.google.com/spreadsheets/d/1eHaY18a8A9IcSdp1K8H6x8fbOy06t2VsZHhMHf-1x7Y/edit?usp=sharing"",""แผน!AJ55"")"),13000)</f>
        <v>13000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310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2" t="s">
        <v>85</v>
      </c>
      <c r="I210" s="293">
        <f ca="1">IFERROR(__xludf.DUMMYFUNCTION("IMPORTRANGE(""https://docs.google.com/spreadsheets/d/1eHaY18a8A9IcSdp1K8H6x8fbOy06t2VsZHhMHf-1x7Y/edit?usp=sharing"",""แผน!AK55"")"),2)</f>
        <v>2</v>
      </c>
      <c r="J210" s="294">
        <v>0</v>
      </c>
      <c r="K210" s="768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310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2" t="s">
        <v>85</v>
      </c>
      <c r="I212" s="293">
        <f ca="1">IFERROR(__xludf.DUMMYFUNCTION("IMPORTRANGE(""https://docs.google.com/spreadsheets/d/1eHaY18a8A9IcSdp1K8H6x8fbOy06t2VsZHhMHf-1x7Y/edit?usp=sharing"",""แผน!JX55"")"),2)</f>
        <v>2</v>
      </c>
      <c r="J212" s="294">
        <v>0</v>
      </c>
      <c r="K212" s="768">
        <f t="shared" ref="K212:K214" ca="1" si="145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IFERROR(__xludf.DUMMYFUNCTION("IMPORTRANGE(""https://docs.google.com/spreadsheets/d/1eHaY18a8A9IcSdp1K8H6x8fbOy06t2VsZHhMHf-1x7Y/edit?usp=sharing"",""แผน!JY55"")"),1)</f>
        <v>1</v>
      </c>
      <c r="J213" s="294">
        <v>0</v>
      </c>
      <c r="K213" s="768">
        <f t="shared" ca="1" si="145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x14ac:dyDescent="0.3">
      <c r="A214" s="553"/>
      <c r="B214" s="555"/>
      <c r="C214" s="1128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6">I221</f>
        <v>3</v>
      </c>
      <c r="J214" s="559">
        <f t="shared" si="146"/>
        <v>0</v>
      </c>
      <c r="K214" s="560">
        <f t="shared" ca="1" si="145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x14ac:dyDescent="0.3">
      <c r="A215" s="257"/>
      <c r="B215" s="269"/>
      <c r="C215" s="621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214">
        <f ca="1">L216+L217+L218</f>
        <v>42000</v>
      </c>
      <c r="M215" s="87"/>
      <c r="N215" s="215">
        <f>N216+N217+N218</f>
        <v>0</v>
      </c>
      <c r="O215" s="215">
        <f ca="1">IF(L215&gt;0,N215*100/L215,0)</f>
        <v>0</v>
      </c>
      <c r="P215" s="215">
        <f>IF(M215&gt;0,N215*100/M215,0)</f>
        <v>0</v>
      </c>
      <c r="Q215" s="87"/>
      <c r="R215" s="87"/>
      <c r="S215" s="87"/>
      <c r="T215" s="87"/>
      <c r="U215" s="87"/>
    </row>
    <row r="216" spans="1:21" ht="18.75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131">
        <f ca="1">IFERROR(__xludf.DUMMYFUNCTION("IMPORTRANGE(""https://docs.google.com/spreadsheets/d/1eHaY18a8A9IcSdp1K8H6x8fbOy06t2VsZHhMHf-1x7Y/edit?usp=sharing"",""แผน!AM55"")"),3000)</f>
        <v>3000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131">
        <f ca="1">IFERROR(__xludf.DUMMYFUNCTION("IMPORTRANGE(""https://docs.google.com/spreadsheets/d/1eHaY18a8A9IcSdp1K8H6x8fbOy06t2VsZHhMHf-1x7Y/edit?usp=sharing"",""แผน!AN55"")"),15000)</f>
        <v>15000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131">
        <f ca="1">IFERROR(__xludf.DUMMYFUNCTION("IMPORTRANGE(""https://docs.google.com/spreadsheets/d/1eHaY18a8A9IcSdp1K8H6x8fbOy06t2VsZHhMHf-1x7Y/edit?usp=sharing"",""แผน!AO55"")"),24000)</f>
        <v>24000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310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2" t="s">
        <v>85</v>
      </c>
      <c r="I220" s="293">
        <f ca="1">IFERROR(__xludf.DUMMYFUNCTION("IMPORTRANGE(""https://docs.google.com/spreadsheets/d/1eHaY18a8A9IcSdp1K8H6x8fbOy06t2VsZHhMHf-1x7Y/edit?usp=sharing"",""แผน!AP55"")"),3)</f>
        <v>3</v>
      </c>
      <c r="J220" s="294">
        <v>0</v>
      </c>
      <c r="K220" s="74">
        <f t="shared" ref="K220:K222" ca="1" si="147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IFERROR(__xludf.DUMMYFUNCTION("IMPORTRANGE(""https://docs.google.com/spreadsheets/d/1eHaY18a8A9IcSdp1K8H6x8fbOy06t2VsZHhMHf-1x7Y/edit?usp=sharing"",""แผน!AP55"")"),3)</f>
        <v>3</v>
      </c>
      <c r="J221" s="294">
        <v>0</v>
      </c>
      <c r="K221" s="74">
        <f t="shared" ca="1" si="147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28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8">I230</f>
        <v>40000</v>
      </c>
      <c r="J222" s="559">
        <f t="shared" si="148"/>
        <v>0</v>
      </c>
      <c r="K222" s="560">
        <f t="shared" ca="1" si="147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69"/>
      <c r="C223" s="621" t="s">
        <v>18</v>
      </c>
      <c r="D223" s="96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214">
        <f ca="1">L224+L225+L226</f>
        <v>6500</v>
      </c>
      <c r="M223" s="87"/>
      <c r="N223" s="215">
        <f>N224+N225+N226</f>
        <v>0</v>
      </c>
      <c r="O223" s="215">
        <f ca="1">IF(L223&gt;0,N223*100/L223,0)</f>
        <v>0</v>
      </c>
      <c r="P223" s="215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69"/>
      <c r="D224" s="1134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131">
        <f ca="1">IFERROR(__xludf.DUMMYFUNCTION("IMPORTRANGE(""https://docs.google.com/spreadsheets/d/1eHaY18a8A9IcSdp1K8H6x8fbOy06t2VsZHhMHf-1x7Y/edit?usp=sharing"",""แผน!AR55"")"),5000)</f>
        <v>5000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131">
        <f ca="1">IFERROR(__xludf.DUMMYFUNCTION("IMPORTRANGE(""https://docs.google.com/spreadsheets/d/1eHaY18a8A9IcSdp1K8H6x8fbOy06t2VsZHhMHf-1x7Y/edit?usp=sharing"",""แผน!AS55"")"),1500)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131">
        <f ca="1">IFERROR(__xludf.DUMMYFUNCTION("IMPORTRANGE(""https://docs.google.com/spreadsheets/d/1eHaY18a8A9IcSdp1K8H6x8fbOy06t2VsZHhMHf-1x7Y/edit?usp=sharing"",""แผน!AT55"")"),0)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310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310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75" t="s">
        <v>99</v>
      </c>
      <c r="I229" s="293">
        <f ca="1">IFERROR(__xludf.DUMMYFUNCTION("IMPORTRANGE(""https://docs.google.com/spreadsheets/d/1eHaY18a8A9IcSdp1K8H6x8fbOy06t2VsZHhMHf-1x7Y/edit?usp=sharing"",""แผน!AV55"")"),40000)</f>
        <v>40000</v>
      </c>
      <c r="J229" s="294">
        <v>40000</v>
      </c>
      <c r="K229" s="768">
        <f t="shared" ref="K229:K232" ca="1" si="149">IF(I229&gt;0,J229*100/I229,0)</f>
        <v>100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75" t="s">
        <v>99</v>
      </c>
      <c r="I230" s="293">
        <f ca="1">IFERROR(__xludf.DUMMYFUNCTION("IMPORTRANGE(""https://docs.google.com/spreadsheets/d/1eHaY18a8A9IcSdp1K8H6x8fbOy06t2VsZHhMHf-1x7Y/edit?usp=sharing"",""แผน!AV55"")"),40000)</f>
        <v>40000</v>
      </c>
      <c r="J230" s="294">
        <v>0</v>
      </c>
      <c r="K230" s="768">
        <f t="shared" ca="1" si="149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75" t="s">
        <v>35</v>
      </c>
      <c r="I231" s="293">
        <f ca="1">IFERROR(__xludf.DUMMYFUNCTION("IMPORTRANGE(""https://docs.google.com/spreadsheets/d/1eHaY18a8A9IcSdp1K8H6x8fbOy06t2VsZHhMHf-1x7Y/edit?usp=sharing"",""แผน!AU55"")"),0)</f>
        <v>0</v>
      </c>
      <c r="J231" s="294">
        <v>0</v>
      </c>
      <c r="K231" s="768">
        <f t="shared" ca="1" si="149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925"/>
      <c r="B232" s="926"/>
      <c r="C232" s="1135" t="s">
        <v>105</v>
      </c>
      <c r="D232" s="928"/>
      <c r="E232" s="928"/>
      <c r="F232" s="928"/>
      <c r="G232" s="929"/>
      <c r="H232" s="930" t="s">
        <v>35</v>
      </c>
      <c r="I232" s="931">
        <f t="shared" ref="I232:J232" ca="1" si="150">I243+I254</f>
        <v>40</v>
      </c>
      <c r="J232" s="931">
        <f t="shared" si="150"/>
        <v>0</v>
      </c>
      <c r="K232" s="932">
        <f t="shared" ca="1" si="149"/>
        <v>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880"/>
      <c r="B233" s="920"/>
      <c r="C233" s="939" t="s">
        <v>18</v>
      </c>
      <c r="D233" s="934" t="s">
        <v>19</v>
      </c>
      <c r="E233" s="838"/>
      <c r="F233" s="838"/>
      <c r="G233" s="839"/>
      <c r="H233" s="703" t="s">
        <v>14</v>
      </c>
      <c r="I233" s="881"/>
      <c r="J233" s="881"/>
      <c r="K233" s="882"/>
      <c r="L233" s="935">
        <f t="shared" ref="L233:L237" ca="1" si="151">L244+L255</f>
        <v>121500</v>
      </c>
      <c r="M233" s="87"/>
      <c r="N233" s="936">
        <f t="shared" ref="N233:N237" si="152">N244+N255</f>
        <v>4300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880"/>
      <c r="B234" s="920"/>
      <c r="C234" s="920"/>
      <c r="D234" s="1134" t="s">
        <v>299</v>
      </c>
      <c r="E234" s="838"/>
      <c r="F234" s="838"/>
      <c r="G234" s="839"/>
      <c r="H234" s="273" t="s">
        <v>14</v>
      </c>
      <c r="I234" s="881"/>
      <c r="J234" s="881"/>
      <c r="K234" s="882"/>
      <c r="L234" s="217">
        <f t="shared" ca="1" si="151"/>
        <v>16000</v>
      </c>
      <c r="M234" s="87"/>
      <c r="N234" s="133">
        <f t="shared" si="152"/>
        <v>4300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919"/>
      <c r="B235" s="920"/>
      <c r="C235" s="920"/>
      <c r="D235" s="749" t="s">
        <v>87</v>
      </c>
      <c r="E235" s="838"/>
      <c r="F235" s="838"/>
      <c r="G235" s="839"/>
      <c r="H235" s="273" t="s">
        <v>14</v>
      </c>
      <c r="I235" s="841"/>
      <c r="J235" s="841"/>
      <c r="K235" s="842"/>
      <c r="L235" s="217">
        <f t="shared" ca="1" si="151"/>
        <v>6000</v>
      </c>
      <c r="M235" s="87"/>
      <c r="N235" s="133">
        <f t="shared" si="152"/>
        <v>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919"/>
      <c r="B236" s="920"/>
      <c r="C236" s="920"/>
      <c r="D236" s="749" t="s">
        <v>88</v>
      </c>
      <c r="E236" s="838"/>
      <c r="F236" s="838"/>
      <c r="G236" s="839"/>
      <c r="H236" s="273" t="s">
        <v>14</v>
      </c>
      <c r="I236" s="841"/>
      <c r="J236" s="841"/>
      <c r="K236" s="842"/>
      <c r="L236" s="217">
        <f t="shared" ca="1" si="151"/>
        <v>55500</v>
      </c>
      <c r="M236" s="87"/>
      <c r="N236" s="133">
        <f t="shared" si="152"/>
        <v>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919"/>
      <c r="B237" s="920"/>
      <c r="C237" s="920"/>
      <c r="D237" s="267" t="s">
        <v>89</v>
      </c>
      <c r="E237" s="838"/>
      <c r="F237" s="838"/>
      <c r="G237" s="839"/>
      <c r="H237" s="273" t="s">
        <v>14</v>
      </c>
      <c r="I237" s="841"/>
      <c r="J237" s="841"/>
      <c r="K237" s="842"/>
      <c r="L237" s="217">
        <f t="shared" ca="1" si="151"/>
        <v>44000</v>
      </c>
      <c r="M237" s="87"/>
      <c r="N237" s="133">
        <f t="shared" si="152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937"/>
      <c r="B238" s="938"/>
      <c r="C238" s="939" t="s">
        <v>18</v>
      </c>
      <c r="D238" s="940" t="s">
        <v>38</v>
      </c>
      <c r="E238" s="941"/>
      <c r="F238" s="941"/>
      <c r="G238" s="942"/>
      <c r="H238" s="1136"/>
      <c r="I238" s="881"/>
      <c r="J238" s="841"/>
      <c r="K238" s="842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937"/>
      <c r="B239" s="938"/>
      <c r="C239" s="938"/>
      <c r="D239" s="311" t="s">
        <v>108</v>
      </c>
      <c r="E239" s="944"/>
      <c r="F239" s="944"/>
      <c r="G239" s="943"/>
      <c r="H239" s="706" t="s">
        <v>35</v>
      </c>
      <c r="I239" s="592">
        <f t="shared" ref="I239:J239" ca="1" si="153">I250+I261</f>
        <v>40</v>
      </c>
      <c r="J239" s="592">
        <f t="shared" si="153"/>
        <v>0</v>
      </c>
      <c r="K239" s="77">
        <f ca="1">IF(I239&gt;0,J239*100/I239,0)</f>
        <v>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937"/>
      <c r="B240" s="938"/>
      <c r="C240" s="938"/>
      <c r="D240" s="946" t="s">
        <v>43</v>
      </c>
      <c r="E240" s="944"/>
      <c r="F240" s="944"/>
      <c r="G240" s="943"/>
      <c r="H240" s="1136"/>
      <c r="I240" s="841"/>
      <c r="J240" s="841"/>
      <c r="K240" s="842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937"/>
      <c r="B241" s="938"/>
      <c r="C241" s="938"/>
      <c r="D241" s="938"/>
      <c r="E241" s="947" t="s">
        <v>109</v>
      </c>
      <c r="F241" s="944"/>
      <c r="G241" s="943"/>
      <c r="H241" s="706" t="s">
        <v>35</v>
      </c>
      <c r="I241" s="592">
        <f t="shared" ref="I241:J242" ca="1" si="154">I252+I263</f>
        <v>40</v>
      </c>
      <c r="J241" s="592">
        <f t="shared" si="154"/>
        <v>0</v>
      </c>
      <c r="K241" s="77">
        <f t="shared" ref="K241:K243" ca="1" si="155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937"/>
      <c r="B242" s="938"/>
      <c r="C242" s="938"/>
      <c r="D242" s="938"/>
      <c r="E242" s="947" t="s">
        <v>110</v>
      </c>
      <c r="F242" s="944"/>
      <c r="G242" s="943"/>
      <c r="H242" s="706" t="s">
        <v>61</v>
      </c>
      <c r="I242" s="592">
        <f t="shared" ca="1" si="154"/>
        <v>2</v>
      </c>
      <c r="J242" s="592">
        <f t="shared" si="154"/>
        <v>0</v>
      </c>
      <c r="K242" s="77">
        <f t="shared" ca="1" si="155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x14ac:dyDescent="0.3">
      <c r="A243" s="382"/>
      <c r="B243" s="383"/>
      <c r="C243" s="1137" t="s">
        <v>332</v>
      </c>
      <c r="D243" s="385"/>
      <c r="E243" s="385"/>
      <c r="F243" s="385"/>
      <c r="G243" s="386"/>
      <c r="H243" s="387" t="s">
        <v>35</v>
      </c>
      <c r="I243" s="388">
        <f t="shared" ref="I243:J243" ca="1" si="156">I250</f>
        <v>20</v>
      </c>
      <c r="J243" s="388">
        <f t="shared" si="156"/>
        <v>0</v>
      </c>
      <c r="K243" s="389">
        <f t="shared" ca="1" si="155"/>
        <v>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x14ac:dyDescent="0.3">
      <c r="A244" s="209"/>
      <c r="B244" s="381"/>
      <c r="C244" s="402" t="s">
        <v>18</v>
      </c>
      <c r="D244" s="879" t="s">
        <v>19</v>
      </c>
      <c r="E244" s="67"/>
      <c r="F244" s="67"/>
      <c r="G244" s="69"/>
      <c r="H244" s="394" t="s">
        <v>14</v>
      </c>
      <c r="I244" s="219"/>
      <c r="J244" s="219"/>
      <c r="K244" s="220"/>
      <c r="L244" s="214">
        <f ca="1">L245+L246+L247+L248</f>
        <v>53800</v>
      </c>
      <c r="M244" s="87"/>
      <c r="N244" s="215">
        <f>N245+N246+N247+N248</f>
        <v>1590</v>
      </c>
      <c r="O244" s="215">
        <f ca="1">IF(L244&gt;0,N244*100/L244,0)</f>
        <v>2.9553903345724906</v>
      </c>
      <c r="P244" s="215">
        <f>IF(M244&gt;0,N244*100/M244,0)</f>
        <v>0</v>
      </c>
      <c r="Q244" s="87"/>
      <c r="R244" s="87"/>
      <c r="S244" s="87"/>
      <c r="T244" s="87"/>
      <c r="U244" s="87"/>
    </row>
    <row r="245" spans="1:21" ht="18.75" x14ac:dyDescent="0.25">
      <c r="A245" s="209"/>
      <c r="B245" s="381"/>
      <c r="C245" s="381"/>
      <c r="D245" s="1134" t="s">
        <v>299</v>
      </c>
      <c r="E245" s="67"/>
      <c r="F245" s="67"/>
      <c r="G245" s="69"/>
      <c r="H245" s="218" t="s">
        <v>14</v>
      </c>
      <c r="I245" s="219"/>
      <c r="J245" s="219"/>
      <c r="K245" s="220"/>
      <c r="L245" s="131">
        <f ca="1">IFERROR(__xludf.DUMMYFUNCTION("IMPORTRANGE(""https://docs.google.com/spreadsheets/d/1eHaY18a8A9IcSdp1K8H6x8fbOy06t2VsZHhMHf-1x7Y/edit?usp=sharing"",""แผน!AX55"")"),8000)</f>
        <v>8000</v>
      </c>
      <c r="M245" s="87"/>
      <c r="N245" s="924">
        <v>1590</v>
      </c>
      <c r="O245" s="87"/>
      <c r="P245" s="87"/>
      <c r="Q245" s="87"/>
      <c r="R245" s="87"/>
      <c r="S245" s="87"/>
      <c r="T245" s="87"/>
      <c r="U245" s="87"/>
    </row>
    <row r="246" spans="1:21" ht="18.75" x14ac:dyDescent="0.25">
      <c r="A246" s="377"/>
      <c r="B246" s="381"/>
      <c r="C246" s="381"/>
      <c r="D246" s="749" t="s">
        <v>87</v>
      </c>
      <c r="E246" s="67"/>
      <c r="F246" s="67"/>
      <c r="G246" s="69"/>
      <c r="H246" s="218" t="s">
        <v>14</v>
      </c>
      <c r="I246" s="71"/>
      <c r="J246" s="71"/>
      <c r="K246" s="72"/>
      <c r="L246" s="131">
        <f ca="1">IFERROR(__xludf.DUMMYFUNCTION("IMPORTRANGE(""https://docs.google.com/spreadsheets/d/1eHaY18a8A9IcSdp1K8H6x8fbOy06t2VsZHhMHf-1x7Y/edit?usp=sharing"",""แผน!AY55"")"),3000)</f>
        <v>3000</v>
      </c>
      <c r="M246" s="87"/>
      <c r="N246" s="924">
        <v>0</v>
      </c>
      <c r="O246" s="87"/>
      <c r="P246" s="87"/>
      <c r="Q246" s="87"/>
      <c r="R246" s="87"/>
      <c r="S246" s="87"/>
      <c r="T246" s="87"/>
      <c r="U246" s="87"/>
    </row>
    <row r="247" spans="1:21" ht="18.75" x14ac:dyDescent="0.25">
      <c r="A247" s="377"/>
      <c r="B247" s="381"/>
      <c r="C247" s="381"/>
      <c r="D247" s="749" t="s">
        <v>88</v>
      </c>
      <c r="E247" s="67"/>
      <c r="F247" s="67"/>
      <c r="G247" s="69"/>
      <c r="H247" s="218" t="s">
        <v>14</v>
      </c>
      <c r="I247" s="71"/>
      <c r="J247" s="71"/>
      <c r="K247" s="72"/>
      <c r="L247" s="131">
        <f ca="1">IFERROR(__xludf.DUMMYFUNCTION("IMPORTRANGE(""https://docs.google.com/spreadsheets/d/1eHaY18a8A9IcSdp1K8H6x8fbOy06t2VsZHhMHf-1x7Y/edit?usp=sharing"",""แผน!AZ55"")"),23800)</f>
        <v>23800</v>
      </c>
      <c r="M247" s="87"/>
      <c r="N247" s="924">
        <v>0</v>
      </c>
      <c r="O247" s="87"/>
      <c r="P247" s="87"/>
      <c r="Q247" s="87"/>
      <c r="R247" s="87"/>
      <c r="S247" s="87"/>
      <c r="T247" s="87"/>
      <c r="U247" s="87"/>
    </row>
    <row r="248" spans="1:21" ht="18.75" x14ac:dyDescent="0.25">
      <c r="A248" s="377"/>
      <c r="B248" s="381"/>
      <c r="C248" s="381"/>
      <c r="D248" s="267" t="s">
        <v>89</v>
      </c>
      <c r="E248" s="67"/>
      <c r="F248" s="67"/>
      <c r="G248" s="69"/>
      <c r="H248" s="218" t="s">
        <v>14</v>
      </c>
      <c r="I248" s="71"/>
      <c r="J248" s="71"/>
      <c r="K248" s="72"/>
      <c r="L248" s="131">
        <f ca="1">IFERROR(__xludf.DUMMYFUNCTION("IMPORTRANGE(""https://docs.google.com/spreadsheets/d/1eHaY18a8A9IcSdp1K8H6x8fbOy06t2VsZHhMHf-1x7Y/edit?usp=sharing"",""แผน!BA55"")"),19000)</f>
        <v>19000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x14ac:dyDescent="0.3">
      <c r="A249" s="222"/>
      <c r="B249" s="223"/>
      <c r="C249" s="402" t="s">
        <v>18</v>
      </c>
      <c r="D249" s="883" t="s">
        <v>38</v>
      </c>
      <c r="E249" s="225"/>
      <c r="F249" s="225"/>
      <c r="G249" s="226"/>
      <c r="H249" s="320"/>
      <c r="I249" s="219"/>
      <c r="J249" s="71"/>
      <c r="K249" s="72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x14ac:dyDescent="0.25">
      <c r="A250" s="222"/>
      <c r="B250" s="223"/>
      <c r="C250" s="223"/>
      <c r="D250" s="395" t="s">
        <v>108</v>
      </c>
      <c r="E250" s="231"/>
      <c r="F250" s="231"/>
      <c r="G250" s="227"/>
      <c r="H250" s="221" t="s">
        <v>35</v>
      </c>
      <c r="I250" s="321">
        <f ca="1">IFERROR(__xludf.DUMMYFUNCTION("IMPORTRANGE(""https://docs.google.com/spreadsheets/d/1eHaY18a8A9IcSdp1K8H6x8fbOy06t2VsZHhMHf-1x7Y/edit?usp=sharing"",""แผน!BG55"")"),20)</f>
        <v>20</v>
      </c>
      <c r="J250" s="884">
        <v>0</v>
      </c>
      <c r="K250" s="399">
        <f ca="1">IF(I250&gt;0,J250*100/I250,0)</f>
        <v>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x14ac:dyDescent="0.25">
      <c r="A251" s="222"/>
      <c r="B251" s="223"/>
      <c r="C251" s="223"/>
      <c r="D251" s="412" t="s">
        <v>43</v>
      </c>
      <c r="E251" s="231"/>
      <c r="F251" s="231"/>
      <c r="G251" s="227"/>
      <c r="H251" s="320"/>
      <c r="I251" s="71"/>
      <c r="J251" s="71"/>
      <c r="K251" s="72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x14ac:dyDescent="0.25">
      <c r="A252" s="222"/>
      <c r="B252" s="223"/>
      <c r="C252" s="223"/>
      <c r="D252" s="223"/>
      <c r="E252" s="1228" t="s">
        <v>333</v>
      </c>
      <c r="F252" s="893"/>
      <c r="G252" s="894"/>
      <c r="H252" s="1229" t="s">
        <v>35</v>
      </c>
      <c r="I252" s="321">
        <f ca="1">IFERROR(__xludf.DUMMYFUNCTION("IMPORTRANGE(""https://docs.google.com/spreadsheets/d/1eHaY18a8A9IcSdp1K8H6x8fbOy06t2VsZHhMHf-1x7Y/edit?usp=sharing"",""แผน!KB55"")"),20)</f>
        <v>20</v>
      </c>
      <c r="J252" s="884">
        <v>0</v>
      </c>
      <c r="K252" s="399">
        <f t="shared" ref="K252:K254" ca="1" si="157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x14ac:dyDescent="0.25">
      <c r="A253" s="222"/>
      <c r="B253" s="223"/>
      <c r="C253" s="223"/>
      <c r="D253" s="223"/>
      <c r="E253" s="767" t="s">
        <v>334</v>
      </c>
      <c r="F253" s="296"/>
      <c r="G253" s="282"/>
      <c r="H253" s="275" t="s">
        <v>35</v>
      </c>
      <c r="I253" s="321">
        <f ca="1">IFERROR(__xludf.DUMMYFUNCTION("IMPORTRANGE(""https://docs.google.com/spreadsheets/d/1eHaY18a8A9IcSdp1K8H6x8fbOy06t2VsZHhMHf-1x7Y/edit?usp=sharing"",""แผน!KC55"")"),1)</f>
        <v>1</v>
      </c>
      <c r="J253" s="884">
        <v>0</v>
      </c>
      <c r="K253" s="399">
        <f t="shared" ca="1" si="157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x14ac:dyDescent="0.3">
      <c r="A254" s="382"/>
      <c r="B254" s="383"/>
      <c r="C254" s="1137" t="s">
        <v>335</v>
      </c>
      <c r="D254" s="385"/>
      <c r="E254" s="385"/>
      <c r="F254" s="385"/>
      <c r="G254" s="386"/>
      <c r="H254" s="387" t="s">
        <v>35</v>
      </c>
      <c r="I254" s="388">
        <f t="shared" ref="I254:J254" ca="1" si="158">I261</f>
        <v>20</v>
      </c>
      <c r="J254" s="388">
        <f t="shared" si="158"/>
        <v>0</v>
      </c>
      <c r="K254" s="389">
        <f t="shared" ca="1" si="157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x14ac:dyDescent="0.3">
      <c r="A255" s="209"/>
      <c r="B255" s="381"/>
      <c r="C255" s="402" t="s">
        <v>18</v>
      </c>
      <c r="D255" s="922" t="s">
        <v>19</v>
      </c>
      <c r="E255" s="67"/>
      <c r="F255" s="67"/>
      <c r="G255" s="69"/>
      <c r="H255" s="394" t="s">
        <v>14</v>
      </c>
      <c r="I255" s="219"/>
      <c r="J255" s="219"/>
      <c r="K255" s="220"/>
      <c r="L255" s="214">
        <f ca="1">L256+L257+L258+L259</f>
        <v>67700</v>
      </c>
      <c r="M255" s="87"/>
      <c r="N255" s="215">
        <f>N256+N257+N258+N259</f>
        <v>2710</v>
      </c>
      <c r="O255" s="215">
        <f ca="1">IF(L255&gt;0,N255*100/L255,0)</f>
        <v>4.0029542097488919</v>
      </c>
      <c r="P255" s="215">
        <f>IF(M255&gt;0,N255*100/M255,0)</f>
        <v>0</v>
      </c>
      <c r="Q255" s="87"/>
      <c r="R255" s="87"/>
      <c r="S255" s="87"/>
      <c r="T255" s="87"/>
      <c r="U255" s="87"/>
    </row>
    <row r="256" spans="1:21" ht="18.75" x14ac:dyDescent="0.25">
      <c r="A256" s="209"/>
      <c r="B256" s="381"/>
      <c r="C256" s="381"/>
      <c r="D256" s="1134" t="s">
        <v>299</v>
      </c>
      <c r="E256" s="67"/>
      <c r="F256" s="67"/>
      <c r="G256" s="69"/>
      <c r="H256" s="218" t="s">
        <v>14</v>
      </c>
      <c r="I256" s="219"/>
      <c r="J256" s="219"/>
      <c r="K256" s="220"/>
      <c r="L256" s="131">
        <f ca="1">IFERROR(__xludf.DUMMYFUNCTION("IMPORTRANGE(""https://docs.google.com/spreadsheets/d/1eHaY18a8A9IcSdp1K8H6x8fbOy06t2VsZHhMHf-1x7Y/edit?usp=sharing"",""แผน!BB55"")"),8000)</f>
        <v>8000</v>
      </c>
      <c r="M256" s="87"/>
      <c r="N256" s="924">
        <v>2710</v>
      </c>
      <c r="O256" s="87"/>
      <c r="P256" s="87"/>
      <c r="Q256" s="87"/>
      <c r="R256" s="87"/>
      <c r="S256" s="87"/>
      <c r="T256" s="87"/>
      <c r="U256" s="87"/>
    </row>
    <row r="257" spans="1:21" ht="18.75" x14ac:dyDescent="0.25">
      <c r="A257" s="377"/>
      <c r="B257" s="381"/>
      <c r="C257" s="381"/>
      <c r="D257" s="749" t="s">
        <v>87</v>
      </c>
      <c r="E257" s="67"/>
      <c r="F257" s="67"/>
      <c r="G257" s="69"/>
      <c r="H257" s="218" t="s">
        <v>14</v>
      </c>
      <c r="I257" s="71"/>
      <c r="J257" s="71"/>
      <c r="K257" s="72"/>
      <c r="L257" s="131">
        <f ca="1">IFERROR(__xludf.DUMMYFUNCTION("IMPORTRANGE(""https://docs.google.com/spreadsheets/d/1eHaY18a8A9IcSdp1K8H6x8fbOy06t2VsZHhMHf-1x7Y/edit?usp=sharing"",""แผน!BC55"")"),3000)</f>
        <v>3000</v>
      </c>
      <c r="M257" s="87"/>
      <c r="N257" s="924"/>
      <c r="O257" s="87"/>
      <c r="P257" s="87"/>
      <c r="Q257" s="87"/>
      <c r="R257" s="87"/>
      <c r="S257" s="87"/>
      <c r="T257" s="87"/>
      <c r="U257" s="87"/>
    </row>
    <row r="258" spans="1:21" ht="18.75" x14ac:dyDescent="0.25">
      <c r="A258" s="377"/>
      <c r="B258" s="381"/>
      <c r="C258" s="381"/>
      <c r="D258" s="749" t="s">
        <v>88</v>
      </c>
      <c r="E258" s="67"/>
      <c r="F258" s="67"/>
      <c r="G258" s="69"/>
      <c r="H258" s="218" t="s">
        <v>14</v>
      </c>
      <c r="I258" s="71"/>
      <c r="J258" s="71"/>
      <c r="K258" s="72"/>
      <c r="L258" s="131">
        <f ca="1">IFERROR(__xludf.DUMMYFUNCTION("IMPORTRANGE(""https://docs.google.com/spreadsheets/d/1eHaY18a8A9IcSdp1K8H6x8fbOy06t2VsZHhMHf-1x7Y/edit?usp=sharing"",""แผน!BD55"")"),31700)</f>
        <v>31700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x14ac:dyDescent="0.25">
      <c r="A259" s="377"/>
      <c r="B259" s="381"/>
      <c r="C259" s="381"/>
      <c r="D259" s="267" t="s">
        <v>89</v>
      </c>
      <c r="E259" s="67"/>
      <c r="F259" s="67"/>
      <c r="G259" s="69"/>
      <c r="H259" s="218" t="s">
        <v>14</v>
      </c>
      <c r="I259" s="71"/>
      <c r="J259" s="71"/>
      <c r="K259" s="72"/>
      <c r="L259" s="131">
        <f ca="1">IFERROR(__xludf.DUMMYFUNCTION("IMPORTRANGE(""https://docs.google.com/spreadsheets/d/1eHaY18a8A9IcSdp1K8H6x8fbOy06t2VsZHhMHf-1x7Y/edit?usp=sharing"",""แผน!BE55"")"),25000)</f>
        <v>25000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x14ac:dyDescent="0.3">
      <c r="A260" s="222"/>
      <c r="B260" s="223"/>
      <c r="C260" s="402" t="s">
        <v>18</v>
      </c>
      <c r="D260" s="883" t="s">
        <v>38</v>
      </c>
      <c r="E260" s="225"/>
      <c r="F260" s="225"/>
      <c r="G260" s="226"/>
      <c r="H260" s="227"/>
      <c r="I260" s="219"/>
      <c r="J260" s="71"/>
      <c r="K260" s="72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x14ac:dyDescent="0.25">
      <c r="A261" s="222"/>
      <c r="B261" s="223"/>
      <c r="C261" s="223"/>
      <c r="D261" s="395" t="s">
        <v>108</v>
      </c>
      <c r="E261" s="231"/>
      <c r="F261" s="231"/>
      <c r="G261" s="227"/>
      <c r="H261" s="221" t="s">
        <v>35</v>
      </c>
      <c r="I261" s="321">
        <f ca="1">IFERROR(__xludf.DUMMYFUNCTION("IMPORTRANGE(""https://docs.google.com/spreadsheets/d/1eHaY18a8A9IcSdp1K8H6x8fbOy06t2VsZHhMHf-1x7Y/edit?usp=sharing"",""แผน!BH55"")"),20)</f>
        <v>20</v>
      </c>
      <c r="J261" s="884">
        <v>0</v>
      </c>
      <c r="K261" s="399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x14ac:dyDescent="0.25">
      <c r="A262" s="222"/>
      <c r="B262" s="223"/>
      <c r="C262" s="223"/>
      <c r="D262" s="412" t="s">
        <v>43</v>
      </c>
      <c r="E262" s="231"/>
      <c r="F262" s="231"/>
      <c r="G262" s="227"/>
      <c r="H262" s="320"/>
      <c r="I262" s="71"/>
      <c r="J262" s="71"/>
      <c r="K262" s="72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x14ac:dyDescent="0.25">
      <c r="A263" s="222"/>
      <c r="B263" s="223"/>
      <c r="C263" s="223"/>
      <c r="D263" s="223"/>
      <c r="E263" s="567" t="s">
        <v>109</v>
      </c>
      <c r="F263" s="231"/>
      <c r="G263" s="227"/>
      <c r="H263" s="221" t="s">
        <v>35</v>
      </c>
      <c r="I263" s="321">
        <f ca="1">IFERROR(__xludf.DUMMYFUNCTION("IMPORTRANGE(""https://docs.google.com/spreadsheets/d/1eHaY18a8A9IcSdp1K8H6x8fbOy06t2VsZHhMHf-1x7Y/edit?usp=sharing"",""แผน!KD55"")"),20)</f>
        <v>20</v>
      </c>
      <c r="J263" s="884">
        <v>0</v>
      </c>
      <c r="K263" s="399">
        <f t="shared" ref="K263:K264" ca="1" si="159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x14ac:dyDescent="0.25">
      <c r="A264" s="222"/>
      <c r="B264" s="223"/>
      <c r="C264" s="223"/>
      <c r="D264" s="223"/>
      <c r="E264" s="567" t="s">
        <v>110</v>
      </c>
      <c r="F264" s="231"/>
      <c r="G264" s="227"/>
      <c r="H264" s="221" t="s">
        <v>61</v>
      </c>
      <c r="I264" s="321">
        <f ca="1">IFERROR(__xludf.DUMMYFUNCTION("IMPORTRANGE(""https://docs.google.com/spreadsheets/d/1eHaY18a8A9IcSdp1K8H6x8fbOy06t2VsZHhMHf-1x7Y/edit?usp=sharing"",""แผน!KE55"")"),1)</f>
        <v>1</v>
      </c>
      <c r="J264" s="884">
        <v>0</v>
      </c>
      <c r="K264" s="399">
        <f t="shared" ca="1" si="159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1138"/>
      <c r="I265" s="364"/>
      <c r="J265" s="364"/>
      <c r="K265" s="365"/>
      <c r="L265" s="1230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1139" t="s">
        <v>35</v>
      </c>
      <c r="I266" s="1140">
        <f t="shared" ref="I266:J266" ca="1" si="160">I277</f>
        <v>22</v>
      </c>
      <c r="J266" s="1140">
        <f t="shared" si="160"/>
        <v>0</v>
      </c>
      <c r="K266" s="373">
        <f ca="1">IF(I266&gt;0,J266*100/I266,0)</f>
        <v>0</v>
      </c>
      <c r="L266" s="1231"/>
      <c r="M266" s="374"/>
      <c r="N266" s="374"/>
      <c r="O266" s="374"/>
      <c r="P266" s="374"/>
      <c r="Q266" s="374"/>
      <c r="R266" s="374"/>
      <c r="S266" s="374"/>
      <c r="T266" s="374"/>
      <c r="U266" s="374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1232">
        <f t="shared" ref="L267:N267" ca="1" si="161">L268+L269</f>
        <v>0</v>
      </c>
      <c r="M267" s="1233">
        <f t="shared" ca="1" si="161"/>
        <v>5000</v>
      </c>
      <c r="N267" s="1233">
        <f t="shared" ca="1" si="161"/>
        <v>0</v>
      </c>
      <c r="O267" s="1233">
        <f t="shared" ref="O267:O275" ca="1" si="162">IF(L267&gt;0,N267*100/L267,0)</f>
        <v>0</v>
      </c>
      <c r="P267" s="1233">
        <f t="shared" ref="P267:P275" ca="1" si="163">IF(M267&gt;0,N267*100/M267,0)</f>
        <v>0</v>
      </c>
      <c r="Q267" s="1233">
        <f t="shared" ref="Q267:S267" ca="1" si="164">Q268+Q269</f>
        <v>50660</v>
      </c>
      <c r="R267" s="1233">
        <f t="shared" ca="1" si="164"/>
        <v>50660</v>
      </c>
      <c r="S267" s="1233">
        <f t="shared" ca="1" si="164"/>
        <v>0</v>
      </c>
      <c r="T267" s="1233">
        <f t="shared" ref="T267:T275" ca="1" si="165">IF(Q267&gt;0,S267*100/Q267,0)</f>
        <v>0</v>
      </c>
      <c r="U267" s="1233">
        <f t="shared" ref="U267:U275" ca="1" si="166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217">
        <f t="shared" ref="L268:N269" si="167">L271+L274</f>
        <v>0</v>
      </c>
      <c r="M268" s="133">
        <f t="shared" si="167"/>
        <v>0</v>
      </c>
      <c r="N268" s="133">
        <f t="shared" si="167"/>
        <v>0</v>
      </c>
      <c r="O268" s="133">
        <f t="shared" si="162"/>
        <v>0</v>
      </c>
      <c r="P268" s="133">
        <f t="shared" si="163"/>
        <v>0</v>
      </c>
      <c r="Q268" s="133">
        <f t="shared" ref="Q268:S269" si="168">Q271+Q274</f>
        <v>0</v>
      </c>
      <c r="R268" s="133">
        <f t="shared" si="168"/>
        <v>0</v>
      </c>
      <c r="S268" s="133">
        <f t="shared" si="168"/>
        <v>0</v>
      </c>
      <c r="T268" s="133">
        <f t="shared" si="165"/>
        <v>0</v>
      </c>
      <c r="U268" s="133">
        <f t="shared" si="166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234">
        <f t="shared" ca="1" si="167"/>
        <v>0</v>
      </c>
      <c r="M269" s="1218">
        <f t="shared" ca="1" si="167"/>
        <v>5000</v>
      </c>
      <c r="N269" s="1218">
        <f t="shared" ca="1" si="167"/>
        <v>0</v>
      </c>
      <c r="O269" s="1218">
        <f t="shared" ca="1" si="162"/>
        <v>0</v>
      </c>
      <c r="P269" s="1218">
        <f t="shared" ca="1" si="163"/>
        <v>0</v>
      </c>
      <c r="Q269" s="1218">
        <f t="shared" ca="1" si="168"/>
        <v>50660</v>
      </c>
      <c r="R269" s="1218">
        <f t="shared" ca="1" si="168"/>
        <v>50660</v>
      </c>
      <c r="S269" s="1218">
        <f t="shared" ca="1" si="168"/>
        <v>0</v>
      </c>
      <c r="T269" s="1218">
        <f t="shared" ca="1" si="165"/>
        <v>0</v>
      </c>
      <c r="U269" s="1218">
        <f t="shared" ca="1" si="166"/>
        <v>0</v>
      </c>
    </row>
    <row r="270" spans="1:21" ht="18.75" x14ac:dyDescent="0.25">
      <c r="A270" s="209"/>
      <c r="B270" s="381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234">
        <f t="shared" ref="L270:N270" ca="1" si="169">L271+L272</f>
        <v>0</v>
      </c>
      <c r="M270" s="1218">
        <f t="shared" ca="1" si="169"/>
        <v>5000</v>
      </c>
      <c r="N270" s="1218">
        <f t="shared" ca="1" si="169"/>
        <v>0</v>
      </c>
      <c r="O270" s="1218">
        <f t="shared" ca="1" si="162"/>
        <v>0</v>
      </c>
      <c r="P270" s="1218">
        <f t="shared" ca="1" si="163"/>
        <v>0</v>
      </c>
      <c r="Q270" s="1218">
        <f t="shared" ref="Q270:S270" ca="1" si="170">Q271+Q272</f>
        <v>50660</v>
      </c>
      <c r="R270" s="1218">
        <f t="shared" ca="1" si="170"/>
        <v>50660</v>
      </c>
      <c r="S270" s="1218">
        <f t="shared" ca="1" si="170"/>
        <v>0</v>
      </c>
      <c r="T270" s="1218">
        <f t="shared" ca="1" si="165"/>
        <v>0</v>
      </c>
      <c r="U270" s="1218">
        <f t="shared" ca="1" si="166"/>
        <v>0</v>
      </c>
    </row>
    <row r="271" spans="1:21" ht="18.75" hidden="1" x14ac:dyDescent="0.25">
      <c r="A271" s="880"/>
      <c r="B271" s="920"/>
      <c r="C271" s="920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133">
        <f t="shared" si="162"/>
        <v>0</v>
      </c>
      <c r="P271" s="133">
        <f t="shared" si="163"/>
        <v>0</v>
      </c>
      <c r="Q271" s="77">
        <v>0</v>
      </c>
      <c r="R271" s="77">
        <v>0</v>
      </c>
      <c r="S271" s="77">
        <v>0</v>
      </c>
      <c r="T271" s="133">
        <f t="shared" si="165"/>
        <v>0</v>
      </c>
      <c r="U271" s="133">
        <f t="shared" si="166"/>
        <v>0</v>
      </c>
    </row>
    <row r="272" spans="1:21" ht="18.75" hidden="1" x14ac:dyDescent="0.25">
      <c r="A272" s="209"/>
      <c r="B272" s="381"/>
      <c r="C272" s="381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234">
        <f ca="1">IFERROR(__xludf.DUMMYFUNCTION("IMPORTRANGE(""https://docs.google.com/spreadsheets/d/1-uDff_7J0KD5mKrp0Vvzr7lt3OU09vwQwhkpOPPYv2Y/edit?usp=sharing"",""งบพรบ!DE55"")"),0)</f>
        <v>0</v>
      </c>
      <c r="M272" s="1218">
        <f ca="1">IFERROR(__xludf.DUMMYFUNCTION("IMPORTRANGE(""https://docs.google.com/spreadsheets/d/1-uDff_7J0KD5mKrp0Vvzr7lt3OU09vwQwhkpOPPYv2Y/edit?usp=sharing"",""งบพรบ!DJ55"")"),5000)</f>
        <v>5000</v>
      </c>
      <c r="N272" s="1218">
        <f ca="1">IFERROR(__xludf.DUMMYFUNCTION("IMPORTRANGE(""https://docs.google.com/spreadsheets/d/1-uDff_7J0KD5mKrp0Vvzr7lt3OU09vwQwhkpOPPYv2Y/edit?usp=sharing"",""งบพรบ!DL55"")"),0)</f>
        <v>0</v>
      </c>
      <c r="O272" s="1218">
        <f t="shared" ca="1" si="162"/>
        <v>0</v>
      </c>
      <c r="P272" s="1218">
        <f t="shared" ca="1" si="163"/>
        <v>0</v>
      </c>
      <c r="Q272" s="1218">
        <f ca="1">IFERROR(__xludf.DUMMYFUNCTION("IMPORTRANGE(""https://docs.google.com/spreadsheets/d/1ItG2mGa2ceCfYo0BwxsXqNm01IGEUdYcSSLTEv9YCik/edit?usp=sharing"",""เบิกจ่ายกองทุน!AJ55"")"),50660)</f>
        <v>50660</v>
      </c>
      <c r="R272" s="1218">
        <f ca="1">IFERROR(__xludf.DUMMYFUNCTION("IMPORTRANGE(""https://docs.google.com/spreadsheets/d/1ItG2mGa2ceCfYo0BwxsXqNm01IGEUdYcSSLTEv9YCik/edit?usp=sharing"",""เบิกจ่ายกองทุน!AK55"")"),50660)</f>
        <v>50660</v>
      </c>
      <c r="S272" s="1218">
        <f ca="1">IFERROR(__xludf.DUMMYFUNCTION("IMPORTRANGE(""https://docs.google.com/spreadsheets/d/1ItG2mGa2ceCfYo0BwxsXqNm01IGEUdYcSSLTEv9YCik/edit?usp=sharing"",""เบิกจ่ายกองทุน!AL55"")"),0)</f>
        <v>0</v>
      </c>
      <c r="T272" s="1218">
        <f t="shared" ca="1" si="165"/>
        <v>0</v>
      </c>
      <c r="U272" s="1218">
        <f t="shared" ca="1" si="166"/>
        <v>0</v>
      </c>
    </row>
    <row r="273" spans="1:21" ht="18.75" x14ac:dyDescent="0.25">
      <c r="A273" s="209"/>
      <c r="B273" s="381"/>
      <c r="C273" s="381"/>
      <c r="D273" s="1141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234">
        <f t="shared" ref="L273:N273" ca="1" si="171">L274+L275</f>
        <v>0</v>
      </c>
      <c r="M273" s="1218">
        <f t="shared" ca="1" si="171"/>
        <v>0</v>
      </c>
      <c r="N273" s="1218">
        <f t="shared" ca="1" si="171"/>
        <v>0</v>
      </c>
      <c r="O273" s="1218">
        <f t="shared" ca="1" si="162"/>
        <v>0</v>
      </c>
      <c r="P273" s="1218">
        <f t="shared" ca="1" si="163"/>
        <v>0</v>
      </c>
      <c r="Q273" s="1218">
        <f t="shared" ref="Q273:S273" si="172">Q274+Q275</f>
        <v>0</v>
      </c>
      <c r="R273" s="1218">
        <f t="shared" si="172"/>
        <v>0</v>
      </c>
      <c r="S273" s="1218">
        <f t="shared" si="172"/>
        <v>0</v>
      </c>
      <c r="T273" s="1218">
        <f t="shared" si="165"/>
        <v>0</v>
      </c>
      <c r="U273" s="1218">
        <f t="shared" si="166"/>
        <v>0</v>
      </c>
    </row>
    <row r="274" spans="1:21" ht="18.75" hidden="1" x14ac:dyDescent="0.25">
      <c r="A274" s="880"/>
      <c r="B274" s="838"/>
      <c r="C274" s="920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133">
        <f t="shared" si="162"/>
        <v>0</v>
      </c>
      <c r="P274" s="133">
        <f t="shared" si="163"/>
        <v>0</v>
      </c>
      <c r="Q274" s="77">
        <v>0</v>
      </c>
      <c r="R274" s="77">
        <v>0</v>
      </c>
      <c r="S274" s="77">
        <v>0</v>
      </c>
      <c r="T274" s="133">
        <f t="shared" si="165"/>
        <v>0</v>
      </c>
      <c r="U274" s="133">
        <f t="shared" si="166"/>
        <v>0</v>
      </c>
    </row>
    <row r="275" spans="1:21" ht="18.75" hidden="1" x14ac:dyDescent="0.25">
      <c r="A275" s="209"/>
      <c r="B275" s="67"/>
      <c r="C275" s="67"/>
      <c r="D275" s="381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234">
        <f ca="1">IFERROR(__xludf.DUMMYFUNCTION("IMPORTRANGE(""https://docs.google.com/spreadsheets/d/1-uDff_7J0KD5mKrp0Vvzr7lt3OU09vwQwhkpOPPYv2Y/edit?usp=sharing"",""งบพรบ!DH55"")"),0)</f>
        <v>0</v>
      </c>
      <c r="M275" s="1218">
        <f ca="1">IFERROR(__xludf.DUMMYFUNCTION("IMPORTRANGE(""https://docs.google.com/spreadsheets/d/1-uDff_7J0KD5mKrp0Vvzr7lt3OU09vwQwhkpOPPYv2Y/edit?usp=sharing"",""งบพรบ!DK55"")"),0)</f>
        <v>0</v>
      </c>
      <c r="N275" s="1218">
        <f ca="1">IFERROR(__xludf.DUMMYFUNCTION("IMPORTRANGE(""https://docs.google.com/spreadsheets/d/1-uDff_7J0KD5mKrp0Vvzr7lt3OU09vwQwhkpOPPYv2Y/edit?usp=sharing"",""งบพรบ!DM55"")"),0)</f>
        <v>0</v>
      </c>
      <c r="O275" s="1218">
        <f t="shared" ca="1" si="162"/>
        <v>0</v>
      </c>
      <c r="P275" s="1218">
        <f t="shared" ca="1" si="163"/>
        <v>0</v>
      </c>
      <c r="Q275" s="399">
        <v>0</v>
      </c>
      <c r="R275" s="399">
        <v>0</v>
      </c>
      <c r="S275" s="399">
        <v>0</v>
      </c>
      <c r="T275" s="1218">
        <f t="shared" si="165"/>
        <v>0</v>
      </c>
      <c r="U275" s="1218">
        <f t="shared" si="166"/>
        <v>0</v>
      </c>
    </row>
    <row r="276" spans="1:21" ht="19.5" x14ac:dyDescent="0.3">
      <c r="A276" s="222"/>
      <c r="B276" s="223"/>
      <c r="C276" s="440" t="s">
        <v>18</v>
      </c>
      <c r="D276" s="1142" t="s">
        <v>38</v>
      </c>
      <c r="E276" s="225"/>
      <c r="F276" s="225"/>
      <c r="G276" s="226"/>
      <c r="H276" s="227"/>
      <c r="I276" s="219"/>
      <c r="J276" s="219"/>
      <c r="K276" s="220"/>
      <c r="L276" s="1235"/>
      <c r="M276" s="220"/>
      <c r="N276" s="220"/>
      <c r="O276" s="220"/>
      <c r="P276" s="220"/>
      <c r="Q276" s="220"/>
      <c r="R276" s="220"/>
      <c r="S276" s="220"/>
      <c r="T276" s="220"/>
      <c r="U276" s="220"/>
    </row>
    <row r="277" spans="1:21" ht="18.75" x14ac:dyDescent="0.25">
      <c r="A277" s="949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IFERROR(__xludf.DUMMYFUNCTION("IMPORTRANGE(""https://docs.google.com/spreadsheets/d/1eHaY18a8A9IcSdp1K8H6x8fbOy06t2VsZHhMHf-1x7Y/edit?usp=sharing"",""แผน!EC55"")"),22)</f>
        <v>22</v>
      </c>
      <c r="J277" s="908">
        <v>0</v>
      </c>
      <c r="K277" s="85">
        <f ca="1">IF(I277&gt;0,J277*100/I277,0)</f>
        <v>0</v>
      </c>
      <c r="L277" s="540"/>
      <c r="M277" s="72"/>
      <c r="N277" s="72"/>
      <c r="O277" s="72"/>
      <c r="P277" s="72"/>
      <c r="Q277" s="72"/>
      <c r="R277" s="72"/>
      <c r="S277" s="72"/>
      <c r="T277" s="72"/>
      <c r="U277" s="72"/>
    </row>
    <row r="278" spans="1:21" ht="18.75" hidden="1" x14ac:dyDescent="0.25">
      <c r="A278" s="1236"/>
      <c r="B278" s="996"/>
      <c r="C278" s="996"/>
      <c r="D278" s="1145" t="s">
        <v>116</v>
      </c>
      <c r="E278" s="1237"/>
      <c r="F278" s="1237"/>
      <c r="G278" s="1238"/>
      <c r="H278" s="1146" t="s">
        <v>35</v>
      </c>
      <c r="I278" s="779">
        <v>0</v>
      </c>
      <c r="J278" s="779">
        <v>0</v>
      </c>
      <c r="K278" s="1147">
        <v>0</v>
      </c>
      <c r="L278" s="1239"/>
      <c r="M278" s="1240"/>
      <c r="N278" s="1240"/>
      <c r="O278" s="1240"/>
      <c r="P278" s="1240"/>
      <c r="Q278" s="1240"/>
      <c r="R278" s="1240"/>
      <c r="S278" s="1240"/>
      <c r="T278" s="1240"/>
      <c r="U278" s="124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49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4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162" t="s">
        <v>35</v>
      </c>
      <c r="I281" s="1163">
        <f t="shared" ref="I281:J281" ca="1" si="173">I294</f>
        <v>0</v>
      </c>
      <c r="J281" s="1163">
        <f t="shared" si="173"/>
        <v>0</v>
      </c>
      <c r="K281" s="1164">
        <f t="shared" ref="K281:K282" ca="1" si="174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162" t="s">
        <v>46</v>
      </c>
      <c r="I282" s="1163">
        <f t="shared" ref="I282:J282" ca="1" si="175">I293</f>
        <v>0</v>
      </c>
      <c r="J282" s="1163">
        <f t="shared" si="175"/>
        <v>0</v>
      </c>
      <c r="K282" s="1164">
        <f t="shared" ca="1" si="174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214">
        <f t="shared" ref="L283:N283" ca="1" si="176">L284+L285</f>
        <v>0</v>
      </c>
      <c r="M283" s="215">
        <f t="shared" ca="1" si="176"/>
        <v>0</v>
      </c>
      <c r="N283" s="215">
        <f t="shared" ca="1" si="176"/>
        <v>0</v>
      </c>
      <c r="O283" s="215">
        <f t="shared" ref="O283:O291" ca="1" si="177">IF(L283&gt;0,N283*100/L283,0)</f>
        <v>0</v>
      </c>
      <c r="P283" s="215">
        <f t="shared" ref="P283:P291" ca="1" si="178">IF(M283&gt;0,N283*100/M283,0)</f>
        <v>0</v>
      </c>
      <c r="Q283" s="215">
        <f t="shared" ref="Q283:S283" si="179">Q284+Q285</f>
        <v>0</v>
      </c>
      <c r="R283" s="215">
        <f t="shared" si="179"/>
        <v>0</v>
      </c>
      <c r="S283" s="215">
        <f t="shared" si="179"/>
        <v>0</v>
      </c>
      <c r="T283" s="215">
        <f t="shared" ref="T283:T291" si="180">IF(Q283&gt;0,S283*100/Q283,0)</f>
        <v>0</v>
      </c>
      <c r="U283" s="215">
        <f t="shared" ref="U283:U291" si="181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217">
        <f t="shared" ref="L284:N285" si="182">L287+L290</f>
        <v>0</v>
      </c>
      <c r="M284" s="133">
        <f t="shared" si="182"/>
        <v>0</v>
      </c>
      <c r="N284" s="133">
        <f t="shared" si="182"/>
        <v>0</v>
      </c>
      <c r="O284" s="133">
        <f t="shared" si="177"/>
        <v>0</v>
      </c>
      <c r="P284" s="133">
        <f t="shared" si="178"/>
        <v>0</v>
      </c>
      <c r="Q284" s="133">
        <f t="shared" ref="Q284:S285" si="183">Q287+Q290</f>
        <v>0</v>
      </c>
      <c r="R284" s="133">
        <f t="shared" si="183"/>
        <v>0</v>
      </c>
      <c r="S284" s="133">
        <f t="shared" si="183"/>
        <v>0</v>
      </c>
      <c r="T284" s="133">
        <f t="shared" si="180"/>
        <v>0</v>
      </c>
      <c r="U284" s="133">
        <f t="shared" si="181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131">
        <f t="shared" ca="1" si="182"/>
        <v>0</v>
      </c>
      <c r="M285" s="132">
        <f t="shared" ca="1" si="182"/>
        <v>0</v>
      </c>
      <c r="N285" s="132">
        <f t="shared" ca="1" si="182"/>
        <v>0</v>
      </c>
      <c r="O285" s="132">
        <f t="shared" ca="1" si="177"/>
        <v>0</v>
      </c>
      <c r="P285" s="132">
        <f t="shared" ca="1" si="178"/>
        <v>0</v>
      </c>
      <c r="Q285" s="132">
        <f t="shared" si="183"/>
        <v>0</v>
      </c>
      <c r="R285" s="132">
        <f t="shared" si="183"/>
        <v>0</v>
      </c>
      <c r="S285" s="132">
        <f t="shared" si="183"/>
        <v>0</v>
      </c>
      <c r="T285" s="132">
        <f t="shared" si="180"/>
        <v>0</v>
      </c>
      <c r="U285" s="132">
        <f t="shared" si="181"/>
        <v>0</v>
      </c>
    </row>
    <row r="286" spans="1:21" ht="18.75" hidden="1" x14ac:dyDescent="0.25">
      <c r="A286" s="257"/>
      <c r="B286" s="269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131">
        <f t="shared" ref="L286:N286" ca="1" si="184">L287+L288</f>
        <v>0</v>
      </c>
      <c r="M286" s="132">
        <f t="shared" ca="1" si="184"/>
        <v>0</v>
      </c>
      <c r="N286" s="132">
        <f t="shared" ca="1" si="184"/>
        <v>0</v>
      </c>
      <c r="O286" s="132">
        <f t="shared" ca="1" si="177"/>
        <v>0</v>
      </c>
      <c r="P286" s="132">
        <f t="shared" ca="1" si="178"/>
        <v>0</v>
      </c>
      <c r="Q286" s="132">
        <f t="shared" ref="Q286:S286" si="185">Q287+Q288</f>
        <v>0</v>
      </c>
      <c r="R286" s="132">
        <f t="shared" si="185"/>
        <v>0</v>
      </c>
      <c r="S286" s="132">
        <f t="shared" si="185"/>
        <v>0</v>
      </c>
      <c r="T286" s="132">
        <f t="shared" si="180"/>
        <v>0</v>
      </c>
      <c r="U286" s="132">
        <f t="shared" si="181"/>
        <v>0</v>
      </c>
    </row>
    <row r="287" spans="1:21" ht="18.75" hidden="1" x14ac:dyDescent="0.25">
      <c r="A287" s="257"/>
      <c r="B287" s="269"/>
      <c r="C287" s="269"/>
      <c r="D287" s="258"/>
      <c r="E287" s="77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133">
        <f t="shared" si="177"/>
        <v>0</v>
      </c>
      <c r="P287" s="133">
        <f t="shared" si="178"/>
        <v>0</v>
      </c>
      <c r="Q287" s="77">
        <v>0</v>
      </c>
      <c r="R287" s="77">
        <v>0</v>
      </c>
      <c r="S287" s="77">
        <v>0</v>
      </c>
      <c r="T287" s="133">
        <f t="shared" si="180"/>
        <v>0</v>
      </c>
      <c r="U287" s="133">
        <f t="shared" si="181"/>
        <v>0</v>
      </c>
    </row>
    <row r="288" spans="1:21" ht="18.75" hidden="1" x14ac:dyDescent="0.25">
      <c r="A288" s="257"/>
      <c r="B288" s="269"/>
      <c r="C288" s="269"/>
      <c r="D288" s="258"/>
      <c r="E288" s="749" t="s">
        <v>37</v>
      </c>
      <c r="F288" s="258"/>
      <c r="G288" s="261"/>
      <c r="H288" s="271" t="s">
        <v>14</v>
      </c>
      <c r="I288" s="272"/>
      <c r="J288" s="272"/>
      <c r="K288" s="229"/>
      <c r="L288" s="131">
        <f ca="1">IFERROR(__xludf.DUMMYFUNCTION("IMPORTRANGE(""https://docs.google.com/spreadsheets/d/1-uDff_7J0KD5mKrp0Vvzr7lt3OU09vwQwhkpOPPYv2Y/edit?usp=sharing"",""งบพรบ!DO55"")"),0)</f>
        <v>0</v>
      </c>
      <c r="M288" s="132">
        <f ca="1">IFERROR(__xludf.DUMMYFUNCTION("IMPORTRANGE(""https://docs.google.com/spreadsheets/d/1-uDff_7J0KD5mKrp0Vvzr7lt3OU09vwQwhkpOPPYv2Y/edit?usp=sharing"",""งบพรบ!DT55"")"),0)</f>
        <v>0</v>
      </c>
      <c r="N288" s="132">
        <f ca="1">IFERROR(__xludf.DUMMYFUNCTION("IMPORTRANGE(""https://docs.google.com/spreadsheets/d/1-uDff_7J0KD5mKrp0Vvzr7lt3OU09vwQwhkpOPPYv2Y/edit?usp=sharing"",""งบพรบ!DV55"")"),0)</f>
        <v>0</v>
      </c>
      <c r="O288" s="132">
        <f t="shared" ca="1" si="177"/>
        <v>0</v>
      </c>
      <c r="P288" s="132">
        <f t="shared" ca="1" si="178"/>
        <v>0</v>
      </c>
      <c r="Q288" s="74">
        <v>0</v>
      </c>
      <c r="R288" s="74">
        <v>0</v>
      </c>
      <c r="S288" s="74">
        <v>0</v>
      </c>
      <c r="T288" s="133">
        <f t="shared" si="180"/>
        <v>0</v>
      </c>
      <c r="U288" s="133">
        <f t="shared" si="181"/>
        <v>0</v>
      </c>
    </row>
    <row r="289" spans="1:21" ht="18.75" hidden="1" x14ac:dyDescent="0.25">
      <c r="A289" s="257"/>
      <c r="B289" s="269"/>
      <c r="C289" s="269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131">
        <f t="shared" ref="L289:N289" ca="1" si="186">L290+L291</f>
        <v>0</v>
      </c>
      <c r="M289" s="132">
        <f t="shared" ca="1" si="186"/>
        <v>0</v>
      </c>
      <c r="N289" s="132">
        <f t="shared" ca="1" si="186"/>
        <v>0</v>
      </c>
      <c r="O289" s="132">
        <f t="shared" ca="1" si="177"/>
        <v>0</v>
      </c>
      <c r="P289" s="132">
        <f t="shared" ca="1" si="178"/>
        <v>0</v>
      </c>
      <c r="Q289" s="132">
        <f t="shared" ref="Q289:S289" si="187">Q290+Q291</f>
        <v>0</v>
      </c>
      <c r="R289" s="132">
        <f t="shared" si="187"/>
        <v>0</v>
      </c>
      <c r="S289" s="132">
        <f t="shared" si="187"/>
        <v>0</v>
      </c>
      <c r="T289" s="132">
        <f t="shared" si="180"/>
        <v>0</v>
      </c>
      <c r="U289" s="132">
        <f t="shared" si="181"/>
        <v>0</v>
      </c>
    </row>
    <row r="290" spans="1:21" ht="18.75" hidden="1" x14ac:dyDescent="0.25">
      <c r="A290" s="257"/>
      <c r="B290" s="269"/>
      <c r="C290" s="269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133">
        <f t="shared" si="177"/>
        <v>0</v>
      </c>
      <c r="P290" s="133">
        <f t="shared" si="178"/>
        <v>0</v>
      </c>
      <c r="Q290" s="77">
        <v>0</v>
      </c>
      <c r="R290" s="77">
        <v>0</v>
      </c>
      <c r="S290" s="77">
        <v>0</v>
      </c>
      <c r="T290" s="133">
        <f t="shared" si="180"/>
        <v>0</v>
      </c>
      <c r="U290" s="133">
        <f t="shared" si="181"/>
        <v>0</v>
      </c>
    </row>
    <row r="291" spans="1:21" ht="18.75" hidden="1" x14ac:dyDescent="0.25">
      <c r="A291" s="257"/>
      <c r="B291" s="269"/>
      <c r="C291" s="269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131">
        <f ca="1">IFERROR(__xludf.DUMMYFUNCTION("IMPORTRANGE(""https://docs.google.com/spreadsheets/d/1-uDff_7J0KD5mKrp0Vvzr7lt3OU09vwQwhkpOPPYv2Y/edit?usp=sharing"",""งบพรบ!DR55"")"),0)</f>
        <v>0</v>
      </c>
      <c r="M291" s="132">
        <f ca="1">IFERROR(__xludf.DUMMYFUNCTION("IMPORTRANGE(""https://docs.google.com/spreadsheets/d/1-uDff_7J0KD5mKrp0Vvzr7lt3OU09vwQwhkpOPPYv2Y/edit?usp=sharing"",""งบพรบ!DU55"")"),0)</f>
        <v>0</v>
      </c>
      <c r="N291" s="132">
        <f ca="1">IFERROR(__xludf.DUMMYFUNCTION("IMPORTRANGE(""https://docs.google.com/spreadsheets/d/1-uDff_7J0KD5mKrp0Vvzr7lt3OU09vwQwhkpOPPYv2Y/edit?usp=sharing"",""งบพรบ!DW55"")"),0)</f>
        <v>0</v>
      </c>
      <c r="O291" s="132">
        <f t="shared" ca="1" si="177"/>
        <v>0</v>
      </c>
      <c r="P291" s="132">
        <f t="shared" ca="1" si="178"/>
        <v>0</v>
      </c>
      <c r="Q291" s="74">
        <v>0</v>
      </c>
      <c r="R291" s="74">
        <v>0</v>
      </c>
      <c r="S291" s="74">
        <v>0</v>
      </c>
      <c r="T291" s="132">
        <f t="shared" si="180"/>
        <v>0</v>
      </c>
      <c r="U291" s="132">
        <f t="shared" si="181"/>
        <v>0</v>
      </c>
    </row>
    <row r="292" spans="1:21" ht="19.5" hidden="1" x14ac:dyDescent="0.3">
      <c r="A292" s="276"/>
      <c r="B292" s="277"/>
      <c r="C292" s="621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IFERROR(__xludf.DUMMYFUNCTION("IMPORTRANGE(""https://docs.google.com/spreadsheets/d/1eHaY18a8A9IcSdp1K8H6x8fbOy06t2VsZHhMHf-1x7Y/edit?usp=sharing"",""แผน!EE55"")"),0)</f>
        <v>0</v>
      </c>
      <c r="J293" s="294">
        <v>0</v>
      </c>
      <c r="K293" s="768">
        <f t="shared" ref="K293:K294" ca="1" si="188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IFERROR(__xludf.DUMMYFUNCTION("IMPORTRANGE(""https://docs.google.com/spreadsheets/d/1eHaY18a8A9IcSdp1K8H6x8fbOy06t2VsZHhMHf-1x7Y/edit?usp=sharing"",""แผน!ED55"")"),0)</f>
        <v>0</v>
      </c>
      <c r="J294" s="622">
        <f>J297</f>
        <v>0</v>
      </c>
      <c r="K294" s="1105">
        <f t="shared" ca="1" si="188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77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IFERROR(__xludf.DUMMYFUNCTION("IMPORTRANGE(""https://docs.google.com/spreadsheets/d/1eHaY18a8A9IcSdp1K8H6x8fbOy06t2VsZHhMHf-1x7Y/edit?usp=sharing"",""แผน!ED55"")"),0)</f>
        <v>0</v>
      </c>
      <c r="J296" s="294">
        <v>0</v>
      </c>
      <c r="K296" s="768">
        <f t="shared" ref="K296:K297" ca="1" si="189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IFERROR(__xludf.DUMMYFUNCTION("IMPORTRANGE(""https://docs.google.com/spreadsheets/d/1eHaY18a8A9IcSdp1K8H6x8fbOy06t2VsZHhMHf-1x7Y/edit?usp=sharing"",""แผน!ED55"")"),0)</f>
        <v>0</v>
      </c>
      <c r="J297" s="294">
        <v>0</v>
      </c>
      <c r="K297" s="768">
        <f t="shared" ca="1" si="189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313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313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168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0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7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x14ac:dyDescent="0.3">
      <c r="A303" s="1179"/>
      <c r="B303" s="1180" t="s">
        <v>127</v>
      </c>
      <c r="C303" s="607"/>
      <c r="D303" s="607"/>
      <c r="E303" s="607"/>
      <c r="F303" s="607"/>
      <c r="G303" s="608"/>
      <c r="H303" s="609" t="s">
        <v>35</v>
      </c>
      <c r="I303" s="617">
        <f t="shared" ref="I303:J303" ca="1" si="190">I315</f>
        <v>20</v>
      </c>
      <c r="J303" s="617">
        <f t="shared" si="190"/>
        <v>0</v>
      </c>
      <c r="K303" s="611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214">
        <f t="shared" ref="L304:N304" ca="1" si="191">L305+L306</f>
        <v>133500</v>
      </c>
      <c r="M304" s="215">
        <f t="shared" ca="1" si="191"/>
        <v>133500</v>
      </c>
      <c r="N304" s="215">
        <f t="shared" ca="1" si="191"/>
        <v>29893.34</v>
      </c>
      <c r="O304" s="215">
        <f t="shared" ref="O304:O312" ca="1" si="192">IF(L304&gt;0,N304*100/L304,0)</f>
        <v>22.392014981273409</v>
      </c>
      <c r="P304" s="215">
        <f t="shared" ref="P304:P312" ca="1" si="193">IF(M304&gt;0,N304*100/M304,0)</f>
        <v>22.392014981273409</v>
      </c>
      <c r="Q304" s="215">
        <f t="shared" ref="Q304:S304" ca="1" si="194">Q305+Q306</f>
        <v>144609.24</v>
      </c>
      <c r="R304" s="215">
        <f t="shared" ca="1" si="194"/>
        <v>144609</v>
      </c>
      <c r="S304" s="215">
        <f t="shared" ca="1" si="194"/>
        <v>0</v>
      </c>
      <c r="T304" s="215">
        <f t="shared" ref="T304:T312" ca="1" si="195">IF(Q304&gt;0,S304*100/Q304,0)</f>
        <v>0</v>
      </c>
      <c r="U304" s="215">
        <f t="shared" ref="U304:U312" ca="1" si="196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217">
        <f t="shared" ref="L305:N306" si="197">L308+L311</f>
        <v>0</v>
      </c>
      <c r="M305" s="133">
        <f t="shared" si="197"/>
        <v>0</v>
      </c>
      <c r="N305" s="133">
        <f t="shared" si="197"/>
        <v>0</v>
      </c>
      <c r="O305" s="133">
        <f t="shared" si="192"/>
        <v>0</v>
      </c>
      <c r="P305" s="133">
        <f t="shared" si="193"/>
        <v>0</v>
      </c>
      <c r="Q305" s="133">
        <f t="shared" ref="Q305:S306" si="198">Q308+Q311</f>
        <v>0</v>
      </c>
      <c r="R305" s="133">
        <f t="shared" si="198"/>
        <v>0</v>
      </c>
      <c r="S305" s="133">
        <f t="shared" si="198"/>
        <v>0</v>
      </c>
      <c r="T305" s="133">
        <f t="shared" si="195"/>
        <v>0</v>
      </c>
      <c r="U305" s="133">
        <f t="shared" si="196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131">
        <f t="shared" ca="1" si="197"/>
        <v>133500</v>
      </c>
      <c r="M306" s="132">
        <f t="shared" ca="1" si="197"/>
        <v>133500</v>
      </c>
      <c r="N306" s="132">
        <f t="shared" ca="1" si="197"/>
        <v>29893.34</v>
      </c>
      <c r="O306" s="132">
        <f t="shared" ca="1" si="192"/>
        <v>22.392014981273409</v>
      </c>
      <c r="P306" s="132">
        <f t="shared" ca="1" si="193"/>
        <v>22.392014981273409</v>
      </c>
      <c r="Q306" s="132">
        <f t="shared" ca="1" si="198"/>
        <v>144609.24</v>
      </c>
      <c r="R306" s="132">
        <f t="shared" ca="1" si="198"/>
        <v>144609</v>
      </c>
      <c r="S306" s="132">
        <f t="shared" ca="1" si="198"/>
        <v>0</v>
      </c>
      <c r="T306" s="132">
        <f t="shared" ca="1" si="195"/>
        <v>0</v>
      </c>
      <c r="U306" s="132">
        <f t="shared" ca="1" si="196"/>
        <v>0</v>
      </c>
    </row>
    <row r="307" spans="1:21" ht="18.75" x14ac:dyDescent="0.25">
      <c r="A307" s="257"/>
      <c r="B307" s="269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131">
        <f t="shared" ref="L307:N307" ca="1" si="199">L308+L309</f>
        <v>133500</v>
      </c>
      <c r="M307" s="132">
        <f t="shared" ca="1" si="199"/>
        <v>133500</v>
      </c>
      <c r="N307" s="132">
        <f t="shared" ca="1" si="199"/>
        <v>29893.34</v>
      </c>
      <c r="O307" s="132">
        <f t="shared" ca="1" si="192"/>
        <v>22.392014981273409</v>
      </c>
      <c r="P307" s="132">
        <f t="shared" ca="1" si="193"/>
        <v>22.392014981273409</v>
      </c>
      <c r="Q307" s="132">
        <f t="shared" ref="Q307:S307" ca="1" si="200">Q308+Q309</f>
        <v>144609.24</v>
      </c>
      <c r="R307" s="132">
        <f t="shared" ca="1" si="200"/>
        <v>144609</v>
      </c>
      <c r="S307" s="132">
        <f t="shared" ca="1" si="200"/>
        <v>0</v>
      </c>
      <c r="T307" s="132">
        <f t="shared" ca="1" si="195"/>
        <v>0</v>
      </c>
      <c r="U307" s="132">
        <f t="shared" ca="1" si="196"/>
        <v>0</v>
      </c>
    </row>
    <row r="308" spans="1:21" ht="18.75" hidden="1" x14ac:dyDescent="0.25">
      <c r="A308" s="257"/>
      <c r="B308" s="269"/>
      <c r="C308" s="269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133">
        <f t="shared" si="192"/>
        <v>0</v>
      </c>
      <c r="P308" s="133">
        <f t="shared" si="193"/>
        <v>0</v>
      </c>
      <c r="Q308" s="77">
        <v>0</v>
      </c>
      <c r="R308" s="77">
        <v>0</v>
      </c>
      <c r="S308" s="77">
        <v>0</v>
      </c>
      <c r="T308" s="133">
        <f t="shared" si="195"/>
        <v>0</v>
      </c>
      <c r="U308" s="133">
        <f t="shared" si="196"/>
        <v>0</v>
      </c>
    </row>
    <row r="309" spans="1:21" ht="18.75" hidden="1" x14ac:dyDescent="0.25">
      <c r="A309" s="257"/>
      <c r="B309" s="269"/>
      <c r="C309" s="269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131">
        <f ca="1">IFERROR(__xludf.DUMMYFUNCTION("IMPORTRANGE(""https://docs.google.com/spreadsheets/d/1-uDff_7J0KD5mKrp0Vvzr7lt3OU09vwQwhkpOPPYv2Y/edit?usp=sharing"",""งบพรบ!DY55"")"),133500)</f>
        <v>133500</v>
      </c>
      <c r="M309" s="132">
        <f ca="1">IFERROR(__xludf.DUMMYFUNCTION("IMPORTRANGE(""https://docs.google.com/spreadsheets/d/1-uDff_7J0KD5mKrp0Vvzr7lt3OU09vwQwhkpOPPYv2Y/edit?usp=sharing"",""งบพรบ!ED55"")"),133500)</f>
        <v>133500</v>
      </c>
      <c r="N309" s="132">
        <f ca="1">IFERROR(__xludf.DUMMYFUNCTION("IMPORTRANGE(""https://docs.google.com/spreadsheets/d/1-uDff_7J0KD5mKrp0Vvzr7lt3OU09vwQwhkpOPPYv2Y/edit?usp=sharing"",""งบพรบ!EF55"")"),29893.34)</f>
        <v>29893.34</v>
      </c>
      <c r="O309" s="132">
        <f t="shared" ca="1" si="192"/>
        <v>22.392014981273409</v>
      </c>
      <c r="P309" s="132">
        <f t="shared" ca="1" si="193"/>
        <v>22.392014981273409</v>
      </c>
      <c r="Q309" s="132">
        <f ca="1">IFERROR(__xludf.DUMMYFUNCTION("IMPORTRANGE(""https://docs.google.com/spreadsheets/d/1ItG2mGa2ceCfYo0BwxsXqNm01IGEUdYcSSLTEv9YCik/edit?usp=sharing"",""เบิกจ่ายกองทุน!AP55"")"),144609.24)</f>
        <v>144609.24</v>
      </c>
      <c r="R309" s="132">
        <f ca="1">IFERROR(__xludf.DUMMYFUNCTION("IMPORTRANGE(""https://docs.google.com/spreadsheets/d/1ItG2mGa2ceCfYo0BwxsXqNm01IGEUdYcSSLTEv9YCik/edit?usp=sharing"",""เบิกจ่ายกองทุน!AQ55"")"),144609)</f>
        <v>144609</v>
      </c>
      <c r="S309" s="132">
        <f ca="1">IFERROR(__xludf.DUMMYFUNCTION("IMPORTRANGE(""https://docs.google.com/spreadsheets/d/1ItG2mGa2ceCfYo0BwxsXqNm01IGEUdYcSSLTEv9YCik/edit?usp=sharing"",""เบิกจ่ายกองทุน!AR55"")"),0)</f>
        <v>0</v>
      </c>
      <c r="T309" s="132">
        <f t="shared" ca="1" si="195"/>
        <v>0</v>
      </c>
      <c r="U309" s="132">
        <f t="shared" ca="1" si="196"/>
        <v>0</v>
      </c>
    </row>
    <row r="310" spans="1:21" ht="18.75" x14ac:dyDescent="0.25">
      <c r="A310" s="257"/>
      <c r="B310" s="269"/>
      <c r="C310" s="269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131">
        <f t="shared" ref="L310:N310" ca="1" si="201">L311+L312</f>
        <v>0</v>
      </c>
      <c r="M310" s="132">
        <f t="shared" ca="1" si="201"/>
        <v>0</v>
      </c>
      <c r="N310" s="132">
        <f t="shared" ca="1" si="201"/>
        <v>0</v>
      </c>
      <c r="O310" s="132">
        <f t="shared" ca="1" si="192"/>
        <v>0</v>
      </c>
      <c r="P310" s="132">
        <f t="shared" ca="1" si="193"/>
        <v>0</v>
      </c>
      <c r="Q310" s="132">
        <f t="shared" ref="Q310:S310" si="202">Q311+Q312</f>
        <v>0</v>
      </c>
      <c r="R310" s="132">
        <f t="shared" si="202"/>
        <v>0</v>
      </c>
      <c r="S310" s="132">
        <f t="shared" si="202"/>
        <v>0</v>
      </c>
      <c r="T310" s="132">
        <f t="shared" si="195"/>
        <v>0</v>
      </c>
      <c r="U310" s="132">
        <f t="shared" si="196"/>
        <v>0</v>
      </c>
    </row>
    <row r="311" spans="1:21" ht="18.75" hidden="1" x14ac:dyDescent="0.25">
      <c r="A311" s="257"/>
      <c r="B311" s="269"/>
      <c r="C311" s="269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133">
        <f t="shared" si="192"/>
        <v>0</v>
      </c>
      <c r="P311" s="133">
        <f t="shared" si="193"/>
        <v>0</v>
      </c>
      <c r="Q311" s="77">
        <v>0</v>
      </c>
      <c r="R311" s="77">
        <v>0</v>
      </c>
      <c r="S311" s="77">
        <v>0</v>
      </c>
      <c r="T311" s="133">
        <f t="shared" si="195"/>
        <v>0</v>
      </c>
      <c r="U311" s="133">
        <f t="shared" si="196"/>
        <v>0</v>
      </c>
    </row>
    <row r="312" spans="1:21" ht="18.75" hidden="1" x14ac:dyDescent="0.25">
      <c r="A312" s="257"/>
      <c r="B312" s="269"/>
      <c r="C312" s="269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131">
        <f ca="1">IFERROR(__xludf.DUMMYFUNCTION("IMPORTRANGE(""https://docs.google.com/spreadsheets/d/1-uDff_7J0KD5mKrp0Vvzr7lt3OU09vwQwhkpOPPYv2Y/edit?usp=sharing"",""งบพรบ!EB55"")"),0)</f>
        <v>0</v>
      </c>
      <c r="M312" s="132">
        <f ca="1">IFERROR(__xludf.DUMMYFUNCTION("IMPORTRANGE(""https://docs.google.com/spreadsheets/d/1-uDff_7J0KD5mKrp0Vvzr7lt3OU09vwQwhkpOPPYv2Y/edit?usp=sharing"",""งบพรบ!EE55"")"),0)</f>
        <v>0</v>
      </c>
      <c r="N312" s="132">
        <f ca="1">IFERROR(__xludf.DUMMYFUNCTION("IMPORTRANGE(""https://docs.google.com/spreadsheets/d/1-uDff_7J0KD5mKrp0Vvzr7lt3OU09vwQwhkpOPPYv2Y/edit?usp=sharing"",""งบพรบ!EG55"")"),0)</f>
        <v>0</v>
      </c>
      <c r="O312" s="132">
        <f t="shared" ca="1" si="192"/>
        <v>0</v>
      </c>
      <c r="P312" s="132">
        <f t="shared" ca="1" si="193"/>
        <v>0</v>
      </c>
      <c r="Q312" s="74">
        <v>0</v>
      </c>
      <c r="R312" s="74">
        <v>0</v>
      </c>
      <c r="S312" s="74">
        <v>0</v>
      </c>
      <c r="T312" s="132">
        <f t="shared" si="195"/>
        <v>0</v>
      </c>
      <c r="U312" s="132">
        <f t="shared" si="196"/>
        <v>0</v>
      </c>
    </row>
    <row r="313" spans="1:21" ht="19.5" x14ac:dyDescent="0.3">
      <c r="A313" s="276"/>
      <c r="B313" s="277"/>
      <c r="C313" s="621" t="s">
        <v>18</v>
      </c>
      <c r="D313" s="1019" t="s">
        <v>38</v>
      </c>
      <c r="E313" s="783"/>
      <c r="F313" s="783"/>
      <c r="G313" s="11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612"/>
      <c r="B314" s="593"/>
      <c r="C314" s="593"/>
      <c r="D314" s="1182"/>
      <c r="E314" s="613"/>
      <c r="F314" s="613"/>
      <c r="G314" s="614"/>
      <c r="H314" s="614"/>
      <c r="I314" s="595"/>
      <c r="J314" s="1183"/>
      <c r="K314" s="596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x14ac:dyDescent="0.25">
      <c r="A315" s="276"/>
      <c r="B315" s="277"/>
      <c r="C315" s="277"/>
      <c r="D315" s="295" t="s">
        <v>121</v>
      </c>
      <c r="E315" s="296"/>
      <c r="F315" s="296"/>
      <c r="G315" s="282"/>
      <c r="H315" s="275" t="s">
        <v>35</v>
      </c>
      <c r="I315" s="293">
        <f ca="1">IFERROR(__xludf.DUMMYFUNCTION("IMPORTRANGE(""https://docs.google.com/spreadsheets/d/1eHaY18a8A9IcSdp1K8H6x8fbOy06t2VsZHhMHf-1x7Y/edit?usp=sharing"",""แผน!EF55"")"),20)</f>
        <v>20</v>
      </c>
      <c r="J315" s="294">
        <v>0</v>
      </c>
      <c r="K315" s="74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612"/>
      <c r="B316" s="593"/>
      <c r="C316" s="593"/>
      <c r="D316" s="1184"/>
      <c r="E316" s="613"/>
      <c r="F316" s="613"/>
      <c r="G316" s="614"/>
      <c r="H316" s="1185"/>
      <c r="I316" s="1183"/>
      <c r="J316" s="1183"/>
      <c r="K316" s="1186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612"/>
      <c r="B317" s="593"/>
      <c r="C317" s="593"/>
      <c r="D317" s="1184"/>
      <c r="E317" s="613"/>
      <c r="F317" s="613"/>
      <c r="G317" s="614"/>
      <c r="H317" s="1185"/>
      <c r="I317" s="1183"/>
      <c r="J317" s="1183"/>
      <c r="K317" s="1186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612"/>
      <c r="B318" s="593"/>
      <c r="C318" s="593"/>
      <c r="D318" s="428"/>
      <c r="E318" s="613"/>
      <c r="F318" s="613"/>
      <c r="G318" s="614"/>
      <c r="H318" s="1187"/>
      <c r="I318" s="435"/>
      <c r="J318" s="435"/>
      <c r="K318" s="436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4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609" t="s">
        <v>133</v>
      </c>
      <c r="I320" s="617">
        <f t="shared" ref="I320:J320" ca="1" si="203">I331</f>
        <v>0</v>
      </c>
      <c r="J320" s="617">
        <f t="shared" si="203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214">
        <f t="shared" ref="L321:N321" ca="1" si="204">L322+L323</f>
        <v>0</v>
      </c>
      <c r="M321" s="215">
        <f t="shared" ca="1" si="204"/>
        <v>0</v>
      </c>
      <c r="N321" s="215">
        <f t="shared" ca="1" si="204"/>
        <v>0</v>
      </c>
      <c r="O321" s="215">
        <f t="shared" ref="O321:O329" ca="1" si="205">IF(L321&gt;0,N321*100/L321,0)</f>
        <v>0</v>
      </c>
      <c r="P321" s="215">
        <f t="shared" ref="P321:P329" ca="1" si="206">IF(M321&gt;0,N321*100/M321,0)</f>
        <v>0</v>
      </c>
      <c r="Q321" s="215">
        <f t="shared" ref="Q321:S321" si="207">Q322+Q323</f>
        <v>0</v>
      </c>
      <c r="R321" s="215">
        <f t="shared" si="207"/>
        <v>0</v>
      </c>
      <c r="S321" s="215">
        <f t="shared" si="207"/>
        <v>0</v>
      </c>
      <c r="T321" s="215">
        <f t="shared" ref="T321:T329" si="208">IF(Q321&gt;0,S321*100/Q321,0)</f>
        <v>0</v>
      </c>
      <c r="U321" s="215">
        <f t="shared" ref="U321:U329" si="209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217">
        <f t="shared" ref="L322:N323" si="210">L325+L328</f>
        <v>0</v>
      </c>
      <c r="M322" s="133">
        <f t="shared" si="210"/>
        <v>0</v>
      </c>
      <c r="N322" s="133">
        <f t="shared" si="210"/>
        <v>0</v>
      </c>
      <c r="O322" s="133">
        <f t="shared" si="205"/>
        <v>0</v>
      </c>
      <c r="P322" s="133">
        <f t="shared" si="206"/>
        <v>0</v>
      </c>
      <c r="Q322" s="133">
        <f t="shared" ref="Q322:S323" si="211">Q325+Q328</f>
        <v>0</v>
      </c>
      <c r="R322" s="133">
        <f t="shared" si="211"/>
        <v>0</v>
      </c>
      <c r="S322" s="133">
        <f t="shared" si="211"/>
        <v>0</v>
      </c>
      <c r="T322" s="133">
        <f t="shared" si="208"/>
        <v>0</v>
      </c>
      <c r="U322" s="133">
        <f t="shared" si="209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131">
        <f t="shared" ca="1" si="210"/>
        <v>0</v>
      </c>
      <c r="M323" s="132">
        <f t="shared" ca="1" si="210"/>
        <v>0</v>
      </c>
      <c r="N323" s="132">
        <f t="shared" ca="1" si="210"/>
        <v>0</v>
      </c>
      <c r="O323" s="132">
        <f t="shared" ca="1" si="205"/>
        <v>0</v>
      </c>
      <c r="P323" s="132">
        <f t="shared" ca="1" si="206"/>
        <v>0</v>
      </c>
      <c r="Q323" s="132">
        <f t="shared" si="211"/>
        <v>0</v>
      </c>
      <c r="R323" s="132">
        <f t="shared" si="211"/>
        <v>0</v>
      </c>
      <c r="S323" s="132">
        <f t="shared" si="211"/>
        <v>0</v>
      </c>
      <c r="T323" s="132">
        <f t="shared" si="208"/>
        <v>0</v>
      </c>
      <c r="U323" s="132">
        <f t="shared" si="209"/>
        <v>0</v>
      </c>
    </row>
    <row r="324" spans="1:21" ht="18.75" hidden="1" x14ac:dyDescent="0.25">
      <c r="A324" s="257"/>
      <c r="B324" s="269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131">
        <f t="shared" ref="L324:N324" ca="1" si="212">L325+L326</f>
        <v>0</v>
      </c>
      <c r="M324" s="132">
        <f t="shared" ca="1" si="212"/>
        <v>0</v>
      </c>
      <c r="N324" s="132">
        <f t="shared" ca="1" si="212"/>
        <v>0</v>
      </c>
      <c r="O324" s="132">
        <f t="shared" ca="1" si="205"/>
        <v>0</v>
      </c>
      <c r="P324" s="132">
        <f t="shared" ca="1" si="206"/>
        <v>0</v>
      </c>
      <c r="Q324" s="132">
        <f t="shared" ref="Q324:S324" si="213">Q325+Q326</f>
        <v>0</v>
      </c>
      <c r="R324" s="132">
        <f t="shared" si="213"/>
        <v>0</v>
      </c>
      <c r="S324" s="132">
        <f t="shared" si="213"/>
        <v>0</v>
      </c>
      <c r="T324" s="132">
        <f t="shared" si="208"/>
        <v>0</v>
      </c>
      <c r="U324" s="132">
        <f t="shared" si="209"/>
        <v>0</v>
      </c>
    </row>
    <row r="325" spans="1:21" ht="18.75" hidden="1" x14ac:dyDescent="0.25">
      <c r="A325" s="257"/>
      <c r="B325" s="269"/>
      <c r="C325" s="269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133">
        <f t="shared" si="205"/>
        <v>0</v>
      </c>
      <c r="P325" s="133">
        <f t="shared" si="206"/>
        <v>0</v>
      </c>
      <c r="Q325" s="77">
        <v>0</v>
      </c>
      <c r="R325" s="77">
        <v>0</v>
      </c>
      <c r="S325" s="77">
        <v>0</v>
      </c>
      <c r="T325" s="133">
        <f t="shared" si="208"/>
        <v>0</v>
      </c>
      <c r="U325" s="133">
        <f t="shared" si="209"/>
        <v>0</v>
      </c>
    </row>
    <row r="326" spans="1:21" ht="18.75" hidden="1" x14ac:dyDescent="0.25">
      <c r="A326" s="257"/>
      <c r="B326" s="269"/>
      <c r="C326" s="269"/>
      <c r="D326" s="258"/>
      <c r="E326" s="749" t="s">
        <v>37</v>
      </c>
      <c r="F326" s="269"/>
      <c r="G326" s="312"/>
      <c r="H326" s="271" t="s">
        <v>14</v>
      </c>
      <c r="I326" s="272"/>
      <c r="J326" s="272"/>
      <c r="K326" s="229"/>
      <c r="L326" s="131">
        <f ca="1">IFERROR(__xludf.DUMMYFUNCTION("IMPORTRANGE(""https://docs.google.com/spreadsheets/d/1-uDff_7J0KD5mKrp0Vvzr7lt3OU09vwQwhkpOPPYv2Y/edit?usp=sharing"",""งบพรบ!EI55"")"),0)</f>
        <v>0</v>
      </c>
      <c r="M326" s="132">
        <f ca="1">IFERROR(__xludf.DUMMYFUNCTION("IMPORTRANGE(""https://docs.google.com/spreadsheets/d/1-uDff_7J0KD5mKrp0Vvzr7lt3OU09vwQwhkpOPPYv2Y/edit?usp=sharing"",""งบพรบ!EN55"")"),0)</f>
        <v>0</v>
      </c>
      <c r="N326" s="132">
        <f ca="1">IFERROR(__xludf.DUMMYFUNCTION("IMPORTRANGE(""https://docs.google.com/spreadsheets/d/1-uDff_7J0KD5mKrp0Vvzr7lt3OU09vwQwhkpOPPYv2Y/edit?usp=sharing"",""งบพรบ!EP55"")"),0)</f>
        <v>0</v>
      </c>
      <c r="O326" s="132">
        <f t="shared" ca="1" si="205"/>
        <v>0</v>
      </c>
      <c r="P326" s="132">
        <f t="shared" ca="1" si="206"/>
        <v>0</v>
      </c>
      <c r="Q326" s="74">
        <v>0</v>
      </c>
      <c r="R326" s="74">
        <v>0</v>
      </c>
      <c r="S326" s="74">
        <v>0</v>
      </c>
      <c r="T326" s="132">
        <f t="shared" si="208"/>
        <v>0</v>
      </c>
      <c r="U326" s="132">
        <f t="shared" si="209"/>
        <v>0</v>
      </c>
    </row>
    <row r="327" spans="1:21" ht="18.75" hidden="1" x14ac:dyDescent="0.25">
      <c r="A327" s="257"/>
      <c r="B327" s="258"/>
      <c r="C327" s="269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131">
        <f t="shared" ref="L327:N327" ca="1" si="214">L328+L329</f>
        <v>0</v>
      </c>
      <c r="M327" s="132">
        <f t="shared" ca="1" si="214"/>
        <v>0</v>
      </c>
      <c r="N327" s="132">
        <f t="shared" ca="1" si="214"/>
        <v>0</v>
      </c>
      <c r="O327" s="132">
        <f t="shared" ca="1" si="205"/>
        <v>0</v>
      </c>
      <c r="P327" s="132">
        <f t="shared" ca="1" si="206"/>
        <v>0</v>
      </c>
      <c r="Q327" s="132">
        <f t="shared" ref="Q327:S327" si="215">Q328+Q329</f>
        <v>0</v>
      </c>
      <c r="R327" s="132">
        <f t="shared" si="215"/>
        <v>0</v>
      </c>
      <c r="S327" s="132">
        <f t="shared" si="215"/>
        <v>0</v>
      </c>
      <c r="T327" s="132">
        <f t="shared" si="208"/>
        <v>0</v>
      </c>
      <c r="U327" s="132">
        <f t="shared" si="209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133">
        <f t="shared" si="205"/>
        <v>0</v>
      </c>
      <c r="P328" s="133">
        <f t="shared" si="206"/>
        <v>0</v>
      </c>
      <c r="Q328" s="77">
        <v>0</v>
      </c>
      <c r="R328" s="77">
        <v>0</v>
      </c>
      <c r="S328" s="77">
        <v>0</v>
      </c>
      <c r="T328" s="133">
        <f t="shared" si="208"/>
        <v>0</v>
      </c>
      <c r="U328" s="133">
        <f t="shared" si="209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131">
        <f ca="1">IFERROR(__xludf.DUMMYFUNCTION("IMPORTRANGE(""https://docs.google.com/spreadsheets/d/1-uDff_7J0KD5mKrp0Vvzr7lt3OU09vwQwhkpOPPYv2Y/edit?usp=sharing"",""งบพรบ!EL55"")"),0)</f>
        <v>0</v>
      </c>
      <c r="M329" s="132">
        <f ca="1">IFERROR(__xludf.DUMMYFUNCTION("IMPORTRANGE(""https://docs.google.com/spreadsheets/d/1-uDff_7J0KD5mKrp0Vvzr7lt3OU09vwQwhkpOPPYv2Y/edit?usp=sharing"",""งบพรบ!EO55"")"),0)</f>
        <v>0</v>
      </c>
      <c r="N329" s="132">
        <f ca="1">IFERROR(__xludf.DUMMYFUNCTION("IMPORTRANGE(""https://docs.google.com/spreadsheets/d/1-uDff_7J0KD5mKrp0Vvzr7lt3OU09vwQwhkpOPPYv2Y/edit?usp=sharing"",""งบพรบ!EQ55"")"),0)</f>
        <v>0</v>
      </c>
      <c r="O329" s="132">
        <f t="shared" ca="1" si="205"/>
        <v>0</v>
      </c>
      <c r="P329" s="132">
        <f t="shared" ca="1" si="206"/>
        <v>0</v>
      </c>
      <c r="Q329" s="74">
        <v>0</v>
      </c>
      <c r="R329" s="74">
        <v>0</v>
      </c>
      <c r="S329" s="74">
        <v>0</v>
      </c>
      <c r="T329" s="132">
        <f t="shared" si="208"/>
        <v>0</v>
      </c>
      <c r="U329" s="132">
        <f t="shared" si="209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310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68" t="s">
        <v>133</v>
      </c>
      <c r="I331" s="293">
        <f ca="1">IFERROR(__xludf.DUMMYFUNCTION("IMPORTRANGE(""https://docs.google.com/spreadsheets/d/1eHaY18a8A9IcSdp1K8H6x8fbOy06t2VsZHhMHf-1x7Y/edit?usp=sharing"",""แผน!EJ55"")"),0)</f>
        <v>0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4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609" t="s">
        <v>35</v>
      </c>
      <c r="I333" s="617">
        <f ca="1">I345</f>
        <v>2860</v>
      </c>
      <c r="J333" s="617">
        <f ca="1">J345+J348+J349+J350+J354</f>
        <v>8579</v>
      </c>
      <c r="K333" s="611">
        <f ca="1">IF(I333&gt;0,J333*100/I333,0)</f>
        <v>299.96503496503499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214">
        <f t="shared" ref="L334:N334" ca="1" si="216">L335+L336</f>
        <v>379000</v>
      </c>
      <c r="M334" s="215">
        <f t="shared" ca="1" si="216"/>
        <v>384000</v>
      </c>
      <c r="N334" s="215">
        <f t="shared" ca="1" si="216"/>
        <v>222760.05</v>
      </c>
      <c r="O334" s="215">
        <f t="shared" ref="O334:O342" ca="1" si="217">IF(L334&gt;0,N334*100/L334,0)</f>
        <v>58.775738786279682</v>
      </c>
      <c r="P334" s="215">
        <f t="shared" ref="P334:P342" ca="1" si="218">IF(M334&gt;0,N334*100/M334,0)</f>
        <v>58.0104296875</v>
      </c>
      <c r="Q334" s="215">
        <f t="shared" ref="Q334:S334" si="219">Q335+Q336</f>
        <v>0</v>
      </c>
      <c r="R334" s="215">
        <f t="shared" si="219"/>
        <v>0</v>
      </c>
      <c r="S334" s="215">
        <f t="shared" si="219"/>
        <v>0</v>
      </c>
      <c r="T334" s="215">
        <f t="shared" ref="T334:T342" si="220">IF(Q334&gt;0,S334*100/Q334,0)</f>
        <v>0</v>
      </c>
      <c r="U334" s="215">
        <f t="shared" ref="U334:U342" si="221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217">
        <f t="shared" ref="L335:N336" si="222">L338+L341</f>
        <v>0</v>
      </c>
      <c r="M335" s="133">
        <f t="shared" si="222"/>
        <v>0</v>
      </c>
      <c r="N335" s="133">
        <f t="shared" si="222"/>
        <v>0</v>
      </c>
      <c r="O335" s="133">
        <f t="shared" si="217"/>
        <v>0</v>
      </c>
      <c r="P335" s="133">
        <f t="shared" si="218"/>
        <v>0</v>
      </c>
      <c r="Q335" s="133">
        <f t="shared" ref="Q335:S336" si="223">Q338+Q341</f>
        <v>0</v>
      </c>
      <c r="R335" s="133">
        <f t="shared" si="223"/>
        <v>0</v>
      </c>
      <c r="S335" s="133">
        <f t="shared" si="223"/>
        <v>0</v>
      </c>
      <c r="T335" s="133">
        <f t="shared" si="220"/>
        <v>0</v>
      </c>
      <c r="U335" s="133">
        <f t="shared" si="221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131">
        <f t="shared" ca="1" si="222"/>
        <v>379000</v>
      </c>
      <c r="M336" s="132">
        <f t="shared" ca="1" si="222"/>
        <v>384000</v>
      </c>
      <c r="N336" s="132">
        <f t="shared" ca="1" si="222"/>
        <v>222760.05</v>
      </c>
      <c r="O336" s="132">
        <f t="shared" ca="1" si="217"/>
        <v>58.775738786279682</v>
      </c>
      <c r="P336" s="132">
        <f t="shared" ca="1" si="218"/>
        <v>58.0104296875</v>
      </c>
      <c r="Q336" s="132">
        <f t="shared" si="223"/>
        <v>0</v>
      </c>
      <c r="R336" s="132">
        <f t="shared" si="223"/>
        <v>0</v>
      </c>
      <c r="S336" s="132">
        <f t="shared" si="223"/>
        <v>0</v>
      </c>
      <c r="T336" s="132">
        <f t="shared" si="220"/>
        <v>0</v>
      </c>
      <c r="U336" s="132">
        <f t="shared" si="221"/>
        <v>0</v>
      </c>
    </row>
    <row r="337" spans="1:21" ht="18.75" x14ac:dyDescent="0.25">
      <c r="A337" s="257"/>
      <c r="B337" s="269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131">
        <f t="shared" ref="L337:N337" ca="1" si="224">L338+L339</f>
        <v>379000</v>
      </c>
      <c r="M337" s="132">
        <f t="shared" ca="1" si="224"/>
        <v>384000</v>
      </c>
      <c r="N337" s="132">
        <f t="shared" ca="1" si="224"/>
        <v>222760.05</v>
      </c>
      <c r="O337" s="132">
        <f t="shared" ca="1" si="217"/>
        <v>58.775738786279682</v>
      </c>
      <c r="P337" s="132">
        <f t="shared" ca="1" si="218"/>
        <v>58.0104296875</v>
      </c>
      <c r="Q337" s="132">
        <f t="shared" ref="Q337:S337" si="225">Q338+Q339</f>
        <v>0</v>
      </c>
      <c r="R337" s="132">
        <f t="shared" si="225"/>
        <v>0</v>
      </c>
      <c r="S337" s="132">
        <f t="shared" si="225"/>
        <v>0</v>
      </c>
      <c r="T337" s="132">
        <f t="shared" si="220"/>
        <v>0</v>
      </c>
      <c r="U337" s="132">
        <f t="shared" si="221"/>
        <v>0</v>
      </c>
    </row>
    <row r="338" spans="1:21" ht="18.75" hidden="1" x14ac:dyDescent="0.25">
      <c r="A338" s="257"/>
      <c r="B338" s="258"/>
      <c r="C338" s="269"/>
      <c r="D338" s="258"/>
      <c r="E338" s="77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133">
        <f t="shared" si="217"/>
        <v>0</v>
      </c>
      <c r="P338" s="133">
        <f t="shared" si="218"/>
        <v>0</v>
      </c>
      <c r="Q338" s="77">
        <v>0</v>
      </c>
      <c r="R338" s="77">
        <v>0</v>
      </c>
      <c r="S338" s="77">
        <v>0</v>
      </c>
      <c r="T338" s="133">
        <f t="shared" si="220"/>
        <v>0</v>
      </c>
      <c r="U338" s="133">
        <f t="shared" si="221"/>
        <v>0</v>
      </c>
    </row>
    <row r="339" spans="1:21" ht="18.75" hidden="1" x14ac:dyDescent="0.25">
      <c r="A339" s="257"/>
      <c r="B339" s="258"/>
      <c r="C339" s="269"/>
      <c r="D339" s="258"/>
      <c r="E339" s="749" t="s">
        <v>37</v>
      </c>
      <c r="F339" s="258"/>
      <c r="G339" s="261"/>
      <c r="H339" s="271" t="s">
        <v>14</v>
      </c>
      <c r="I339" s="272"/>
      <c r="J339" s="272"/>
      <c r="K339" s="229"/>
      <c r="L339" s="131">
        <f ca="1">IFERROR(__xludf.DUMMYFUNCTION("IMPORTRANGE(""https://docs.google.com/spreadsheets/d/1-uDff_7J0KD5mKrp0Vvzr7lt3OU09vwQwhkpOPPYv2Y/edit?usp=sharing"",""งบพรบ!ES55"")"),379000)</f>
        <v>379000</v>
      </c>
      <c r="M339" s="132">
        <f ca="1">IFERROR(__xludf.DUMMYFUNCTION("IMPORTRANGE(""https://docs.google.com/spreadsheets/d/1-uDff_7J0KD5mKrp0Vvzr7lt3OU09vwQwhkpOPPYv2Y/edit?usp=sharing"",""งบพรบ!EX55"")"),384000)</f>
        <v>384000</v>
      </c>
      <c r="N339" s="132">
        <f ca="1">IFERROR(__xludf.DUMMYFUNCTION("IMPORTRANGE(""https://docs.google.com/spreadsheets/d/1-uDff_7J0KD5mKrp0Vvzr7lt3OU09vwQwhkpOPPYv2Y/edit?usp=sharing"",""งบพรบ!EZ55"")"),222760.05)</f>
        <v>222760.05</v>
      </c>
      <c r="O339" s="132">
        <f t="shared" ca="1" si="217"/>
        <v>58.775738786279682</v>
      </c>
      <c r="P339" s="132">
        <f t="shared" ca="1" si="218"/>
        <v>58.0104296875</v>
      </c>
      <c r="Q339" s="74">
        <v>0</v>
      </c>
      <c r="R339" s="74">
        <v>0</v>
      </c>
      <c r="S339" s="74">
        <v>0</v>
      </c>
      <c r="T339" s="132">
        <f t="shared" si="220"/>
        <v>0</v>
      </c>
      <c r="U339" s="132">
        <f t="shared" si="221"/>
        <v>0</v>
      </c>
    </row>
    <row r="340" spans="1:21" ht="18.75" x14ac:dyDescent="0.25">
      <c r="A340" s="257"/>
      <c r="B340" s="258"/>
      <c r="C340" s="269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131">
        <f t="shared" ref="L340:N340" ca="1" si="226">L341+L342</f>
        <v>0</v>
      </c>
      <c r="M340" s="132">
        <f t="shared" ca="1" si="226"/>
        <v>0</v>
      </c>
      <c r="N340" s="132">
        <f t="shared" ca="1" si="226"/>
        <v>0</v>
      </c>
      <c r="O340" s="132">
        <f t="shared" ca="1" si="217"/>
        <v>0</v>
      </c>
      <c r="P340" s="132">
        <f t="shared" ca="1" si="218"/>
        <v>0</v>
      </c>
      <c r="Q340" s="132">
        <f t="shared" ref="Q340:S340" si="227">Q341+Q342</f>
        <v>0</v>
      </c>
      <c r="R340" s="132">
        <f t="shared" si="227"/>
        <v>0</v>
      </c>
      <c r="S340" s="132">
        <f t="shared" si="227"/>
        <v>0</v>
      </c>
      <c r="T340" s="132">
        <f t="shared" si="220"/>
        <v>0</v>
      </c>
      <c r="U340" s="132">
        <f t="shared" si="221"/>
        <v>0</v>
      </c>
    </row>
    <row r="341" spans="1:21" ht="18.75" hidden="1" x14ac:dyDescent="0.25">
      <c r="A341" s="257"/>
      <c r="B341" s="258"/>
      <c r="C341" s="269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133">
        <f t="shared" si="217"/>
        <v>0</v>
      </c>
      <c r="P341" s="133">
        <f t="shared" si="218"/>
        <v>0</v>
      </c>
      <c r="Q341" s="77">
        <v>0</v>
      </c>
      <c r="R341" s="77">
        <v>0</v>
      </c>
      <c r="S341" s="77">
        <v>0</v>
      </c>
      <c r="T341" s="133">
        <f t="shared" si="220"/>
        <v>0</v>
      </c>
      <c r="U341" s="133">
        <f t="shared" si="221"/>
        <v>0</v>
      </c>
    </row>
    <row r="342" spans="1:21" ht="18.75" hidden="1" x14ac:dyDescent="0.25">
      <c r="A342" s="257"/>
      <c r="B342" s="258"/>
      <c r="C342" s="269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131">
        <f ca="1">IFERROR(__xludf.DUMMYFUNCTION("IMPORTRANGE(""https://docs.google.com/spreadsheets/d/1-uDff_7J0KD5mKrp0Vvzr7lt3OU09vwQwhkpOPPYv2Y/edit?usp=sharing"",""งบพรบ!EV55"")"),0)</f>
        <v>0</v>
      </c>
      <c r="M342" s="132">
        <f ca="1">IFERROR(__xludf.DUMMYFUNCTION("IMPORTRANGE(""https://docs.google.com/spreadsheets/d/1-uDff_7J0KD5mKrp0Vvzr7lt3OU09vwQwhkpOPPYv2Y/edit?usp=sharing"",""งบพรบ!EY55"")"),0)</f>
        <v>0</v>
      </c>
      <c r="N342" s="132">
        <f ca="1">IFERROR(__xludf.DUMMYFUNCTION("IMPORTRANGE(""https://docs.google.com/spreadsheets/d/1-uDff_7J0KD5mKrp0Vvzr7lt3OU09vwQwhkpOPPYv2Y/edit?usp=sharing"",""งบพรบ!FA55"")"),0)</f>
        <v>0</v>
      </c>
      <c r="O342" s="132">
        <f t="shared" ca="1" si="217"/>
        <v>0</v>
      </c>
      <c r="P342" s="132">
        <f t="shared" ca="1" si="218"/>
        <v>0</v>
      </c>
      <c r="Q342" s="74">
        <v>0</v>
      </c>
      <c r="R342" s="74">
        <v>0</v>
      </c>
      <c r="S342" s="74">
        <v>0</v>
      </c>
      <c r="T342" s="132">
        <f t="shared" si="220"/>
        <v>0</v>
      </c>
      <c r="U342" s="132">
        <f t="shared" si="221"/>
        <v>0</v>
      </c>
    </row>
    <row r="343" spans="1:21" ht="19.5" x14ac:dyDescent="0.3">
      <c r="A343" s="276"/>
      <c r="B343" s="277"/>
      <c r="C343" s="621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1241"/>
      <c r="B344" s="1242"/>
      <c r="C344" s="384"/>
      <c r="D344" s="927"/>
      <c r="E344" s="962" t="s">
        <v>137</v>
      </c>
      <c r="F344" s="1242"/>
      <c r="G344" s="1243"/>
      <c r="H344" s="558" t="s">
        <v>35</v>
      </c>
      <c r="I344" s="559">
        <v>0</v>
      </c>
      <c r="J344" s="559">
        <f ca="1">J345+J348+J349+J350</f>
        <v>3074</v>
      </c>
      <c r="K344" s="560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5"/>
      <c r="E345" s="295" t="s">
        <v>138</v>
      </c>
      <c r="F345" s="258"/>
      <c r="G345" s="261"/>
      <c r="H345" s="551" t="s">
        <v>35</v>
      </c>
      <c r="I345" s="293">
        <f ca="1">IFERROR(__xludf.DUMMYFUNCTION("IMPORTRANGE(""https://docs.google.com/spreadsheets/d/1eHaY18a8A9IcSdp1K8H6x8fbOy06t2VsZHhMHf-1x7Y/edit?usp=sharing"",""แผน!EK55"")"),2860)</f>
        <v>2860</v>
      </c>
      <c r="J345" s="293">
        <f ca="1">IFERROR(__xludf.DUMMYFUNCTION("IMPORTRANGE(""https://docs.google.com/spreadsheets/d/1awYsYK3VOup2i3Pq_Yjnu8DRu_mYwSBnCR2QPthd0rU/edit?usp=sharing"",""ศูนย์ยกเว้นโฉนด!D55"")"),3068)</f>
        <v>3068</v>
      </c>
      <c r="K345" s="74">
        <f ca="1">IF(I345&gt;0,J345*100/I345,0)</f>
        <v>107.27272727272727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5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5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IFERROR(__xludf.DUMMYFUNCTION("IMPORTRANGE(""https://docs.google.com/spreadsheets/d/1eHaY18a8A9IcSdp1K8H6x8fbOy06t2VsZHhMHf-1x7Y/edit?usp=sharing"",""แผน!EL55"")"),5)</f>
        <v>5</v>
      </c>
      <c r="J347" s="293">
        <f ca="1">IFERROR(__xludf.DUMMYFUNCTION("IMPORTRANGE(""https://docs.google.com/spreadsheets/d/1awYsYK3VOup2i3Pq_Yjnu8DRu_mYwSBnCR2QPthd0rU/edit?usp=sharing"",""ศูนย์รวม!E55"")"),5)</f>
        <v>5</v>
      </c>
      <c r="K347" s="74">
        <f ca="1">IF(I347&gt;0,J347*100/I347,0)</f>
        <v>100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5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IFERROR(__xludf.DUMMYFUNCTION("IMPORTRANGE(""https://docs.google.com/spreadsheets/d/1awYsYK3VOup2i3Pq_Yjnu8DRu_mYwSBnCR2QPthd0rU/edit?usp=sharing"",""ศูนย์ยกเว้นโฉนด!F55"")"),0)</f>
        <v>0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5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IFERROR(__xludf.DUMMYFUNCTION("IMPORTRANGE(""https://docs.google.com/spreadsheets/d/1awYsYK3VOup2i3Pq_Yjnu8DRu_mYwSBnCR2QPthd0rU/edit?usp=sharing"",""ศูนย์ยกเว้นโฉนด!G55"")"),6)</f>
        <v>6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95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IFERROR(__xludf.DUMMYFUNCTION("IMPORTRANGE(""https://docs.google.com/spreadsheets/d/1awYsYK3VOup2i3Pq_Yjnu8DRu_mYwSBnCR2QPthd0rU/edit?usp=sharing"",""ศูนย์ยกเว้นโฉนด!H55"")"),0)</f>
        <v>0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1241"/>
      <c r="B352" s="1242"/>
      <c r="C352" s="384"/>
      <c r="D352" s="927"/>
      <c r="E352" s="962" t="s">
        <v>145</v>
      </c>
      <c r="F352" s="1242"/>
      <c r="G352" s="1243"/>
      <c r="H352" s="558" t="s">
        <v>35</v>
      </c>
      <c r="I352" s="559">
        <v>0</v>
      </c>
      <c r="J352" s="559">
        <f ca="1">J353+J354</f>
        <v>5524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5"/>
      <c r="E353" s="295" t="s">
        <v>146</v>
      </c>
      <c r="F353" s="258"/>
      <c r="G353" s="261"/>
      <c r="H353" s="268" t="s">
        <v>35</v>
      </c>
      <c r="I353" s="263"/>
      <c r="J353" s="623">
        <f ca="1">IFERROR(__xludf.DUMMYFUNCTION("IMPORTRANGE(""https://docs.google.com/spreadsheets/d/1awYsYK3VOup2i3Pq_Yjnu8DRu_mYwSBnCR2QPthd0rU/edit?usp=sharing"",""โฉนดM3!G55"")"),19)</f>
        <v>19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5"/>
      <c r="E354" s="295" t="s">
        <v>147</v>
      </c>
      <c r="F354" s="258"/>
      <c r="G354" s="261"/>
      <c r="H354" s="268" t="s">
        <v>35</v>
      </c>
      <c r="I354" s="263"/>
      <c r="J354" s="623">
        <f ca="1">IFERROR(__xludf.DUMMYFUNCTION("IMPORTRANGE(""https://docs.google.com/spreadsheets/d/1awYsYK3VOup2i3Pq_Yjnu8DRu_mYwSBnCR2QPthd0rU/edit?usp=sharing"",""โฉนดM3!H55"")"),5505)</f>
        <v>5505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15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214">
        <f t="shared" ref="L357:N357" ca="1" si="228">L358+L359</f>
        <v>450655</v>
      </c>
      <c r="M357" s="215">
        <f t="shared" ca="1" si="228"/>
        <v>474030</v>
      </c>
      <c r="N357" s="215">
        <f t="shared" ca="1" si="228"/>
        <v>165210.01</v>
      </c>
      <c r="O357" s="215">
        <f t="shared" ref="O357:O365" ca="1" si="229">IF(L357&gt;0,N357*100/L357,0)</f>
        <v>36.659974925386379</v>
      </c>
      <c r="P357" s="215">
        <f t="shared" ref="P357:P365" ca="1" si="230">IF(M357&gt;0,N357*100/M357,0)</f>
        <v>34.852226652321583</v>
      </c>
      <c r="Q357" s="215">
        <f t="shared" ref="Q357:S357" si="231">Q358+Q359</f>
        <v>0</v>
      </c>
      <c r="R357" s="215">
        <f t="shared" si="231"/>
        <v>0</v>
      </c>
      <c r="S357" s="215">
        <f t="shared" si="231"/>
        <v>0</v>
      </c>
      <c r="T357" s="215">
        <f t="shared" ref="T357:T365" si="232">IF(Q357&gt;0,S357*100/Q357,0)</f>
        <v>0</v>
      </c>
      <c r="U357" s="215">
        <f t="shared" ref="U357:U365" si="233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217">
        <f t="shared" ref="L358:N359" si="234">L361+L364</f>
        <v>0</v>
      </c>
      <c r="M358" s="133">
        <f t="shared" si="234"/>
        <v>0</v>
      </c>
      <c r="N358" s="133">
        <f t="shared" si="234"/>
        <v>0</v>
      </c>
      <c r="O358" s="133">
        <f t="shared" si="229"/>
        <v>0</v>
      </c>
      <c r="P358" s="133">
        <f t="shared" si="230"/>
        <v>0</v>
      </c>
      <c r="Q358" s="133">
        <f t="shared" ref="Q358:S359" si="235">Q361+Q364</f>
        <v>0</v>
      </c>
      <c r="R358" s="133">
        <f t="shared" si="235"/>
        <v>0</v>
      </c>
      <c r="S358" s="133">
        <f t="shared" si="235"/>
        <v>0</v>
      </c>
      <c r="T358" s="133">
        <f t="shared" si="232"/>
        <v>0</v>
      </c>
      <c r="U358" s="133">
        <f t="shared" si="233"/>
        <v>0</v>
      </c>
    </row>
    <row r="359" spans="1:21" ht="18.75" hidden="1" x14ac:dyDescent="0.25">
      <c r="A359" s="257"/>
      <c r="B359" s="269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131">
        <f t="shared" ca="1" si="234"/>
        <v>450655</v>
      </c>
      <c r="M359" s="132">
        <f t="shared" ca="1" si="234"/>
        <v>474030</v>
      </c>
      <c r="N359" s="132">
        <f t="shared" ca="1" si="234"/>
        <v>165210.01</v>
      </c>
      <c r="O359" s="132">
        <f t="shared" ca="1" si="229"/>
        <v>36.659974925386379</v>
      </c>
      <c r="P359" s="132">
        <f t="shared" ca="1" si="230"/>
        <v>34.852226652321583</v>
      </c>
      <c r="Q359" s="132">
        <f t="shared" si="235"/>
        <v>0</v>
      </c>
      <c r="R359" s="132">
        <f t="shared" si="235"/>
        <v>0</v>
      </c>
      <c r="S359" s="132">
        <f t="shared" si="235"/>
        <v>0</v>
      </c>
      <c r="T359" s="132">
        <f t="shared" si="232"/>
        <v>0</v>
      </c>
      <c r="U359" s="132">
        <f t="shared" si="233"/>
        <v>0</v>
      </c>
    </row>
    <row r="360" spans="1:21" ht="18.75" x14ac:dyDescent="0.25">
      <c r="A360" s="257"/>
      <c r="B360" s="269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131">
        <f t="shared" ref="L360:N360" ca="1" si="236">L361+L362</f>
        <v>450655</v>
      </c>
      <c r="M360" s="132">
        <f t="shared" ca="1" si="236"/>
        <v>474030</v>
      </c>
      <c r="N360" s="132">
        <f t="shared" ca="1" si="236"/>
        <v>165210.01</v>
      </c>
      <c r="O360" s="132">
        <f t="shared" ca="1" si="229"/>
        <v>36.659974925386379</v>
      </c>
      <c r="P360" s="132">
        <f t="shared" ca="1" si="230"/>
        <v>34.852226652321583</v>
      </c>
      <c r="Q360" s="132">
        <f t="shared" ref="Q360:S360" si="237">Q361+Q362</f>
        <v>0</v>
      </c>
      <c r="R360" s="132">
        <f t="shared" si="237"/>
        <v>0</v>
      </c>
      <c r="S360" s="132">
        <f t="shared" si="237"/>
        <v>0</v>
      </c>
      <c r="T360" s="132">
        <f t="shared" si="232"/>
        <v>0</v>
      </c>
      <c r="U360" s="132">
        <f t="shared" si="233"/>
        <v>0</v>
      </c>
    </row>
    <row r="361" spans="1:21" ht="18.75" hidden="1" x14ac:dyDescent="0.25">
      <c r="A361" s="257"/>
      <c r="B361" s="258"/>
      <c r="C361" s="269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133">
        <f t="shared" si="229"/>
        <v>0</v>
      </c>
      <c r="P361" s="133">
        <f t="shared" si="230"/>
        <v>0</v>
      </c>
      <c r="Q361" s="77">
        <v>0</v>
      </c>
      <c r="R361" s="77">
        <v>0</v>
      </c>
      <c r="S361" s="77">
        <v>0</v>
      </c>
      <c r="T361" s="133">
        <f t="shared" si="232"/>
        <v>0</v>
      </c>
      <c r="U361" s="133">
        <f t="shared" si="233"/>
        <v>0</v>
      </c>
    </row>
    <row r="362" spans="1:21" ht="18.75" hidden="1" x14ac:dyDescent="0.25">
      <c r="A362" s="257"/>
      <c r="B362" s="258"/>
      <c r="C362" s="269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131">
        <f ca="1">IFERROR(__xludf.DUMMYFUNCTION("IMPORTRANGE(""https://docs.google.com/spreadsheets/d/1-uDff_7J0KD5mKrp0Vvzr7lt3OU09vwQwhkpOPPYv2Y/edit?usp=sharing"",""งบพรบ!FC55"")"),450655)</f>
        <v>450655</v>
      </c>
      <c r="M362" s="132">
        <f ca="1">IFERROR(__xludf.DUMMYFUNCTION("IMPORTRANGE(""https://docs.google.com/spreadsheets/d/1-uDff_7J0KD5mKrp0Vvzr7lt3OU09vwQwhkpOPPYv2Y/edit?usp=sharing"",""งบพรบ!FH55"")"),474030)</f>
        <v>474030</v>
      </c>
      <c r="N362" s="132">
        <f ca="1">IFERROR(__xludf.DUMMYFUNCTION("IMPORTRANGE(""https://docs.google.com/spreadsheets/d/1-uDff_7J0KD5mKrp0Vvzr7lt3OU09vwQwhkpOPPYv2Y/edit?usp=sharing"",""งบพรบ!FJ55"")"),165210.01)</f>
        <v>165210.01</v>
      </c>
      <c r="O362" s="132">
        <f t="shared" ca="1" si="229"/>
        <v>36.659974925386379</v>
      </c>
      <c r="P362" s="132">
        <f t="shared" ca="1" si="230"/>
        <v>34.852226652321583</v>
      </c>
      <c r="Q362" s="74">
        <v>0</v>
      </c>
      <c r="R362" s="74">
        <v>0</v>
      </c>
      <c r="S362" s="74">
        <v>0</v>
      </c>
      <c r="T362" s="132">
        <f t="shared" si="232"/>
        <v>0</v>
      </c>
      <c r="U362" s="132">
        <f t="shared" si="233"/>
        <v>0</v>
      </c>
    </row>
    <row r="363" spans="1:21" ht="18.75" x14ac:dyDescent="0.25">
      <c r="A363" s="257"/>
      <c r="B363" s="258"/>
      <c r="C363" s="269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131">
        <f t="shared" ref="L363:N363" ca="1" si="238">L364+L365</f>
        <v>0</v>
      </c>
      <c r="M363" s="132">
        <f t="shared" ca="1" si="238"/>
        <v>0</v>
      </c>
      <c r="N363" s="132">
        <f t="shared" ca="1" si="238"/>
        <v>0</v>
      </c>
      <c r="O363" s="132">
        <f t="shared" ca="1" si="229"/>
        <v>0</v>
      </c>
      <c r="P363" s="132">
        <f t="shared" ca="1" si="230"/>
        <v>0</v>
      </c>
      <c r="Q363" s="132">
        <f t="shared" ref="Q363:S363" si="239">Q364+Q365</f>
        <v>0</v>
      </c>
      <c r="R363" s="132">
        <f t="shared" si="239"/>
        <v>0</v>
      </c>
      <c r="S363" s="132">
        <f t="shared" si="239"/>
        <v>0</v>
      </c>
      <c r="T363" s="132">
        <f t="shared" si="232"/>
        <v>0</v>
      </c>
      <c r="U363" s="132">
        <f t="shared" si="233"/>
        <v>0</v>
      </c>
    </row>
    <row r="364" spans="1:21" ht="18.75" hidden="1" x14ac:dyDescent="0.25">
      <c r="A364" s="257"/>
      <c r="B364" s="258"/>
      <c r="C364" s="269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133">
        <f t="shared" si="229"/>
        <v>0</v>
      </c>
      <c r="P364" s="133">
        <f t="shared" si="230"/>
        <v>0</v>
      </c>
      <c r="Q364" s="77">
        <v>0</v>
      </c>
      <c r="R364" s="77">
        <v>0</v>
      </c>
      <c r="S364" s="77">
        <v>0</v>
      </c>
      <c r="T364" s="133">
        <f t="shared" si="232"/>
        <v>0</v>
      </c>
      <c r="U364" s="133">
        <f t="shared" si="233"/>
        <v>0</v>
      </c>
    </row>
    <row r="365" spans="1:21" ht="18.75" hidden="1" x14ac:dyDescent="0.25">
      <c r="A365" s="257"/>
      <c r="B365" s="258"/>
      <c r="C365" s="269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131">
        <f ca="1">IFERROR(__xludf.DUMMYFUNCTION("IMPORTRANGE(""https://docs.google.com/spreadsheets/d/1-uDff_7J0KD5mKrp0Vvzr7lt3OU09vwQwhkpOPPYv2Y/edit?usp=sharing"",""งบพรบ!FF55"")"),0)</f>
        <v>0</v>
      </c>
      <c r="M365" s="132">
        <f ca="1">IFERROR(__xludf.DUMMYFUNCTION("IMPORTRANGE(""https://docs.google.com/spreadsheets/d/1-uDff_7J0KD5mKrp0Vvzr7lt3OU09vwQwhkpOPPYv2Y/edit?usp=sharing"",""งบพรบ!FI55"")"),0)</f>
        <v>0</v>
      </c>
      <c r="N365" s="132">
        <f ca="1">IFERROR(__xludf.DUMMYFUNCTION("IMPORTRANGE(""https://docs.google.com/spreadsheets/d/1-uDff_7J0KD5mKrp0Vvzr7lt3OU09vwQwhkpOPPYv2Y/edit?usp=sharing"",""งบพรบ!FK55"")"),0)</f>
        <v>0</v>
      </c>
      <c r="O365" s="132">
        <f t="shared" ca="1" si="229"/>
        <v>0</v>
      </c>
      <c r="P365" s="132">
        <f t="shared" ca="1" si="230"/>
        <v>0</v>
      </c>
      <c r="Q365" s="74">
        <v>0</v>
      </c>
      <c r="R365" s="74">
        <v>0</v>
      </c>
      <c r="S365" s="74">
        <v>0</v>
      </c>
      <c r="T365" s="132">
        <f t="shared" si="232"/>
        <v>0</v>
      </c>
      <c r="U365" s="132">
        <f t="shared" si="233"/>
        <v>0</v>
      </c>
    </row>
    <row r="366" spans="1:21" ht="19.5" x14ac:dyDescent="0.3">
      <c r="A366" s="553"/>
      <c r="B366" s="555"/>
      <c r="C366" s="555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0">I372</f>
        <v>322</v>
      </c>
      <c r="J366" s="559">
        <f t="shared" ca="1" si="240"/>
        <v>53</v>
      </c>
      <c r="K366" s="560">
        <f ca="1">IF(I366&gt;0,J366*100/I366,0)</f>
        <v>16.459627329192546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621" t="s">
        <v>18</v>
      </c>
      <c r="D367" s="968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77"/>
      <c r="C368" s="277"/>
      <c r="D368" s="296"/>
      <c r="E368" s="1103" t="s">
        <v>150</v>
      </c>
      <c r="F368" s="277"/>
      <c r="G368" s="310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IFERROR(__xludf.DUMMYFUNCTION("IMPORTRANGE(""https://docs.google.com/spreadsheets/d/1tdoBKaGub7dwA3U6UFTqxio9LNnvDCQjHKmttSEBsFQ/edit?usp=sharing"",""จัดที่ดิน!AB55"")"),189)</f>
        <v>189</v>
      </c>
      <c r="K368" s="74">
        <f t="shared" ref="K368:K373" si="241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IFERROR(__xludf.DUMMYFUNCTION("IMPORTRANGE(""https://docs.google.com/spreadsheets/d/1eHaY18a8A9IcSdp1K8H6x8fbOy06t2VsZHhMHf-1x7Y/edit?usp=sharing"",""แผน!EW55"")"),3355)</f>
        <v>3355</v>
      </c>
      <c r="J369" s="1190">
        <f ca="1">IFERROR(__xludf.DUMMYFUNCTION("IMPORTRANGE(""https://docs.google.com/spreadsheets/d/1tdoBKaGub7dwA3U6UFTqxio9LNnvDCQjHKmttSEBsFQ/edit?usp=sharing"",""จัดที่ดิน!AC55"")"),2708.88)</f>
        <v>2708.88</v>
      </c>
      <c r="K369" s="74">
        <f t="shared" ca="1" si="241"/>
        <v>80.74157973174367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75" t="s">
        <v>35</v>
      </c>
      <c r="I370" s="293">
        <f ca="1">IFERROR(__xludf.DUMMYFUNCTION("IMPORTRANGE(""https://docs.google.com/spreadsheets/d/1eHaY18a8A9IcSdp1K8H6x8fbOy06t2VsZHhMHf-1x7Y/edit?usp=sharing"",""แผน!EX55"")"),491)</f>
        <v>491</v>
      </c>
      <c r="J370" s="293">
        <f ca="1">IFERROR(__xludf.DUMMYFUNCTION("IMPORTRANGE(""https://docs.google.com/spreadsheets/d/1tdoBKaGub7dwA3U6UFTqxio9LNnvDCQjHKmttSEBsFQ/edit?usp=sharing"",""จัดที่ดิน!AD55"")"),187)</f>
        <v>187</v>
      </c>
      <c r="K370" s="74">
        <f t="shared" ca="1" si="241"/>
        <v>38.085539714867615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75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IFERROR(__xludf.DUMMYFUNCTION("IMPORTRANGE(""https://docs.google.com/spreadsheets/d/1tdoBKaGub7dwA3U6UFTqxio9LNnvDCQjHKmttSEBsFQ/edit?usp=sharing"",""จัดที่ดิน!AE55"")"),2436.14)</f>
        <v>2436.14</v>
      </c>
      <c r="K371" s="74">
        <f t="shared" si="241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75" t="s">
        <v>35</v>
      </c>
      <c r="I372" s="293">
        <f ca="1">IFERROR(__xludf.DUMMYFUNCTION("IMPORTRANGE(""https://docs.google.com/spreadsheets/d/1eHaY18a8A9IcSdp1K8H6x8fbOy06t2VsZHhMHf-1x7Y/edit?usp=sharing"",""แผน!EY55"")"),322)</f>
        <v>322</v>
      </c>
      <c r="J372" s="293">
        <f ca="1">IFERROR(__xludf.DUMMYFUNCTION("IMPORTRANGE(""https://docs.google.com/spreadsheets/d/1tdoBKaGub7dwA3U6UFTqxio9LNnvDCQjHKmttSEBsFQ/edit?usp=sharing"",""จัดที่ดิน!AF55"")"),53)</f>
        <v>53</v>
      </c>
      <c r="K372" s="74">
        <f t="shared" ca="1" si="241"/>
        <v>16.459627329192546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75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IFERROR(__xludf.DUMMYFUNCTION("IMPORTRANGE(""https://docs.google.com/spreadsheets/d/1tdoBKaGub7dwA3U6UFTqxio9LNnvDCQjHKmttSEBsFQ/edit?usp=sharing"",""จัดที่ดิน!AG55"")"),766.9)</f>
        <v>766.9</v>
      </c>
      <c r="K373" s="74">
        <f t="shared" si="241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29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x14ac:dyDescent="0.3">
      <c r="A375" s="578"/>
      <c r="B375" s="579" t="s">
        <v>303</v>
      </c>
      <c r="C375" s="580"/>
      <c r="D375" s="581"/>
      <c r="E375" s="582"/>
      <c r="F375" s="582"/>
      <c r="G375" s="583"/>
      <c r="H375" s="584" t="s">
        <v>46</v>
      </c>
      <c r="I375" s="965">
        <f t="shared" ref="I375:J375" ca="1" si="242">I387+I389</f>
        <v>1000</v>
      </c>
      <c r="J375" s="965">
        <f t="shared" ca="1" si="242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214">
        <f t="shared" ref="L376:N376" si="243">L377+L378</f>
        <v>0</v>
      </c>
      <c r="M376" s="215">
        <f t="shared" si="243"/>
        <v>0</v>
      </c>
      <c r="N376" s="215">
        <f t="shared" si="243"/>
        <v>0</v>
      </c>
      <c r="O376" s="215">
        <f t="shared" ref="O376:O384" si="244">IF(L376&gt;0,N376*100/L376,0)</f>
        <v>0</v>
      </c>
      <c r="P376" s="215">
        <f t="shared" ref="P376:P384" si="245">IF(M376&gt;0,N376*100/M376,0)</f>
        <v>0</v>
      </c>
      <c r="Q376" s="215">
        <f t="shared" ref="Q376:S376" ca="1" si="246">Q377+Q378</f>
        <v>62500</v>
      </c>
      <c r="R376" s="215">
        <f t="shared" ca="1" si="246"/>
        <v>0</v>
      </c>
      <c r="S376" s="215">
        <f t="shared" ca="1" si="246"/>
        <v>0</v>
      </c>
      <c r="T376" s="215">
        <f t="shared" ref="T376:T384" ca="1" si="247">IF(Q376&gt;0,S376*100/Q376,0)</f>
        <v>0</v>
      </c>
      <c r="U376" s="215">
        <f t="shared" ref="U376:U384" ca="1" si="248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217">
        <f t="shared" ref="L377:N378" si="249">L380+L383</f>
        <v>0</v>
      </c>
      <c r="M377" s="133">
        <f t="shared" si="249"/>
        <v>0</v>
      </c>
      <c r="N377" s="133">
        <f t="shared" si="249"/>
        <v>0</v>
      </c>
      <c r="O377" s="133">
        <f t="shared" si="244"/>
        <v>0</v>
      </c>
      <c r="P377" s="133">
        <f t="shared" si="245"/>
        <v>0</v>
      </c>
      <c r="Q377" s="133">
        <f t="shared" ref="Q377:S378" si="250">Q380+Q383</f>
        <v>0</v>
      </c>
      <c r="R377" s="133">
        <f t="shared" si="250"/>
        <v>0</v>
      </c>
      <c r="S377" s="133">
        <f t="shared" si="250"/>
        <v>0</v>
      </c>
      <c r="T377" s="133">
        <f t="shared" si="247"/>
        <v>0</v>
      </c>
      <c r="U377" s="133">
        <f t="shared" si="248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131">
        <f t="shared" si="249"/>
        <v>0</v>
      </c>
      <c r="M378" s="132">
        <f t="shared" si="249"/>
        <v>0</v>
      </c>
      <c r="N378" s="132">
        <f t="shared" si="249"/>
        <v>0</v>
      </c>
      <c r="O378" s="132">
        <f t="shared" si="244"/>
        <v>0</v>
      </c>
      <c r="P378" s="132">
        <f t="shared" si="245"/>
        <v>0</v>
      </c>
      <c r="Q378" s="132">
        <f t="shared" ca="1" si="250"/>
        <v>62500</v>
      </c>
      <c r="R378" s="132">
        <f t="shared" ca="1" si="250"/>
        <v>0</v>
      </c>
      <c r="S378" s="132">
        <f t="shared" ca="1" si="250"/>
        <v>0</v>
      </c>
      <c r="T378" s="132">
        <f t="shared" ca="1" si="247"/>
        <v>0</v>
      </c>
      <c r="U378" s="132">
        <f t="shared" ca="1" si="248"/>
        <v>0</v>
      </c>
    </row>
    <row r="379" spans="1:21" ht="18.75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131">
        <f t="shared" ref="L379:N379" si="251">L380+L381</f>
        <v>0</v>
      </c>
      <c r="M379" s="132">
        <f t="shared" si="251"/>
        <v>0</v>
      </c>
      <c r="N379" s="132">
        <f t="shared" si="251"/>
        <v>0</v>
      </c>
      <c r="O379" s="132">
        <f t="shared" si="244"/>
        <v>0</v>
      </c>
      <c r="P379" s="132">
        <f t="shared" si="245"/>
        <v>0</v>
      </c>
      <c r="Q379" s="132">
        <f t="shared" ref="Q379:S379" ca="1" si="252">Q380+Q381</f>
        <v>62500</v>
      </c>
      <c r="R379" s="132">
        <f t="shared" ca="1" si="252"/>
        <v>0</v>
      </c>
      <c r="S379" s="132">
        <f t="shared" ca="1" si="252"/>
        <v>0</v>
      </c>
      <c r="T379" s="132">
        <f t="shared" ca="1" si="247"/>
        <v>0</v>
      </c>
      <c r="U379" s="132">
        <f t="shared" ca="1" si="248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133">
        <f t="shared" si="244"/>
        <v>0</v>
      </c>
      <c r="P380" s="133">
        <f t="shared" si="245"/>
        <v>0</v>
      </c>
      <c r="Q380" s="77">
        <v>0</v>
      </c>
      <c r="R380" s="77">
        <v>0</v>
      </c>
      <c r="S380" s="77">
        <v>0</v>
      </c>
      <c r="T380" s="133">
        <f t="shared" si="247"/>
        <v>0</v>
      </c>
      <c r="U380" s="133">
        <f t="shared" si="248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132">
        <f t="shared" si="244"/>
        <v>0</v>
      </c>
      <c r="P381" s="132">
        <f t="shared" si="245"/>
        <v>0</v>
      </c>
      <c r="Q381" s="132">
        <f ca="1">IFERROR(__xludf.DUMMYFUNCTION("IMPORTRANGE(""https://docs.google.com/spreadsheets/d/1ItG2mGa2ceCfYo0BwxsXqNm01IGEUdYcSSLTEv9YCik/edit?usp=sharing"",""เบิกจ่ายกองทุน!AY55"")"),62500)</f>
        <v>62500</v>
      </c>
      <c r="R381" s="132">
        <f ca="1">IFERROR(__xludf.DUMMYFUNCTION("IMPORTRANGE(""https://docs.google.com/spreadsheets/d/1ItG2mGa2ceCfYo0BwxsXqNm01IGEUdYcSSLTEv9YCik/edit?usp=sharing"",""เบิกจ่ายกองทุน!AZ55"")"),0)</f>
        <v>0</v>
      </c>
      <c r="S381" s="132">
        <f ca="1">IFERROR(__xludf.DUMMYFUNCTION("IMPORTRANGE(""https://docs.google.com/spreadsheets/d/1ItG2mGa2ceCfYo0BwxsXqNm01IGEUdYcSSLTEv9YCik/edit?usp=sharing"",""เบิกจ่ายกองทุน!BA55"")"),0)</f>
        <v>0</v>
      </c>
      <c r="T381" s="132">
        <f t="shared" ca="1" si="247"/>
        <v>0</v>
      </c>
      <c r="U381" s="132">
        <f t="shared" ca="1" si="248"/>
        <v>0</v>
      </c>
    </row>
    <row r="382" spans="1:21" ht="18.75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131">
        <f t="shared" ref="L382:N382" si="253">L383+L384</f>
        <v>0</v>
      </c>
      <c r="M382" s="132">
        <f t="shared" si="253"/>
        <v>0</v>
      </c>
      <c r="N382" s="132">
        <f t="shared" si="253"/>
        <v>0</v>
      </c>
      <c r="O382" s="132">
        <f t="shared" si="244"/>
        <v>0</v>
      </c>
      <c r="P382" s="132">
        <f t="shared" si="245"/>
        <v>0</v>
      </c>
      <c r="Q382" s="132">
        <f t="shared" ref="Q382:S382" si="254">Q383+Q384</f>
        <v>0</v>
      </c>
      <c r="R382" s="132">
        <f t="shared" si="254"/>
        <v>0</v>
      </c>
      <c r="S382" s="132">
        <f t="shared" si="254"/>
        <v>0</v>
      </c>
      <c r="T382" s="132">
        <f t="shared" si="247"/>
        <v>0</v>
      </c>
      <c r="U382" s="132">
        <f t="shared" si="248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133">
        <f t="shared" si="244"/>
        <v>0</v>
      </c>
      <c r="P383" s="133">
        <f t="shared" si="245"/>
        <v>0</v>
      </c>
      <c r="Q383" s="77">
        <v>0</v>
      </c>
      <c r="R383" s="77">
        <v>0</v>
      </c>
      <c r="S383" s="77">
        <v>0</v>
      </c>
      <c r="T383" s="133">
        <f t="shared" si="247"/>
        <v>0</v>
      </c>
      <c r="U383" s="133">
        <f t="shared" si="248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132">
        <f t="shared" si="244"/>
        <v>0</v>
      </c>
      <c r="P384" s="132">
        <f t="shared" si="245"/>
        <v>0</v>
      </c>
      <c r="Q384" s="74">
        <v>0</v>
      </c>
      <c r="R384" s="74">
        <v>0</v>
      </c>
      <c r="S384" s="74">
        <v>0</v>
      </c>
      <c r="T384" s="132">
        <f t="shared" si="247"/>
        <v>0</v>
      </c>
      <c r="U384" s="132">
        <f t="shared" si="248"/>
        <v>0</v>
      </c>
    </row>
    <row r="385" spans="1:21" ht="19.5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x14ac:dyDescent="0.25">
      <c r="A386" s="377"/>
      <c r="B386" s="381"/>
      <c r="C386" s="381"/>
      <c r="D386" s="381"/>
      <c r="E386" s="440" t="s">
        <v>154</v>
      </c>
      <c r="F386" s="67"/>
      <c r="G386" s="69"/>
      <c r="H386" s="216" t="s">
        <v>34</v>
      </c>
      <c r="I386" s="1217">
        <v>0</v>
      </c>
      <c r="J386" s="1217">
        <f ca="1">IFERROR(__xludf.DUMMYFUNCTION("IMPORTRANGE(""https://docs.google.com/spreadsheets/d/1w5rwWK1o49a35cNtocGL0gxDwhFSTZUQu90BiH9_zqM/edit?usp=sharing"",""RTK!H55"")"),0)</f>
        <v>0</v>
      </c>
      <c r="K386" s="1218">
        <f t="shared" ref="K386:K389" si="255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x14ac:dyDescent="0.25">
      <c r="A387" s="381"/>
      <c r="B387" s="381"/>
      <c r="C387" s="381"/>
      <c r="D387" s="381"/>
      <c r="E387" s="381"/>
      <c r="F387" s="381"/>
      <c r="G387" s="1033"/>
      <c r="H387" s="216" t="s">
        <v>46</v>
      </c>
      <c r="I387" s="1217">
        <f ca="1">IFERROR(__xludf.DUMMYFUNCTION("IMPORTRANGE(""https://docs.google.com/spreadsheets/d/1w5rwWK1o49a35cNtocGL0gxDwhFSTZUQu90BiH9_zqM/edit?usp=sharing"",""RTK!G55"")"),1000)</f>
        <v>1000</v>
      </c>
      <c r="J387" s="1217">
        <f ca="1">IFERROR(__xludf.DUMMYFUNCTION("IMPORTRANGE(""https://docs.google.com/spreadsheets/d/1w5rwWK1o49a35cNtocGL0gxDwhFSTZUQu90BiH9_zqM/edit?usp=sharing"",""RTK!I55"")"),0)</f>
        <v>0</v>
      </c>
      <c r="K387" s="1218">
        <f t="shared" ca="1" si="255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x14ac:dyDescent="0.25">
      <c r="A388" s="381"/>
      <c r="B388" s="381"/>
      <c r="C388" s="381"/>
      <c r="D388" s="381"/>
      <c r="E388" s="379" t="s">
        <v>155</v>
      </c>
      <c r="F388" s="381"/>
      <c r="G388" s="1033"/>
      <c r="H388" s="216" t="s">
        <v>34</v>
      </c>
      <c r="I388" s="1217">
        <v>0</v>
      </c>
      <c r="J388" s="1217">
        <f ca="1">IFERROR(__xludf.DUMMYFUNCTION("IMPORTRANGE(""https://docs.google.com/spreadsheets/d/1w5rwWK1o49a35cNtocGL0gxDwhFSTZUQu90BiH9_zqM/edit?usp=sharing"",""RTK!L55"")"),0)</f>
        <v>0</v>
      </c>
      <c r="K388" s="1218">
        <f t="shared" si="255"/>
        <v>0</v>
      </c>
      <c r="L388" s="540"/>
      <c r="M388" s="72"/>
      <c r="N388" s="72"/>
      <c r="O388" s="72"/>
      <c r="P388" s="72"/>
      <c r="Q388" s="72"/>
      <c r="R388" s="72"/>
      <c r="S388" s="72"/>
      <c r="T388" s="72"/>
      <c r="U388" s="72"/>
    </row>
    <row r="389" spans="1:21" ht="18.75" x14ac:dyDescent="0.25">
      <c r="A389" s="381"/>
      <c r="B389" s="381"/>
      <c r="C389" s="381"/>
      <c r="D389" s="381"/>
      <c r="E389" s="381"/>
      <c r="F389" s="381"/>
      <c r="G389" s="1033"/>
      <c r="H389" s="216" t="s">
        <v>46</v>
      </c>
      <c r="I389" s="1217">
        <f ca="1">IFERROR(__xludf.DUMMYFUNCTION("IMPORTRANGE(""https://docs.google.com/spreadsheets/d/1w5rwWK1o49a35cNtocGL0gxDwhFSTZUQu90BiH9_zqM/edit?usp=sharing"",""RTK!K55"")"),0)</f>
        <v>0</v>
      </c>
      <c r="J389" s="1217">
        <f ca="1">IFERROR(__xludf.DUMMYFUNCTION("IMPORTRANGE(""https://docs.google.com/spreadsheets/d/1w5rwWK1o49a35cNtocGL0gxDwhFSTZUQu90BiH9_zqM/edit?usp=sharing"",""RTK!M55"")"),0)</f>
        <v>0</v>
      </c>
      <c r="K389" s="1218">
        <f t="shared" ca="1" si="255"/>
        <v>0</v>
      </c>
      <c r="L389" s="540"/>
      <c r="M389" s="72"/>
      <c r="N389" s="72"/>
      <c r="O389" s="72"/>
      <c r="P389" s="72"/>
      <c r="Q389" s="72"/>
      <c r="R389" s="72"/>
      <c r="S389" s="72"/>
      <c r="T389" s="72"/>
      <c r="U389" s="72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304</v>
      </c>
      <c r="C392" s="605"/>
      <c r="D392" s="606"/>
      <c r="E392" s="607"/>
      <c r="F392" s="607"/>
      <c r="G392" s="608"/>
      <c r="H392" s="609" t="s">
        <v>61</v>
      </c>
      <c r="I392" s="610">
        <f t="shared" ref="I392:J392" si="256">I403</f>
        <v>0</v>
      </c>
      <c r="J392" s="610">
        <f t="shared" si="256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214">
        <f t="shared" ref="L393:N393" si="257">L394+L395</f>
        <v>0</v>
      </c>
      <c r="M393" s="215">
        <f t="shared" si="257"/>
        <v>0</v>
      </c>
      <c r="N393" s="215">
        <f t="shared" si="257"/>
        <v>0</v>
      </c>
      <c r="O393" s="215">
        <f t="shared" ref="O393:O401" si="258">IF(L393&gt;0,N393*100/L393,0)</f>
        <v>0</v>
      </c>
      <c r="P393" s="215">
        <f t="shared" ref="P393:P401" si="259">IF(M393&gt;0,N393*100/M393,0)</f>
        <v>0</v>
      </c>
      <c r="Q393" s="215">
        <f t="shared" ref="Q393:S393" si="260">Q394+Q395</f>
        <v>0</v>
      </c>
      <c r="R393" s="215">
        <f t="shared" si="260"/>
        <v>0</v>
      </c>
      <c r="S393" s="215">
        <f t="shared" si="260"/>
        <v>0</v>
      </c>
      <c r="T393" s="215">
        <f t="shared" ref="T393:T401" si="261">IF(Q393&gt;0,S393*100/Q393,0)</f>
        <v>0</v>
      </c>
      <c r="U393" s="215">
        <f t="shared" ref="U393:U401" si="262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217">
        <f t="shared" ref="L394:N395" si="263">L397+L400</f>
        <v>0</v>
      </c>
      <c r="M394" s="133">
        <f t="shared" si="263"/>
        <v>0</v>
      </c>
      <c r="N394" s="133">
        <f t="shared" si="263"/>
        <v>0</v>
      </c>
      <c r="O394" s="133">
        <f t="shared" si="258"/>
        <v>0</v>
      </c>
      <c r="P394" s="133">
        <f t="shared" si="259"/>
        <v>0</v>
      </c>
      <c r="Q394" s="133">
        <f t="shared" ref="Q394:S395" si="264">Q397+Q400</f>
        <v>0</v>
      </c>
      <c r="R394" s="133">
        <f t="shared" si="264"/>
        <v>0</v>
      </c>
      <c r="S394" s="133">
        <f t="shared" si="264"/>
        <v>0</v>
      </c>
      <c r="T394" s="133">
        <f t="shared" si="261"/>
        <v>0</v>
      </c>
      <c r="U394" s="133">
        <f t="shared" si="262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131">
        <f t="shared" si="263"/>
        <v>0</v>
      </c>
      <c r="M395" s="132">
        <f t="shared" si="263"/>
        <v>0</v>
      </c>
      <c r="N395" s="132">
        <f t="shared" si="263"/>
        <v>0</v>
      </c>
      <c r="O395" s="132">
        <f t="shared" si="258"/>
        <v>0</v>
      </c>
      <c r="P395" s="132">
        <f t="shared" si="259"/>
        <v>0</v>
      </c>
      <c r="Q395" s="132">
        <f t="shared" si="264"/>
        <v>0</v>
      </c>
      <c r="R395" s="132">
        <f t="shared" si="264"/>
        <v>0</v>
      </c>
      <c r="S395" s="132">
        <f t="shared" si="264"/>
        <v>0</v>
      </c>
      <c r="T395" s="132">
        <f t="shared" si="261"/>
        <v>0</v>
      </c>
      <c r="U395" s="132">
        <f t="shared" si="262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131">
        <f t="shared" ref="L396:N396" si="265">L397+L398</f>
        <v>0</v>
      </c>
      <c r="M396" s="132">
        <f t="shared" si="265"/>
        <v>0</v>
      </c>
      <c r="N396" s="132">
        <f t="shared" si="265"/>
        <v>0</v>
      </c>
      <c r="O396" s="132">
        <f t="shared" si="258"/>
        <v>0</v>
      </c>
      <c r="P396" s="132">
        <f t="shared" si="259"/>
        <v>0</v>
      </c>
      <c r="Q396" s="132">
        <f t="shared" ref="Q396:S396" si="266">Q397+Q398</f>
        <v>0</v>
      </c>
      <c r="R396" s="132">
        <f t="shared" si="266"/>
        <v>0</v>
      </c>
      <c r="S396" s="132">
        <f t="shared" si="266"/>
        <v>0</v>
      </c>
      <c r="T396" s="132">
        <f t="shared" si="261"/>
        <v>0</v>
      </c>
      <c r="U396" s="132">
        <f t="shared" si="262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133">
        <f t="shared" si="258"/>
        <v>0</v>
      </c>
      <c r="P397" s="133">
        <f t="shared" si="259"/>
        <v>0</v>
      </c>
      <c r="Q397" s="77">
        <v>0</v>
      </c>
      <c r="R397" s="77">
        <v>0</v>
      </c>
      <c r="S397" s="77">
        <v>0</v>
      </c>
      <c r="T397" s="133">
        <f t="shared" si="261"/>
        <v>0</v>
      </c>
      <c r="U397" s="133">
        <f t="shared" si="262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132">
        <f t="shared" si="258"/>
        <v>0</v>
      </c>
      <c r="P398" s="132">
        <f t="shared" si="259"/>
        <v>0</v>
      </c>
      <c r="Q398" s="74">
        <v>0</v>
      </c>
      <c r="R398" s="74">
        <v>0</v>
      </c>
      <c r="S398" s="74">
        <v>0</v>
      </c>
      <c r="T398" s="132">
        <f t="shared" si="261"/>
        <v>0</v>
      </c>
      <c r="U398" s="132">
        <f t="shared" si="262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131">
        <f t="shared" ref="L399:N399" si="267">L400+L401</f>
        <v>0</v>
      </c>
      <c r="M399" s="132">
        <f t="shared" si="267"/>
        <v>0</v>
      </c>
      <c r="N399" s="132">
        <f t="shared" si="267"/>
        <v>0</v>
      </c>
      <c r="O399" s="132">
        <f t="shared" si="258"/>
        <v>0</v>
      </c>
      <c r="P399" s="132">
        <f t="shared" si="259"/>
        <v>0</v>
      </c>
      <c r="Q399" s="132">
        <f t="shared" ref="Q399:S399" si="268">Q400+Q401</f>
        <v>0</v>
      </c>
      <c r="R399" s="132">
        <f t="shared" si="268"/>
        <v>0</v>
      </c>
      <c r="S399" s="132">
        <f t="shared" si="268"/>
        <v>0</v>
      </c>
      <c r="T399" s="132">
        <f t="shared" si="261"/>
        <v>0</v>
      </c>
      <c r="U399" s="132">
        <f t="shared" si="262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133">
        <f t="shared" si="258"/>
        <v>0</v>
      </c>
      <c r="P400" s="133">
        <f t="shared" si="259"/>
        <v>0</v>
      </c>
      <c r="Q400" s="77">
        <v>0</v>
      </c>
      <c r="R400" s="77">
        <v>0</v>
      </c>
      <c r="S400" s="77">
        <v>0</v>
      </c>
      <c r="T400" s="133">
        <f t="shared" si="261"/>
        <v>0</v>
      </c>
      <c r="U400" s="133">
        <f t="shared" si="262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132">
        <f t="shared" si="258"/>
        <v>0</v>
      </c>
      <c r="P401" s="132">
        <f t="shared" si="259"/>
        <v>0</v>
      </c>
      <c r="Q401" s="74">
        <v>0</v>
      </c>
      <c r="R401" s="74">
        <v>0</v>
      </c>
      <c r="S401" s="74">
        <v>0</v>
      </c>
      <c r="T401" s="132">
        <f t="shared" si="261"/>
        <v>0</v>
      </c>
      <c r="U401" s="132">
        <f t="shared" si="262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305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69">I424</f>
        <v>0</v>
      </c>
      <c r="J413" s="617">
        <f t="shared" si="269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214">
        <f t="shared" ref="L414:N414" si="270">L415+L416</f>
        <v>0</v>
      </c>
      <c r="M414" s="215">
        <f t="shared" si="270"/>
        <v>0</v>
      </c>
      <c r="N414" s="215">
        <f t="shared" si="270"/>
        <v>0</v>
      </c>
      <c r="O414" s="215">
        <f t="shared" ref="O414:O422" si="271">IF(L414&gt;0,N414*100/L414,0)</f>
        <v>0</v>
      </c>
      <c r="P414" s="215">
        <f t="shared" ref="P414:P422" si="272">IF(M414&gt;0,N414*100/M414,0)</f>
        <v>0</v>
      </c>
      <c r="Q414" s="215">
        <f t="shared" ref="Q414:S414" ca="1" si="273">Q415+Q416</f>
        <v>0</v>
      </c>
      <c r="R414" s="215">
        <f t="shared" ca="1" si="273"/>
        <v>0</v>
      </c>
      <c r="S414" s="215">
        <f t="shared" ca="1" si="273"/>
        <v>0</v>
      </c>
      <c r="T414" s="215">
        <f t="shared" ref="T414:T422" ca="1" si="274">IF(Q414&gt;0,S414*100/Q414,0)</f>
        <v>0</v>
      </c>
      <c r="U414" s="215">
        <f t="shared" ref="U414:U422" ca="1" si="275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217">
        <f t="shared" ref="L415:N416" si="276">L418+L421</f>
        <v>0</v>
      </c>
      <c r="M415" s="133">
        <f t="shared" si="276"/>
        <v>0</v>
      </c>
      <c r="N415" s="133">
        <f t="shared" si="276"/>
        <v>0</v>
      </c>
      <c r="O415" s="133">
        <f t="shared" si="271"/>
        <v>0</v>
      </c>
      <c r="P415" s="133">
        <f t="shared" si="272"/>
        <v>0</v>
      </c>
      <c r="Q415" s="133">
        <f t="shared" ref="Q415:S416" si="277">Q418+Q421</f>
        <v>0</v>
      </c>
      <c r="R415" s="133">
        <f t="shared" si="277"/>
        <v>0</v>
      </c>
      <c r="S415" s="133">
        <f t="shared" si="277"/>
        <v>0</v>
      </c>
      <c r="T415" s="133">
        <f t="shared" si="274"/>
        <v>0</v>
      </c>
      <c r="U415" s="133">
        <f t="shared" si="275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131">
        <f t="shared" si="276"/>
        <v>0</v>
      </c>
      <c r="M416" s="132">
        <f t="shared" si="276"/>
        <v>0</v>
      </c>
      <c r="N416" s="132">
        <f t="shared" si="276"/>
        <v>0</v>
      </c>
      <c r="O416" s="132">
        <f t="shared" si="271"/>
        <v>0</v>
      </c>
      <c r="P416" s="132">
        <f t="shared" si="272"/>
        <v>0</v>
      </c>
      <c r="Q416" s="132">
        <f t="shared" ca="1" si="277"/>
        <v>0</v>
      </c>
      <c r="R416" s="132">
        <f t="shared" ca="1" si="277"/>
        <v>0</v>
      </c>
      <c r="S416" s="132">
        <f t="shared" ca="1" si="277"/>
        <v>0</v>
      </c>
      <c r="T416" s="132">
        <f t="shared" ca="1" si="274"/>
        <v>0</v>
      </c>
      <c r="U416" s="132">
        <f t="shared" ca="1" si="275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131">
        <f t="shared" ref="L417:N417" si="278">L418+L419</f>
        <v>0</v>
      </c>
      <c r="M417" s="132">
        <f t="shared" si="278"/>
        <v>0</v>
      </c>
      <c r="N417" s="132">
        <f t="shared" si="278"/>
        <v>0</v>
      </c>
      <c r="O417" s="132">
        <f t="shared" si="271"/>
        <v>0</v>
      </c>
      <c r="P417" s="132">
        <f t="shared" si="272"/>
        <v>0</v>
      </c>
      <c r="Q417" s="132">
        <f t="shared" ref="Q417:S417" ca="1" si="279">Q418+Q419</f>
        <v>0</v>
      </c>
      <c r="R417" s="132">
        <f t="shared" ca="1" si="279"/>
        <v>0</v>
      </c>
      <c r="S417" s="132">
        <f t="shared" ca="1" si="279"/>
        <v>0</v>
      </c>
      <c r="T417" s="132">
        <f t="shared" ca="1" si="274"/>
        <v>0</v>
      </c>
      <c r="U417" s="132">
        <f t="shared" ca="1" si="275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133">
        <f t="shared" si="271"/>
        <v>0</v>
      </c>
      <c r="P418" s="133">
        <f t="shared" si="272"/>
        <v>0</v>
      </c>
      <c r="Q418" s="77">
        <v>0</v>
      </c>
      <c r="R418" s="77">
        <v>0</v>
      </c>
      <c r="S418" s="77">
        <v>0</v>
      </c>
      <c r="T418" s="133">
        <f t="shared" si="274"/>
        <v>0</v>
      </c>
      <c r="U418" s="133">
        <f t="shared" si="275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132">
        <f t="shared" si="271"/>
        <v>0</v>
      </c>
      <c r="P419" s="132">
        <f t="shared" si="272"/>
        <v>0</v>
      </c>
      <c r="Q419" s="132">
        <f ca="1">IFERROR(__xludf.DUMMYFUNCTION("IMPORTRANGE(""https://docs.google.com/spreadsheets/d/1ItG2mGa2ceCfYo0BwxsXqNm01IGEUdYcSSLTEv9YCik/edit?usp=sharing"",""เบิกจ่ายกองทุน!BH55"")"),0)</f>
        <v>0</v>
      </c>
      <c r="R419" s="132">
        <f ca="1">IFERROR(__xludf.DUMMYFUNCTION("IMPORTRANGE(""https://docs.google.com/spreadsheets/d/1ItG2mGa2ceCfYo0BwxsXqNm01IGEUdYcSSLTEv9YCik/edit?usp=sharing"",""เบิกจ่ายกองทุน!BI55"")"),0)</f>
        <v>0</v>
      </c>
      <c r="S419" s="132">
        <f ca="1">IFERROR(__xludf.DUMMYFUNCTION("IMPORTRANGE(""https://docs.google.com/spreadsheets/d/1ItG2mGa2ceCfYo0BwxsXqNm01IGEUdYcSSLTEv9YCik/edit?usp=sharing"",""เบิกจ่ายกองทุน!BJ55"")"),0)</f>
        <v>0</v>
      </c>
      <c r="T419" s="132">
        <f t="shared" ca="1" si="274"/>
        <v>0</v>
      </c>
      <c r="U419" s="132">
        <f t="shared" ca="1" si="275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131">
        <f t="shared" ref="L420:N420" si="280">L421+L422</f>
        <v>0</v>
      </c>
      <c r="M420" s="132">
        <f t="shared" si="280"/>
        <v>0</v>
      </c>
      <c r="N420" s="132">
        <f t="shared" si="280"/>
        <v>0</v>
      </c>
      <c r="O420" s="132">
        <f t="shared" si="271"/>
        <v>0</v>
      </c>
      <c r="P420" s="132">
        <f t="shared" si="272"/>
        <v>0</v>
      </c>
      <c r="Q420" s="132">
        <f t="shared" ref="Q420:S420" si="281">Q421+Q422</f>
        <v>0</v>
      </c>
      <c r="R420" s="132">
        <f t="shared" si="281"/>
        <v>0</v>
      </c>
      <c r="S420" s="132">
        <f t="shared" si="281"/>
        <v>0</v>
      </c>
      <c r="T420" s="132">
        <f t="shared" si="274"/>
        <v>0</v>
      </c>
      <c r="U420" s="132">
        <f t="shared" si="275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133">
        <f t="shared" si="271"/>
        <v>0</v>
      </c>
      <c r="P421" s="133">
        <f t="shared" si="272"/>
        <v>0</v>
      </c>
      <c r="Q421" s="77">
        <v>0</v>
      </c>
      <c r="R421" s="77">
        <v>0</v>
      </c>
      <c r="S421" s="77">
        <v>0</v>
      </c>
      <c r="T421" s="133">
        <f t="shared" si="274"/>
        <v>0</v>
      </c>
      <c r="U421" s="133">
        <f t="shared" si="275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132">
        <f t="shared" si="271"/>
        <v>0</v>
      </c>
      <c r="P422" s="132">
        <f t="shared" si="272"/>
        <v>0</v>
      </c>
      <c r="Q422" s="74">
        <v>0</v>
      </c>
      <c r="R422" s="74">
        <v>0</v>
      </c>
      <c r="S422" s="74">
        <v>0</v>
      </c>
      <c r="T422" s="132">
        <f t="shared" si="274"/>
        <v>0</v>
      </c>
      <c r="U422" s="132">
        <f t="shared" si="275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2">I441</f>
        <v>0</v>
      </c>
      <c r="J424" s="622">
        <f t="shared" si="282"/>
        <v>0</v>
      </c>
      <c r="K424" s="264">
        <f t="shared" ref="K424:K426" ca="1" si="283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IFERROR(__xludf.DUMMYFUNCTION("IMPORTRANGE(""https://docs.google.com/spreadsheets/d/1eHaY18a8A9IcSdp1K8H6x8fbOy06t2VsZHhMHf-1x7Y/edit?usp=sharing"",""แผน!HJ55"")"),0)</f>
        <v>0</v>
      </c>
      <c r="J425" s="622">
        <f t="shared" ref="J425:J426" si="284">J427+J429+J431</f>
        <v>0</v>
      </c>
      <c r="K425" s="264">
        <f t="shared" ca="1" si="283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IFERROR(__xludf.DUMMYFUNCTION("IMPORTRANGE(""https://docs.google.com/spreadsheets/d/1eHaY18a8A9IcSdp1K8H6x8fbOy06t2VsZHhMHf-1x7Y/edit?usp=sharing"",""แผน!HK55"")"),0)</f>
        <v>0</v>
      </c>
      <c r="J426" s="622">
        <f t="shared" si="284"/>
        <v>0</v>
      </c>
      <c r="K426" s="264">
        <f t="shared" ca="1" si="283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IFERROR(__xludf.DUMMYFUNCTION("IMPORTRANGE(""https://docs.google.com/spreadsheets/d/1eHaY18a8A9IcSdp1K8H6x8fbOy06t2VsZHhMHf-1x7Y/edit?usp=sharing"",""แผน!HJ55"")"),0)</f>
        <v>0</v>
      </c>
      <c r="J433" s="622">
        <f t="shared" ref="J433:J434" si="285">J435+J437+J439</f>
        <v>0</v>
      </c>
      <c r="K433" s="264">
        <f t="shared" ref="K433:K434" ca="1" si="286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IFERROR(__xludf.DUMMYFUNCTION("IMPORTRANGE(""https://docs.google.com/spreadsheets/d/1eHaY18a8A9IcSdp1K8H6x8fbOy06t2VsZHhMHf-1x7Y/edit?usp=sharing"",""แผน!HK55"")"),0)</f>
        <v>0</v>
      </c>
      <c r="J434" s="622">
        <f t="shared" si="285"/>
        <v>0</v>
      </c>
      <c r="K434" s="264">
        <f t="shared" ca="1" si="286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IFERROR(__xludf.DUMMYFUNCTION("IMPORTRANGE(""https://docs.google.com/spreadsheets/d/1eHaY18a8A9IcSdp1K8H6x8fbOy06t2VsZHhMHf-1x7Y/edit?usp=sharing"",""แผน!HJ55"")"),0)</f>
        <v>0</v>
      </c>
      <c r="J441" s="622">
        <f t="shared" ref="J441:J442" si="287">J443+J445+J447+J453+J455</f>
        <v>0</v>
      </c>
      <c r="K441" s="264">
        <f t="shared" ref="K441:K442" ca="1" si="288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IFERROR(__xludf.DUMMYFUNCTION("IMPORTRANGE(""https://docs.google.com/spreadsheets/d/1eHaY18a8A9IcSdp1K8H6x8fbOy06t2VsZHhMHf-1x7Y/edit?usp=sharing"",""แผน!HK55"")"),0)</f>
        <v>0</v>
      </c>
      <c r="J442" s="622">
        <f t="shared" si="287"/>
        <v>0</v>
      </c>
      <c r="K442" s="264">
        <f t="shared" ca="1" si="288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89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89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0">I458</f>
        <v>0</v>
      </c>
      <c r="J457" s="622">
        <f t="shared" si="290"/>
        <v>0</v>
      </c>
      <c r="K457" s="264">
        <f t="shared" ref="K457:K459" ca="1" si="291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IFERROR(__xludf.DUMMYFUNCTION("IMPORTRANGE(""https://docs.google.com/spreadsheets/d/1eHaY18a8A9IcSdp1K8H6x8fbOy06t2VsZHhMHf-1x7Y/edit?usp=sharing"",""แผน!HL55"")"),0)</f>
        <v>0</v>
      </c>
      <c r="J458" s="622">
        <f t="shared" ref="J458:J459" si="292">J460+J468+J474</f>
        <v>0</v>
      </c>
      <c r="K458" s="264">
        <f t="shared" ca="1" si="291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IFERROR(__xludf.DUMMYFUNCTION("IMPORTRANGE(""https://docs.google.com/spreadsheets/d/1eHaY18a8A9IcSdp1K8H6x8fbOy06t2VsZHhMHf-1x7Y/edit?usp=sharing"",""แผน!HM55"")"),0)</f>
        <v>0</v>
      </c>
      <c r="J459" s="622">
        <f t="shared" si="292"/>
        <v>0</v>
      </c>
      <c r="K459" s="264">
        <f t="shared" ca="1" si="291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3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3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4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4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5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6">J479+J481</f>
        <v>0</v>
      </c>
      <c r="K477" s="264">
        <f t="shared" si="295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6"/>
        <v>0</v>
      </c>
      <c r="K478" s="264">
        <f t="shared" si="295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IFERROR(__xludf.DUMMYFUNCTION("IMPORTRANGE(""https://docs.google.com/spreadsheets/d/1eHaY18a8A9IcSdp1K8H6x8fbOy06t2VsZHhMHf-1x7Y/edit?usp=sharing"",""แผน!HN55"")"),0)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IFERROR(__xludf.DUMMYFUNCTION("IMPORTRANGE(""https://docs.google.com/spreadsheets/d/1eHaY18a8A9IcSdp1K8H6x8fbOy06t2VsZHhMHf-1x7Y/edit?usp=sharing"",""แผน!HO55"")"),0)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7">J481</f>
        <v>0</v>
      </c>
      <c r="J485" s="622">
        <f t="shared" ref="J485:J486" si="298">J487+J489+J491</f>
        <v>0</v>
      </c>
      <c r="K485" s="264">
        <f t="shared" ref="K485:K486" si="299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7"/>
        <v>0</v>
      </c>
      <c r="J486" s="622">
        <f t="shared" si="298"/>
        <v>0</v>
      </c>
      <c r="K486" s="264">
        <f t="shared" si="299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hidden="1" x14ac:dyDescent="0.3">
      <c r="A493" s="603"/>
      <c r="B493" s="604" t="s">
        <v>328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0">I504</f>
        <v>0</v>
      </c>
      <c r="J493" s="617">
        <f t="shared" ca="1" si="300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214">
        <f t="shared" ref="L494:N494" si="301">L495+L496</f>
        <v>0</v>
      </c>
      <c r="M494" s="215">
        <f t="shared" si="301"/>
        <v>0</v>
      </c>
      <c r="N494" s="215">
        <f t="shared" si="301"/>
        <v>0</v>
      </c>
      <c r="O494" s="215">
        <f t="shared" ref="O494:O502" si="302">IF(L494&gt;0,N494*100/L494,0)</f>
        <v>0</v>
      </c>
      <c r="P494" s="215">
        <f t="shared" ref="P494:P502" si="303">IF(M494&gt;0,N494*100/M494,0)</f>
        <v>0</v>
      </c>
      <c r="Q494" s="215">
        <f t="shared" ref="Q494:S494" ca="1" si="304">Q495+Q496</f>
        <v>0</v>
      </c>
      <c r="R494" s="215">
        <f t="shared" ca="1" si="304"/>
        <v>0</v>
      </c>
      <c r="S494" s="215">
        <f t="shared" ca="1" si="304"/>
        <v>0</v>
      </c>
      <c r="T494" s="215">
        <f t="shared" ref="T494:T502" ca="1" si="305">IF(Q494&gt;0,S494*100/Q494,0)</f>
        <v>0</v>
      </c>
      <c r="U494" s="215">
        <f t="shared" ref="U494:U502" ca="1" si="306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217">
        <f t="shared" ref="L495:N496" si="307">L498+L501</f>
        <v>0</v>
      </c>
      <c r="M495" s="133">
        <f t="shared" si="307"/>
        <v>0</v>
      </c>
      <c r="N495" s="133">
        <f t="shared" si="307"/>
        <v>0</v>
      </c>
      <c r="O495" s="133">
        <f t="shared" si="302"/>
        <v>0</v>
      </c>
      <c r="P495" s="133">
        <f t="shared" si="303"/>
        <v>0</v>
      </c>
      <c r="Q495" s="133">
        <f t="shared" ref="Q495:S496" si="308">Q498+Q501</f>
        <v>0</v>
      </c>
      <c r="R495" s="133">
        <f t="shared" si="308"/>
        <v>0</v>
      </c>
      <c r="S495" s="133">
        <f t="shared" si="308"/>
        <v>0</v>
      </c>
      <c r="T495" s="133">
        <f t="shared" si="305"/>
        <v>0</v>
      </c>
      <c r="U495" s="133">
        <f t="shared" si="306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131">
        <f t="shared" si="307"/>
        <v>0</v>
      </c>
      <c r="M496" s="132">
        <f t="shared" si="307"/>
        <v>0</v>
      </c>
      <c r="N496" s="132">
        <f t="shared" si="307"/>
        <v>0</v>
      </c>
      <c r="O496" s="132">
        <f t="shared" si="302"/>
        <v>0</v>
      </c>
      <c r="P496" s="132">
        <f t="shared" si="303"/>
        <v>0</v>
      </c>
      <c r="Q496" s="132">
        <f t="shared" ca="1" si="308"/>
        <v>0</v>
      </c>
      <c r="R496" s="132">
        <f t="shared" ca="1" si="308"/>
        <v>0</v>
      </c>
      <c r="S496" s="132">
        <f t="shared" ca="1" si="308"/>
        <v>0</v>
      </c>
      <c r="T496" s="132">
        <f t="shared" ca="1" si="305"/>
        <v>0</v>
      </c>
      <c r="U496" s="132">
        <f t="shared" ca="1" si="306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131">
        <f t="shared" ref="L497:N497" si="309">L498+L499</f>
        <v>0</v>
      </c>
      <c r="M497" s="132">
        <f t="shared" si="309"/>
        <v>0</v>
      </c>
      <c r="N497" s="132">
        <f t="shared" si="309"/>
        <v>0</v>
      </c>
      <c r="O497" s="132">
        <f t="shared" si="302"/>
        <v>0</v>
      </c>
      <c r="P497" s="132">
        <f t="shared" si="303"/>
        <v>0</v>
      </c>
      <c r="Q497" s="132">
        <f t="shared" ref="Q497:S497" ca="1" si="310">Q498+Q499</f>
        <v>0</v>
      </c>
      <c r="R497" s="132">
        <f t="shared" ca="1" si="310"/>
        <v>0</v>
      </c>
      <c r="S497" s="132">
        <f t="shared" ca="1" si="310"/>
        <v>0</v>
      </c>
      <c r="T497" s="132">
        <f t="shared" ca="1" si="305"/>
        <v>0</v>
      </c>
      <c r="U497" s="132">
        <f t="shared" ca="1" si="306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133">
        <f t="shared" si="302"/>
        <v>0</v>
      </c>
      <c r="P498" s="133">
        <f t="shared" si="303"/>
        <v>0</v>
      </c>
      <c r="Q498" s="77">
        <v>0</v>
      </c>
      <c r="R498" s="77">
        <v>0</v>
      </c>
      <c r="S498" s="77">
        <v>0</v>
      </c>
      <c r="T498" s="133">
        <f t="shared" si="305"/>
        <v>0</v>
      </c>
      <c r="U498" s="133">
        <f t="shared" si="306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132">
        <f t="shared" si="302"/>
        <v>0</v>
      </c>
      <c r="P499" s="132">
        <f t="shared" si="303"/>
        <v>0</v>
      </c>
      <c r="Q499" s="132">
        <f ca="1">IFERROR(__xludf.DUMMYFUNCTION("IMPORTRANGE(""https://docs.google.com/spreadsheets/d/1ItG2mGa2ceCfYo0BwxsXqNm01IGEUdYcSSLTEv9YCik/edit?usp=sharing"",""เบิกจ่ายกองทุน!X55"")"),0)</f>
        <v>0</v>
      </c>
      <c r="R499" s="132">
        <f ca="1">IFERROR(__xludf.DUMMYFUNCTION("IMPORTRANGE(""https://docs.google.com/spreadsheets/d/1ItG2mGa2ceCfYo0BwxsXqNm01IGEUdYcSSLTEv9YCik/edit?usp=sharing"",""เบิกจ่ายกองทุน!Y55"")"),0)</f>
        <v>0</v>
      </c>
      <c r="S499" s="132">
        <f ca="1">IFERROR(__xludf.DUMMYFUNCTION("IMPORTRANGE(""https://docs.google.com/spreadsheets/d/1ItG2mGa2ceCfYo0BwxsXqNm01IGEUdYcSSLTEv9YCik/edit?usp=sharing"",""เบิกจ่ายกองทุน!Z55"")"),0)</f>
        <v>0</v>
      </c>
      <c r="T499" s="132">
        <f t="shared" ca="1" si="305"/>
        <v>0</v>
      </c>
      <c r="U499" s="132">
        <f t="shared" ca="1" si="306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131">
        <f t="shared" ref="L500:N500" si="311">L501+L502</f>
        <v>0</v>
      </c>
      <c r="M500" s="132">
        <f t="shared" si="311"/>
        <v>0</v>
      </c>
      <c r="N500" s="132">
        <f t="shared" si="311"/>
        <v>0</v>
      </c>
      <c r="O500" s="132">
        <f t="shared" si="302"/>
        <v>0</v>
      </c>
      <c r="P500" s="132">
        <f t="shared" si="303"/>
        <v>0</v>
      </c>
      <c r="Q500" s="132">
        <f t="shared" ref="Q500:S500" si="312">Q501+Q502</f>
        <v>0</v>
      </c>
      <c r="R500" s="132">
        <f t="shared" si="312"/>
        <v>0</v>
      </c>
      <c r="S500" s="132">
        <f t="shared" si="312"/>
        <v>0</v>
      </c>
      <c r="T500" s="132">
        <f t="shared" si="305"/>
        <v>0</v>
      </c>
      <c r="U500" s="132">
        <f t="shared" si="306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133">
        <f t="shared" si="302"/>
        <v>0</v>
      </c>
      <c r="P501" s="133">
        <f t="shared" si="303"/>
        <v>0</v>
      </c>
      <c r="Q501" s="77">
        <v>0</v>
      </c>
      <c r="R501" s="77">
        <v>0</v>
      </c>
      <c r="S501" s="77">
        <v>0</v>
      </c>
      <c r="T501" s="133">
        <f t="shared" si="305"/>
        <v>0</v>
      </c>
      <c r="U501" s="133">
        <f t="shared" si="306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132">
        <f t="shared" si="302"/>
        <v>0</v>
      </c>
      <c r="P502" s="132">
        <f t="shared" si="303"/>
        <v>0</v>
      </c>
      <c r="Q502" s="74">
        <v>0</v>
      </c>
      <c r="R502" s="74">
        <v>0</v>
      </c>
      <c r="S502" s="74">
        <v>0</v>
      </c>
      <c r="T502" s="132">
        <f t="shared" si="305"/>
        <v>0</v>
      </c>
      <c r="U502" s="132">
        <f t="shared" si="306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IFERROR(__xludf.DUMMYFUNCTION("IMPORTRANGE(""https://docs.google.com/spreadsheets/d/1eHaY18a8A9IcSdp1K8H6x8fbOy06t2VsZHhMHf-1x7Y/edit?usp=sharing"",""แผน!GX55"")"),0)</f>
        <v>0</v>
      </c>
      <c r="J504" s="622">
        <f ca="1">IF(AND(J505=I505,J506=I506,J507=I507,J508=I508),I504,0)</f>
        <v>0</v>
      </c>
      <c r="K504" s="264">
        <f t="shared" ref="K504:K510" ca="1" si="313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IFERROR(__xludf.DUMMYFUNCTION("IMPORTRANGE(""https://docs.google.com/spreadsheets/d/1eHaY18a8A9IcSdp1K8H6x8fbOy06t2VsZHhMHf-1x7Y/edit?usp=sharing"",""แผน!GY55"")"),0)</f>
        <v>0</v>
      </c>
      <c r="J505" s="294">
        <v>0</v>
      </c>
      <c r="K505" s="74">
        <f t="shared" ca="1" si="313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IFERROR(__xludf.DUMMYFUNCTION("IMPORTRANGE(""https://docs.google.com/spreadsheets/d/1eHaY18a8A9IcSdp1K8H6x8fbOy06t2VsZHhMHf-1x7Y/edit?usp=sharing"",""แผน!GZ55"")"),0)</f>
        <v>0</v>
      </c>
      <c r="J506" s="294">
        <v>0</v>
      </c>
      <c r="K506" s="74">
        <f t="shared" ca="1" si="313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IFERROR(__xludf.DUMMYFUNCTION("IMPORTRANGE(""https://docs.google.com/spreadsheets/d/1eHaY18a8A9IcSdp1K8H6x8fbOy06t2VsZHhMHf-1x7Y/edit?usp=sharing"",""แผน!HA55"")"),0)</f>
        <v>0</v>
      </c>
      <c r="J507" s="294">
        <v>0</v>
      </c>
      <c r="K507" s="74">
        <f t="shared" ca="1" si="313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IFERROR(__xludf.DUMMYFUNCTION("IMPORTRANGE(""https://docs.google.com/spreadsheets/d/1eHaY18a8A9IcSdp1K8H6x8fbOy06t2VsZHhMHf-1x7Y/edit?usp=sharing"",""แผน!HB55"")"),0)</f>
        <v>0</v>
      </c>
      <c r="J508" s="294">
        <v>0</v>
      </c>
      <c r="K508" s="74">
        <f t="shared" ca="1" si="313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3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IFERROR(__xludf.DUMMYFUNCTION("IMPORTRANGE(""https://docs.google.com/spreadsheets/d/1eHaY18a8A9IcSdp1K8H6x8fbOy06t2VsZHhMHf-1x7Y/edit?usp=sharing"",""แผน!HC55"")"),0)</f>
        <v>0</v>
      </c>
      <c r="J510" s="761">
        <v>0</v>
      </c>
      <c r="K510" s="182">
        <f t="shared" ca="1" si="313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8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204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1001" t="s">
        <v>61</v>
      </c>
      <c r="I513" s="988">
        <f t="shared" ref="I513:J513" si="314">I525</f>
        <v>0</v>
      </c>
      <c r="J513" s="988">
        <f t="shared" si="314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214">
        <f t="shared" ref="L514:N514" ca="1" si="315">L515+L516</f>
        <v>0</v>
      </c>
      <c r="M514" s="215">
        <f t="shared" ca="1" si="315"/>
        <v>0</v>
      </c>
      <c r="N514" s="215">
        <f t="shared" ca="1" si="315"/>
        <v>0</v>
      </c>
      <c r="O514" s="215">
        <f t="shared" ref="O514:O522" ca="1" si="316">IF(L514&gt;0,N514*100/L514,0)</f>
        <v>0</v>
      </c>
      <c r="P514" s="215">
        <f t="shared" ref="P514:P522" ca="1" si="317">IF(M514&gt;0,N514*100/M514,0)</f>
        <v>0</v>
      </c>
      <c r="Q514" s="215">
        <f t="shared" ref="Q514:S514" si="318">Q515+Q516</f>
        <v>0</v>
      </c>
      <c r="R514" s="215">
        <f t="shared" si="318"/>
        <v>0</v>
      </c>
      <c r="S514" s="215">
        <f t="shared" si="318"/>
        <v>0</v>
      </c>
      <c r="T514" s="215">
        <f t="shared" ref="T514:T522" si="319">IF(Q514&gt;0,S514*100/Q514,0)</f>
        <v>0</v>
      </c>
      <c r="U514" s="215">
        <f t="shared" ref="U514:U522" si="320">IF(R514&gt;0,S514*100/R514,0)</f>
        <v>0</v>
      </c>
    </row>
    <row r="515" spans="1:21" ht="18.75" hidden="1" x14ac:dyDescent="0.25">
      <c r="A515" s="257"/>
      <c r="B515" s="269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217">
        <f t="shared" ref="L515:N516" si="321">L518+L521</f>
        <v>0</v>
      </c>
      <c r="M515" s="133">
        <f t="shared" si="321"/>
        <v>0</v>
      </c>
      <c r="N515" s="133">
        <f t="shared" si="321"/>
        <v>0</v>
      </c>
      <c r="O515" s="133">
        <f t="shared" si="316"/>
        <v>0</v>
      </c>
      <c r="P515" s="133">
        <f t="shared" si="317"/>
        <v>0</v>
      </c>
      <c r="Q515" s="133">
        <f t="shared" ref="Q515:S516" si="322">Q518+Q521</f>
        <v>0</v>
      </c>
      <c r="R515" s="133">
        <f t="shared" si="322"/>
        <v>0</v>
      </c>
      <c r="S515" s="133">
        <f t="shared" si="322"/>
        <v>0</v>
      </c>
      <c r="T515" s="133">
        <f t="shared" si="319"/>
        <v>0</v>
      </c>
      <c r="U515" s="133">
        <f t="shared" si="320"/>
        <v>0</v>
      </c>
    </row>
    <row r="516" spans="1:21" ht="18.75" hidden="1" x14ac:dyDescent="0.25">
      <c r="A516" s="257"/>
      <c r="B516" s="258"/>
      <c r="C516" s="269"/>
      <c r="D516" s="258"/>
      <c r="E516" s="775" t="s">
        <v>21</v>
      </c>
      <c r="F516" s="258"/>
      <c r="G516" s="261"/>
      <c r="H516" s="266" t="s">
        <v>14</v>
      </c>
      <c r="I516" s="263"/>
      <c r="J516" s="263"/>
      <c r="K516" s="87"/>
      <c r="L516" s="131">
        <f t="shared" ca="1" si="321"/>
        <v>0</v>
      </c>
      <c r="M516" s="132">
        <f t="shared" ca="1" si="321"/>
        <v>0</v>
      </c>
      <c r="N516" s="132">
        <f t="shared" ca="1" si="321"/>
        <v>0</v>
      </c>
      <c r="O516" s="132">
        <f t="shared" ca="1" si="316"/>
        <v>0</v>
      </c>
      <c r="P516" s="132">
        <f t="shared" ca="1" si="317"/>
        <v>0</v>
      </c>
      <c r="Q516" s="132">
        <f t="shared" si="322"/>
        <v>0</v>
      </c>
      <c r="R516" s="132">
        <f t="shared" si="322"/>
        <v>0</v>
      </c>
      <c r="S516" s="132">
        <f t="shared" si="322"/>
        <v>0</v>
      </c>
      <c r="T516" s="132">
        <f t="shared" si="319"/>
        <v>0</v>
      </c>
      <c r="U516" s="132">
        <f t="shared" si="320"/>
        <v>0</v>
      </c>
    </row>
    <row r="517" spans="1:21" ht="18.75" hidden="1" x14ac:dyDescent="0.25">
      <c r="A517" s="257"/>
      <c r="B517" s="258"/>
      <c r="C517" s="269"/>
      <c r="D517" s="991" t="s">
        <v>22</v>
      </c>
      <c r="E517" s="269"/>
      <c r="F517" s="258"/>
      <c r="G517" s="261"/>
      <c r="H517" s="273" t="s">
        <v>14</v>
      </c>
      <c r="I517" s="272"/>
      <c r="J517" s="272"/>
      <c r="K517" s="229"/>
      <c r="L517" s="131">
        <f t="shared" ref="L517:N517" ca="1" si="323">L518+L519</f>
        <v>0</v>
      </c>
      <c r="M517" s="132">
        <f t="shared" ca="1" si="323"/>
        <v>0</v>
      </c>
      <c r="N517" s="132">
        <f t="shared" ca="1" si="323"/>
        <v>0</v>
      </c>
      <c r="O517" s="132">
        <f t="shared" ca="1" si="316"/>
        <v>0</v>
      </c>
      <c r="P517" s="132">
        <f t="shared" ca="1" si="317"/>
        <v>0</v>
      </c>
      <c r="Q517" s="132">
        <f t="shared" ref="Q517:S517" si="324">Q518+Q519</f>
        <v>0</v>
      </c>
      <c r="R517" s="132">
        <f t="shared" si="324"/>
        <v>0</v>
      </c>
      <c r="S517" s="132">
        <f t="shared" si="324"/>
        <v>0</v>
      </c>
      <c r="T517" s="132">
        <f t="shared" si="319"/>
        <v>0</v>
      </c>
      <c r="U517" s="132">
        <f t="shared" si="320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133">
        <f t="shared" si="316"/>
        <v>0</v>
      </c>
      <c r="P518" s="133">
        <f t="shared" si="317"/>
        <v>0</v>
      </c>
      <c r="Q518" s="77">
        <v>0</v>
      </c>
      <c r="R518" s="77">
        <v>0</v>
      </c>
      <c r="S518" s="77">
        <v>0</v>
      </c>
      <c r="T518" s="133">
        <f t="shared" si="319"/>
        <v>0</v>
      </c>
      <c r="U518" s="133">
        <f t="shared" si="320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131">
        <f ca="1">IFERROR(__xludf.DUMMYFUNCTION("IMPORTRANGE(""https://docs.google.com/spreadsheets/d/1-uDff_7J0KD5mKrp0Vvzr7lt3OU09vwQwhkpOPPYv2Y/edit?usp=sharing"",""งบพรบ!FM55"")"),0)</f>
        <v>0</v>
      </c>
      <c r="M519" s="132">
        <f ca="1">IFERROR(__xludf.DUMMYFUNCTION("IMPORTRANGE(""https://docs.google.com/spreadsheets/d/1-uDff_7J0KD5mKrp0Vvzr7lt3OU09vwQwhkpOPPYv2Y/edit?usp=sharing"",""งบพรบ!FR55"")"),0)</f>
        <v>0</v>
      </c>
      <c r="N519" s="132">
        <f ca="1">IFERROR(__xludf.DUMMYFUNCTION("IMPORTRANGE(""https://docs.google.com/spreadsheets/d/1-uDff_7J0KD5mKrp0Vvzr7lt3OU09vwQwhkpOPPYv2Y/edit?usp=sharing"",""งบพรบ!FT55"")"),0)</f>
        <v>0</v>
      </c>
      <c r="O519" s="132">
        <f t="shared" ca="1" si="316"/>
        <v>0</v>
      </c>
      <c r="P519" s="132">
        <f t="shared" ca="1" si="317"/>
        <v>0</v>
      </c>
      <c r="Q519" s="74">
        <v>0</v>
      </c>
      <c r="R519" s="74">
        <v>0</v>
      </c>
      <c r="S519" s="74">
        <v>0</v>
      </c>
      <c r="T519" s="132">
        <f t="shared" si="319"/>
        <v>0</v>
      </c>
      <c r="U519" s="132">
        <f t="shared" si="320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131">
        <f t="shared" ref="L520:N520" ca="1" si="325">L521+L522</f>
        <v>0</v>
      </c>
      <c r="M520" s="132">
        <f t="shared" ca="1" si="325"/>
        <v>0</v>
      </c>
      <c r="N520" s="132">
        <f t="shared" ca="1" si="325"/>
        <v>0</v>
      </c>
      <c r="O520" s="132">
        <f t="shared" ca="1" si="316"/>
        <v>0</v>
      </c>
      <c r="P520" s="132">
        <f t="shared" ca="1" si="317"/>
        <v>0</v>
      </c>
      <c r="Q520" s="132">
        <f t="shared" ref="Q520:S520" si="326">Q521+Q522</f>
        <v>0</v>
      </c>
      <c r="R520" s="132">
        <f t="shared" si="326"/>
        <v>0</v>
      </c>
      <c r="S520" s="132">
        <f t="shared" si="326"/>
        <v>0</v>
      </c>
      <c r="T520" s="132">
        <f t="shared" si="319"/>
        <v>0</v>
      </c>
      <c r="U520" s="132">
        <f t="shared" si="320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133">
        <f t="shared" si="316"/>
        <v>0</v>
      </c>
      <c r="P521" s="133">
        <f t="shared" si="317"/>
        <v>0</v>
      </c>
      <c r="Q521" s="77">
        <v>0</v>
      </c>
      <c r="R521" s="77">
        <v>0</v>
      </c>
      <c r="S521" s="77">
        <v>0</v>
      </c>
      <c r="T521" s="133">
        <f t="shared" si="319"/>
        <v>0</v>
      </c>
      <c r="U521" s="133">
        <f t="shared" si="320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131">
        <f ca="1">IFERROR(__xludf.DUMMYFUNCTION("IMPORTRANGE(""https://docs.google.com/spreadsheets/d/1-uDff_7J0KD5mKrp0Vvzr7lt3OU09vwQwhkpOPPYv2Y/edit?usp=sharing"",""งบพรบ!FP55"")"),0)</f>
        <v>0</v>
      </c>
      <c r="M522" s="132">
        <f ca="1">IFERROR(__xludf.DUMMYFUNCTION("IMPORTRANGE(""https://docs.google.com/spreadsheets/d/1-uDff_7J0KD5mKrp0Vvzr7lt3OU09vwQwhkpOPPYv2Y/edit?usp=sharing"",""งบพรบ!FS55"")"),0)</f>
        <v>0</v>
      </c>
      <c r="N522" s="132">
        <f ca="1">IFERROR(__xludf.DUMMYFUNCTION("IMPORTRANGE(""https://docs.google.com/spreadsheets/d/1-uDff_7J0KD5mKrp0Vvzr7lt3OU09vwQwhkpOPPYv2Y/edit?usp=sharing"",""งบพรบ!FU55"")"),0)</f>
        <v>0</v>
      </c>
      <c r="O522" s="132">
        <f t="shared" ca="1" si="316"/>
        <v>0</v>
      </c>
      <c r="P522" s="132">
        <f t="shared" ca="1" si="317"/>
        <v>0</v>
      </c>
      <c r="Q522" s="74">
        <v>0</v>
      </c>
      <c r="R522" s="74">
        <v>0</v>
      </c>
      <c r="S522" s="74">
        <v>0</v>
      </c>
      <c r="T522" s="132">
        <f t="shared" si="319"/>
        <v>0</v>
      </c>
      <c r="U522" s="132">
        <f t="shared" si="320"/>
        <v>0</v>
      </c>
    </row>
    <row r="523" spans="1:21" ht="19.5" hidden="1" x14ac:dyDescent="0.3">
      <c r="A523" s="276"/>
      <c r="B523" s="277"/>
      <c r="C523" s="100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7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7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1244" t="s">
        <v>306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8">I546</f>
        <v>0</v>
      </c>
      <c r="J534" s="1002">
        <f t="shared" si="328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214">
        <f t="shared" ref="L535:N535" si="329">L536+L537</f>
        <v>0</v>
      </c>
      <c r="M535" s="215">
        <f t="shared" si="329"/>
        <v>0</v>
      </c>
      <c r="N535" s="215">
        <f t="shared" si="329"/>
        <v>0</v>
      </c>
      <c r="O535" s="215">
        <f t="shared" ref="O535:O543" si="330">IF(L535&gt;0,N535*100/L535,0)</f>
        <v>0</v>
      </c>
      <c r="P535" s="215">
        <f t="shared" ref="P535:P543" si="331">IF(M535&gt;0,N535*100/M535,0)</f>
        <v>0</v>
      </c>
      <c r="Q535" s="215">
        <f t="shared" ref="Q535:S535" si="332">Q536+Q537</f>
        <v>0</v>
      </c>
      <c r="R535" s="215">
        <f t="shared" si="332"/>
        <v>0</v>
      </c>
      <c r="S535" s="215">
        <f t="shared" si="332"/>
        <v>0</v>
      </c>
      <c r="T535" s="215">
        <f t="shared" ref="T535:T543" si="333">IF(Q535&gt;0,S535*100/Q535,0)</f>
        <v>0</v>
      </c>
      <c r="U535" s="215">
        <f t="shared" ref="U535:U543" si="334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217">
        <f t="shared" ref="L536:N537" si="335">L539+L542</f>
        <v>0</v>
      </c>
      <c r="M536" s="133">
        <f t="shared" si="335"/>
        <v>0</v>
      </c>
      <c r="N536" s="133">
        <f t="shared" si="335"/>
        <v>0</v>
      </c>
      <c r="O536" s="133">
        <f t="shared" si="330"/>
        <v>0</v>
      </c>
      <c r="P536" s="133">
        <f t="shared" si="331"/>
        <v>0</v>
      </c>
      <c r="Q536" s="133">
        <f t="shared" ref="Q536:S537" si="336">Q539+Q542</f>
        <v>0</v>
      </c>
      <c r="R536" s="133">
        <f t="shared" si="336"/>
        <v>0</v>
      </c>
      <c r="S536" s="133">
        <f t="shared" si="336"/>
        <v>0</v>
      </c>
      <c r="T536" s="133">
        <f t="shared" si="333"/>
        <v>0</v>
      </c>
      <c r="U536" s="133">
        <f t="shared" si="334"/>
        <v>0</v>
      </c>
    </row>
    <row r="537" spans="1:21" ht="18.75" hidden="1" x14ac:dyDescent="0.25">
      <c r="A537" s="257"/>
      <c r="B537" s="269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131">
        <f t="shared" si="335"/>
        <v>0</v>
      </c>
      <c r="M537" s="132">
        <f t="shared" si="335"/>
        <v>0</v>
      </c>
      <c r="N537" s="132">
        <f t="shared" si="335"/>
        <v>0</v>
      </c>
      <c r="O537" s="132">
        <f t="shared" si="330"/>
        <v>0</v>
      </c>
      <c r="P537" s="132">
        <f t="shared" si="331"/>
        <v>0</v>
      </c>
      <c r="Q537" s="132">
        <f t="shared" si="336"/>
        <v>0</v>
      </c>
      <c r="R537" s="132">
        <f t="shared" si="336"/>
        <v>0</v>
      </c>
      <c r="S537" s="132">
        <f t="shared" si="336"/>
        <v>0</v>
      </c>
      <c r="T537" s="132">
        <f t="shared" si="333"/>
        <v>0</v>
      </c>
      <c r="U537" s="132">
        <f t="shared" si="334"/>
        <v>0</v>
      </c>
    </row>
    <row r="538" spans="1:21" ht="18.75" hidden="1" x14ac:dyDescent="0.25">
      <c r="A538" s="257"/>
      <c r="B538" s="269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131">
        <f t="shared" ref="L538:N538" si="337">L539+L540</f>
        <v>0</v>
      </c>
      <c r="M538" s="132">
        <f t="shared" si="337"/>
        <v>0</v>
      </c>
      <c r="N538" s="132">
        <f t="shared" si="337"/>
        <v>0</v>
      </c>
      <c r="O538" s="132">
        <f t="shared" si="330"/>
        <v>0</v>
      </c>
      <c r="P538" s="132">
        <f t="shared" si="331"/>
        <v>0</v>
      </c>
      <c r="Q538" s="132">
        <f t="shared" ref="Q538:S538" si="338">Q539+Q540</f>
        <v>0</v>
      </c>
      <c r="R538" s="132">
        <f t="shared" si="338"/>
        <v>0</v>
      </c>
      <c r="S538" s="132">
        <f t="shared" si="338"/>
        <v>0</v>
      </c>
      <c r="T538" s="132">
        <f t="shared" si="333"/>
        <v>0</v>
      </c>
      <c r="U538" s="132">
        <f t="shared" si="334"/>
        <v>0</v>
      </c>
    </row>
    <row r="539" spans="1:21" ht="18.75" hidden="1" x14ac:dyDescent="0.25">
      <c r="A539" s="257"/>
      <c r="B539" s="269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133">
        <f t="shared" si="330"/>
        <v>0</v>
      </c>
      <c r="P539" s="133">
        <f t="shared" si="331"/>
        <v>0</v>
      </c>
      <c r="Q539" s="77">
        <v>0</v>
      </c>
      <c r="R539" s="77">
        <v>0</v>
      </c>
      <c r="S539" s="77">
        <v>0</v>
      </c>
      <c r="T539" s="133">
        <f t="shared" si="333"/>
        <v>0</v>
      </c>
      <c r="U539" s="133">
        <f t="shared" si="334"/>
        <v>0</v>
      </c>
    </row>
    <row r="540" spans="1:21" ht="18.75" hidden="1" x14ac:dyDescent="0.25">
      <c r="A540" s="257"/>
      <c r="B540" s="269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132">
        <f t="shared" si="330"/>
        <v>0</v>
      </c>
      <c r="P540" s="132">
        <f t="shared" si="331"/>
        <v>0</v>
      </c>
      <c r="Q540" s="74">
        <v>0</v>
      </c>
      <c r="R540" s="74">
        <v>0</v>
      </c>
      <c r="S540" s="74">
        <v>0</v>
      </c>
      <c r="T540" s="132">
        <f t="shared" si="333"/>
        <v>0</v>
      </c>
      <c r="U540" s="132">
        <f t="shared" si="334"/>
        <v>0</v>
      </c>
    </row>
    <row r="541" spans="1:21" ht="18.75" hidden="1" x14ac:dyDescent="0.25">
      <c r="A541" s="257"/>
      <c r="B541" s="269"/>
      <c r="C541" s="269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131">
        <f t="shared" ref="L541:N541" si="339">L542+L543</f>
        <v>0</v>
      </c>
      <c r="M541" s="132">
        <f t="shared" si="339"/>
        <v>0</v>
      </c>
      <c r="N541" s="132">
        <f t="shared" si="339"/>
        <v>0</v>
      </c>
      <c r="O541" s="132">
        <f t="shared" si="330"/>
        <v>0</v>
      </c>
      <c r="P541" s="132">
        <f t="shared" si="331"/>
        <v>0</v>
      </c>
      <c r="Q541" s="132">
        <f t="shared" ref="Q541:S541" si="340">Q542+Q543</f>
        <v>0</v>
      </c>
      <c r="R541" s="132">
        <f t="shared" si="340"/>
        <v>0</v>
      </c>
      <c r="S541" s="132">
        <f t="shared" si="340"/>
        <v>0</v>
      </c>
      <c r="T541" s="132">
        <f t="shared" si="333"/>
        <v>0</v>
      </c>
      <c r="U541" s="132">
        <f t="shared" si="334"/>
        <v>0</v>
      </c>
    </row>
    <row r="542" spans="1:21" ht="18.75" hidden="1" x14ac:dyDescent="0.25">
      <c r="A542" s="257"/>
      <c r="B542" s="269"/>
      <c r="C542" s="269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133">
        <f t="shared" si="330"/>
        <v>0</v>
      </c>
      <c r="P542" s="133">
        <f t="shared" si="331"/>
        <v>0</v>
      </c>
      <c r="Q542" s="77">
        <v>0</v>
      </c>
      <c r="R542" s="77">
        <v>0</v>
      </c>
      <c r="S542" s="77">
        <v>0</v>
      </c>
      <c r="T542" s="133">
        <f t="shared" si="333"/>
        <v>0</v>
      </c>
      <c r="U542" s="133">
        <f t="shared" si="334"/>
        <v>0</v>
      </c>
    </row>
    <row r="543" spans="1:21" ht="18.75" hidden="1" x14ac:dyDescent="0.25">
      <c r="A543" s="257"/>
      <c r="B543" s="269"/>
      <c r="C543" s="269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132">
        <f t="shared" si="330"/>
        <v>0</v>
      </c>
      <c r="P543" s="132">
        <f t="shared" si="331"/>
        <v>0</v>
      </c>
      <c r="Q543" s="74">
        <v>0</v>
      </c>
      <c r="R543" s="74">
        <v>0</v>
      </c>
      <c r="S543" s="74">
        <v>0</v>
      </c>
      <c r="T543" s="132">
        <f t="shared" si="333"/>
        <v>0</v>
      </c>
      <c r="U543" s="132">
        <f t="shared" si="334"/>
        <v>0</v>
      </c>
    </row>
    <row r="544" spans="1:21" ht="19.5" hidden="1" x14ac:dyDescent="0.3">
      <c r="A544" s="276"/>
      <c r="B544" s="277"/>
      <c r="C544" s="618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59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59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1244" t="s">
        <v>307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1">I567</f>
        <v>0</v>
      </c>
      <c r="J555" s="1002">
        <f t="shared" si="341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69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214">
        <f t="shared" ref="L556:N556" si="342">L557+L558</f>
        <v>0</v>
      </c>
      <c r="M556" s="215">
        <f t="shared" si="342"/>
        <v>0</v>
      </c>
      <c r="N556" s="215">
        <f t="shared" si="342"/>
        <v>0</v>
      </c>
      <c r="O556" s="215">
        <f t="shared" ref="O556:O564" si="343">IF(L556&gt;0,N556*100/L556,0)</f>
        <v>0</v>
      </c>
      <c r="P556" s="215">
        <f t="shared" ref="P556:P564" si="344">IF(M556&gt;0,N556*100/M556,0)</f>
        <v>0</v>
      </c>
      <c r="Q556" s="215">
        <f t="shared" ref="Q556:S556" si="345">Q557+Q558</f>
        <v>0</v>
      </c>
      <c r="R556" s="215">
        <f t="shared" si="345"/>
        <v>0</v>
      </c>
      <c r="S556" s="215">
        <f t="shared" si="345"/>
        <v>0</v>
      </c>
      <c r="T556" s="215">
        <f t="shared" ref="T556:T564" si="346">IF(Q556&gt;0,S556*100/Q556,0)</f>
        <v>0</v>
      </c>
      <c r="U556" s="215">
        <f t="shared" ref="U556:U564" si="347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217">
        <f t="shared" ref="L557:N558" si="348">L560+L563</f>
        <v>0</v>
      </c>
      <c r="M557" s="133">
        <f t="shared" si="348"/>
        <v>0</v>
      </c>
      <c r="N557" s="133">
        <f t="shared" si="348"/>
        <v>0</v>
      </c>
      <c r="O557" s="133">
        <f t="shared" si="343"/>
        <v>0</v>
      </c>
      <c r="P557" s="133">
        <f t="shared" si="344"/>
        <v>0</v>
      </c>
      <c r="Q557" s="133">
        <f t="shared" ref="Q557:S558" si="349">Q560+Q563</f>
        <v>0</v>
      </c>
      <c r="R557" s="133">
        <f t="shared" si="349"/>
        <v>0</v>
      </c>
      <c r="S557" s="133">
        <f t="shared" si="349"/>
        <v>0</v>
      </c>
      <c r="T557" s="133">
        <f t="shared" si="346"/>
        <v>0</v>
      </c>
      <c r="U557" s="133">
        <f t="shared" si="347"/>
        <v>0</v>
      </c>
    </row>
    <row r="558" spans="1:21" ht="18.75" hidden="1" x14ac:dyDescent="0.25">
      <c r="A558" s="257"/>
      <c r="B558" s="269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131">
        <f t="shared" si="348"/>
        <v>0</v>
      </c>
      <c r="M558" s="132">
        <f t="shared" si="348"/>
        <v>0</v>
      </c>
      <c r="N558" s="132">
        <f t="shared" si="348"/>
        <v>0</v>
      </c>
      <c r="O558" s="132">
        <f t="shared" si="343"/>
        <v>0</v>
      </c>
      <c r="P558" s="132">
        <f t="shared" si="344"/>
        <v>0</v>
      </c>
      <c r="Q558" s="132">
        <f t="shared" si="349"/>
        <v>0</v>
      </c>
      <c r="R558" s="132">
        <f t="shared" si="349"/>
        <v>0</v>
      </c>
      <c r="S558" s="132">
        <f t="shared" si="349"/>
        <v>0</v>
      </c>
      <c r="T558" s="132">
        <f t="shared" si="346"/>
        <v>0</v>
      </c>
      <c r="U558" s="132">
        <f t="shared" si="347"/>
        <v>0</v>
      </c>
    </row>
    <row r="559" spans="1:21" ht="18.75" hidden="1" x14ac:dyDescent="0.25">
      <c r="A559" s="257"/>
      <c r="B559" s="269"/>
      <c r="C559" s="269"/>
      <c r="D559" s="967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131">
        <f t="shared" ref="L559:N559" si="350">L560+L561</f>
        <v>0</v>
      </c>
      <c r="M559" s="132">
        <f t="shared" si="350"/>
        <v>0</v>
      </c>
      <c r="N559" s="132">
        <f t="shared" si="350"/>
        <v>0</v>
      </c>
      <c r="O559" s="132">
        <f t="shared" si="343"/>
        <v>0</v>
      </c>
      <c r="P559" s="132">
        <f t="shared" si="344"/>
        <v>0</v>
      </c>
      <c r="Q559" s="132">
        <f t="shared" ref="Q559:S559" si="351">Q560+Q561</f>
        <v>0</v>
      </c>
      <c r="R559" s="132">
        <f t="shared" si="351"/>
        <v>0</v>
      </c>
      <c r="S559" s="132">
        <f t="shared" si="351"/>
        <v>0</v>
      </c>
      <c r="T559" s="132">
        <f t="shared" si="346"/>
        <v>0</v>
      </c>
      <c r="U559" s="132">
        <f t="shared" si="347"/>
        <v>0</v>
      </c>
    </row>
    <row r="560" spans="1:21" ht="18.75" hidden="1" x14ac:dyDescent="0.25">
      <c r="A560" s="257"/>
      <c r="B560" s="269"/>
      <c r="C560" s="269"/>
      <c r="D560" s="269"/>
      <c r="E560" s="77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133">
        <f t="shared" si="343"/>
        <v>0</v>
      </c>
      <c r="P560" s="133">
        <f t="shared" si="344"/>
        <v>0</v>
      </c>
      <c r="Q560" s="77">
        <v>0</v>
      </c>
      <c r="R560" s="77">
        <v>0</v>
      </c>
      <c r="S560" s="77">
        <v>0</v>
      </c>
      <c r="T560" s="133">
        <f t="shared" si="346"/>
        <v>0</v>
      </c>
      <c r="U560" s="133">
        <f t="shared" si="347"/>
        <v>0</v>
      </c>
    </row>
    <row r="561" spans="1:21" ht="18.75" hidden="1" x14ac:dyDescent="0.25">
      <c r="A561" s="257"/>
      <c r="B561" s="269"/>
      <c r="C561" s="258"/>
      <c r="D561" s="269"/>
      <c r="E561" s="749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132">
        <f t="shared" si="343"/>
        <v>0</v>
      </c>
      <c r="P561" s="132">
        <f t="shared" si="344"/>
        <v>0</v>
      </c>
      <c r="Q561" s="74">
        <v>0</v>
      </c>
      <c r="R561" s="74">
        <v>0</v>
      </c>
      <c r="S561" s="74">
        <v>0</v>
      </c>
      <c r="T561" s="132">
        <f t="shared" si="346"/>
        <v>0</v>
      </c>
      <c r="U561" s="132">
        <f t="shared" si="347"/>
        <v>0</v>
      </c>
    </row>
    <row r="562" spans="1:21" ht="18.75" hidden="1" x14ac:dyDescent="0.25">
      <c r="A562" s="257"/>
      <c r="B562" s="269"/>
      <c r="C562" s="269"/>
      <c r="D562" s="967" t="s">
        <v>23</v>
      </c>
      <c r="E562" s="269"/>
      <c r="F562" s="258"/>
      <c r="G562" s="261"/>
      <c r="H562" s="275" t="s">
        <v>14</v>
      </c>
      <c r="I562" s="272"/>
      <c r="J562" s="272"/>
      <c r="K562" s="229"/>
      <c r="L562" s="131">
        <f t="shared" ref="L562:N562" si="352">L563+L564</f>
        <v>0</v>
      </c>
      <c r="M562" s="132">
        <f t="shared" si="352"/>
        <v>0</v>
      </c>
      <c r="N562" s="132">
        <f t="shared" si="352"/>
        <v>0</v>
      </c>
      <c r="O562" s="132">
        <f t="shared" si="343"/>
        <v>0</v>
      </c>
      <c r="P562" s="132">
        <f t="shared" si="344"/>
        <v>0</v>
      </c>
      <c r="Q562" s="132">
        <f t="shared" ref="Q562:S562" si="353">Q563+Q564</f>
        <v>0</v>
      </c>
      <c r="R562" s="132">
        <f t="shared" si="353"/>
        <v>0</v>
      </c>
      <c r="S562" s="132">
        <f t="shared" si="353"/>
        <v>0</v>
      </c>
      <c r="T562" s="132">
        <f t="shared" si="346"/>
        <v>0</v>
      </c>
      <c r="U562" s="132">
        <f t="shared" si="347"/>
        <v>0</v>
      </c>
    </row>
    <row r="563" spans="1:21" ht="18.75" hidden="1" x14ac:dyDescent="0.25">
      <c r="A563" s="257"/>
      <c r="B563" s="269"/>
      <c r="C563" s="269"/>
      <c r="D563" s="269"/>
      <c r="E563" s="77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133">
        <f t="shared" si="343"/>
        <v>0</v>
      </c>
      <c r="P563" s="133">
        <f t="shared" si="344"/>
        <v>0</v>
      </c>
      <c r="Q563" s="77">
        <v>0</v>
      </c>
      <c r="R563" s="77">
        <v>0</v>
      </c>
      <c r="S563" s="77">
        <v>0</v>
      </c>
      <c r="T563" s="133">
        <f t="shared" si="346"/>
        <v>0</v>
      </c>
      <c r="U563" s="133">
        <f t="shared" si="347"/>
        <v>0</v>
      </c>
    </row>
    <row r="564" spans="1:21" ht="18.75" hidden="1" x14ac:dyDescent="0.25">
      <c r="A564" s="257"/>
      <c r="B564" s="269"/>
      <c r="C564" s="269"/>
      <c r="D564" s="269"/>
      <c r="E564" s="749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132">
        <f t="shared" si="343"/>
        <v>0</v>
      </c>
      <c r="P564" s="132">
        <f t="shared" si="344"/>
        <v>0</v>
      </c>
      <c r="Q564" s="74">
        <v>0</v>
      </c>
      <c r="R564" s="74">
        <v>0</v>
      </c>
      <c r="S564" s="74">
        <v>0</v>
      </c>
      <c r="T564" s="132">
        <f t="shared" si="346"/>
        <v>0</v>
      </c>
      <c r="U564" s="132">
        <f t="shared" si="347"/>
        <v>0</v>
      </c>
    </row>
    <row r="565" spans="1:21" ht="19.5" hidden="1" x14ac:dyDescent="0.3">
      <c r="A565" s="276"/>
      <c r="B565" s="277"/>
      <c r="C565" s="618" t="s">
        <v>18</v>
      </c>
      <c r="D565" s="968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593"/>
      <c r="C566" s="593"/>
      <c r="D566" s="59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593"/>
      <c r="C567" s="593"/>
      <c r="D567" s="59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59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1244" t="s">
        <v>308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4">I588</f>
        <v>0</v>
      </c>
      <c r="J576" s="1002">
        <f t="shared" si="354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69"/>
      <c r="C577" s="621" t="s">
        <v>18</v>
      </c>
      <c r="D577" s="260" t="s">
        <v>19</v>
      </c>
      <c r="E577" s="269"/>
      <c r="F577" s="269"/>
      <c r="G577" s="261"/>
      <c r="H577" s="262" t="s">
        <v>14</v>
      </c>
      <c r="I577" s="263"/>
      <c r="J577" s="263"/>
      <c r="K577" s="87"/>
      <c r="L577" s="214">
        <f t="shared" ref="L577:N577" si="355">L578+L579</f>
        <v>0</v>
      </c>
      <c r="M577" s="215">
        <f t="shared" si="355"/>
        <v>0</v>
      </c>
      <c r="N577" s="215">
        <f t="shared" si="355"/>
        <v>0</v>
      </c>
      <c r="O577" s="215">
        <f t="shared" ref="O577:O585" si="356">IF(L577&gt;0,N577*100/L577,0)</f>
        <v>0</v>
      </c>
      <c r="P577" s="215">
        <f t="shared" ref="P577:P585" si="357">IF(M577&gt;0,N577*100/M577,0)</f>
        <v>0</v>
      </c>
      <c r="Q577" s="215">
        <f t="shared" ref="Q577:S577" si="358">Q578+Q579</f>
        <v>0</v>
      </c>
      <c r="R577" s="215">
        <f t="shared" si="358"/>
        <v>0</v>
      </c>
      <c r="S577" s="215">
        <f t="shared" si="358"/>
        <v>0</v>
      </c>
      <c r="T577" s="215">
        <f t="shared" ref="T577:T585" si="359">IF(Q577&gt;0,S577*100/Q577,0)</f>
        <v>0</v>
      </c>
      <c r="U577" s="215">
        <f t="shared" ref="U577:U585" si="360">IF(R577&gt;0,S577*100/R577,0)</f>
        <v>0</v>
      </c>
    </row>
    <row r="578" spans="1:21" ht="18.75" hidden="1" x14ac:dyDescent="0.25">
      <c r="A578" s="257"/>
      <c r="B578" s="269"/>
      <c r="C578" s="269"/>
      <c r="D578" s="269"/>
      <c r="E578" s="775" t="s">
        <v>20</v>
      </c>
      <c r="F578" s="269"/>
      <c r="G578" s="261"/>
      <c r="H578" s="266" t="s">
        <v>14</v>
      </c>
      <c r="I578" s="263"/>
      <c r="J578" s="263"/>
      <c r="K578" s="87"/>
      <c r="L578" s="217">
        <f t="shared" ref="L578:N579" si="361">L581+L584</f>
        <v>0</v>
      </c>
      <c r="M578" s="133">
        <f t="shared" si="361"/>
        <v>0</v>
      </c>
      <c r="N578" s="133">
        <f t="shared" si="361"/>
        <v>0</v>
      </c>
      <c r="O578" s="133">
        <f t="shared" si="356"/>
        <v>0</v>
      </c>
      <c r="P578" s="133">
        <f t="shared" si="357"/>
        <v>0</v>
      </c>
      <c r="Q578" s="133">
        <f t="shared" ref="Q578:S579" si="362">Q581+Q584</f>
        <v>0</v>
      </c>
      <c r="R578" s="133">
        <f t="shared" si="362"/>
        <v>0</v>
      </c>
      <c r="S578" s="133">
        <f t="shared" si="362"/>
        <v>0</v>
      </c>
      <c r="T578" s="133">
        <f t="shared" si="359"/>
        <v>0</v>
      </c>
      <c r="U578" s="133">
        <f t="shared" si="360"/>
        <v>0</v>
      </c>
    </row>
    <row r="579" spans="1:21" ht="18.75" hidden="1" x14ac:dyDescent="0.25">
      <c r="A579" s="257"/>
      <c r="B579" s="269"/>
      <c r="C579" s="269"/>
      <c r="D579" s="269"/>
      <c r="E579" s="749" t="s">
        <v>21</v>
      </c>
      <c r="F579" s="269"/>
      <c r="G579" s="261"/>
      <c r="H579" s="268" t="s">
        <v>14</v>
      </c>
      <c r="I579" s="263"/>
      <c r="J579" s="263"/>
      <c r="K579" s="87"/>
      <c r="L579" s="131">
        <f t="shared" si="361"/>
        <v>0</v>
      </c>
      <c r="M579" s="132">
        <f t="shared" si="361"/>
        <v>0</v>
      </c>
      <c r="N579" s="132">
        <f t="shared" si="361"/>
        <v>0</v>
      </c>
      <c r="O579" s="132">
        <f t="shared" si="356"/>
        <v>0</v>
      </c>
      <c r="P579" s="132">
        <f t="shared" si="357"/>
        <v>0</v>
      </c>
      <c r="Q579" s="132">
        <f t="shared" si="362"/>
        <v>0</v>
      </c>
      <c r="R579" s="132">
        <f t="shared" si="362"/>
        <v>0</v>
      </c>
      <c r="S579" s="132">
        <f t="shared" si="362"/>
        <v>0</v>
      </c>
      <c r="T579" s="132">
        <f t="shared" si="359"/>
        <v>0</v>
      </c>
      <c r="U579" s="132">
        <f t="shared" si="360"/>
        <v>0</v>
      </c>
    </row>
    <row r="580" spans="1:21" ht="18.75" hidden="1" x14ac:dyDescent="0.25">
      <c r="A580" s="257"/>
      <c r="B580" s="269"/>
      <c r="C580" s="269"/>
      <c r="D580" s="967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131">
        <f t="shared" ref="L580:N580" si="363">L581+L582</f>
        <v>0</v>
      </c>
      <c r="M580" s="132">
        <f t="shared" si="363"/>
        <v>0</v>
      </c>
      <c r="N580" s="132">
        <f t="shared" si="363"/>
        <v>0</v>
      </c>
      <c r="O580" s="132">
        <f t="shared" si="356"/>
        <v>0</v>
      </c>
      <c r="P580" s="132">
        <f t="shared" si="357"/>
        <v>0</v>
      </c>
      <c r="Q580" s="132">
        <f t="shared" ref="Q580:S580" si="364">Q581+Q582</f>
        <v>0</v>
      </c>
      <c r="R580" s="132">
        <f t="shared" si="364"/>
        <v>0</v>
      </c>
      <c r="S580" s="132">
        <f t="shared" si="364"/>
        <v>0</v>
      </c>
      <c r="T580" s="132">
        <f t="shared" si="359"/>
        <v>0</v>
      </c>
      <c r="U580" s="132">
        <f t="shared" si="360"/>
        <v>0</v>
      </c>
    </row>
    <row r="581" spans="1:21" ht="18.75" hidden="1" x14ac:dyDescent="0.25">
      <c r="A581" s="257"/>
      <c r="B581" s="269"/>
      <c r="C581" s="269"/>
      <c r="D581" s="269"/>
      <c r="E581" s="775" t="s">
        <v>36</v>
      </c>
      <c r="F581" s="269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133">
        <f t="shared" si="356"/>
        <v>0</v>
      </c>
      <c r="P581" s="133">
        <f t="shared" si="357"/>
        <v>0</v>
      </c>
      <c r="Q581" s="77">
        <v>0</v>
      </c>
      <c r="R581" s="77">
        <v>0</v>
      </c>
      <c r="S581" s="77">
        <v>0</v>
      </c>
      <c r="T581" s="133">
        <f t="shared" si="359"/>
        <v>0</v>
      </c>
      <c r="U581" s="133">
        <f t="shared" si="360"/>
        <v>0</v>
      </c>
    </row>
    <row r="582" spans="1:21" ht="18.75" hidden="1" x14ac:dyDescent="0.25">
      <c r="A582" s="257"/>
      <c r="B582" s="269"/>
      <c r="C582" s="269"/>
      <c r="D582" s="269"/>
      <c r="E582" s="749" t="s">
        <v>37</v>
      </c>
      <c r="F582" s="269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132">
        <f t="shared" si="356"/>
        <v>0</v>
      </c>
      <c r="P582" s="132">
        <f t="shared" si="357"/>
        <v>0</v>
      </c>
      <c r="Q582" s="74">
        <v>0</v>
      </c>
      <c r="R582" s="74">
        <v>0</v>
      </c>
      <c r="S582" s="74">
        <v>0</v>
      </c>
      <c r="T582" s="132">
        <f t="shared" si="359"/>
        <v>0</v>
      </c>
      <c r="U582" s="132">
        <f t="shared" si="360"/>
        <v>0</v>
      </c>
    </row>
    <row r="583" spans="1:21" ht="18.75" hidden="1" x14ac:dyDescent="0.25">
      <c r="A583" s="257"/>
      <c r="B583" s="269"/>
      <c r="C583" s="269"/>
      <c r="D583" s="967" t="s">
        <v>23</v>
      </c>
      <c r="E583" s="269"/>
      <c r="F583" s="269"/>
      <c r="G583" s="261"/>
      <c r="H583" s="275" t="s">
        <v>14</v>
      </c>
      <c r="I583" s="272"/>
      <c r="J583" s="272"/>
      <c r="K583" s="229"/>
      <c r="L583" s="131">
        <f t="shared" ref="L583:N583" si="365">L584+L585</f>
        <v>0</v>
      </c>
      <c r="M583" s="132">
        <f t="shared" si="365"/>
        <v>0</v>
      </c>
      <c r="N583" s="132">
        <f t="shared" si="365"/>
        <v>0</v>
      </c>
      <c r="O583" s="132">
        <f t="shared" si="356"/>
        <v>0</v>
      </c>
      <c r="P583" s="132">
        <f t="shared" si="357"/>
        <v>0</v>
      </c>
      <c r="Q583" s="132">
        <f t="shared" ref="Q583:S583" si="366">Q584+Q585</f>
        <v>0</v>
      </c>
      <c r="R583" s="132">
        <f t="shared" si="366"/>
        <v>0</v>
      </c>
      <c r="S583" s="132">
        <f t="shared" si="366"/>
        <v>0</v>
      </c>
      <c r="T583" s="132">
        <f t="shared" si="359"/>
        <v>0</v>
      </c>
      <c r="U583" s="132">
        <f t="shared" si="360"/>
        <v>0</v>
      </c>
    </row>
    <row r="584" spans="1:21" ht="18.75" hidden="1" x14ac:dyDescent="0.25">
      <c r="A584" s="257"/>
      <c r="B584" s="269"/>
      <c r="C584" s="269"/>
      <c r="D584" s="269"/>
      <c r="E584" s="775" t="s">
        <v>20</v>
      </c>
      <c r="F584" s="269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133">
        <f t="shared" si="356"/>
        <v>0</v>
      </c>
      <c r="P584" s="133">
        <f t="shared" si="357"/>
        <v>0</v>
      </c>
      <c r="Q584" s="77">
        <v>0</v>
      </c>
      <c r="R584" s="77">
        <v>0</v>
      </c>
      <c r="S584" s="77">
        <v>0</v>
      </c>
      <c r="T584" s="133">
        <f t="shared" si="359"/>
        <v>0</v>
      </c>
      <c r="U584" s="133">
        <f t="shared" si="360"/>
        <v>0</v>
      </c>
    </row>
    <row r="585" spans="1:21" ht="18.75" hidden="1" x14ac:dyDescent="0.25">
      <c r="A585" s="257"/>
      <c r="B585" s="269"/>
      <c r="C585" s="269"/>
      <c r="D585" s="269"/>
      <c r="E585" s="749" t="s">
        <v>21</v>
      </c>
      <c r="F585" s="269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132">
        <f t="shared" si="356"/>
        <v>0</v>
      </c>
      <c r="P585" s="132">
        <f t="shared" si="357"/>
        <v>0</v>
      </c>
      <c r="Q585" s="74">
        <v>0</v>
      </c>
      <c r="R585" s="74">
        <v>0</v>
      </c>
      <c r="S585" s="74">
        <v>0</v>
      </c>
      <c r="T585" s="132">
        <f t="shared" si="359"/>
        <v>0</v>
      </c>
      <c r="U585" s="132">
        <f t="shared" si="360"/>
        <v>0</v>
      </c>
    </row>
    <row r="586" spans="1:21" ht="19.5" hidden="1" x14ac:dyDescent="0.3">
      <c r="A586" s="276"/>
      <c r="B586" s="277"/>
      <c r="C586" s="618" t="s">
        <v>18</v>
      </c>
      <c r="D586" s="968" t="s">
        <v>38</v>
      </c>
      <c r="E586" s="783"/>
      <c r="F586" s="783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593"/>
      <c r="C587" s="593"/>
      <c r="D587" s="593"/>
      <c r="E587" s="593"/>
      <c r="F587" s="59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593"/>
      <c r="C588" s="593"/>
      <c r="D588" s="593"/>
      <c r="E588" s="593"/>
      <c r="F588" s="59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593"/>
      <c r="E589" s="593"/>
      <c r="F589" s="59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593"/>
      <c r="E590" s="59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593"/>
      <c r="E591" s="593"/>
      <c r="F591" s="59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593"/>
      <c r="E592" s="593"/>
      <c r="F592" s="59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593"/>
      <c r="E593" s="59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593"/>
      <c r="E594" s="59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593"/>
      <c r="E595" s="59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598"/>
      <c r="E596" s="598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3"/>
      <c r="C597" s="692"/>
      <c r="D597" s="693"/>
      <c r="E597" s="693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1208" t="s">
        <v>309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3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214">
        <f t="shared" ref="L600:N600" si="367">L601+L602</f>
        <v>0</v>
      </c>
      <c r="M600" s="215">
        <f t="shared" si="367"/>
        <v>0</v>
      </c>
      <c r="N600" s="215">
        <f t="shared" si="367"/>
        <v>0</v>
      </c>
      <c r="O600" s="215">
        <f t="shared" ref="O600:O608" si="368">IF(L600&gt;0,N600*100/L600,0)</f>
        <v>0</v>
      </c>
      <c r="P600" s="215">
        <f t="shared" ref="P600:P608" si="369">IF(M600&gt;0,N600*100/M600,0)</f>
        <v>0</v>
      </c>
      <c r="Q600" s="215">
        <f t="shared" ref="Q600:S600" si="370">Q601+Q602</f>
        <v>0</v>
      </c>
      <c r="R600" s="215">
        <f t="shared" si="370"/>
        <v>0</v>
      </c>
      <c r="S600" s="215">
        <f t="shared" si="370"/>
        <v>0</v>
      </c>
      <c r="T600" s="215">
        <f t="shared" ref="T600:T608" si="371">IF(Q600&gt;0,S600*100/Q600,0)</f>
        <v>0</v>
      </c>
      <c r="U600" s="215">
        <f t="shared" ref="U600:U608" si="372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217">
        <f t="shared" ref="L601:N602" si="373">L604+L607</f>
        <v>0</v>
      </c>
      <c r="M601" s="133">
        <f t="shared" si="373"/>
        <v>0</v>
      </c>
      <c r="N601" s="133">
        <f t="shared" si="373"/>
        <v>0</v>
      </c>
      <c r="O601" s="133">
        <f t="shared" si="368"/>
        <v>0</v>
      </c>
      <c r="P601" s="133">
        <f t="shared" si="369"/>
        <v>0</v>
      </c>
      <c r="Q601" s="133">
        <f t="shared" ref="Q601:S602" si="374">Q604+Q607</f>
        <v>0</v>
      </c>
      <c r="R601" s="133">
        <f t="shared" si="374"/>
        <v>0</v>
      </c>
      <c r="S601" s="133">
        <f t="shared" si="374"/>
        <v>0</v>
      </c>
      <c r="T601" s="133">
        <f t="shared" si="371"/>
        <v>0</v>
      </c>
      <c r="U601" s="133">
        <f t="shared" si="372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131">
        <f t="shared" si="373"/>
        <v>0</v>
      </c>
      <c r="M602" s="132">
        <f t="shared" si="373"/>
        <v>0</v>
      </c>
      <c r="N602" s="132">
        <f t="shared" si="373"/>
        <v>0</v>
      </c>
      <c r="O602" s="132">
        <f t="shared" si="368"/>
        <v>0</v>
      </c>
      <c r="P602" s="132">
        <f t="shared" si="369"/>
        <v>0</v>
      </c>
      <c r="Q602" s="132">
        <f t="shared" si="374"/>
        <v>0</v>
      </c>
      <c r="R602" s="132">
        <f t="shared" si="374"/>
        <v>0</v>
      </c>
      <c r="S602" s="132">
        <f t="shared" si="374"/>
        <v>0</v>
      </c>
      <c r="T602" s="132">
        <f t="shared" si="371"/>
        <v>0</v>
      </c>
      <c r="U602" s="132">
        <f t="shared" si="372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131">
        <f t="shared" ref="L603:N603" si="375">L604+L605</f>
        <v>0</v>
      </c>
      <c r="M603" s="132">
        <f t="shared" si="375"/>
        <v>0</v>
      </c>
      <c r="N603" s="132">
        <f t="shared" si="375"/>
        <v>0</v>
      </c>
      <c r="O603" s="132">
        <f t="shared" si="368"/>
        <v>0</v>
      </c>
      <c r="P603" s="132">
        <f t="shared" si="369"/>
        <v>0</v>
      </c>
      <c r="Q603" s="132">
        <f t="shared" ref="Q603:S603" si="376">Q604+Q605</f>
        <v>0</v>
      </c>
      <c r="R603" s="132">
        <f t="shared" si="376"/>
        <v>0</v>
      </c>
      <c r="S603" s="132">
        <f t="shared" si="376"/>
        <v>0</v>
      </c>
      <c r="T603" s="132">
        <f t="shared" si="371"/>
        <v>0</v>
      </c>
      <c r="U603" s="132">
        <f t="shared" si="372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133">
        <f t="shared" si="368"/>
        <v>0</v>
      </c>
      <c r="P604" s="133">
        <f t="shared" si="369"/>
        <v>0</v>
      </c>
      <c r="Q604" s="77">
        <v>0</v>
      </c>
      <c r="R604" s="77">
        <v>0</v>
      </c>
      <c r="S604" s="77">
        <v>0</v>
      </c>
      <c r="T604" s="133">
        <f t="shared" si="371"/>
        <v>0</v>
      </c>
      <c r="U604" s="133">
        <f t="shared" si="372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132">
        <f t="shared" si="368"/>
        <v>0</v>
      </c>
      <c r="P605" s="132">
        <f t="shared" si="369"/>
        <v>0</v>
      </c>
      <c r="Q605" s="74">
        <v>0</v>
      </c>
      <c r="R605" s="74">
        <v>0</v>
      </c>
      <c r="S605" s="74">
        <v>0</v>
      </c>
      <c r="T605" s="132">
        <f t="shared" si="371"/>
        <v>0</v>
      </c>
      <c r="U605" s="132">
        <f t="shared" si="372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131">
        <f t="shared" ref="L606:N606" si="377">L607+L608</f>
        <v>0</v>
      </c>
      <c r="M606" s="132">
        <f t="shared" si="377"/>
        <v>0</v>
      </c>
      <c r="N606" s="132">
        <f t="shared" si="377"/>
        <v>0</v>
      </c>
      <c r="O606" s="132">
        <f t="shared" si="368"/>
        <v>0</v>
      </c>
      <c r="P606" s="132">
        <f t="shared" si="369"/>
        <v>0</v>
      </c>
      <c r="Q606" s="132">
        <f t="shared" ref="Q606:S606" si="378">Q607+Q608</f>
        <v>0</v>
      </c>
      <c r="R606" s="132">
        <f t="shared" si="378"/>
        <v>0</v>
      </c>
      <c r="S606" s="132">
        <f t="shared" si="378"/>
        <v>0</v>
      </c>
      <c r="T606" s="132">
        <f t="shared" si="371"/>
        <v>0</v>
      </c>
      <c r="U606" s="132">
        <f t="shared" si="372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133">
        <f t="shared" si="368"/>
        <v>0</v>
      </c>
      <c r="P607" s="133">
        <f t="shared" si="369"/>
        <v>0</v>
      </c>
      <c r="Q607" s="77">
        <v>0</v>
      </c>
      <c r="R607" s="77">
        <v>0</v>
      </c>
      <c r="S607" s="77">
        <v>0</v>
      </c>
      <c r="T607" s="133">
        <f t="shared" si="371"/>
        <v>0</v>
      </c>
      <c r="U607" s="133">
        <f t="shared" si="372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132">
        <f t="shared" si="368"/>
        <v>0</v>
      </c>
      <c r="P608" s="132">
        <f t="shared" si="369"/>
        <v>0</v>
      </c>
      <c r="Q608" s="74">
        <v>0</v>
      </c>
      <c r="R608" s="74">
        <v>0</v>
      </c>
      <c r="S608" s="74">
        <v>0</v>
      </c>
      <c r="T608" s="132">
        <f t="shared" si="371"/>
        <v>0</v>
      </c>
      <c r="U608" s="132">
        <f t="shared" si="372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hidden="1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336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1245">
        <f t="shared" ref="I616:J616" ca="1" si="379">I627</f>
        <v>0</v>
      </c>
      <c r="J616" s="1245">
        <f t="shared" si="379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214">
        <f t="shared" ref="L617:N617" si="380">L618+L619</f>
        <v>0</v>
      </c>
      <c r="M617" s="215">
        <f t="shared" si="380"/>
        <v>0</v>
      </c>
      <c r="N617" s="215">
        <f t="shared" si="380"/>
        <v>0</v>
      </c>
      <c r="O617" s="215">
        <f t="shared" ref="O617:O625" si="381">IF(L617&gt;0,N617*100/L617,0)</f>
        <v>0</v>
      </c>
      <c r="P617" s="215">
        <f t="shared" ref="P617:P625" si="382">IF(M617&gt;0,N617*100/M617,0)</f>
        <v>0</v>
      </c>
      <c r="Q617" s="215">
        <f t="shared" ref="Q617:S617" ca="1" si="383">Q618+Q619</f>
        <v>1275</v>
      </c>
      <c r="R617" s="215">
        <f t="shared" ca="1" si="383"/>
        <v>1275</v>
      </c>
      <c r="S617" s="215">
        <f t="shared" ca="1" si="383"/>
        <v>0</v>
      </c>
      <c r="T617" s="215">
        <f t="shared" ref="T617:T625" ca="1" si="384">IF(Q617&gt;0,S617*100/Q617,0)</f>
        <v>0</v>
      </c>
      <c r="U617" s="215">
        <f t="shared" ref="U617:U625" ca="1" si="385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217">
        <f t="shared" ref="L618:N619" si="386">L621+L624</f>
        <v>0</v>
      </c>
      <c r="M618" s="133">
        <f t="shared" si="386"/>
        <v>0</v>
      </c>
      <c r="N618" s="133">
        <f t="shared" si="386"/>
        <v>0</v>
      </c>
      <c r="O618" s="133">
        <f t="shared" si="381"/>
        <v>0</v>
      </c>
      <c r="P618" s="133">
        <f t="shared" si="382"/>
        <v>0</v>
      </c>
      <c r="Q618" s="133">
        <f t="shared" ref="Q618:S619" si="387">Q621+Q624</f>
        <v>0</v>
      </c>
      <c r="R618" s="133">
        <f t="shared" si="387"/>
        <v>0</v>
      </c>
      <c r="S618" s="133">
        <f t="shared" si="387"/>
        <v>0</v>
      </c>
      <c r="T618" s="133">
        <f t="shared" si="384"/>
        <v>0</v>
      </c>
      <c r="U618" s="133">
        <f t="shared" si="385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131">
        <f t="shared" si="386"/>
        <v>0</v>
      </c>
      <c r="M619" s="132">
        <f t="shared" si="386"/>
        <v>0</v>
      </c>
      <c r="N619" s="132">
        <f t="shared" si="386"/>
        <v>0</v>
      </c>
      <c r="O619" s="132">
        <f t="shared" si="381"/>
        <v>0</v>
      </c>
      <c r="P619" s="132">
        <f t="shared" si="382"/>
        <v>0</v>
      </c>
      <c r="Q619" s="132">
        <f t="shared" ca="1" si="387"/>
        <v>1275</v>
      </c>
      <c r="R619" s="132">
        <f t="shared" ca="1" si="387"/>
        <v>1275</v>
      </c>
      <c r="S619" s="132">
        <f t="shared" ca="1" si="387"/>
        <v>0</v>
      </c>
      <c r="T619" s="132">
        <f t="shared" ca="1" si="384"/>
        <v>0</v>
      </c>
      <c r="U619" s="132">
        <f t="shared" ca="1" si="385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131">
        <f t="shared" ref="L620:N620" si="388">L621+L622</f>
        <v>0</v>
      </c>
      <c r="M620" s="132">
        <f t="shared" si="388"/>
        <v>0</v>
      </c>
      <c r="N620" s="132">
        <f t="shared" si="388"/>
        <v>0</v>
      </c>
      <c r="O620" s="132">
        <f t="shared" si="381"/>
        <v>0</v>
      </c>
      <c r="P620" s="132">
        <f t="shared" si="382"/>
        <v>0</v>
      </c>
      <c r="Q620" s="132">
        <f t="shared" ref="Q620:S620" ca="1" si="389">Q621+Q622</f>
        <v>1275</v>
      </c>
      <c r="R620" s="132">
        <f t="shared" ca="1" si="389"/>
        <v>1275</v>
      </c>
      <c r="S620" s="132">
        <f t="shared" ca="1" si="389"/>
        <v>0</v>
      </c>
      <c r="T620" s="132">
        <f t="shared" ca="1" si="384"/>
        <v>0</v>
      </c>
      <c r="U620" s="132">
        <f t="shared" ca="1" si="385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133">
        <f t="shared" si="381"/>
        <v>0</v>
      </c>
      <c r="P621" s="133">
        <f t="shared" si="382"/>
        <v>0</v>
      </c>
      <c r="Q621" s="77">
        <v>0</v>
      </c>
      <c r="R621" s="77">
        <v>0</v>
      </c>
      <c r="S621" s="77">
        <v>0</v>
      </c>
      <c r="T621" s="133">
        <f t="shared" si="384"/>
        <v>0</v>
      </c>
      <c r="U621" s="133">
        <f t="shared" si="385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132">
        <f t="shared" si="381"/>
        <v>0</v>
      </c>
      <c r="P622" s="132">
        <f t="shared" si="382"/>
        <v>0</v>
      </c>
      <c r="Q622" s="132">
        <f ca="1">IFERROR(__xludf.DUMMYFUNCTION("IMPORTRANGE(""https://docs.google.com/spreadsheets/d/1ItG2mGa2ceCfYo0BwxsXqNm01IGEUdYcSSLTEv9YCik/edit?usp=sharing"",""เบิกจ่ายกองทุน!F55"")"),1275)</f>
        <v>1275</v>
      </c>
      <c r="R622" s="132">
        <f ca="1">IFERROR(__xludf.DUMMYFUNCTION("IMPORTRANGE(""https://docs.google.com/spreadsheets/d/1ItG2mGa2ceCfYo0BwxsXqNm01IGEUdYcSSLTEv9YCik/edit?usp=sharing"",""เบิกจ่ายกองทุน!G55"")"),1275)</f>
        <v>1275</v>
      </c>
      <c r="S622" s="132">
        <f ca="1">IFERROR(__xludf.DUMMYFUNCTION("IMPORTRANGE(""https://docs.google.com/spreadsheets/d/1ItG2mGa2ceCfYo0BwxsXqNm01IGEUdYcSSLTEv9YCik/edit?usp=sharing"",""เบิกจ่ายกองทุน!H55"")"),0)</f>
        <v>0</v>
      </c>
      <c r="T622" s="132">
        <f t="shared" ca="1" si="384"/>
        <v>0</v>
      </c>
      <c r="U622" s="132">
        <f t="shared" ca="1" si="385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131">
        <f t="shared" ref="L623:N623" si="390">L624+L625</f>
        <v>0</v>
      </c>
      <c r="M623" s="132">
        <f t="shared" si="390"/>
        <v>0</v>
      </c>
      <c r="N623" s="132">
        <f t="shared" si="390"/>
        <v>0</v>
      </c>
      <c r="O623" s="132">
        <f t="shared" si="381"/>
        <v>0</v>
      </c>
      <c r="P623" s="132">
        <f t="shared" si="382"/>
        <v>0</v>
      </c>
      <c r="Q623" s="132">
        <f t="shared" ref="Q623:S623" si="391">Q624+Q625</f>
        <v>0</v>
      </c>
      <c r="R623" s="132">
        <f t="shared" si="391"/>
        <v>0</v>
      </c>
      <c r="S623" s="132">
        <f t="shared" si="391"/>
        <v>0</v>
      </c>
      <c r="T623" s="132">
        <f t="shared" si="384"/>
        <v>0</v>
      </c>
      <c r="U623" s="132">
        <f t="shared" si="385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133">
        <f t="shared" si="381"/>
        <v>0</v>
      </c>
      <c r="P624" s="133">
        <f t="shared" si="382"/>
        <v>0</v>
      </c>
      <c r="Q624" s="77">
        <v>0</v>
      </c>
      <c r="R624" s="77">
        <v>0</v>
      </c>
      <c r="S624" s="77">
        <v>0</v>
      </c>
      <c r="T624" s="133">
        <f t="shared" si="384"/>
        <v>0</v>
      </c>
      <c r="U624" s="133">
        <f t="shared" si="385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132">
        <f t="shared" si="381"/>
        <v>0</v>
      </c>
      <c r="P625" s="132">
        <f t="shared" si="382"/>
        <v>0</v>
      </c>
      <c r="Q625" s="74">
        <v>0</v>
      </c>
      <c r="R625" s="74">
        <v>0</v>
      </c>
      <c r="S625" s="74">
        <v>0</v>
      </c>
      <c r="T625" s="132">
        <f t="shared" si="384"/>
        <v>0</v>
      </c>
      <c r="U625" s="132">
        <f t="shared" si="385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1012">
        <f ca="1">IFERROR(__xludf.DUMMYFUNCTION("IMPORTRANGE(""https://docs.google.com/spreadsheets/d/1eHaY18a8A9IcSdp1K8H6x8fbOy06t2VsZHhMHf-1x7Y/edit?usp=sharing"",""แผน!ID55"")"),0)</f>
        <v>0</v>
      </c>
      <c r="J627" s="1013">
        <f>J633</f>
        <v>0</v>
      </c>
      <c r="K627" s="101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1015">
        <f ca="1">IFERROR(__xludf.DUMMYFUNCTION("IMPORTRANGE(""https://docs.google.com/spreadsheets/d/1eHaY18a8A9IcSdp1K8H6x8fbOy06t2VsZHhMHf-1x7Y/edit?usp=sharing"",""แผน!IC55"")"),0)</f>
        <v>0</v>
      </c>
      <c r="J628" s="294">
        <v>0</v>
      </c>
      <c r="K628" s="74">
        <f t="shared" ref="K628:K629" ca="1" si="392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1015">
        <f ca="1">IFERROR(__xludf.DUMMYFUNCTION("IMPORTRANGE(""https://docs.google.com/spreadsheets/d/1eHaY18a8A9IcSdp1K8H6x8fbOy06t2VsZHhMHf-1x7Y/edit?usp=sharing"",""แผน!IC55"")"),0)</f>
        <v>0</v>
      </c>
      <c r="J629" s="294">
        <v>0</v>
      </c>
      <c r="K629" s="74">
        <f t="shared" ca="1" si="392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1016"/>
      <c r="J630" s="294">
        <v>0</v>
      </c>
      <c r="K630" s="74">
        <f t="shared" ref="K630:K632" ca="1" si="393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1016"/>
      <c r="J631" s="294">
        <v>0</v>
      </c>
      <c r="K631" s="74">
        <f t="shared" ca="1" si="393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1016"/>
      <c r="J632" s="294">
        <v>0</v>
      </c>
      <c r="K632" s="74">
        <f t="shared" ca="1" si="393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1016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1016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1016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1017">
        <f ca="1">IFERROR(__xludf.DUMMYFUNCTION("IMPORTRANGE(""https://docs.google.com/spreadsheets/d/1eHaY18a8A9IcSdp1K8H6x8fbOy06t2VsZHhMHf-1x7Y/edit?usp=sharing"",""แผน!IE55"")"),0)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1016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1016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1016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1016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1016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214">
        <f t="shared" ref="L643:N643" si="394">L644+L645</f>
        <v>0</v>
      </c>
      <c r="M643" s="215">
        <f t="shared" si="394"/>
        <v>0</v>
      </c>
      <c r="N643" s="215">
        <f t="shared" si="394"/>
        <v>0</v>
      </c>
      <c r="O643" s="215">
        <f t="shared" ref="O643:O651" si="395">IF(L643&gt;0,N643*100/L643,0)</f>
        <v>0</v>
      </c>
      <c r="P643" s="215">
        <f t="shared" ref="P643:P651" si="396">IF(M643&gt;0,N643*100/M643,0)</f>
        <v>0</v>
      </c>
      <c r="Q643" s="215">
        <f t="shared" ref="Q643:S643" ca="1" si="397">Q644+Q645</f>
        <v>65360</v>
      </c>
      <c r="R643" s="215">
        <f t="shared" ca="1" si="397"/>
        <v>65360</v>
      </c>
      <c r="S643" s="215">
        <f t="shared" ca="1" si="397"/>
        <v>3470</v>
      </c>
      <c r="T643" s="215">
        <f t="shared" ref="T643:T651" ca="1" si="398">IF(Q643&gt;0,S643*100/Q643,0)</f>
        <v>5.30905752753978</v>
      </c>
      <c r="U643" s="215">
        <f t="shared" ref="U643:U651" ca="1" si="399">IF(R643&gt;0,S643*100/R643,0)</f>
        <v>5.30905752753978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217">
        <f t="shared" ref="L644:N645" si="400">L647+L650</f>
        <v>0</v>
      </c>
      <c r="M644" s="133">
        <f t="shared" si="400"/>
        <v>0</v>
      </c>
      <c r="N644" s="133">
        <f t="shared" si="400"/>
        <v>0</v>
      </c>
      <c r="O644" s="133">
        <f t="shared" si="395"/>
        <v>0</v>
      </c>
      <c r="P644" s="133">
        <f t="shared" si="396"/>
        <v>0</v>
      </c>
      <c r="Q644" s="133">
        <f t="shared" ref="Q644:S645" si="401">Q647+Q650</f>
        <v>0</v>
      </c>
      <c r="R644" s="133">
        <f t="shared" si="401"/>
        <v>0</v>
      </c>
      <c r="S644" s="133">
        <f t="shared" si="401"/>
        <v>0</v>
      </c>
      <c r="T644" s="133">
        <f t="shared" si="398"/>
        <v>0</v>
      </c>
      <c r="U644" s="133">
        <f t="shared" si="399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131">
        <f t="shared" si="400"/>
        <v>0</v>
      </c>
      <c r="M645" s="132">
        <f t="shared" si="400"/>
        <v>0</v>
      </c>
      <c r="N645" s="132">
        <f t="shared" si="400"/>
        <v>0</v>
      </c>
      <c r="O645" s="132">
        <f t="shared" si="395"/>
        <v>0</v>
      </c>
      <c r="P645" s="132">
        <f t="shared" si="396"/>
        <v>0</v>
      </c>
      <c r="Q645" s="132">
        <f t="shared" ca="1" si="401"/>
        <v>65360</v>
      </c>
      <c r="R645" s="132">
        <f t="shared" ca="1" si="401"/>
        <v>65360</v>
      </c>
      <c r="S645" s="132">
        <f t="shared" ca="1" si="401"/>
        <v>3470</v>
      </c>
      <c r="T645" s="132">
        <f t="shared" ca="1" si="398"/>
        <v>5.30905752753978</v>
      </c>
      <c r="U645" s="132">
        <f t="shared" ca="1" si="399"/>
        <v>5.30905752753978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131">
        <f t="shared" ref="L646:N646" si="402">L647+L648</f>
        <v>0</v>
      </c>
      <c r="M646" s="132">
        <f t="shared" si="402"/>
        <v>0</v>
      </c>
      <c r="N646" s="132">
        <f t="shared" si="402"/>
        <v>0</v>
      </c>
      <c r="O646" s="132">
        <f t="shared" si="395"/>
        <v>0</v>
      </c>
      <c r="P646" s="132">
        <f t="shared" si="396"/>
        <v>0</v>
      </c>
      <c r="Q646" s="132">
        <f t="shared" ref="Q646:S646" ca="1" si="403">Q647+Q648</f>
        <v>65360</v>
      </c>
      <c r="R646" s="132">
        <f t="shared" ca="1" si="403"/>
        <v>65360</v>
      </c>
      <c r="S646" s="132">
        <f t="shared" ca="1" si="403"/>
        <v>3470</v>
      </c>
      <c r="T646" s="132">
        <f t="shared" ca="1" si="398"/>
        <v>5.30905752753978</v>
      </c>
      <c r="U646" s="132">
        <f t="shared" ca="1" si="399"/>
        <v>5.30905752753978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133">
        <f t="shared" si="395"/>
        <v>0</v>
      </c>
      <c r="P647" s="133">
        <f t="shared" si="396"/>
        <v>0</v>
      </c>
      <c r="Q647" s="77">
        <v>0</v>
      </c>
      <c r="R647" s="77">
        <v>0</v>
      </c>
      <c r="S647" s="77">
        <v>0</v>
      </c>
      <c r="T647" s="133">
        <f t="shared" si="398"/>
        <v>0</v>
      </c>
      <c r="U647" s="133">
        <f t="shared" si="399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132">
        <f t="shared" si="395"/>
        <v>0</v>
      </c>
      <c r="P648" s="132">
        <f t="shared" si="396"/>
        <v>0</v>
      </c>
      <c r="Q648" s="132">
        <f ca="1">IFERROR(__xludf.DUMMYFUNCTION("IMPORTRANGE(""https://docs.google.com/spreadsheets/d/1ItG2mGa2ceCfYo0BwxsXqNm01IGEUdYcSSLTEv9YCik/edit?usp=sharing"",""เบิกจ่ายกองทุน!I55"")"),65360)</f>
        <v>65360</v>
      </c>
      <c r="R648" s="132">
        <f ca="1">IFERROR(__xludf.DUMMYFUNCTION("IMPORTRANGE(""https://docs.google.com/spreadsheets/d/1ItG2mGa2ceCfYo0BwxsXqNm01IGEUdYcSSLTEv9YCik/edit?usp=sharing"",""เบิกจ่ายกองทุน!J55"")"),65360)</f>
        <v>65360</v>
      </c>
      <c r="S648" s="132">
        <f ca="1">IFERROR(__xludf.DUMMYFUNCTION("IMPORTRANGE(""https://docs.google.com/spreadsheets/d/1ItG2mGa2ceCfYo0BwxsXqNm01IGEUdYcSSLTEv9YCik/edit?usp=sharing"",""เบิกจ่ายกองทุน!K55"")"),3470)</f>
        <v>3470</v>
      </c>
      <c r="T648" s="132">
        <f t="shared" ca="1" si="398"/>
        <v>5.30905752753978</v>
      </c>
      <c r="U648" s="132">
        <f t="shared" ca="1" si="399"/>
        <v>5.30905752753978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131">
        <f t="shared" ref="L649:N649" si="404">L650+L651</f>
        <v>0</v>
      </c>
      <c r="M649" s="132">
        <f t="shared" si="404"/>
        <v>0</v>
      </c>
      <c r="N649" s="132">
        <f t="shared" si="404"/>
        <v>0</v>
      </c>
      <c r="O649" s="132">
        <f t="shared" si="395"/>
        <v>0</v>
      </c>
      <c r="P649" s="132">
        <f t="shared" si="396"/>
        <v>0</v>
      </c>
      <c r="Q649" s="132">
        <f t="shared" ref="Q649:S649" si="405">Q650+Q651</f>
        <v>0</v>
      </c>
      <c r="R649" s="132">
        <f t="shared" si="405"/>
        <v>0</v>
      </c>
      <c r="S649" s="132">
        <f t="shared" si="405"/>
        <v>0</v>
      </c>
      <c r="T649" s="132">
        <f t="shared" si="398"/>
        <v>0</v>
      </c>
      <c r="U649" s="132">
        <f t="shared" si="399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133">
        <f t="shared" si="395"/>
        <v>0</v>
      </c>
      <c r="P650" s="133">
        <f t="shared" si="396"/>
        <v>0</v>
      </c>
      <c r="Q650" s="77">
        <v>0</v>
      </c>
      <c r="R650" s="77">
        <v>0</v>
      </c>
      <c r="S650" s="77">
        <v>0</v>
      </c>
      <c r="T650" s="133">
        <f t="shared" si="398"/>
        <v>0</v>
      </c>
      <c r="U650" s="133">
        <f t="shared" si="399"/>
        <v>0</v>
      </c>
    </row>
    <row r="651" spans="1:21" ht="18.75" hidden="1" x14ac:dyDescent="0.25">
      <c r="A651" s="257"/>
      <c r="B651" s="269"/>
      <c r="C651" s="269"/>
      <c r="D651" s="269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132">
        <f t="shared" si="395"/>
        <v>0</v>
      </c>
      <c r="P651" s="132">
        <f t="shared" si="396"/>
        <v>0</v>
      </c>
      <c r="Q651" s="74">
        <v>0</v>
      </c>
      <c r="R651" s="74">
        <v>0</v>
      </c>
      <c r="S651" s="74">
        <v>0</v>
      </c>
      <c r="T651" s="132">
        <f t="shared" si="398"/>
        <v>0</v>
      </c>
      <c r="U651" s="132">
        <f t="shared" si="399"/>
        <v>0</v>
      </c>
    </row>
    <row r="652" spans="1:21" ht="19.5" x14ac:dyDescent="0.3">
      <c r="A652" s="276"/>
      <c r="B652" s="277"/>
      <c r="C652" s="749" t="s">
        <v>18</v>
      </c>
      <c r="D652" s="1011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749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IFERROR(__xludf.DUMMYFUNCTION("IMPORTRANGE(""https://docs.google.com/spreadsheets/d/1eHaY18a8A9IcSdp1K8H6x8fbOy06t2VsZHhMHf-1x7Y/edit?usp=sharing"",""แผน!IF55"")"),0)</f>
        <v>0</v>
      </c>
      <c r="J653" s="293">
        <f ca="1">IFERROR(__xludf.DUMMYFUNCTION("IMPORTRANGE(""https://docs.google.com/spreadsheets/d/1tdoBKaGub7dwA3U6UFTqxio9LNnvDCQjHKmttSEBsFQ/edit?usp=sharing"",""จัดที่ดิน!AU55"")"),0)</f>
        <v>0</v>
      </c>
      <c r="K653" s="74">
        <f t="shared" ref="K653:K655" ca="1" si="406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x14ac:dyDescent="0.25">
      <c r="A654" s="550"/>
      <c r="B654" s="269"/>
      <c r="C654" s="269"/>
      <c r="D654" s="749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IFERROR(__xludf.DUMMYFUNCTION("IMPORTRANGE(""https://docs.google.com/spreadsheets/d/1eHaY18a8A9IcSdp1K8H6x8fbOy06t2VsZHhMHf-1x7Y/edit?usp=sharing"",""แผน!IG55"")"),10)</f>
        <v>10</v>
      </c>
      <c r="J654" s="293">
        <f ca="1">IFERROR(__xludf.DUMMYFUNCTION("IMPORTRANGE(""https://docs.google.com/spreadsheets/d/1tdoBKaGub7dwA3U6UFTqxio9LNnvDCQjHKmttSEBsFQ/edit?usp=sharing"",""จัดที่ดิน!AW55"")"),5)</f>
        <v>5</v>
      </c>
      <c r="K654" s="74">
        <f t="shared" ca="1" si="406"/>
        <v>50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x14ac:dyDescent="0.3">
      <c r="A655" s="550"/>
      <c r="B655" s="269"/>
      <c r="C655" s="269"/>
      <c r="D655" s="749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IFERROR(__xludf.DUMMYFUNCTION("IMPORTRANGE(""https://docs.google.com/spreadsheets/d/1eHaY18a8A9IcSdp1K8H6x8fbOy06t2VsZHhMHf-1x7Y/edit?usp=sharing"",""แผน!IH55"")"),50)</f>
        <v>50</v>
      </c>
      <c r="J655" s="622">
        <f>J658+J661</f>
        <v>1.44</v>
      </c>
      <c r="K655" s="264">
        <f t="shared" ca="1" si="406"/>
        <v>2.88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x14ac:dyDescent="0.25">
      <c r="A656" s="550"/>
      <c r="B656" s="269"/>
      <c r="C656" s="269"/>
      <c r="D656" s="269"/>
      <c r="E656" s="267" t="s">
        <v>240</v>
      </c>
      <c r="F656" s="258"/>
      <c r="G656" s="261"/>
      <c r="H656" s="275" t="s">
        <v>35</v>
      </c>
      <c r="I656" s="312"/>
      <c r="J656" s="294">
        <v>1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x14ac:dyDescent="0.25">
      <c r="A657" s="550"/>
      <c r="B657" s="269"/>
      <c r="C657" s="269"/>
      <c r="D657" s="269"/>
      <c r="E657" s="258"/>
      <c r="F657" s="258"/>
      <c r="G657" s="261"/>
      <c r="H657" s="275" t="s">
        <v>34</v>
      </c>
      <c r="I657" s="312"/>
      <c r="J657" s="294">
        <v>1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x14ac:dyDescent="0.25">
      <c r="A658" s="550"/>
      <c r="B658" s="269"/>
      <c r="C658" s="269"/>
      <c r="D658" s="269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IFERROR(__xludf.DUMMYFUNCTION("IMPORTRANGE(""https://docs.google.com/spreadsheets/d/1eHaY18a8A9IcSdp1K8H6x8fbOy06t2VsZHhMHf-1x7Y/edit?usp=sharing"",""แผน!II55"")"),50)</f>
        <v>50</v>
      </c>
      <c r="J658" s="294">
        <v>1.44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x14ac:dyDescent="0.25">
      <c r="A659" s="550"/>
      <c r="B659" s="269"/>
      <c r="C659" s="269"/>
      <c r="D659" s="269"/>
      <c r="E659" s="267" t="s">
        <v>241</v>
      </c>
      <c r="F659" s="258"/>
      <c r="G659" s="261"/>
      <c r="H659" s="275" t="s">
        <v>35</v>
      </c>
      <c r="I659" s="312"/>
      <c r="J659" s="294"/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x14ac:dyDescent="0.25">
      <c r="A660" s="550"/>
      <c r="B660" s="269"/>
      <c r="C660" s="269"/>
      <c r="D660" s="269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x14ac:dyDescent="0.25">
      <c r="A661" s="550"/>
      <c r="B661" s="269"/>
      <c r="C661" s="269"/>
      <c r="D661" s="269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IFERROR(__xludf.DUMMYFUNCTION("IMPORTRANGE(""https://docs.google.com/spreadsheets/d/1eHaY18a8A9IcSdp1K8H6x8fbOy06t2VsZHhMHf-1x7Y/edit?usp=sharing"",""แผน!IJ55"")"),0)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x14ac:dyDescent="0.3">
      <c r="A662" s="550"/>
      <c r="B662" s="269"/>
      <c r="C662" s="269"/>
      <c r="D662" s="1246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IFERROR(__xludf.DUMMYFUNCTION("IMPORTRANGE(""https://docs.google.com/spreadsheets/d/1eHaY18a8A9IcSdp1K8H6x8fbOy06t2VsZHhMHf-1x7Y/edit?usp=sharing"",""แผน!IK55"")"),400)</f>
        <v>400</v>
      </c>
      <c r="J662" s="622">
        <f>J668+J671</f>
        <v>240</v>
      </c>
      <c r="K662" s="264">
        <f ca="1">IF(I662&gt;0,J662*100/I662,0)</f>
        <v>60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x14ac:dyDescent="0.25">
      <c r="A663" s="550"/>
      <c r="B663" s="269"/>
      <c r="C663" s="269"/>
      <c r="D663" s="269"/>
      <c r="E663" s="267" t="s">
        <v>243</v>
      </c>
      <c r="F663" s="258"/>
      <c r="G663" s="261"/>
      <c r="H663" s="275" t="s">
        <v>34</v>
      </c>
      <c r="I663" s="312"/>
      <c r="J663" s="294"/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x14ac:dyDescent="0.25">
      <c r="A664" s="550"/>
      <c r="B664" s="269"/>
      <c r="C664" s="269"/>
      <c r="D664" s="269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x14ac:dyDescent="0.25">
      <c r="A665" s="550"/>
      <c r="B665" s="269"/>
      <c r="C665" s="269"/>
      <c r="D665" s="269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x14ac:dyDescent="0.25">
      <c r="A666" s="550"/>
      <c r="B666" s="269"/>
      <c r="C666" s="269"/>
      <c r="D666" s="269"/>
      <c r="E666" s="258"/>
      <c r="F666" s="267" t="s">
        <v>245</v>
      </c>
      <c r="G666" s="261"/>
      <c r="H666" s="275" t="s">
        <v>35</v>
      </c>
      <c r="I666" s="312"/>
      <c r="J666" s="294">
        <f t="shared" ref="J666:J667" si="407">4+6</f>
        <v>10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x14ac:dyDescent="0.25">
      <c r="A667" s="550"/>
      <c r="B667" s="269"/>
      <c r="C667" s="269"/>
      <c r="D667" s="269"/>
      <c r="E667" s="258"/>
      <c r="F667" s="258"/>
      <c r="G667" s="261"/>
      <c r="H667" s="275" t="s">
        <v>34</v>
      </c>
      <c r="I667" s="312"/>
      <c r="J667" s="294">
        <f t="shared" si="407"/>
        <v>10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x14ac:dyDescent="0.25">
      <c r="A668" s="550"/>
      <c r="B668" s="269"/>
      <c r="C668" s="269"/>
      <c r="D668" s="269"/>
      <c r="E668" s="258"/>
      <c r="F668" s="258"/>
      <c r="G668" s="261"/>
      <c r="H668" s="275" t="s">
        <v>46</v>
      </c>
      <c r="I668" s="312"/>
      <c r="J668" s="294">
        <f>42+156</f>
        <v>198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4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4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42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IFERROR(__xludf.DUMMYFUNCTION("IMPORTRANGE(""https://docs.google.com/spreadsheets/d/1tdoBKaGub7dwA3U6UFTqxio9LNnvDCQjHKmttSEBsFQ/edit?usp=sharing"",""จัดที่ดิน!AY55"")"),0)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IFERROR(__xludf.DUMMYFUNCTION("IMPORTRANGE(""https://docs.google.com/spreadsheets/d/1tdoBKaGub7dwA3U6UFTqxio9LNnvDCQjHKmttSEBsFQ/edit?usp=sharing"",""จัดที่ดิน!AZ55"")"),0)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IFERROR(__xludf.DUMMYFUNCTION("IMPORTRANGE(""https://docs.google.com/spreadsheets/d/1eHaY18a8A9IcSdp1K8H6x8fbOy06t2VsZHhMHf-1x7Y/edit?usp=sharing"",""แผน!IL55"")"),30)</f>
        <v>30</v>
      </c>
      <c r="J674" s="293">
        <f ca="1">IFERROR(__xludf.DUMMYFUNCTION("IMPORTRANGE(""https://docs.google.com/spreadsheets/d/1tdoBKaGub7dwA3U6UFTqxio9LNnvDCQjHKmttSEBsFQ/edit?usp=sharing"",""จัดที่ดิน!BA55"")"),0)</f>
        <v>0</v>
      </c>
      <c r="K674" s="74">
        <f t="shared" ref="K674:K677" ca="1" si="408">IF(I674&gt;0,J674*100/I674,0)</f>
        <v>0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IFERROR(__xludf.DUMMYFUNCTION("IMPORTRANGE(""https://docs.google.com/spreadsheets/d/1eHaY18a8A9IcSdp1K8H6x8fbOy06t2VsZHhMHf-1x7Y/edit?usp=sharing"",""แผน!IM55"")"),78)</f>
        <v>78</v>
      </c>
      <c r="J675" s="622">
        <f ca="1">J677+J680</f>
        <v>0</v>
      </c>
      <c r="K675" s="264">
        <f t="shared" ca="1" si="408"/>
        <v>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IFERROR(__xludf.DUMMYFUNCTION("IMPORTRANGE(""https://docs.google.com/spreadsheets/d/1eHaY18a8A9IcSdp1K8H6x8fbOy06t2VsZHhMHf-1x7Y/edit?usp=sharing"",""แผน!IN55"")"),550)</f>
        <v>550</v>
      </c>
      <c r="J676" s="622">
        <f ca="1">J679+J682</f>
        <v>0</v>
      </c>
      <c r="K676" s="264">
        <f t="shared" ca="1" si="408"/>
        <v>0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IFERROR(__xludf.DUMMYFUNCTION("IMPORTRANGE(""https://docs.google.com/spreadsheets/d/1eHaY18a8A9IcSdp1K8H6x8fbOy06t2VsZHhMHf-1x7Y/edit?usp=sharing"",""แผน!IO55"")"),40)</f>
        <v>40</v>
      </c>
      <c r="J677" s="293">
        <f ca="1">IFERROR(__xludf.DUMMYFUNCTION("IMPORTRANGE(""https://docs.google.com/spreadsheets/d/1tdoBKaGub7dwA3U6UFTqxio9LNnvDCQjHKmttSEBsFQ/edit?usp=sharing"",""จัดที่ดิน!BF55"")"),0)</f>
        <v>0</v>
      </c>
      <c r="K677" s="74">
        <f t="shared" ca="1" si="408"/>
        <v>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IFERROR(__xludf.DUMMYFUNCTION("IMPORTRANGE(""https://docs.google.com/spreadsheets/d/1tdoBKaGub7dwA3U6UFTqxio9LNnvDCQjHKmttSEBsFQ/edit?usp=sharing"",""จัดที่ดิน!BG55"")"),0)</f>
        <v>0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IFERROR(__xludf.DUMMYFUNCTION("IMPORTRANGE(""https://docs.google.com/spreadsheets/d/1eHaY18a8A9IcSdp1K8H6x8fbOy06t2VsZHhMHf-1x7Y/edit?usp=sharing"",""แผน!IP55"")"),250)</f>
        <v>250</v>
      </c>
      <c r="J679" s="293">
        <f ca="1">IFERROR(__xludf.DUMMYFUNCTION("IMPORTRANGE(""https://docs.google.com/spreadsheets/d/1tdoBKaGub7dwA3U6UFTqxio9LNnvDCQjHKmttSEBsFQ/edit?usp=sharing"",""จัดที่ดิน!BH55"")"),0)</f>
        <v>0</v>
      </c>
      <c r="K679" s="74">
        <f t="shared" ref="K679:K680" ca="1" si="409">IF(I679&gt;0,J679*100/I679,0)</f>
        <v>0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IFERROR(__xludf.DUMMYFUNCTION("IMPORTRANGE(""https://docs.google.com/spreadsheets/d/1eHaY18a8A9IcSdp1K8H6x8fbOy06t2VsZHhMHf-1x7Y/edit?usp=sharing"",""แผน!IQ55"")"),38)</f>
        <v>38</v>
      </c>
      <c r="J680" s="293">
        <f ca="1">IFERROR(__xludf.DUMMYFUNCTION("IMPORTRANGE(""https://docs.google.com/spreadsheets/d/1tdoBKaGub7dwA3U6UFTqxio9LNnvDCQjHKmttSEBsFQ/edit?usp=sharing"",""จัดที่ดิน!BK55"")"),0)</f>
        <v>0</v>
      </c>
      <c r="K680" s="74">
        <f t="shared" ca="1" si="409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IFERROR(__xludf.DUMMYFUNCTION("IMPORTRANGE(""https://docs.google.com/spreadsheets/d/1tdoBKaGub7dwA3U6UFTqxio9LNnvDCQjHKmttSEBsFQ/edit?usp=sharing"",""จัดที่ดิน!BL55"")"),0)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IFERROR(__xludf.DUMMYFUNCTION("IMPORTRANGE(""https://docs.google.com/spreadsheets/d/1eHaY18a8A9IcSdp1K8H6x8fbOy06t2VsZHhMHf-1x7Y/edit?usp=sharing"",""แผน!IR55"")"),300)</f>
        <v>300</v>
      </c>
      <c r="J682" s="293">
        <f ca="1">IFERROR(__xludf.DUMMYFUNCTION("IMPORTRANGE(""https://docs.google.com/spreadsheets/d/1tdoBKaGub7dwA3U6UFTqxio9LNnvDCQjHKmttSEBsFQ/edit?usp=sharing"",""จัดที่ดิน!BM55"")"),0)</f>
        <v>0</v>
      </c>
      <c r="K682" s="74">
        <f t="shared" ref="K682:K683" ca="1" si="410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IFERROR(__xludf.DUMMYFUNCTION("IMPORTRANGE(""https://docs.google.com/spreadsheets/d/1eHaY18a8A9IcSdp1K8H6x8fbOy06t2VsZHhMHf-1x7Y/edit?usp=sharing"",""แผน!IS55"")"),50)</f>
        <v>50</v>
      </c>
      <c r="J683" s="622">
        <f>J686+J689</f>
        <v>81</v>
      </c>
      <c r="K683" s="264">
        <f t="shared" ca="1" si="410"/>
        <v>162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6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2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42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15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3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39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x14ac:dyDescent="0.3">
      <c r="A690" s="727"/>
      <c r="B690" s="728" t="s">
        <v>337</v>
      </c>
      <c r="C690" s="727"/>
      <c r="D690" s="729"/>
      <c r="E690" s="729"/>
      <c r="F690" s="729"/>
      <c r="G690" s="730"/>
      <c r="H690" s="780" t="s">
        <v>35</v>
      </c>
      <c r="I690" s="781">
        <f t="shared" ref="I690:J690" ca="1" si="411">I708</f>
        <v>150</v>
      </c>
      <c r="J690" s="781">
        <f t="shared" ca="1" si="411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214">
        <f t="shared" ref="L691:N691" si="412">L692+L693</f>
        <v>0</v>
      </c>
      <c r="M691" s="215">
        <f t="shared" si="412"/>
        <v>0</v>
      </c>
      <c r="N691" s="215">
        <f t="shared" si="412"/>
        <v>0</v>
      </c>
      <c r="O691" s="215">
        <f t="shared" ref="O691:O699" si="413">IF(L691&gt;0,N691*100/L691,0)</f>
        <v>0</v>
      </c>
      <c r="P691" s="215">
        <f t="shared" ref="P691:P699" si="414">IF(M691&gt;0,N691*100/M691,0)</f>
        <v>0</v>
      </c>
      <c r="Q691" s="215">
        <f t="shared" ref="Q691:S691" ca="1" si="415">Q692+Q693</f>
        <v>296950</v>
      </c>
      <c r="R691" s="215">
        <f t="shared" ca="1" si="415"/>
        <v>296950</v>
      </c>
      <c r="S691" s="215">
        <f t="shared" ca="1" si="415"/>
        <v>14076</v>
      </c>
      <c r="T691" s="215">
        <f t="shared" ref="T691:T699" ca="1" si="416">IF(Q691&gt;0,S691*100/Q691,0)</f>
        <v>4.7401919515069881</v>
      </c>
      <c r="U691" s="215">
        <f t="shared" ref="U691:U699" ca="1" si="417">IF(R691&gt;0,S691*100/R691,0)</f>
        <v>4.7401919515069881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217">
        <f t="shared" ref="L692:N693" si="418">L695+L698</f>
        <v>0</v>
      </c>
      <c r="M692" s="133">
        <f t="shared" si="418"/>
        <v>0</v>
      </c>
      <c r="N692" s="133">
        <f t="shared" si="418"/>
        <v>0</v>
      </c>
      <c r="O692" s="133">
        <f t="shared" si="413"/>
        <v>0</v>
      </c>
      <c r="P692" s="133">
        <f t="shared" si="414"/>
        <v>0</v>
      </c>
      <c r="Q692" s="133">
        <f t="shared" ref="Q692:S693" si="419">Q695+Q698</f>
        <v>0</v>
      </c>
      <c r="R692" s="133">
        <f t="shared" si="419"/>
        <v>0</v>
      </c>
      <c r="S692" s="133">
        <f t="shared" si="419"/>
        <v>0</v>
      </c>
      <c r="T692" s="133">
        <f t="shared" si="416"/>
        <v>0</v>
      </c>
      <c r="U692" s="133">
        <f t="shared" si="417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131">
        <f t="shared" si="418"/>
        <v>0</v>
      </c>
      <c r="M693" s="132">
        <f t="shared" si="418"/>
        <v>0</v>
      </c>
      <c r="N693" s="132">
        <f t="shared" si="418"/>
        <v>0</v>
      </c>
      <c r="O693" s="132">
        <f t="shared" si="413"/>
        <v>0</v>
      </c>
      <c r="P693" s="132">
        <f t="shared" si="414"/>
        <v>0</v>
      </c>
      <c r="Q693" s="132">
        <f t="shared" ca="1" si="419"/>
        <v>296950</v>
      </c>
      <c r="R693" s="132">
        <f t="shared" ca="1" si="419"/>
        <v>296950</v>
      </c>
      <c r="S693" s="132">
        <f t="shared" ca="1" si="419"/>
        <v>14076</v>
      </c>
      <c r="T693" s="132">
        <f t="shared" ca="1" si="416"/>
        <v>4.7401919515069881</v>
      </c>
      <c r="U693" s="132">
        <f t="shared" ca="1" si="417"/>
        <v>4.7401919515069881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131">
        <f t="shared" ref="L694:N694" si="420">L695+L696</f>
        <v>0</v>
      </c>
      <c r="M694" s="132">
        <f t="shared" si="420"/>
        <v>0</v>
      </c>
      <c r="N694" s="132">
        <f t="shared" si="420"/>
        <v>0</v>
      </c>
      <c r="O694" s="132">
        <f t="shared" si="413"/>
        <v>0</v>
      </c>
      <c r="P694" s="132">
        <f t="shared" si="414"/>
        <v>0</v>
      </c>
      <c r="Q694" s="132">
        <f t="shared" ref="Q694:S694" ca="1" si="421">Q695+Q696</f>
        <v>296950</v>
      </c>
      <c r="R694" s="132">
        <f t="shared" ca="1" si="421"/>
        <v>296950</v>
      </c>
      <c r="S694" s="132">
        <f t="shared" ca="1" si="421"/>
        <v>14076</v>
      </c>
      <c r="T694" s="132">
        <f t="shared" ca="1" si="416"/>
        <v>4.7401919515069881</v>
      </c>
      <c r="U694" s="132">
        <f t="shared" ca="1" si="417"/>
        <v>4.7401919515069881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133">
        <f t="shared" si="413"/>
        <v>0</v>
      </c>
      <c r="P695" s="133">
        <f t="shared" si="414"/>
        <v>0</v>
      </c>
      <c r="Q695" s="77">
        <v>0</v>
      </c>
      <c r="R695" s="77">
        <v>0</v>
      </c>
      <c r="S695" s="77">
        <v>0</v>
      </c>
      <c r="T695" s="133">
        <f t="shared" si="416"/>
        <v>0</v>
      </c>
      <c r="U695" s="133">
        <f t="shared" si="417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132">
        <f t="shared" si="413"/>
        <v>0</v>
      </c>
      <c r="P696" s="132">
        <f t="shared" si="414"/>
        <v>0</v>
      </c>
      <c r="Q696" s="132">
        <f ca="1">IFERROR(__xludf.DUMMYFUNCTION("IMPORTRANGE(""https://docs.google.com/spreadsheets/d/1ItG2mGa2ceCfYo0BwxsXqNm01IGEUdYcSSLTEv9YCik/edit?usp=sharing"",""เบิกจ่ายกองทุน!L55"")"),296950)</f>
        <v>296950</v>
      </c>
      <c r="R696" s="132">
        <f ca="1">IFERROR(__xludf.DUMMYFUNCTION("IMPORTRANGE(""https://docs.google.com/spreadsheets/d/1ItG2mGa2ceCfYo0BwxsXqNm01IGEUdYcSSLTEv9YCik/edit?usp=sharing"",""เบิกจ่ายกองทุน!M55"")"),296950)</f>
        <v>296950</v>
      </c>
      <c r="S696" s="132">
        <f ca="1">IFERROR(__xludf.DUMMYFUNCTION("IMPORTRANGE(""https://docs.google.com/spreadsheets/d/1ItG2mGa2ceCfYo0BwxsXqNm01IGEUdYcSSLTEv9YCik/edit?usp=sharing"",""เบิกจ่ายกองทุน!N55"")"),14076)</f>
        <v>14076</v>
      </c>
      <c r="T696" s="132">
        <f t="shared" ca="1" si="416"/>
        <v>4.7401919515069881</v>
      </c>
      <c r="U696" s="132">
        <f t="shared" ca="1" si="417"/>
        <v>4.7401919515069881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131">
        <f t="shared" ref="L697:N697" si="422">L698+L699</f>
        <v>0</v>
      </c>
      <c r="M697" s="132">
        <f t="shared" si="422"/>
        <v>0</v>
      </c>
      <c r="N697" s="132">
        <f t="shared" si="422"/>
        <v>0</v>
      </c>
      <c r="O697" s="132">
        <f t="shared" si="413"/>
        <v>0</v>
      </c>
      <c r="P697" s="132">
        <f t="shared" si="414"/>
        <v>0</v>
      </c>
      <c r="Q697" s="132">
        <f t="shared" ref="Q697:S697" si="423">Q698+Q699</f>
        <v>0</v>
      </c>
      <c r="R697" s="132">
        <f t="shared" si="423"/>
        <v>0</v>
      </c>
      <c r="S697" s="132">
        <f t="shared" si="423"/>
        <v>0</v>
      </c>
      <c r="T697" s="132">
        <f t="shared" si="416"/>
        <v>0</v>
      </c>
      <c r="U697" s="132">
        <f t="shared" si="417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133">
        <f t="shared" si="413"/>
        <v>0</v>
      </c>
      <c r="P698" s="133">
        <f t="shared" si="414"/>
        <v>0</v>
      </c>
      <c r="Q698" s="77">
        <v>0</v>
      </c>
      <c r="R698" s="77">
        <v>0</v>
      </c>
      <c r="S698" s="77">
        <v>0</v>
      </c>
      <c r="T698" s="133">
        <f t="shared" si="416"/>
        <v>0</v>
      </c>
      <c r="U698" s="133">
        <f t="shared" si="417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132">
        <f t="shared" si="413"/>
        <v>0</v>
      </c>
      <c r="P699" s="132">
        <f t="shared" si="414"/>
        <v>0</v>
      </c>
      <c r="Q699" s="74">
        <v>0</v>
      </c>
      <c r="R699" s="74">
        <v>0</v>
      </c>
      <c r="S699" s="74">
        <v>0</v>
      </c>
      <c r="T699" s="132">
        <f t="shared" si="416"/>
        <v>0</v>
      </c>
      <c r="U699" s="132">
        <f t="shared" si="417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IFERROR(__xludf.DUMMYFUNCTION("IMPORTRANGE(""https://docs.google.com/spreadsheets/d/1eHaY18a8A9IcSdp1K8H6x8fbOy06t2VsZHhMHf-1x7Y/edit?usp=sharing"",""แผน!LC55"")"),2)</f>
        <v>2</v>
      </c>
      <c r="J701" s="294">
        <v>0</v>
      </c>
      <c r="K701" s="768">
        <f t="shared" ref="K701:K709" ca="1" si="424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ca="1">IFERROR(__xludf.DUMMYFUNCTION("IMPORTRANGE(""https://docs.google.com/spreadsheets/d/1eHaY18a8A9IcSdp1K8H6x8fbOy06t2VsZHhMHf-1x7Y/edit?usp=sharing"",""แผน!LI55"")"),155)</f>
        <v>155</v>
      </c>
      <c r="J702" s="622">
        <f ca="1">IFERROR(__xludf.DUMMYFUNCTION("IMPORTRANGE(""https://docs.google.com/spreadsheets/d/1tdoBKaGub7dwA3U6UFTqxio9LNnvDCQjHKmttSEBsFQ/edit?usp=sharing"",""จัดที่ดิน!AP55"")"),0)</f>
        <v>0</v>
      </c>
      <c r="K702" s="264">
        <f t="shared" ca="1" si="424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IFERROR(__xludf.DUMMYFUNCTION("IMPORTRANGE(""https://docs.google.com/spreadsheets/d/1tdoBKaGub7dwA3U6UFTqxio9LNnvDCQjHKmttSEBsFQ/edit?usp=sharing"",""จัดที่ดิน!AQ55"")"),0)</f>
        <v>0</v>
      </c>
      <c r="K703" s="264">
        <f t="shared" si="424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IFERROR(__xludf.DUMMYFUNCTION("IMPORTRANGE(""https://docs.google.com/spreadsheets/d/1eHaY18a8A9IcSdp1K8H6x8fbOy06t2VsZHhMHf-1x7Y/edit?usp=sharing"",""แผน!LJ55"")"),150)</f>
        <v>150</v>
      </c>
      <c r="J704" s="293">
        <f ca="1">IFERROR(__xludf.DUMMYFUNCTION("IMPORTRANGE(""https://docs.google.com/spreadsheets/d/1tdoBKaGub7dwA3U6UFTqxio9LNnvDCQjHKmttSEBsFQ/edit?usp=sharing"",""จัดที่ดิน!AP55"")"),0)</f>
        <v>0</v>
      </c>
      <c r="K704" s="74">
        <f t="shared" ca="1" si="424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IFERROR(__xludf.DUMMYFUNCTION("IMPORTRANGE(""https://docs.google.com/spreadsheets/d/1tdoBKaGub7dwA3U6UFTqxio9LNnvDCQjHKmttSEBsFQ/edit?usp=sharing"",""จัดที่ดิน!AP55"")"),0)</f>
        <v>0</v>
      </c>
      <c r="K705" s="74">
        <f t="shared" si="424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IFERROR(__xludf.DUMMYFUNCTION("IMPORTRANGE(""https://docs.google.com/spreadsheets/d/1eHaY18a8A9IcSdp1K8H6x8fbOy06t2VsZHhMHf-1x7Y/edit?usp=sharing"",""แผน!LK55"")"),5)</f>
        <v>5</v>
      </c>
      <c r="J706" s="293">
        <f ca="1">IFERROR(__xludf.DUMMYFUNCTION("IMPORTRANGE(""https://docs.google.com/spreadsheets/d/1tdoBKaGub7dwA3U6UFTqxio9LNnvDCQjHKmttSEBsFQ/edit?usp=sharing"",""จัดที่ดิน!AQ55"")"),0)</f>
        <v>0</v>
      </c>
      <c r="K706" s="768">
        <f t="shared" ca="1" si="424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IFERROR(__xludf.DUMMYFUNCTION("IMPORTRANGE(""https://docs.google.com/spreadsheets/d/1tdoBKaGub7dwA3U6UFTqxio9LNnvDCQjHKmttSEBsFQ/edit?usp=sharing"",""จัดที่ดิน!AP55"")"),0)</f>
        <v>0</v>
      </c>
      <c r="K707" s="74">
        <f t="shared" si="424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IFERROR(__xludf.DUMMYFUNCTION("IMPORTRANGE(""https://docs.google.com/spreadsheets/d/1eHaY18a8A9IcSdp1K8H6x8fbOy06t2VsZHhMHf-1x7Y/edit?usp=sharing"",""แผน!LJ55"")"),150)</f>
        <v>150</v>
      </c>
      <c r="J708" s="293">
        <f ca="1">IFERROR(__xludf.DUMMYFUNCTION("IMPORTRANGE(""https://docs.google.com/spreadsheets/d/1tdoBKaGub7dwA3U6UFTqxio9LNnvDCQjHKmttSEBsFQ/edit?usp=sharing"",""จัดที่ดิน!AR55"")"),0)</f>
        <v>0</v>
      </c>
      <c r="K708" s="74">
        <f t="shared" ca="1" si="424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IFERROR(__xludf.DUMMYFUNCTION("IMPORTRANGE(""https://docs.google.com/spreadsheets/d/1tdoBKaGub7dwA3U6UFTqxio9LNnvDCQjHKmttSEBsFQ/edit?usp=sharing"",""จัดที่ดิน!AS55"")"),0)</f>
        <v>0</v>
      </c>
      <c r="K709" s="74">
        <f t="shared" si="424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IFERROR(__xludf.DUMMYFUNCTION("IMPORTRANGE(""https://docs.google.com/spreadsheets/d/1eHaY18a8A9IcSdp1K8H6x8fbOy06t2VsZHhMHf-1x7Y/edit?usp=sharing"",""แผน!LK55"")"),5)</f>
        <v>5</v>
      </c>
      <c r="J710" s="293">
        <v>0</v>
      </c>
      <c r="K710" s="74"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v>0</v>
      </c>
      <c r="K711" s="74"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310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214">
        <f t="shared" ref="L715:N715" si="425">L716+L717</f>
        <v>0</v>
      </c>
      <c r="M715" s="215">
        <f t="shared" si="425"/>
        <v>0</v>
      </c>
      <c r="N715" s="215">
        <f t="shared" si="425"/>
        <v>0</v>
      </c>
      <c r="O715" s="215">
        <f t="shared" ref="O715:O723" si="426">IF(L715&gt;0,N715*100/L715,0)</f>
        <v>0</v>
      </c>
      <c r="P715" s="215">
        <f t="shared" ref="P715:P723" si="427">IF(M715&gt;0,N715*100/M715,0)</f>
        <v>0</v>
      </c>
      <c r="Q715" s="215">
        <f t="shared" ref="Q715:S715" si="428">Q716+Q717</f>
        <v>0</v>
      </c>
      <c r="R715" s="215">
        <f t="shared" si="428"/>
        <v>0</v>
      </c>
      <c r="S715" s="215">
        <f t="shared" si="428"/>
        <v>0</v>
      </c>
      <c r="T715" s="215">
        <f t="shared" ref="T715:T723" si="429">IF(Q715&gt;0,S715*100/Q715,0)</f>
        <v>0</v>
      </c>
      <c r="U715" s="215">
        <f t="shared" ref="U715:U723" si="430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217">
        <f t="shared" ref="L716:N717" si="431">L719+L722</f>
        <v>0</v>
      </c>
      <c r="M716" s="133">
        <f t="shared" si="431"/>
        <v>0</v>
      </c>
      <c r="N716" s="133">
        <f t="shared" si="431"/>
        <v>0</v>
      </c>
      <c r="O716" s="133">
        <f t="shared" si="426"/>
        <v>0</v>
      </c>
      <c r="P716" s="133">
        <f t="shared" si="427"/>
        <v>0</v>
      </c>
      <c r="Q716" s="133">
        <f t="shared" ref="Q716:S717" si="432">Q719+Q722</f>
        <v>0</v>
      </c>
      <c r="R716" s="133">
        <f t="shared" si="432"/>
        <v>0</v>
      </c>
      <c r="S716" s="133">
        <f t="shared" si="432"/>
        <v>0</v>
      </c>
      <c r="T716" s="133">
        <f t="shared" si="429"/>
        <v>0</v>
      </c>
      <c r="U716" s="133">
        <f t="shared" si="430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131">
        <f t="shared" si="431"/>
        <v>0</v>
      </c>
      <c r="M717" s="132">
        <f t="shared" si="431"/>
        <v>0</v>
      </c>
      <c r="N717" s="132">
        <f t="shared" si="431"/>
        <v>0</v>
      </c>
      <c r="O717" s="132">
        <f t="shared" si="426"/>
        <v>0</v>
      </c>
      <c r="P717" s="132">
        <f t="shared" si="427"/>
        <v>0</v>
      </c>
      <c r="Q717" s="132">
        <f t="shared" si="432"/>
        <v>0</v>
      </c>
      <c r="R717" s="132">
        <f t="shared" si="432"/>
        <v>0</v>
      </c>
      <c r="S717" s="132">
        <f t="shared" si="432"/>
        <v>0</v>
      </c>
      <c r="T717" s="132">
        <f t="shared" si="429"/>
        <v>0</v>
      </c>
      <c r="U717" s="132">
        <f t="shared" si="430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131">
        <f t="shared" ref="L718:N718" si="433">L719+L720</f>
        <v>0</v>
      </c>
      <c r="M718" s="132">
        <f t="shared" si="433"/>
        <v>0</v>
      </c>
      <c r="N718" s="132">
        <f t="shared" si="433"/>
        <v>0</v>
      </c>
      <c r="O718" s="132">
        <f t="shared" si="426"/>
        <v>0</v>
      </c>
      <c r="P718" s="132">
        <f t="shared" si="427"/>
        <v>0</v>
      </c>
      <c r="Q718" s="132">
        <f t="shared" ref="Q718:S718" si="434">Q719+Q720</f>
        <v>0</v>
      </c>
      <c r="R718" s="132">
        <f t="shared" si="434"/>
        <v>0</v>
      </c>
      <c r="S718" s="132">
        <f t="shared" si="434"/>
        <v>0</v>
      </c>
      <c r="T718" s="132">
        <f t="shared" si="429"/>
        <v>0</v>
      </c>
      <c r="U718" s="132">
        <f t="shared" si="430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133">
        <f t="shared" si="426"/>
        <v>0</v>
      </c>
      <c r="P719" s="133">
        <f t="shared" si="427"/>
        <v>0</v>
      </c>
      <c r="Q719" s="77">
        <v>0</v>
      </c>
      <c r="R719" s="77">
        <v>0</v>
      </c>
      <c r="S719" s="77">
        <v>0</v>
      </c>
      <c r="T719" s="133">
        <f t="shared" si="429"/>
        <v>0</v>
      </c>
      <c r="U719" s="133">
        <f t="shared" si="430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132">
        <f t="shared" si="426"/>
        <v>0</v>
      </c>
      <c r="P720" s="132">
        <f t="shared" si="427"/>
        <v>0</v>
      </c>
      <c r="Q720" s="74">
        <v>0</v>
      </c>
      <c r="R720" s="74">
        <v>0</v>
      </c>
      <c r="S720" s="74">
        <v>0</v>
      </c>
      <c r="T720" s="132">
        <f t="shared" si="429"/>
        <v>0</v>
      </c>
      <c r="U720" s="132">
        <f t="shared" si="430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131">
        <f t="shared" ref="L721:N721" si="435">L722+L723</f>
        <v>0</v>
      </c>
      <c r="M721" s="132">
        <f t="shared" si="435"/>
        <v>0</v>
      </c>
      <c r="N721" s="132">
        <f t="shared" si="435"/>
        <v>0</v>
      </c>
      <c r="O721" s="132">
        <f t="shared" si="426"/>
        <v>0</v>
      </c>
      <c r="P721" s="132">
        <f t="shared" si="427"/>
        <v>0</v>
      </c>
      <c r="Q721" s="132">
        <f t="shared" ref="Q721:S721" si="436">Q722+Q723</f>
        <v>0</v>
      </c>
      <c r="R721" s="132">
        <f t="shared" si="436"/>
        <v>0</v>
      </c>
      <c r="S721" s="132">
        <f t="shared" si="436"/>
        <v>0</v>
      </c>
      <c r="T721" s="132">
        <f t="shared" si="429"/>
        <v>0</v>
      </c>
      <c r="U721" s="132">
        <f t="shared" si="430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133">
        <f t="shared" si="426"/>
        <v>0</v>
      </c>
      <c r="P722" s="133">
        <f t="shared" si="427"/>
        <v>0</v>
      </c>
      <c r="Q722" s="77">
        <v>0</v>
      </c>
      <c r="R722" s="77">
        <v>0</v>
      </c>
      <c r="S722" s="77">
        <v>0</v>
      </c>
      <c r="T722" s="133">
        <f t="shared" si="429"/>
        <v>0</v>
      </c>
      <c r="U722" s="133">
        <f t="shared" si="430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132">
        <f t="shared" si="426"/>
        <v>0</v>
      </c>
      <c r="P723" s="132">
        <f t="shared" si="427"/>
        <v>0</v>
      </c>
      <c r="Q723" s="74">
        <v>0</v>
      </c>
      <c r="R723" s="74">
        <v>0</v>
      </c>
      <c r="S723" s="74">
        <v>0</v>
      </c>
      <c r="T723" s="132">
        <f t="shared" si="429"/>
        <v>0</v>
      </c>
      <c r="U723" s="132">
        <f t="shared" si="430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x14ac:dyDescent="0.3">
      <c r="A727" s="727"/>
      <c r="B727" s="728" t="s">
        <v>338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IFERROR(__xludf.DUMMYFUNCTION("IMPORTRANGE(""https://docs.google.com/spreadsheets/d/1eHaY18a8A9IcSdp1K8H6x8fbOy06t2VsZHhMHf-1x7Y/edit?usp=sharing"",""แผน!GA55"")"),128)</f>
        <v>128</v>
      </c>
      <c r="J727" s="781">
        <f>J743+J747+J750</f>
        <v>0</v>
      </c>
      <c r="K727" s="766">
        <f t="shared" ref="K727:K728" ca="1" si="437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IFERROR(__xludf.DUMMYFUNCTION("IMPORTRANGE(""https://docs.google.com/spreadsheets/d/1eHaY18a8A9IcSdp1K8H6x8fbOy06t2VsZHhMHf-1x7Y/edit?usp=sharing"",""แผน!FZ55"")"),1250)</f>
        <v>1250</v>
      </c>
      <c r="J728" s="781">
        <f>J753+J756</f>
        <v>0</v>
      </c>
      <c r="K728" s="766">
        <f t="shared" ca="1" si="437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214">
        <f t="shared" ref="L729:N729" si="438">L730+L731</f>
        <v>0</v>
      </c>
      <c r="M729" s="215">
        <f t="shared" si="438"/>
        <v>0</v>
      </c>
      <c r="N729" s="215">
        <f t="shared" si="438"/>
        <v>0</v>
      </c>
      <c r="O729" s="215">
        <f t="shared" ref="O729:O737" si="439">IF(L729&gt;0,N729*100/L729,0)</f>
        <v>0</v>
      </c>
      <c r="P729" s="215">
        <f t="shared" ref="P729:P737" si="440">IF(M729&gt;0,N729*100/M729,0)</f>
        <v>0</v>
      </c>
      <c r="Q729" s="215">
        <f t="shared" ref="Q729:S729" ca="1" si="441">Q730+Q731</f>
        <v>1008470</v>
      </c>
      <c r="R729" s="215">
        <f t="shared" ca="1" si="441"/>
        <v>1008470</v>
      </c>
      <c r="S729" s="215">
        <f t="shared" ca="1" si="441"/>
        <v>1240</v>
      </c>
      <c r="T729" s="215">
        <f t="shared" ref="T729:T737" ca="1" si="442">IF(Q729&gt;0,S729*100/Q729,0)</f>
        <v>0.12295854115640525</v>
      </c>
      <c r="U729" s="215">
        <f t="shared" ref="U729:U737" ca="1" si="443">IF(R729&gt;0,S729*100/R729,0)</f>
        <v>0.12295854115640525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217">
        <f t="shared" ref="L730:N731" si="444">L733+L736</f>
        <v>0</v>
      </c>
      <c r="M730" s="133">
        <f t="shared" si="444"/>
        <v>0</v>
      </c>
      <c r="N730" s="133">
        <f t="shared" si="444"/>
        <v>0</v>
      </c>
      <c r="O730" s="133">
        <f t="shared" si="439"/>
        <v>0</v>
      </c>
      <c r="P730" s="133">
        <f t="shared" si="440"/>
        <v>0</v>
      </c>
      <c r="Q730" s="133">
        <f t="shared" ref="Q730:S731" si="445">Q733+Q736</f>
        <v>0</v>
      </c>
      <c r="R730" s="133">
        <f t="shared" si="445"/>
        <v>0</v>
      </c>
      <c r="S730" s="133">
        <f t="shared" si="445"/>
        <v>0</v>
      </c>
      <c r="T730" s="133">
        <f t="shared" si="442"/>
        <v>0</v>
      </c>
      <c r="U730" s="133">
        <f t="shared" si="443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131">
        <f t="shared" si="444"/>
        <v>0</v>
      </c>
      <c r="M731" s="132">
        <f t="shared" si="444"/>
        <v>0</v>
      </c>
      <c r="N731" s="132">
        <f t="shared" si="444"/>
        <v>0</v>
      </c>
      <c r="O731" s="132">
        <f t="shared" si="439"/>
        <v>0</v>
      </c>
      <c r="P731" s="132">
        <f t="shared" si="440"/>
        <v>0</v>
      </c>
      <c r="Q731" s="132">
        <f t="shared" ca="1" si="445"/>
        <v>1008470</v>
      </c>
      <c r="R731" s="132">
        <f t="shared" ca="1" si="445"/>
        <v>1008470</v>
      </c>
      <c r="S731" s="132">
        <f t="shared" ca="1" si="445"/>
        <v>1240</v>
      </c>
      <c r="T731" s="132">
        <f t="shared" ca="1" si="442"/>
        <v>0.12295854115640525</v>
      </c>
      <c r="U731" s="132">
        <f t="shared" ca="1" si="443"/>
        <v>0.12295854115640525</v>
      </c>
    </row>
    <row r="732" spans="1:21" ht="18.75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131">
        <f t="shared" ref="L732:N732" si="446">L733+L734</f>
        <v>0</v>
      </c>
      <c r="M732" s="132">
        <f t="shared" si="446"/>
        <v>0</v>
      </c>
      <c r="N732" s="132">
        <f t="shared" si="446"/>
        <v>0</v>
      </c>
      <c r="O732" s="132">
        <f t="shared" si="439"/>
        <v>0</v>
      </c>
      <c r="P732" s="132">
        <f t="shared" si="440"/>
        <v>0</v>
      </c>
      <c r="Q732" s="132">
        <f t="shared" ref="Q732:S732" ca="1" si="447">Q733+Q734</f>
        <v>1008470</v>
      </c>
      <c r="R732" s="132">
        <f t="shared" ca="1" si="447"/>
        <v>1008470</v>
      </c>
      <c r="S732" s="132">
        <f t="shared" ca="1" si="447"/>
        <v>1240</v>
      </c>
      <c r="T732" s="132">
        <f t="shared" ca="1" si="442"/>
        <v>0.12295854115640525</v>
      </c>
      <c r="U732" s="132">
        <f t="shared" ca="1" si="443"/>
        <v>0.12295854115640525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133">
        <f t="shared" si="439"/>
        <v>0</v>
      </c>
      <c r="P733" s="133">
        <f t="shared" si="440"/>
        <v>0</v>
      </c>
      <c r="Q733" s="77">
        <v>0</v>
      </c>
      <c r="R733" s="77">
        <v>0</v>
      </c>
      <c r="S733" s="77">
        <v>0</v>
      </c>
      <c r="T733" s="133">
        <f t="shared" si="442"/>
        <v>0</v>
      </c>
      <c r="U733" s="133">
        <f t="shared" si="443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132">
        <f t="shared" si="439"/>
        <v>0</v>
      </c>
      <c r="P734" s="132">
        <f t="shared" si="440"/>
        <v>0</v>
      </c>
      <c r="Q734" s="132">
        <f ca="1">IFERROR(__xludf.DUMMYFUNCTION("IMPORTRANGE(""https://docs.google.com/spreadsheets/d/1ItG2mGa2ceCfYo0BwxsXqNm01IGEUdYcSSLTEv9YCik/edit?usp=sharing"",""เบิกจ่ายกองทุน!O55"")"),1008470)</f>
        <v>1008470</v>
      </c>
      <c r="R734" s="132">
        <f ca="1">IFERROR(__xludf.DUMMYFUNCTION("IMPORTRANGE(""https://docs.google.com/spreadsheets/d/1ItG2mGa2ceCfYo0BwxsXqNm01IGEUdYcSSLTEv9YCik/edit?usp=sharing"",""เบิกจ่ายกองทุน!P55"")"),1008470)</f>
        <v>1008470</v>
      </c>
      <c r="S734" s="132">
        <f ca="1">IFERROR(__xludf.DUMMYFUNCTION("IMPORTRANGE(""https://docs.google.com/spreadsheets/d/1ItG2mGa2ceCfYo0BwxsXqNm01IGEUdYcSSLTEv9YCik/edit?usp=sharing"",""เบิกจ่ายกองทุน!Q55"")"),1240)</f>
        <v>1240</v>
      </c>
      <c r="T734" s="132">
        <f t="shared" ca="1" si="442"/>
        <v>0.12295854115640525</v>
      </c>
      <c r="U734" s="132">
        <f t="shared" ca="1" si="443"/>
        <v>0.12295854115640525</v>
      </c>
    </row>
    <row r="735" spans="1:21" ht="18.75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131">
        <f t="shared" ref="L735:N735" si="448">L736+L737</f>
        <v>0</v>
      </c>
      <c r="M735" s="132">
        <f t="shared" si="448"/>
        <v>0</v>
      </c>
      <c r="N735" s="132">
        <f t="shared" si="448"/>
        <v>0</v>
      </c>
      <c r="O735" s="132">
        <f t="shared" si="439"/>
        <v>0</v>
      </c>
      <c r="P735" s="132">
        <f t="shared" si="440"/>
        <v>0</v>
      </c>
      <c r="Q735" s="132">
        <f t="shared" ref="Q735:S735" si="449">Q736+Q737</f>
        <v>0</v>
      </c>
      <c r="R735" s="132">
        <f t="shared" si="449"/>
        <v>0</v>
      </c>
      <c r="S735" s="132">
        <f t="shared" si="449"/>
        <v>0</v>
      </c>
      <c r="T735" s="132">
        <f t="shared" si="442"/>
        <v>0</v>
      </c>
      <c r="U735" s="132">
        <f t="shared" si="443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133">
        <f t="shared" si="439"/>
        <v>0</v>
      </c>
      <c r="P736" s="133">
        <f t="shared" si="440"/>
        <v>0</v>
      </c>
      <c r="Q736" s="77">
        <v>0</v>
      </c>
      <c r="R736" s="77">
        <v>0</v>
      </c>
      <c r="S736" s="77">
        <v>0</v>
      </c>
      <c r="T736" s="133">
        <f t="shared" si="442"/>
        <v>0</v>
      </c>
      <c r="U736" s="133">
        <f t="shared" si="443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132">
        <f t="shared" si="439"/>
        <v>0</v>
      </c>
      <c r="P737" s="132">
        <f t="shared" si="440"/>
        <v>0</v>
      </c>
      <c r="Q737" s="74">
        <v>0</v>
      </c>
      <c r="R737" s="74">
        <v>0</v>
      </c>
      <c r="S737" s="74">
        <v>0</v>
      </c>
      <c r="T737" s="132">
        <f t="shared" si="442"/>
        <v>0</v>
      </c>
      <c r="U737" s="132">
        <f t="shared" si="443"/>
        <v>0</v>
      </c>
    </row>
    <row r="738" spans="1:21" ht="19.5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x14ac:dyDescent="0.25">
      <c r="A741" s="276"/>
      <c r="B741" s="277"/>
      <c r="C741" s="277"/>
      <c r="D741" s="277"/>
      <c r="E741" s="277"/>
      <c r="F741" s="745" t="s">
        <v>271</v>
      </c>
      <c r="G741" s="282"/>
      <c r="H741" s="268" t="s">
        <v>46</v>
      </c>
      <c r="I741" s="293">
        <f ca="1">IFERROR(__xludf.DUMMYFUNCTION("IMPORTRANGE(""https://docs.google.com/spreadsheets/d/1eHaY18a8A9IcSdp1K8H6x8fbOy06t2VsZHhMHf-1x7Y/edit?usp=sharing"",""แผน!GB55"")"),1000)</f>
        <v>1000</v>
      </c>
      <c r="J741" s="294">
        <v>0</v>
      </c>
      <c r="K741" s="74">
        <f ca="1">IF(I741&gt;0,J741*100/I741,0)</f>
        <v>0</v>
      </c>
      <c r="L741" s="86"/>
      <c r="M741" s="87"/>
      <c r="N741" s="87"/>
      <c r="O741" s="87"/>
      <c r="P741" s="87"/>
      <c r="Q741" s="87"/>
      <c r="R741" s="87"/>
      <c r="S741" s="87"/>
      <c r="T741" s="87"/>
      <c r="U741" s="87"/>
    </row>
    <row r="742" spans="1:21" ht="18.75" x14ac:dyDescent="0.25">
      <c r="A742" s="222"/>
      <c r="B742" s="223"/>
      <c r="C742" s="223"/>
      <c r="D742" s="223"/>
      <c r="E742" s="223"/>
      <c r="F742" s="1032" t="s">
        <v>311</v>
      </c>
      <c r="G742" s="227"/>
      <c r="H742" s="216" t="s">
        <v>35</v>
      </c>
      <c r="I742" s="71"/>
      <c r="J742" s="884">
        <v>0</v>
      </c>
      <c r="K742" s="72"/>
      <c r="L742" s="540"/>
      <c r="M742" s="72"/>
      <c r="N742" s="72"/>
      <c r="O742" s="72"/>
      <c r="P742" s="72"/>
      <c r="Q742" s="72"/>
      <c r="R742" s="72"/>
      <c r="S742" s="72"/>
      <c r="T742" s="72"/>
      <c r="U742" s="72"/>
    </row>
    <row r="743" spans="1:21" ht="18.75" x14ac:dyDescent="0.25">
      <c r="A743" s="222"/>
      <c r="B743" s="223"/>
      <c r="C743" s="223"/>
      <c r="D743" s="223"/>
      <c r="E743" s="223"/>
      <c r="F743" s="1032" t="s">
        <v>312</v>
      </c>
      <c r="G743" s="227"/>
      <c r="H743" s="216" t="s">
        <v>35</v>
      </c>
      <c r="I743" s="321">
        <f ca="1">IFERROR(__xludf.DUMMYFUNCTION("IMPORTRANGE(""https://docs.google.com/spreadsheets/d/1eHaY18a8A9IcSdp1K8H6x8fbOy06t2VsZHhMHf-1x7Y/edit?usp=sharing"",""แผน!GC55"")"),100)</f>
        <v>100</v>
      </c>
      <c r="J743" s="884">
        <v>0</v>
      </c>
      <c r="K743" s="399">
        <f ca="1">IF(I743&gt;0,J743*100/I743,0)</f>
        <v>0</v>
      </c>
      <c r="L743" s="540"/>
      <c r="M743" s="72"/>
      <c r="N743" s="72"/>
      <c r="O743" s="72"/>
      <c r="P743" s="72"/>
      <c r="Q743" s="72"/>
      <c r="R743" s="72"/>
      <c r="S743" s="72"/>
      <c r="T743" s="72"/>
      <c r="U743" s="72"/>
    </row>
    <row r="744" spans="1:21" ht="18.75" x14ac:dyDescent="0.25">
      <c r="A744" s="222"/>
      <c r="B744" s="223"/>
      <c r="C744" s="223"/>
      <c r="D744" s="223"/>
      <c r="E744" s="1032" t="s">
        <v>274</v>
      </c>
      <c r="F744" s="223"/>
      <c r="G744" s="227"/>
      <c r="H744" s="1033"/>
      <c r="I744" s="71"/>
      <c r="J744" s="71"/>
      <c r="K744" s="72"/>
      <c r="L744" s="540"/>
      <c r="M744" s="72"/>
      <c r="N744" s="72"/>
      <c r="O744" s="72"/>
      <c r="P744" s="72"/>
      <c r="Q744" s="72"/>
      <c r="R744" s="72"/>
      <c r="S744" s="72"/>
      <c r="T744" s="72"/>
      <c r="U744" s="72"/>
    </row>
    <row r="745" spans="1:21" ht="18.75" x14ac:dyDescent="0.25">
      <c r="A745" s="222"/>
      <c r="B745" s="223"/>
      <c r="C745" s="223"/>
      <c r="D745" s="223"/>
      <c r="E745" s="223"/>
      <c r="F745" s="1032" t="s">
        <v>271</v>
      </c>
      <c r="G745" s="227"/>
      <c r="H745" s="216" t="s">
        <v>46</v>
      </c>
      <c r="I745" s="321">
        <f ca="1">IFERROR(__xludf.DUMMYFUNCTION("IMPORTRANGE(""https://docs.google.com/spreadsheets/d/1eHaY18a8A9IcSdp1K8H6x8fbOy06t2VsZHhMHf-1x7Y/edit?usp=sharing"",""แผน!GD55"")"),250)</f>
        <v>250</v>
      </c>
      <c r="J745" s="884">
        <v>0</v>
      </c>
      <c r="K745" s="399">
        <f ca="1">IF(I745&gt;0,J745*100/I745,0)</f>
        <v>0</v>
      </c>
      <c r="L745" s="540"/>
      <c r="M745" s="72"/>
      <c r="N745" s="72"/>
      <c r="O745" s="72"/>
      <c r="P745" s="72"/>
      <c r="Q745" s="72"/>
      <c r="R745" s="72"/>
      <c r="S745" s="72"/>
      <c r="T745" s="72"/>
      <c r="U745" s="72"/>
    </row>
    <row r="746" spans="1:21" ht="18.75" x14ac:dyDescent="0.25">
      <c r="A746" s="222"/>
      <c r="B746" s="223"/>
      <c r="C746" s="223"/>
      <c r="D746" s="223"/>
      <c r="E746" s="223"/>
      <c r="F746" s="1032" t="s">
        <v>313</v>
      </c>
      <c r="G746" s="227"/>
      <c r="H746" s="216" t="s">
        <v>35</v>
      </c>
      <c r="I746" s="71"/>
      <c r="J746" s="884">
        <v>0</v>
      </c>
      <c r="K746" s="72"/>
      <c r="L746" s="540"/>
      <c r="M746" s="72"/>
      <c r="N746" s="72"/>
      <c r="O746" s="72"/>
      <c r="P746" s="72"/>
      <c r="Q746" s="72"/>
      <c r="R746" s="72"/>
      <c r="S746" s="72"/>
      <c r="T746" s="72"/>
      <c r="U746" s="72"/>
    </row>
    <row r="747" spans="1:21" ht="18.75" x14ac:dyDescent="0.25">
      <c r="A747" s="222"/>
      <c r="B747" s="223"/>
      <c r="C747" s="223"/>
      <c r="D747" s="223"/>
      <c r="E747" s="223"/>
      <c r="F747" s="1032" t="s">
        <v>314</v>
      </c>
      <c r="G747" s="227"/>
      <c r="H747" s="216" t="s">
        <v>35</v>
      </c>
      <c r="I747" s="321">
        <f ca="1">IFERROR(__xludf.DUMMYFUNCTION("IMPORTRANGE(""https://docs.google.com/spreadsheets/d/1eHaY18a8A9IcSdp1K8H6x8fbOy06t2VsZHhMHf-1x7Y/edit?usp=sharing"",""แผน!GE55"")"),25)</f>
        <v>25</v>
      </c>
      <c r="J747" s="884">
        <v>0</v>
      </c>
      <c r="K747" s="399">
        <f ca="1">IF(I747&gt;0,J747*100/I747,0)</f>
        <v>0</v>
      </c>
      <c r="L747" s="540"/>
      <c r="M747" s="72"/>
      <c r="N747" s="72"/>
      <c r="O747" s="72"/>
      <c r="P747" s="72"/>
      <c r="Q747" s="72"/>
      <c r="R747" s="72"/>
      <c r="S747" s="72"/>
      <c r="T747" s="72"/>
      <c r="U747" s="72"/>
    </row>
    <row r="748" spans="1:21" ht="18.75" x14ac:dyDescent="0.25">
      <c r="A748" s="222"/>
      <c r="B748" s="223"/>
      <c r="C748" s="223"/>
      <c r="D748" s="223"/>
      <c r="E748" s="1032" t="s">
        <v>277</v>
      </c>
      <c r="F748" s="231"/>
      <c r="G748" s="227"/>
      <c r="H748" s="1033"/>
      <c r="I748" s="71"/>
      <c r="J748" s="71"/>
      <c r="K748" s="72"/>
      <c r="L748" s="540"/>
      <c r="M748" s="72"/>
      <c r="N748" s="72"/>
      <c r="O748" s="72"/>
      <c r="P748" s="72"/>
      <c r="Q748" s="72"/>
      <c r="R748" s="72"/>
      <c r="S748" s="72"/>
      <c r="T748" s="72"/>
      <c r="U748" s="72"/>
    </row>
    <row r="749" spans="1:21" ht="18.75" x14ac:dyDescent="0.25">
      <c r="A749" s="222"/>
      <c r="B749" s="223"/>
      <c r="C749" s="223"/>
      <c r="D749" s="223"/>
      <c r="E749" s="223"/>
      <c r="F749" s="1032" t="s">
        <v>315</v>
      </c>
      <c r="G749" s="227"/>
      <c r="H749" s="216" t="s">
        <v>35</v>
      </c>
      <c r="I749" s="71"/>
      <c r="J749" s="884">
        <v>0</v>
      </c>
      <c r="K749" s="72"/>
      <c r="L749" s="540"/>
      <c r="M749" s="72"/>
      <c r="N749" s="72"/>
      <c r="O749" s="72"/>
      <c r="P749" s="72"/>
      <c r="Q749" s="72"/>
      <c r="R749" s="72"/>
      <c r="S749" s="72"/>
      <c r="T749" s="72"/>
      <c r="U749" s="72"/>
    </row>
    <row r="750" spans="1:21" ht="18.75" x14ac:dyDescent="0.25">
      <c r="A750" s="222"/>
      <c r="B750" s="223"/>
      <c r="C750" s="223"/>
      <c r="D750" s="223"/>
      <c r="E750" s="223"/>
      <c r="F750" s="1032" t="s">
        <v>316</v>
      </c>
      <c r="G750" s="227"/>
      <c r="H750" s="216" t="s">
        <v>35</v>
      </c>
      <c r="I750" s="321">
        <f ca="1">IFERROR(__xludf.DUMMYFUNCTION("IMPORTRANGE(""https://docs.google.com/spreadsheets/d/1eHaY18a8A9IcSdp1K8H6x8fbOy06t2VsZHhMHf-1x7Y/edit?usp=sharing"",""แผน!GF55"")"),3)</f>
        <v>3</v>
      </c>
      <c r="J750" s="884">
        <v>0</v>
      </c>
      <c r="K750" s="399">
        <f ca="1">IF(I750&gt;0,J750*100/I750,0)</f>
        <v>0</v>
      </c>
      <c r="L750" s="540"/>
      <c r="M750" s="72"/>
      <c r="N750" s="72"/>
      <c r="O750" s="72"/>
      <c r="P750" s="72"/>
      <c r="Q750" s="72"/>
      <c r="R750" s="72"/>
      <c r="S750" s="72"/>
      <c r="T750" s="72"/>
      <c r="U750" s="72"/>
    </row>
    <row r="751" spans="1:21" ht="19.5" x14ac:dyDescent="0.3">
      <c r="A751" s="222"/>
      <c r="B751" s="223"/>
      <c r="C751" s="223"/>
      <c r="D751" s="1034" t="s">
        <v>50</v>
      </c>
      <c r="E751" s="223"/>
      <c r="F751" s="231"/>
      <c r="G751" s="227"/>
      <c r="H751" s="1033"/>
      <c r="I751" s="71"/>
      <c r="J751" s="71"/>
      <c r="K751" s="72"/>
      <c r="L751" s="540"/>
      <c r="M751" s="72"/>
      <c r="N751" s="72"/>
      <c r="O751" s="72"/>
      <c r="P751" s="72"/>
      <c r="Q751" s="72"/>
      <c r="R751" s="72"/>
      <c r="S751" s="72"/>
      <c r="T751" s="72"/>
      <c r="U751" s="72"/>
    </row>
    <row r="752" spans="1:21" ht="18.75" x14ac:dyDescent="0.25">
      <c r="A752" s="222"/>
      <c r="B752" s="223"/>
      <c r="C752" s="223"/>
      <c r="D752" s="223"/>
      <c r="E752" s="1032" t="s">
        <v>270</v>
      </c>
      <c r="F752" s="231"/>
      <c r="G752" s="227"/>
      <c r="H752" s="1033"/>
      <c r="I752" s="71"/>
      <c r="J752" s="71"/>
      <c r="K752" s="72"/>
      <c r="L752" s="540"/>
      <c r="M752" s="72"/>
      <c r="N752" s="72"/>
      <c r="O752" s="72"/>
      <c r="P752" s="72"/>
      <c r="Q752" s="72"/>
      <c r="R752" s="72"/>
      <c r="S752" s="72"/>
      <c r="T752" s="72"/>
      <c r="U752" s="72"/>
    </row>
    <row r="753" spans="1:21" ht="18.75" x14ac:dyDescent="0.25">
      <c r="A753" s="222"/>
      <c r="B753" s="223"/>
      <c r="C753" s="223"/>
      <c r="D753" s="223"/>
      <c r="E753" s="223"/>
      <c r="F753" s="395" t="s">
        <v>317</v>
      </c>
      <c r="G753" s="227"/>
      <c r="H753" s="216" t="s">
        <v>46</v>
      </c>
      <c r="I753" s="321">
        <f ca="1">IFERROR(__xludf.DUMMYFUNCTION("IMPORTRANGE(""https://docs.google.com/spreadsheets/d/1eHaY18a8A9IcSdp1K8H6x8fbOy06t2VsZHhMHf-1x7Y/edit?usp=sharing"",""แผน!GC55"")"),100)</f>
        <v>100</v>
      </c>
      <c r="J753" s="884">
        <v>0</v>
      </c>
      <c r="K753" s="399">
        <f ca="1">IF(I753&gt;0,J753*100/I753,0)</f>
        <v>0</v>
      </c>
      <c r="L753" s="540"/>
      <c r="M753" s="72"/>
      <c r="N753" s="72"/>
      <c r="O753" s="72"/>
      <c r="P753" s="72"/>
      <c r="Q753" s="72"/>
      <c r="R753" s="72"/>
      <c r="S753" s="72"/>
      <c r="T753" s="72"/>
      <c r="U753" s="72"/>
    </row>
    <row r="754" spans="1:21" ht="18.75" x14ac:dyDescent="0.25">
      <c r="A754" s="222"/>
      <c r="B754" s="223"/>
      <c r="C754" s="223"/>
      <c r="D754" s="223"/>
      <c r="E754" s="223"/>
      <c r="F754" s="395" t="s">
        <v>318</v>
      </c>
      <c r="G754" s="227"/>
      <c r="H754" s="216" t="s">
        <v>46</v>
      </c>
      <c r="I754" s="71"/>
      <c r="J754" s="884">
        <v>0</v>
      </c>
      <c r="K754" s="72"/>
      <c r="L754" s="540"/>
      <c r="M754" s="72"/>
      <c r="N754" s="72"/>
      <c r="O754" s="72"/>
      <c r="P754" s="72"/>
      <c r="Q754" s="72"/>
      <c r="R754" s="72"/>
      <c r="S754" s="72"/>
      <c r="T754" s="72"/>
      <c r="U754" s="72"/>
    </row>
    <row r="755" spans="1:21" ht="18.75" x14ac:dyDescent="0.25">
      <c r="A755" s="222"/>
      <c r="B755" s="223"/>
      <c r="C755" s="223"/>
      <c r="D755" s="223"/>
      <c r="E755" s="1032" t="s">
        <v>274</v>
      </c>
      <c r="F755" s="231"/>
      <c r="G755" s="227"/>
      <c r="H755" s="1033"/>
      <c r="I755" s="71"/>
      <c r="J755" s="71"/>
      <c r="K755" s="72"/>
      <c r="L755" s="540"/>
      <c r="M755" s="72"/>
      <c r="N755" s="72"/>
      <c r="O755" s="72"/>
      <c r="P755" s="72"/>
      <c r="Q755" s="72"/>
      <c r="R755" s="72"/>
      <c r="S755" s="72"/>
      <c r="T755" s="72"/>
      <c r="U755" s="72"/>
    </row>
    <row r="756" spans="1:21" ht="18.75" x14ac:dyDescent="0.25">
      <c r="A756" s="222"/>
      <c r="B756" s="223"/>
      <c r="C756" s="223"/>
      <c r="D756" s="223"/>
      <c r="E756" s="231"/>
      <c r="F756" s="395" t="s">
        <v>319</v>
      </c>
      <c r="G756" s="227"/>
      <c r="H756" s="216" t="s">
        <v>46</v>
      </c>
      <c r="I756" s="321">
        <f ca="1">IFERROR(__xludf.DUMMYFUNCTION("IMPORTRANGE(""https://docs.google.com/spreadsheets/d/1eHaY18a8A9IcSdp1K8H6x8fbOy06t2VsZHhMHf-1x7Y/edit?usp=sharing"",""แผน!GE55"")"),25)</f>
        <v>25</v>
      </c>
      <c r="J756" s="884">
        <v>0</v>
      </c>
      <c r="K756" s="399">
        <f ca="1">IF(I756&gt;0,J756*100/I756,0)</f>
        <v>0</v>
      </c>
      <c r="L756" s="540"/>
      <c r="M756" s="72"/>
      <c r="N756" s="72"/>
      <c r="O756" s="72"/>
      <c r="P756" s="72"/>
      <c r="Q756" s="72"/>
      <c r="R756" s="72"/>
      <c r="S756" s="72"/>
      <c r="T756" s="72"/>
      <c r="U756" s="72"/>
    </row>
    <row r="757" spans="1:21" ht="18.75" x14ac:dyDescent="0.25">
      <c r="A757" s="222"/>
      <c r="B757" s="223"/>
      <c r="C757" s="223"/>
      <c r="D757" s="223"/>
      <c r="E757" s="231"/>
      <c r="F757" s="395" t="s">
        <v>320</v>
      </c>
      <c r="G757" s="227"/>
      <c r="H757" s="216" t="s">
        <v>46</v>
      </c>
      <c r="I757" s="71"/>
      <c r="J757" s="884">
        <v>0</v>
      </c>
      <c r="K757" s="72"/>
      <c r="L757" s="540"/>
      <c r="M757" s="72"/>
      <c r="N757" s="72"/>
      <c r="O757" s="72"/>
      <c r="P757" s="72"/>
      <c r="Q757" s="72"/>
      <c r="R757" s="72"/>
      <c r="S757" s="72"/>
      <c r="T757" s="72"/>
      <c r="U757" s="72"/>
    </row>
    <row r="758" spans="1:21" ht="19.5" x14ac:dyDescent="0.3">
      <c r="A758" s="727"/>
      <c r="B758" s="728" t="s">
        <v>329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0">I772</f>
        <v>70</v>
      </c>
      <c r="J758" s="781">
        <f t="shared" si="450"/>
        <v>0</v>
      </c>
      <c r="K758" s="766">
        <f t="shared" ref="K758:K759" ca="1" si="451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2">I774</f>
        <v>85</v>
      </c>
      <c r="J759" s="781">
        <f t="shared" si="452"/>
        <v>0</v>
      </c>
      <c r="K759" s="766">
        <f t="shared" ca="1" si="451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214">
        <f t="shared" ref="L760:N760" si="453">L761+L762</f>
        <v>0</v>
      </c>
      <c r="M760" s="215">
        <f t="shared" si="453"/>
        <v>0</v>
      </c>
      <c r="N760" s="215">
        <f t="shared" si="453"/>
        <v>0</v>
      </c>
      <c r="O760" s="215">
        <f t="shared" ref="O760:O768" si="454">IF(L760&gt;0,N760*100/L760,0)</f>
        <v>0</v>
      </c>
      <c r="P760" s="215">
        <f t="shared" ref="P760:P768" si="455">IF(M760&gt;0,N760*100/M760,0)</f>
        <v>0</v>
      </c>
      <c r="Q760" s="215">
        <f t="shared" ref="Q760:S760" ca="1" si="456">Q761+Q762</f>
        <v>409400</v>
      </c>
      <c r="R760" s="215">
        <f t="shared" ca="1" si="456"/>
        <v>409400</v>
      </c>
      <c r="S760" s="215">
        <f t="shared" ca="1" si="456"/>
        <v>16040</v>
      </c>
      <c r="T760" s="215">
        <f t="shared" ref="T760:T768" ca="1" si="457">IF(Q760&gt;0,S760*100/Q760,0)</f>
        <v>3.9179286761113823</v>
      </c>
      <c r="U760" s="215">
        <f t="shared" ref="U760:U768" ca="1" si="458">IF(R760&gt;0,S760*100/R760,0)</f>
        <v>3.9179286761113823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217">
        <f t="shared" ref="L761:N762" si="459">L764+L767</f>
        <v>0</v>
      </c>
      <c r="M761" s="133">
        <f t="shared" si="459"/>
        <v>0</v>
      </c>
      <c r="N761" s="133">
        <f t="shared" si="459"/>
        <v>0</v>
      </c>
      <c r="O761" s="133">
        <f t="shared" si="454"/>
        <v>0</v>
      </c>
      <c r="P761" s="133">
        <f t="shared" si="455"/>
        <v>0</v>
      </c>
      <c r="Q761" s="133">
        <f t="shared" ref="Q761:S762" si="460">Q764+Q767</f>
        <v>0</v>
      </c>
      <c r="R761" s="133">
        <f t="shared" si="460"/>
        <v>0</v>
      </c>
      <c r="S761" s="133">
        <f t="shared" si="460"/>
        <v>0</v>
      </c>
      <c r="T761" s="133">
        <f t="shared" si="457"/>
        <v>0</v>
      </c>
      <c r="U761" s="133">
        <f t="shared" si="458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131">
        <f t="shared" si="459"/>
        <v>0</v>
      </c>
      <c r="M762" s="132">
        <f t="shared" si="459"/>
        <v>0</v>
      </c>
      <c r="N762" s="132">
        <f t="shared" si="459"/>
        <v>0</v>
      </c>
      <c r="O762" s="132">
        <f t="shared" si="454"/>
        <v>0</v>
      </c>
      <c r="P762" s="132">
        <f t="shared" si="455"/>
        <v>0</v>
      </c>
      <c r="Q762" s="132">
        <f t="shared" ca="1" si="460"/>
        <v>409400</v>
      </c>
      <c r="R762" s="132">
        <f t="shared" ca="1" si="460"/>
        <v>409400</v>
      </c>
      <c r="S762" s="132">
        <f t="shared" ca="1" si="460"/>
        <v>16040</v>
      </c>
      <c r="T762" s="132">
        <f t="shared" ca="1" si="457"/>
        <v>3.9179286761113823</v>
      </c>
      <c r="U762" s="132">
        <f t="shared" ca="1" si="458"/>
        <v>3.9179286761113823</v>
      </c>
    </row>
    <row r="763" spans="1:21" ht="18.75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131">
        <f t="shared" ref="L763:N763" si="461">L764+L765</f>
        <v>0</v>
      </c>
      <c r="M763" s="132">
        <f t="shared" si="461"/>
        <v>0</v>
      </c>
      <c r="N763" s="132">
        <f t="shared" si="461"/>
        <v>0</v>
      </c>
      <c r="O763" s="132">
        <f t="shared" si="454"/>
        <v>0</v>
      </c>
      <c r="P763" s="132">
        <f t="shared" si="455"/>
        <v>0</v>
      </c>
      <c r="Q763" s="132">
        <f t="shared" ref="Q763:S763" ca="1" si="462">Q764+Q765</f>
        <v>409400</v>
      </c>
      <c r="R763" s="132">
        <f t="shared" ca="1" si="462"/>
        <v>409400</v>
      </c>
      <c r="S763" s="132">
        <f t="shared" ca="1" si="462"/>
        <v>16040</v>
      </c>
      <c r="T763" s="132">
        <f t="shared" ca="1" si="457"/>
        <v>3.9179286761113823</v>
      </c>
      <c r="U763" s="132">
        <f t="shared" ca="1" si="458"/>
        <v>3.9179286761113823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133">
        <f t="shared" si="454"/>
        <v>0</v>
      </c>
      <c r="P764" s="133">
        <f t="shared" si="455"/>
        <v>0</v>
      </c>
      <c r="Q764" s="77">
        <v>0</v>
      </c>
      <c r="R764" s="77">
        <v>0</v>
      </c>
      <c r="S764" s="77">
        <v>0</v>
      </c>
      <c r="T764" s="133">
        <f t="shared" si="457"/>
        <v>0</v>
      </c>
      <c r="U764" s="133">
        <f t="shared" si="458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132">
        <f t="shared" si="454"/>
        <v>0</v>
      </c>
      <c r="P765" s="132">
        <f t="shared" si="455"/>
        <v>0</v>
      </c>
      <c r="Q765" s="132">
        <f ca="1">IFERROR(__xludf.DUMMYFUNCTION("IMPORTRANGE(""https://docs.google.com/spreadsheets/d/1ItG2mGa2ceCfYo0BwxsXqNm01IGEUdYcSSLTEv9YCik/edit?usp=sharing"",""เบิกจ่ายกองทุน!U55"")"),409400)</f>
        <v>409400</v>
      </c>
      <c r="R765" s="132">
        <f ca="1">IFERROR(__xludf.DUMMYFUNCTION("IMPORTRANGE(""https://docs.google.com/spreadsheets/d/1ItG2mGa2ceCfYo0BwxsXqNm01IGEUdYcSSLTEv9YCik/edit?usp=sharing"",""เบิกจ่ายกองทุน!V55"")"),409400)</f>
        <v>409400</v>
      </c>
      <c r="S765" s="132">
        <f ca="1">IFERROR(__xludf.DUMMYFUNCTION("IMPORTRANGE(""https://docs.google.com/spreadsheets/d/1ItG2mGa2ceCfYo0BwxsXqNm01IGEUdYcSSLTEv9YCik/edit?usp=sharing"",""เบิกจ่ายกองทุน!W55"")"),16040)</f>
        <v>16040</v>
      </c>
      <c r="T765" s="132">
        <f t="shared" ca="1" si="457"/>
        <v>3.9179286761113823</v>
      </c>
      <c r="U765" s="132">
        <f t="shared" ca="1" si="458"/>
        <v>3.9179286761113823</v>
      </c>
    </row>
    <row r="766" spans="1:21" ht="18.75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131">
        <f t="shared" ref="L766:N766" si="463">L767+L768</f>
        <v>0</v>
      </c>
      <c r="M766" s="132">
        <f t="shared" si="463"/>
        <v>0</v>
      </c>
      <c r="N766" s="132">
        <f t="shared" si="463"/>
        <v>0</v>
      </c>
      <c r="O766" s="132">
        <f t="shared" si="454"/>
        <v>0</v>
      </c>
      <c r="P766" s="132">
        <f t="shared" si="455"/>
        <v>0</v>
      </c>
      <c r="Q766" s="132">
        <f t="shared" ref="Q766:S766" si="464">Q767+Q768</f>
        <v>0</v>
      </c>
      <c r="R766" s="132">
        <f t="shared" si="464"/>
        <v>0</v>
      </c>
      <c r="S766" s="132">
        <f t="shared" si="464"/>
        <v>0</v>
      </c>
      <c r="T766" s="132">
        <f t="shared" si="457"/>
        <v>0</v>
      </c>
      <c r="U766" s="132">
        <f t="shared" si="458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133">
        <f t="shared" si="454"/>
        <v>0</v>
      </c>
      <c r="P767" s="133">
        <f t="shared" si="455"/>
        <v>0</v>
      </c>
      <c r="Q767" s="77">
        <v>0</v>
      </c>
      <c r="R767" s="77">
        <v>0</v>
      </c>
      <c r="S767" s="77">
        <v>0</v>
      </c>
      <c r="T767" s="133">
        <f t="shared" si="457"/>
        <v>0</v>
      </c>
      <c r="U767" s="133">
        <f t="shared" si="458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132">
        <f t="shared" si="454"/>
        <v>0</v>
      </c>
      <c r="P768" s="132">
        <f t="shared" si="455"/>
        <v>0</v>
      </c>
      <c r="Q768" s="74">
        <v>0</v>
      </c>
      <c r="R768" s="74">
        <v>0</v>
      </c>
      <c r="S768" s="74">
        <v>0</v>
      </c>
      <c r="T768" s="132">
        <f t="shared" si="457"/>
        <v>0</v>
      </c>
      <c r="U768" s="132">
        <f t="shared" si="458"/>
        <v>0</v>
      </c>
    </row>
    <row r="769" spans="1:21" ht="19.5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IFERROR(__xludf.DUMMYFUNCTION("IMPORTRANGE(""https://docs.google.com/spreadsheets/d/1eHaY18a8A9IcSdp1K8H6x8fbOy06t2VsZHhMHf-1x7Y/edit?usp=sharing"",""แผน!FI55"")"),0)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IFERROR(__xludf.DUMMYFUNCTION("IMPORTRANGE(""https://docs.google.com/spreadsheets/d/1eHaY18a8A9IcSdp1K8H6x8fbOy06t2VsZHhMHf-1x7Y/edit?usp=sharing"",""แผน!FQ55"")"),70)</f>
        <v>70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IFERROR(__xludf.DUMMYFUNCTION("IMPORTRANGE(""https://docs.google.com/spreadsheets/d/1eHaY18a8A9IcSdp1K8H6x8fbOy06t2VsZHhMHf-1x7Y/edit?usp=sharing"",""แผน!FR55"")"),85)</f>
        <v>85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IFERROR(__xludf.DUMMYFUNCTION("IMPORTRANGE(""https://docs.google.com/spreadsheets/d/1eHaY18a8A9IcSdp1K8H6x8fbOy06t2VsZHhMHf-1x7Y/edit?usp=sharing"",""แผน!FS55"")"),85)</f>
        <v>85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IFERROR(__xludf.DUMMYFUNCTION("IMPORTRANGE(""https://docs.google.com/spreadsheets/d/1eHaY18a8A9IcSdp1K8H6x8fbOy06t2VsZHhMHf-1x7Y/edit?usp=sharing"",""แผน!FT55"")"),70)</f>
        <v>70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IFERROR(__xludf.DUMMYFUNCTION("IMPORTRANGE(""https://docs.google.com/spreadsheets/d/10OvvATaaLtwErnr3qtWFcTmtbfpFEt5Bsqel9sXx0uE/edit?usp=sharing"",""งานกองทุน!D55"")"),5431845.01)</f>
        <v>5431845.0099999998</v>
      </c>
      <c r="J778" s="293">
        <f ca="1">IFERROR(__xludf.DUMMYFUNCTION("IMPORTRANGE(""https://docs.google.com/spreadsheets/d/10OvvATaaLtwErnr3qtWFcTmtbfpFEt5Bsqel9sXx0uE/edit?usp=sharing"",""งานกองทุน!F55"")"),313088.65)</f>
        <v>313088.65000000002</v>
      </c>
      <c r="K778" s="74">
        <f t="shared" ref="K778:K785" ca="1" si="465">IF(I778&gt;0,J778*100/I778,0)</f>
        <v>5.763946677852652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IFERROR(__xludf.DUMMYFUNCTION("IMPORTRANGE(""https://docs.google.com/spreadsheets/d/10OvvATaaLtwErnr3qtWFcTmtbfpFEt5Bsqel9sXx0uE/edit?usp=sharing"",""งานกองทุน!C55"")"),200)</f>
        <v>200</v>
      </c>
      <c r="J779" s="293">
        <f ca="1">IFERROR(__xludf.DUMMYFUNCTION("IMPORTRANGE(""https://docs.google.com/spreadsheets/d/10OvvATaaLtwErnr3qtWFcTmtbfpFEt5Bsqel9sXx0uE/edit?usp=sharing"",""งานกองทุน!E55"")"),17)</f>
        <v>17</v>
      </c>
      <c r="K779" s="74">
        <f t="shared" ca="1" si="465"/>
        <v>8.5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IFERROR(__xludf.DUMMYFUNCTION("IMPORTRANGE(""https://docs.google.com/spreadsheets/d/10OvvATaaLtwErnr3qtWFcTmtbfpFEt5Bsqel9sXx0uE/edit?usp=sharing"",""งานกองทุน!I55"")"),9589497.22)</f>
        <v>9589497.2200000007</v>
      </c>
      <c r="J780" s="293">
        <f ca="1">IFERROR(__xludf.DUMMYFUNCTION("IMPORTRANGE(""https://docs.google.com/spreadsheets/d/10OvvATaaLtwErnr3qtWFcTmtbfpFEt5Bsqel9sXx0uE/edit?usp=sharing"",""งานกองทุน!K55"")"),284739.01)</f>
        <v>284739.01</v>
      </c>
      <c r="K780" s="74">
        <f t="shared" ca="1" si="465"/>
        <v>2.9692798638717366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IFERROR(__xludf.DUMMYFUNCTION("IMPORTRANGE(""https://docs.google.com/spreadsheets/d/10OvvATaaLtwErnr3qtWFcTmtbfpFEt5Bsqel9sXx0uE/edit?usp=sharing"",""งานกองทุน!H55"")"),236)</f>
        <v>236</v>
      </c>
      <c r="J781" s="293">
        <f ca="1">IFERROR(__xludf.DUMMYFUNCTION("IMPORTRANGE(""https://docs.google.com/spreadsheets/d/10OvvATaaLtwErnr3qtWFcTmtbfpFEt5Bsqel9sXx0uE/edit?usp=sharing"",""งานกองทุน!J55"")"),28)</f>
        <v>28</v>
      </c>
      <c r="K781" s="74">
        <f t="shared" ca="1" si="465"/>
        <v>11.864406779661017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IFERROR(__xludf.DUMMYFUNCTION("IMPORTRANGE(""https://docs.google.com/spreadsheets/d/10OvvATaaLtwErnr3qtWFcTmtbfpFEt5Bsqel9sXx0uE/edit?usp=sharing"",""งานกองทุน!N55"")"),5665825.07)</f>
        <v>5665825.0700000003</v>
      </c>
      <c r="J782" s="293">
        <f ca="1">IFERROR(__xludf.DUMMYFUNCTION("IMPORTRANGE(""https://docs.google.com/spreadsheets/d/10OvvATaaLtwErnr3qtWFcTmtbfpFEt5Bsqel9sXx0uE/edit?usp=sharing"",""งานกองทุน!P55"")"),784702.71)</f>
        <v>784702.71</v>
      </c>
      <c r="K782" s="74">
        <f t="shared" ca="1" si="465"/>
        <v>13.849751806756716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IFERROR(__xludf.DUMMYFUNCTION("IMPORTRANGE(""https://docs.google.com/spreadsheets/d/10OvvATaaLtwErnr3qtWFcTmtbfpFEt5Bsqel9sXx0uE/edit?usp=sharing"",""งานกองทุน!M55"")"),2544)</f>
        <v>2544</v>
      </c>
      <c r="J783" s="293">
        <f ca="1">IFERROR(__xludf.DUMMYFUNCTION("IMPORTRANGE(""https://docs.google.com/spreadsheets/d/10OvvATaaLtwErnr3qtWFcTmtbfpFEt5Bsqel9sXx0uE/edit?usp=sharing"",""งานกองทุน!O55"")"),345)</f>
        <v>345</v>
      </c>
      <c r="K783" s="74">
        <f t="shared" ca="1" si="465"/>
        <v>13.561320754716981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IFERROR(__xludf.DUMMYFUNCTION("IMPORTRANGE(""https://docs.google.com/spreadsheets/d/10OvvATaaLtwErnr3qtWFcTmtbfpFEt5Bsqel9sXx0uE/edit?usp=sharing"",""งานกองทุน!S55"")"),5264000)</f>
        <v>5264000</v>
      </c>
      <c r="J784" s="293">
        <f ca="1">IFERROR(__xludf.DUMMYFUNCTION("IMPORTRANGE(""https://docs.google.com/spreadsheets/d/10OvvATaaLtwErnr3qtWFcTmtbfpFEt5Bsqel9sXx0uE/edit?usp=sharing"",""งานกองทุน!U55"")"),1020000)</f>
        <v>1020000</v>
      </c>
      <c r="K784" s="74">
        <f t="shared" ca="1" si="465"/>
        <v>19.376899696048632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IFERROR(__xludf.DUMMYFUNCTION("IMPORTRANGE(""https://docs.google.com/spreadsheets/d/10OvvATaaLtwErnr3qtWFcTmtbfpFEt5Bsqel9sXx0uE/edit?usp=sharing"",""งานกองทุน!R55"")"),188)</f>
        <v>188</v>
      </c>
      <c r="J785" s="786">
        <f ca="1">IFERROR(__xludf.DUMMYFUNCTION("IMPORTRANGE(""https://docs.google.com/spreadsheets/d/10OvvATaaLtwErnr3qtWFcTmtbfpFEt5Bsqel9sXx0uE/edit?usp=sharing"",""งานกองทุน!T55"")"),34)</f>
        <v>34</v>
      </c>
      <c r="K785" s="182">
        <f t="shared" ca="1" si="465"/>
        <v>18.085106382978722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r:id="rId1"/>
  <headerFooter>
    <oddFooter>&amp;Cหน้า &amp;P/&amp;N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F42C-2BFB-4101-8D96-C6AAB4DB1F1B}">
  <sheetPr codeName="Sheet5"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5.140625" customWidth="1"/>
    <col min="12" max="13" width="21.28515625" bestFit="1" customWidth="1"/>
    <col min="14" max="14" width="18.7109375" bestFit="1" customWidth="1"/>
    <col min="15" max="15" width="10.85546875" bestFit="1" customWidth="1"/>
    <col min="16" max="16" width="12" bestFit="1" customWidth="1"/>
    <col min="17" max="18" width="21.28515625" bestFit="1" customWidth="1"/>
    <col min="19" max="19" width="18.7109375" bestFit="1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339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4" t="s">
        <v>4</v>
      </c>
      <c r="B6" s="1385"/>
      <c r="C6" s="1385"/>
      <c r="D6" s="1385"/>
      <c r="E6" s="1385"/>
      <c r="F6" s="1385"/>
      <c r="G6" s="1386"/>
      <c r="H6" s="1037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823">
        <f t="shared" ref="L19:N19" ca="1" si="0">L20+L21</f>
        <v>1772164</v>
      </c>
      <c r="M19" s="824">
        <f t="shared" ca="1" si="0"/>
        <v>1707163</v>
      </c>
      <c r="N19" s="824">
        <f t="shared" ca="1" si="0"/>
        <v>989592.09999999986</v>
      </c>
      <c r="O19" s="824">
        <f t="shared" ref="O19:O27" ca="1" si="1">IF(L19&gt;0,N19*100/L19,0)</f>
        <v>55.840887186513207</v>
      </c>
      <c r="P19" s="824">
        <f t="shared" ref="P19:P27" ca="1" si="2">IF(M19&gt;0,N19*100/M19,0)</f>
        <v>57.967054112583263</v>
      </c>
      <c r="Q19" s="824">
        <f t="shared" ref="Q19:S19" ca="1" si="3">Q20+Q21</f>
        <v>1713902.3900000001</v>
      </c>
      <c r="R19" s="824">
        <f t="shared" ca="1" si="3"/>
        <v>1651402</v>
      </c>
      <c r="S19" s="824">
        <f t="shared" ca="1" si="3"/>
        <v>101215</v>
      </c>
      <c r="T19" s="824">
        <f t="shared" ref="T19:T27" ca="1" si="4">IF(Q19&gt;0,S19*100/Q19,0)</f>
        <v>5.9055288440317764</v>
      </c>
      <c r="U19" s="824">
        <f t="shared" ref="U19:U27" ca="1" si="5">IF(R19&gt;0,S19*100/R19,0)</f>
        <v>6.1290346021138404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832">
        <f t="shared" ref="L20:N21" si="6">L23+L26</f>
        <v>0</v>
      </c>
      <c r="M20" s="833">
        <f t="shared" si="6"/>
        <v>0</v>
      </c>
      <c r="N20" s="833">
        <f t="shared" si="6"/>
        <v>0</v>
      </c>
      <c r="O20" s="833">
        <f t="shared" si="1"/>
        <v>0</v>
      </c>
      <c r="P20" s="833">
        <f t="shared" si="2"/>
        <v>0</v>
      </c>
      <c r="Q20" s="833">
        <f t="shared" ref="Q20:S21" si="7">Q23+Q26</f>
        <v>0</v>
      </c>
      <c r="R20" s="833">
        <f t="shared" si="7"/>
        <v>0</v>
      </c>
      <c r="S20" s="833">
        <f t="shared" si="7"/>
        <v>0</v>
      </c>
      <c r="T20" s="833">
        <f t="shared" si="4"/>
        <v>0</v>
      </c>
      <c r="U20" s="83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834">
        <f t="shared" ca="1" si="6"/>
        <v>1772164</v>
      </c>
      <c r="M21" s="835">
        <f t="shared" ca="1" si="6"/>
        <v>1707163</v>
      </c>
      <c r="N21" s="835">
        <f t="shared" ca="1" si="6"/>
        <v>989592.09999999986</v>
      </c>
      <c r="O21" s="835">
        <f t="shared" ca="1" si="1"/>
        <v>55.840887186513207</v>
      </c>
      <c r="P21" s="835">
        <f t="shared" ca="1" si="2"/>
        <v>57.967054112583263</v>
      </c>
      <c r="Q21" s="835">
        <f t="shared" ca="1" si="7"/>
        <v>1713902.3900000001</v>
      </c>
      <c r="R21" s="835">
        <f t="shared" ca="1" si="7"/>
        <v>1651402</v>
      </c>
      <c r="S21" s="835">
        <f t="shared" ca="1" si="7"/>
        <v>101215</v>
      </c>
      <c r="T21" s="835">
        <f t="shared" ca="1" si="4"/>
        <v>5.9055288440317764</v>
      </c>
      <c r="U21" s="835">
        <f t="shared" ca="1" si="5"/>
        <v>6.1290346021138404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131">
        <f t="shared" ref="L22:N22" ca="1" si="8">L23+L24</f>
        <v>1772164</v>
      </c>
      <c r="M22" s="132">
        <f t="shared" ca="1" si="8"/>
        <v>1707163</v>
      </c>
      <c r="N22" s="132">
        <f t="shared" ca="1" si="8"/>
        <v>989592.09999999986</v>
      </c>
      <c r="O22" s="132">
        <f t="shared" ca="1" si="1"/>
        <v>55.840887186513207</v>
      </c>
      <c r="P22" s="132">
        <f t="shared" ca="1" si="2"/>
        <v>57.967054112583263</v>
      </c>
      <c r="Q22" s="132">
        <f t="shared" ref="Q22:S22" ca="1" si="9">Q23+Q24</f>
        <v>1713902.3900000001</v>
      </c>
      <c r="R22" s="132">
        <f t="shared" ca="1" si="9"/>
        <v>1651402</v>
      </c>
      <c r="S22" s="132">
        <f t="shared" ca="1" si="9"/>
        <v>101215</v>
      </c>
      <c r="T22" s="132">
        <f t="shared" ca="1" si="4"/>
        <v>5.9055288440317764</v>
      </c>
      <c r="U22" s="132">
        <f t="shared" ca="1" si="5"/>
        <v>6.1290346021138404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217">
        <f t="shared" ref="L23:N24" si="10">L49+L64+L77+L99+L130+L144+L162+L191+L178+L271+L287+L308+L325+L338+L361+L518</f>
        <v>0</v>
      </c>
      <c r="M23" s="133">
        <f t="shared" si="10"/>
        <v>0</v>
      </c>
      <c r="N23" s="133">
        <f t="shared" si="10"/>
        <v>0</v>
      </c>
      <c r="O23" s="133">
        <f t="shared" si="1"/>
        <v>0</v>
      </c>
      <c r="P23" s="133">
        <f t="shared" si="2"/>
        <v>0</v>
      </c>
      <c r="Q23" s="133">
        <f t="shared" ref="Q23:S24" si="11">Q77+Q99+Q122+Q144+Q162+Q178+Q191+Q271+Q287+Q308+Q338+Q380+Q397+Q418+Q498+Q604+Q621+Q647+Q695+Q719+Q733+Q764</f>
        <v>0</v>
      </c>
      <c r="R23" s="133">
        <f t="shared" si="11"/>
        <v>0</v>
      </c>
      <c r="S23" s="133">
        <f t="shared" si="11"/>
        <v>0</v>
      </c>
      <c r="T23" s="133">
        <f t="shared" si="4"/>
        <v>0</v>
      </c>
      <c r="U23" s="133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131">
        <f t="shared" ca="1" si="10"/>
        <v>1772164</v>
      </c>
      <c r="M24" s="132">
        <f t="shared" ca="1" si="10"/>
        <v>1707163</v>
      </c>
      <c r="N24" s="132">
        <f t="shared" ca="1" si="10"/>
        <v>989592.09999999986</v>
      </c>
      <c r="O24" s="132">
        <f t="shared" ca="1" si="1"/>
        <v>55.840887186513207</v>
      </c>
      <c r="P24" s="132">
        <f t="shared" ca="1" si="2"/>
        <v>57.967054112583263</v>
      </c>
      <c r="Q24" s="132">
        <f t="shared" ca="1" si="11"/>
        <v>1713902.3900000001</v>
      </c>
      <c r="R24" s="132">
        <f t="shared" ca="1" si="11"/>
        <v>1651402</v>
      </c>
      <c r="S24" s="132">
        <f t="shared" ca="1" si="11"/>
        <v>101215</v>
      </c>
      <c r="T24" s="132">
        <f t="shared" ca="1" si="4"/>
        <v>5.9055288440317764</v>
      </c>
      <c r="U24" s="132">
        <f t="shared" ca="1" si="5"/>
        <v>6.1290346021138404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131">
        <f t="shared" ref="L25:N25" ca="1" si="12">L26+L27</f>
        <v>0</v>
      </c>
      <c r="M25" s="132">
        <f t="shared" ca="1" si="12"/>
        <v>0</v>
      </c>
      <c r="N25" s="132">
        <f t="shared" ca="1" si="12"/>
        <v>0</v>
      </c>
      <c r="O25" s="132">
        <f t="shared" ca="1" si="1"/>
        <v>0</v>
      </c>
      <c r="P25" s="132">
        <f t="shared" ca="1" si="2"/>
        <v>0</v>
      </c>
      <c r="Q25" s="132">
        <f t="shared" ref="Q25:S25" si="13">Q26+Q27</f>
        <v>0</v>
      </c>
      <c r="R25" s="132">
        <f t="shared" si="13"/>
        <v>0</v>
      </c>
      <c r="S25" s="132">
        <f t="shared" si="13"/>
        <v>0</v>
      </c>
      <c r="T25" s="132">
        <f t="shared" si="4"/>
        <v>0</v>
      </c>
      <c r="U25" s="132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217">
        <f t="shared" ref="L26:N27" si="14">L52+L67+L80+L102+L133+L147+L165+L194+L181+L274+L290+L311+L328+L341+L364+L521</f>
        <v>0</v>
      </c>
      <c r="M26" s="133">
        <f t="shared" si="14"/>
        <v>0</v>
      </c>
      <c r="N26" s="133">
        <f t="shared" si="14"/>
        <v>0</v>
      </c>
      <c r="O26" s="133">
        <f t="shared" si="1"/>
        <v>0</v>
      </c>
      <c r="P26" s="133">
        <f t="shared" si="2"/>
        <v>0</v>
      </c>
      <c r="Q26" s="133">
        <f t="shared" ref="Q26:S27" si="15">Q80+Q102+Q125+Q147+Q165+Q181+Q194+Q274+Q290+Q311+Q341+Q383+Q400+Q421+Q501+Q607+Q624+Q650+Q698+Q722+Q736+Q767</f>
        <v>0</v>
      </c>
      <c r="R26" s="133">
        <f t="shared" si="15"/>
        <v>0</v>
      </c>
      <c r="S26" s="133">
        <f t="shared" si="15"/>
        <v>0</v>
      </c>
      <c r="T26" s="133">
        <f t="shared" si="4"/>
        <v>0</v>
      </c>
      <c r="U26" s="133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131">
        <f t="shared" ca="1" si="14"/>
        <v>0</v>
      </c>
      <c r="M27" s="132">
        <f t="shared" ca="1" si="14"/>
        <v>0</v>
      </c>
      <c r="N27" s="132">
        <f t="shared" ca="1" si="14"/>
        <v>0</v>
      </c>
      <c r="O27" s="132">
        <f t="shared" ca="1" si="1"/>
        <v>0</v>
      </c>
      <c r="P27" s="132">
        <f t="shared" ca="1" si="2"/>
        <v>0</v>
      </c>
      <c r="Q27" s="133">
        <f t="shared" si="15"/>
        <v>0</v>
      </c>
      <c r="R27" s="133">
        <f t="shared" si="15"/>
        <v>0</v>
      </c>
      <c r="S27" s="133">
        <f t="shared" si="15"/>
        <v>0</v>
      </c>
      <c r="T27" s="132">
        <f t="shared" si="4"/>
        <v>0</v>
      </c>
      <c r="U27" s="132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81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851">
        <f t="shared" ref="L41:N41" ca="1" si="16">L45+L60+L73+L95+L126+L140+L158+L174+L187+L267+L283+L304+L321+L334+L357</f>
        <v>1772164</v>
      </c>
      <c r="M41" s="852">
        <f t="shared" ca="1" si="16"/>
        <v>1707163</v>
      </c>
      <c r="N41" s="852">
        <f t="shared" ca="1" si="16"/>
        <v>989592.09999999986</v>
      </c>
      <c r="O41" s="852">
        <f ca="1">IF(L41&gt;0,N41*100/L41,0)</f>
        <v>55.840887186513207</v>
      </c>
      <c r="P41" s="852">
        <f ca="1">IF(M41&gt;0,N41*100/M41,0)</f>
        <v>57.967054112583263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859">
        <f t="shared" ref="L45:N45" ca="1" si="17">L46+L47</f>
        <v>379939</v>
      </c>
      <c r="M45" s="860">
        <f t="shared" ca="1" si="17"/>
        <v>295826</v>
      </c>
      <c r="N45" s="860">
        <f t="shared" ca="1" si="17"/>
        <v>163731</v>
      </c>
      <c r="O45" s="860">
        <f t="shared" ref="O45:O53" ca="1" si="18">IF(L45&gt;0,N45*100/L45,0)</f>
        <v>43.094022987900686</v>
      </c>
      <c r="P45" s="860">
        <f t="shared" ref="P45:P53" ca="1" si="19">IF(M45&gt;0,N45*100/M45,0)</f>
        <v>55.347062124356889</v>
      </c>
      <c r="Q45" s="860">
        <f t="shared" ref="Q45:S45" si="20">Q46+Q47</f>
        <v>0</v>
      </c>
      <c r="R45" s="860">
        <f t="shared" si="20"/>
        <v>0</v>
      </c>
      <c r="S45" s="860">
        <f t="shared" si="20"/>
        <v>0</v>
      </c>
      <c r="T45" s="860">
        <f t="shared" ref="T45:T53" si="21">IF(Q45&gt;0,S45*100/Q45,0)</f>
        <v>0</v>
      </c>
      <c r="U45" s="860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">
        <f t="shared" ref="L46:N47" si="23">L49+L52</f>
        <v>0</v>
      </c>
      <c r="M46" s="128">
        <f t="shared" si="23"/>
        <v>0</v>
      </c>
      <c r="N46" s="128">
        <f t="shared" si="23"/>
        <v>0</v>
      </c>
      <c r="O46" s="128">
        <f t="shared" si="18"/>
        <v>0</v>
      </c>
      <c r="P46" s="128">
        <f t="shared" si="19"/>
        <v>0</v>
      </c>
      <c r="Q46" s="128">
        <f t="shared" ref="Q46:S47" si="24">Q49+Q52</f>
        <v>0</v>
      </c>
      <c r="R46" s="128">
        <f t="shared" si="24"/>
        <v>0</v>
      </c>
      <c r="S46" s="128">
        <f t="shared" si="24"/>
        <v>0</v>
      </c>
      <c r="T46" s="128">
        <f t="shared" si="21"/>
        <v>0</v>
      </c>
      <c r="U46" s="128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9">
        <f t="shared" ca="1" si="23"/>
        <v>379939</v>
      </c>
      <c r="M47" s="130">
        <f t="shared" ca="1" si="23"/>
        <v>295826</v>
      </c>
      <c r="N47" s="130">
        <f t="shared" ca="1" si="23"/>
        <v>163731</v>
      </c>
      <c r="O47" s="130">
        <f t="shared" ca="1" si="18"/>
        <v>43.094022987900686</v>
      </c>
      <c r="P47" s="130">
        <f t="shared" ca="1" si="19"/>
        <v>55.347062124356889</v>
      </c>
      <c r="Q47" s="130">
        <f t="shared" si="24"/>
        <v>0</v>
      </c>
      <c r="R47" s="130">
        <f t="shared" si="24"/>
        <v>0</v>
      </c>
      <c r="S47" s="130">
        <f t="shared" si="24"/>
        <v>0</v>
      </c>
      <c r="T47" s="130">
        <f t="shared" si="21"/>
        <v>0</v>
      </c>
      <c r="U47" s="130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131">
        <f t="shared" ref="L48:N48" ca="1" si="25">L49+L50</f>
        <v>379939</v>
      </c>
      <c r="M48" s="132">
        <f t="shared" ca="1" si="25"/>
        <v>295826</v>
      </c>
      <c r="N48" s="132">
        <f t="shared" ca="1" si="25"/>
        <v>163731</v>
      </c>
      <c r="O48" s="132">
        <f t="shared" ca="1" si="18"/>
        <v>43.094022987900686</v>
      </c>
      <c r="P48" s="132">
        <f t="shared" ca="1" si="19"/>
        <v>55.347062124356889</v>
      </c>
      <c r="Q48" s="132">
        <f t="shared" ref="Q48:S48" si="26">Q49+Q50</f>
        <v>0</v>
      </c>
      <c r="R48" s="132">
        <f t="shared" si="26"/>
        <v>0</v>
      </c>
      <c r="S48" s="132">
        <f t="shared" si="26"/>
        <v>0</v>
      </c>
      <c r="T48" s="132">
        <f t="shared" si="21"/>
        <v>0</v>
      </c>
      <c r="U48" s="132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133">
        <f t="shared" si="18"/>
        <v>0</v>
      </c>
      <c r="P49" s="133">
        <f t="shared" si="19"/>
        <v>0</v>
      </c>
      <c r="Q49" s="77">
        <v>0</v>
      </c>
      <c r="R49" s="77">
        <v>0</v>
      </c>
      <c r="S49" s="77">
        <v>0</v>
      </c>
      <c r="T49" s="133">
        <f t="shared" si="21"/>
        <v>0</v>
      </c>
      <c r="U49" s="133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131">
        <f ca="1">IFERROR(__xludf.DUMMYFUNCTION("IMPORTRANGE(""https://docs.google.com/spreadsheets/d/1-uDff_7J0KD5mKrp0Vvzr7lt3OU09vwQwhkpOPPYv2Y/edit?usp=sharing"",""งบพรบ!P56"")"),379939)</f>
        <v>379939</v>
      </c>
      <c r="M50" s="132">
        <f ca="1">IFERROR(__xludf.DUMMYFUNCTION("IMPORTRANGE(""https://docs.google.com/spreadsheets/d/1-uDff_7J0KD5mKrp0Vvzr7lt3OU09vwQwhkpOPPYv2Y/edit?usp=sharing"",""งบพรบ!V56"")"),295826)</f>
        <v>295826</v>
      </c>
      <c r="N50" s="132">
        <f ca="1">IFERROR(__xludf.DUMMYFUNCTION("IMPORTRANGE(""https://docs.google.com/spreadsheets/d/1-uDff_7J0KD5mKrp0Vvzr7lt3OU09vwQwhkpOPPYv2Y/edit?usp=sharing"",""งบพรบ!Y56"")"),163731)</f>
        <v>163731</v>
      </c>
      <c r="O50" s="132">
        <f t="shared" ca="1" si="18"/>
        <v>43.094022987900686</v>
      </c>
      <c r="P50" s="132">
        <f t="shared" ca="1" si="19"/>
        <v>55.347062124356889</v>
      </c>
      <c r="Q50" s="74">
        <v>0</v>
      </c>
      <c r="R50" s="74">
        <v>0</v>
      </c>
      <c r="S50" s="74">
        <v>0</v>
      </c>
      <c r="T50" s="132">
        <f t="shared" si="21"/>
        <v>0</v>
      </c>
      <c r="U50" s="132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131">
        <f t="shared" ref="L51:N51" ca="1" si="27">L52+L53</f>
        <v>0</v>
      </c>
      <c r="M51" s="132">
        <f t="shared" ca="1" si="27"/>
        <v>0</v>
      </c>
      <c r="N51" s="132">
        <f t="shared" ca="1" si="27"/>
        <v>0</v>
      </c>
      <c r="O51" s="132">
        <f t="shared" ca="1" si="18"/>
        <v>0</v>
      </c>
      <c r="P51" s="132">
        <f t="shared" ca="1" si="19"/>
        <v>0</v>
      </c>
      <c r="Q51" s="132">
        <f t="shared" ref="Q51:S51" si="28">Q52+Q53</f>
        <v>0</v>
      </c>
      <c r="R51" s="132">
        <f t="shared" si="28"/>
        <v>0</v>
      </c>
      <c r="S51" s="132">
        <f t="shared" si="28"/>
        <v>0</v>
      </c>
      <c r="T51" s="132">
        <f t="shared" si="21"/>
        <v>0</v>
      </c>
      <c r="U51" s="132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133">
        <f t="shared" si="18"/>
        <v>0</v>
      </c>
      <c r="P52" s="133">
        <f t="shared" si="19"/>
        <v>0</v>
      </c>
      <c r="Q52" s="77">
        <v>0</v>
      </c>
      <c r="R52" s="77">
        <v>0</v>
      </c>
      <c r="S52" s="77">
        <v>0</v>
      </c>
      <c r="T52" s="133">
        <f t="shared" si="21"/>
        <v>0</v>
      </c>
      <c r="U52" s="133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131">
        <f ca="1">IFERROR(__xludf.DUMMYFUNCTION("IMPORTRANGE(""https://docs.google.com/spreadsheets/d/1-uDff_7J0KD5mKrp0Vvzr7lt3OU09vwQwhkpOPPYv2Y/edit?usp=sharing"",""งบพรบ!S56"")"),0)</f>
        <v>0</v>
      </c>
      <c r="M53" s="132">
        <f ca="1">IFERROR(__xludf.DUMMYFUNCTION("IMPORTRANGE(""https://docs.google.com/spreadsheets/d/1-uDff_7J0KD5mKrp0Vvzr7lt3OU09vwQwhkpOPPYv2Y/edit?usp=sharing"",""งบพรบ!W56"")"),0)</f>
        <v>0</v>
      </c>
      <c r="N53" s="132">
        <f ca="1">IFERROR(__xludf.DUMMYFUNCTION("IMPORTRANGE(""https://docs.google.com/spreadsheets/d/1-uDff_7J0KD5mKrp0Vvzr7lt3OU09vwQwhkpOPPYv2Y/edit?usp=sharing"",""งบพรบ!Z56"")"),0)</f>
        <v>0</v>
      </c>
      <c r="O53" s="132">
        <f t="shared" ca="1" si="18"/>
        <v>0</v>
      </c>
      <c r="P53" s="132">
        <f t="shared" ca="1" si="19"/>
        <v>0</v>
      </c>
      <c r="Q53" s="74">
        <v>0</v>
      </c>
      <c r="R53" s="74">
        <v>0</v>
      </c>
      <c r="S53" s="74">
        <v>0</v>
      </c>
      <c r="T53" s="132">
        <f t="shared" si="21"/>
        <v>0</v>
      </c>
      <c r="U53" s="132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65">
        <f t="shared" ref="L60:N60" ca="1" si="29">L61+L62</f>
        <v>478300</v>
      </c>
      <c r="M60" s="166">
        <f t="shared" ca="1" si="29"/>
        <v>478300</v>
      </c>
      <c r="N60" s="166">
        <f t="shared" ca="1" si="29"/>
        <v>393236.35</v>
      </c>
      <c r="O60" s="166">
        <f t="shared" ref="O60:O68" ca="1" si="30">IF(L60&gt;0,N60*100/L60,0)</f>
        <v>82.215419192975119</v>
      </c>
      <c r="P60" s="166">
        <f t="shared" ref="P60:P68" ca="1" si="31">IF(M60&gt;0,N60*100/M60,0)</f>
        <v>82.215419192975119</v>
      </c>
      <c r="Q60" s="166">
        <f t="shared" ref="Q60:S60" si="32">Q61+Q62</f>
        <v>0</v>
      </c>
      <c r="R60" s="166">
        <f t="shared" si="32"/>
        <v>0</v>
      </c>
      <c r="S60" s="166">
        <f t="shared" si="32"/>
        <v>0</v>
      </c>
      <c r="T60" s="166">
        <f t="shared" ref="T60:T68" si="33">IF(Q60&gt;0,S60*100/Q60,0)</f>
        <v>0</v>
      </c>
      <c r="U60" s="166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70">
        <f t="shared" ref="L61:N62" si="35">L64+L67</f>
        <v>0</v>
      </c>
      <c r="M61" s="171">
        <f t="shared" si="35"/>
        <v>0</v>
      </c>
      <c r="N61" s="171">
        <f t="shared" si="35"/>
        <v>0</v>
      </c>
      <c r="O61" s="171">
        <f t="shared" si="30"/>
        <v>0</v>
      </c>
      <c r="P61" s="171">
        <f t="shared" si="31"/>
        <v>0</v>
      </c>
      <c r="Q61" s="171">
        <f t="shared" ref="Q61:S62" si="36">Q64+Q67</f>
        <v>0</v>
      </c>
      <c r="R61" s="171">
        <f t="shared" si="36"/>
        <v>0</v>
      </c>
      <c r="S61" s="171">
        <f t="shared" si="36"/>
        <v>0</v>
      </c>
      <c r="T61" s="171">
        <f t="shared" si="33"/>
        <v>0</v>
      </c>
      <c r="U61" s="171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72">
        <f t="shared" ca="1" si="35"/>
        <v>478300</v>
      </c>
      <c r="M62" s="173">
        <f t="shared" ca="1" si="35"/>
        <v>478300</v>
      </c>
      <c r="N62" s="173">
        <f t="shared" ca="1" si="35"/>
        <v>393236.35</v>
      </c>
      <c r="O62" s="173">
        <f t="shared" ca="1" si="30"/>
        <v>82.215419192975119</v>
      </c>
      <c r="P62" s="173">
        <f t="shared" ca="1" si="31"/>
        <v>82.215419192975119</v>
      </c>
      <c r="Q62" s="173">
        <f t="shared" si="36"/>
        <v>0</v>
      </c>
      <c r="R62" s="173">
        <f t="shared" si="36"/>
        <v>0</v>
      </c>
      <c r="S62" s="173">
        <f t="shared" si="36"/>
        <v>0</v>
      </c>
      <c r="T62" s="173">
        <f t="shared" si="33"/>
        <v>0</v>
      </c>
      <c r="U62" s="173">
        <f t="shared" si="34"/>
        <v>0</v>
      </c>
    </row>
    <row r="63" spans="1:21" ht="18.75" x14ac:dyDescent="0.25">
      <c r="A63" s="550"/>
      <c r="B63" s="269"/>
      <c r="C63" s="269"/>
      <c r="D63" s="967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131">
        <f t="shared" ref="L63:N63" ca="1" si="37">L64+L65</f>
        <v>478300</v>
      </c>
      <c r="M63" s="132">
        <f t="shared" ca="1" si="37"/>
        <v>478300</v>
      </c>
      <c r="N63" s="132">
        <f t="shared" ca="1" si="37"/>
        <v>393236.35</v>
      </c>
      <c r="O63" s="132">
        <f t="shared" ca="1" si="30"/>
        <v>82.215419192975119</v>
      </c>
      <c r="P63" s="132">
        <f t="shared" ca="1" si="31"/>
        <v>82.215419192975119</v>
      </c>
      <c r="Q63" s="132">
        <f t="shared" ref="Q63:S63" si="38">Q64+Q65</f>
        <v>0</v>
      </c>
      <c r="R63" s="132">
        <f t="shared" si="38"/>
        <v>0</v>
      </c>
      <c r="S63" s="132">
        <f t="shared" si="38"/>
        <v>0</v>
      </c>
      <c r="T63" s="132">
        <f t="shared" si="33"/>
        <v>0</v>
      </c>
      <c r="U63" s="132">
        <f t="shared" si="34"/>
        <v>0</v>
      </c>
    </row>
    <row r="64" spans="1:21" ht="18.75" hidden="1" x14ac:dyDescent="0.25">
      <c r="A64" s="550"/>
      <c r="B64" s="258"/>
      <c r="C64" s="269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133">
        <f t="shared" si="30"/>
        <v>0</v>
      </c>
      <c r="P64" s="133">
        <f t="shared" si="31"/>
        <v>0</v>
      </c>
      <c r="Q64" s="77">
        <v>0</v>
      </c>
      <c r="R64" s="77">
        <v>0</v>
      </c>
      <c r="S64" s="77">
        <v>0</v>
      </c>
      <c r="T64" s="133">
        <f t="shared" si="33"/>
        <v>0</v>
      </c>
      <c r="U64" s="133">
        <f t="shared" si="34"/>
        <v>0</v>
      </c>
    </row>
    <row r="65" spans="1:21" ht="18.75" hidden="1" x14ac:dyDescent="0.25">
      <c r="A65" s="257"/>
      <c r="B65" s="258"/>
      <c r="C65" s="258"/>
      <c r="D65" s="269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131">
        <f ca="1">IFERROR(__xludf.DUMMYFUNCTION("IMPORTRANGE(""https://docs.google.com/spreadsheets/d/1-uDff_7J0KD5mKrp0Vvzr7lt3OU09vwQwhkpOPPYv2Y/edit?usp=sharing"",""งบพรบ!AC56"")"),478300)</f>
        <v>478300</v>
      </c>
      <c r="M65" s="132">
        <f ca="1">IFERROR(__xludf.DUMMYFUNCTION("IMPORTRANGE(""https://docs.google.com/spreadsheets/d/1-uDff_7J0KD5mKrp0Vvzr7lt3OU09vwQwhkpOPPYv2Y/edit?usp=sharing"",""งบพรบ!AH56"")"),478300)</f>
        <v>478300</v>
      </c>
      <c r="N65" s="132">
        <f ca="1">IFERROR(__xludf.DUMMYFUNCTION("IMPORTRANGE(""https://docs.google.com/spreadsheets/d/1-uDff_7J0KD5mKrp0Vvzr7lt3OU09vwQwhkpOPPYv2Y/edit?usp=sharing"",""งบพรบ!AJ56"")"),393236.35)</f>
        <v>393236.35</v>
      </c>
      <c r="O65" s="132">
        <f t="shared" ca="1" si="30"/>
        <v>82.215419192975119</v>
      </c>
      <c r="P65" s="132">
        <f t="shared" ca="1" si="31"/>
        <v>82.215419192975119</v>
      </c>
      <c r="Q65" s="74">
        <v>0</v>
      </c>
      <c r="R65" s="74">
        <v>0</v>
      </c>
      <c r="S65" s="74">
        <v>0</v>
      </c>
      <c r="T65" s="132">
        <f t="shared" si="33"/>
        <v>0</v>
      </c>
      <c r="U65" s="132">
        <f t="shared" si="34"/>
        <v>0</v>
      </c>
    </row>
    <row r="66" spans="1:21" ht="18.75" x14ac:dyDescent="0.25">
      <c r="A66" s="257"/>
      <c r="B66" s="258"/>
      <c r="C66" s="258"/>
      <c r="D66" s="967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131">
        <f t="shared" ref="L66:N66" ca="1" si="39">L67+L68</f>
        <v>0</v>
      </c>
      <c r="M66" s="132">
        <f t="shared" ca="1" si="39"/>
        <v>0</v>
      </c>
      <c r="N66" s="132">
        <f t="shared" ca="1" si="39"/>
        <v>0</v>
      </c>
      <c r="O66" s="132">
        <f t="shared" ca="1" si="30"/>
        <v>0</v>
      </c>
      <c r="P66" s="132">
        <f t="shared" ca="1" si="31"/>
        <v>0</v>
      </c>
      <c r="Q66" s="132">
        <f t="shared" ref="Q66:S66" si="40">Q67+Q68</f>
        <v>0</v>
      </c>
      <c r="R66" s="132">
        <f t="shared" si="40"/>
        <v>0</v>
      </c>
      <c r="S66" s="132">
        <f t="shared" si="40"/>
        <v>0</v>
      </c>
      <c r="T66" s="132">
        <f t="shared" si="33"/>
        <v>0</v>
      </c>
      <c r="U66" s="132">
        <f t="shared" si="34"/>
        <v>0</v>
      </c>
    </row>
    <row r="67" spans="1:21" ht="18.75" hidden="1" x14ac:dyDescent="0.25">
      <c r="A67" s="257"/>
      <c r="B67" s="258"/>
      <c r="C67" s="258"/>
      <c r="D67" s="258"/>
      <c r="E67" s="265" t="s">
        <v>20</v>
      </c>
      <c r="F67" s="258"/>
      <c r="G67" s="261"/>
      <c r="H67" s="266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133">
        <f t="shared" si="30"/>
        <v>0</v>
      </c>
      <c r="P67" s="133">
        <f t="shared" si="31"/>
        <v>0</v>
      </c>
      <c r="Q67" s="77">
        <v>0</v>
      </c>
      <c r="R67" s="77">
        <v>0</v>
      </c>
      <c r="S67" s="77">
        <v>0</v>
      </c>
      <c r="T67" s="133">
        <f t="shared" si="33"/>
        <v>0</v>
      </c>
      <c r="U67" s="133">
        <f t="shared" si="34"/>
        <v>0</v>
      </c>
    </row>
    <row r="68" spans="1:21" ht="18.75" hidden="1" x14ac:dyDescent="0.25">
      <c r="A68" s="1094"/>
      <c r="B68" s="636"/>
      <c r="C68" s="636"/>
      <c r="D68" s="636"/>
      <c r="E68" s="849" t="s">
        <v>21</v>
      </c>
      <c r="F68" s="636"/>
      <c r="G68" s="637"/>
      <c r="H68" s="630" t="s">
        <v>14</v>
      </c>
      <c r="I68" s="631"/>
      <c r="J68" s="631"/>
      <c r="K68" s="98"/>
      <c r="L68" s="878">
        <f ca="1">IFERROR(__xludf.DUMMYFUNCTION("IMPORTRANGE(""https://docs.google.com/spreadsheets/d/1-uDff_7J0KD5mKrp0Vvzr7lt3OU09vwQwhkpOPPYv2Y/edit?usp=sharing"",""งบพรบ!AF56"")"),0)</f>
        <v>0</v>
      </c>
      <c r="M68" s="183">
        <f ca="1">IFERROR(__xludf.DUMMYFUNCTION("IMPORTRANGE(""https://docs.google.com/spreadsheets/d/1-uDff_7J0KD5mKrp0Vvzr7lt3OU09vwQwhkpOPPYv2Y/edit?usp=sharing"",""งบพรบ!AI56"")"),0)</f>
        <v>0</v>
      </c>
      <c r="N68" s="183">
        <f ca="1">IFERROR(__xludf.DUMMYFUNCTION("IMPORTRANGE(""https://docs.google.com/spreadsheets/d/1-uDff_7J0KD5mKrp0Vvzr7lt3OU09vwQwhkpOPPYv2Y/edit?usp=sharing"",""งบพรบ!AK56"")"),0)</f>
        <v>0</v>
      </c>
      <c r="O68" s="183">
        <f t="shared" ca="1" si="30"/>
        <v>0</v>
      </c>
      <c r="P68" s="183">
        <f t="shared" ca="1" si="31"/>
        <v>0</v>
      </c>
      <c r="Q68" s="182">
        <v>0</v>
      </c>
      <c r="R68" s="182">
        <v>0</v>
      </c>
      <c r="S68" s="182">
        <v>0</v>
      </c>
      <c r="T68" s="183">
        <f t="shared" si="33"/>
        <v>0</v>
      </c>
      <c r="U68" s="183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6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hidden="1" x14ac:dyDescent="0.3">
      <c r="A70" s="1099" t="s">
        <v>32</v>
      </c>
      <c r="B70" s="691"/>
      <c r="C70" s="693"/>
      <c r="D70" s="691"/>
      <c r="E70" s="691"/>
      <c r="F70" s="691"/>
      <c r="G70" s="1100"/>
      <c r="H70" s="1101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39" hidden="1" x14ac:dyDescent="0.3">
      <c r="A71" s="250"/>
      <c r="B71" s="251" t="s">
        <v>33</v>
      </c>
      <c r="C71" s="252"/>
      <c r="D71" s="253"/>
      <c r="E71" s="252"/>
      <c r="F71" s="252"/>
      <c r="G71" s="254"/>
      <c r="H71" s="255" t="s">
        <v>34</v>
      </c>
      <c r="I71" s="256">
        <f t="shared" ref="I71:J72" ca="1" si="41">I83</f>
        <v>0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hidden="1" x14ac:dyDescent="0.3">
      <c r="A72" s="250"/>
      <c r="B72" s="252"/>
      <c r="C72" s="252"/>
      <c r="D72" s="253"/>
      <c r="E72" s="252"/>
      <c r="F72" s="252"/>
      <c r="G72" s="254"/>
      <c r="H72" s="255" t="s">
        <v>35</v>
      </c>
      <c r="I72" s="256">
        <f t="shared" ca="1" si="41"/>
        <v>0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hidden="1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214">
        <f t="shared" ref="L73:N73" ca="1" si="43">L74+L75</f>
        <v>0</v>
      </c>
      <c r="M73" s="215">
        <f t="shared" ca="1" si="43"/>
        <v>0</v>
      </c>
      <c r="N73" s="215">
        <f t="shared" ca="1" si="43"/>
        <v>0</v>
      </c>
      <c r="O73" s="215">
        <f t="shared" ref="O73:O81" ca="1" si="44">IF(L73&gt;0,N73*100/L73,0)</f>
        <v>0</v>
      </c>
      <c r="P73" s="215">
        <f t="shared" ref="P73:P81" ca="1" si="45">IF(M73&gt;0,N73*100/M73,0)</f>
        <v>0</v>
      </c>
      <c r="Q73" s="215">
        <f t="shared" ref="Q73:S73" ca="1" si="46">Q74+Q75</f>
        <v>0</v>
      </c>
      <c r="R73" s="215">
        <f t="shared" ca="1" si="46"/>
        <v>0</v>
      </c>
      <c r="S73" s="215">
        <f t="shared" ca="1" si="46"/>
        <v>0</v>
      </c>
      <c r="T73" s="215">
        <f t="shared" ref="T73:T81" ca="1" si="47">IF(Q73&gt;0,S73*100/Q73,0)</f>
        <v>0</v>
      </c>
      <c r="U73" s="215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217">
        <f t="shared" ref="L74:N75" si="49">L77+L80</f>
        <v>0</v>
      </c>
      <c r="M74" s="133">
        <f t="shared" si="49"/>
        <v>0</v>
      </c>
      <c r="N74" s="133">
        <f t="shared" si="49"/>
        <v>0</v>
      </c>
      <c r="O74" s="133">
        <f t="shared" si="44"/>
        <v>0</v>
      </c>
      <c r="P74" s="133">
        <f t="shared" si="45"/>
        <v>0</v>
      </c>
      <c r="Q74" s="133">
        <f t="shared" ref="Q74:S75" si="50">Q77+Q80</f>
        <v>0</v>
      </c>
      <c r="R74" s="133">
        <f t="shared" si="50"/>
        <v>0</v>
      </c>
      <c r="S74" s="133">
        <f t="shared" si="50"/>
        <v>0</v>
      </c>
      <c r="T74" s="133">
        <f t="shared" si="47"/>
        <v>0</v>
      </c>
      <c r="U74" s="133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131">
        <f t="shared" ca="1" si="49"/>
        <v>0</v>
      </c>
      <c r="M75" s="132">
        <f t="shared" ca="1" si="49"/>
        <v>0</v>
      </c>
      <c r="N75" s="132">
        <f t="shared" ca="1" si="49"/>
        <v>0</v>
      </c>
      <c r="O75" s="132">
        <f t="shared" ca="1" si="44"/>
        <v>0</v>
      </c>
      <c r="P75" s="132">
        <f t="shared" ca="1" si="45"/>
        <v>0</v>
      </c>
      <c r="Q75" s="132">
        <f t="shared" ca="1" si="50"/>
        <v>0</v>
      </c>
      <c r="R75" s="132">
        <f t="shared" ca="1" si="50"/>
        <v>0</v>
      </c>
      <c r="S75" s="132">
        <f t="shared" ca="1" si="50"/>
        <v>0</v>
      </c>
      <c r="T75" s="132">
        <f t="shared" ca="1" si="47"/>
        <v>0</v>
      </c>
      <c r="U75" s="132">
        <f t="shared" ca="1" si="48"/>
        <v>0</v>
      </c>
    </row>
    <row r="76" spans="1:21" ht="18.75" hidden="1" x14ac:dyDescent="0.25">
      <c r="A76" s="257"/>
      <c r="B76" s="269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131">
        <f t="shared" ref="L76:N76" ca="1" si="51">L77+L78</f>
        <v>0</v>
      </c>
      <c r="M76" s="132">
        <f t="shared" ca="1" si="51"/>
        <v>0</v>
      </c>
      <c r="N76" s="132">
        <f t="shared" ca="1" si="51"/>
        <v>0</v>
      </c>
      <c r="O76" s="132">
        <f t="shared" ca="1" si="44"/>
        <v>0</v>
      </c>
      <c r="P76" s="132">
        <f t="shared" ca="1" si="45"/>
        <v>0</v>
      </c>
      <c r="Q76" s="132">
        <f t="shared" ref="Q76:S76" ca="1" si="52">Q77+Q78</f>
        <v>0</v>
      </c>
      <c r="R76" s="132">
        <f t="shared" ca="1" si="52"/>
        <v>0</v>
      </c>
      <c r="S76" s="132">
        <f t="shared" ca="1" si="52"/>
        <v>0</v>
      </c>
      <c r="T76" s="132">
        <f t="shared" ca="1" si="47"/>
        <v>0</v>
      </c>
      <c r="U76" s="132">
        <f t="shared" ca="1" si="48"/>
        <v>0</v>
      </c>
    </row>
    <row r="77" spans="1:21" ht="18.75" hidden="1" x14ac:dyDescent="0.25">
      <c r="A77" s="257"/>
      <c r="B77" s="269"/>
      <c r="C77" s="269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133">
        <f t="shared" si="44"/>
        <v>0</v>
      </c>
      <c r="P77" s="133">
        <f t="shared" si="45"/>
        <v>0</v>
      </c>
      <c r="Q77" s="77">
        <v>0</v>
      </c>
      <c r="R77" s="77">
        <v>0</v>
      </c>
      <c r="S77" s="77">
        <v>0</v>
      </c>
      <c r="T77" s="133">
        <f t="shared" si="47"/>
        <v>0</v>
      </c>
      <c r="U77" s="133">
        <f t="shared" si="48"/>
        <v>0</v>
      </c>
    </row>
    <row r="78" spans="1:21" ht="18.75" hidden="1" x14ac:dyDescent="0.25">
      <c r="A78" s="257"/>
      <c r="B78" s="269"/>
      <c r="C78" s="269"/>
      <c r="D78" s="269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131">
        <f ca="1">IFERROR(__xludf.DUMMYFUNCTION("IMPORTRANGE(""https://docs.google.com/spreadsheets/d/1-uDff_7J0KD5mKrp0Vvzr7lt3OU09vwQwhkpOPPYv2Y/edit?usp=sharing"",""งบพรบ!AM56"")"),0)</f>
        <v>0</v>
      </c>
      <c r="M78" s="132">
        <f ca="1">IFERROR(__xludf.DUMMYFUNCTION("IMPORTRANGE(""https://docs.google.com/spreadsheets/d/1-uDff_7J0KD5mKrp0Vvzr7lt3OU09vwQwhkpOPPYv2Y/edit?usp=sharing"",""งบพรบ!AR56"")"),0)</f>
        <v>0</v>
      </c>
      <c r="N78" s="132">
        <f ca="1">IFERROR(__xludf.DUMMYFUNCTION("IMPORTRANGE(""https://docs.google.com/spreadsheets/d/1-uDff_7J0KD5mKrp0Vvzr7lt3OU09vwQwhkpOPPYv2Y/edit?usp=sharing"",""งบพรบ!AT56"")"),0)</f>
        <v>0</v>
      </c>
      <c r="O78" s="132">
        <f t="shared" ca="1" si="44"/>
        <v>0</v>
      </c>
      <c r="P78" s="132">
        <f t="shared" ca="1" si="45"/>
        <v>0</v>
      </c>
      <c r="Q78" s="132">
        <f ca="1">IFERROR(__xludf.DUMMYFUNCTION("IMPORTRANGE(""https://docs.google.com/spreadsheets/d/1ItG2mGa2ceCfYo0BwxsXqNm01IGEUdYcSSLTEv9YCik/edit?usp=sharing"",""เบิกจ่ายกองทุน!AS56"")"),0)</f>
        <v>0</v>
      </c>
      <c r="R78" s="132">
        <f ca="1">IFERROR(__xludf.DUMMYFUNCTION("IMPORTRANGE(""https://docs.google.com/spreadsheets/d/1ItG2mGa2ceCfYo0BwxsXqNm01IGEUdYcSSLTEv9YCik/edit?usp=sharing"",""เบิกจ่ายกองทุน!AT56"")"),0)</f>
        <v>0</v>
      </c>
      <c r="S78" s="132">
        <f ca="1">IFERROR(__xludf.DUMMYFUNCTION("IMPORTRANGE(""https://docs.google.com/spreadsheets/d/1ItG2mGa2ceCfYo0BwxsXqNm01IGEUdYcSSLTEv9YCik/edit?usp=sharing"",""เบิกจ่ายกองทุน!AU56"")"),0)</f>
        <v>0</v>
      </c>
      <c r="T78" s="132">
        <f t="shared" ca="1" si="47"/>
        <v>0</v>
      </c>
      <c r="U78" s="132">
        <f t="shared" ca="1" si="48"/>
        <v>0</v>
      </c>
    </row>
    <row r="79" spans="1:21" ht="18.75" hidden="1" x14ac:dyDescent="0.25">
      <c r="A79" s="257"/>
      <c r="B79" s="269"/>
      <c r="C79" s="269"/>
      <c r="D79" s="967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131">
        <f t="shared" ref="L79:N79" ca="1" si="53">L80+L81</f>
        <v>0</v>
      </c>
      <c r="M79" s="132">
        <f t="shared" ca="1" si="53"/>
        <v>0</v>
      </c>
      <c r="N79" s="132">
        <f t="shared" ca="1" si="53"/>
        <v>0</v>
      </c>
      <c r="O79" s="132">
        <f t="shared" ca="1" si="44"/>
        <v>0</v>
      </c>
      <c r="P79" s="132">
        <f t="shared" ca="1" si="45"/>
        <v>0</v>
      </c>
      <c r="Q79" s="132">
        <f t="shared" ref="Q79:S79" si="54">Q80+Q81</f>
        <v>0</v>
      </c>
      <c r="R79" s="132">
        <f t="shared" si="54"/>
        <v>0</v>
      </c>
      <c r="S79" s="132">
        <f t="shared" si="54"/>
        <v>0</v>
      </c>
      <c r="T79" s="132">
        <f t="shared" si="47"/>
        <v>0</v>
      </c>
      <c r="U79" s="132">
        <f t="shared" si="48"/>
        <v>0</v>
      </c>
    </row>
    <row r="80" spans="1:21" ht="18.75" hidden="1" x14ac:dyDescent="0.25">
      <c r="A80" s="257"/>
      <c r="B80" s="269"/>
      <c r="C80" s="269"/>
      <c r="D80" s="269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133">
        <f t="shared" si="44"/>
        <v>0</v>
      </c>
      <c r="P80" s="133">
        <f t="shared" si="45"/>
        <v>0</v>
      </c>
      <c r="Q80" s="77">
        <v>0</v>
      </c>
      <c r="R80" s="74">
        <v>0</v>
      </c>
      <c r="S80" s="74">
        <v>0</v>
      </c>
      <c r="T80" s="133">
        <f t="shared" si="47"/>
        <v>0</v>
      </c>
      <c r="U80" s="133">
        <f t="shared" si="48"/>
        <v>0</v>
      </c>
    </row>
    <row r="81" spans="1:21" ht="18.75" hidden="1" x14ac:dyDescent="0.25">
      <c r="A81" s="257"/>
      <c r="B81" s="269"/>
      <c r="C81" s="269"/>
      <c r="D81" s="269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131">
        <f ca="1">IFERROR(__xludf.DUMMYFUNCTION("IMPORTRANGE(""https://docs.google.com/spreadsheets/d/1-uDff_7J0KD5mKrp0Vvzr7lt3OU09vwQwhkpOPPYv2Y/edit?usp=sharing"",""งบพรบ!AP56"")"),0)</f>
        <v>0</v>
      </c>
      <c r="M81" s="132">
        <f ca="1">IFERROR(__xludf.DUMMYFUNCTION("IMPORTRANGE(""https://docs.google.com/spreadsheets/d/1-uDff_7J0KD5mKrp0Vvzr7lt3OU09vwQwhkpOPPYv2Y/edit?usp=sharing"",""งบพรบ!AS56"")"),0)</f>
        <v>0</v>
      </c>
      <c r="N81" s="132">
        <f ca="1">IFERROR(__xludf.DUMMYFUNCTION("IMPORTRANGE(""https://docs.google.com/spreadsheets/d/1-uDff_7J0KD5mKrp0Vvzr7lt3OU09vwQwhkpOPPYv2Y/edit?usp=sharing"",""งบพรบ!AU56"")"),0)</f>
        <v>0</v>
      </c>
      <c r="O81" s="132">
        <f t="shared" ca="1" si="44"/>
        <v>0</v>
      </c>
      <c r="P81" s="132">
        <f t="shared" ca="1" si="45"/>
        <v>0</v>
      </c>
      <c r="Q81" s="74">
        <v>0</v>
      </c>
      <c r="R81" s="74">
        <v>0</v>
      </c>
      <c r="S81" s="74">
        <v>0</v>
      </c>
      <c r="T81" s="132">
        <f t="shared" si="47"/>
        <v>0</v>
      </c>
      <c r="U81" s="132">
        <f t="shared" si="48"/>
        <v>0</v>
      </c>
    </row>
    <row r="82" spans="1:21" ht="19.5" hidden="1" x14ac:dyDescent="0.3">
      <c r="A82" s="276"/>
      <c r="B82" s="277"/>
      <c r="C82" s="621" t="s">
        <v>18</v>
      </c>
      <c r="D82" s="968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hidden="1" x14ac:dyDescent="0.3">
      <c r="A83" s="276"/>
      <c r="B83" s="277"/>
      <c r="C83" s="277"/>
      <c r="D83" s="1103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0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hidden="1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0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hidden="1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IFERROR(__xludf.DUMMYFUNCTION("IMPORTRANGE(""https://docs.google.com/spreadsheets/d/1eHaY18a8A9IcSdp1K8H6x8fbOy06t2VsZHhMHf-1x7Y/edit?usp=sharing"",""แผน!H56"")"),0)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hidden="1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IFERROR(__xludf.DUMMYFUNCTION("IMPORTRANGE(""https://docs.google.com/spreadsheets/d/1eHaY18a8A9IcSdp1K8H6x8fbOy06t2VsZHhMHf-1x7Y/edit?usp=sharing"",""แผน!I56"")"),0)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hidden="1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IFERROR(__xludf.DUMMYFUNCTION("IMPORTRANGE(""https://docs.google.com/spreadsheets/d/1eHaY18a8A9IcSdp1K8H6x8fbOy06t2VsZHhMHf-1x7Y/edit?usp=sharing"",""แผน!F56"")"),0)</f>
        <v>0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hidden="1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IFERROR(__xludf.DUMMYFUNCTION("IMPORTRANGE(""https://docs.google.com/spreadsheets/d/1eHaY18a8A9IcSdp1K8H6x8fbOy06t2VsZHhMHf-1x7Y/edit?usp=sharing"",""แผน!G56"")"),0)</f>
        <v>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hidden="1" x14ac:dyDescent="0.25">
      <c r="A89" s="276"/>
      <c r="B89" s="277"/>
      <c r="C89" s="277"/>
      <c r="D89" s="277"/>
      <c r="E89" s="295" t="s">
        <v>42</v>
      </c>
      <c r="F89" s="296"/>
      <c r="G89" s="282"/>
      <c r="H89" s="275" t="s">
        <v>34</v>
      </c>
      <c r="I89" s="298">
        <f ca="1">IFERROR(__xludf.DUMMYFUNCTION("IMPORTRANGE(""https://docs.google.com/spreadsheets/d/1eHaY18a8A9IcSdp1K8H6x8fbOy06t2VsZHhMHf-1x7Y/edit?usp=sharing"",""แผน!D56"")"),0)</f>
        <v>0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hidden="1" x14ac:dyDescent="0.25">
      <c r="A90" s="276"/>
      <c r="B90" s="277"/>
      <c r="C90" s="277"/>
      <c r="D90" s="277"/>
      <c r="E90" s="296"/>
      <c r="F90" s="296"/>
      <c r="G90" s="282"/>
      <c r="H90" s="275" t="s">
        <v>35</v>
      </c>
      <c r="I90" s="298">
        <f ca="1">IFERROR(__xludf.DUMMYFUNCTION("IMPORTRANGE(""https://docs.google.com/spreadsheets/d/1eHaY18a8A9IcSdp1K8H6x8fbOy06t2VsZHhMHf-1x7Y/edit?usp=sharing"",""แผน!E56"")"),0)</f>
        <v>0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hidden="1" x14ac:dyDescent="0.25">
      <c r="A91" s="276"/>
      <c r="B91" s="277"/>
      <c r="C91" s="277"/>
      <c r="D91" s="767" t="s">
        <v>43</v>
      </c>
      <c r="E91" s="296"/>
      <c r="F91" s="296"/>
      <c r="G91" s="282"/>
      <c r="H91" s="271" t="s">
        <v>34</v>
      </c>
      <c r="I91" s="298">
        <f ca="1">IFERROR(__xludf.DUMMYFUNCTION("IMPORTRANGE(""https://docs.google.com/spreadsheets/d/1eHaY18a8A9IcSdp1K8H6x8fbOy06t2VsZHhMHf-1x7Y/edit?usp=sharing"",""แผน!J56"")"),0)</f>
        <v>0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hidden="1" x14ac:dyDescent="0.3">
      <c r="A92" s="1099" t="s">
        <v>44</v>
      </c>
      <c r="B92" s="691"/>
      <c r="C92" s="693"/>
      <c r="D92" s="691"/>
      <c r="E92" s="691"/>
      <c r="F92" s="691"/>
      <c r="G92" s="1100"/>
      <c r="H92" s="1101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hidden="1" x14ac:dyDescent="0.3">
      <c r="A93" s="250"/>
      <c r="B93" s="251" t="s">
        <v>45</v>
      </c>
      <c r="C93" s="252"/>
      <c r="D93" s="253"/>
      <c r="E93" s="252"/>
      <c r="F93" s="252"/>
      <c r="G93" s="254"/>
      <c r="H93" s="255" t="s">
        <v>46</v>
      </c>
      <c r="I93" s="256">
        <f t="shared" ref="I93:J94" ca="1" si="57">I109</f>
        <v>0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hidden="1" x14ac:dyDescent="0.3">
      <c r="A94" s="250"/>
      <c r="B94" s="252"/>
      <c r="C94" s="252"/>
      <c r="D94" s="253"/>
      <c r="E94" s="252"/>
      <c r="F94" s="252"/>
      <c r="G94" s="254"/>
      <c r="H94" s="255" t="s">
        <v>35</v>
      </c>
      <c r="I94" s="256">
        <f t="shared" ca="1" si="57"/>
        <v>0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hidden="1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214">
        <f t="shared" ref="L95:N95" ca="1" si="59">L96+L97</f>
        <v>0</v>
      </c>
      <c r="M95" s="215">
        <f t="shared" ca="1" si="59"/>
        <v>0</v>
      </c>
      <c r="N95" s="215">
        <f t="shared" ca="1" si="59"/>
        <v>0</v>
      </c>
      <c r="O95" s="215">
        <f t="shared" ref="O95:O103" ca="1" si="60">IF(L95&gt;0,N95*100/L95,0)</f>
        <v>0</v>
      </c>
      <c r="P95" s="215">
        <f t="shared" ref="P95:P103" ca="1" si="61">IF(M95&gt;0,N95*100/M95,0)</f>
        <v>0</v>
      </c>
      <c r="Q95" s="215">
        <f t="shared" ref="Q95:S95" ca="1" si="62">Q96+Q97</f>
        <v>0</v>
      </c>
      <c r="R95" s="215">
        <f t="shared" ca="1" si="62"/>
        <v>0</v>
      </c>
      <c r="S95" s="215">
        <f t="shared" ca="1" si="62"/>
        <v>0</v>
      </c>
      <c r="T95" s="215">
        <f t="shared" ref="T95:T103" ca="1" si="63">IF(Q95&gt;0,S95*100/Q95,0)</f>
        <v>0</v>
      </c>
      <c r="U95" s="215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217">
        <f t="shared" ref="L96:N97" si="65">L99+L102</f>
        <v>0</v>
      </c>
      <c r="M96" s="133">
        <f t="shared" si="65"/>
        <v>0</v>
      </c>
      <c r="N96" s="133">
        <f t="shared" si="65"/>
        <v>0</v>
      </c>
      <c r="O96" s="133">
        <f t="shared" si="60"/>
        <v>0</v>
      </c>
      <c r="P96" s="133">
        <f t="shared" si="61"/>
        <v>0</v>
      </c>
      <c r="Q96" s="133">
        <f t="shared" ref="Q96:S97" si="66">Q99+Q102</f>
        <v>0</v>
      </c>
      <c r="R96" s="133">
        <f t="shared" si="66"/>
        <v>0</v>
      </c>
      <c r="S96" s="133">
        <f t="shared" si="66"/>
        <v>0</v>
      </c>
      <c r="T96" s="133">
        <f t="shared" si="63"/>
        <v>0</v>
      </c>
      <c r="U96" s="133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131">
        <f t="shared" ca="1" si="65"/>
        <v>0</v>
      </c>
      <c r="M97" s="132">
        <f t="shared" ca="1" si="65"/>
        <v>0</v>
      </c>
      <c r="N97" s="132">
        <f t="shared" ca="1" si="65"/>
        <v>0</v>
      </c>
      <c r="O97" s="132">
        <f t="shared" ca="1" si="60"/>
        <v>0</v>
      </c>
      <c r="P97" s="132">
        <f t="shared" ca="1" si="61"/>
        <v>0</v>
      </c>
      <c r="Q97" s="132">
        <f t="shared" ca="1" si="66"/>
        <v>0</v>
      </c>
      <c r="R97" s="132">
        <f t="shared" ca="1" si="66"/>
        <v>0</v>
      </c>
      <c r="S97" s="132">
        <f t="shared" ca="1" si="66"/>
        <v>0</v>
      </c>
      <c r="T97" s="132">
        <f t="shared" ca="1" si="63"/>
        <v>0</v>
      </c>
      <c r="U97" s="132">
        <f t="shared" ca="1" si="64"/>
        <v>0</v>
      </c>
    </row>
    <row r="98" spans="1:21" ht="18.75" hidden="1" x14ac:dyDescent="0.25">
      <c r="A98" s="257"/>
      <c r="B98" s="269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131">
        <f t="shared" ref="L98:N98" ca="1" si="67">L99+L100</f>
        <v>0</v>
      </c>
      <c r="M98" s="132">
        <f t="shared" ca="1" si="67"/>
        <v>0</v>
      </c>
      <c r="N98" s="132">
        <f t="shared" ca="1" si="67"/>
        <v>0</v>
      </c>
      <c r="O98" s="132">
        <f t="shared" ca="1" si="60"/>
        <v>0</v>
      </c>
      <c r="P98" s="132">
        <f t="shared" ca="1" si="61"/>
        <v>0</v>
      </c>
      <c r="Q98" s="132">
        <f t="shared" ref="Q98:S98" ca="1" si="68">Q99+Q100</f>
        <v>0</v>
      </c>
      <c r="R98" s="132">
        <f t="shared" ca="1" si="68"/>
        <v>0</v>
      </c>
      <c r="S98" s="132">
        <f t="shared" ca="1" si="68"/>
        <v>0</v>
      </c>
      <c r="T98" s="132">
        <f t="shared" ca="1" si="63"/>
        <v>0</v>
      </c>
      <c r="U98" s="132">
        <f t="shared" ca="1" si="64"/>
        <v>0</v>
      </c>
    </row>
    <row r="99" spans="1:21" ht="18.75" hidden="1" x14ac:dyDescent="0.25">
      <c r="A99" s="257"/>
      <c r="B99" s="269"/>
      <c r="C99" s="269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133">
        <f t="shared" si="60"/>
        <v>0</v>
      </c>
      <c r="P99" s="133">
        <f t="shared" si="61"/>
        <v>0</v>
      </c>
      <c r="Q99" s="77">
        <v>0</v>
      </c>
      <c r="R99" s="77">
        <v>0</v>
      </c>
      <c r="S99" s="77">
        <v>0</v>
      </c>
      <c r="T99" s="133">
        <f t="shared" si="63"/>
        <v>0</v>
      </c>
      <c r="U99" s="133">
        <f t="shared" si="64"/>
        <v>0</v>
      </c>
    </row>
    <row r="100" spans="1:21" ht="18.75" hidden="1" x14ac:dyDescent="0.25">
      <c r="A100" s="257"/>
      <c r="B100" s="269"/>
      <c r="C100" s="269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131">
        <f ca="1">IFERROR(__xludf.DUMMYFUNCTION("IMPORTRANGE(""https://docs.google.com/spreadsheets/d/1-uDff_7J0KD5mKrp0Vvzr7lt3OU09vwQwhkpOPPYv2Y/edit?usp=sharing"",""งบพรบ!AW56"")"),0)</f>
        <v>0</v>
      </c>
      <c r="M100" s="132">
        <f ca="1">IFERROR(__xludf.DUMMYFUNCTION("IMPORTRANGE(""https://docs.google.com/spreadsheets/d/1-uDff_7J0KD5mKrp0Vvzr7lt3OU09vwQwhkpOPPYv2Y/edit?usp=sharing"",""งบพรบ!BB56"")"),0)</f>
        <v>0</v>
      </c>
      <c r="N100" s="132">
        <f ca="1">IFERROR(__xludf.DUMMYFUNCTION("IMPORTRANGE(""https://docs.google.com/spreadsheets/d/1-uDff_7J0KD5mKrp0Vvzr7lt3OU09vwQwhkpOPPYv2Y/edit?usp=sharing"",""งบพรบ!BD56"")"),0)</f>
        <v>0</v>
      </c>
      <c r="O100" s="132">
        <f t="shared" ca="1" si="60"/>
        <v>0</v>
      </c>
      <c r="P100" s="132">
        <f t="shared" ca="1" si="61"/>
        <v>0</v>
      </c>
      <c r="Q100" s="132">
        <f ca="1">IFERROR(__xludf.DUMMYFUNCTION("IMPORTRANGE(""https://docs.google.com/spreadsheets/d/1ItG2mGa2ceCfYo0BwxsXqNm01IGEUdYcSSLTEv9YCik/edit?usp=sharing"",""เบิกจ่ายกองทุน!AD56"")"),0)</f>
        <v>0</v>
      </c>
      <c r="R100" s="132">
        <f ca="1">IFERROR(__xludf.DUMMYFUNCTION("IMPORTRANGE(""https://docs.google.com/spreadsheets/d/1ItG2mGa2ceCfYo0BwxsXqNm01IGEUdYcSSLTEv9YCik/edit?usp=sharing"",""เบิกจ่ายกองทุน!AE56"")"),0)</f>
        <v>0</v>
      </c>
      <c r="S100" s="132">
        <f ca="1">IFERROR(__xludf.DUMMYFUNCTION("IMPORTRANGE(""https://docs.google.com/spreadsheets/d/1ItG2mGa2ceCfYo0BwxsXqNm01IGEUdYcSSLTEv9YCik/edit?usp=sharing"",""เบิกจ่ายกองทุน!AF56"")"),0)</f>
        <v>0</v>
      </c>
      <c r="T100" s="132">
        <f t="shared" ca="1" si="63"/>
        <v>0</v>
      </c>
      <c r="U100" s="132">
        <f t="shared" ca="1" si="64"/>
        <v>0</v>
      </c>
    </row>
    <row r="101" spans="1:21" ht="18.75" hidden="1" x14ac:dyDescent="0.25">
      <c r="A101" s="257"/>
      <c r="B101" s="269"/>
      <c r="C101" s="269"/>
      <c r="D101" s="967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131">
        <f t="shared" ref="L101:N101" ca="1" si="69">L102+L103</f>
        <v>0</v>
      </c>
      <c r="M101" s="132">
        <f t="shared" ca="1" si="69"/>
        <v>0</v>
      </c>
      <c r="N101" s="132">
        <f t="shared" ca="1" si="69"/>
        <v>0</v>
      </c>
      <c r="O101" s="132">
        <f t="shared" ca="1" si="60"/>
        <v>0</v>
      </c>
      <c r="P101" s="132">
        <f t="shared" ca="1" si="61"/>
        <v>0</v>
      </c>
      <c r="Q101" s="132">
        <f t="shared" ref="Q101:S101" si="70">Q102+Q103</f>
        <v>0</v>
      </c>
      <c r="R101" s="132">
        <f t="shared" si="70"/>
        <v>0</v>
      </c>
      <c r="S101" s="132">
        <f t="shared" si="70"/>
        <v>0</v>
      </c>
      <c r="T101" s="132">
        <f t="shared" si="63"/>
        <v>0</v>
      </c>
      <c r="U101" s="132">
        <f t="shared" si="64"/>
        <v>0</v>
      </c>
    </row>
    <row r="102" spans="1:21" ht="18.75" hidden="1" x14ac:dyDescent="0.25">
      <c r="A102" s="257"/>
      <c r="B102" s="269"/>
      <c r="C102" s="269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133">
        <f t="shared" si="60"/>
        <v>0</v>
      </c>
      <c r="P102" s="133">
        <f t="shared" si="61"/>
        <v>0</v>
      </c>
      <c r="Q102" s="77">
        <v>0</v>
      </c>
      <c r="R102" s="77">
        <v>0</v>
      </c>
      <c r="S102" s="77">
        <v>0</v>
      </c>
      <c r="T102" s="133">
        <f t="shared" si="63"/>
        <v>0</v>
      </c>
      <c r="U102" s="133">
        <f t="shared" si="64"/>
        <v>0</v>
      </c>
    </row>
    <row r="103" spans="1:21" ht="18.75" hidden="1" x14ac:dyDescent="0.25">
      <c r="A103" s="257"/>
      <c r="B103" s="269"/>
      <c r="C103" s="269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131">
        <f ca="1">IFERROR(__xludf.DUMMYFUNCTION("IMPORTRANGE(""https://docs.google.com/spreadsheets/d/1-uDff_7J0KD5mKrp0Vvzr7lt3OU09vwQwhkpOPPYv2Y/edit?usp=sharing"",""งบพรบ!AZ56"")"),0)</f>
        <v>0</v>
      </c>
      <c r="M103" s="132">
        <f ca="1">IFERROR(__xludf.DUMMYFUNCTION("IMPORTRANGE(""https://docs.google.com/spreadsheets/d/1-uDff_7J0KD5mKrp0Vvzr7lt3OU09vwQwhkpOPPYv2Y/edit?usp=sharing"",""งบพรบ!BC56"")"),0)</f>
        <v>0</v>
      </c>
      <c r="N103" s="132">
        <f ca="1">IFERROR(__xludf.DUMMYFUNCTION("IMPORTRANGE(""https://docs.google.com/spreadsheets/d/1-uDff_7J0KD5mKrp0Vvzr7lt3OU09vwQwhkpOPPYv2Y/edit?usp=sharing"",""งบพรบ!BE56"")"),0)</f>
        <v>0</v>
      </c>
      <c r="O103" s="132">
        <f t="shared" ca="1" si="60"/>
        <v>0</v>
      </c>
      <c r="P103" s="132">
        <f t="shared" ca="1" si="61"/>
        <v>0</v>
      </c>
      <c r="Q103" s="74">
        <v>0</v>
      </c>
      <c r="R103" s="74">
        <v>0</v>
      </c>
      <c r="S103" s="74">
        <v>0</v>
      </c>
      <c r="T103" s="132">
        <f t="shared" si="63"/>
        <v>0</v>
      </c>
      <c r="U103" s="132">
        <f t="shared" si="64"/>
        <v>0</v>
      </c>
    </row>
    <row r="104" spans="1:21" ht="19.5" hidden="1" x14ac:dyDescent="0.3">
      <c r="A104" s="276"/>
      <c r="B104" s="277"/>
      <c r="C104" s="621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hidden="1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IFERROR(__xludf.DUMMYFUNCTION("IMPORTRANGE(""https://docs.google.com/spreadsheets/d/1eHaY18a8A9IcSdp1K8H6x8fbOy06t2VsZHhMHf-1x7Y/edit?usp=sharing"",""แผน!N56"")"),0)</f>
        <v>0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hidden="1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IFERROR(__xludf.DUMMYFUNCTION("IMPORTRANGE(""https://docs.google.com/spreadsheets/d/1eHaY18a8A9IcSdp1K8H6x8fbOy06t2VsZHhMHf-1x7Y/edit?usp=sharing"",""แผน!O56"")"),0)</f>
        <v>0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4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2.75" hidden="1" x14ac:dyDescent="0.2">
      <c r="A114" s="283"/>
      <c r="B114" s="284"/>
      <c r="C114" s="284"/>
      <c r="D114" s="284"/>
      <c r="E114" s="285"/>
      <c r="F114" s="285"/>
      <c r="G114" s="286"/>
      <c r="H114" s="286"/>
      <c r="I114" s="287">
        <v>0</v>
      </c>
      <c r="J114" s="287">
        <v>0</v>
      </c>
      <c r="K114" s="30"/>
      <c r="L114" s="29"/>
      <c r="M114" s="30"/>
      <c r="N114" s="30"/>
      <c r="O114" s="30"/>
      <c r="P114" s="30"/>
      <c r="Q114" s="30"/>
      <c r="R114" s="30"/>
      <c r="S114" s="30"/>
      <c r="T114" s="30"/>
      <c r="U114" s="30"/>
    </row>
    <row r="115" spans="1:21" ht="18.75" hidden="1" x14ac:dyDescent="0.25">
      <c r="A115" s="276"/>
      <c r="B115" s="277"/>
      <c r="C115" s="277"/>
      <c r="D115" s="295" t="s">
        <v>50</v>
      </c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IFERROR(__xludf.DUMMYFUNCTION("IMPORTRANGE(""https://docs.google.com/spreadsheets/d/1eHaY18a8A9IcSdp1K8H6x8fbOy06t2VsZHhMHf-1x7Y/edit?usp=sharing"",""แผน!R56"")"),0)</f>
        <v>0</v>
      </c>
      <c r="J115" s="294">
        <v>0</v>
      </c>
      <c r="K115" s="74">
        <f ca="1">IF(I115&gt;0,J115*100/I115,0)</f>
        <v>0</v>
      </c>
      <c r="L115" s="86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1099" t="s">
        <v>51</v>
      </c>
      <c r="B116" s="691"/>
      <c r="C116" s="692"/>
      <c r="D116" s="691"/>
      <c r="E116" s="691"/>
      <c r="F116" s="691"/>
      <c r="G116" s="691"/>
      <c r="H116" s="693"/>
      <c r="I116" s="694"/>
      <c r="J116" s="694"/>
      <c r="K116" s="695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50"/>
      <c r="B117" s="251" t="s">
        <v>52</v>
      </c>
      <c r="C117" s="304"/>
      <c r="D117" s="253"/>
      <c r="E117" s="252"/>
      <c r="F117" s="252"/>
      <c r="G117" s="252"/>
      <c r="H117" s="253"/>
      <c r="I117" s="900">
        <f t="shared" ref="I117:J117" ca="1" si="72">I128</f>
        <v>10</v>
      </c>
      <c r="J117" s="901">
        <f t="shared" si="72"/>
        <v>10</v>
      </c>
      <c r="K117" s="902">
        <f ca="1">IF(I117&gt;0,J117*100/I117,0)</f>
        <v>100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58"/>
      <c r="C118" s="259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214">
        <f t="shared" ref="L118:N118" ca="1" si="73">L119+L120</f>
        <v>0</v>
      </c>
      <c r="M118" s="215">
        <f t="shared" ca="1" si="73"/>
        <v>0</v>
      </c>
      <c r="N118" s="215">
        <f t="shared" ca="1" si="73"/>
        <v>0</v>
      </c>
      <c r="O118" s="215">
        <f t="shared" ref="O118:O126" ca="1" si="74">IF(L118&gt;0,N118*100/L118,0)</f>
        <v>0</v>
      </c>
      <c r="P118" s="215">
        <f t="shared" ref="P118:P126" ca="1" si="75">IF(M118&gt;0,N118*100/M118,0)</f>
        <v>0</v>
      </c>
      <c r="Q118" s="215">
        <f t="shared" ref="Q118:S118" ca="1" si="76">Q119+Q120</f>
        <v>173660</v>
      </c>
      <c r="R118" s="215">
        <f t="shared" ca="1" si="76"/>
        <v>173660</v>
      </c>
      <c r="S118" s="215">
        <f t="shared" ca="1" si="76"/>
        <v>60500</v>
      </c>
      <c r="T118" s="215">
        <f t="shared" ref="T118:T126" ca="1" si="77">IF(Q118&gt;0,S118*100/Q118,0)</f>
        <v>34.838189565818269</v>
      </c>
      <c r="U118" s="215">
        <f t="shared" ref="U118:U126" ca="1" si="78">IF(R118&gt;0,S118*100/R118,0)</f>
        <v>34.838189565818269</v>
      </c>
    </row>
    <row r="119" spans="1:21" ht="18.75" hidden="1" x14ac:dyDescent="0.25">
      <c r="A119" s="257"/>
      <c r="B119" s="258"/>
      <c r="C119" s="258"/>
      <c r="D119" s="258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217">
        <f t="shared" ref="L119:N120" si="79">L122+L125</f>
        <v>0</v>
      </c>
      <c r="M119" s="133">
        <f t="shared" si="79"/>
        <v>0</v>
      </c>
      <c r="N119" s="133">
        <f t="shared" si="79"/>
        <v>0</v>
      </c>
      <c r="O119" s="133">
        <f t="shared" si="74"/>
        <v>0</v>
      </c>
      <c r="P119" s="133">
        <f t="shared" si="75"/>
        <v>0</v>
      </c>
      <c r="Q119" s="133">
        <f t="shared" ref="Q119:S120" si="80">Q122+Q125</f>
        <v>0</v>
      </c>
      <c r="R119" s="133">
        <f t="shared" si="80"/>
        <v>0</v>
      </c>
      <c r="S119" s="133">
        <f t="shared" si="80"/>
        <v>0</v>
      </c>
      <c r="T119" s="133">
        <f t="shared" si="77"/>
        <v>0</v>
      </c>
      <c r="U119" s="133">
        <f t="shared" si="78"/>
        <v>0</v>
      </c>
    </row>
    <row r="120" spans="1:21" ht="18.75" hidden="1" x14ac:dyDescent="0.25">
      <c r="A120" s="257"/>
      <c r="B120" s="258"/>
      <c r="C120" s="258"/>
      <c r="D120" s="258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131">
        <f t="shared" ca="1" si="79"/>
        <v>0</v>
      </c>
      <c r="M120" s="132">
        <f t="shared" ca="1" si="79"/>
        <v>0</v>
      </c>
      <c r="N120" s="132">
        <f t="shared" ca="1" si="79"/>
        <v>0</v>
      </c>
      <c r="O120" s="132">
        <f t="shared" ca="1" si="74"/>
        <v>0</v>
      </c>
      <c r="P120" s="132">
        <f t="shared" ca="1" si="75"/>
        <v>0</v>
      </c>
      <c r="Q120" s="132">
        <f t="shared" ca="1" si="80"/>
        <v>173660</v>
      </c>
      <c r="R120" s="132">
        <f t="shared" ca="1" si="80"/>
        <v>173660</v>
      </c>
      <c r="S120" s="132">
        <f t="shared" ca="1" si="80"/>
        <v>60500</v>
      </c>
      <c r="T120" s="132">
        <f t="shared" ca="1" si="77"/>
        <v>34.838189565818269</v>
      </c>
      <c r="U120" s="132">
        <f t="shared" ca="1" si="78"/>
        <v>34.838189565818269</v>
      </c>
    </row>
    <row r="121" spans="1:21" ht="18.75" x14ac:dyDescent="0.25">
      <c r="A121" s="257"/>
      <c r="B121" s="258"/>
      <c r="C121" s="306"/>
      <c r="D121" s="270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131">
        <f t="shared" ref="L121:N121" ca="1" si="81">L122+L123</f>
        <v>0</v>
      </c>
      <c r="M121" s="132">
        <f t="shared" ca="1" si="81"/>
        <v>0</v>
      </c>
      <c r="N121" s="132">
        <f t="shared" ca="1" si="81"/>
        <v>0</v>
      </c>
      <c r="O121" s="132">
        <f t="shared" ca="1" si="74"/>
        <v>0</v>
      </c>
      <c r="P121" s="132">
        <f t="shared" ca="1" si="75"/>
        <v>0</v>
      </c>
      <c r="Q121" s="132">
        <f t="shared" ref="Q121:S121" ca="1" si="82">Q122+Q123</f>
        <v>173660</v>
      </c>
      <c r="R121" s="132">
        <f t="shared" ca="1" si="82"/>
        <v>173660</v>
      </c>
      <c r="S121" s="132">
        <f t="shared" ca="1" si="82"/>
        <v>60500</v>
      </c>
      <c r="T121" s="132">
        <f t="shared" ca="1" si="77"/>
        <v>34.838189565818269</v>
      </c>
      <c r="U121" s="132">
        <f t="shared" ca="1" si="78"/>
        <v>34.838189565818269</v>
      </c>
    </row>
    <row r="122" spans="1:21" ht="18.75" hidden="1" x14ac:dyDescent="0.25">
      <c r="A122" s="257"/>
      <c r="B122" s="258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133">
        <f t="shared" si="74"/>
        <v>0</v>
      </c>
      <c r="P122" s="133">
        <f t="shared" si="75"/>
        <v>0</v>
      </c>
      <c r="Q122" s="77">
        <v>0</v>
      </c>
      <c r="R122" s="77">
        <v>0</v>
      </c>
      <c r="S122" s="77">
        <v>0</v>
      </c>
      <c r="T122" s="133">
        <f t="shared" si="77"/>
        <v>0</v>
      </c>
      <c r="U122" s="133">
        <f t="shared" si="78"/>
        <v>0</v>
      </c>
    </row>
    <row r="123" spans="1:21" ht="18.75" hidden="1" x14ac:dyDescent="0.25">
      <c r="A123" s="257"/>
      <c r="B123" s="258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131">
        <f ca="1">IFERROR(__xludf.DUMMYFUNCTION("IMPORTRANGE(""https://docs.google.com/spreadsheets/d/1-uDff_7J0KD5mKrp0Vvzr7lt3OU09vwQwhkpOPPYv2Y/edit?usp=sharing"",""งบพรบ!BG56"")"),0)</f>
        <v>0</v>
      </c>
      <c r="M123" s="132">
        <f ca="1">IFERROR(__xludf.DUMMYFUNCTION("IMPORTRANGE(""https://docs.google.com/spreadsheets/d/1-uDff_7J0KD5mKrp0Vvzr7lt3OU09vwQwhkpOPPYv2Y/edit?usp=sharing"",""งบพรบ!BL56"")"),0)</f>
        <v>0</v>
      </c>
      <c r="N123" s="132">
        <f ca="1">IFERROR(__xludf.DUMMYFUNCTION("IMPORTRANGE(""https://docs.google.com/spreadsheets/d/1-uDff_7J0KD5mKrp0Vvzr7lt3OU09vwQwhkpOPPYv2Y/edit?usp=sharing"",""งบพรบ!BN56"")"),0)</f>
        <v>0</v>
      </c>
      <c r="O123" s="132">
        <f t="shared" ca="1" si="74"/>
        <v>0</v>
      </c>
      <c r="P123" s="132">
        <f t="shared" ca="1" si="75"/>
        <v>0</v>
      </c>
      <c r="Q123" s="132">
        <f ca="1">IFERROR(__xludf.DUMMYFUNCTION("IMPORTRANGE(""https://docs.google.com/spreadsheets/d/1ItG2mGa2ceCfYo0BwxsXqNm01IGEUdYcSSLTEv9YCik/edit?usp=sharing"",""เบิกจ่ายกองทุน!R56"")"),173660)</f>
        <v>173660</v>
      </c>
      <c r="R123" s="132">
        <f ca="1">IFERROR(__xludf.DUMMYFUNCTION("IMPORTRANGE(""https://docs.google.com/spreadsheets/d/1ItG2mGa2ceCfYo0BwxsXqNm01IGEUdYcSSLTEv9YCik/edit?usp=sharing"",""เบิกจ่ายกองทุน!S56"")"),173660)</f>
        <v>173660</v>
      </c>
      <c r="S123" s="132">
        <f ca="1">IFERROR(__xludf.DUMMYFUNCTION("IMPORTRANGE(""https://docs.google.com/spreadsheets/d/1ItG2mGa2ceCfYo0BwxsXqNm01IGEUdYcSSLTEv9YCik/edit?usp=sharing"",""เบิกจ่ายกองทุน!T56"")"),60500)</f>
        <v>60500</v>
      </c>
      <c r="T123" s="132">
        <f t="shared" ca="1" si="77"/>
        <v>34.838189565818269</v>
      </c>
      <c r="U123" s="132">
        <f t="shared" ca="1" si="78"/>
        <v>34.838189565818269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131">
        <f t="shared" ref="L124:N124" ca="1" si="83">L125+L126</f>
        <v>0</v>
      </c>
      <c r="M124" s="132">
        <f t="shared" ca="1" si="83"/>
        <v>0</v>
      </c>
      <c r="N124" s="132">
        <f t="shared" ca="1" si="83"/>
        <v>0</v>
      </c>
      <c r="O124" s="132">
        <f t="shared" ca="1" si="74"/>
        <v>0</v>
      </c>
      <c r="P124" s="132">
        <f t="shared" ca="1" si="75"/>
        <v>0</v>
      </c>
      <c r="Q124" s="132">
        <f t="shared" ref="Q124:S124" si="84">Q125+Q126</f>
        <v>0</v>
      </c>
      <c r="R124" s="132">
        <f t="shared" si="84"/>
        <v>0</v>
      </c>
      <c r="S124" s="132">
        <f t="shared" si="84"/>
        <v>0</v>
      </c>
      <c r="T124" s="132">
        <f t="shared" si="77"/>
        <v>0</v>
      </c>
      <c r="U124" s="132">
        <f t="shared" si="78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133">
        <f t="shared" si="74"/>
        <v>0</v>
      </c>
      <c r="P125" s="133">
        <f t="shared" si="75"/>
        <v>0</v>
      </c>
      <c r="Q125" s="77">
        <v>0</v>
      </c>
      <c r="R125" s="77">
        <v>0</v>
      </c>
      <c r="S125" s="77">
        <v>0</v>
      </c>
      <c r="T125" s="133">
        <f t="shared" si="77"/>
        <v>0</v>
      </c>
      <c r="U125" s="133">
        <f t="shared" si="78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131">
        <f ca="1">IFERROR(__xludf.DUMMYFUNCTION("IMPORTRANGE(""https://docs.google.com/spreadsheets/d/1-uDff_7J0KD5mKrp0Vvzr7lt3OU09vwQwhkpOPPYv2Y/edit?usp=sharing"",""งบพรบ!BJ56"")"),0)</f>
        <v>0</v>
      </c>
      <c r="M126" s="132">
        <f ca="1">IFERROR(__xludf.DUMMYFUNCTION("IMPORTRANGE(""https://docs.google.com/spreadsheets/d/1-uDff_7J0KD5mKrp0Vvzr7lt3OU09vwQwhkpOPPYv2Y/edit?usp=sharing"",""งบพรบ!BM56"")"),0)</f>
        <v>0</v>
      </c>
      <c r="N126" s="132">
        <f ca="1">IFERROR(__xludf.DUMMYFUNCTION("IMPORTRANGE(""https://docs.google.com/spreadsheets/d/1-uDff_7J0KD5mKrp0Vvzr7lt3OU09vwQwhkpOPPYv2Y/edit?usp=sharing"",""งบพรบ!BO56"")"),0)</f>
        <v>0</v>
      </c>
      <c r="O126" s="132">
        <f t="shared" ca="1" si="74"/>
        <v>0</v>
      </c>
      <c r="P126" s="132">
        <f t="shared" ca="1" si="75"/>
        <v>0</v>
      </c>
      <c r="Q126" s="74">
        <v>0</v>
      </c>
      <c r="R126" s="74">
        <v>0</v>
      </c>
      <c r="S126" s="74">
        <v>0</v>
      </c>
      <c r="T126" s="132">
        <f t="shared" si="77"/>
        <v>0</v>
      </c>
      <c r="U126" s="132">
        <f t="shared" si="78"/>
        <v>0</v>
      </c>
    </row>
    <row r="127" spans="1:21" ht="19.5" x14ac:dyDescent="0.3">
      <c r="A127" s="890"/>
      <c r="B127" s="891"/>
      <c r="C127" s="905" t="s">
        <v>18</v>
      </c>
      <c r="D127" s="1108" t="s">
        <v>38</v>
      </c>
      <c r="E127" s="1109"/>
      <c r="F127" s="1109"/>
      <c r="G127" s="1110"/>
      <c r="H127" s="1111"/>
      <c r="I127" s="846"/>
      <c r="J127" s="846"/>
      <c r="K127" s="450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IFERROR(__xludf.DUMMYFUNCTION("IMPORTRANGE(""https://docs.google.com/spreadsheets/d/1eHaY18a8A9IcSdp1K8H6x8fbOy06t2VsZHhMHf-1x7Y/edit?usp=sharing"",""แผน!FF56"")"),10)</f>
        <v>10</v>
      </c>
      <c r="J128" s="294">
        <v>10</v>
      </c>
      <c r="K128" s="74">
        <f t="shared" ref="K128:K131" ca="1" si="85">IF(I128&gt;0,J128*100/I128,0)</f>
        <v>100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IFERROR(__xludf.DUMMYFUNCTION("IMPORTRANGE(""https://docs.google.com/spreadsheets/d/1eHaY18a8A9IcSdp1K8H6x8fbOy06t2VsZHhMHf-1x7Y/edit?usp=sharing"",""แผน!FG56"")"),0)</f>
        <v>0</v>
      </c>
      <c r="J129" s="294">
        <v>0</v>
      </c>
      <c r="K129" s="74">
        <f t="shared" ca="1" si="85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74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IFERROR(__xludf.DUMMYFUNCTION("IMPORTRANGE(""https://docs.google.com/spreadsheets/d/1eHaY18a8A9IcSdp1K8H6x8fbOy06t2VsZHhMHf-1x7Y/edit?usp=sharing"",""แผน!FH56"")"),10)</f>
        <v>10</v>
      </c>
      <c r="J130" s="294">
        <v>10</v>
      </c>
      <c r="K130" s="74">
        <f t="shared" ca="1" si="85"/>
        <v>100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77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IFERROR(__xludf.DUMMYFUNCTION("IMPORTRANGE(""https://docs.google.com/spreadsheets/d/1eHaY18a8A9IcSdp1K8H6x8fbOy06t2VsZHhMHf-1x7Y/edit?usp=sharing"",""แผน!FI56"")"),0)</f>
        <v>0</v>
      </c>
      <c r="J131" s="294">
        <v>0</v>
      </c>
      <c r="K131" s="74">
        <f t="shared" ca="1" si="85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708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708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x14ac:dyDescent="0.3">
      <c r="A135" s="1099" t="s">
        <v>58</v>
      </c>
      <c r="B135" s="691"/>
      <c r="C135" s="692"/>
      <c r="D135" s="691"/>
      <c r="E135" s="691"/>
      <c r="F135" s="691"/>
      <c r="G135" s="691"/>
      <c r="H135" s="693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x14ac:dyDescent="0.3">
      <c r="A136" s="250"/>
      <c r="B136" s="251" t="s">
        <v>59</v>
      </c>
      <c r="C136" s="304"/>
      <c r="D136" s="253"/>
      <c r="E136" s="252"/>
      <c r="F136" s="252"/>
      <c r="G136" s="252"/>
      <c r="H136" s="253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x14ac:dyDescent="0.3">
      <c r="A137" s="250"/>
      <c r="B137" s="252"/>
      <c r="C137" s="1112" t="s">
        <v>60</v>
      </c>
      <c r="D137" s="253"/>
      <c r="E137" s="252"/>
      <c r="F137" s="252"/>
      <c r="G137" s="254"/>
      <c r="H137" s="255" t="s">
        <v>61</v>
      </c>
      <c r="I137" s="256">
        <f t="shared" ref="I137:J137" ca="1" si="86">I155</f>
        <v>0</v>
      </c>
      <c r="J137" s="256">
        <f t="shared" si="86"/>
        <v>0</v>
      </c>
      <c r="K137" s="59">
        <f t="shared" ref="K137:K139" ca="1" si="87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x14ac:dyDescent="0.3">
      <c r="A138" s="250"/>
      <c r="B138" s="252"/>
      <c r="C138" s="1112" t="s">
        <v>62</v>
      </c>
      <c r="D138" s="253"/>
      <c r="E138" s="252"/>
      <c r="F138" s="252"/>
      <c r="G138" s="254"/>
      <c r="H138" s="255" t="s">
        <v>35</v>
      </c>
      <c r="I138" s="256">
        <f t="shared" ref="I138:J139" ca="1" si="88">I153</f>
        <v>10</v>
      </c>
      <c r="J138" s="256">
        <f t="shared" si="88"/>
        <v>0</v>
      </c>
      <c r="K138" s="59">
        <f t="shared" ca="1" si="87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x14ac:dyDescent="0.3">
      <c r="A139" s="250"/>
      <c r="B139" s="252"/>
      <c r="C139" s="304"/>
      <c r="D139" s="253"/>
      <c r="E139" s="252"/>
      <c r="F139" s="252"/>
      <c r="G139" s="254"/>
      <c r="H139" s="255" t="s">
        <v>54</v>
      </c>
      <c r="I139" s="256">
        <f t="shared" ca="1" si="88"/>
        <v>1</v>
      </c>
      <c r="J139" s="256">
        <f t="shared" si="88"/>
        <v>0</v>
      </c>
      <c r="K139" s="59">
        <f t="shared" ca="1" si="87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214">
        <f t="shared" ref="L140:N140" ca="1" si="89">L141+L142</f>
        <v>95500</v>
      </c>
      <c r="M140" s="215">
        <f t="shared" ca="1" si="89"/>
        <v>90500</v>
      </c>
      <c r="N140" s="215">
        <f t="shared" ca="1" si="89"/>
        <v>44000</v>
      </c>
      <c r="O140" s="215">
        <f t="shared" ref="O140:O148" ca="1" si="90">IF(L140&gt;0,N140*100/L140,0)</f>
        <v>46.073298429319372</v>
      </c>
      <c r="P140" s="215">
        <f t="shared" ref="P140:P148" ca="1" si="91">IF(M140&gt;0,N140*100/M140,0)</f>
        <v>48.618784530386741</v>
      </c>
      <c r="Q140" s="215">
        <f t="shared" ref="Q140:S140" ca="1" si="92">Q141+Q142</f>
        <v>0</v>
      </c>
      <c r="R140" s="215">
        <f t="shared" ca="1" si="92"/>
        <v>0</v>
      </c>
      <c r="S140" s="215">
        <f t="shared" ca="1" si="92"/>
        <v>0</v>
      </c>
      <c r="T140" s="215">
        <f t="shared" ref="T140:T148" ca="1" si="93">IF(Q140&gt;0,S140*100/Q140,0)</f>
        <v>0</v>
      </c>
      <c r="U140" s="215">
        <f t="shared" ref="U140:U148" ca="1" si="94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217">
        <f t="shared" ref="L141:N142" si="95">L144+L147</f>
        <v>0</v>
      </c>
      <c r="M141" s="133">
        <f t="shared" si="95"/>
        <v>0</v>
      </c>
      <c r="N141" s="133">
        <f t="shared" si="95"/>
        <v>0</v>
      </c>
      <c r="O141" s="133">
        <f t="shared" si="90"/>
        <v>0</v>
      </c>
      <c r="P141" s="133">
        <f t="shared" si="91"/>
        <v>0</v>
      </c>
      <c r="Q141" s="133">
        <f t="shared" ref="Q141:S142" si="96">Q144+Q147</f>
        <v>0</v>
      </c>
      <c r="R141" s="133">
        <f t="shared" si="96"/>
        <v>0</v>
      </c>
      <c r="S141" s="133">
        <f t="shared" si="96"/>
        <v>0</v>
      </c>
      <c r="T141" s="133">
        <f t="shared" si="93"/>
        <v>0</v>
      </c>
      <c r="U141" s="133">
        <f t="shared" si="94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131">
        <f t="shared" ca="1" si="95"/>
        <v>95500</v>
      </c>
      <c r="M142" s="132">
        <f t="shared" ca="1" si="95"/>
        <v>90500</v>
      </c>
      <c r="N142" s="132">
        <f t="shared" ca="1" si="95"/>
        <v>44000</v>
      </c>
      <c r="O142" s="132">
        <f t="shared" ca="1" si="90"/>
        <v>46.073298429319372</v>
      </c>
      <c r="P142" s="132">
        <f t="shared" ca="1" si="91"/>
        <v>48.618784530386741</v>
      </c>
      <c r="Q142" s="132">
        <f t="shared" ca="1" si="96"/>
        <v>0</v>
      </c>
      <c r="R142" s="132">
        <f t="shared" ca="1" si="96"/>
        <v>0</v>
      </c>
      <c r="S142" s="132">
        <f t="shared" ca="1" si="96"/>
        <v>0</v>
      </c>
      <c r="T142" s="132">
        <f t="shared" ca="1" si="93"/>
        <v>0</v>
      </c>
      <c r="U142" s="132">
        <f t="shared" ca="1" si="94"/>
        <v>0</v>
      </c>
    </row>
    <row r="143" spans="1:21" ht="18.75" x14ac:dyDescent="0.25">
      <c r="A143" s="257"/>
      <c r="B143" s="269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131">
        <f t="shared" ref="L143:N143" ca="1" si="97">L144+L145</f>
        <v>95500</v>
      </c>
      <c r="M143" s="132">
        <f t="shared" ca="1" si="97"/>
        <v>90500</v>
      </c>
      <c r="N143" s="132">
        <f t="shared" ca="1" si="97"/>
        <v>44000</v>
      </c>
      <c r="O143" s="132">
        <f t="shared" ca="1" si="90"/>
        <v>46.073298429319372</v>
      </c>
      <c r="P143" s="132">
        <f t="shared" ca="1" si="91"/>
        <v>48.618784530386741</v>
      </c>
      <c r="Q143" s="132">
        <f t="shared" ref="Q143:S143" ca="1" si="98">Q144+Q145</f>
        <v>0</v>
      </c>
      <c r="R143" s="132">
        <f t="shared" ca="1" si="98"/>
        <v>0</v>
      </c>
      <c r="S143" s="132">
        <f t="shared" ca="1" si="98"/>
        <v>0</v>
      </c>
      <c r="T143" s="132">
        <f t="shared" ca="1" si="93"/>
        <v>0</v>
      </c>
      <c r="U143" s="132">
        <f t="shared" ca="1" si="94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133">
        <f t="shared" si="90"/>
        <v>0</v>
      </c>
      <c r="P144" s="133">
        <f t="shared" si="91"/>
        <v>0</v>
      </c>
      <c r="Q144" s="77">
        <v>0</v>
      </c>
      <c r="R144" s="77">
        <v>0</v>
      </c>
      <c r="S144" s="77">
        <v>0</v>
      </c>
      <c r="T144" s="133">
        <f t="shared" si="93"/>
        <v>0</v>
      </c>
      <c r="U144" s="133">
        <f t="shared" si="94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131">
        <f ca="1">IFERROR(__xludf.DUMMYFUNCTION("IMPORTRANGE(""https://docs.google.com/spreadsheets/d/1-uDff_7J0KD5mKrp0Vvzr7lt3OU09vwQwhkpOPPYv2Y/edit?usp=sharing"",""งบพรบ!BQ56"")"),95500)</f>
        <v>95500</v>
      </c>
      <c r="M145" s="132">
        <f ca="1">IFERROR(__xludf.DUMMYFUNCTION("IMPORTRANGE(""https://docs.google.com/spreadsheets/d/1-uDff_7J0KD5mKrp0Vvzr7lt3OU09vwQwhkpOPPYv2Y/edit?usp=sharing"",""งบพรบ!BV56"")"),90500)</f>
        <v>90500</v>
      </c>
      <c r="N145" s="132">
        <f ca="1">IFERROR(__xludf.DUMMYFUNCTION("IMPORTRANGE(""https://docs.google.com/spreadsheets/d/1-uDff_7J0KD5mKrp0Vvzr7lt3OU09vwQwhkpOPPYv2Y/edit?usp=sharing"",""งบพรบ!BX56"")"),44000)</f>
        <v>44000</v>
      </c>
      <c r="O145" s="132">
        <f t="shared" ca="1" si="90"/>
        <v>46.073298429319372</v>
      </c>
      <c r="P145" s="132">
        <f t="shared" ca="1" si="91"/>
        <v>48.618784530386741</v>
      </c>
      <c r="Q145" s="132">
        <f ca="1">IFERROR(__xludf.DUMMYFUNCTION("IMPORTRANGE(""https://docs.google.com/spreadsheets/d/1ItG2mGa2ceCfYo0BwxsXqNm01IGEUdYcSSLTEv9YCik/edit?usp=sharing"",""เบิกจ่ายกองทุน!BB56"")"),0)</f>
        <v>0</v>
      </c>
      <c r="R145" s="132">
        <f ca="1">IFERROR(__xludf.DUMMYFUNCTION("IMPORTRANGE(""https://docs.google.com/spreadsheets/d/1ItG2mGa2ceCfYo0BwxsXqNm01IGEUdYcSSLTEv9YCik/edit?usp=sharing"",""เบิกจ่ายกองทุน!BC56"")"),0)</f>
        <v>0</v>
      </c>
      <c r="S145" s="132">
        <f ca="1">IFERROR(__xludf.DUMMYFUNCTION("IMPORTRANGE(""https://docs.google.com/spreadsheets/d/1ItG2mGa2ceCfYo0BwxsXqNm01IGEUdYcSSLTEv9YCik/edit?usp=sharing"",""เบิกจ่ายกองทุน!BD56"")"),0)</f>
        <v>0</v>
      </c>
      <c r="T145" s="132">
        <f t="shared" ca="1" si="93"/>
        <v>0</v>
      </c>
      <c r="U145" s="132">
        <f t="shared" ca="1" si="94"/>
        <v>0</v>
      </c>
    </row>
    <row r="146" spans="1:21" ht="18.75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131">
        <f t="shared" ref="L146:N146" ca="1" si="99">L147+L148</f>
        <v>0</v>
      </c>
      <c r="M146" s="132">
        <f t="shared" ca="1" si="99"/>
        <v>0</v>
      </c>
      <c r="N146" s="132">
        <f t="shared" ca="1" si="99"/>
        <v>0</v>
      </c>
      <c r="O146" s="132">
        <f t="shared" ca="1" si="90"/>
        <v>0</v>
      </c>
      <c r="P146" s="132">
        <f t="shared" ca="1" si="91"/>
        <v>0</v>
      </c>
      <c r="Q146" s="132">
        <f t="shared" ref="Q146:S146" si="100">Q147+Q148</f>
        <v>0</v>
      </c>
      <c r="R146" s="132">
        <f t="shared" si="100"/>
        <v>0</v>
      </c>
      <c r="S146" s="132">
        <f t="shared" si="100"/>
        <v>0</v>
      </c>
      <c r="T146" s="132">
        <f t="shared" si="93"/>
        <v>0</v>
      </c>
      <c r="U146" s="132">
        <f t="shared" si="94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133">
        <f t="shared" si="90"/>
        <v>0</v>
      </c>
      <c r="P147" s="133">
        <f t="shared" si="91"/>
        <v>0</v>
      </c>
      <c r="Q147" s="77">
        <v>0</v>
      </c>
      <c r="R147" s="77">
        <v>0</v>
      </c>
      <c r="S147" s="77">
        <v>0</v>
      </c>
      <c r="T147" s="133">
        <f t="shared" si="93"/>
        <v>0</v>
      </c>
      <c r="U147" s="133">
        <f t="shared" si="94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131">
        <f ca="1">IFERROR(__xludf.DUMMYFUNCTION("IMPORTRANGE(""https://docs.google.com/spreadsheets/d/1-uDff_7J0KD5mKrp0Vvzr7lt3OU09vwQwhkpOPPYv2Y/edit?usp=sharing"",""งบพรบ!BT56"")"),0)</f>
        <v>0</v>
      </c>
      <c r="M148" s="132">
        <f ca="1">IFERROR(__xludf.DUMMYFUNCTION("IMPORTRANGE(""https://docs.google.com/spreadsheets/d/1-uDff_7J0KD5mKrp0Vvzr7lt3OU09vwQwhkpOPPYv2Y/edit?usp=sharing"",""งบพรบ!BW56"")"),0)</f>
        <v>0</v>
      </c>
      <c r="N148" s="132">
        <f ca="1">IFERROR(__xludf.DUMMYFUNCTION("IMPORTRANGE(""https://docs.google.com/spreadsheets/d/1-uDff_7J0KD5mKrp0Vvzr7lt3OU09vwQwhkpOPPYv2Y/edit?usp=sharing"",""งบพรบ!BY56"")"),0)</f>
        <v>0</v>
      </c>
      <c r="O148" s="132">
        <f t="shared" ca="1" si="90"/>
        <v>0</v>
      </c>
      <c r="P148" s="132">
        <f t="shared" ca="1" si="91"/>
        <v>0</v>
      </c>
      <c r="Q148" s="74">
        <v>0</v>
      </c>
      <c r="R148" s="74">
        <v>0</v>
      </c>
      <c r="S148" s="74">
        <v>0</v>
      </c>
      <c r="T148" s="132">
        <f t="shared" si="93"/>
        <v>0</v>
      </c>
      <c r="U148" s="132">
        <f t="shared" si="94"/>
        <v>0</v>
      </c>
    </row>
    <row r="149" spans="1:21" ht="19.5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x14ac:dyDescent="0.25">
      <c r="A150" s="257"/>
      <c r="B150" s="258"/>
      <c r="C150" s="306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IFERROR(__xludf.DUMMYFUNCTION("IMPORTRANGE(""https://docs.google.com/spreadsheets/d/1eHaY18a8A9IcSdp1K8H6x8fbOy06t2VsZHhMHf-1x7Y/edit?usp=sharing"",""แผน!U56"")"),0)</f>
        <v>0</v>
      </c>
      <c r="J151" s="294">
        <v>0</v>
      </c>
      <c r="K151" s="74">
        <f t="shared" ref="K151:K155" ca="1" si="101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IFERROR(__xludf.DUMMYFUNCTION("IMPORTRANGE(""https://docs.google.com/spreadsheets/d/1eHaY18a8A9IcSdp1K8H6x8fbOy06t2VsZHhMHf-1x7Y/edit?usp=sharing"",""แผน!V56"")"),0)</f>
        <v>0</v>
      </c>
      <c r="J152" s="294">
        <v>0</v>
      </c>
      <c r="K152" s="74">
        <f t="shared" ca="1" si="101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IFERROR(__xludf.DUMMYFUNCTION("IMPORTRANGE(""https://docs.google.com/spreadsheets/d/1eHaY18a8A9IcSdp1K8H6x8fbOy06t2VsZHhMHf-1x7Y/edit?usp=sharing"",""แผน!W56"")"),10)</f>
        <v>10</v>
      </c>
      <c r="J153" s="294">
        <v>0</v>
      </c>
      <c r="K153" s="74">
        <f t="shared" ca="1" si="101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IFERROR(__xludf.DUMMYFUNCTION("IMPORTRANGE(""https://docs.google.com/spreadsheets/d/1eHaY18a8A9IcSdp1K8H6x8fbOy06t2VsZHhMHf-1x7Y/edit?usp=sharing"",""แผน!X56"")"),1)</f>
        <v>1</v>
      </c>
      <c r="J154" s="294">
        <v>0</v>
      </c>
      <c r="K154" s="74">
        <f t="shared" ca="1" si="101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IFERROR(__xludf.DUMMYFUNCTION("IMPORTRANGE(""https://docs.google.com/spreadsheets/d/1eHaY18a8A9IcSdp1K8H6x8fbOy06t2VsZHhMHf-1x7Y/edit?usp=sharing"",""แผน!Y56"")"),0)</f>
        <v>0</v>
      </c>
      <c r="J155" s="294">
        <v>0</v>
      </c>
      <c r="K155" s="74">
        <f t="shared" ca="1" si="101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hidden="1" x14ac:dyDescent="0.3">
      <c r="A156" s="1099" t="s">
        <v>67</v>
      </c>
      <c r="B156" s="691"/>
      <c r="C156" s="692"/>
      <c r="D156" s="691"/>
      <c r="E156" s="691"/>
      <c r="F156" s="691"/>
      <c r="G156" s="691"/>
      <c r="H156" s="693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hidden="1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2">I170</f>
        <v>0</v>
      </c>
      <c r="J157" s="256">
        <f t="shared" si="102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hidden="1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214">
        <f t="shared" ref="L158:N158" ca="1" si="103">L159+L160</f>
        <v>0</v>
      </c>
      <c r="M158" s="215">
        <f t="shared" ca="1" si="103"/>
        <v>0</v>
      </c>
      <c r="N158" s="215">
        <f t="shared" ca="1" si="103"/>
        <v>0</v>
      </c>
      <c r="O158" s="215">
        <f t="shared" ref="O158:O166" ca="1" si="104">IF(L158&gt;0,N158*100/L158,0)</f>
        <v>0</v>
      </c>
      <c r="P158" s="215">
        <f t="shared" ref="P158:P166" ca="1" si="105">IF(M158&gt;0,N158*100/M158,0)</f>
        <v>0</v>
      </c>
      <c r="Q158" s="215">
        <f t="shared" ref="Q158:S158" ca="1" si="106">Q159+Q160</f>
        <v>0</v>
      </c>
      <c r="R158" s="215">
        <f t="shared" ca="1" si="106"/>
        <v>0</v>
      </c>
      <c r="S158" s="215">
        <f t="shared" ca="1" si="106"/>
        <v>0</v>
      </c>
      <c r="T158" s="215">
        <f t="shared" ref="T158:T166" ca="1" si="107">IF(Q158&gt;0,S158*100/Q158,0)</f>
        <v>0</v>
      </c>
      <c r="U158" s="215">
        <f t="shared" ref="U158:U166" ca="1" si="108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217">
        <f t="shared" ref="L159:N160" si="109">L162+L165</f>
        <v>0</v>
      </c>
      <c r="M159" s="133">
        <f t="shared" si="109"/>
        <v>0</v>
      </c>
      <c r="N159" s="133">
        <f t="shared" si="109"/>
        <v>0</v>
      </c>
      <c r="O159" s="133">
        <f t="shared" si="104"/>
        <v>0</v>
      </c>
      <c r="P159" s="133">
        <f t="shared" si="105"/>
        <v>0</v>
      </c>
      <c r="Q159" s="133">
        <f t="shared" ref="Q159:S160" si="110">Q162+Q165</f>
        <v>0</v>
      </c>
      <c r="R159" s="133">
        <f t="shared" si="110"/>
        <v>0</v>
      </c>
      <c r="S159" s="133">
        <f t="shared" si="110"/>
        <v>0</v>
      </c>
      <c r="T159" s="133">
        <f t="shared" si="107"/>
        <v>0</v>
      </c>
      <c r="U159" s="133">
        <f t="shared" si="108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131">
        <f t="shared" ca="1" si="109"/>
        <v>0</v>
      </c>
      <c r="M160" s="132">
        <f t="shared" ca="1" si="109"/>
        <v>0</v>
      </c>
      <c r="N160" s="132">
        <f t="shared" ca="1" si="109"/>
        <v>0</v>
      </c>
      <c r="O160" s="132">
        <f t="shared" ca="1" si="104"/>
        <v>0</v>
      </c>
      <c r="P160" s="132">
        <f t="shared" ca="1" si="105"/>
        <v>0</v>
      </c>
      <c r="Q160" s="132">
        <f t="shared" ca="1" si="110"/>
        <v>0</v>
      </c>
      <c r="R160" s="132">
        <f t="shared" ca="1" si="110"/>
        <v>0</v>
      </c>
      <c r="S160" s="132">
        <f t="shared" ca="1" si="110"/>
        <v>0</v>
      </c>
      <c r="T160" s="132">
        <f t="shared" ca="1" si="107"/>
        <v>0</v>
      </c>
      <c r="U160" s="132">
        <f t="shared" ca="1" si="108"/>
        <v>0</v>
      </c>
    </row>
    <row r="161" spans="1:21" ht="18.75" hidden="1" x14ac:dyDescent="0.25">
      <c r="A161" s="257"/>
      <c r="B161" s="269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131">
        <f t="shared" ref="L161:N161" ca="1" si="111">L162+L163</f>
        <v>0</v>
      </c>
      <c r="M161" s="132">
        <f t="shared" ca="1" si="111"/>
        <v>0</v>
      </c>
      <c r="N161" s="132">
        <f t="shared" ca="1" si="111"/>
        <v>0</v>
      </c>
      <c r="O161" s="132">
        <f t="shared" ca="1" si="104"/>
        <v>0</v>
      </c>
      <c r="P161" s="132">
        <f t="shared" ca="1" si="105"/>
        <v>0</v>
      </c>
      <c r="Q161" s="132">
        <f t="shared" ref="Q161:S161" ca="1" si="112">Q162+Q163</f>
        <v>0</v>
      </c>
      <c r="R161" s="132">
        <f t="shared" ca="1" si="112"/>
        <v>0</v>
      </c>
      <c r="S161" s="132">
        <f t="shared" ca="1" si="112"/>
        <v>0</v>
      </c>
      <c r="T161" s="132">
        <f t="shared" ca="1" si="107"/>
        <v>0</v>
      </c>
      <c r="U161" s="132">
        <f t="shared" ca="1" si="108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133">
        <f t="shared" si="104"/>
        <v>0</v>
      </c>
      <c r="P162" s="133">
        <f t="shared" si="105"/>
        <v>0</v>
      </c>
      <c r="Q162" s="77">
        <v>0</v>
      </c>
      <c r="R162" s="77">
        <v>0</v>
      </c>
      <c r="S162" s="77">
        <v>0</v>
      </c>
      <c r="T162" s="133">
        <f t="shared" si="107"/>
        <v>0</v>
      </c>
      <c r="U162" s="133">
        <f t="shared" si="108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131">
        <f ca="1">IFERROR(__xludf.DUMMYFUNCTION("IMPORTRANGE(""https://docs.google.com/spreadsheets/d/1-uDff_7J0KD5mKrp0Vvzr7lt3OU09vwQwhkpOPPYv2Y/edit?usp=sharing"",""งบพรบ!CA56"")"),0)</f>
        <v>0</v>
      </c>
      <c r="M163" s="132">
        <f ca="1">IFERROR(__xludf.DUMMYFUNCTION("IMPORTRANGE(""https://docs.google.com/spreadsheets/d/1-uDff_7J0KD5mKrp0Vvzr7lt3OU09vwQwhkpOPPYv2Y/edit?usp=sharing"",""งบพรบ!CF56"")"),0)</f>
        <v>0</v>
      </c>
      <c r="N163" s="132">
        <f ca="1">IFERROR(__xludf.DUMMYFUNCTION("IMPORTRANGE(""https://docs.google.com/spreadsheets/d/1-uDff_7J0KD5mKrp0Vvzr7lt3OU09vwQwhkpOPPYv2Y/edit?usp=sharing"",""งบพรบ!CH56"")"),0)</f>
        <v>0</v>
      </c>
      <c r="O163" s="132">
        <f t="shared" ca="1" si="104"/>
        <v>0</v>
      </c>
      <c r="P163" s="132">
        <f t="shared" ca="1" si="105"/>
        <v>0</v>
      </c>
      <c r="Q163" s="132">
        <f ca="1">IFERROR(__xludf.DUMMYFUNCTION("IMPORTRANGE(""https://docs.google.com/spreadsheets/d/1ItG2mGa2ceCfYo0BwxsXqNm01IGEUdYcSSLTEv9YCik/edit?usp=sharing"",""เบิกจ่ายกองทุน!AG56"")"),0)</f>
        <v>0</v>
      </c>
      <c r="R163" s="132">
        <f ca="1">IFERROR(__xludf.DUMMYFUNCTION("IMPORTRANGE(""https://docs.google.com/spreadsheets/d/1ItG2mGa2ceCfYo0BwxsXqNm01IGEUdYcSSLTEv9YCik/edit?usp=sharing"",""เบิกจ่ายกองทุน!AH56"")"),0)</f>
        <v>0</v>
      </c>
      <c r="S163" s="132">
        <f ca="1">IFERROR(__xludf.DUMMYFUNCTION("IMPORTRANGE(""https://docs.google.com/spreadsheets/d/1ItG2mGa2ceCfYo0BwxsXqNm01IGEUdYcSSLTEv9YCik/edit?usp=sharing"",""เบิกจ่ายกองทุน!AI56"")"),0)</f>
        <v>0</v>
      </c>
      <c r="T163" s="132">
        <f t="shared" ca="1" si="107"/>
        <v>0</v>
      </c>
      <c r="U163" s="132">
        <f t="shared" ca="1" si="108"/>
        <v>0</v>
      </c>
    </row>
    <row r="164" spans="1:21" ht="18.75" hidden="1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131">
        <f t="shared" ref="L164:N164" ca="1" si="113">L165+L166</f>
        <v>0</v>
      </c>
      <c r="M164" s="132">
        <f t="shared" ca="1" si="113"/>
        <v>0</v>
      </c>
      <c r="N164" s="132">
        <f t="shared" ca="1" si="113"/>
        <v>0</v>
      </c>
      <c r="O164" s="132">
        <f t="shared" ca="1" si="104"/>
        <v>0</v>
      </c>
      <c r="P164" s="132">
        <f t="shared" ca="1" si="105"/>
        <v>0</v>
      </c>
      <c r="Q164" s="132">
        <f t="shared" ref="Q164:S164" si="114">Q165+Q166</f>
        <v>0</v>
      </c>
      <c r="R164" s="132">
        <f t="shared" si="114"/>
        <v>0</v>
      </c>
      <c r="S164" s="132">
        <f t="shared" si="114"/>
        <v>0</v>
      </c>
      <c r="T164" s="132">
        <f t="shared" si="107"/>
        <v>0</v>
      </c>
      <c r="U164" s="132">
        <f t="shared" si="108"/>
        <v>0</v>
      </c>
    </row>
    <row r="165" spans="1:21" ht="18.75" hidden="1" x14ac:dyDescent="0.25">
      <c r="A165" s="257"/>
      <c r="B165" s="269"/>
      <c r="C165" s="269"/>
      <c r="D165" s="269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133">
        <f t="shared" si="104"/>
        <v>0</v>
      </c>
      <c r="P165" s="133">
        <f t="shared" si="105"/>
        <v>0</v>
      </c>
      <c r="Q165" s="77">
        <v>0</v>
      </c>
      <c r="R165" s="77">
        <v>0</v>
      </c>
      <c r="S165" s="77">
        <v>0</v>
      </c>
      <c r="T165" s="133">
        <f t="shared" si="107"/>
        <v>0</v>
      </c>
      <c r="U165" s="133">
        <f t="shared" si="108"/>
        <v>0</v>
      </c>
    </row>
    <row r="166" spans="1:21" ht="18.75" hidden="1" x14ac:dyDescent="0.25">
      <c r="A166" s="257"/>
      <c r="B166" s="269"/>
      <c r="C166" s="269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131">
        <f ca="1">IFERROR(__xludf.DUMMYFUNCTION("IMPORTRANGE(""https://docs.google.com/spreadsheets/d/1-uDff_7J0KD5mKrp0Vvzr7lt3OU09vwQwhkpOPPYv2Y/edit?usp=sharing"",""งบพรบ!CD56"")"),0)</f>
        <v>0</v>
      </c>
      <c r="M166" s="132">
        <f ca="1">IFERROR(__xludf.DUMMYFUNCTION("IMPORTRANGE(""https://docs.google.com/spreadsheets/d/1-uDff_7J0KD5mKrp0Vvzr7lt3OU09vwQwhkpOPPYv2Y/edit?usp=sharing"",""งบพรบ!CG56"")"),0)</f>
        <v>0</v>
      </c>
      <c r="N166" s="132">
        <f ca="1">IFERROR(__xludf.DUMMYFUNCTION("IMPORTRANGE(""https://docs.google.com/spreadsheets/d/1-uDff_7J0KD5mKrp0Vvzr7lt3OU09vwQwhkpOPPYv2Y/edit?usp=sharing"",""งบพรบ!CI56"")"),0)</f>
        <v>0</v>
      </c>
      <c r="O166" s="132">
        <f t="shared" ca="1" si="104"/>
        <v>0</v>
      </c>
      <c r="P166" s="132">
        <f t="shared" ca="1" si="105"/>
        <v>0</v>
      </c>
      <c r="Q166" s="74">
        <v>0</v>
      </c>
      <c r="R166" s="74">
        <v>0</v>
      </c>
      <c r="S166" s="74">
        <v>0</v>
      </c>
      <c r="T166" s="132">
        <f t="shared" si="107"/>
        <v>0</v>
      </c>
      <c r="U166" s="132">
        <f t="shared" si="108"/>
        <v>0</v>
      </c>
    </row>
    <row r="167" spans="1:21" ht="19.5" hidden="1" x14ac:dyDescent="0.3">
      <c r="A167" s="276"/>
      <c r="B167" s="277"/>
      <c r="C167" s="621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hidden="1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IFERROR(__xludf.DUMMYFUNCTION("IMPORTRANGE(""https://docs.google.com/spreadsheets/d/1eHaY18a8A9IcSdp1K8H6x8fbOy06t2VsZHhMHf-1x7Y/edit?usp=sharing"",""แผน!Z56"")"),0)</f>
        <v>0</v>
      </c>
      <c r="J168" s="294">
        <v>0</v>
      </c>
      <c r="K168" s="74">
        <f t="shared" ref="K168:K170" ca="1" si="115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IFERROR(__xludf.DUMMYFUNCTION("IMPORTRANGE(""https://docs.google.com/spreadsheets/d/1eHaY18a8A9IcSdp1K8H6x8fbOy06t2VsZHhMHf-1x7Y/edit?usp=sharing"",""แผน!Z56"")"),0)</f>
        <v>0</v>
      </c>
      <c r="J169" s="910">
        <v>0</v>
      </c>
      <c r="K169" s="77">
        <f t="shared" ca="1" si="115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IFERROR(__xludf.DUMMYFUNCTION("IMPORTRANGE(""https://docs.google.com/spreadsheets/d/1eHaY18a8A9IcSdp1K8H6x8fbOy06t2VsZHhMHf-1x7Y/edit?usp=sharing"",""แผน!Z56"")"),0)</f>
        <v>0</v>
      </c>
      <c r="J170" s="999">
        <v>0</v>
      </c>
      <c r="K170" s="1000">
        <f t="shared" ca="1" si="115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5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hidden="1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121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hidden="1" x14ac:dyDescent="0.3">
      <c r="A173" s="1123"/>
      <c r="B173" s="1124" t="s">
        <v>74</v>
      </c>
      <c r="C173" s="783"/>
      <c r="D173" s="280"/>
      <c r="E173" s="280"/>
      <c r="F173" s="280"/>
      <c r="G173" s="281"/>
      <c r="H173" s="1125" t="s">
        <v>35</v>
      </c>
      <c r="I173" s="1126">
        <f t="shared" ref="I173:J173" ca="1" si="116">I184+I185</f>
        <v>0</v>
      </c>
      <c r="J173" s="1126">
        <f t="shared" si="116"/>
        <v>0</v>
      </c>
      <c r="K173" s="1127">
        <f ca="1">IF(I173&gt;0,J173*100/I173,0)</f>
        <v>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hidden="1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214">
        <f t="shared" ref="L174:N174" ca="1" si="117">L175+L176</f>
        <v>0</v>
      </c>
      <c r="M174" s="215">
        <f t="shared" ca="1" si="117"/>
        <v>0</v>
      </c>
      <c r="N174" s="215">
        <f t="shared" ca="1" si="117"/>
        <v>0</v>
      </c>
      <c r="O174" s="215">
        <f t="shared" ref="O174:O182" ca="1" si="118">IF(L174&gt;0,N174*100/L174,0)</f>
        <v>0</v>
      </c>
      <c r="P174" s="215">
        <f t="shared" ref="P174:P182" ca="1" si="119">IF(M174&gt;0,N174*100/M174,0)</f>
        <v>0</v>
      </c>
      <c r="Q174" s="215">
        <f t="shared" ref="Q174:S174" ca="1" si="120">Q175+Q176</f>
        <v>0</v>
      </c>
      <c r="R174" s="215">
        <f t="shared" ca="1" si="120"/>
        <v>0</v>
      </c>
      <c r="S174" s="215">
        <f t="shared" ca="1" si="120"/>
        <v>0</v>
      </c>
      <c r="T174" s="215">
        <f t="shared" ref="T174:T182" ca="1" si="121">IF(Q174&gt;0,S174*100/Q174,0)</f>
        <v>0</v>
      </c>
      <c r="U174" s="215">
        <f t="shared" ref="U174:U182" ca="1" si="122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217">
        <f t="shared" ref="L175:N176" si="123">L178+L181</f>
        <v>0</v>
      </c>
      <c r="M175" s="133">
        <f t="shared" si="123"/>
        <v>0</v>
      </c>
      <c r="N175" s="133">
        <f t="shared" si="123"/>
        <v>0</v>
      </c>
      <c r="O175" s="133">
        <f t="shared" si="118"/>
        <v>0</v>
      </c>
      <c r="P175" s="133">
        <f t="shared" si="119"/>
        <v>0</v>
      </c>
      <c r="Q175" s="133">
        <f t="shared" ref="Q175:S176" si="124">Q178+Q181</f>
        <v>0</v>
      </c>
      <c r="R175" s="133">
        <f t="shared" si="124"/>
        <v>0</v>
      </c>
      <c r="S175" s="133">
        <f t="shared" si="124"/>
        <v>0</v>
      </c>
      <c r="T175" s="133">
        <f t="shared" si="121"/>
        <v>0</v>
      </c>
      <c r="U175" s="133">
        <f t="shared" si="122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131">
        <f t="shared" ca="1" si="123"/>
        <v>0</v>
      </c>
      <c r="M176" s="132">
        <f t="shared" ca="1" si="123"/>
        <v>0</v>
      </c>
      <c r="N176" s="132">
        <f t="shared" ca="1" si="123"/>
        <v>0</v>
      </c>
      <c r="O176" s="132">
        <f t="shared" ca="1" si="118"/>
        <v>0</v>
      </c>
      <c r="P176" s="132">
        <f t="shared" ca="1" si="119"/>
        <v>0</v>
      </c>
      <c r="Q176" s="132">
        <f t="shared" ca="1" si="124"/>
        <v>0</v>
      </c>
      <c r="R176" s="132">
        <f t="shared" ca="1" si="124"/>
        <v>0</v>
      </c>
      <c r="S176" s="132">
        <f t="shared" ca="1" si="124"/>
        <v>0</v>
      </c>
      <c r="T176" s="132">
        <f t="shared" ca="1" si="121"/>
        <v>0</v>
      </c>
      <c r="U176" s="132">
        <f t="shared" ca="1" si="122"/>
        <v>0</v>
      </c>
    </row>
    <row r="177" spans="1:21" ht="18.75" hidden="1" x14ac:dyDescent="0.25">
      <c r="A177" s="257"/>
      <c r="B177" s="269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131">
        <f t="shared" ref="L177:N177" ca="1" si="125">L178+L179</f>
        <v>0</v>
      </c>
      <c r="M177" s="132">
        <f t="shared" ca="1" si="125"/>
        <v>0</v>
      </c>
      <c r="N177" s="132">
        <f t="shared" ca="1" si="125"/>
        <v>0</v>
      </c>
      <c r="O177" s="132">
        <f t="shared" ca="1" si="118"/>
        <v>0</v>
      </c>
      <c r="P177" s="132">
        <f t="shared" ca="1" si="119"/>
        <v>0</v>
      </c>
      <c r="Q177" s="132">
        <f t="shared" ref="Q177:S177" ca="1" si="126">Q178+Q179</f>
        <v>0</v>
      </c>
      <c r="R177" s="132">
        <f t="shared" ca="1" si="126"/>
        <v>0</v>
      </c>
      <c r="S177" s="132">
        <f t="shared" ca="1" si="126"/>
        <v>0</v>
      </c>
      <c r="T177" s="132">
        <f t="shared" ca="1" si="121"/>
        <v>0</v>
      </c>
      <c r="U177" s="132">
        <f t="shared" ca="1" si="122"/>
        <v>0</v>
      </c>
    </row>
    <row r="178" spans="1:21" ht="18.75" hidden="1" x14ac:dyDescent="0.25">
      <c r="A178" s="257"/>
      <c r="B178" s="258"/>
      <c r="C178" s="269"/>
      <c r="D178" s="269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133">
        <f t="shared" si="118"/>
        <v>0</v>
      </c>
      <c r="P178" s="133">
        <f t="shared" si="119"/>
        <v>0</v>
      </c>
      <c r="Q178" s="77">
        <v>0</v>
      </c>
      <c r="R178" s="77">
        <v>0</v>
      </c>
      <c r="S178" s="77">
        <v>0</v>
      </c>
      <c r="T178" s="133">
        <f t="shared" si="121"/>
        <v>0</v>
      </c>
      <c r="U178" s="133">
        <f t="shared" si="122"/>
        <v>0</v>
      </c>
    </row>
    <row r="179" spans="1:21" ht="18.75" hidden="1" x14ac:dyDescent="0.25">
      <c r="A179" s="257"/>
      <c r="B179" s="269"/>
      <c r="C179" s="269"/>
      <c r="D179" s="269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131">
        <f ca="1">IFERROR(__xludf.DUMMYFUNCTION("IMPORTRANGE(""https://docs.google.com/spreadsheets/d/1-uDff_7J0KD5mKrp0Vvzr7lt3OU09vwQwhkpOPPYv2Y/edit?usp=sharing"",""งบพรบ!CK56"")"),0)</f>
        <v>0</v>
      </c>
      <c r="M179" s="132">
        <f ca="1">IFERROR(__xludf.DUMMYFUNCTION("IMPORTRANGE(""https://docs.google.com/spreadsheets/d/1-uDff_7J0KD5mKrp0Vvzr7lt3OU09vwQwhkpOPPYv2Y/edit?usp=sharing"",""งบพรบ!CP56"")"),0)</f>
        <v>0</v>
      </c>
      <c r="N179" s="132">
        <f ca="1">IFERROR(__xludf.DUMMYFUNCTION("IMPORTRANGE(""https://docs.google.com/spreadsheets/d/1-uDff_7J0KD5mKrp0Vvzr7lt3OU09vwQwhkpOPPYv2Y/edit?usp=sharing"",""งบพรบ!CR56"")"),0)</f>
        <v>0</v>
      </c>
      <c r="O179" s="132">
        <f t="shared" ca="1" si="118"/>
        <v>0</v>
      </c>
      <c r="P179" s="132">
        <f t="shared" ca="1" si="119"/>
        <v>0</v>
      </c>
      <c r="Q179" s="132">
        <f ca="1">IFERROR(__xludf.DUMMYFUNCTION("IMPORTRANGE(""https://docs.google.com/spreadsheets/d/1ItG2mGa2ceCfYo0BwxsXqNm01IGEUdYcSSLTEv9YCik/edit?usp=sharing"",""เบิกจ่ายกองทุน!BE56"")"),0)</f>
        <v>0</v>
      </c>
      <c r="R179" s="132">
        <f ca="1">IFERROR(__xludf.DUMMYFUNCTION("IMPORTRANGE(""https://docs.google.com/spreadsheets/d/1ItG2mGa2ceCfYo0BwxsXqNm01IGEUdYcSSLTEv9YCik/edit?usp=sharing"",""เบิกจ่ายกองทุน!BF56"")"),0)</f>
        <v>0</v>
      </c>
      <c r="S179" s="132">
        <f ca="1">IFERROR(__xludf.DUMMYFUNCTION("IMPORTRANGE(""https://docs.google.com/spreadsheets/d/1ItG2mGa2ceCfYo0BwxsXqNm01IGEUdYcSSLTEv9YCik/edit?usp=sharing"",""เบิกจ่ายกองทุน!BG56"")"),0)</f>
        <v>0</v>
      </c>
      <c r="T179" s="132">
        <f t="shared" ca="1" si="121"/>
        <v>0</v>
      </c>
      <c r="U179" s="132">
        <f t="shared" ca="1" si="122"/>
        <v>0</v>
      </c>
    </row>
    <row r="180" spans="1:21" ht="18.75" hidden="1" x14ac:dyDescent="0.25">
      <c r="A180" s="257"/>
      <c r="B180" s="258"/>
      <c r="C180" s="269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131">
        <f t="shared" ref="L180:N180" ca="1" si="127">L181+L182</f>
        <v>0</v>
      </c>
      <c r="M180" s="132">
        <f t="shared" ca="1" si="127"/>
        <v>0</v>
      </c>
      <c r="N180" s="132">
        <f t="shared" ca="1" si="127"/>
        <v>0</v>
      </c>
      <c r="O180" s="132">
        <f t="shared" ca="1" si="118"/>
        <v>0</v>
      </c>
      <c r="P180" s="132">
        <f t="shared" ca="1" si="119"/>
        <v>0</v>
      </c>
      <c r="Q180" s="132">
        <f t="shared" ref="Q180:S180" si="128">Q181+Q182</f>
        <v>0</v>
      </c>
      <c r="R180" s="132">
        <f t="shared" si="128"/>
        <v>0</v>
      </c>
      <c r="S180" s="132">
        <f t="shared" si="128"/>
        <v>0</v>
      </c>
      <c r="T180" s="132">
        <f t="shared" si="121"/>
        <v>0</v>
      </c>
      <c r="U180" s="132">
        <f t="shared" si="122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133">
        <f t="shared" si="118"/>
        <v>0</v>
      </c>
      <c r="P181" s="133">
        <f t="shared" si="119"/>
        <v>0</v>
      </c>
      <c r="Q181" s="77">
        <v>0</v>
      </c>
      <c r="R181" s="77">
        <v>0</v>
      </c>
      <c r="S181" s="77">
        <v>0</v>
      </c>
      <c r="T181" s="133">
        <f t="shared" si="121"/>
        <v>0</v>
      </c>
      <c r="U181" s="133">
        <f t="shared" si="122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131">
        <f ca="1">IFERROR(__xludf.DUMMYFUNCTION("IMPORTRANGE(""https://docs.google.com/spreadsheets/d/1-uDff_7J0KD5mKrp0Vvzr7lt3OU09vwQwhkpOPPYv2Y/edit?usp=sharing"",""งบพรบ!CN56"")"),0)</f>
        <v>0</v>
      </c>
      <c r="M182" s="132">
        <f ca="1">IFERROR(__xludf.DUMMYFUNCTION("IMPORTRANGE(""https://docs.google.com/spreadsheets/d/1-uDff_7J0KD5mKrp0Vvzr7lt3OU09vwQwhkpOPPYv2Y/edit?usp=sharing"",""งบพรบ!CQ56"")"),0)</f>
        <v>0</v>
      </c>
      <c r="N182" s="132">
        <f ca="1">IFERROR(__xludf.DUMMYFUNCTION("IMPORTRANGE(""https://docs.google.com/spreadsheets/d/1-uDff_7J0KD5mKrp0Vvzr7lt3OU09vwQwhkpOPPYv2Y/edit?usp=sharing"",""งบพรบ!CS56"")"),0)</f>
        <v>0</v>
      </c>
      <c r="O182" s="132">
        <f t="shared" ca="1" si="118"/>
        <v>0</v>
      </c>
      <c r="P182" s="132">
        <f t="shared" ca="1" si="119"/>
        <v>0</v>
      </c>
      <c r="Q182" s="74">
        <v>0</v>
      </c>
      <c r="R182" s="74">
        <v>0</v>
      </c>
      <c r="S182" s="74">
        <v>0</v>
      </c>
      <c r="T182" s="132">
        <f t="shared" si="121"/>
        <v>0</v>
      </c>
      <c r="U182" s="132">
        <f t="shared" si="122"/>
        <v>0</v>
      </c>
    </row>
    <row r="183" spans="1:21" ht="19.5" hidden="1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hidden="1" x14ac:dyDescent="0.25">
      <c r="A184" s="550"/>
      <c r="B184" s="258"/>
      <c r="C184" s="269"/>
      <c r="D184" s="749" t="s">
        <v>75</v>
      </c>
      <c r="E184" s="258"/>
      <c r="F184" s="258"/>
      <c r="G184" s="261"/>
      <c r="H184" s="307" t="s">
        <v>35</v>
      </c>
      <c r="I184" s="293">
        <f ca="1">IFERROR(__xludf.DUMMYFUNCTION("IMPORTRANGE(""https://docs.google.com/spreadsheets/d/1eHaY18a8A9IcSdp1K8H6x8fbOy06t2VsZHhMHf-1x7Y/edit?usp=sharing"",""แผน!AA56"")"),0)</f>
        <v>0</v>
      </c>
      <c r="J184" s="294">
        <v>0</v>
      </c>
      <c r="K184" s="74">
        <f t="shared" ref="K184:K186" ca="1" si="129">IF(I184&gt;0,J184*100/I184,0)</f>
        <v>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308" t="s">
        <v>35</v>
      </c>
      <c r="I185" s="592">
        <v>0</v>
      </c>
      <c r="J185" s="592">
        <v>0</v>
      </c>
      <c r="K185" s="77">
        <f t="shared" si="129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125" t="s">
        <v>35</v>
      </c>
      <c r="I186" s="1126">
        <f t="shared" ref="I186:J186" ca="1" si="130">I231+I232</f>
        <v>20</v>
      </c>
      <c r="J186" s="1126">
        <f t="shared" si="130"/>
        <v>20</v>
      </c>
      <c r="K186" s="1127">
        <f t="shared" ca="1" si="129"/>
        <v>100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214">
        <f t="shared" ref="L187:N187" ca="1" si="131">L188+L189</f>
        <v>81100</v>
      </c>
      <c r="M187" s="215">
        <f t="shared" ca="1" si="131"/>
        <v>82182</v>
      </c>
      <c r="N187" s="215">
        <f t="shared" ca="1" si="131"/>
        <v>51849</v>
      </c>
      <c r="O187" s="215">
        <f t="shared" ref="O187:O195" ca="1" si="132">IF(L187&gt;0,N187*100/L187,0)</f>
        <v>63.932182490752155</v>
      </c>
      <c r="P187" s="215">
        <f t="shared" ref="P187:P195" ca="1" si="133">IF(M187&gt;0,N187*100/M187,0)</f>
        <v>63.090457764473975</v>
      </c>
      <c r="Q187" s="215">
        <f t="shared" ref="Q187:S187" ca="1" si="134">Q188+Q189</f>
        <v>29838</v>
      </c>
      <c r="R187" s="215">
        <f t="shared" ca="1" si="134"/>
        <v>29838</v>
      </c>
      <c r="S187" s="215">
        <f t="shared" ca="1" si="134"/>
        <v>0</v>
      </c>
      <c r="T187" s="215">
        <f t="shared" ref="T187:T195" ca="1" si="135">IF(Q187&gt;0,S187*100/Q187,0)</f>
        <v>0</v>
      </c>
      <c r="U187" s="215">
        <f t="shared" ref="U187:U195" ca="1" si="136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217">
        <f t="shared" ref="L188:N189" si="137">L191+L194</f>
        <v>0</v>
      </c>
      <c r="M188" s="133">
        <f t="shared" si="137"/>
        <v>0</v>
      </c>
      <c r="N188" s="133">
        <f t="shared" si="137"/>
        <v>0</v>
      </c>
      <c r="O188" s="133">
        <f t="shared" si="132"/>
        <v>0</v>
      </c>
      <c r="P188" s="133">
        <f t="shared" si="133"/>
        <v>0</v>
      </c>
      <c r="Q188" s="133">
        <f t="shared" ref="Q188:S189" si="138">Q191+Q194</f>
        <v>0</v>
      </c>
      <c r="R188" s="133">
        <f t="shared" si="138"/>
        <v>0</v>
      </c>
      <c r="S188" s="133">
        <f t="shared" si="138"/>
        <v>0</v>
      </c>
      <c r="T188" s="133">
        <f t="shared" si="135"/>
        <v>0</v>
      </c>
      <c r="U188" s="133">
        <f t="shared" si="136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131">
        <f t="shared" ca="1" si="137"/>
        <v>81100</v>
      </c>
      <c r="M189" s="132">
        <f t="shared" ca="1" si="137"/>
        <v>82182</v>
      </c>
      <c r="N189" s="132">
        <f t="shared" ca="1" si="137"/>
        <v>51849</v>
      </c>
      <c r="O189" s="132">
        <f t="shared" ca="1" si="132"/>
        <v>63.932182490752155</v>
      </c>
      <c r="P189" s="132">
        <f t="shared" ca="1" si="133"/>
        <v>63.090457764473975</v>
      </c>
      <c r="Q189" s="132">
        <f t="shared" ca="1" si="138"/>
        <v>29838</v>
      </c>
      <c r="R189" s="132">
        <f t="shared" ca="1" si="138"/>
        <v>29838</v>
      </c>
      <c r="S189" s="132">
        <f t="shared" ca="1" si="138"/>
        <v>0</v>
      </c>
      <c r="T189" s="132">
        <f t="shared" ca="1" si="135"/>
        <v>0</v>
      </c>
      <c r="U189" s="132">
        <f t="shared" ca="1" si="136"/>
        <v>0</v>
      </c>
    </row>
    <row r="190" spans="1:21" ht="18.75" x14ac:dyDescent="0.25">
      <c r="A190" s="257"/>
      <c r="B190" s="269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131">
        <f t="shared" ref="L190:N190" ca="1" si="139">L191+L192</f>
        <v>81100</v>
      </c>
      <c r="M190" s="132">
        <f t="shared" ca="1" si="139"/>
        <v>82182</v>
      </c>
      <c r="N190" s="132">
        <f t="shared" ca="1" si="139"/>
        <v>51849</v>
      </c>
      <c r="O190" s="132">
        <f t="shared" ca="1" si="132"/>
        <v>63.932182490752155</v>
      </c>
      <c r="P190" s="132">
        <f t="shared" ca="1" si="133"/>
        <v>63.090457764473975</v>
      </c>
      <c r="Q190" s="132">
        <f t="shared" ref="Q190:S190" ca="1" si="140">Q191+Q192</f>
        <v>29838</v>
      </c>
      <c r="R190" s="132">
        <f t="shared" ca="1" si="140"/>
        <v>29838</v>
      </c>
      <c r="S190" s="132">
        <f t="shared" ca="1" si="140"/>
        <v>0</v>
      </c>
      <c r="T190" s="132">
        <f t="shared" ca="1" si="135"/>
        <v>0</v>
      </c>
      <c r="U190" s="132">
        <f t="shared" ca="1" si="136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133">
        <f t="shared" si="132"/>
        <v>0</v>
      </c>
      <c r="P191" s="133">
        <f t="shared" si="133"/>
        <v>0</v>
      </c>
      <c r="Q191" s="77">
        <v>0</v>
      </c>
      <c r="R191" s="77">
        <v>0</v>
      </c>
      <c r="S191" s="77">
        <v>0</v>
      </c>
      <c r="T191" s="133">
        <f t="shared" si="135"/>
        <v>0</v>
      </c>
      <c r="U191" s="133">
        <f t="shared" si="136"/>
        <v>0</v>
      </c>
    </row>
    <row r="192" spans="1:21" ht="18.75" hidden="1" x14ac:dyDescent="0.25">
      <c r="A192" s="257"/>
      <c r="B192" s="269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131">
        <f ca="1">IFERROR(__xludf.DUMMYFUNCTION("IMPORTRANGE(""https://docs.google.com/spreadsheets/d/1-uDff_7J0KD5mKrp0Vvzr7lt3OU09vwQwhkpOPPYv2Y/edit?usp=sharing"",""งบพรบ!CU56"")"),81100)</f>
        <v>81100</v>
      </c>
      <c r="M192" s="132">
        <f ca="1">IFERROR(__xludf.DUMMYFUNCTION("IMPORTRANGE(""https://docs.google.com/spreadsheets/d/1-uDff_7J0KD5mKrp0Vvzr7lt3OU09vwQwhkpOPPYv2Y/edit?usp=sharing"",""งบพรบ!CZ56"")"),82182)</f>
        <v>82182</v>
      </c>
      <c r="N192" s="132">
        <f ca="1">IFERROR(__xludf.DUMMYFUNCTION("IMPORTRANGE(""https://docs.google.com/spreadsheets/d/1-uDff_7J0KD5mKrp0Vvzr7lt3OU09vwQwhkpOPPYv2Y/edit?usp=sharing"",""งบพรบ!DB56"")"),51849)</f>
        <v>51849</v>
      </c>
      <c r="O192" s="132">
        <f t="shared" ca="1" si="132"/>
        <v>63.932182490752155</v>
      </c>
      <c r="P192" s="132">
        <f t="shared" ca="1" si="133"/>
        <v>63.090457764473975</v>
      </c>
      <c r="Q192" s="132">
        <f ca="1">IFERROR(__xludf.DUMMYFUNCTION("IMPORTRANGE(""https://docs.google.com/spreadsheets/d/1ItG2mGa2ceCfYo0BwxsXqNm01IGEUdYcSSLTEv9YCik/edit?usp=sharing"",""เบิกจ่ายกองทุน!AV56"")"),29838)</f>
        <v>29838</v>
      </c>
      <c r="R192" s="132">
        <f ca="1">IFERROR(__xludf.DUMMYFUNCTION("IMPORTRANGE(""https://docs.google.com/spreadsheets/d/1ItG2mGa2ceCfYo0BwxsXqNm01IGEUdYcSSLTEv9YCik/edit?usp=sharing"",""เบิกจ่ายกองทุน!AW56"")"),29838)</f>
        <v>29838</v>
      </c>
      <c r="S192" s="132">
        <f ca="1">IFERROR(__xludf.DUMMYFUNCTION("IMPORTRANGE(""https://docs.google.com/spreadsheets/d/1ItG2mGa2ceCfYo0BwxsXqNm01IGEUdYcSSLTEv9YCik/edit?usp=sharing"",""เบิกจ่ายกองทุน!AX56"")"),0)</f>
        <v>0</v>
      </c>
      <c r="T192" s="132">
        <f t="shared" ca="1" si="135"/>
        <v>0</v>
      </c>
      <c r="U192" s="132">
        <f t="shared" ca="1" si="136"/>
        <v>0</v>
      </c>
    </row>
    <row r="193" spans="1:21" ht="18.75" x14ac:dyDescent="0.25">
      <c r="A193" s="257"/>
      <c r="B193" s="269"/>
      <c r="C193" s="269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131">
        <f t="shared" ref="L193:N193" ca="1" si="141">L194+L195</f>
        <v>0</v>
      </c>
      <c r="M193" s="132">
        <f t="shared" ca="1" si="141"/>
        <v>0</v>
      </c>
      <c r="N193" s="132">
        <f t="shared" ca="1" si="141"/>
        <v>0</v>
      </c>
      <c r="O193" s="132">
        <f t="shared" ca="1" si="132"/>
        <v>0</v>
      </c>
      <c r="P193" s="132">
        <f t="shared" ca="1" si="133"/>
        <v>0</v>
      </c>
      <c r="Q193" s="132">
        <f t="shared" ref="Q193:S193" si="142">Q194+Q195</f>
        <v>0</v>
      </c>
      <c r="R193" s="132">
        <f t="shared" si="142"/>
        <v>0</v>
      </c>
      <c r="S193" s="132">
        <f t="shared" si="142"/>
        <v>0</v>
      </c>
      <c r="T193" s="132">
        <f t="shared" si="135"/>
        <v>0</v>
      </c>
      <c r="U193" s="132">
        <f t="shared" si="136"/>
        <v>0</v>
      </c>
    </row>
    <row r="194" spans="1:21" ht="18.75" hidden="1" x14ac:dyDescent="0.25">
      <c r="A194" s="257"/>
      <c r="B194" s="269"/>
      <c r="C194" s="269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133">
        <f t="shared" si="132"/>
        <v>0</v>
      </c>
      <c r="P194" s="133">
        <f t="shared" si="133"/>
        <v>0</v>
      </c>
      <c r="Q194" s="77">
        <v>0</v>
      </c>
      <c r="R194" s="77">
        <v>0</v>
      </c>
      <c r="S194" s="77">
        <v>0</v>
      </c>
      <c r="T194" s="133">
        <f t="shared" si="135"/>
        <v>0</v>
      </c>
      <c r="U194" s="133">
        <f t="shared" si="136"/>
        <v>0</v>
      </c>
    </row>
    <row r="195" spans="1:21" ht="18.75" hidden="1" x14ac:dyDescent="0.25">
      <c r="A195" s="257"/>
      <c r="B195" s="269"/>
      <c r="C195" s="269"/>
      <c r="D195" s="269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131">
        <f ca="1">IFERROR(__xludf.DUMMYFUNCTION("IMPORTRANGE(""https://docs.google.com/spreadsheets/d/1-uDff_7J0KD5mKrp0Vvzr7lt3OU09vwQwhkpOPPYv2Y/edit?usp=sharing"",""งบพรบ!CX56"")"),0)</f>
        <v>0</v>
      </c>
      <c r="M195" s="132">
        <f ca="1">IFERROR(__xludf.DUMMYFUNCTION("IMPORTRANGE(""https://docs.google.com/spreadsheets/d/1-uDff_7J0KD5mKrp0Vvzr7lt3OU09vwQwhkpOPPYv2Y/edit?usp=sharing"",""งบพรบ!DA56"")"),0)</f>
        <v>0</v>
      </c>
      <c r="N195" s="132">
        <f ca="1">IFERROR(__xludf.DUMMYFUNCTION("IMPORTRANGE(""https://docs.google.com/spreadsheets/d/1-uDff_7J0KD5mKrp0Vvzr7lt3OU09vwQwhkpOPPYv2Y/edit?usp=sharing"",""งบพรบ!DC56"")"),0)</f>
        <v>0</v>
      </c>
      <c r="O195" s="132">
        <f t="shared" ca="1" si="132"/>
        <v>0</v>
      </c>
      <c r="P195" s="132">
        <f t="shared" ca="1" si="133"/>
        <v>0</v>
      </c>
      <c r="Q195" s="74">
        <v>0</v>
      </c>
      <c r="R195" s="74">
        <v>0</v>
      </c>
      <c r="S195" s="74">
        <v>0</v>
      </c>
      <c r="T195" s="132">
        <f t="shared" si="135"/>
        <v>0</v>
      </c>
      <c r="U195" s="132">
        <f t="shared" si="136"/>
        <v>0</v>
      </c>
    </row>
    <row r="196" spans="1:21" ht="19.5" x14ac:dyDescent="0.3">
      <c r="A196" s="553"/>
      <c r="B196" s="555"/>
      <c r="C196" s="1128" t="s">
        <v>78</v>
      </c>
      <c r="D196" s="555"/>
      <c r="E196" s="554"/>
      <c r="F196" s="554"/>
      <c r="G196" s="557"/>
      <c r="H196" s="558" t="s">
        <v>79</v>
      </c>
      <c r="I196" s="559">
        <f t="shared" ref="I196:J196" ca="1" si="143">I199</f>
        <v>4</v>
      </c>
      <c r="J196" s="559">
        <f t="shared" si="143"/>
        <v>0</v>
      </c>
      <c r="K196" s="560">
        <f ca="1">IF(I196&gt;0,J196*100/I196,0)</f>
        <v>0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69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214">
        <f ca="1">IFERROR(__xludf.DUMMYFUNCTION("IMPORTRANGE(""https://docs.google.com/spreadsheets/d/1eHaY18a8A9IcSdp1K8H6x8fbOy06t2VsZHhMHf-1x7Y/edit?usp=sharing"",""แผน!AB56"")"),6000)</f>
        <v>6000</v>
      </c>
      <c r="M197" s="87"/>
      <c r="N197" s="923">
        <v>740</v>
      </c>
      <c r="O197" s="215">
        <f ca="1">IF(L197&gt;0,N197*100/L197,0)</f>
        <v>12.333333333333334</v>
      </c>
      <c r="P197" s="215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310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75" t="s">
        <v>79</v>
      </c>
      <c r="I199" s="293">
        <f ca="1">IFERROR(__xludf.DUMMYFUNCTION("IMPORTRANGE(""https://docs.google.com/spreadsheets/d/1eHaY18a8A9IcSdp1K8H6x8fbOy06t2VsZHhMHf-1x7Y/edit?usp=sharing"",""แผน!AE56"")"),4)</f>
        <v>4</v>
      </c>
      <c r="J199" s="294">
        <v>0</v>
      </c>
      <c r="K199" s="74">
        <f ca="1">IF(I199&gt;0,J199*100/I199,0)</f>
        <v>0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0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0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4">I210</f>
        <v>2</v>
      </c>
      <c r="J203" s="559">
        <f t="shared" si="144"/>
        <v>0</v>
      </c>
      <c r="K203" s="560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69"/>
      <c r="C204" s="621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214">
        <f ca="1">L205+L206+L207+L208</f>
        <v>29000</v>
      </c>
      <c r="M204" s="87"/>
      <c r="N204" s="215">
        <f>N205+N206+N207+N208</f>
        <v>25162</v>
      </c>
      <c r="O204" s="215">
        <f ca="1">IF(L204&gt;0,N204*100/L204,0)</f>
        <v>86.765517241379314</v>
      </c>
      <c r="P204" s="215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69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131">
        <f ca="1">IFERROR(__xludf.DUMMYFUNCTION("IMPORTRANGE(""https://docs.google.com/spreadsheets/d/1eHaY18a8A9IcSdp1K8H6x8fbOy06t2VsZHhMHf-1x7Y/edit?usp=sharing"",""แผน!AG56"")"),2000)</f>
        <v>2000</v>
      </c>
      <c r="M205" s="87"/>
      <c r="N205" s="924">
        <f>1240+760</f>
        <v>2000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69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131">
        <f ca="1">IFERROR(__xludf.DUMMYFUNCTION("IMPORTRANGE(""https://docs.google.com/spreadsheets/d/1eHaY18a8A9IcSdp1K8H6x8fbOy06t2VsZHhMHf-1x7Y/edit?usp=sharing"",""แผน!AH56"")"),0)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69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131">
        <f ca="1">IFERROR(__xludf.DUMMYFUNCTION("IMPORTRANGE(""https://docs.google.com/spreadsheets/d/1eHaY18a8A9IcSdp1K8H6x8fbOy06t2VsZHhMHf-1x7Y/edit?usp=sharing"",""แผน!AI56"")"),16000)</f>
        <v>16000</v>
      </c>
      <c r="M207" s="87"/>
      <c r="N207" s="924">
        <v>12162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69"/>
      <c r="D208" s="267" t="s">
        <v>89</v>
      </c>
      <c r="E208" s="258"/>
      <c r="F208" s="258"/>
      <c r="G208" s="261"/>
      <c r="H208" s="292" t="s">
        <v>14</v>
      </c>
      <c r="I208" s="263"/>
      <c r="J208" s="263"/>
      <c r="K208" s="87"/>
      <c r="L208" s="131">
        <f ca="1">IFERROR(__xludf.DUMMYFUNCTION("IMPORTRANGE(""https://docs.google.com/spreadsheets/d/1eHaY18a8A9IcSdp1K8H6x8fbOy06t2VsZHhMHf-1x7Y/edit?usp=sharing"",""แผน!AJ56"")"),11000)</f>
        <v>11000</v>
      </c>
      <c r="M208" s="87"/>
      <c r="N208" s="924">
        <v>11000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310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2" t="s">
        <v>85</v>
      </c>
      <c r="I210" s="293">
        <f ca="1">IFERROR(__xludf.DUMMYFUNCTION("IMPORTRANGE(""https://docs.google.com/spreadsheets/d/1eHaY18a8A9IcSdp1K8H6x8fbOy06t2VsZHhMHf-1x7Y/edit?usp=sharing"",""แผน!AK56"")"),2)</f>
        <v>2</v>
      </c>
      <c r="J210" s="294">
        <v>0</v>
      </c>
      <c r="K210" s="768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310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2" t="s">
        <v>85</v>
      </c>
      <c r="I212" s="293">
        <f ca="1">IFERROR(__xludf.DUMMYFUNCTION("IMPORTRANGE(""https://docs.google.com/spreadsheets/d/1eHaY18a8A9IcSdp1K8H6x8fbOy06t2VsZHhMHf-1x7Y/edit?usp=sharing"",""แผน!JX56"")"),2)</f>
        <v>2</v>
      </c>
      <c r="J212" s="294">
        <v>0</v>
      </c>
      <c r="K212" s="768">
        <f t="shared" ref="K212:K214" ca="1" si="145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IFERROR(__xludf.DUMMYFUNCTION("IMPORTRANGE(""https://docs.google.com/spreadsheets/d/1eHaY18a8A9IcSdp1K8H6x8fbOy06t2VsZHhMHf-1x7Y/edit?usp=sharing"",""แผน!JY56"")"),1)</f>
        <v>1</v>
      </c>
      <c r="J213" s="294">
        <v>0</v>
      </c>
      <c r="K213" s="768">
        <f t="shared" ca="1" si="145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hidden="1" x14ac:dyDescent="0.3">
      <c r="A214" s="553"/>
      <c r="B214" s="555"/>
      <c r="C214" s="1128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6">I221</f>
        <v>0</v>
      </c>
      <c r="J214" s="559">
        <f t="shared" si="146"/>
        <v>0</v>
      </c>
      <c r="K214" s="560">
        <f t="shared" ca="1" si="145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hidden="1" x14ac:dyDescent="0.3">
      <c r="A215" s="257"/>
      <c r="B215" s="269"/>
      <c r="C215" s="621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214">
        <f ca="1">L216+L217+L218</f>
        <v>0</v>
      </c>
      <c r="M215" s="87"/>
      <c r="N215" s="215">
        <f>N216+N217+N218</f>
        <v>0</v>
      </c>
      <c r="O215" s="215">
        <f ca="1">IF(L215&gt;0,N215*100/L215,0)</f>
        <v>0</v>
      </c>
      <c r="P215" s="215">
        <f>IF(M215&gt;0,N215*100/M215,0)</f>
        <v>0</v>
      </c>
      <c r="Q215" s="87"/>
      <c r="R215" s="87"/>
      <c r="S215" s="87"/>
      <c r="T215" s="87"/>
      <c r="U215" s="87"/>
    </row>
    <row r="216" spans="1:21" ht="18.75" hidden="1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131">
        <f ca="1">IFERROR(__xludf.DUMMYFUNCTION("IMPORTRANGE(""https://docs.google.com/spreadsheets/d/1eHaY18a8A9IcSdp1K8H6x8fbOy06t2VsZHhMHf-1x7Y/edit?usp=sharing"",""แผน!AM56"")"),0)</f>
        <v>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hidden="1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131">
        <f ca="1">IFERROR(__xludf.DUMMYFUNCTION("IMPORTRANGE(""https://docs.google.com/spreadsheets/d/1eHaY18a8A9IcSdp1K8H6x8fbOy06t2VsZHhMHf-1x7Y/edit?usp=sharing"",""แผน!AN56"")"),0)</f>
        <v>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hidden="1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131">
        <f ca="1">IFERROR(__xludf.DUMMYFUNCTION("IMPORTRANGE(""https://docs.google.com/spreadsheets/d/1eHaY18a8A9IcSdp1K8H6x8fbOy06t2VsZHhMHf-1x7Y/edit?usp=sharing"",""แผน!AO56"")"),0)</f>
        <v>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hidden="1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310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hidden="1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2" t="s">
        <v>85</v>
      </c>
      <c r="I220" s="293">
        <f ca="1">IFERROR(__xludf.DUMMYFUNCTION("IMPORTRANGE(""https://docs.google.com/spreadsheets/d/1eHaY18a8A9IcSdp1K8H6x8fbOy06t2VsZHhMHf-1x7Y/edit?usp=sharing"",""แผน!AP56"")"),0)</f>
        <v>0</v>
      </c>
      <c r="J220" s="294">
        <v>0</v>
      </c>
      <c r="K220" s="74">
        <f t="shared" ref="K220:K222" ca="1" si="147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hidden="1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IFERROR(__xludf.DUMMYFUNCTION("IMPORTRANGE(""https://docs.google.com/spreadsheets/d/1eHaY18a8A9IcSdp1K8H6x8fbOy06t2VsZHhMHf-1x7Y/edit?usp=sharing"",""แผน!AP56"")"),0)</f>
        <v>0</v>
      </c>
      <c r="J221" s="294">
        <v>0</v>
      </c>
      <c r="K221" s="74">
        <f t="shared" ca="1" si="147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28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8">I230</f>
        <v>5000</v>
      </c>
      <c r="J222" s="559">
        <f t="shared" si="148"/>
        <v>0</v>
      </c>
      <c r="K222" s="560">
        <f t="shared" ca="1" si="147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69"/>
      <c r="C223" s="621" t="s">
        <v>18</v>
      </c>
      <c r="D223" s="96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214">
        <f ca="1">L224+L225+L226</f>
        <v>4500</v>
      </c>
      <c r="M223" s="87"/>
      <c r="N223" s="215">
        <f>N224+N225+N226</f>
        <v>0</v>
      </c>
      <c r="O223" s="215">
        <f ca="1">IF(L223&gt;0,N223*100/L223,0)</f>
        <v>0</v>
      </c>
      <c r="P223" s="215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69"/>
      <c r="D224" s="1134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131">
        <f ca="1">IFERROR(__xludf.DUMMYFUNCTION("IMPORTRANGE(""https://docs.google.com/spreadsheets/d/1eHaY18a8A9IcSdp1K8H6x8fbOy06t2VsZHhMHf-1x7Y/edit?usp=sharing"",""แผน!AR56"")"),3000)</f>
        <v>3000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131">
        <f ca="1">IFERROR(__xludf.DUMMYFUNCTION("IMPORTRANGE(""https://docs.google.com/spreadsheets/d/1eHaY18a8A9IcSdp1K8H6x8fbOy06t2VsZHhMHf-1x7Y/edit?usp=sharing"",""แผน!AS56"")"),1500)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131">
        <f ca="1">IFERROR(__xludf.DUMMYFUNCTION("IMPORTRANGE(""https://docs.google.com/spreadsheets/d/1eHaY18a8A9IcSdp1K8H6x8fbOy06t2VsZHhMHf-1x7Y/edit?usp=sharing"",""แผน!AT56"")"),0)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310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310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75" t="s">
        <v>99</v>
      </c>
      <c r="I229" s="293">
        <f ca="1">IFERROR(__xludf.DUMMYFUNCTION("IMPORTRANGE(""https://docs.google.com/spreadsheets/d/1eHaY18a8A9IcSdp1K8H6x8fbOy06t2VsZHhMHf-1x7Y/edit?usp=sharing"",""แผน!AV56"")"),5000)</f>
        <v>5000</v>
      </c>
      <c r="J229" s="294">
        <v>5000</v>
      </c>
      <c r="K229" s="768">
        <f t="shared" ref="K229:K232" ca="1" si="149">IF(I229&gt;0,J229*100/I229,0)</f>
        <v>100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75" t="s">
        <v>99</v>
      </c>
      <c r="I230" s="293">
        <f ca="1">IFERROR(__xludf.DUMMYFUNCTION("IMPORTRANGE(""https://docs.google.com/spreadsheets/d/1eHaY18a8A9IcSdp1K8H6x8fbOy06t2VsZHhMHf-1x7Y/edit?usp=sharing"",""แผน!AV56"")"),5000)</f>
        <v>5000</v>
      </c>
      <c r="J230" s="294">
        <v>0</v>
      </c>
      <c r="K230" s="768">
        <f t="shared" ca="1" si="149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75" t="s">
        <v>35</v>
      </c>
      <c r="I231" s="293">
        <f ca="1">IFERROR(__xludf.DUMMYFUNCTION("IMPORTRANGE(""https://docs.google.com/spreadsheets/d/1eHaY18a8A9IcSdp1K8H6x8fbOy06t2VsZHhMHf-1x7Y/edit?usp=sharing"",""แผน!AU56"")"),0)</f>
        <v>0</v>
      </c>
      <c r="J231" s="294">
        <v>0</v>
      </c>
      <c r="K231" s="768">
        <f t="shared" ca="1" si="149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925"/>
      <c r="B232" s="926"/>
      <c r="C232" s="1135" t="s">
        <v>105</v>
      </c>
      <c r="D232" s="928"/>
      <c r="E232" s="928"/>
      <c r="F232" s="928"/>
      <c r="G232" s="929"/>
      <c r="H232" s="930" t="s">
        <v>35</v>
      </c>
      <c r="I232" s="931">
        <f t="shared" ref="I232:J232" ca="1" si="150">I243+I254</f>
        <v>20</v>
      </c>
      <c r="J232" s="931">
        <f t="shared" si="150"/>
        <v>20</v>
      </c>
      <c r="K232" s="932">
        <f t="shared" ca="1" si="149"/>
        <v>100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880"/>
      <c r="B233" s="920"/>
      <c r="C233" s="939" t="s">
        <v>18</v>
      </c>
      <c r="D233" s="934" t="s">
        <v>19</v>
      </c>
      <c r="E233" s="838"/>
      <c r="F233" s="838"/>
      <c r="G233" s="839"/>
      <c r="H233" s="703" t="s">
        <v>14</v>
      </c>
      <c r="I233" s="881"/>
      <c r="J233" s="881"/>
      <c r="K233" s="882"/>
      <c r="L233" s="935">
        <f t="shared" ref="L233:L237" ca="1" si="151">L244+L255</f>
        <v>41600</v>
      </c>
      <c r="M233" s="87"/>
      <c r="N233" s="936">
        <f t="shared" ref="N233:N237" si="152">N244+N255</f>
        <v>21963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880"/>
      <c r="B234" s="920"/>
      <c r="C234" s="920"/>
      <c r="D234" s="1134" t="s">
        <v>299</v>
      </c>
      <c r="E234" s="838"/>
      <c r="F234" s="838"/>
      <c r="G234" s="839"/>
      <c r="H234" s="273" t="s">
        <v>14</v>
      </c>
      <c r="I234" s="881"/>
      <c r="J234" s="881"/>
      <c r="K234" s="882"/>
      <c r="L234" s="217">
        <f t="shared" ca="1" si="151"/>
        <v>8000</v>
      </c>
      <c r="M234" s="87"/>
      <c r="N234" s="133">
        <f t="shared" si="152"/>
        <v>7363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919"/>
      <c r="B235" s="920"/>
      <c r="C235" s="920"/>
      <c r="D235" s="749" t="s">
        <v>87</v>
      </c>
      <c r="E235" s="838"/>
      <c r="F235" s="838"/>
      <c r="G235" s="839"/>
      <c r="H235" s="273" t="s">
        <v>14</v>
      </c>
      <c r="I235" s="841"/>
      <c r="J235" s="841"/>
      <c r="K235" s="842"/>
      <c r="L235" s="217">
        <f t="shared" ca="1" si="151"/>
        <v>2000</v>
      </c>
      <c r="M235" s="87"/>
      <c r="N235" s="133">
        <f t="shared" si="152"/>
        <v>2000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919"/>
      <c r="B236" s="920"/>
      <c r="C236" s="920"/>
      <c r="D236" s="749" t="s">
        <v>88</v>
      </c>
      <c r="E236" s="838"/>
      <c r="F236" s="838"/>
      <c r="G236" s="839"/>
      <c r="H236" s="273" t="s">
        <v>14</v>
      </c>
      <c r="I236" s="841"/>
      <c r="J236" s="841"/>
      <c r="K236" s="842"/>
      <c r="L236" s="217">
        <f t="shared" ca="1" si="151"/>
        <v>12600</v>
      </c>
      <c r="M236" s="87"/>
      <c r="N236" s="133">
        <f t="shared" si="152"/>
        <v>12600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919"/>
      <c r="B237" s="920"/>
      <c r="C237" s="920"/>
      <c r="D237" s="267" t="s">
        <v>89</v>
      </c>
      <c r="E237" s="838"/>
      <c r="F237" s="838"/>
      <c r="G237" s="839"/>
      <c r="H237" s="273" t="s">
        <v>14</v>
      </c>
      <c r="I237" s="841"/>
      <c r="J237" s="841"/>
      <c r="K237" s="842"/>
      <c r="L237" s="217">
        <f t="shared" ca="1" si="151"/>
        <v>19000</v>
      </c>
      <c r="M237" s="87"/>
      <c r="N237" s="133">
        <f t="shared" si="152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937"/>
      <c r="B238" s="938"/>
      <c r="C238" s="939" t="s">
        <v>18</v>
      </c>
      <c r="D238" s="940" t="s">
        <v>38</v>
      </c>
      <c r="E238" s="941"/>
      <c r="F238" s="941"/>
      <c r="G238" s="942"/>
      <c r="H238" s="1136"/>
      <c r="I238" s="881"/>
      <c r="J238" s="841"/>
      <c r="K238" s="842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937"/>
      <c r="B239" s="938"/>
      <c r="C239" s="938"/>
      <c r="D239" s="311" t="s">
        <v>108</v>
      </c>
      <c r="E239" s="944"/>
      <c r="F239" s="944"/>
      <c r="G239" s="943"/>
      <c r="H239" s="706" t="s">
        <v>35</v>
      </c>
      <c r="I239" s="592">
        <f t="shared" ref="I239:J239" ca="1" si="153">I250+I261</f>
        <v>20</v>
      </c>
      <c r="J239" s="592">
        <f t="shared" si="153"/>
        <v>20</v>
      </c>
      <c r="K239" s="77">
        <f ca="1">IF(I239&gt;0,J239*100/I239,0)</f>
        <v>100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937"/>
      <c r="B240" s="938"/>
      <c r="C240" s="938"/>
      <c r="D240" s="946" t="s">
        <v>43</v>
      </c>
      <c r="E240" s="944"/>
      <c r="F240" s="944"/>
      <c r="G240" s="943"/>
      <c r="H240" s="1136"/>
      <c r="I240" s="841"/>
      <c r="J240" s="841"/>
      <c r="K240" s="842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937"/>
      <c r="B241" s="938"/>
      <c r="C241" s="938"/>
      <c r="D241" s="938"/>
      <c r="E241" s="947" t="s">
        <v>109</v>
      </c>
      <c r="F241" s="944"/>
      <c r="G241" s="943"/>
      <c r="H241" s="706" t="s">
        <v>35</v>
      </c>
      <c r="I241" s="592">
        <f t="shared" ref="I241:J242" ca="1" si="154">I252+I263</f>
        <v>20</v>
      </c>
      <c r="J241" s="592">
        <f t="shared" si="154"/>
        <v>0</v>
      </c>
      <c r="K241" s="77">
        <f t="shared" ref="K241:K243" ca="1" si="155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937"/>
      <c r="B242" s="938"/>
      <c r="C242" s="938"/>
      <c r="D242" s="938"/>
      <c r="E242" s="947" t="s">
        <v>110</v>
      </c>
      <c r="F242" s="944"/>
      <c r="G242" s="943"/>
      <c r="H242" s="706" t="s">
        <v>61</v>
      </c>
      <c r="I242" s="592">
        <f t="shared" ca="1" si="154"/>
        <v>1</v>
      </c>
      <c r="J242" s="592">
        <f t="shared" si="154"/>
        <v>0</v>
      </c>
      <c r="K242" s="77">
        <f t="shared" ca="1" si="155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x14ac:dyDescent="0.3">
      <c r="A243" s="382"/>
      <c r="B243" s="383"/>
      <c r="C243" s="1137" t="s">
        <v>324</v>
      </c>
      <c r="D243" s="385"/>
      <c r="E243" s="385"/>
      <c r="F243" s="385"/>
      <c r="G243" s="386"/>
      <c r="H243" s="387" t="s">
        <v>35</v>
      </c>
      <c r="I243" s="388">
        <f t="shared" ref="I243:J243" ca="1" si="156">I250</f>
        <v>20</v>
      </c>
      <c r="J243" s="388">
        <f t="shared" si="156"/>
        <v>20</v>
      </c>
      <c r="K243" s="389">
        <f t="shared" ca="1" si="155"/>
        <v>100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x14ac:dyDescent="0.3">
      <c r="A244" s="209"/>
      <c r="B244" s="381"/>
      <c r="C244" s="402" t="s">
        <v>18</v>
      </c>
      <c r="D244" s="879" t="s">
        <v>19</v>
      </c>
      <c r="E244" s="67"/>
      <c r="F244" s="67"/>
      <c r="G244" s="69"/>
      <c r="H244" s="394" t="s">
        <v>14</v>
      </c>
      <c r="I244" s="219"/>
      <c r="J244" s="219"/>
      <c r="K244" s="220"/>
      <c r="L244" s="214">
        <f ca="1">L245+L246+L247+L248</f>
        <v>41600</v>
      </c>
      <c r="M244" s="87"/>
      <c r="N244" s="215">
        <f>N245+N246+N247+N248</f>
        <v>21963</v>
      </c>
      <c r="O244" s="215">
        <f ca="1">IF(L244&gt;0,N244*100/L244,0)</f>
        <v>52.79567307692308</v>
      </c>
      <c r="P244" s="215">
        <f>IF(M244&gt;0,N244*100/M244,0)</f>
        <v>0</v>
      </c>
      <c r="Q244" s="87"/>
      <c r="R244" s="87"/>
      <c r="S244" s="87"/>
      <c r="T244" s="87"/>
      <c r="U244" s="87"/>
    </row>
    <row r="245" spans="1:21" ht="18.75" x14ac:dyDescent="0.25">
      <c r="A245" s="209"/>
      <c r="B245" s="381"/>
      <c r="C245" s="381"/>
      <c r="D245" s="1134" t="s">
        <v>299</v>
      </c>
      <c r="E245" s="67"/>
      <c r="F245" s="67"/>
      <c r="G245" s="69"/>
      <c r="H245" s="218" t="s">
        <v>14</v>
      </c>
      <c r="I245" s="219"/>
      <c r="J245" s="219"/>
      <c r="K245" s="220"/>
      <c r="L245" s="131">
        <f ca="1">IFERROR(__xludf.DUMMYFUNCTION("IMPORTRANGE(""https://docs.google.com/spreadsheets/d/1eHaY18a8A9IcSdp1K8H6x8fbOy06t2VsZHhMHf-1x7Y/edit?usp=sharing"",""แผน!AX56"")"),8000)</f>
        <v>8000</v>
      </c>
      <c r="M245" s="87"/>
      <c r="N245" s="924">
        <f>1000+2443+480+1700+740+1000</f>
        <v>7363</v>
      </c>
      <c r="O245" s="87"/>
      <c r="P245" s="87"/>
      <c r="Q245" s="87"/>
      <c r="R245" s="87"/>
      <c r="S245" s="87"/>
      <c r="T245" s="87"/>
      <c r="U245" s="87"/>
    </row>
    <row r="246" spans="1:21" ht="18.75" x14ac:dyDescent="0.25">
      <c r="A246" s="377"/>
      <c r="B246" s="381"/>
      <c r="C246" s="381"/>
      <c r="D246" s="749" t="s">
        <v>87</v>
      </c>
      <c r="E246" s="67"/>
      <c r="F246" s="67"/>
      <c r="G246" s="69"/>
      <c r="H246" s="218" t="s">
        <v>14</v>
      </c>
      <c r="I246" s="71"/>
      <c r="J246" s="71"/>
      <c r="K246" s="72"/>
      <c r="L246" s="131">
        <f ca="1">IFERROR(__xludf.DUMMYFUNCTION("IMPORTRANGE(""https://docs.google.com/spreadsheets/d/1eHaY18a8A9IcSdp1K8H6x8fbOy06t2VsZHhMHf-1x7Y/edit?usp=sharing"",""แผน!AY56"")"),2000)</f>
        <v>2000</v>
      </c>
      <c r="M246" s="87"/>
      <c r="N246" s="924">
        <v>2000</v>
      </c>
      <c r="O246" s="87"/>
      <c r="P246" s="87"/>
      <c r="Q246" s="87"/>
      <c r="R246" s="87"/>
      <c r="S246" s="87"/>
      <c r="T246" s="87"/>
      <c r="U246" s="87"/>
    </row>
    <row r="247" spans="1:21" ht="18.75" x14ac:dyDescent="0.25">
      <c r="A247" s="377"/>
      <c r="B247" s="381"/>
      <c r="C247" s="381"/>
      <c r="D247" s="749" t="s">
        <v>88</v>
      </c>
      <c r="E247" s="67"/>
      <c r="F247" s="67"/>
      <c r="G247" s="69"/>
      <c r="H247" s="218" t="s">
        <v>14</v>
      </c>
      <c r="I247" s="71"/>
      <c r="J247" s="71"/>
      <c r="K247" s="72"/>
      <c r="L247" s="131">
        <f ca="1">IFERROR(__xludf.DUMMYFUNCTION("IMPORTRANGE(""https://docs.google.com/spreadsheets/d/1eHaY18a8A9IcSdp1K8H6x8fbOy06t2VsZHhMHf-1x7Y/edit?usp=sharing"",""แผน!AZ56"")"),12600)</f>
        <v>12600</v>
      </c>
      <c r="M247" s="87"/>
      <c r="N247" s="924">
        <f>1400+11200</f>
        <v>12600</v>
      </c>
      <c r="O247" s="87"/>
      <c r="P247" s="87"/>
      <c r="Q247" s="87"/>
      <c r="R247" s="87"/>
      <c r="S247" s="87"/>
      <c r="T247" s="87"/>
      <c r="U247" s="87"/>
    </row>
    <row r="248" spans="1:21" ht="18.75" x14ac:dyDescent="0.25">
      <c r="A248" s="377"/>
      <c r="B248" s="381"/>
      <c r="C248" s="381"/>
      <c r="D248" s="267" t="s">
        <v>89</v>
      </c>
      <c r="E248" s="67"/>
      <c r="F248" s="67"/>
      <c r="G248" s="69"/>
      <c r="H248" s="218" t="s">
        <v>14</v>
      </c>
      <c r="I248" s="71"/>
      <c r="J248" s="71"/>
      <c r="K248" s="72"/>
      <c r="L248" s="131">
        <f ca="1">IFERROR(__xludf.DUMMYFUNCTION("IMPORTRANGE(""https://docs.google.com/spreadsheets/d/1eHaY18a8A9IcSdp1K8H6x8fbOy06t2VsZHhMHf-1x7Y/edit?usp=sharing"",""แผน!BA56"")"),19000)</f>
        <v>19000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x14ac:dyDescent="0.3">
      <c r="A249" s="222"/>
      <c r="B249" s="223"/>
      <c r="C249" s="402" t="s">
        <v>18</v>
      </c>
      <c r="D249" s="883" t="s">
        <v>38</v>
      </c>
      <c r="E249" s="225"/>
      <c r="F249" s="225"/>
      <c r="G249" s="226"/>
      <c r="H249" s="320"/>
      <c r="I249" s="219"/>
      <c r="J249" s="71"/>
      <c r="K249" s="72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x14ac:dyDescent="0.25">
      <c r="A250" s="222"/>
      <c r="B250" s="223"/>
      <c r="C250" s="223"/>
      <c r="D250" s="395" t="s">
        <v>108</v>
      </c>
      <c r="E250" s="231"/>
      <c r="F250" s="231"/>
      <c r="G250" s="227"/>
      <c r="H250" s="221" t="s">
        <v>35</v>
      </c>
      <c r="I250" s="321">
        <f ca="1">IFERROR(__xludf.DUMMYFUNCTION("IMPORTRANGE(""https://docs.google.com/spreadsheets/d/1eHaY18a8A9IcSdp1K8H6x8fbOy06t2VsZHhMHf-1x7Y/edit?usp=sharing"",""แผน!BG56"")"),20)</f>
        <v>20</v>
      </c>
      <c r="J250" s="884">
        <v>20</v>
      </c>
      <c r="K250" s="399">
        <f ca="1">IF(I250&gt;0,J250*100/I250,0)</f>
        <v>100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x14ac:dyDescent="0.25">
      <c r="A251" s="222"/>
      <c r="B251" s="223"/>
      <c r="C251" s="223"/>
      <c r="D251" s="412" t="s">
        <v>43</v>
      </c>
      <c r="E251" s="231"/>
      <c r="F251" s="231"/>
      <c r="G251" s="227"/>
      <c r="H251" s="320"/>
      <c r="I251" s="71"/>
      <c r="J251" s="71"/>
      <c r="K251" s="72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x14ac:dyDescent="0.25">
      <c r="A252" s="222"/>
      <c r="B252" s="223"/>
      <c r="C252" s="223"/>
      <c r="D252" s="223"/>
      <c r="E252" s="567" t="s">
        <v>109</v>
      </c>
      <c r="F252" s="231"/>
      <c r="G252" s="227"/>
      <c r="H252" s="221" t="s">
        <v>35</v>
      </c>
      <c r="I252" s="321">
        <f ca="1">IFERROR(__xludf.DUMMYFUNCTION("IMPORTRANGE(""https://docs.google.com/spreadsheets/d/1eHaY18a8A9IcSdp1K8H6x8fbOy06t2VsZHhMHf-1x7Y/edit?usp=sharing"",""แผน!KD56"")"),20)</f>
        <v>20</v>
      </c>
      <c r="J252" s="884">
        <v>0</v>
      </c>
      <c r="K252" s="399">
        <f t="shared" ref="K252:K254" ca="1" si="157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x14ac:dyDescent="0.25">
      <c r="A253" s="222"/>
      <c r="B253" s="223"/>
      <c r="C253" s="223"/>
      <c r="D253" s="223"/>
      <c r="E253" s="567" t="s">
        <v>110</v>
      </c>
      <c r="F253" s="231"/>
      <c r="G253" s="227"/>
      <c r="H253" s="221" t="s">
        <v>61</v>
      </c>
      <c r="I253" s="321">
        <f ca="1">IFERROR(__xludf.DUMMYFUNCTION("IMPORTRANGE(""https://docs.google.com/spreadsheets/d/1eHaY18a8A9IcSdp1K8H6x8fbOy06t2VsZHhMHf-1x7Y/edit?usp=sharing"",""แผน!KE56"")"),1)</f>
        <v>1</v>
      </c>
      <c r="J253" s="884">
        <v>0</v>
      </c>
      <c r="K253" s="399">
        <f t="shared" ca="1" si="157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553"/>
      <c r="B254" s="555"/>
      <c r="C254" s="1135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8">I261</f>
        <v>0</v>
      </c>
      <c r="J254" s="931">
        <f t="shared" si="158"/>
        <v>0</v>
      </c>
      <c r="K254" s="932">
        <f t="shared" ca="1" si="157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257"/>
      <c r="B255" s="269"/>
      <c r="C255" s="939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214">
        <f ca="1">L256+L257+L258+L259</f>
        <v>0</v>
      </c>
      <c r="M255" s="87"/>
      <c r="N255" s="215">
        <f>N256+N257+N258+N259</f>
        <v>0</v>
      </c>
      <c r="O255" s="215">
        <f ca="1">IF(L255&gt;0,N255*100/L255,0)</f>
        <v>0</v>
      </c>
      <c r="P255" s="215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257"/>
      <c r="B256" s="269"/>
      <c r="C256" s="269"/>
      <c r="D256" s="1134" t="s">
        <v>299</v>
      </c>
      <c r="E256" s="258"/>
      <c r="F256" s="258"/>
      <c r="G256" s="261"/>
      <c r="H256" s="273" t="s">
        <v>14</v>
      </c>
      <c r="I256" s="272"/>
      <c r="J256" s="272"/>
      <c r="K256" s="229"/>
      <c r="L256" s="131">
        <f ca="1">IFERROR(__xludf.DUMMYFUNCTION("IMPORTRANGE(""https://docs.google.com/spreadsheets/d/1eHaY18a8A9IcSdp1K8H6x8fbOy06t2VsZHhMHf-1x7Y/edit?usp=sharing"",""แผน!BB56"")"),0)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749" t="s">
        <v>87</v>
      </c>
      <c r="E257" s="258"/>
      <c r="F257" s="258"/>
      <c r="G257" s="261"/>
      <c r="H257" s="273" t="s">
        <v>14</v>
      </c>
      <c r="I257" s="263"/>
      <c r="J257" s="263"/>
      <c r="K257" s="87"/>
      <c r="L257" s="131">
        <f ca="1">IFERROR(__xludf.DUMMYFUNCTION("IMPORTRANGE(""https://docs.google.com/spreadsheets/d/1eHaY18a8A9IcSdp1K8H6x8fbOy06t2VsZHhMHf-1x7Y/edit?usp=sharing"",""แผน!BC56"")"),0)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749" t="s">
        <v>88</v>
      </c>
      <c r="E258" s="258"/>
      <c r="F258" s="258"/>
      <c r="G258" s="261"/>
      <c r="H258" s="273" t="s">
        <v>14</v>
      </c>
      <c r="I258" s="263"/>
      <c r="J258" s="263"/>
      <c r="K258" s="87"/>
      <c r="L258" s="131">
        <f ca="1">IFERROR(__xludf.DUMMYFUNCTION("IMPORTRANGE(""https://docs.google.com/spreadsheets/d/1eHaY18a8A9IcSdp1K8H6x8fbOy06t2VsZHhMHf-1x7Y/edit?usp=sharing"",""แผน!BD56"")"),0)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7" t="s">
        <v>89</v>
      </c>
      <c r="E259" s="258"/>
      <c r="F259" s="258"/>
      <c r="G259" s="261"/>
      <c r="H259" s="273" t="s">
        <v>14</v>
      </c>
      <c r="I259" s="263"/>
      <c r="J259" s="263"/>
      <c r="K259" s="87"/>
      <c r="L259" s="131">
        <f ca="1">IFERROR(__xludf.DUMMYFUNCTION("IMPORTRANGE(""https://docs.google.com/spreadsheets/d/1eHaY18a8A9IcSdp1K8H6x8fbOy06t2VsZHhMHf-1x7Y/edit?usp=sharing"",""แผน!BE56"")"),0)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706" t="s">
        <v>35</v>
      </c>
      <c r="I261" s="592">
        <f ca="1">IFERROR(__xludf.DUMMYFUNCTION("IMPORTRANGE(""https://docs.google.com/spreadsheets/d/1eHaY18a8A9IcSdp1K8H6x8fbOy06t2VsZHhMHf-1x7Y/edit?usp=sharing"",""แผน!BH56"")"),0)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310"/>
      <c r="I262" s="263"/>
      <c r="J262" s="263"/>
      <c r="K262" s="87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706" t="s">
        <v>35</v>
      </c>
      <c r="I263" s="263"/>
      <c r="J263" s="910">
        <v>0</v>
      </c>
      <c r="K263" s="77">
        <f t="shared" ref="K263:K264" si="159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706" t="s">
        <v>61</v>
      </c>
      <c r="I264" s="263"/>
      <c r="J264" s="910">
        <v>0</v>
      </c>
      <c r="K264" s="77">
        <f t="shared" si="159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1138"/>
      <c r="I265" s="364"/>
      <c r="J265" s="364"/>
      <c r="K265" s="365"/>
      <c r="L265" s="366"/>
      <c r="M265" s="367"/>
      <c r="N265" s="367"/>
      <c r="O265" s="367"/>
      <c r="P265" s="367"/>
      <c r="Q265" s="367"/>
      <c r="R265" s="367"/>
      <c r="S265" s="367"/>
      <c r="T265" s="367"/>
      <c r="U265" s="367"/>
    </row>
    <row r="266" spans="1:21" ht="19.5" x14ac:dyDescent="0.3">
      <c r="A266" s="1247"/>
      <c r="B266" s="537" t="s">
        <v>114</v>
      </c>
      <c r="C266" s="1248"/>
      <c r="D266" s="1249"/>
      <c r="E266" s="1249"/>
      <c r="F266" s="1249"/>
      <c r="G266" s="1250"/>
      <c r="H266" s="1139" t="s">
        <v>35</v>
      </c>
      <c r="I266" s="1140">
        <f t="shared" ref="I266:J266" ca="1" si="160">I277</f>
        <v>22</v>
      </c>
      <c r="J266" s="1140">
        <f t="shared" si="160"/>
        <v>0</v>
      </c>
      <c r="K266" s="373">
        <f ca="1">IF(I266&gt;0,J266*100/I266,0)</f>
        <v>0</v>
      </c>
      <c r="L266" s="375"/>
      <c r="M266" s="376"/>
      <c r="N266" s="376"/>
      <c r="O266" s="376"/>
      <c r="P266" s="376"/>
      <c r="Q266" s="376"/>
      <c r="R266" s="376"/>
      <c r="S266" s="376"/>
      <c r="T266" s="376"/>
      <c r="U266" s="376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214">
        <f t="shared" ref="L267:N267" ca="1" si="161">L268+L269</f>
        <v>0</v>
      </c>
      <c r="M267" s="215">
        <f t="shared" ca="1" si="161"/>
        <v>18030</v>
      </c>
      <c r="N267" s="215">
        <f t="shared" ca="1" si="161"/>
        <v>0</v>
      </c>
      <c r="O267" s="215">
        <f t="shared" ref="O267:O275" ca="1" si="162">IF(L267&gt;0,N267*100/L267,0)</f>
        <v>0</v>
      </c>
      <c r="P267" s="215">
        <f t="shared" ref="P267:P275" ca="1" si="163">IF(M267&gt;0,N267*100/M267,0)</f>
        <v>0</v>
      </c>
      <c r="Q267" s="215">
        <f t="shared" ref="Q267:S267" ca="1" si="164">Q268+Q269</f>
        <v>50660</v>
      </c>
      <c r="R267" s="215">
        <f t="shared" ca="1" si="164"/>
        <v>50660</v>
      </c>
      <c r="S267" s="215">
        <f t="shared" ca="1" si="164"/>
        <v>740</v>
      </c>
      <c r="T267" s="215">
        <f t="shared" ref="T267:T275" ca="1" si="165">IF(Q267&gt;0,S267*100/Q267,0)</f>
        <v>1.4607185155941571</v>
      </c>
      <c r="U267" s="215">
        <f t="shared" ref="U267:U275" ca="1" si="166">IF(R267&gt;0,S267*100/R267,0)</f>
        <v>1.4607185155941571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217">
        <f t="shared" ref="L268:N269" si="167">L271+L274</f>
        <v>0</v>
      </c>
      <c r="M268" s="133">
        <f t="shared" si="167"/>
        <v>0</v>
      </c>
      <c r="N268" s="133">
        <f t="shared" si="167"/>
        <v>0</v>
      </c>
      <c r="O268" s="133">
        <f t="shared" si="162"/>
        <v>0</v>
      </c>
      <c r="P268" s="133">
        <f t="shared" si="163"/>
        <v>0</v>
      </c>
      <c r="Q268" s="133">
        <f t="shared" ref="Q268:S269" si="168">Q271+Q274</f>
        <v>0</v>
      </c>
      <c r="R268" s="133">
        <f t="shared" si="168"/>
        <v>0</v>
      </c>
      <c r="S268" s="133">
        <f t="shared" si="168"/>
        <v>0</v>
      </c>
      <c r="T268" s="133">
        <f t="shared" si="165"/>
        <v>0</v>
      </c>
      <c r="U268" s="133">
        <f t="shared" si="166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31">
        <f t="shared" ca="1" si="167"/>
        <v>0</v>
      </c>
      <c r="M269" s="132">
        <f t="shared" ca="1" si="167"/>
        <v>18030</v>
      </c>
      <c r="N269" s="132">
        <f t="shared" ca="1" si="167"/>
        <v>0</v>
      </c>
      <c r="O269" s="132">
        <f t="shared" ca="1" si="162"/>
        <v>0</v>
      </c>
      <c r="P269" s="132">
        <f t="shared" ca="1" si="163"/>
        <v>0</v>
      </c>
      <c r="Q269" s="132">
        <f t="shared" ca="1" si="168"/>
        <v>50660</v>
      </c>
      <c r="R269" s="132">
        <f t="shared" ca="1" si="168"/>
        <v>50660</v>
      </c>
      <c r="S269" s="132">
        <f t="shared" ca="1" si="168"/>
        <v>740</v>
      </c>
      <c r="T269" s="132">
        <f t="shared" ca="1" si="165"/>
        <v>1.4607185155941571</v>
      </c>
      <c r="U269" s="132">
        <f t="shared" ca="1" si="166"/>
        <v>1.4607185155941571</v>
      </c>
    </row>
    <row r="270" spans="1:21" ht="18.75" x14ac:dyDescent="0.25">
      <c r="A270" s="209"/>
      <c r="B270" s="381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31">
        <f t="shared" ref="L270:N270" ca="1" si="169">L271+L272</f>
        <v>0</v>
      </c>
      <c r="M270" s="132">
        <f t="shared" ca="1" si="169"/>
        <v>18030</v>
      </c>
      <c r="N270" s="132">
        <f t="shared" ca="1" si="169"/>
        <v>0</v>
      </c>
      <c r="O270" s="132">
        <f t="shared" ca="1" si="162"/>
        <v>0</v>
      </c>
      <c r="P270" s="132">
        <f t="shared" ca="1" si="163"/>
        <v>0</v>
      </c>
      <c r="Q270" s="132">
        <f t="shared" ref="Q270:S270" ca="1" si="170">Q271+Q272</f>
        <v>50660</v>
      </c>
      <c r="R270" s="132">
        <f t="shared" ca="1" si="170"/>
        <v>50660</v>
      </c>
      <c r="S270" s="132">
        <f t="shared" ca="1" si="170"/>
        <v>740</v>
      </c>
      <c r="T270" s="132">
        <f t="shared" ca="1" si="165"/>
        <v>1.4607185155941571</v>
      </c>
      <c r="U270" s="132">
        <f t="shared" ca="1" si="166"/>
        <v>1.4607185155941571</v>
      </c>
    </row>
    <row r="271" spans="1:21" ht="18.75" hidden="1" x14ac:dyDescent="0.25">
      <c r="A271" s="880"/>
      <c r="B271" s="920"/>
      <c r="C271" s="920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133">
        <f t="shared" si="162"/>
        <v>0</v>
      </c>
      <c r="P271" s="133">
        <f t="shared" si="163"/>
        <v>0</v>
      </c>
      <c r="Q271" s="77">
        <v>0</v>
      </c>
      <c r="R271" s="77">
        <v>0</v>
      </c>
      <c r="S271" s="77">
        <v>0</v>
      </c>
      <c r="T271" s="133">
        <f t="shared" si="165"/>
        <v>0</v>
      </c>
      <c r="U271" s="133">
        <f t="shared" si="166"/>
        <v>0</v>
      </c>
    </row>
    <row r="272" spans="1:21" ht="18.75" hidden="1" x14ac:dyDescent="0.25">
      <c r="A272" s="209"/>
      <c r="B272" s="381"/>
      <c r="C272" s="381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31">
        <f ca="1">IFERROR(__xludf.DUMMYFUNCTION("IMPORTRANGE(""https://docs.google.com/spreadsheets/d/1-uDff_7J0KD5mKrp0Vvzr7lt3OU09vwQwhkpOPPYv2Y/edit?usp=sharing"",""งบพรบ!DE56"")"),0)</f>
        <v>0</v>
      </c>
      <c r="M272" s="132">
        <f ca="1">IFERROR(__xludf.DUMMYFUNCTION("IMPORTRANGE(""https://docs.google.com/spreadsheets/d/1-uDff_7J0KD5mKrp0Vvzr7lt3OU09vwQwhkpOPPYv2Y/edit?usp=sharing"",""งบพรบ!DJ56"")"),18030)</f>
        <v>18030</v>
      </c>
      <c r="N272" s="132">
        <f ca="1">IFERROR(__xludf.DUMMYFUNCTION("IMPORTRANGE(""https://docs.google.com/spreadsheets/d/1-uDff_7J0KD5mKrp0Vvzr7lt3OU09vwQwhkpOPPYv2Y/edit?usp=sharing"",""งบพรบ!DL56"")"),0)</f>
        <v>0</v>
      </c>
      <c r="O272" s="132">
        <f t="shared" ca="1" si="162"/>
        <v>0</v>
      </c>
      <c r="P272" s="132">
        <f t="shared" ca="1" si="163"/>
        <v>0</v>
      </c>
      <c r="Q272" s="132">
        <f ca="1">IFERROR(__xludf.DUMMYFUNCTION("IMPORTRANGE(""https://docs.google.com/spreadsheets/d/1ItG2mGa2ceCfYo0BwxsXqNm01IGEUdYcSSLTEv9YCik/edit?usp=sharing"",""เบิกจ่ายกองทุน!AJ56"")"),50660)</f>
        <v>50660</v>
      </c>
      <c r="R272" s="132">
        <f ca="1">IFERROR(__xludf.DUMMYFUNCTION("IMPORTRANGE(""https://docs.google.com/spreadsheets/d/1ItG2mGa2ceCfYo0BwxsXqNm01IGEUdYcSSLTEv9YCik/edit?usp=sharing"",""เบิกจ่ายกองทุน!AK56"")"),50660)</f>
        <v>50660</v>
      </c>
      <c r="S272" s="132">
        <f ca="1">IFERROR(__xludf.DUMMYFUNCTION("IMPORTRANGE(""https://docs.google.com/spreadsheets/d/1ItG2mGa2ceCfYo0BwxsXqNm01IGEUdYcSSLTEv9YCik/edit?usp=sharing"",""เบิกจ่ายกองทุน!AL56"")"),740)</f>
        <v>740</v>
      </c>
      <c r="T272" s="132">
        <f t="shared" ca="1" si="165"/>
        <v>1.4607185155941571</v>
      </c>
      <c r="U272" s="132">
        <f t="shared" ca="1" si="166"/>
        <v>1.4607185155941571</v>
      </c>
    </row>
    <row r="273" spans="1:21" ht="18.75" x14ac:dyDescent="0.25">
      <c r="A273" s="209"/>
      <c r="B273" s="381"/>
      <c r="C273" s="381"/>
      <c r="D273" s="1141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31">
        <f t="shared" ref="L273:N273" ca="1" si="171">L274+L275</f>
        <v>0</v>
      </c>
      <c r="M273" s="132">
        <f t="shared" ca="1" si="171"/>
        <v>0</v>
      </c>
      <c r="N273" s="132">
        <f t="shared" ca="1" si="171"/>
        <v>0</v>
      </c>
      <c r="O273" s="132">
        <f t="shared" ca="1" si="162"/>
        <v>0</v>
      </c>
      <c r="P273" s="132">
        <f t="shared" ca="1" si="163"/>
        <v>0</v>
      </c>
      <c r="Q273" s="132">
        <f t="shared" ref="Q273:S273" si="172">Q274+Q275</f>
        <v>0</v>
      </c>
      <c r="R273" s="132">
        <f t="shared" si="172"/>
        <v>0</v>
      </c>
      <c r="S273" s="132">
        <f t="shared" si="172"/>
        <v>0</v>
      </c>
      <c r="T273" s="132">
        <f t="shared" si="165"/>
        <v>0</v>
      </c>
      <c r="U273" s="132">
        <f t="shared" si="166"/>
        <v>0</v>
      </c>
    </row>
    <row r="274" spans="1:21" ht="18.75" hidden="1" x14ac:dyDescent="0.25">
      <c r="A274" s="880"/>
      <c r="B274" s="838"/>
      <c r="C274" s="920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133">
        <f t="shared" si="162"/>
        <v>0</v>
      </c>
      <c r="P274" s="133">
        <f t="shared" si="163"/>
        <v>0</v>
      </c>
      <c r="Q274" s="77">
        <v>0</v>
      </c>
      <c r="R274" s="77">
        <v>0</v>
      </c>
      <c r="S274" s="77">
        <v>0</v>
      </c>
      <c r="T274" s="133">
        <f t="shared" si="165"/>
        <v>0</v>
      </c>
      <c r="U274" s="133">
        <f t="shared" si="166"/>
        <v>0</v>
      </c>
    </row>
    <row r="275" spans="1:21" ht="18.75" hidden="1" x14ac:dyDescent="0.25">
      <c r="A275" s="209"/>
      <c r="B275" s="67"/>
      <c r="C275" s="67"/>
      <c r="D275" s="381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31">
        <f ca="1">IFERROR(__xludf.DUMMYFUNCTION("IMPORTRANGE(""https://docs.google.com/spreadsheets/d/1-uDff_7J0KD5mKrp0Vvzr7lt3OU09vwQwhkpOPPYv2Y/edit?usp=sharing"",""งบพรบ!DH56"")"),0)</f>
        <v>0</v>
      </c>
      <c r="M275" s="132">
        <f ca="1">IFERROR(__xludf.DUMMYFUNCTION("IMPORTRANGE(""https://docs.google.com/spreadsheets/d/1-uDff_7J0KD5mKrp0Vvzr7lt3OU09vwQwhkpOPPYv2Y/edit?usp=sharing"",""งบพรบ!DK56"")"),0)</f>
        <v>0</v>
      </c>
      <c r="N275" s="132">
        <f ca="1">IFERROR(__xludf.DUMMYFUNCTION("IMPORTRANGE(""https://docs.google.com/spreadsheets/d/1-uDff_7J0KD5mKrp0Vvzr7lt3OU09vwQwhkpOPPYv2Y/edit?usp=sharing"",""งบพรบ!DM56"")"),0)</f>
        <v>0</v>
      </c>
      <c r="O275" s="132">
        <f t="shared" ca="1" si="162"/>
        <v>0</v>
      </c>
      <c r="P275" s="132">
        <f t="shared" ca="1" si="163"/>
        <v>0</v>
      </c>
      <c r="Q275" s="74">
        <v>0</v>
      </c>
      <c r="R275" s="74">
        <v>0</v>
      </c>
      <c r="S275" s="74">
        <v>0</v>
      </c>
      <c r="T275" s="132">
        <f t="shared" si="165"/>
        <v>0</v>
      </c>
      <c r="U275" s="132">
        <f t="shared" si="166"/>
        <v>0</v>
      </c>
    </row>
    <row r="276" spans="1:21" ht="19.5" x14ac:dyDescent="0.3">
      <c r="A276" s="222"/>
      <c r="B276" s="223"/>
      <c r="C276" s="440" t="s">
        <v>18</v>
      </c>
      <c r="D276" s="1142" t="s">
        <v>38</v>
      </c>
      <c r="E276" s="225"/>
      <c r="F276" s="225"/>
      <c r="G276" s="226"/>
      <c r="H276" s="227"/>
      <c r="I276" s="219"/>
      <c r="J276" s="219"/>
      <c r="K276" s="220"/>
      <c r="L276" s="1235"/>
      <c r="M276" s="220"/>
      <c r="N276" s="220"/>
      <c r="O276" s="220"/>
      <c r="P276" s="220"/>
      <c r="Q276" s="220"/>
      <c r="R276" s="220"/>
      <c r="S276" s="220"/>
      <c r="T276" s="220"/>
      <c r="U276" s="220"/>
    </row>
    <row r="277" spans="1:21" ht="18.75" x14ac:dyDescent="0.25">
      <c r="A277" s="904"/>
      <c r="B277" s="442"/>
      <c r="C277" s="442"/>
      <c r="D277" s="443" t="s">
        <v>115</v>
      </c>
      <c r="E277" s="444"/>
      <c r="F277" s="444"/>
      <c r="G277" s="445"/>
      <c r="H277" s="446" t="s">
        <v>35</v>
      </c>
      <c r="I277" s="448">
        <f ca="1">IFERROR(__xludf.DUMMYFUNCTION("IMPORTRANGE(""https://docs.google.com/spreadsheets/d/1eHaY18a8A9IcSdp1K8H6x8fbOy06t2VsZHhMHf-1x7Y/edit?usp=sharing"",""แผน!EC56"")"),22)</f>
        <v>22</v>
      </c>
      <c r="J277" s="897">
        <v>0</v>
      </c>
      <c r="K277" s="898">
        <f ca="1">IF(I277&gt;0,J277*100/I277,0)</f>
        <v>0</v>
      </c>
      <c r="L277" s="86"/>
      <c r="M277" s="87"/>
      <c r="N277" s="87"/>
      <c r="O277" s="87"/>
      <c r="P277" s="87"/>
      <c r="Q277" s="87"/>
      <c r="R277" s="87"/>
      <c r="S277" s="87"/>
      <c r="T277" s="87"/>
      <c r="U277" s="87"/>
    </row>
    <row r="278" spans="1:21" ht="18.75" hidden="1" x14ac:dyDescent="0.25">
      <c r="A278" s="755"/>
      <c r="B278" s="757"/>
      <c r="C278" s="757"/>
      <c r="D278" s="1145" t="s">
        <v>116</v>
      </c>
      <c r="E278" s="758"/>
      <c r="F278" s="758"/>
      <c r="G278" s="759"/>
      <c r="H278" s="1146" t="s">
        <v>35</v>
      </c>
      <c r="I278" s="779">
        <v>0</v>
      </c>
      <c r="J278" s="779">
        <v>0</v>
      </c>
      <c r="K278" s="1147">
        <v>0</v>
      </c>
      <c r="L278" s="459"/>
      <c r="M278" s="460"/>
      <c r="N278" s="460"/>
      <c r="O278" s="460"/>
      <c r="P278" s="460"/>
      <c r="Q278" s="460"/>
      <c r="R278" s="460"/>
      <c r="S278" s="460"/>
      <c r="T278" s="460"/>
      <c r="U278" s="46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49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4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162" t="s">
        <v>35</v>
      </c>
      <c r="I281" s="1163">
        <f t="shared" ref="I281:J281" ca="1" si="173">I294</f>
        <v>0</v>
      </c>
      <c r="J281" s="1163">
        <f t="shared" si="173"/>
        <v>0</v>
      </c>
      <c r="K281" s="1164">
        <f t="shared" ref="K281:K282" ca="1" si="174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162" t="s">
        <v>46</v>
      </c>
      <c r="I282" s="1163">
        <f t="shared" ref="I282:J282" ca="1" si="175">I293</f>
        <v>0</v>
      </c>
      <c r="J282" s="1163">
        <f t="shared" si="175"/>
        <v>0</v>
      </c>
      <c r="K282" s="1164">
        <f t="shared" ca="1" si="174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214">
        <f t="shared" ref="L283:N283" ca="1" si="176">L284+L285</f>
        <v>0</v>
      </c>
      <c r="M283" s="215">
        <f t="shared" ca="1" si="176"/>
        <v>0</v>
      </c>
      <c r="N283" s="215">
        <f t="shared" ca="1" si="176"/>
        <v>0</v>
      </c>
      <c r="O283" s="215">
        <f t="shared" ref="O283:O291" ca="1" si="177">IF(L283&gt;0,N283*100/L283,0)</f>
        <v>0</v>
      </c>
      <c r="P283" s="215">
        <f t="shared" ref="P283:P291" ca="1" si="178">IF(M283&gt;0,N283*100/M283,0)</f>
        <v>0</v>
      </c>
      <c r="Q283" s="215">
        <f t="shared" ref="Q283:S283" si="179">Q284+Q285</f>
        <v>0</v>
      </c>
      <c r="R283" s="215">
        <f t="shared" si="179"/>
        <v>0</v>
      </c>
      <c r="S283" s="215">
        <f t="shared" si="179"/>
        <v>0</v>
      </c>
      <c r="T283" s="215">
        <f t="shared" ref="T283:T291" si="180">IF(Q283&gt;0,S283*100/Q283,0)</f>
        <v>0</v>
      </c>
      <c r="U283" s="215">
        <f t="shared" ref="U283:U291" si="181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217">
        <f t="shared" ref="L284:N285" si="182">L287+L290</f>
        <v>0</v>
      </c>
      <c r="M284" s="133">
        <f t="shared" si="182"/>
        <v>0</v>
      </c>
      <c r="N284" s="133">
        <f t="shared" si="182"/>
        <v>0</v>
      </c>
      <c r="O284" s="133">
        <f t="shared" si="177"/>
        <v>0</v>
      </c>
      <c r="P284" s="133">
        <f t="shared" si="178"/>
        <v>0</v>
      </c>
      <c r="Q284" s="133">
        <f t="shared" ref="Q284:S285" si="183">Q287+Q290</f>
        <v>0</v>
      </c>
      <c r="R284" s="133">
        <f t="shared" si="183"/>
        <v>0</v>
      </c>
      <c r="S284" s="133">
        <f t="shared" si="183"/>
        <v>0</v>
      </c>
      <c r="T284" s="133">
        <f t="shared" si="180"/>
        <v>0</v>
      </c>
      <c r="U284" s="133">
        <f t="shared" si="181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131">
        <f t="shared" ca="1" si="182"/>
        <v>0</v>
      </c>
      <c r="M285" s="132">
        <f t="shared" ca="1" si="182"/>
        <v>0</v>
      </c>
      <c r="N285" s="132">
        <f t="shared" ca="1" si="182"/>
        <v>0</v>
      </c>
      <c r="O285" s="132">
        <f t="shared" ca="1" si="177"/>
        <v>0</v>
      </c>
      <c r="P285" s="132">
        <f t="shared" ca="1" si="178"/>
        <v>0</v>
      </c>
      <c r="Q285" s="132">
        <f t="shared" si="183"/>
        <v>0</v>
      </c>
      <c r="R285" s="132">
        <f t="shared" si="183"/>
        <v>0</v>
      </c>
      <c r="S285" s="132">
        <f t="shared" si="183"/>
        <v>0</v>
      </c>
      <c r="T285" s="132">
        <f t="shared" si="180"/>
        <v>0</v>
      </c>
      <c r="U285" s="132">
        <f t="shared" si="181"/>
        <v>0</v>
      </c>
    </row>
    <row r="286" spans="1:21" ht="18.75" hidden="1" x14ac:dyDescent="0.25">
      <c r="A286" s="257"/>
      <c r="B286" s="269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131">
        <f t="shared" ref="L286:N286" ca="1" si="184">L287+L288</f>
        <v>0</v>
      </c>
      <c r="M286" s="132">
        <f t="shared" ca="1" si="184"/>
        <v>0</v>
      </c>
      <c r="N286" s="132">
        <f t="shared" ca="1" si="184"/>
        <v>0</v>
      </c>
      <c r="O286" s="132">
        <f t="shared" ca="1" si="177"/>
        <v>0</v>
      </c>
      <c r="P286" s="132">
        <f t="shared" ca="1" si="178"/>
        <v>0</v>
      </c>
      <c r="Q286" s="132">
        <f t="shared" ref="Q286:S286" si="185">Q287+Q288</f>
        <v>0</v>
      </c>
      <c r="R286" s="132">
        <f t="shared" si="185"/>
        <v>0</v>
      </c>
      <c r="S286" s="132">
        <f t="shared" si="185"/>
        <v>0</v>
      </c>
      <c r="T286" s="132">
        <f t="shared" si="180"/>
        <v>0</v>
      </c>
      <c r="U286" s="132">
        <f t="shared" si="181"/>
        <v>0</v>
      </c>
    </row>
    <row r="287" spans="1:21" ht="18.75" hidden="1" x14ac:dyDescent="0.25">
      <c r="A287" s="257"/>
      <c r="B287" s="269"/>
      <c r="C287" s="269"/>
      <c r="D287" s="258"/>
      <c r="E287" s="77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133">
        <f t="shared" si="177"/>
        <v>0</v>
      </c>
      <c r="P287" s="133">
        <f t="shared" si="178"/>
        <v>0</v>
      </c>
      <c r="Q287" s="77">
        <v>0</v>
      </c>
      <c r="R287" s="77">
        <v>0</v>
      </c>
      <c r="S287" s="77">
        <v>0</v>
      </c>
      <c r="T287" s="133">
        <f t="shared" si="180"/>
        <v>0</v>
      </c>
      <c r="U287" s="133">
        <f t="shared" si="181"/>
        <v>0</v>
      </c>
    </row>
    <row r="288" spans="1:21" ht="18.75" hidden="1" x14ac:dyDescent="0.25">
      <c r="A288" s="257"/>
      <c r="B288" s="269"/>
      <c r="C288" s="269"/>
      <c r="D288" s="258"/>
      <c r="E288" s="749" t="s">
        <v>37</v>
      </c>
      <c r="F288" s="258"/>
      <c r="G288" s="261"/>
      <c r="H288" s="271" t="s">
        <v>14</v>
      </c>
      <c r="I288" s="272"/>
      <c r="J288" s="272"/>
      <c r="K288" s="229"/>
      <c r="L288" s="131">
        <f ca="1">IFERROR(__xludf.DUMMYFUNCTION("IMPORTRANGE(""https://docs.google.com/spreadsheets/d/1-uDff_7J0KD5mKrp0Vvzr7lt3OU09vwQwhkpOPPYv2Y/edit?usp=sharing"",""งบพรบ!DO56"")"),0)</f>
        <v>0</v>
      </c>
      <c r="M288" s="132">
        <f ca="1">IFERROR(__xludf.DUMMYFUNCTION("IMPORTRANGE(""https://docs.google.com/spreadsheets/d/1-uDff_7J0KD5mKrp0Vvzr7lt3OU09vwQwhkpOPPYv2Y/edit?usp=sharing"",""งบพรบ!DT56"")"),0)</f>
        <v>0</v>
      </c>
      <c r="N288" s="132">
        <f ca="1">IFERROR(__xludf.DUMMYFUNCTION("IMPORTRANGE(""https://docs.google.com/spreadsheets/d/1-uDff_7J0KD5mKrp0Vvzr7lt3OU09vwQwhkpOPPYv2Y/edit?usp=sharing"",""งบพรบ!DV56"")"),0)</f>
        <v>0</v>
      </c>
      <c r="O288" s="132">
        <f t="shared" ca="1" si="177"/>
        <v>0</v>
      </c>
      <c r="P288" s="132">
        <f t="shared" ca="1" si="178"/>
        <v>0</v>
      </c>
      <c r="Q288" s="74">
        <v>0</v>
      </c>
      <c r="R288" s="74">
        <v>0</v>
      </c>
      <c r="S288" s="74">
        <v>0</v>
      </c>
      <c r="T288" s="133">
        <f t="shared" si="180"/>
        <v>0</v>
      </c>
      <c r="U288" s="133">
        <f t="shared" si="181"/>
        <v>0</v>
      </c>
    </row>
    <row r="289" spans="1:21" ht="18.75" hidden="1" x14ac:dyDescent="0.25">
      <c r="A289" s="257"/>
      <c r="B289" s="269"/>
      <c r="C289" s="269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131">
        <f t="shared" ref="L289:N289" ca="1" si="186">L290+L291</f>
        <v>0</v>
      </c>
      <c r="M289" s="132">
        <f t="shared" ca="1" si="186"/>
        <v>0</v>
      </c>
      <c r="N289" s="132">
        <f t="shared" ca="1" si="186"/>
        <v>0</v>
      </c>
      <c r="O289" s="132">
        <f t="shared" ca="1" si="177"/>
        <v>0</v>
      </c>
      <c r="P289" s="132">
        <f t="shared" ca="1" si="178"/>
        <v>0</v>
      </c>
      <c r="Q289" s="132">
        <f t="shared" ref="Q289:S289" si="187">Q290+Q291</f>
        <v>0</v>
      </c>
      <c r="R289" s="132">
        <f t="shared" si="187"/>
        <v>0</v>
      </c>
      <c r="S289" s="132">
        <f t="shared" si="187"/>
        <v>0</v>
      </c>
      <c r="T289" s="132">
        <f t="shared" si="180"/>
        <v>0</v>
      </c>
      <c r="U289" s="132">
        <f t="shared" si="181"/>
        <v>0</v>
      </c>
    </row>
    <row r="290" spans="1:21" ht="18.75" hidden="1" x14ac:dyDescent="0.25">
      <c r="A290" s="257"/>
      <c r="B290" s="269"/>
      <c r="C290" s="269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133">
        <f t="shared" si="177"/>
        <v>0</v>
      </c>
      <c r="P290" s="133">
        <f t="shared" si="178"/>
        <v>0</v>
      </c>
      <c r="Q290" s="77">
        <v>0</v>
      </c>
      <c r="R290" s="77">
        <v>0</v>
      </c>
      <c r="S290" s="77">
        <v>0</v>
      </c>
      <c r="T290" s="133">
        <f t="shared" si="180"/>
        <v>0</v>
      </c>
      <c r="U290" s="133">
        <f t="shared" si="181"/>
        <v>0</v>
      </c>
    </row>
    <row r="291" spans="1:21" ht="18.75" hidden="1" x14ac:dyDescent="0.25">
      <c r="A291" s="257"/>
      <c r="B291" s="269"/>
      <c r="C291" s="269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131">
        <f ca="1">IFERROR(__xludf.DUMMYFUNCTION("IMPORTRANGE(""https://docs.google.com/spreadsheets/d/1-uDff_7J0KD5mKrp0Vvzr7lt3OU09vwQwhkpOPPYv2Y/edit?usp=sharing"",""งบพรบ!DR56"")"),0)</f>
        <v>0</v>
      </c>
      <c r="M291" s="132">
        <f ca="1">IFERROR(__xludf.DUMMYFUNCTION("IMPORTRANGE(""https://docs.google.com/spreadsheets/d/1-uDff_7J0KD5mKrp0Vvzr7lt3OU09vwQwhkpOPPYv2Y/edit?usp=sharing"",""งบพรบ!DU56"")"),0)</f>
        <v>0</v>
      </c>
      <c r="N291" s="132">
        <f ca="1">IFERROR(__xludf.DUMMYFUNCTION("IMPORTRANGE(""https://docs.google.com/spreadsheets/d/1-uDff_7J0KD5mKrp0Vvzr7lt3OU09vwQwhkpOPPYv2Y/edit?usp=sharing"",""งบพรบ!DW56"")"),0)</f>
        <v>0</v>
      </c>
      <c r="O291" s="132">
        <f t="shared" ca="1" si="177"/>
        <v>0</v>
      </c>
      <c r="P291" s="132">
        <f t="shared" ca="1" si="178"/>
        <v>0</v>
      </c>
      <c r="Q291" s="74">
        <v>0</v>
      </c>
      <c r="R291" s="74">
        <v>0</v>
      </c>
      <c r="S291" s="74">
        <v>0</v>
      </c>
      <c r="T291" s="132">
        <f t="shared" si="180"/>
        <v>0</v>
      </c>
      <c r="U291" s="132">
        <f t="shared" si="181"/>
        <v>0</v>
      </c>
    </row>
    <row r="292" spans="1:21" ht="19.5" hidden="1" x14ac:dyDescent="0.3">
      <c r="A292" s="276"/>
      <c r="B292" s="277"/>
      <c r="C292" s="621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IFERROR(__xludf.DUMMYFUNCTION("IMPORTRANGE(""https://docs.google.com/spreadsheets/d/1eHaY18a8A9IcSdp1K8H6x8fbOy06t2VsZHhMHf-1x7Y/edit?usp=sharing"",""แผน!EE56"")"),0)</f>
        <v>0</v>
      </c>
      <c r="J293" s="294">
        <v>0</v>
      </c>
      <c r="K293" s="768">
        <f t="shared" ref="K293:K294" ca="1" si="188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IFERROR(__xludf.DUMMYFUNCTION("IMPORTRANGE(""https://docs.google.com/spreadsheets/d/1eHaY18a8A9IcSdp1K8H6x8fbOy06t2VsZHhMHf-1x7Y/edit?usp=sharing"",""แผน!ED56"")"),0)</f>
        <v>0</v>
      </c>
      <c r="J294" s="622">
        <f>J297</f>
        <v>0</v>
      </c>
      <c r="K294" s="1105">
        <f t="shared" ca="1" si="188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77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IFERROR(__xludf.DUMMYFUNCTION("IMPORTRANGE(""https://docs.google.com/spreadsheets/d/1eHaY18a8A9IcSdp1K8H6x8fbOy06t2VsZHhMHf-1x7Y/edit?usp=sharing"",""แผน!ED56"")"),0)</f>
        <v>0</v>
      </c>
      <c r="J296" s="294">
        <v>0</v>
      </c>
      <c r="K296" s="768">
        <f t="shared" ref="K296:K297" ca="1" si="189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IFERROR(__xludf.DUMMYFUNCTION("IMPORTRANGE(""https://docs.google.com/spreadsheets/d/1eHaY18a8A9IcSdp1K8H6x8fbOy06t2VsZHhMHf-1x7Y/edit?usp=sharing"",""แผน!ED56"")"),0)</f>
        <v>0</v>
      </c>
      <c r="J297" s="294">
        <v>0</v>
      </c>
      <c r="K297" s="768">
        <f t="shared" ca="1" si="189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313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313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168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0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7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x14ac:dyDescent="0.3">
      <c r="A303" s="1179"/>
      <c r="B303" s="1180" t="s">
        <v>127</v>
      </c>
      <c r="C303" s="607"/>
      <c r="D303" s="607"/>
      <c r="E303" s="607"/>
      <c r="F303" s="607"/>
      <c r="G303" s="608"/>
      <c r="H303" s="609" t="s">
        <v>35</v>
      </c>
      <c r="I303" s="617">
        <f t="shared" ref="I303:J303" ca="1" si="190">I315</f>
        <v>25</v>
      </c>
      <c r="J303" s="617">
        <f t="shared" si="190"/>
        <v>0</v>
      </c>
      <c r="K303" s="611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214">
        <f t="shared" ref="L304:N304" ca="1" si="191">L305+L306</f>
        <v>0</v>
      </c>
      <c r="M304" s="215">
        <f t="shared" ca="1" si="191"/>
        <v>0</v>
      </c>
      <c r="N304" s="215">
        <f t="shared" ca="1" si="191"/>
        <v>0</v>
      </c>
      <c r="O304" s="215">
        <f t="shared" ref="O304:O312" ca="1" si="192">IF(L304&gt;0,N304*100/L304,0)</f>
        <v>0</v>
      </c>
      <c r="P304" s="215">
        <f t="shared" ref="P304:P312" ca="1" si="193">IF(M304&gt;0,N304*100/M304,0)</f>
        <v>0</v>
      </c>
      <c r="Q304" s="215">
        <f t="shared" ref="Q304:S304" ca="1" si="194">Q305+Q306</f>
        <v>228095.39</v>
      </c>
      <c r="R304" s="215">
        <f t="shared" ca="1" si="194"/>
        <v>228095</v>
      </c>
      <c r="S304" s="215">
        <f t="shared" ca="1" si="194"/>
        <v>0</v>
      </c>
      <c r="T304" s="215">
        <f t="shared" ref="T304:T312" ca="1" si="195">IF(Q304&gt;0,S304*100/Q304,0)</f>
        <v>0</v>
      </c>
      <c r="U304" s="215">
        <f t="shared" ref="U304:U312" ca="1" si="196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217">
        <f t="shared" ref="L305:N306" si="197">L308+L311</f>
        <v>0</v>
      </c>
      <c r="M305" s="133">
        <f t="shared" si="197"/>
        <v>0</v>
      </c>
      <c r="N305" s="133">
        <f t="shared" si="197"/>
        <v>0</v>
      </c>
      <c r="O305" s="133">
        <f t="shared" si="192"/>
        <v>0</v>
      </c>
      <c r="P305" s="133">
        <f t="shared" si="193"/>
        <v>0</v>
      </c>
      <c r="Q305" s="133">
        <f t="shared" ref="Q305:S306" si="198">Q308+Q311</f>
        <v>0</v>
      </c>
      <c r="R305" s="133">
        <f t="shared" si="198"/>
        <v>0</v>
      </c>
      <c r="S305" s="133">
        <f t="shared" si="198"/>
        <v>0</v>
      </c>
      <c r="T305" s="133">
        <f t="shared" si="195"/>
        <v>0</v>
      </c>
      <c r="U305" s="133">
        <f t="shared" si="196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131">
        <f t="shared" ca="1" si="197"/>
        <v>0</v>
      </c>
      <c r="M306" s="132">
        <f t="shared" ca="1" si="197"/>
        <v>0</v>
      </c>
      <c r="N306" s="132">
        <f t="shared" ca="1" si="197"/>
        <v>0</v>
      </c>
      <c r="O306" s="132">
        <f t="shared" ca="1" si="192"/>
        <v>0</v>
      </c>
      <c r="P306" s="132">
        <f t="shared" ca="1" si="193"/>
        <v>0</v>
      </c>
      <c r="Q306" s="132">
        <f t="shared" ca="1" si="198"/>
        <v>228095.39</v>
      </c>
      <c r="R306" s="132">
        <f t="shared" ca="1" si="198"/>
        <v>228095</v>
      </c>
      <c r="S306" s="132">
        <f t="shared" ca="1" si="198"/>
        <v>0</v>
      </c>
      <c r="T306" s="132">
        <f t="shared" ca="1" si="195"/>
        <v>0</v>
      </c>
      <c r="U306" s="132">
        <f t="shared" ca="1" si="196"/>
        <v>0</v>
      </c>
    </row>
    <row r="307" spans="1:21" ht="18.75" x14ac:dyDescent="0.25">
      <c r="A307" s="257"/>
      <c r="B307" s="269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131">
        <f t="shared" ref="L307:N307" ca="1" si="199">L308+L309</f>
        <v>0</v>
      </c>
      <c r="M307" s="132">
        <f t="shared" ca="1" si="199"/>
        <v>0</v>
      </c>
      <c r="N307" s="132">
        <f t="shared" ca="1" si="199"/>
        <v>0</v>
      </c>
      <c r="O307" s="132">
        <f t="shared" ca="1" si="192"/>
        <v>0</v>
      </c>
      <c r="P307" s="132">
        <f t="shared" ca="1" si="193"/>
        <v>0</v>
      </c>
      <c r="Q307" s="132">
        <f t="shared" ref="Q307:S307" ca="1" si="200">Q308+Q309</f>
        <v>228095.39</v>
      </c>
      <c r="R307" s="132">
        <f t="shared" ca="1" si="200"/>
        <v>228095</v>
      </c>
      <c r="S307" s="132">
        <f t="shared" ca="1" si="200"/>
        <v>0</v>
      </c>
      <c r="T307" s="132">
        <f t="shared" ca="1" si="195"/>
        <v>0</v>
      </c>
      <c r="U307" s="132">
        <f t="shared" ca="1" si="196"/>
        <v>0</v>
      </c>
    </row>
    <row r="308" spans="1:21" ht="18.75" hidden="1" x14ac:dyDescent="0.25">
      <c r="A308" s="257"/>
      <c r="B308" s="269"/>
      <c r="C308" s="269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133">
        <f t="shared" si="192"/>
        <v>0</v>
      </c>
      <c r="P308" s="133">
        <f t="shared" si="193"/>
        <v>0</v>
      </c>
      <c r="Q308" s="77">
        <v>0</v>
      </c>
      <c r="R308" s="77">
        <v>0</v>
      </c>
      <c r="S308" s="77">
        <v>0</v>
      </c>
      <c r="T308" s="133">
        <f t="shared" si="195"/>
        <v>0</v>
      </c>
      <c r="U308" s="133">
        <f t="shared" si="196"/>
        <v>0</v>
      </c>
    </row>
    <row r="309" spans="1:21" ht="18.75" hidden="1" x14ac:dyDescent="0.25">
      <c r="A309" s="257"/>
      <c r="B309" s="269"/>
      <c r="C309" s="269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131">
        <f ca="1">IFERROR(__xludf.DUMMYFUNCTION("IMPORTRANGE(""https://docs.google.com/spreadsheets/d/1-uDff_7J0KD5mKrp0Vvzr7lt3OU09vwQwhkpOPPYv2Y/edit?usp=sharing"",""งบพรบ!DY56"")"),0)</f>
        <v>0</v>
      </c>
      <c r="M309" s="132">
        <f ca="1">IFERROR(__xludf.DUMMYFUNCTION("IMPORTRANGE(""https://docs.google.com/spreadsheets/d/1-uDff_7J0KD5mKrp0Vvzr7lt3OU09vwQwhkpOPPYv2Y/edit?usp=sharing"",""งบพรบ!ED56"")"),0)</f>
        <v>0</v>
      </c>
      <c r="N309" s="132">
        <f ca="1">IFERROR(__xludf.DUMMYFUNCTION("IMPORTRANGE(""https://docs.google.com/spreadsheets/d/1-uDff_7J0KD5mKrp0Vvzr7lt3OU09vwQwhkpOPPYv2Y/edit?usp=sharing"",""งบพรบ!EF56"")"),0)</f>
        <v>0</v>
      </c>
      <c r="O309" s="132">
        <f t="shared" ca="1" si="192"/>
        <v>0</v>
      </c>
      <c r="P309" s="132">
        <f t="shared" ca="1" si="193"/>
        <v>0</v>
      </c>
      <c r="Q309" s="132">
        <f ca="1">IFERROR(__xludf.DUMMYFUNCTION("IMPORTRANGE(""https://docs.google.com/spreadsheets/d/1ItG2mGa2ceCfYo0BwxsXqNm01IGEUdYcSSLTEv9YCik/edit?usp=sharing"",""เบิกจ่ายกองทุน!AP56"")"),228095.39)</f>
        <v>228095.39</v>
      </c>
      <c r="R309" s="132">
        <f ca="1">IFERROR(__xludf.DUMMYFUNCTION("IMPORTRANGE(""https://docs.google.com/spreadsheets/d/1ItG2mGa2ceCfYo0BwxsXqNm01IGEUdYcSSLTEv9YCik/edit?usp=sharing"",""เบิกจ่ายกองทุน!AQ56"")"),228095)</f>
        <v>228095</v>
      </c>
      <c r="S309" s="132">
        <f ca="1">IFERROR(__xludf.DUMMYFUNCTION("IMPORTRANGE(""https://docs.google.com/spreadsheets/d/1ItG2mGa2ceCfYo0BwxsXqNm01IGEUdYcSSLTEv9YCik/edit?usp=sharing"",""เบิกจ่ายกองทุน!AR56"")"),0)</f>
        <v>0</v>
      </c>
      <c r="T309" s="132">
        <f t="shared" ca="1" si="195"/>
        <v>0</v>
      </c>
      <c r="U309" s="132">
        <f t="shared" ca="1" si="196"/>
        <v>0</v>
      </c>
    </row>
    <row r="310" spans="1:21" ht="18.75" x14ac:dyDescent="0.25">
      <c r="A310" s="257"/>
      <c r="B310" s="269"/>
      <c r="C310" s="269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131">
        <f t="shared" ref="L310:N310" ca="1" si="201">L311+L312</f>
        <v>0</v>
      </c>
      <c r="M310" s="132">
        <f t="shared" ca="1" si="201"/>
        <v>0</v>
      </c>
      <c r="N310" s="132">
        <f t="shared" ca="1" si="201"/>
        <v>0</v>
      </c>
      <c r="O310" s="132">
        <f t="shared" ca="1" si="192"/>
        <v>0</v>
      </c>
      <c r="P310" s="132">
        <f t="shared" ca="1" si="193"/>
        <v>0</v>
      </c>
      <c r="Q310" s="132">
        <f t="shared" ref="Q310:S310" si="202">Q311+Q312</f>
        <v>0</v>
      </c>
      <c r="R310" s="132">
        <f t="shared" si="202"/>
        <v>0</v>
      </c>
      <c r="S310" s="132">
        <f t="shared" si="202"/>
        <v>0</v>
      </c>
      <c r="T310" s="132">
        <f t="shared" si="195"/>
        <v>0</v>
      </c>
      <c r="U310" s="132">
        <f t="shared" si="196"/>
        <v>0</v>
      </c>
    </row>
    <row r="311" spans="1:21" ht="18.75" hidden="1" x14ac:dyDescent="0.25">
      <c r="A311" s="257"/>
      <c r="B311" s="269"/>
      <c r="C311" s="269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133">
        <f t="shared" si="192"/>
        <v>0</v>
      </c>
      <c r="P311" s="133">
        <f t="shared" si="193"/>
        <v>0</v>
      </c>
      <c r="Q311" s="77">
        <v>0</v>
      </c>
      <c r="R311" s="77">
        <v>0</v>
      </c>
      <c r="S311" s="77">
        <v>0</v>
      </c>
      <c r="T311" s="133">
        <f t="shared" si="195"/>
        <v>0</v>
      </c>
      <c r="U311" s="133">
        <f t="shared" si="196"/>
        <v>0</v>
      </c>
    </row>
    <row r="312" spans="1:21" ht="18.75" hidden="1" x14ac:dyDescent="0.25">
      <c r="A312" s="257"/>
      <c r="B312" s="269"/>
      <c r="C312" s="269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131">
        <f ca="1">IFERROR(__xludf.DUMMYFUNCTION("IMPORTRANGE(""https://docs.google.com/spreadsheets/d/1-uDff_7J0KD5mKrp0Vvzr7lt3OU09vwQwhkpOPPYv2Y/edit?usp=sharing"",""งบพรบ!EB56"")"),0)</f>
        <v>0</v>
      </c>
      <c r="M312" s="132">
        <f ca="1">IFERROR(__xludf.DUMMYFUNCTION("IMPORTRANGE(""https://docs.google.com/spreadsheets/d/1-uDff_7J0KD5mKrp0Vvzr7lt3OU09vwQwhkpOPPYv2Y/edit?usp=sharing"",""งบพรบ!EE56"")"),0)</f>
        <v>0</v>
      </c>
      <c r="N312" s="132">
        <f ca="1">IFERROR(__xludf.DUMMYFUNCTION("IMPORTRANGE(""https://docs.google.com/spreadsheets/d/1-uDff_7J0KD5mKrp0Vvzr7lt3OU09vwQwhkpOPPYv2Y/edit?usp=sharing"",""งบพรบ!EG56"")"),0)</f>
        <v>0</v>
      </c>
      <c r="O312" s="132">
        <f t="shared" ca="1" si="192"/>
        <v>0</v>
      </c>
      <c r="P312" s="132">
        <f t="shared" ca="1" si="193"/>
        <v>0</v>
      </c>
      <c r="Q312" s="74">
        <v>0</v>
      </c>
      <c r="R312" s="74">
        <v>0</v>
      </c>
      <c r="S312" s="74">
        <v>0</v>
      </c>
      <c r="T312" s="132">
        <f t="shared" si="195"/>
        <v>0</v>
      </c>
      <c r="U312" s="132">
        <f t="shared" si="196"/>
        <v>0</v>
      </c>
    </row>
    <row r="313" spans="1:21" ht="19.5" x14ac:dyDescent="0.3">
      <c r="A313" s="276"/>
      <c r="B313" s="277"/>
      <c r="C313" s="621" t="s">
        <v>18</v>
      </c>
      <c r="D313" s="1019" t="s">
        <v>38</v>
      </c>
      <c r="E313" s="783"/>
      <c r="F313" s="783"/>
      <c r="G313" s="11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1"/>
      <c r="E314" s="285"/>
      <c r="F314" s="285"/>
      <c r="G314" s="286"/>
      <c r="H314" s="286"/>
      <c r="I314" s="287"/>
      <c r="J314" s="1252"/>
      <c r="K314" s="30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x14ac:dyDescent="0.25">
      <c r="A315" s="276"/>
      <c r="B315" s="277"/>
      <c r="C315" s="277"/>
      <c r="D315" s="295" t="s">
        <v>121</v>
      </c>
      <c r="E315" s="296"/>
      <c r="F315" s="296"/>
      <c r="G315" s="282"/>
      <c r="H315" s="275" t="s">
        <v>35</v>
      </c>
      <c r="I315" s="293">
        <f ca="1">IFERROR(__xludf.DUMMYFUNCTION("IMPORTRANGE(""https://docs.google.com/spreadsheets/d/1eHaY18a8A9IcSdp1K8H6x8fbOy06t2VsZHhMHf-1x7Y/edit?usp=sharing"",""แผน!EF56"")"),25)</f>
        <v>25</v>
      </c>
      <c r="J315" s="294">
        <v>0</v>
      </c>
      <c r="K315" s="74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254"/>
      <c r="I316" s="1252"/>
      <c r="J316" s="1252"/>
      <c r="K316" s="1255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254"/>
      <c r="I317" s="1252"/>
      <c r="J317" s="1252"/>
      <c r="K317" s="1255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283"/>
      <c r="B318" s="284"/>
      <c r="C318" s="284"/>
      <c r="D318" s="812"/>
      <c r="E318" s="285"/>
      <c r="F318" s="285"/>
      <c r="G318" s="286"/>
      <c r="H318" s="1256"/>
      <c r="I318" s="887"/>
      <c r="J318" s="887"/>
      <c r="K318" s="888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4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x14ac:dyDescent="0.3">
      <c r="A320" s="603"/>
      <c r="B320" s="1180" t="s">
        <v>132</v>
      </c>
      <c r="C320" s="605"/>
      <c r="D320" s="606"/>
      <c r="E320" s="607"/>
      <c r="F320" s="607"/>
      <c r="G320" s="608"/>
      <c r="H320" s="609" t="s">
        <v>133</v>
      </c>
      <c r="I320" s="617">
        <f t="shared" ref="I320:J320" ca="1" si="203">I331</f>
        <v>1</v>
      </c>
      <c r="J320" s="617">
        <f t="shared" si="203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214">
        <f t="shared" ref="L321:N321" ca="1" si="204">L322+L323</f>
        <v>30000</v>
      </c>
      <c r="M321" s="215">
        <f t="shared" ca="1" si="204"/>
        <v>30000</v>
      </c>
      <c r="N321" s="215">
        <f t="shared" ca="1" si="204"/>
        <v>7970</v>
      </c>
      <c r="O321" s="215">
        <f t="shared" ref="O321:O329" ca="1" si="205">IF(L321&gt;0,N321*100/L321,0)</f>
        <v>26.566666666666666</v>
      </c>
      <c r="P321" s="215">
        <f t="shared" ref="P321:P329" ca="1" si="206">IF(M321&gt;0,N321*100/M321,0)</f>
        <v>26.566666666666666</v>
      </c>
      <c r="Q321" s="215">
        <f t="shared" ref="Q321:S321" si="207">Q322+Q323</f>
        <v>0</v>
      </c>
      <c r="R321" s="215">
        <f t="shared" si="207"/>
        <v>0</v>
      </c>
      <c r="S321" s="215">
        <f t="shared" si="207"/>
        <v>0</v>
      </c>
      <c r="T321" s="215">
        <f t="shared" ref="T321:T329" si="208">IF(Q321&gt;0,S321*100/Q321,0)</f>
        <v>0</v>
      </c>
      <c r="U321" s="215">
        <f t="shared" ref="U321:U329" si="209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217">
        <f t="shared" ref="L322:N323" si="210">L325+L328</f>
        <v>0</v>
      </c>
      <c r="M322" s="133">
        <f t="shared" si="210"/>
        <v>0</v>
      </c>
      <c r="N322" s="133">
        <f t="shared" si="210"/>
        <v>0</v>
      </c>
      <c r="O322" s="133">
        <f t="shared" si="205"/>
        <v>0</v>
      </c>
      <c r="P322" s="133">
        <f t="shared" si="206"/>
        <v>0</v>
      </c>
      <c r="Q322" s="133">
        <f t="shared" ref="Q322:S323" si="211">Q325+Q328</f>
        <v>0</v>
      </c>
      <c r="R322" s="133">
        <f t="shared" si="211"/>
        <v>0</v>
      </c>
      <c r="S322" s="133">
        <f t="shared" si="211"/>
        <v>0</v>
      </c>
      <c r="T322" s="133">
        <f t="shared" si="208"/>
        <v>0</v>
      </c>
      <c r="U322" s="133">
        <f t="shared" si="209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131">
        <f t="shared" ca="1" si="210"/>
        <v>30000</v>
      </c>
      <c r="M323" s="132">
        <f t="shared" ca="1" si="210"/>
        <v>30000</v>
      </c>
      <c r="N323" s="132">
        <f t="shared" ca="1" si="210"/>
        <v>7970</v>
      </c>
      <c r="O323" s="132">
        <f t="shared" ca="1" si="205"/>
        <v>26.566666666666666</v>
      </c>
      <c r="P323" s="132">
        <f t="shared" ca="1" si="206"/>
        <v>26.566666666666666</v>
      </c>
      <c r="Q323" s="132">
        <f t="shared" si="211"/>
        <v>0</v>
      </c>
      <c r="R323" s="132">
        <f t="shared" si="211"/>
        <v>0</v>
      </c>
      <c r="S323" s="132">
        <f t="shared" si="211"/>
        <v>0</v>
      </c>
      <c r="T323" s="132">
        <f t="shared" si="208"/>
        <v>0</v>
      </c>
      <c r="U323" s="132">
        <f t="shared" si="209"/>
        <v>0</v>
      </c>
    </row>
    <row r="324" spans="1:21" ht="18.75" x14ac:dyDescent="0.25">
      <c r="A324" s="257"/>
      <c r="B324" s="269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131">
        <f t="shared" ref="L324:N324" ca="1" si="212">L325+L326</f>
        <v>30000</v>
      </c>
      <c r="M324" s="132">
        <f t="shared" ca="1" si="212"/>
        <v>30000</v>
      </c>
      <c r="N324" s="132">
        <f t="shared" ca="1" si="212"/>
        <v>7970</v>
      </c>
      <c r="O324" s="132">
        <f t="shared" ca="1" si="205"/>
        <v>26.566666666666666</v>
      </c>
      <c r="P324" s="132">
        <f t="shared" ca="1" si="206"/>
        <v>26.566666666666666</v>
      </c>
      <c r="Q324" s="132">
        <f t="shared" ref="Q324:S324" si="213">Q325+Q326</f>
        <v>0</v>
      </c>
      <c r="R324" s="132">
        <f t="shared" si="213"/>
        <v>0</v>
      </c>
      <c r="S324" s="132">
        <f t="shared" si="213"/>
        <v>0</v>
      </c>
      <c r="T324" s="132">
        <f t="shared" si="208"/>
        <v>0</v>
      </c>
      <c r="U324" s="132">
        <f t="shared" si="209"/>
        <v>0</v>
      </c>
    </row>
    <row r="325" spans="1:21" ht="18.75" hidden="1" x14ac:dyDescent="0.25">
      <c r="A325" s="257"/>
      <c r="B325" s="269"/>
      <c r="C325" s="269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133">
        <f t="shared" si="205"/>
        <v>0</v>
      </c>
      <c r="P325" s="133">
        <f t="shared" si="206"/>
        <v>0</v>
      </c>
      <c r="Q325" s="77">
        <v>0</v>
      </c>
      <c r="R325" s="77">
        <v>0</v>
      </c>
      <c r="S325" s="77">
        <v>0</v>
      </c>
      <c r="T325" s="133">
        <f t="shared" si="208"/>
        <v>0</v>
      </c>
      <c r="U325" s="133">
        <f t="shared" si="209"/>
        <v>0</v>
      </c>
    </row>
    <row r="326" spans="1:21" ht="18.75" hidden="1" x14ac:dyDescent="0.25">
      <c r="A326" s="257"/>
      <c r="B326" s="269"/>
      <c r="C326" s="269"/>
      <c r="D326" s="258"/>
      <c r="E326" s="749" t="s">
        <v>37</v>
      </c>
      <c r="F326" s="269"/>
      <c r="G326" s="312"/>
      <c r="H326" s="271" t="s">
        <v>14</v>
      </c>
      <c r="I326" s="272"/>
      <c r="J326" s="272"/>
      <c r="K326" s="229"/>
      <c r="L326" s="131">
        <f ca="1">IFERROR(__xludf.DUMMYFUNCTION("IMPORTRANGE(""https://docs.google.com/spreadsheets/d/1-uDff_7J0KD5mKrp0Vvzr7lt3OU09vwQwhkpOPPYv2Y/edit?usp=sharing"",""งบพรบ!EI56"")"),30000)</f>
        <v>30000</v>
      </c>
      <c r="M326" s="132">
        <f ca="1">IFERROR(__xludf.DUMMYFUNCTION("IMPORTRANGE(""https://docs.google.com/spreadsheets/d/1-uDff_7J0KD5mKrp0Vvzr7lt3OU09vwQwhkpOPPYv2Y/edit?usp=sharing"",""งบพรบ!EN56"")"),30000)</f>
        <v>30000</v>
      </c>
      <c r="N326" s="132">
        <f ca="1">IFERROR(__xludf.DUMMYFUNCTION("IMPORTRANGE(""https://docs.google.com/spreadsheets/d/1-uDff_7J0KD5mKrp0Vvzr7lt3OU09vwQwhkpOPPYv2Y/edit?usp=sharing"",""งบพรบ!EP56"")"),7970)</f>
        <v>7970</v>
      </c>
      <c r="O326" s="132">
        <f t="shared" ca="1" si="205"/>
        <v>26.566666666666666</v>
      </c>
      <c r="P326" s="132">
        <f t="shared" ca="1" si="206"/>
        <v>26.566666666666666</v>
      </c>
      <c r="Q326" s="74">
        <v>0</v>
      </c>
      <c r="R326" s="74">
        <v>0</v>
      </c>
      <c r="S326" s="74">
        <v>0</v>
      </c>
      <c r="T326" s="132">
        <f t="shared" si="208"/>
        <v>0</v>
      </c>
      <c r="U326" s="132">
        <f t="shared" si="209"/>
        <v>0</v>
      </c>
    </row>
    <row r="327" spans="1:21" ht="18.75" x14ac:dyDescent="0.25">
      <c r="A327" s="257"/>
      <c r="B327" s="258"/>
      <c r="C327" s="269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131">
        <f t="shared" ref="L327:N327" ca="1" si="214">L328+L329</f>
        <v>0</v>
      </c>
      <c r="M327" s="132">
        <f t="shared" ca="1" si="214"/>
        <v>0</v>
      </c>
      <c r="N327" s="132">
        <f t="shared" ca="1" si="214"/>
        <v>0</v>
      </c>
      <c r="O327" s="132">
        <f t="shared" ca="1" si="205"/>
        <v>0</v>
      </c>
      <c r="P327" s="132">
        <f t="shared" ca="1" si="206"/>
        <v>0</v>
      </c>
      <c r="Q327" s="132">
        <f t="shared" ref="Q327:S327" si="215">Q328+Q329</f>
        <v>0</v>
      </c>
      <c r="R327" s="132">
        <f t="shared" si="215"/>
        <v>0</v>
      </c>
      <c r="S327" s="132">
        <f t="shared" si="215"/>
        <v>0</v>
      </c>
      <c r="T327" s="132">
        <f t="shared" si="208"/>
        <v>0</v>
      </c>
      <c r="U327" s="132">
        <f t="shared" si="209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133">
        <f t="shared" si="205"/>
        <v>0</v>
      </c>
      <c r="P328" s="133">
        <f t="shared" si="206"/>
        <v>0</v>
      </c>
      <c r="Q328" s="77">
        <v>0</v>
      </c>
      <c r="R328" s="77">
        <v>0</v>
      </c>
      <c r="S328" s="77">
        <v>0</v>
      </c>
      <c r="T328" s="133">
        <f t="shared" si="208"/>
        <v>0</v>
      </c>
      <c r="U328" s="133">
        <f t="shared" si="209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131">
        <f ca="1">IFERROR(__xludf.DUMMYFUNCTION("IMPORTRANGE(""https://docs.google.com/spreadsheets/d/1-uDff_7J0KD5mKrp0Vvzr7lt3OU09vwQwhkpOPPYv2Y/edit?usp=sharing"",""งบพรบ!EL56"")"),0)</f>
        <v>0</v>
      </c>
      <c r="M329" s="132">
        <f ca="1">IFERROR(__xludf.DUMMYFUNCTION("IMPORTRANGE(""https://docs.google.com/spreadsheets/d/1-uDff_7J0KD5mKrp0Vvzr7lt3OU09vwQwhkpOPPYv2Y/edit?usp=sharing"",""งบพรบ!EO56"")"),0)</f>
        <v>0</v>
      </c>
      <c r="N329" s="132">
        <f ca="1">IFERROR(__xludf.DUMMYFUNCTION("IMPORTRANGE(""https://docs.google.com/spreadsheets/d/1-uDff_7J0KD5mKrp0Vvzr7lt3OU09vwQwhkpOPPYv2Y/edit?usp=sharing"",""งบพรบ!EQ56"")"),0)</f>
        <v>0</v>
      </c>
      <c r="O329" s="132">
        <f t="shared" ca="1" si="205"/>
        <v>0</v>
      </c>
      <c r="P329" s="132">
        <f t="shared" ca="1" si="206"/>
        <v>0</v>
      </c>
      <c r="Q329" s="74">
        <v>0</v>
      </c>
      <c r="R329" s="74">
        <v>0</v>
      </c>
      <c r="S329" s="74">
        <v>0</v>
      </c>
      <c r="T329" s="132">
        <f t="shared" si="208"/>
        <v>0</v>
      </c>
      <c r="U329" s="132">
        <f t="shared" si="209"/>
        <v>0</v>
      </c>
    </row>
    <row r="330" spans="1:21" ht="19.5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310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x14ac:dyDescent="0.25">
      <c r="A331" s="276"/>
      <c r="B331" s="277"/>
      <c r="C331" s="277"/>
      <c r="D331" s="767" t="s">
        <v>134</v>
      </c>
      <c r="E331" s="296"/>
      <c r="F331" s="296"/>
      <c r="G331" s="282"/>
      <c r="H331" s="268" t="s">
        <v>133</v>
      </c>
      <c r="I331" s="293">
        <f ca="1">IFERROR(__xludf.DUMMYFUNCTION("IMPORTRANGE(""https://docs.google.com/spreadsheets/d/1eHaY18a8A9IcSdp1K8H6x8fbOy06t2VsZHhMHf-1x7Y/edit?usp=sharing"",""แผน!EJ56"")"),1)</f>
        <v>1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4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609" t="s">
        <v>35</v>
      </c>
      <c r="I333" s="534">
        <f ca="1">I345</f>
        <v>940</v>
      </c>
      <c r="J333" s="535">
        <f ca="1">J345+J348+J349+J350+J354</f>
        <v>4615</v>
      </c>
      <c r="K333" s="536">
        <f ca="1">IF(I333&gt;0,J333*100/I333,0)</f>
        <v>490.95744680851061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214">
        <f t="shared" ref="L334:N334" ca="1" si="216">L335+L336</f>
        <v>106000</v>
      </c>
      <c r="M334" s="215">
        <f t="shared" ca="1" si="216"/>
        <v>111000</v>
      </c>
      <c r="N334" s="215">
        <f t="shared" ca="1" si="216"/>
        <v>71500.2</v>
      </c>
      <c r="O334" s="215">
        <f t="shared" ref="O334:O342" ca="1" si="217">IF(L334&gt;0,N334*100/L334,0)</f>
        <v>67.453018867924527</v>
      </c>
      <c r="P334" s="215">
        <f t="shared" ref="P334:P342" ca="1" si="218">IF(M334&gt;0,N334*100/M334,0)</f>
        <v>64.41459459459459</v>
      </c>
      <c r="Q334" s="215">
        <f t="shared" ref="Q334:S334" si="219">Q335+Q336</f>
        <v>0</v>
      </c>
      <c r="R334" s="215">
        <f t="shared" si="219"/>
        <v>0</v>
      </c>
      <c r="S334" s="215">
        <f t="shared" si="219"/>
        <v>0</v>
      </c>
      <c r="T334" s="215">
        <f t="shared" ref="T334:T342" si="220">IF(Q334&gt;0,S334*100/Q334,0)</f>
        <v>0</v>
      </c>
      <c r="U334" s="215">
        <f t="shared" ref="U334:U342" si="221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217">
        <f t="shared" ref="L335:N336" si="222">L338+L341</f>
        <v>0</v>
      </c>
      <c r="M335" s="133">
        <f t="shared" si="222"/>
        <v>0</v>
      </c>
      <c r="N335" s="133">
        <f t="shared" si="222"/>
        <v>0</v>
      </c>
      <c r="O335" s="133">
        <f t="shared" si="217"/>
        <v>0</v>
      </c>
      <c r="P335" s="133">
        <f t="shared" si="218"/>
        <v>0</v>
      </c>
      <c r="Q335" s="133">
        <f t="shared" ref="Q335:S336" si="223">Q338+Q341</f>
        <v>0</v>
      </c>
      <c r="R335" s="133">
        <f t="shared" si="223"/>
        <v>0</v>
      </c>
      <c r="S335" s="133">
        <f t="shared" si="223"/>
        <v>0</v>
      </c>
      <c r="T335" s="133">
        <f t="shared" si="220"/>
        <v>0</v>
      </c>
      <c r="U335" s="133">
        <f t="shared" si="221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131">
        <f t="shared" ca="1" si="222"/>
        <v>106000</v>
      </c>
      <c r="M336" s="132">
        <f t="shared" ca="1" si="222"/>
        <v>111000</v>
      </c>
      <c r="N336" s="132">
        <f t="shared" ca="1" si="222"/>
        <v>71500.2</v>
      </c>
      <c r="O336" s="132">
        <f t="shared" ca="1" si="217"/>
        <v>67.453018867924527</v>
      </c>
      <c r="P336" s="132">
        <f t="shared" ca="1" si="218"/>
        <v>64.41459459459459</v>
      </c>
      <c r="Q336" s="132">
        <f t="shared" si="223"/>
        <v>0</v>
      </c>
      <c r="R336" s="132">
        <f t="shared" si="223"/>
        <v>0</v>
      </c>
      <c r="S336" s="132">
        <f t="shared" si="223"/>
        <v>0</v>
      </c>
      <c r="T336" s="132">
        <f t="shared" si="220"/>
        <v>0</v>
      </c>
      <c r="U336" s="132">
        <f t="shared" si="221"/>
        <v>0</v>
      </c>
    </row>
    <row r="337" spans="1:21" ht="18.75" x14ac:dyDescent="0.25">
      <c r="A337" s="257"/>
      <c r="B337" s="269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131">
        <f t="shared" ref="L337:N337" ca="1" si="224">L338+L339</f>
        <v>106000</v>
      </c>
      <c r="M337" s="132">
        <f t="shared" ca="1" si="224"/>
        <v>111000</v>
      </c>
      <c r="N337" s="132">
        <f t="shared" ca="1" si="224"/>
        <v>71500.2</v>
      </c>
      <c r="O337" s="132">
        <f t="shared" ca="1" si="217"/>
        <v>67.453018867924527</v>
      </c>
      <c r="P337" s="132">
        <f t="shared" ca="1" si="218"/>
        <v>64.41459459459459</v>
      </c>
      <c r="Q337" s="132">
        <f t="shared" ref="Q337:S337" si="225">Q338+Q339</f>
        <v>0</v>
      </c>
      <c r="R337" s="132">
        <f t="shared" si="225"/>
        <v>0</v>
      </c>
      <c r="S337" s="132">
        <f t="shared" si="225"/>
        <v>0</v>
      </c>
      <c r="T337" s="132">
        <f t="shared" si="220"/>
        <v>0</v>
      </c>
      <c r="U337" s="132">
        <f t="shared" si="221"/>
        <v>0</v>
      </c>
    </row>
    <row r="338" spans="1:21" ht="18.75" hidden="1" x14ac:dyDescent="0.25">
      <c r="A338" s="257"/>
      <c r="B338" s="258"/>
      <c r="C338" s="269"/>
      <c r="D338" s="258"/>
      <c r="E338" s="77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133">
        <f t="shared" si="217"/>
        <v>0</v>
      </c>
      <c r="P338" s="133">
        <f t="shared" si="218"/>
        <v>0</v>
      </c>
      <c r="Q338" s="77">
        <v>0</v>
      </c>
      <c r="R338" s="77">
        <v>0</v>
      </c>
      <c r="S338" s="77">
        <v>0</v>
      </c>
      <c r="T338" s="133">
        <f t="shared" si="220"/>
        <v>0</v>
      </c>
      <c r="U338" s="133">
        <f t="shared" si="221"/>
        <v>0</v>
      </c>
    </row>
    <row r="339" spans="1:21" ht="18.75" hidden="1" x14ac:dyDescent="0.25">
      <c r="A339" s="257"/>
      <c r="B339" s="258"/>
      <c r="C339" s="269"/>
      <c r="D339" s="258"/>
      <c r="E339" s="749" t="s">
        <v>37</v>
      </c>
      <c r="F339" s="258"/>
      <c r="G339" s="261"/>
      <c r="H339" s="271" t="s">
        <v>14</v>
      </c>
      <c r="I339" s="272"/>
      <c r="J339" s="272"/>
      <c r="K339" s="229"/>
      <c r="L339" s="131">
        <f ca="1">IFERROR(__xludf.DUMMYFUNCTION("IMPORTRANGE(""https://docs.google.com/spreadsheets/d/1-uDff_7J0KD5mKrp0Vvzr7lt3OU09vwQwhkpOPPYv2Y/edit?usp=sharing"",""งบพรบ!ES56"")"),106000)</f>
        <v>106000</v>
      </c>
      <c r="M339" s="132">
        <f ca="1">IFERROR(__xludf.DUMMYFUNCTION("IMPORTRANGE(""https://docs.google.com/spreadsheets/d/1-uDff_7J0KD5mKrp0Vvzr7lt3OU09vwQwhkpOPPYv2Y/edit?usp=sharing"",""งบพรบ!EX56"")"),111000)</f>
        <v>111000</v>
      </c>
      <c r="N339" s="132">
        <f ca="1">IFERROR(__xludf.DUMMYFUNCTION("IMPORTRANGE(""https://docs.google.com/spreadsheets/d/1-uDff_7J0KD5mKrp0Vvzr7lt3OU09vwQwhkpOPPYv2Y/edit?usp=sharing"",""งบพรบ!EZ56"")"),71500.2)</f>
        <v>71500.2</v>
      </c>
      <c r="O339" s="132">
        <f t="shared" ca="1" si="217"/>
        <v>67.453018867924527</v>
      </c>
      <c r="P339" s="132">
        <f t="shared" ca="1" si="218"/>
        <v>64.41459459459459</v>
      </c>
      <c r="Q339" s="74">
        <v>0</v>
      </c>
      <c r="R339" s="74">
        <v>0</v>
      </c>
      <c r="S339" s="74">
        <v>0</v>
      </c>
      <c r="T339" s="132">
        <f t="shared" si="220"/>
        <v>0</v>
      </c>
      <c r="U339" s="132">
        <f t="shared" si="221"/>
        <v>0</v>
      </c>
    </row>
    <row r="340" spans="1:21" ht="18.75" x14ac:dyDescent="0.25">
      <c r="A340" s="257"/>
      <c r="B340" s="258"/>
      <c r="C340" s="269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131">
        <f t="shared" ref="L340:N340" ca="1" si="226">L341+L342</f>
        <v>0</v>
      </c>
      <c r="M340" s="132">
        <f t="shared" ca="1" si="226"/>
        <v>0</v>
      </c>
      <c r="N340" s="132">
        <f t="shared" ca="1" si="226"/>
        <v>0</v>
      </c>
      <c r="O340" s="132">
        <f t="shared" ca="1" si="217"/>
        <v>0</v>
      </c>
      <c r="P340" s="132">
        <f t="shared" ca="1" si="218"/>
        <v>0</v>
      </c>
      <c r="Q340" s="132">
        <f t="shared" ref="Q340:S340" si="227">Q341+Q342</f>
        <v>0</v>
      </c>
      <c r="R340" s="132">
        <f t="shared" si="227"/>
        <v>0</v>
      </c>
      <c r="S340" s="132">
        <f t="shared" si="227"/>
        <v>0</v>
      </c>
      <c r="T340" s="132">
        <f t="shared" si="220"/>
        <v>0</v>
      </c>
      <c r="U340" s="132">
        <f t="shared" si="221"/>
        <v>0</v>
      </c>
    </row>
    <row r="341" spans="1:21" ht="18.75" hidden="1" x14ac:dyDescent="0.25">
      <c r="A341" s="257"/>
      <c r="B341" s="258"/>
      <c r="C341" s="269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133">
        <f t="shared" si="217"/>
        <v>0</v>
      </c>
      <c r="P341" s="133">
        <f t="shared" si="218"/>
        <v>0</v>
      </c>
      <c r="Q341" s="77">
        <v>0</v>
      </c>
      <c r="R341" s="77">
        <v>0</v>
      </c>
      <c r="S341" s="77">
        <v>0</v>
      </c>
      <c r="T341" s="133">
        <f t="shared" si="220"/>
        <v>0</v>
      </c>
      <c r="U341" s="133">
        <f t="shared" si="221"/>
        <v>0</v>
      </c>
    </row>
    <row r="342" spans="1:21" ht="18.75" hidden="1" x14ac:dyDescent="0.25">
      <c r="A342" s="257"/>
      <c r="B342" s="258"/>
      <c r="C342" s="269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131">
        <f ca="1">IFERROR(__xludf.DUMMYFUNCTION("IMPORTRANGE(""https://docs.google.com/spreadsheets/d/1-uDff_7J0KD5mKrp0Vvzr7lt3OU09vwQwhkpOPPYv2Y/edit?usp=sharing"",""งบพรบ!EV56"")"),0)</f>
        <v>0</v>
      </c>
      <c r="M342" s="132">
        <f ca="1">IFERROR(__xludf.DUMMYFUNCTION("IMPORTRANGE(""https://docs.google.com/spreadsheets/d/1-uDff_7J0KD5mKrp0Vvzr7lt3OU09vwQwhkpOPPYv2Y/edit?usp=sharing"",""งบพรบ!EY56"")"),0)</f>
        <v>0</v>
      </c>
      <c r="N342" s="132">
        <f ca="1">IFERROR(__xludf.DUMMYFUNCTION("IMPORTRANGE(""https://docs.google.com/spreadsheets/d/1-uDff_7J0KD5mKrp0Vvzr7lt3OU09vwQwhkpOPPYv2Y/edit?usp=sharing"",""งบพรบ!FA56"")"),0)</f>
        <v>0</v>
      </c>
      <c r="O342" s="132">
        <f t="shared" ca="1" si="217"/>
        <v>0</v>
      </c>
      <c r="P342" s="132">
        <f t="shared" ca="1" si="218"/>
        <v>0</v>
      </c>
      <c r="Q342" s="74">
        <v>0</v>
      </c>
      <c r="R342" s="74">
        <v>0</v>
      </c>
      <c r="S342" s="74">
        <v>0</v>
      </c>
      <c r="T342" s="132">
        <f t="shared" si="220"/>
        <v>0</v>
      </c>
      <c r="U342" s="132">
        <f t="shared" si="221"/>
        <v>0</v>
      </c>
    </row>
    <row r="343" spans="1:21" ht="19.5" x14ac:dyDescent="0.3">
      <c r="A343" s="276"/>
      <c r="B343" s="277"/>
      <c r="C343" s="621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438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307" t="s">
        <v>35</v>
      </c>
      <c r="I345" s="293">
        <f ca="1">IFERROR(__xludf.DUMMYFUNCTION("IMPORTRANGE(""https://docs.google.com/spreadsheets/d/1eHaY18a8A9IcSdp1K8H6x8fbOy06t2VsZHhMHf-1x7Y/edit?usp=sharing"",""แผน!EK56"")"),940)</f>
        <v>940</v>
      </c>
      <c r="J345" s="293">
        <f ca="1">IFERROR(__xludf.DUMMYFUNCTION("IMPORTRANGE(""https://docs.google.com/spreadsheets/d/1awYsYK3VOup2i3Pq_Yjnu8DRu_mYwSBnCR2QPthd0rU/edit?usp=sharing"",""ศูนย์ยกเว้นโฉนด!D56"")"),429)</f>
        <v>429</v>
      </c>
      <c r="K345" s="74">
        <f ca="1">IF(I345&gt;0,J345*100/I345,0)</f>
        <v>45.638297872340424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IFERROR(__xludf.DUMMYFUNCTION("IMPORTRANGE(""https://docs.google.com/spreadsheets/d/1eHaY18a8A9IcSdp1K8H6x8fbOy06t2VsZHhMHf-1x7Y/edit?usp=sharing"",""แผน!EL56"")"),3)</f>
        <v>3</v>
      </c>
      <c r="J347" s="293">
        <f ca="1">IFERROR(__xludf.DUMMYFUNCTION("IMPORTRANGE(""https://docs.google.com/spreadsheets/d/1awYsYK3VOup2i3Pq_Yjnu8DRu_mYwSBnCR2QPthd0rU/edit?usp=sharing"",""ศูนย์รวม!E56"")"),4)</f>
        <v>4</v>
      </c>
      <c r="K347" s="74">
        <f ca="1">IF(I347&gt;0,J347*100/I347,0)</f>
        <v>133.33333333333334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IFERROR(__xludf.DUMMYFUNCTION("IMPORTRANGE(""https://docs.google.com/spreadsheets/d/1awYsYK3VOup2i3Pq_Yjnu8DRu_mYwSBnCR2QPthd0rU/edit?usp=sharing"",""ศูนย์ยกเว้นโฉนด!F56"")"),0)</f>
        <v>0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IFERROR(__xludf.DUMMYFUNCTION("IMPORTRANGE(""https://docs.google.com/spreadsheets/d/1awYsYK3VOup2i3Pq_Yjnu8DRu_mYwSBnCR2QPthd0rU/edit?usp=sharing"",""ศูนย์ยกเว้นโฉนด!G56"")"),9)</f>
        <v>9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IFERROR(__xludf.DUMMYFUNCTION("IMPORTRANGE(""https://docs.google.com/spreadsheets/d/1awYsYK3VOup2i3Pq_Yjnu8DRu_mYwSBnCR2QPthd0rU/edit?usp=sharing"",""ศูนย์ยกเว้นโฉนด!H56"")"),0)</f>
        <v>0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1188" t="s">
        <v>35</v>
      </c>
      <c r="I352" s="559">
        <v>0</v>
      </c>
      <c r="J352" s="559">
        <f ca="1">J353+J354</f>
        <v>4831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IFERROR(__xludf.DUMMYFUNCTION("IMPORTRANGE(""https://docs.google.com/spreadsheets/d/1awYsYK3VOup2i3Pq_Yjnu8DRu_mYwSBnCR2QPthd0rU/edit?usp=sharing"",""โฉนดM3!G56"")"),654)</f>
        <v>654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IFERROR(__xludf.DUMMYFUNCTION("IMPORTRANGE(""https://docs.google.com/spreadsheets/d/1awYsYK3VOup2i3Pq_Yjnu8DRu_mYwSBnCR2QPthd0rU/edit?usp=sharing"",""โฉนดM3!H56"")"),4177)</f>
        <v>4177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15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214">
        <f t="shared" ref="L357:N357" ca="1" si="228">L358+L359</f>
        <v>601325</v>
      </c>
      <c r="M357" s="215">
        <f t="shared" ca="1" si="228"/>
        <v>601325</v>
      </c>
      <c r="N357" s="215">
        <f t="shared" ca="1" si="228"/>
        <v>257305.55</v>
      </c>
      <c r="O357" s="215">
        <f t="shared" ref="O357:O365" ca="1" si="229">IF(L357&gt;0,N357*100/L357,0)</f>
        <v>42.789764270569158</v>
      </c>
      <c r="P357" s="215">
        <f t="shared" ref="P357:P365" ca="1" si="230">IF(M357&gt;0,N357*100/M357,0)</f>
        <v>42.789764270569158</v>
      </c>
      <c r="Q357" s="215">
        <f t="shared" ref="Q357:S357" si="231">Q358+Q359</f>
        <v>0</v>
      </c>
      <c r="R357" s="215">
        <f t="shared" si="231"/>
        <v>0</v>
      </c>
      <c r="S357" s="215">
        <f t="shared" si="231"/>
        <v>0</v>
      </c>
      <c r="T357" s="215">
        <f t="shared" ref="T357:T365" si="232">IF(Q357&gt;0,S357*100/Q357,0)</f>
        <v>0</v>
      </c>
      <c r="U357" s="215">
        <f t="shared" ref="U357:U365" si="233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217">
        <f t="shared" ref="L358:N359" si="234">L361+L364</f>
        <v>0</v>
      </c>
      <c r="M358" s="133">
        <f t="shared" si="234"/>
        <v>0</v>
      </c>
      <c r="N358" s="133">
        <f t="shared" si="234"/>
        <v>0</v>
      </c>
      <c r="O358" s="133">
        <f t="shared" si="229"/>
        <v>0</v>
      </c>
      <c r="P358" s="133">
        <f t="shared" si="230"/>
        <v>0</v>
      </c>
      <c r="Q358" s="133">
        <f t="shared" ref="Q358:S359" si="235">Q361+Q364</f>
        <v>0</v>
      </c>
      <c r="R358" s="133">
        <f t="shared" si="235"/>
        <v>0</v>
      </c>
      <c r="S358" s="133">
        <f t="shared" si="235"/>
        <v>0</v>
      </c>
      <c r="T358" s="133">
        <f t="shared" si="232"/>
        <v>0</v>
      </c>
      <c r="U358" s="133">
        <f t="shared" si="233"/>
        <v>0</v>
      </c>
    </row>
    <row r="359" spans="1:21" ht="18.75" hidden="1" x14ac:dyDescent="0.25">
      <c r="A359" s="257"/>
      <c r="B359" s="269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131">
        <f t="shared" ca="1" si="234"/>
        <v>601325</v>
      </c>
      <c r="M359" s="132">
        <f t="shared" ca="1" si="234"/>
        <v>601325</v>
      </c>
      <c r="N359" s="132">
        <f t="shared" ca="1" si="234"/>
        <v>257305.55</v>
      </c>
      <c r="O359" s="132">
        <f t="shared" ca="1" si="229"/>
        <v>42.789764270569158</v>
      </c>
      <c r="P359" s="132">
        <f t="shared" ca="1" si="230"/>
        <v>42.789764270569158</v>
      </c>
      <c r="Q359" s="132">
        <f t="shared" si="235"/>
        <v>0</v>
      </c>
      <c r="R359" s="132">
        <f t="shared" si="235"/>
        <v>0</v>
      </c>
      <c r="S359" s="132">
        <f t="shared" si="235"/>
        <v>0</v>
      </c>
      <c r="T359" s="132">
        <f t="shared" si="232"/>
        <v>0</v>
      </c>
      <c r="U359" s="132">
        <f t="shared" si="233"/>
        <v>0</v>
      </c>
    </row>
    <row r="360" spans="1:21" ht="18.75" x14ac:dyDescent="0.25">
      <c r="A360" s="257"/>
      <c r="B360" s="269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131">
        <f t="shared" ref="L360:N360" ca="1" si="236">L361+L362</f>
        <v>601325</v>
      </c>
      <c r="M360" s="132">
        <f t="shared" ca="1" si="236"/>
        <v>601325</v>
      </c>
      <c r="N360" s="132">
        <f t="shared" ca="1" si="236"/>
        <v>257305.55</v>
      </c>
      <c r="O360" s="132">
        <f t="shared" ca="1" si="229"/>
        <v>42.789764270569158</v>
      </c>
      <c r="P360" s="132">
        <f t="shared" ca="1" si="230"/>
        <v>42.789764270569158</v>
      </c>
      <c r="Q360" s="132">
        <f t="shared" ref="Q360:S360" si="237">Q361+Q362</f>
        <v>0</v>
      </c>
      <c r="R360" s="132">
        <f t="shared" si="237"/>
        <v>0</v>
      </c>
      <c r="S360" s="132">
        <f t="shared" si="237"/>
        <v>0</v>
      </c>
      <c r="T360" s="132">
        <f t="shared" si="232"/>
        <v>0</v>
      </c>
      <c r="U360" s="132">
        <f t="shared" si="233"/>
        <v>0</v>
      </c>
    </row>
    <row r="361" spans="1:21" ht="18.75" hidden="1" x14ac:dyDescent="0.25">
      <c r="A361" s="257"/>
      <c r="B361" s="258"/>
      <c r="C361" s="269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133">
        <f t="shared" si="229"/>
        <v>0</v>
      </c>
      <c r="P361" s="133">
        <f t="shared" si="230"/>
        <v>0</v>
      </c>
      <c r="Q361" s="77">
        <v>0</v>
      </c>
      <c r="R361" s="77">
        <v>0</v>
      </c>
      <c r="S361" s="77">
        <v>0</v>
      </c>
      <c r="T361" s="133">
        <f t="shared" si="232"/>
        <v>0</v>
      </c>
      <c r="U361" s="133">
        <f t="shared" si="233"/>
        <v>0</v>
      </c>
    </row>
    <row r="362" spans="1:21" ht="18.75" hidden="1" x14ac:dyDescent="0.25">
      <c r="A362" s="257"/>
      <c r="B362" s="258"/>
      <c r="C362" s="269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131">
        <f ca="1">IFERROR(__xludf.DUMMYFUNCTION("IMPORTRANGE(""https://docs.google.com/spreadsheets/d/1-uDff_7J0KD5mKrp0Vvzr7lt3OU09vwQwhkpOPPYv2Y/edit?usp=sharing"",""งบพรบ!FC56"")"),601325)</f>
        <v>601325</v>
      </c>
      <c r="M362" s="132">
        <f ca="1">IFERROR(__xludf.DUMMYFUNCTION("IMPORTRANGE(""https://docs.google.com/spreadsheets/d/1-uDff_7J0KD5mKrp0Vvzr7lt3OU09vwQwhkpOPPYv2Y/edit?usp=sharing"",""งบพรบ!FH56"")"),601325)</f>
        <v>601325</v>
      </c>
      <c r="N362" s="132">
        <f ca="1">IFERROR(__xludf.DUMMYFUNCTION("IMPORTRANGE(""https://docs.google.com/spreadsheets/d/1-uDff_7J0KD5mKrp0Vvzr7lt3OU09vwQwhkpOPPYv2Y/edit?usp=sharing"",""งบพรบ!FJ56"")"),257305.55)</f>
        <v>257305.55</v>
      </c>
      <c r="O362" s="132">
        <f t="shared" ca="1" si="229"/>
        <v>42.789764270569158</v>
      </c>
      <c r="P362" s="132">
        <f t="shared" ca="1" si="230"/>
        <v>42.789764270569158</v>
      </c>
      <c r="Q362" s="74">
        <v>0</v>
      </c>
      <c r="R362" s="74">
        <v>0</v>
      </c>
      <c r="S362" s="74">
        <v>0</v>
      </c>
      <c r="T362" s="132">
        <f t="shared" si="232"/>
        <v>0</v>
      </c>
      <c r="U362" s="132">
        <f t="shared" si="233"/>
        <v>0</v>
      </c>
    </row>
    <row r="363" spans="1:21" ht="18.75" x14ac:dyDescent="0.25">
      <c r="A363" s="257"/>
      <c r="B363" s="258"/>
      <c r="C363" s="269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131">
        <f t="shared" ref="L363:N363" ca="1" si="238">L364+L365</f>
        <v>0</v>
      </c>
      <c r="M363" s="132">
        <f t="shared" ca="1" si="238"/>
        <v>0</v>
      </c>
      <c r="N363" s="132">
        <f t="shared" ca="1" si="238"/>
        <v>0</v>
      </c>
      <c r="O363" s="132">
        <f t="shared" ca="1" si="229"/>
        <v>0</v>
      </c>
      <c r="P363" s="132">
        <f t="shared" ca="1" si="230"/>
        <v>0</v>
      </c>
      <c r="Q363" s="132">
        <f t="shared" ref="Q363:S363" si="239">Q364+Q365</f>
        <v>0</v>
      </c>
      <c r="R363" s="132">
        <f t="shared" si="239"/>
        <v>0</v>
      </c>
      <c r="S363" s="132">
        <f t="shared" si="239"/>
        <v>0</v>
      </c>
      <c r="T363" s="132">
        <f t="shared" si="232"/>
        <v>0</v>
      </c>
      <c r="U363" s="132">
        <f t="shared" si="233"/>
        <v>0</v>
      </c>
    </row>
    <row r="364" spans="1:21" ht="18.75" hidden="1" x14ac:dyDescent="0.25">
      <c r="A364" s="257"/>
      <c r="B364" s="258"/>
      <c r="C364" s="269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133">
        <f t="shared" si="229"/>
        <v>0</v>
      </c>
      <c r="P364" s="133">
        <f t="shared" si="230"/>
        <v>0</v>
      </c>
      <c r="Q364" s="77">
        <v>0</v>
      </c>
      <c r="R364" s="77">
        <v>0</v>
      </c>
      <c r="S364" s="77">
        <v>0</v>
      </c>
      <c r="T364" s="133">
        <f t="shared" si="232"/>
        <v>0</v>
      </c>
      <c r="U364" s="133">
        <f t="shared" si="233"/>
        <v>0</v>
      </c>
    </row>
    <row r="365" spans="1:21" ht="18.75" hidden="1" x14ac:dyDescent="0.25">
      <c r="A365" s="257"/>
      <c r="B365" s="258"/>
      <c r="C365" s="269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131">
        <f ca="1">IFERROR(__xludf.DUMMYFUNCTION("IMPORTRANGE(""https://docs.google.com/spreadsheets/d/1-uDff_7J0KD5mKrp0Vvzr7lt3OU09vwQwhkpOPPYv2Y/edit?usp=sharing"",""งบพรบ!FF56"")"),0)</f>
        <v>0</v>
      </c>
      <c r="M365" s="132">
        <f ca="1">IFERROR(__xludf.DUMMYFUNCTION("IMPORTRANGE(""https://docs.google.com/spreadsheets/d/1-uDff_7J0KD5mKrp0Vvzr7lt3OU09vwQwhkpOPPYv2Y/edit?usp=sharing"",""งบพรบ!FI56"")"),0)</f>
        <v>0</v>
      </c>
      <c r="N365" s="132">
        <f ca="1">IFERROR(__xludf.DUMMYFUNCTION("IMPORTRANGE(""https://docs.google.com/spreadsheets/d/1-uDff_7J0KD5mKrp0Vvzr7lt3OU09vwQwhkpOPPYv2Y/edit?usp=sharing"",""งบพรบ!FK56"")"),0)</f>
        <v>0</v>
      </c>
      <c r="O365" s="132">
        <f t="shared" ca="1" si="229"/>
        <v>0</v>
      </c>
      <c r="P365" s="132">
        <f t="shared" ca="1" si="230"/>
        <v>0</v>
      </c>
      <c r="Q365" s="74">
        <v>0</v>
      </c>
      <c r="R365" s="74">
        <v>0</v>
      </c>
      <c r="S365" s="74">
        <v>0</v>
      </c>
      <c r="T365" s="132">
        <f t="shared" si="232"/>
        <v>0</v>
      </c>
      <c r="U365" s="132">
        <f t="shared" si="233"/>
        <v>0</v>
      </c>
    </row>
    <row r="366" spans="1:21" ht="19.5" x14ac:dyDescent="0.3">
      <c r="A366" s="553"/>
      <c r="B366" s="555"/>
      <c r="C366" s="555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0">I372</f>
        <v>133</v>
      </c>
      <c r="J366" s="559">
        <f t="shared" ca="1" si="240"/>
        <v>199</v>
      </c>
      <c r="K366" s="560">
        <f ca="1">IF(I366&gt;0,J366*100/I366,0)</f>
        <v>149.62406015037595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621" t="s">
        <v>18</v>
      </c>
      <c r="D367" s="968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77"/>
      <c r="C368" s="277"/>
      <c r="D368" s="296"/>
      <c r="E368" s="1103" t="s">
        <v>150</v>
      </c>
      <c r="F368" s="277"/>
      <c r="G368" s="310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IFERROR(__xludf.DUMMYFUNCTION("IMPORTRANGE(""https://docs.google.com/spreadsheets/d/1tdoBKaGub7dwA3U6UFTqxio9LNnvDCQjHKmttSEBsFQ/edit?usp=sharing"",""จัดที่ดิน!AB56"")"),152)</f>
        <v>152</v>
      </c>
      <c r="K368" s="74">
        <f t="shared" ref="K368:K373" si="241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IFERROR(__xludf.DUMMYFUNCTION("IMPORTRANGE(""https://docs.google.com/spreadsheets/d/1eHaY18a8A9IcSdp1K8H6x8fbOy06t2VsZHhMHf-1x7Y/edit?usp=sharing"",""แผน!EW56"")"),1475)</f>
        <v>1475</v>
      </c>
      <c r="J369" s="1190">
        <f ca="1">IFERROR(__xludf.DUMMYFUNCTION("IMPORTRANGE(""https://docs.google.com/spreadsheets/d/1tdoBKaGub7dwA3U6UFTqxio9LNnvDCQjHKmttSEBsFQ/edit?usp=sharing"",""จัดที่ดิน!AC56"")"),1893.09)</f>
        <v>1893.09</v>
      </c>
      <c r="K369" s="74">
        <f t="shared" ca="1" si="241"/>
        <v>128.3450847457627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75" t="s">
        <v>35</v>
      </c>
      <c r="I370" s="293">
        <f ca="1">IFERROR(__xludf.DUMMYFUNCTION("IMPORTRANGE(""https://docs.google.com/spreadsheets/d/1eHaY18a8A9IcSdp1K8H6x8fbOy06t2VsZHhMHf-1x7Y/edit?usp=sharing"",""แผน!EX56"")"),205)</f>
        <v>205</v>
      </c>
      <c r="J370" s="293">
        <f ca="1">IFERROR(__xludf.DUMMYFUNCTION("IMPORTRANGE(""https://docs.google.com/spreadsheets/d/1tdoBKaGub7dwA3U6UFTqxio9LNnvDCQjHKmttSEBsFQ/edit?usp=sharing"",""จัดที่ดิน!AD56"")"),193)</f>
        <v>193</v>
      </c>
      <c r="K370" s="74">
        <f t="shared" ca="1" si="241"/>
        <v>94.146341463414629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75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IFERROR(__xludf.DUMMYFUNCTION("IMPORTRANGE(""https://docs.google.com/spreadsheets/d/1tdoBKaGub7dwA3U6UFTqxio9LNnvDCQjHKmttSEBsFQ/edit?usp=sharing"",""จัดที่ดิน!AE56"")"),3274.58)</f>
        <v>3274.58</v>
      </c>
      <c r="K371" s="74">
        <f t="shared" si="241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75" t="s">
        <v>35</v>
      </c>
      <c r="I372" s="293">
        <f ca="1">IFERROR(__xludf.DUMMYFUNCTION("IMPORTRANGE(""https://docs.google.com/spreadsheets/d/1eHaY18a8A9IcSdp1K8H6x8fbOy06t2VsZHhMHf-1x7Y/edit?usp=sharing"",""แผน!EY56"")"),133)</f>
        <v>133</v>
      </c>
      <c r="J372" s="293">
        <f ca="1">IFERROR(__xludf.DUMMYFUNCTION("IMPORTRANGE(""https://docs.google.com/spreadsheets/d/1tdoBKaGub7dwA3U6UFTqxio9LNnvDCQjHKmttSEBsFQ/edit?usp=sharing"",""จัดที่ดิน!AF56"")"),199)</f>
        <v>199</v>
      </c>
      <c r="K372" s="74">
        <f t="shared" ca="1" si="241"/>
        <v>149.62406015037595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75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IFERROR(__xludf.DUMMYFUNCTION("IMPORTRANGE(""https://docs.google.com/spreadsheets/d/1tdoBKaGub7dwA3U6UFTqxio9LNnvDCQjHKmttSEBsFQ/edit?usp=sharing"",""จัดที่ดิน!AG56"")"),3376.54)</f>
        <v>3376.54</v>
      </c>
      <c r="K373" s="74">
        <f t="shared" si="241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29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2">I387+I389</f>
        <v>1000</v>
      </c>
      <c r="J375" s="585">
        <f t="shared" ca="1" si="242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214">
        <f t="shared" ref="L376:N376" si="243">L377+L378</f>
        <v>0</v>
      </c>
      <c r="M376" s="215">
        <f t="shared" si="243"/>
        <v>0</v>
      </c>
      <c r="N376" s="215">
        <f t="shared" si="243"/>
        <v>0</v>
      </c>
      <c r="O376" s="215">
        <f t="shared" ref="O376:O384" si="244">IF(L376&gt;0,N376*100/L376,0)</f>
        <v>0</v>
      </c>
      <c r="P376" s="215">
        <f t="shared" ref="P376:P384" si="245">IF(M376&gt;0,N376*100/M376,0)</f>
        <v>0</v>
      </c>
      <c r="Q376" s="215">
        <f t="shared" ref="Q376:S376" ca="1" si="246">Q377+Q378</f>
        <v>62500</v>
      </c>
      <c r="R376" s="215">
        <f t="shared" ca="1" si="246"/>
        <v>0</v>
      </c>
      <c r="S376" s="215">
        <f t="shared" ca="1" si="246"/>
        <v>0</v>
      </c>
      <c r="T376" s="215">
        <f t="shared" ref="T376:T384" ca="1" si="247">IF(Q376&gt;0,S376*100/Q376,0)</f>
        <v>0</v>
      </c>
      <c r="U376" s="215">
        <f t="shared" ref="U376:U384" ca="1" si="248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217">
        <f t="shared" ref="L377:N378" si="249">L380+L383</f>
        <v>0</v>
      </c>
      <c r="M377" s="133">
        <f t="shared" si="249"/>
        <v>0</v>
      </c>
      <c r="N377" s="133">
        <f t="shared" si="249"/>
        <v>0</v>
      </c>
      <c r="O377" s="133">
        <f t="shared" si="244"/>
        <v>0</v>
      </c>
      <c r="P377" s="133">
        <f t="shared" si="245"/>
        <v>0</v>
      </c>
      <c r="Q377" s="133">
        <f t="shared" ref="Q377:S378" si="250">Q380+Q383</f>
        <v>0</v>
      </c>
      <c r="R377" s="133">
        <f t="shared" si="250"/>
        <v>0</v>
      </c>
      <c r="S377" s="133">
        <f t="shared" si="250"/>
        <v>0</v>
      </c>
      <c r="T377" s="133">
        <f t="shared" si="247"/>
        <v>0</v>
      </c>
      <c r="U377" s="133">
        <f t="shared" si="248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131">
        <f t="shared" si="249"/>
        <v>0</v>
      </c>
      <c r="M378" s="132">
        <f t="shared" si="249"/>
        <v>0</v>
      </c>
      <c r="N378" s="132">
        <f t="shared" si="249"/>
        <v>0</v>
      </c>
      <c r="O378" s="132">
        <f t="shared" si="244"/>
        <v>0</v>
      </c>
      <c r="P378" s="132">
        <f t="shared" si="245"/>
        <v>0</v>
      </c>
      <c r="Q378" s="132">
        <f t="shared" ca="1" si="250"/>
        <v>62500</v>
      </c>
      <c r="R378" s="132">
        <f t="shared" ca="1" si="250"/>
        <v>0</v>
      </c>
      <c r="S378" s="132">
        <f t="shared" ca="1" si="250"/>
        <v>0</v>
      </c>
      <c r="T378" s="132">
        <f t="shared" ca="1" si="247"/>
        <v>0</v>
      </c>
      <c r="U378" s="132">
        <f t="shared" ca="1" si="248"/>
        <v>0</v>
      </c>
    </row>
    <row r="379" spans="1:21" ht="18.75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131">
        <f t="shared" ref="L379:N379" si="251">L380+L381</f>
        <v>0</v>
      </c>
      <c r="M379" s="132">
        <f t="shared" si="251"/>
        <v>0</v>
      </c>
      <c r="N379" s="132">
        <f t="shared" si="251"/>
        <v>0</v>
      </c>
      <c r="O379" s="132">
        <f t="shared" si="244"/>
        <v>0</v>
      </c>
      <c r="P379" s="132">
        <f t="shared" si="245"/>
        <v>0</v>
      </c>
      <c r="Q379" s="132">
        <f t="shared" ref="Q379:S379" ca="1" si="252">Q380+Q381</f>
        <v>62500</v>
      </c>
      <c r="R379" s="132">
        <f t="shared" ca="1" si="252"/>
        <v>0</v>
      </c>
      <c r="S379" s="132">
        <f t="shared" ca="1" si="252"/>
        <v>0</v>
      </c>
      <c r="T379" s="132">
        <f t="shared" ca="1" si="247"/>
        <v>0</v>
      </c>
      <c r="U379" s="132">
        <f t="shared" ca="1" si="248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133">
        <f t="shared" si="244"/>
        <v>0</v>
      </c>
      <c r="P380" s="133">
        <f t="shared" si="245"/>
        <v>0</v>
      </c>
      <c r="Q380" s="77">
        <v>0</v>
      </c>
      <c r="R380" s="77">
        <v>0</v>
      </c>
      <c r="S380" s="77">
        <v>0</v>
      </c>
      <c r="T380" s="133">
        <f t="shared" si="247"/>
        <v>0</v>
      </c>
      <c r="U380" s="133">
        <f t="shared" si="248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132">
        <f t="shared" si="244"/>
        <v>0</v>
      </c>
      <c r="P381" s="132">
        <f t="shared" si="245"/>
        <v>0</v>
      </c>
      <c r="Q381" s="132">
        <f ca="1">IFERROR(__xludf.DUMMYFUNCTION("IMPORTRANGE(""https://docs.google.com/spreadsheets/d/1ItG2mGa2ceCfYo0BwxsXqNm01IGEUdYcSSLTEv9YCik/edit?usp=sharing"",""เบิกจ่ายกองทุน!AY56"")"),62500)</f>
        <v>62500</v>
      </c>
      <c r="R381" s="132">
        <f ca="1">IFERROR(__xludf.DUMMYFUNCTION("IMPORTRANGE(""https://docs.google.com/spreadsheets/d/1ItG2mGa2ceCfYo0BwxsXqNm01IGEUdYcSSLTEv9YCik/edit?usp=sharing"",""เบิกจ่ายกองทุน!AZ56"")"),0)</f>
        <v>0</v>
      </c>
      <c r="S381" s="132">
        <f ca="1">IFERROR(__xludf.DUMMYFUNCTION("IMPORTRANGE(""https://docs.google.com/spreadsheets/d/1ItG2mGa2ceCfYo0BwxsXqNm01IGEUdYcSSLTEv9YCik/edit?usp=sharing"",""เบิกจ่ายกองทุน!BA56"")"),0)</f>
        <v>0</v>
      </c>
      <c r="T381" s="132">
        <f t="shared" ca="1" si="247"/>
        <v>0</v>
      </c>
      <c r="U381" s="132">
        <f t="shared" ca="1" si="248"/>
        <v>0</v>
      </c>
    </row>
    <row r="382" spans="1:21" ht="18.75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131">
        <f t="shared" ref="L382:N382" si="253">L383+L384</f>
        <v>0</v>
      </c>
      <c r="M382" s="132">
        <f t="shared" si="253"/>
        <v>0</v>
      </c>
      <c r="N382" s="132">
        <f t="shared" si="253"/>
        <v>0</v>
      </c>
      <c r="O382" s="132">
        <f t="shared" si="244"/>
        <v>0</v>
      </c>
      <c r="P382" s="132">
        <f t="shared" si="245"/>
        <v>0</v>
      </c>
      <c r="Q382" s="132">
        <f t="shared" ref="Q382:S382" si="254">Q383+Q384</f>
        <v>0</v>
      </c>
      <c r="R382" s="132">
        <f t="shared" si="254"/>
        <v>0</v>
      </c>
      <c r="S382" s="132">
        <f t="shared" si="254"/>
        <v>0</v>
      </c>
      <c r="T382" s="132">
        <f t="shared" si="247"/>
        <v>0</v>
      </c>
      <c r="U382" s="132">
        <f t="shared" si="248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133">
        <f t="shared" si="244"/>
        <v>0</v>
      </c>
      <c r="P383" s="133">
        <f t="shared" si="245"/>
        <v>0</v>
      </c>
      <c r="Q383" s="77">
        <v>0</v>
      </c>
      <c r="R383" s="77">
        <v>0</v>
      </c>
      <c r="S383" s="77">
        <v>0</v>
      </c>
      <c r="T383" s="133">
        <f t="shared" si="247"/>
        <v>0</v>
      </c>
      <c r="U383" s="133">
        <f t="shared" si="248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132">
        <f t="shared" si="244"/>
        <v>0</v>
      </c>
      <c r="P384" s="132">
        <f t="shared" si="245"/>
        <v>0</v>
      </c>
      <c r="Q384" s="74">
        <v>0</v>
      </c>
      <c r="R384" s="74">
        <v>0</v>
      </c>
      <c r="S384" s="74">
        <v>0</v>
      </c>
      <c r="T384" s="132">
        <f t="shared" si="247"/>
        <v>0</v>
      </c>
      <c r="U384" s="132">
        <f t="shared" si="248"/>
        <v>0</v>
      </c>
    </row>
    <row r="385" spans="1:21" ht="19.5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v>0</v>
      </c>
      <c r="J386" s="293">
        <f ca="1">IFERROR(__xludf.DUMMYFUNCTION("IMPORTRANGE(""https://docs.google.com/spreadsheets/d/1w5rwWK1o49a35cNtocGL0gxDwhFSTZUQu90BiH9_zqM/edit?usp=sharing"",""RTK!H56"")"),0)</f>
        <v>0</v>
      </c>
      <c r="K386" s="74">
        <f t="shared" ref="K386:K389" si="255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IFERROR(__xludf.DUMMYFUNCTION("IMPORTRANGE(""https://docs.google.com/spreadsheets/d/1w5rwWK1o49a35cNtocGL0gxDwhFSTZUQu90BiH9_zqM/edit?usp=sharing"",""RTK!G56"")"),1000)</f>
        <v>1000</v>
      </c>
      <c r="J387" s="293">
        <f ca="1">IFERROR(__xludf.DUMMYFUNCTION("IMPORTRANGE(""https://docs.google.com/spreadsheets/d/1w5rwWK1o49a35cNtocGL0gxDwhFSTZUQu90BiH9_zqM/edit?usp=sharing"",""RTK!I56"")"),0)</f>
        <v>0</v>
      </c>
      <c r="K387" s="74">
        <f t="shared" ca="1" si="255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x14ac:dyDescent="0.25">
      <c r="A388" s="381"/>
      <c r="B388" s="381"/>
      <c r="C388" s="381"/>
      <c r="D388" s="381"/>
      <c r="E388" s="379" t="s">
        <v>155</v>
      </c>
      <c r="F388" s="381"/>
      <c r="G388" s="1033"/>
      <c r="H388" s="216" t="s">
        <v>34</v>
      </c>
      <c r="I388" s="321">
        <v>0</v>
      </c>
      <c r="J388" s="321">
        <f ca="1">IFERROR(__xludf.DUMMYFUNCTION("IMPORTRANGE(""https://docs.google.com/spreadsheets/d/1w5rwWK1o49a35cNtocGL0gxDwhFSTZUQu90BiH9_zqM/edit?usp=sharing"",""RTK!L56"")"),0)</f>
        <v>0</v>
      </c>
      <c r="K388" s="399">
        <f t="shared" si="255"/>
        <v>0</v>
      </c>
      <c r="L388" s="540"/>
      <c r="M388" s="72"/>
      <c r="N388" s="72"/>
      <c r="O388" s="72"/>
      <c r="P388" s="72"/>
      <c r="Q388" s="72"/>
      <c r="R388" s="72"/>
      <c r="S388" s="72"/>
      <c r="T388" s="72"/>
      <c r="U388" s="72"/>
    </row>
    <row r="389" spans="1:21" ht="18.75" x14ac:dyDescent="0.25">
      <c r="A389" s="381"/>
      <c r="B389" s="381"/>
      <c r="C389" s="381"/>
      <c r="D389" s="381"/>
      <c r="E389" s="381"/>
      <c r="F389" s="381"/>
      <c r="G389" s="1033"/>
      <c r="H389" s="216" t="s">
        <v>46</v>
      </c>
      <c r="I389" s="321">
        <f ca="1">IFERROR(__xludf.DUMMYFUNCTION("IMPORTRANGE(""https://docs.google.com/spreadsheets/d/1w5rwWK1o49a35cNtocGL0gxDwhFSTZUQu90BiH9_zqM/edit?usp=sharing"",""RTK!K56"")"),0)</f>
        <v>0</v>
      </c>
      <c r="J389" s="321">
        <f ca="1">IFERROR(__xludf.DUMMYFUNCTION("IMPORTRANGE(""https://docs.google.com/spreadsheets/d/1w5rwWK1o49a35cNtocGL0gxDwhFSTZUQu90BiH9_zqM/edit?usp=sharing"",""RTK!M56"")"),0)</f>
        <v>0</v>
      </c>
      <c r="K389" s="399">
        <f t="shared" ca="1" si="255"/>
        <v>0</v>
      </c>
      <c r="L389" s="540"/>
      <c r="M389" s="72"/>
      <c r="N389" s="72"/>
      <c r="O389" s="72"/>
      <c r="P389" s="72"/>
      <c r="Q389" s="72"/>
      <c r="R389" s="72"/>
      <c r="S389" s="72"/>
      <c r="T389" s="72"/>
      <c r="U389" s="72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6">I403</f>
        <v>0</v>
      </c>
      <c r="J392" s="1189">
        <f t="shared" si="256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214">
        <f t="shared" ref="L393:N393" si="257">L394+L395</f>
        <v>0</v>
      </c>
      <c r="M393" s="215">
        <f t="shared" si="257"/>
        <v>0</v>
      </c>
      <c r="N393" s="215">
        <f t="shared" si="257"/>
        <v>0</v>
      </c>
      <c r="O393" s="215">
        <f t="shared" ref="O393:O401" si="258">IF(L393&gt;0,N393*100/L393,0)</f>
        <v>0</v>
      </c>
      <c r="P393" s="215">
        <f t="shared" ref="P393:P401" si="259">IF(M393&gt;0,N393*100/M393,0)</f>
        <v>0</v>
      </c>
      <c r="Q393" s="215">
        <f t="shared" ref="Q393:S393" si="260">Q394+Q395</f>
        <v>0</v>
      </c>
      <c r="R393" s="215">
        <f t="shared" si="260"/>
        <v>0</v>
      </c>
      <c r="S393" s="215">
        <f t="shared" si="260"/>
        <v>0</v>
      </c>
      <c r="T393" s="215">
        <f t="shared" ref="T393:T401" si="261">IF(Q393&gt;0,S393*100/Q393,0)</f>
        <v>0</v>
      </c>
      <c r="U393" s="215">
        <f t="shared" ref="U393:U401" si="262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217">
        <f t="shared" ref="L394:N395" si="263">L397+L400</f>
        <v>0</v>
      </c>
      <c r="M394" s="133">
        <f t="shared" si="263"/>
        <v>0</v>
      </c>
      <c r="N394" s="133">
        <f t="shared" si="263"/>
        <v>0</v>
      </c>
      <c r="O394" s="133">
        <f t="shared" si="258"/>
        <v>0</v>
      </c>
      <c r="P394" s="133">
        <f t="shared" si="259"/>
        <v>0</v>
      </c>
      <c r="Q394" s="133">
        <f t="shared" ref="Q394:S395" si="264">Q397+Q400</f>
        <v>0</v>
      </c>
      <c r="R394" s="133">
        <f t="shared" si="264"/>
        <v>0</v>
      </c>
      <c r="S394" s="133">
        <f t="shared" si="264"/>
        <v>0</v>
      </c>
      <c r="T394" s="133">
        <f t="shared" si="261"/>
        <v>0</v>
      </c>
      <c r="U394" s="133">
        <f t="shared" si="262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131">
        <f t="shared" si="263"/>
        <v>0</v>
      </c>
      <c r="M395" s="132">
        <f t="shared" si="263"/>
        <v>0</v>
      </c>
      <c r="N395" s="132">
        <f t="shared" si="263"/>
        <v>0</v>
      </c>
      <c r="O395" s="132">
        <f t="shared" si="258"/>
        <v>0</v>
      </c>
      <c r="P395" s="132">
        <f t="shared" si="259"/>
        <v>0</v>
      </c>
      <c r="Q395" s="132">
        <f t="shared" si="264"/>
        <v>0</v>
      </c>
      <c r="R395" s="132">
        <f t="shared" si="264"/>
        <v>0</v>
      </c>
      <c r="S395" s="132">
        <f t="shared" si="264"/>
        <v>0</v>
      </c>
      <c r="T395" s="132">
        <f t="shared" si="261"/>
        <v>0</v>
      </c>
      <c r="U395" s="132">
        <f t="shared" si="262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131">
        <f t="shared" ref="L396:N396" si="265">L397+L398</f>
        <v>0</v>
      </c>
      <c r="M396" s="132">
        <f t="shared" si="265"/>
        <v>0</v>
      </c>
      <c r="N396" s="132">
        <f t="shared" si="265"/>
        <v>0</v>
      </c>
      <c r="O396" s="132">
        <f t="shared" si="258"/>
        <v>0</v>
      </c>
      <c r="P396" s="132">
        <f t="shared" si="259"/>
        <v>0</v>
      </c>
      <c r="Q396" s="132">
        <f t="shared" ref="Q396:S396" si="266">Q397+Q398</f>
        <v>0</v>
      </c>
      <c r="R396" s="132">
        <f t="shared" si="266"/>
        <v>0</v>
      </c>
      <c r="S396" s="132">
        <f t="shared" si="266"/>
        <v>0</v>
      </c>
      <c r="T396" s="132">
        <f t="shared" si="261"/>
        <v>0</v>
      </c>
      <c r="U396" s="132">
        <f t="shared" si="262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133">
        <f t="shared" si="258"/>
        <v>0</v>
      </c>
      <c r="P397" s="133">
        <f t="shared" si="259"/>
        <v>0</v>
      </c>
      <c r="Q397" s="77">
        <v>0</v>
      </c>
      <c r="R397" s="77">
        <v>0</v>
      </c>
      <c r="S397" s="77">
        <v>0</v>
      </c>
      <c r="T397" s="133">
        <f t="shared" si="261"/>
        <v>0</v>
      </c>
      <c r="U397" s="133">
        <f t="shared" si="262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132">
        <f t="shared" si="258"/>
        <v>0</v>
      </c>
      <c r="P398" s="132">
        <f t="shared" si="259"/>
        <v>0</v>
      </c>
      <c r="Q398" s="74">
        <v>0</v>
      </c>
      <c r="R398" s="74">
        <v>0</v>
      </c>
      <c r="S398" s="74">
        <v>0</v>
      </c>
      <c r="T398" s="132">
        <f t="shared" si="261"/>
        <v>0</v>
      </c>
      <c r="U398" s="132">
        <f t="shared" si="262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131">
        <f t="shared" ref="L399:N399" si="267">L400+L401</f>
        <v>0</v>
      </c>
      <c r="M399" s="132">
        <f t="shared" si="267"/>
        <v>0</v>
      </c>
      <c r="N399" s="132">
        <f t="shared" si="267"/>
        <v>0</v>
      </c>
      <c r="O399" s="132">
        <f t="shared" si="258"/>
        <v>0</v>
      </c>
      <c r="P399" s="132">
        <f t="shared" si="259"/>
        <v>0</v>
      </c>
      <c r="Q399" s="132">
        <f t="shared" ref="Q399:S399" si="268">Q400+Q401</f>
        <v>0</v>
      </c>
      <c r="R399" s="132">
        <f t="shared" si="268"/>
        <v>0</v>
      </c>
      <c r="S399" s="132">
        <f t="shared" si="268"/>
        <v>0</v>
      </c>
      <c r="T399" s="132">
        <f t="shared" si="261"/>
        <v>0</v>
      </c>
      <c r="U399" s="132">
        <f t="shared" si="262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133">
        <f t="shared" si="258"/>
        <v>0</v>
      </c>
      <c r="P400" s="133">
        <f t="shared" si="259"/>
        <v>0</v>
      </c>
      <c r="Q400" s="77">
        <v>0</v>
      </c>
      <c r="R400" s="77">
        <v>0</v>
      </c>
      <c r="S400" s="77">
        <v>0</v>
      </c>
      <c r="T400" s="133">
        <f t="shared" si="261"/>
        <v>0</v>
      </c>
      <c r="U400" s="133">
        <f t="shared" si="262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132">
        <f t="shared" si="258"/>
        <v>0</v>
      </c>
      <c r="P401" s="132">
        <f t="shared" si="259"/>
        <v>0</v>
      </c>
      <c r="Q401" s="74">
        <v>0</v>
      </c>
      <c r="R401" s="74">
        <v>0</v>
      </c>
      <c r="S401" s="74">
        <v>0</v>
      </c>
      <c r="T401" s="132">
        <f t="shared" si="261"/>
        <v>0</v>
      </c>
      <c r="U401" s="132">
        <f t="shared" si="262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69">I424</f>
        <v>0</v>
      </c>
      <c r="J413" s="617">
        <f t="shared" si="269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214">
        <f t="shared" ref="L414:N414" si="270">L415+L416</f>
        <v>0</v>
      </c>
      <c r="M414" s="215">
        <f t="shared" si="270"/>
        <v>0</v>
      </c>
      <c r="N414" s="215">
        <f t="shared" si="270"/>
        <v>0</v>
      </c>
      <c r="O414" s="215">
        <f t="shared" ref="O414:O422" si="271">IF(L414&gt;0,N414*100/L414,0)</f>
        <v>0</v>
      </c>
      <c r="P414" s="215">
        <f t="shared" ref="P414:P422" si="272">IF(M414&gt;0,N414*100/M414,0)</f>
        <v>0</v>
      </c>
      <c r="Q414" s="215">
        <f t="shared" ref="Q414:S414" ca="1" si="273">Q415+Q416</f>
        <v>0</v>
      </c>
      <c r="R414" s="215">
        <f t="shared" ca="1" si="273"/>
        <v>0</v>
      </c>
      <c r="S414" s="215">
        <f t="shared" ca="1" si="273"/>
        <v>0</v>
      </c>
      <c r="T414" s="215">
        <f t="shared" ref="T414:T422" ca="1" si="274">IF(Q414&gt;0,S414*100/Q414,0)</f>
        <v>0</v>
      </c>
      <c r="U414" s="215">
        <f t="shared" ref="U414:U422" ca="1" si="275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217">
        <f t="shared" ref="L415:N416" si="276">L418+L421</f>
        <v>0</v>
      </c>
      <c r="M415" s="133">
        <f t="shared" si="276"/>
        <v>0</v>
      </c>
      <c r="N415" s="133">
        <f t="shared" si="276"/>
        <v>0</v>
      </c>
      <c r="O415" s="133">
        <f t="shared" si="271"/>
        <v>0</v>
      </c>
      <c r="P415" s="133">
        <f t="shared" si="272"/>
        <v>0</v>
      </c>
      <c r="Q415" s="133">
        <f t="shared" ref="Q415:S416" si="277">Q418+Q421</f>
        <v>0</v>
      </c>
      <c r="R415" s="133">
        <f t="shared" si="277"/>
        <v>0</v>
      </c>
      <c r="S415" s="133">
        <f t="shared" si="277"/>
        <v>0</v>
      </c>
      <c r="T415" s="133">
        <f t="shared" si="274"/>
        <v>0</v>
      </c>
      <c r="U415" s="133">
        <f t="shared" si="275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131">
        <f t="shared" si="276"/>
        <v>0</v>
      </c>
      <c r="M416" s="132">
        <f t="shared" si="276"/>
        <v>0</v>
      </c>
      <c r="N416" s="132">
        <f t="shared" si="276"/>
        <v>0</v>
      </c>
      <c r="O416" s="132">
        <f t="shared" si="271"/>
        <v>0</v>
      </c>
      <c r="P416" s="132">
        <f t="shared" si="272"/>
        <v>0</v>
      </c>
      <c r="Q416" s="132">
        <f t="shared" ca="1" si="277"/>
        <v>0</v>
      </c>
      <c r="R416" s="132">
        <f t="shared" ca="1" si="277"/>
        <v>0</v>
      </c>
      <c r="S416" s="132">
        <f t="shared" ca="1" si="277"/>
        <v>0</v>
      </c>
      <c r="T416" s="132">
        <f t="shared" ca="1" si="274"/>
        <v>0</v>
      </c>
      <c r="U416" s="132">
        <f t="shared" ca="1" si="275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131">
        <f t="shared" ref="L417:N417" si="278">L418+L419</f>
        <v>0</v>
      </c>
      <c r="M417" s="132">
        <f t="shared" si="278"/>
        <v>0</v>
      </c>
      <c r="N417" s="132">
        <f t="shared" si="278"/>
        <v>0</v>
      </c>
      <c r="O417" s="132">
        <f t="shared" si="271"/>
        <v>0</v>
      </c>
      <c r="P417" s="132">
        <f t="shared" si="272"/>
        <v>0</v>
      </c>
      <c r="Q417" s="132">
        <f t="shared" ref="Q417:S417" ca="1" si="279">Q418+Q419</f>
        <v>0</v>
      </c>
      <c r="R417" s="132">
        <f t="shared" ca="1" si="279"/>
        <v>0</v>
      </c>
      <c r="S417" s="132">
        <f t="shared" ca="1" si="279"/>
        <v>0</v>
      </c>
      <c r="T417" s="132">
        <f t="shared" ca="1" si="274"/>
        <v>0</v>
      </c>
      <c r="U417" s="132">
        <f t="shared" ca="1" si="275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133">
        <f t="shared" si="271"/>
        <v>0</v>
      </c>
      <c r="P418" s="133">
        <f t="shared" si="272"/>
        <v>0</v>
      </c>
      <c r="Q418" s="77">
        <v>0</v>
      </c>
      <c r="R418" s="77">
        <v>0</v>
      </c>
      <c r="S418" s="77">
        <v>0</v>
      </c>
      <c r="T418" s="133">
        <f t="shared" si="274"/>
        <v>0</v>
      </c>
      <c r="U418" s="133">
        <f t="shared" si="275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132">
        <f t="shared" si="271"/>
        <v>0</v>
      </c>
      <c r="P419" s="132">
        <f t="shared" si="272"/>
        <v>0</v>
      </c>
      <c r="Q419" s="132">
        <f ca="1">IFERROR(__xludf.DUMMYFUNCTION("IMPORTRANGE(""https://docs.google.com/spreadsheets/d/1ItG2mGa2ceCfYo0BwxsXqNm01IGEUdYcSSLTEv9YCik/edit?usp=sharing"",""เบิกจ่ายกองทุน!BH56"")"),0)</f>
        <v>0</v>
      </c>
      <c r="R419" s="132">
        <f ca="1">IFERROR(__xludf.DUMMYFUNCTION("IMPORTRANGE(""https://docs.google.com/spreadsheets/d/1ItG2mGa2ceCfYo0BwxsXqNm01IGEUdYcSSLTEv9YCik/edit?usp=sharing"",""เบิกจ่ายกองทุน!BI56"")"),0)</f>
        <v>0</v>
      </c>
      <c r="S419" s="132">
        <f ca="1">IFERROR(__xludf.DUMMYFUNCTION("IMPORTRANGE(""https://docs.google.com/spreadsheets/d/1ItG2mGa2ceCfYo0BwxsXqNm01IGEUdYcSSLTEv9YCik/edit?usp=sharing"",""เบิกจ่ายกองทุน!BJ56"")"),0)</f>
        <v>0</v>
      </c>
      <c r="T419" s="132">
        <f t="shared" ca="1" si="274"/>
        <v>0</v>
      </c>
      <c r="U419" s="132">
        <f t="shared" ca="1" si="275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131">
        <f t="shared" ref="L420:N420" si="280">L421+L422</f>
        <v>0</v>
      </c>
      <c r="M420" s="132">
        <f t="shared" si="280"/>
        <v>0</v>
      </c>
      <c r="N420" s="132">
        <f t="shared" si="280"/>
        <v>0</v>
      </c>
      <c r="O420" s="132">
        <f t="shared" si="271"/>
        <v>0</v>
      </c>
      <c r="P420" s="132">
        <f t="shared" si="272"/>
        <v>0</v>
      </c>
      <c r="Q420" s="132">
        <f t="shared" ref="Q420:S420" si="281">Q421+Q422</f>
        <v>0</v>
      </c>
      <c r="R420" s="132">
        <f t="shared" si="281"/>
        <v>0</v>
      </c>
      <c r="S420" s="132">
        <f t="shared" si="281"/>
        <v>0</v>
      </c>
      <c r="T420" s="132">
        <f t="shared" si="274"/>
        <v>0</v>
      </c>
      <c r="U420" s="132">
        <f t="shared" si="275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133">
        <f t="shared" si="271"/>
        <v>0</v>
      </c>
      <c r="P421" s="133">
        <f t="shared" si="272"/>
        <v>0</v>
      </c>
      <c r="Q421" s="77">
        <v>0</v>
      </c>
      <c r="R421" s="77">
        <v>0</v>
      </c>
      <c r="S421" s="77">
        <v>0</v>
      </c>
      <c r="T421" s="133">
        <f t="shared" si="274"/>
        <v>0</v>
      </c>
      <c r="U421" s="133">
        <f t="shared" si="275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132">
        <f t="shared" si="271"/>
        <v>0</v>
      </c>
      <c r="P422" s="132">
        <f t="shared" si="272"/>
        <v>0</v>
      </c>
      <c r="Q422" s="74">
        <v>0</v>
      </c>
      <c r="R422" s="74">
        <v>0</v>
      </c>
      <c r="S422" s="74">
        <v>0</v>
      </c>
      <c r="T422" s="132">
        <f t="shared" si="274"/>
        <v>0</v>
      </c>
      <c r="U422" s="132">
        <f t="shared" si="275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2">I441</f>
        <v>0</v>
      </c>
      <c r="J424" s="622">
        <f t="shared" si="282"/>
        <v>0</v>
      </c>
      <c r="K424" s="264">
        <f t="shared" ref="K424:K426" ca="1" si="283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IFERROR(__xludf.DUMMYFUNCTION("IMPORTRANGE(""https://docs.google.com/spreadsheets/d/1eHaY18a8A9IcSdp1K8H6x8fbOy06t2VsZHhMHf-1x7Y/edit?usp=sharing"",""แผน!HJ56"")"),0)</f>
        <v>0</v>
      </c>
      <c r="J425" s="622">
        <f t="shared" ref="J425:J426" si="284">J427+J429+J431</f>
        <v>0</v>
      </c>
      <c r="K425" s="264">
        <f t="shared" ca="1" si="283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IFERROR(__xludf.DUMMYFUNCTION("IMPORTRANGE(""https://docs.google.com/spreadsheets/d/1eHaY18a8A9IcSdp1K8H6x8fbOy06t2VsZHhMHf-1x7Y/edit?usp=sharing"",""แผน!HK56"")"),0)</f>
        <v>0</v>
      </c>
      <c r="J426" s="622">
        <f t="shared" si="284"/>
        <v>0</v>
      </c>
      <c r="K426" s="264">
        <f t="shared" ca="1" si="283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IFERROR(__xludf.DUMMYFUNCTION("IMPORTRANGE(""https://docs.google.com/spreadsheets/d/1eHaY18a8A9IcSdp1K8H6x8fbOy06t2VsZHhMHf-1x7Y/edit?usp=sharing"",""แผน!HJ56"")"),0)</f>
        <v>0</v>
      </c>
      <c r="J433" s="622">
        <f t="shared" ref="J433:J434" si="285">J435+J437+J439</f>
        <v>0</v>
      </c>
      <c r="K433" s="264">
        <f t="shared" ref="K433:K434" ca="1" si="286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IFERROR(__xludf.DUMMYFUNCTION("IMPORTRANGE(""https://docs.google.com/spreadsheets/d/1eHaY18a8A9IcSdp1K8H6x8fbOy06t2VsZHhMHf-1x7Y/edit?usp=sharing"",""แผน!HK56"")"),0)</f>
        <v>0</v>
      </c>
      <c r="J434" s="622">
        <f t="shared" si="285"/>
        <v>0</v>
      </c>
      <c r="K434" s="264">
        <f t="shared" ca="1" si="286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IFERROR(__xludf.DUMMYFUNCTION("IMPORTRANGE(""https://docs.google.com/spreadsheets/d/1eHaY18a8A9IcSdp1K8H6x8fbOy06t2VsZHhMHf-1x7Y/edit?usp=sharing"",""แผน!HJ56"")"),0)</f>
        <v>0</v>
      </c>
      <c r="J441" s="622">
        <f t="shared" ref="J441:J442" si="287">J443+J445+J447+J453+J455</f>
        <v>0</v>
      </c>
      <c r="K441" s="264">
        <f t="shared" ref="K441:K442" ca="1" si="288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IFERROR(__xludf.DUMMYFUNCTION("IMPORTRANGE(""https://docs.google.com/spreadsheets/d/1eHaY18a8A9IcSdp1K8H6x8fbOy06t2VsZHhMHf-1x7Y/edit?usp=sharing"",""แผน!HK56"")"),0)</f>
        <v>0</v>
      </c>
      <c r="J442" s="622">
        <f t="shared" si="287"/>
        <v>0</v>
      </c>
      <c r="K442" s="264">
        <f t="shared" ca="1" si="288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89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89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0">I458</f>
        <v>0</v>
      </c>
      <c r="J457" s="622">
        <f t="shared" si="290"/>
        <v>0</v>
      </c>
      <c r="K457" s="264">
        <f t="shared" ref="K457:K459" ca="1" si="291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IFERROR(__xludf.DUMMYFUNCTION("IMPORTRANGE(""https://docs.google.com/spreadsheets/d/1eHaY18a8A9IcSdp1K8H6x8fbOy06t2VsZHhMHf-1x7Y/edit?usp=sharing"",""แผน!HL56"")"),0)</f>
        <v>0</v>
      </c>
      <c r="J458" s="622">
        <f t="shared" ref="J458:J459" si="292">J460+J468+J474</f>
        <v>0</v>
      </c>
      <c r="K458" s="264">
        <f t="shared" ca="1" si="291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IFERROR(__xludf.DUMMYFUNCTION("IMPORTRANGE(""https://docs.google.com/spreadsheets/d/1eHaY18a8A9IcSdp1K8H6x8fbOy06t2VsZHhMHf-1x7Y/edit?usp=sharing"",""แผน!HM56"")"),0)</f>
        <v>0</v>
      </c>
      <c r="J459" s="622">
        <f t="shared" si="292"/>
        <v>0</v>
      </c>
      <c r="K459" s="264">
        <f t="shared" ca="1" si="291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3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3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4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4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5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6">J479+J481</f>
        <v>0</v>
      </c>
      <c r="K477" s="264">
        <f t="shared" si="295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6"/>
        <v>0</v>
      </c>
      <c r="K478" s="264">
        <f t="shared" si="295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IFERROR(__xludf.DUMMYFUNCTION("IMPORTRANGE(""https://docs.google.com/spreadsheets/d/1eHaY18a8A9IcSdp1K8H6x8fbOy06t2VsZHhMHf-1x7Y/edit?usp=sharing"",""แผน!HN56"")"),0)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IFERROR(__xludf.DUMMYFUNCTION("IMPORTRANGE(""https://docs.google.com/spreadsheets/d/1eHaY18a8A9IcSdp1K8H6x8fbOy06t2VsZHhMHf-1x7Y/edit?usp=sharing"",""แผน!HO56"")"),0)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7">J481</f>
        <v>0</v>
      </c>
      <c r="J485" s="622">
        <f t="shared" ref="J485:J486" si="298">J487+J489+J491</f>
        <v>0</v>
      </c>
      <c r="K485" s="264">
        <f t="shared" ref="K485:K486" si="299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7"/>
        <v>0</v>
      </c>
      <c r="J486" s="622">
        <f t="shared" si="298"/>
        <v>0</v>
      </c>
      <c r="K486" s="264">
        <f t="shared" si="299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0">I504</f>
        <v>50</v>
      </c>
      <c r="J493" s="617">
        <f t="shared" ca="1" si="300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214">
        <f t="shared" ref="L494:N494" si="301">L495+L496</f>
        <v>0</v>
      </c>
      <c r="M494" s="215">
        <f t="shared" si="301"/>
        <v>0</v>
      </c>
      <c r="N494" s="215">
        <f t="shared" si="301"/>
        <v>0</v>
      </c>
      <c r="O494" s="215">
        <f t="shared" ref="O494:O502" si="302">IF(L494&gt;0,N494*100/L494,0)</f>
        <v>0</v>
      </c>
      <c r="P494" s="215">
        <f t="shared" ref="P494:P502" si="303">IF(M494&gt;0,N494*100/M494,0)</f>
        <v>0</v>
      </c>
      <c r="Q494" s="215">
        <f t="shared" ref="Q494:S494" ca="1" si="304">Q495+Q496</f>
        <v>699850</v>
      </c>
      <c r="R494" s="215">
        <f t="shared" ca="1" si="304"/>
        <v>699850</v>
      </c>
      <c r="S494" s="215">
        <f t="shared" ca="1" si="304"/>
        <v>0</v>
      </c>
      <c r="T494" s="215">
        <f t="shared" ref="T494:T502" ca="1" si="305">IF(Q494&gt;0,S494*100/Q494,0)</f>
        <v>0</v>
      </c>
      <c r="U494" s="215">
        <f t="shared" ref="U494:U502" ca="1" si="306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217">
        <f t="shared" ref="L495:N496" si="307">L498+L501</f>
        <v>0</v>
      </c>
      <c r="M495" s="133">
        <f t="shared" si="307"/>
        <v>0</v>
      </c>
      <c r="N495" s="133">
        <f t="shared" si="307"/>
        <v>0</v>
      </c>
      <c r="O495" s="133">
        <f t="shared" si="302"/>
        <v>0</v>
      </c>
      <c r="P495" s="133">
        <f t="shared" si="303"/>
        <v>0</v>
      </c>
      <c r="Q495" s="133">
        <f t="shared" ref="Q495:S496" si="308">Q498+Q501</f>
        <v>0</v>
      </c>
      <c r="R495" s="133">
        <f t="shared" si="308"/>
        <v>0</v>
      </c>
      <c r="S495" s="133">
        <f t="shared" si="308"/>
        <v>0</v>
      </c>
      <c r="T495" s="133">
        <f t="shared" si="305"/>
        <v>0</v>
      </c>
      <c r="U495" s="133">
        <f t="shared" si="306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131">
        <f t="shared" si="307"/>
        <v>0</v>
      </c>
      <c r="M496" s="132">
        <f t="shared" si="307"/>
        <v>0</v>
      </c>
      <c r="N496" s="132">
        <f t="shared" si="307"/>
        <v>0</v>
      </c>
      <c r="O496" s="132">
        <f t="shared" si="302"/>
        <v>0</v>
      </c>
      <c r="P496" s="132">
        <f t="shared" si="303"/>
        <v>0</v>
      </c>
      <c r="Q496" s="132">
        <f t="shared" ca="1" si="308"/>
        <v>699850</v>
      </c>
      <c r="R496" s="132">
        <f t="shared" ca="1" si="308"/>
        <v>699850</v>
      </c>
      <c r="S496" s="132">
        <f t="shared" ca="1" si="308"/>
        <v>0</v>
      </c>
      <c r="T496" s="132">
        <f t="shared" ca="1" si="305"/>
        <v>0</v>
      </c>
      <c r="U496" s="132">
        <f t="shared" ca="1" si="306"/>
        <v>0</v>
      </c>
    </row>
    <row r="497" spans="1:21" ht="18.75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131">
        <f t="shared" ref="L497:N497" si="309">L498+L499</f>
        <v>0</v>
      </c>
      <c r="M497" s="132">
        <f t="shared" si="309"/>
        <v>0</v>
      </c>
      <c r="N497" s="132">
        <f t="shared" si="309"/>
        <v>0</v>
      </c>
      <c r="O497" s="132">
        <f t="shared" si="302"/>
        <v>0</v>
      </c>
      <c r="P497" s="132">
        <f t="shared" si="303"/>
        <v>0</v>
      </c>
      <c r="Q497" s="132">
        <f t="shared" ref="Q497:S497" ca="1" si="310">Q498+Q499</f>
        <v>699850</v>
      </c>
      <c r="R497" s="132">
        <f t="shared" ca="1" si="310"/>
        <v>699850</v>
      </c>
      <c r="S497" s="132">
        <f t="shared" ca="1" si="310"/>
        <v>0</v>
      </c>
      <c r="T497" s="132">
        <f t="shared" ca="1" si="305"/>
        <v>0</v>
      </c>
      <c r="U497" s="132">
        <f t="shared" ca="1" si="306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133">
        <f t="shared" si="302"/>
        <v>0</v>
      </c>
      <c r="P498" s="133">
        <f t="shared" si="303"/>
        <v>0</v>
      </c>
      <c r="Q498" s="77">
        <v>0</v>
      </c>
      <c r="R498" s="77">
        <v>0</v>
      </c>
      <c r="S498" s="77">
        <v>0</v>
      </c>
      <c r="T498" s="133">
        <f t="shared" si="305"/>
        <v>0</v>
      </c>
      <c r="U498" s="133">
        <f t="shared" si="306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132">
        <f t="shared" si="302"/>
        <v>0</v>
      </c>
      <c r="P499" s="132">
        <f t="shared" si="303"/>
        <v>0</v>
      </c>
      <c r="Q499" s="132">
        <f ca="1">IFERROR(__xludf.DUMMYFUNCTION("IMPORTRANGE(""https://docs.google.com/spreadsheets/d/1ItG2mGa2ceCfYo0BwxsXqNm01IGEUdYcSSLTEv9YCik/edit?usp=sharing"",""เบิกจ่ายกองทุน!X56"")"),699850)</f>
        <v>699850</v>
      </c>
      <c r="R499" s="132">
        <f ca="1">IFERROR(__xludf.DUMMYFUNCTION("IMPORTRANGE(""https://docs.google.com/spreadsheets/d/1ItG2mGa2ceCfYo0BwxsXqNm01IGEUdYcSSLTEv9YCik/edit?usp=sharing"",""เบิกจ่ายกองทุน!Y56"")"),699850)</f>
        <v>699850</v>
      </c>
      <c r="S499" s="132">
        <f ca="1">IFERROR(__xludf.DUMMYFUNCTION("IMPORTRANGE(""https://docs.google.com/spreadsheets/d/1ItG2mGa2ceCfYo0BwxsXqNm01IGEUdYcSSLTEv9YCik/edit?usp=sharing"",""เบิกจ่ายกองทุน!Z56"")"),0)</f>
        <v>0</v>
      </c>
      <c r="T499" s="132">
        <f t="shared" ca="1" si="305"/>
        <v>0</v>
      </c>
      <c r="U499" s="132">
        <f t="shared" ca="1" si="306"/>
        <v>0</v>
      </c>
    </row>
    <row r="500" spans="1:21" ht="18.75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131">
        <f t="shared" ref="L500:N500" si="311">L501+L502</f>
        <v>0</v>
      </c>
      <c r="M500" s="132">
        <f t="shared" si="311"/>
        <v>0</v>
      </c>
      <c r="N500" s="132">
        <f t="shared" si="311"/>
        <v>0</v>
      </c>
      <c r="O500" s="132">
        <f t="shared" si="302"/>
        <v>0</v>
      </c>
      <c r="P500" s="132">
        <f t="shared" si="303"/>
        <v>0</v>
      </c>
      <c r="Q500" s="132">
        <f t="shared" ref="Q500:S500" si="312">Q501+Q502</f>
        <v>0</v>
      </c>
      <c r="R500" s="132">
        <f t="shared" si="312"/>
        <v>0</v>
      </c>
      <c r="S500" s="132">
        <f t="shared" si="312"/>
        <v>0</v>
      </c>
      <c r="T500" s="132">
        <f t="shared" si="305"/>
        <v>0</v>
      </c>
      <c r="U500" s="132">
        <f t="shared" si="306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133">
        <f t="shared" si="302"/>
        <v>0</v>
      </c>
      <c r="P501" s="133">
        <f t="shared" si="303"/>
        <v>0</v>
      </c>
      <c r="Q501" s="77">
        <v>0</v>
      </c>
      <c r="R501" s="77">
        <v>0</v>
      </c>
      <c r="S501" s="77">
        <v>0</v>
      </c>
      <c r="T501" s="133">
        <f t="shared" si="305"/>
        <v>0</v>
      </c>
      <c r="U501" s="133">
        <f t="shared" si="306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132">
        <f t="shared" si="302"/>
        <v>0</v>
      </c>
      <c r="P502" s="132">
        <f t="shared" si="303"/>
        <v>0</v>
      </c>
      <c r="Q502" s="74">
        <v>0</v>
      </c>
      <c r="R502" s="74">
        <v>0</v>
      </c>
      <c r="S502" s="74">
        <v>0</v>
      </c>
      <c r="T502" s="132">
        <f t="shared" si="305"/>
        <v>0</v>
      </c>
      <c r="U502" s="132">
        <f t="shared" si="306"/>
        <v>0</v>
      </c>
    </row>
    <row r="503" spans="1:21" ht="19.5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IFERROR(__xludf.DUMMYFUNCTION("IMPORTRANGE(""https://docs.google.com/spreadsheets/d/1eHaY18a8A9IcSdp1K8H6x8fbOy06t2VsZHhMHf-1x7Y/edit?usp=sharing"",""แผน!GX56"")"),50)</f>
        <v>50</v>
      </c>
      <c r="J504" s="622">
        <f ca="1">IF(AND(J505=I504,J506=I504,J507=I504,J508=I504),I504,0)</f>
        <v>0</v>
      </c>
      <c r="K504" s="264">
        <f t="shared" ref="K504:K510" ca="1" si="313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IFERROR(__xludf.DUMMYFUNCTION("IMPORTRANGE(""https://docs.google.com/spreadsheets/d/1eHaY18a8A9IcSdp1K8H6x8fbOy06t2VsZHhMHf-1x7Y/edit?usp=sharing"",""แผน!GY56"")"),0)</f>
        <v>0</v>
      </c>
      <c r="J505" s="294">
        <v>0</v>
      </c>
      <c r="K505" s="74">
        <f t="shared" ca="1" si="313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IFERROR(__xludf.DUMMYFUNCTION("IMPORTRANGE(""https://docs.google.com/spreadsheets/d/1eHaY18a8A9IcSdp1K8H6x8fbOy06t2VsZHhMHf-1x7Y/edit?usp=sharing"",""แผน!GZ56"")"),0)</f>
        <v>0</v>
      </c>
      <c r="J506" s="294">
        <v>0</v>
      </c>
      <c r="K506" s="74">
        <f t="shared" ca="1" si="313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IFERROR(__xludf.DUMMYFUNCTION("IMPORTRANGE(""https://docs.google.com/spreadsheets/d/1eHaY18a8A9IcSdp1K8H6x8fbOy06t2VsZHhMHf-1x7Y/edit?usp=sharing"",""แผน!HA56"")"),0)</f>
        <v>0</v>
      </c>
      <c r="J507" s="294">
        <v>0</v>
      </c>
      <c r="K507" s="74">
        <f t="shared" ca="1" si="313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IFERROR(__xludf.DUMMYFUNCTION("IMPORTRANGE(""https://docs.google.com/spreadsheets/d/1eHaY18a8A9IcSdp1K8H6x8fbOy06t2VsZHhMHf-1x7Y/edit?usp=sharing"",""แผน!HB56"")"),0)</f>
        <v>0</v>
      </c>
      <c r="J508" s="294">
        <v>0</v>
      </c>
      <c r="K508" s="74">
        <f t="shared" ca="1" si="313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3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IFERROR(__xludf.DUMMYFUNCTION("IMPORTRANGE(""https://docs.google.com/spreadsheets/d/1eHaY18a8A9IcSdp1K8H6x8fbOy06t2VsZHhMHf-1x7Y/edit?usp=sharing"",""แผน!HC56"")"),0)</f>
        <v>0</v>
      </c>
      <c r="J510" s="761">
        <v>0</v>
      </c>
      <c r="K510" s="182">
        <f t="shared" ca="1" si="313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8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204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1001" t="s">
        <v>61</v>
      </c>
      <c r="I513" s="988">
        <f t="shared" ref="I513:J513" si="314">I525</f>
        <v>0</v>
      </c>
      <c r="J513" s="988">
        <f t="shared" si="314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214">
        <f t="shared" ref="L514:N514" ca="1" si="315">L515+L516</f>
        <v>0</v>
      </c>
      <c r="M514" s="215">
        <f t="shared" ca="1" si="315"/>
        <v>0</v>
      </c>
      <c r="N514" s="215">
        <f t="shared" ca="1" si="315"/>
        <v>0</v>
      </c>
      <c r="O514" s="215">
        <f t="shared" ref="O514:O522" ca="1" si="316">IF(L514&gt;0,N514*100/L514,0)</f>
        <v>0</v>
      </c>
      <c r="P514" s="215">
        <f t="shared" ref="P514:P522" ca="1" si="317">IF(M514&gt;0,N514*100/M514,0)</f>
        <v>0</v>
      </c>
      <c r="Q514" s="215">
        <f t="shared" ref="Q514:S514" si="318">Q515+Q516</f>
        <v>0</v>
      </c>
      <c r="R514" s="215">
        <f t="shared" si="318"/>
        <v>0</v>
      </c>
      <c r="S514" s="215">
        <f t="shared" si="318"/>
        <v>0</v>
      </c>
      <c r="T514" s="215">
        <f t="shared" ref="T514:T522" si="319">IF(Q514&gt;0,S514*100/Q514,0)</f>
        <v>0</v>
      </c>
      <c r="U514" s="215">
        <f t="shared" ref="U514:U522" si="320">IF(R514&gt;0,S514*100/R514,0)</f>
        <v>0</v>
      </c>
    </row>
    <row r="515" spans="1:21" ht="18.75" hidden="1" x14ac:dyDescent="0.25">
      <c r="A515" s="257"/>
      <c r="B515" s="269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217">
        <f t="shared" ref="L515:N516" si="321">L518+L521</f>
        <v>0</v>
      </c>
      <c r="M515" s="133">
        <f t="shared" si="321"/>
        <v>0</v>
      </c>
      <c r="N515" s="133">
        <f t="shared" si="321"/>
        <v>0</v>
      </c>
      <c r="O515" s="133">
        <f t="shared" si="316"/>
        <v>0</v>
      </c>
      <c r="P515" s="133">
        <f t="shared" si="317"/>
        <v>0</v>
      </c>
      <c r="Q515" s="133">
        <f t="shared" ref="Q515:S516" si="322">Q518+Q521</f>
        <v>0</v>
      </c>
      <c r="R515" s="133">
        <f t="shared" si="322"/>
        <v>0</v>
      </c>
      <c r="S515" s="133">
        <f t="shared" si="322"/>
        <v>0</v>
      </c>
      <c r="T515" s="133">
        <f t="shared" si="319"/>
        <v>0</v>
      </c>
      <c r="U515" s="133">
        <f t="shared" si="320"/>
        <v>0</v>
      </c>
    </row>
    <row r="516" spans="1:21" ht="18.75" hidden="1" x14ac:dyDescent="0.25">
      <c r="A516" s="257"/>
      <c r="B516" s="258"/>
      <c r="C516" s="269"/>
      <c r="D516" s="258"/>
      <c r="E516" s="775" t="s">
        <v>21</v>
      </c>
      <c r="F516" s="258"/>
      <c r="G516" s="261"/>
      <c r="H516" s="266" t="s">
        <v>14</v>
      </c>
      <c r="I516" s="263"/>
      <c r="J516" s="263"/>
      <c r="K516" s="87"/>
      <c r="L516" s="131">
        <f t="shared" ca="1" si="321"/>
        <v>0</v>
      </c>
      <c r="M516" s="132">
        <f t="shared" ca="1" si="321"/>
        <v>0</v>
      </c>
      <c r="N516" s="132">
        <f t="shared" ca="1" si="321"/>
        <v>0</v>
      </c>
      <c r="O516" s="132">
        <f t="shared" ca="1" si="316"/>
        <v>0</v>
      </c>
      <c r="P516" s="132">
        <f t="shared" ca="1" si="317"/>
        <v>0</v>
      </c>
      <c r="Q516" s="132">
        <f t="shared" si="322"/>
        <v>0</v>
      </c>
      <c r="R516" s="132">
        <f t="shared" si="322"/>
        <v>0</v>
      </c>
      <c r="S516" s="132">
        <f t="shared" si="322"/>
        <v>0</v>
      </c>
      <c r="T516" s="132">
        <f t="shared" si="319"/>
        <v>0</v>
      </c>
      <c r="U516" s="132">
        <f t="shared" si="320"/>
        <v>0</v>
      </c>
    </row>
    <row r="517" spans="1:21" ht="18.75" hidden="1" x14ac:dyDescent="0.25">
      <c r="A517" s="257"/>
      <c r="B517" s="258"/>
      <c r="C517" s="269"/>
      <c r="D517" s="991" t="s">
        <v>22</v>
      </c>
      <c r="E517" s="269"/>
      <c r="F517" s="258"/>
      <c r="G517" s="261"/>
      <c r="H517" s="273" t="s">
        <v>14</v>
      </c>
      <c r="I517" s="272"/>
      <c r="J517" s="272"/>
      <c r="K517" s="229"/>
      <c r="L517" s="131">
        <f t="shared" ref="L517:N517" ca="1" si="323">L518+L519</f>
        <v>0</v>
      </c>
      <c r="M517" s="132">
        <f t="shared" ca="1" si="323"/>
        <v>0</v>
      </c>
      <c r="N517" s="132">
        <f t="shared" ca="1" si="323"/>
        <v>0</v>
      </c>
      <c r="O517" s="132">
        <f t="shared" ca="1" si="316"/>
        <v>0</v>
      </c>
      <c r="P517" s="132">
        <f t="shared" ca="1" si="317"/>
        <v>0</v>
      </c>
      <c r="Q517" s="132">
        <f t="shared" ref="Q517:S517" si="324">Q518+Q519</f>
        <v>0</v>
      </c>
      <c r="R517" s="132">
        <f t="shared" si="324"/>
        <v>0</v>
      </c>
      <c r="S517" s="132">
        <f t="shared" si="324"/>
        <v>0</v>
      </c>
      <c r="T517" s="132">
        <f t="shared" si="319"/>
        <v>0</v>
      </c>
      <c r="U517" s="132">
        <f t="shared" si="320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133">
        <f t="shared" si="316"/>
        <v>0</v>
      </c>
      <c r="P518" s="133">
        <f t="shared" si="317"/>
        <v>0</v>
      </c>
      <c r="Q518" s="77">
        <v>0</v>
      </c>
      <c r="R518" s="77">
        <v>0</v>
      </c>
      <c r="S518" s="77">
        <v>0</v>
      </c>
      <c r="T518" s="133">
        <f t="shared" si="319"/>
        <v>0</v>
      </c>
      <c r="U518" s="133">
        <f t="shared" si="320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131">
        <f ca="1">IFERROR(__xludf.DUMMYFUNCTION("IMPORTRANGE(""https://docs.google.com/spreadsheets/d/1-uDff_7J0KD5mKrp0Vvzr7lt3OU09vwQwhkpOPPYv2Y/edit?usp=sharing"",""งบพรบ!FM56"")"),0)</f>
        <v>0</v>
      </c>
      <c r="M519" s="132">
        <f ca="1">IFERROR(__xludf.DUMMYFUNCTION("IMPORTRANGE(""https://docs.google.com/spreadsheets/d/1-uDff_7J0KD5mKrp0Vvzr7lt3OU09vwQwhkpOPPYv2Y/edit?usp=sharing"",""งบพรบ!FR56"")"),0)</f>
        <v>0</v>
      </c>
      <c r="N519" s="132">
        <f ca="1">IFERROR(__xludf.DUMMYFUNCTION("IMPORTRANGE(""https://docs.google.com/spreadsheets/d/1-uDff_7J0KD5mKrp0Vvzr7lt3OU09vwQwhkpOPPYv2Y/edit?usp=sharing"",""งบพรบ!FT56"")"),0)</f>
        <v>0</v>
      </c>
      <c r="O519" s="132">
        <f t="shared" ca="1" si="316"/>
        <v>0</v>
      </c>
      <c r="P519" s="132">
        <f t="shared" ca="1" si="317"/>
        <v>0</v>
      </c>
      <c r="Q519" s="74">
        <v>0</v>
      </c>
      <c r="R519" s="74">
        <v>0</v>
      </c>
      <c r="S519" s="74">
        <v>0</v>
      </c>
      <c r="T519" s="132">
        <f t="shared" si="319"/>
        <v>0</v>
      </c>
      <c r="U519" s="132">
        <f t="shared" si="320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131">
        <f t="shared" ref="L520:N520" ca="1" si="325">L521+L522</f>
        <v>0</v>
      </c>
      <c r="M520" s="132">
        <f t="shared" ca="1" si="325"/>
        <v>0</v>
      </c>
      <c r="N520" s="132">
        <f t="shared" ca="1" si="325"/>
        <v>0</v>
      </c>
      <c r="O520" s="132">
        <f t="shared" ca="1" si="316"/>
        <v>0</v>
      </c>
      <c r="P520" s="132">
        <f t="shared" ca="1" si="317"/>
        <v>0</v>
      </c>
      <c r="Q520" s="132">
        <f t="shared" ref="Q520:S520" si="326">Q521+Q522</f>
        <v>0</v>
      </c>
      <c r="R520" s="132">
        <f t="shared" si="326"/>
        <v>0</v>
      </c>
      <c r="S520" s="132">
        <f t="shared" si="326"/>
        <v>0</v>
      </c>
      <c r="T520" s="132">
        <f t="shared" si="319"/>
        <v>0</v>
      </c>
      <c r="U520" s="132">
        <f t="shared" si="320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133">
        <f t="shared" si="316"/>
        <v>0</v>
      </c>
      <c r="P521" s="133">
        <f t="shared" si="317"/>
        <v>0</v>
      </c>
      <c r="Q521" s="77">
        <v>0</v>
      </c>
      <c r="R521" s="77">
        <v>0</v>
      </c>
      <c r="S521" s="77">
        <v>0</v>
      </c>
      <c r="T521" s="133">
        <f t="shared" si="319"/>
        <v>0</v>
      </c>
      <c r="U521" s="133">
        <f t="shared" si="320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131">
        <f ca="1">IFERROR(__xludf.DUMMYFUNCTION("IMPORTRANGE(""https://docs.google.com/spreadsheets/d/1-uDff_7J0KD5mKrp0Vvzr7lt3OU09vwQwhkpOPPYv2Y/edit?usp=sharing"",""งบพรบ!FP56"")"),0)</f>
        <v>0</v>
      </c>
      <c r="M522" s="132">
        <f ca="1">IFERROR(__xludf.DUMMYFUNCTION("IMPORTRANGE(""https://docs.google.com/spreadsheets/d/1-uDff_7J0KD5mKrp0Vvzr7lt3OU09vwQwhkpOPPYv2Y/edit?usp=sharing"",""งบพรบ!FS56"")"),0)</f>
        <v>0</v>
      </c>
      <c r="N522" s="132">
        <f ca="1">IFERROR(__xludf.DUMMYFUNCTION("IMPORTRANGE(""https://docs.google.com/spreadsheets/d/1-uDff_7J0KD5mKrp0Vvzr7lt3OU09vwQwhkpOPPYv2Y/edit?usp=sharing"",""งบพรบ!FU56"")"),0)</f>
        <v>0</v>
      </c>
      <c r="O522" s="132">
        <f t="shared" ca="1" si="316"/>
        <v>0</v>
      </c>
      <c r="P522" s="132">
        <f t="shared" ca="1" si="317"/>
        <v>0</v>
      </c>
      <c r="Q522" s="74">
        <v>0</v>
      </c>
      <c r="R522" s="74">
        <v>0</v>
      </c>
      <c r="S522" s="74">
        <v>0</v>
      </c>
      <c r="T522" s="132">
        <f t="shared" si="319"/>
        <v>0</v>
      </c>
      <c r="U522" s="132">
        <f t="shared" si="320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7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7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8">I546</f>
        <v>0</v>
      </c>
      <c r="J534" s="1002">
        <f t="shared" si="328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214">
        <f t="shared" ref="L535:N535" si="329">L536+L537</f>
        <v>0</v>
      </c>
      <c r="M535" s="215">
        <f t="shared" si="329"/>
        <v>0</v>
      </c>
      <c r="N535" s="215">
        <f t="shared" si="329"/>
        <v>0</v>
      </c>
      <c r="O535" s="215">
        <f t="shared" ref="O535:O543" si="330">IF(L535&gt;0,N535*100/L535,0)</f>
        <v>0</v>
      </c>
      <c r="P535" s="215">
        <f t="shared" ref="P535:P543" si="331">IF(M535&gt;0,N535*100/M535,0)</f>
        <v>0</v>
      </c>
      <c r="Q535" s="215">
        <f t="shared" ref="Q535:S535" si="332">Q536+Q537</f>
        <v>0</v>
      </c>
      <c r="R535" s="215">
        <f t="shared" si="332"/>
        <v>0</v>
      </c>
      <c r="S535" s="215">
        <f t="shared" si="332"/>
        <v>0</v>
      </c>
      <c r="T535" s="215">
        <f t="shared" ref="T535:T543" si="333">IF(Q535&gt;0,S535*100/Q535,0)</f>
        <v>0</v>
      </c>
      <c r="U535" s="215">
        <f t="shared" ref="U535:U543" si="334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217">
        <f t="shared" ref="L536:N537" si="335">L539+L542</f>
        <v>0</v>
      </c>
      <c r="M536" s="133">
        <f t="shared" si="335"/>
        <v>0</v>
      </c>
      <c r="N536" s="133">
        <f t="shared" si="335"/>
        <v>0</v>
      </c>
      <c r="O536" s="133">
        <f t="shared" si="330"/>
        <v>0</v>
      </c>
      <c r="P536" s="133">
        <f t="shared" si="331"/>
        <v>0</v>
      </c>
      <c r="Q536" s="133">
        <f t="shared" ref="Q536:S537" si="336">Q539+Q542</f>
        <v>0</v>
      </c>
      <c r="R536" s="133">
        <f t="shared" si="336"/>
        <v>0</v>
      </c>
      <c r="S536" s="133">
        <f t="shared" si="336"/>
        <v>0</v>
      </c>
      <c r="T536" s="133">
        <f t="shared" si="333"/>
        <v>0</v>
      </c>
      <c r="U536" s="133">
        <f t="shared" si="334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131">
        <f t="shared" si="335"/>
        <v>0</v>
      </c>
      <c r="M537" s="132">
        <f t="shared" si="335"/>
        <v>0</v>
      </c>
      <c r="N537" s="132">
        <f t="shared" si="335"/>
        <v>0</v>
      </c>
      <c r="O537" s="132">
        <f t="shared" si="330"/>
        <v>0</v>
      </c>
      <c r="P537" s="132">
        <f t="shared" si="331"/>
        <v>0</v>
      </c>
      <c r="Q537" s="132">
        <f t="shared" si="336"/>
        <v>0</v>
      </c>
      <c r="R537" s="132">
        <f t="shared" si="336"/>
        <v>0</v>
      </c>
      <c r="S537" s="132">
        <f t="shared" si="336"/>
        <v>0</v>
      </c>
      <c r="T537" s="132">
        <f t="shared" si="333"/>
        <v>0</v>
      </c>
      <c r="U537" s="132">
        <f t="shared" si="334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131">
        <f t="shared" ref="L538:N538" si="337">L539+L540</f>
        <v>0</v>
      </c>
      <c r="M538" s="132">
        <f t="shared" si="337"/>
        <v>0</v>
      </c>
      <c r="N538" s="132">
        <f t="shared" si="337"/>
        <v>0</v>
      </c>
      <c r="O538" s="132">
        <f t="shared" si="330"/>
        <v>0</v>
      </c>
      <c r="P538" s="132">
        <f t="shared" si="331"/>
        <v>0</v>
      </c>
      <c r="Q538" s="132">
        <f t="shared" ref="Q538:S538" si="338">Q539+Q540</f>
        <v>0</v>
      </c>
      <c r="R538" s="132">
        <f t="shared" si="338"/>
        <v>0</v>
      </c>
      <c r="S538" s="132">
        <f t="shared" si="338"/>
        <v>0</v>
      </c>
      <c r="T538" s="132">
        <f t="shared" si="333"/>
        <v>0</v>
      </c>
      <c r="U538" s="132">
        <f t="shared" si="334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133">
        <f t="shared" si="330"/>
        <v>0</v>
      </c>
      <c r="P539" s="133">
        <f t="shared" si="331"/>
        <v>0</v>
      </c>
      <c r="Q539" s="77">
        <v>0</v>
      </c>
      <c r="R539" s="77">
        <v>0</v>
      </c>
      <c r="S539" s="77">
        <v>0</v>
      </c>
      <c r="T539" s="133">
        <f t="shared" si="333"/>
        <v>0</v>
      </c>
      <c r="U539" s="133">
        <f t="shared" si="334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132">
        <f t="shared" si="330"/>
        <v>0</v>
      </c>
      <c r="P540" s="132">
        <f t="shared" si="331"/>
        <v>0</v>
      </c>
      <c r="Q540" s="74">
        <v>0</v>
      </c>
      <c r="R540" s="74">
        <v>0</v>
      </c>
      <c r="S540" s="74">
        <v>0</v>
      </c>
      <c r="T540" s="132">
        <f t="shared" si="333"/>
        <v>0</v>
      </c>
      <c r="U540" s="132">
        <f t="shared" si="334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131">
        <f t="shared" ref="L541:N541" si="339">L542+L543</f>
        <v>0</v>
      </c>
      <c r="M541" s="132">
        <f t="shared" si="339"/>
        <v>0</v>
      </c>
      <c r="N541" s="132">
        <f t="shared" si="339"/>
        <v>0</v>
      </c>
      <c r="O541" s="132">
        <f t="shared" si="330"/>
        <v>0</v>
      </c>
      <c r="P541" s="132">
        <f t="shared" si="331"/>
        <v>0</v>
      </c>
      <c r="Q541" s="132">
        <f t="shared" ref="Q541:S541" si="340">Q542+Q543</f>
        <v>0</v>
      </c>
      <c r="R541" s="132">
        <f t="shared" si="340"/>
        <v>0</v>
      </c>
      <c r="S541" s="132">
        <f t="shared" si="340"/>
        <v>0</v>
      </c>
      <c r="T541" s="132">
        <f t="shared" si="333"/>
        <v>0</v>
      </c>
      <c r="U541" s="132">
        <f t="shared" si="334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133">
        <f t="shared" si="330"/>
        <v>0</v>
      </c>
      <c r="P542" s="133">
        <f t="shared" si="331"/>
        <v>0</v>
      </c>
      <c r="Q542" s="77">
        <v>0</v>
      </c>
      <c r="R542" s="77">
        <v>0</v>
      </c>
      <c r="S542" s="77">
        <v>0</v>
      </c>
      <c r="T542" s="133">
        <f t="shared" si="333"/>
        <v>0</v>
      </c>
      <c r="U542" s="133">
        <f t="shared" si="334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132">
        <f t="shared" si="330"/>
        <v>0</v>
      </c>
      <c r="P543" s="132">
        <f t="shared" si="331"/>
        <v>0</v>
      </c>
      <c r="Q543" s="74">
        <v>0</v>
      </c>
      <c r="R543" s="74">
        <v>0</v>
      </c>
      <c r="S543" s="74">
        <v>0</v>
      </c>
      <c r="T543" s="132">
        <f t="shared" si="333"/>
        <v>0</v>
      </c>
      <c r="U543" s="132">
        <f t="shared" si="334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1">I567</f>
        <v>0</v>
      </c>
      <c r="J555" s="1002">
        <f t="shared" si="341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214">
        <f t="shared" ref="L556:N556" si="342">L557+L558</f>
        <v>0</v>
      </c>
      <c r="M556" s="215">
        <f t="shared" si="342"/>
        <v>0</v>
      </c>
      <c r="N556" s="215">
        <f t="shared" si="342"/>
        <v>0</v>
      </c>
      <c r="O556" s="215">
        <f t="shared" ref="O556:O564" si="343">IF(L556&gt;0,N556*100/L556,0)</f>
        <v>0</v>
      </c>
      <c r="P556" s="215">
        <f t="shared" ref="P556:P564" si="344">IF(M556&gt;0,N556*100/M556,0)</f>
        <v>0</v>
      </c>
      <c r="Q556" s="215">
        <f t="shared" ref="Q556:S556" si="345">Q557+Q558</f>
        <v>0</v>
      </c>
      <c r="R556" s="215">
        <f t="shared" si="345"/>
        <v>0</v>
      </c>
      <c r="S556" s="215">
        <f t="shared" si="345"/>
        <v>0</v>
      </c>
      <c r="T556" s="215">
        <f t="shared" ref="T556:T564" si="346">IF(Q556&gt;0,S556*100/Q556,0)</f>
        <v>0</v>
      </c>
      <c r="U556" s="215">
        <f t="shared" ref="U556:U564" si="347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217">
        <f t="shared" ref="L557:N558" si="348">L560+L563</f>
        <v>0</v>
      </c>
      <c r="M557" s="133">
        <f t="shared" si="348"/>
        <v>0</v>
      </c>
      <c r="N557" s="133">
        <f t="shared" si="348"/>
        <v>0</v>
      </c>
      <c r="O557" s="133">
        <f t="shared" si="343"/>
        <v>0</v>
      </c>
      <c r="P557" s="133">
        <f t="shared" si="344"/>
        <v>0</v>
      </c>
      <c r="Q557" s="133">
        <f t="shared" ref="Q557:S558" si="349">Q560+Q563</f>
        <v>0</v>
      </c>
      <c r="R557" s="133">
        <f t="shared" si="349"/>
        <v>0</v>
      </c>
      <c r="S557" s="133">
        <f t="shared" si="349"/>
        <v>0</v>
      </c>
      <c r="T557" s="133">
        <f t="shared" si="346"/>
        <v>0</v>
      </c>
      <c r="U557" s="133">
        <f t="shared" si="347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131">
        <f t="shared" si="348"/>
        <v>0</v>
      </c>
      <c r="M558" s="132">
        <f t="shared" si="348"/>
        <v>0</v>
      </c>
      <c r="N558" s="132">
        <f t="shared" si="348"/>
        <v>0</v>
      </c>
      <c r="O558" s="132">
        <f t="shared" si="343"/>
        <v>0</v>
      </c>
      <c r="P558" s="132">
        <f t="shared" si="344"/>
        <v>0</v>
      </c>
      <c r="Q558" s="132">
        <f t="shared" si="349"/>
        <v>0</v>
      </c>
      <c r="R558" s="132">
        <f t="shared" si="349"/>
        <v>0</v>
      </c>
      <c r="S558" s="132">
        <f t="shared" si="349"/>
        <v>0</v>
      </c>
      <c r="T558" s="132">
        <f t="shared" si="346"/>
        <v>0</v>
      </c>
      <c r="U558" s="132">
        <f t="shared" si="347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131">
        <f t="shared" ref="L559:N559" si="350">L560+L561</f>
        <v>0</v>
      </c>
      <c r="M559" s="132">
        <f t="shared" si="350"/>
        <v>0</v>
      </c>
      <c r="N559" s="132">
        <f t="shared" si="350"/>
        <v>0</v>
      </c>
      <c r="O559" s="132">
        <f t="shared" si="343"/>
        <v>0</v>
      </c>
      <c r="P559" s="132">
        <f t="shared" si="344"/>
        <v>0</v>
      </c>
      <c r="Q559" s="132">
        <f t="shared" ref="Q559:S559" si="351">Q560+Q561</f>
        <v>0</v>
      </c>
      <c r="R559" s="132">
        <f t="shared" si="351"/>
        <v>0</v>
      </c>
      <c r="S559" s="132">
        <f t="shared" si="351"/>
        <v>0</v>
      </c>
      <c r="T559" s="132">
        <f t="shared" si="346"/>
        <v>0</v>
      </c>
      <c r="U559" s="132">
        <f t="shared" si="347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133">
        <f t="shared" si="343"/>
        <v>0</v>
      </c>
      <c r="P560" s="133">
        <f t="shared" si="344"/>
        <v>0</v>
      </c>
      <c r="Q560" s="77">
        <v>0</v>
      </c>
      <c r="R560" s="77">
        <v>0</v>
      </c>
      <c r="S560" s="77">
        <v>0</v>
      </c>
      <c r="T560" s="133">
        <f t="shared" si="346"/>
        <v>0</v>
      </c>
      <c r="U560" s="133">
        <f t="shared" si="347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132">
        <f t="shared" si="343"/>
        <v>0</v>
      </c>
      <c r="P561" s="132">
        <f t="shared" si="344"/>
        <v>0</v>
      </c>
      <c r="Q561" s="74">
        <v>0</v>
      </c>
      <c r="R561" s="74">
        <v>0</v>
      </c>
      <c r="S561" s="74">
        <v>0</v>
      </c>
      <c r="T561" s="132">
        <f t="shared" si="346"/>
        <v>0</v>
      </c>
      <c r="U561" s="132">
        <f t="shared" si="347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131">
        <f t="shared" ref="L562:N562" si="352">L563+L564</f>
        <v>0</v>
      </c>
      <c r="M562" s="132">
        <f t="shared" si="352"/>
        <v>0</v>
      </c>
      <c r="N562" s="132">
        <f t="shared" si="352"/>
        <v>0</v>
      </c>
      <c r="O562" s="132">
        <f t="shared" si="343"/>
        <v>0</v>
      </c>
      <c r="P562" s="132">
        <f t="shared" si="344"/>
        <v>0</v>
      </c>
      <c r="Q562" s="132">
        <f t="shared" ref="Q562:S562" si="353">Q563+Q564</f>
        <v>0</v>
      </c>
      <c r="R562" s="132">
        <f t="shared" si="353"/>
        <v>0</v>
      </c>
      <c r="S562" s="132">
        <f t="shared" si="353"/>
        <v>0</v>
      </c>
      <c r="T562" s="132">
        <f t="shared" si="346"/>
        <v>0</v>
      </c>
      <c r="U562" s="132">
        <f t="shared" si="347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133">
        <f t="shared" si="343"/>
        <v>0</v>
      </c>
      <c r="P563" s="133">
        <f t="shared" si="344"/>
        <v>0</v>
      </c>
      <c r="Q563" s="77">
        <v>0</v>
      </c>
      <c r="R563" s="77">
        <v>0</v>
      </c>
      <c r="S563" s="77">
        <v>0</v>
      </c>
      <c r="T563" s="133">
        <f t="shared" si="346"/>
        <v>0</v>
      </c>
      <c r="U563" s="133">
        <f t="shared" si="347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132">
        <f t="shared" si="343"/>
        <v>0</v>
      </c>
      <c r="P564" s="132">
        <f t="shared" si="344"/>
        <v>0</v>
      </c>
      <c r="Q564" s="74">
        <v>0</v>
      </c>
      <c r="R564" s="74">
        <v>0</v>
      </c>
      <c r="S564" s="74">
        <v>0</v>
      </c>
      <c r="T564" s="132">
        <f t="shared" si="346"/>
        <v>0</v>
      </c>
      <c r="U564" s="132">
        <f t="shared" si="347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4">I588</f>
        <v>0</v>
      </c>
      <c r="J576" s="1002">
        <f t="shared" si="354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214">
        <f t="shared" ref="L577:N577" si="355">L578+L579</f>
        <v>0</v>
      </c>
      <c r="M577" s="215">
        <f t="shared" si="355"/>
        <v>0</v>
      </c>
      <c r="N577" s="215">
        <f t="shared" si="355"/>
        <v>0</v>
      </c>
      <c r="O577" s="215">
        <f t="shared" ref="O577:O585" si="356">IF(L577&gt;0,N577*100/L577,0)</f>
        <v>0</v>
      </c>
      <c r="P577" s="215">
        <f t="shared" ref="P577:P585" si="357">IF(M577&gt;0,N577*100/M577,0)</f>
        <v>0</v>
      </c>
      <c r="Q577" s="215">
        <f t="shared" ref="Q577:S577" si="358">Q578+Q579</f>
        <v>0</v>
      </c>
      <c r="R577" s="215">
        <f t="shared" si="358"/>
        <v>0</v>
      </c>
      <c r="S577" s="215">
        <f t="shared" si="358"/>
        <v>0</v>
      </c>
      <c r="T577" s="215">
        <f t="shared" ref="T577:T585" si="359">IF(Q577&gt;0,S577*100/Q577,0)</f>
        <v>0</v>
      </c>
      <c r="U577" s="215">
        <f t="shared" ref="U577:U585" si="360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217">
        <f t="shared" ref="L578:N579" si="361">L581+L584</f>
        <v>0</v>
      </c>
      <c r="M578" s="133">
        <f t="shared" si="361"/>
        <v>0</v>
      </c>
      <c r="N578" s="133">
        <f t="shared" si="361"/>
        <v>0</v>
      </c>
      <c r="O578" s="133">
        <f t="shared" si="356"/>
        <v>0</v>
      </c>
      <c r="P578" s="133">
        <f t="shared" si="357"/>
        <v>0</v>
      </c>
      <c r="Q578" s="133">
        <f t="shared" ref="Q578:S579" si="362">Q581+Q584</f>
        <v>0</v>
      </c>
      <c r="R578" s="133">
        <f t="shared" si="362"/>
        <v>0</v>
      </c>
      <c r="S578" s="133">
        <f t="shared" si="362"/>
        <v>0</v>
      </c>
      <c r="T578" s="133">
        <f t="shared" si="359"/>
        <v>0</v>
      </c>
      <c r="U578" s="133">
        <f t="shared" si="360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131">
        <f t="shared" si="361"/>
        <v>0</v>
      </c>
      <c r="M579" s="132">
        <f t="shared" si="361"/>
        <v>0</v>
      </c>
      <c r="N579" s="132">
        <f t="shared" si="361"/>
        <v>0</v>
      </c>
      <c r="O579" s="132">
        <f t="shared" si="356"/>
        <v>0</v>
      </c>
      <c r="P579" s="132">
        <f t="shared" si="357"/>
        <v>0</v>
      </c>
      <c r="Q579" s="132">
        <f t="shared" si="362"/>
        <v>0</v>
      </c>
      <c r="R579" s="132">
        <f t="shared" si="362"/>
        <v>0</v>
      </c>
      <c r="S579" s="132">
        <f t="shared" si="362"/>
        <v>0</v>
      </c>
      <c r="T579" s="132">
        <f t="shared" si="359"/>
        <v>0</v>
      </c>
      <c r="U579" s="132">
        <f t="shared" si="360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131">
        <f t="shared" ref="L580:N580" si="363">L581+L582</f>
        <v>0</v>
      </c>
      <c r="M580" s="132">
        <f t="shared" si="363"/>
        <v>0</v>
      </c>
      <c r="N580" s="132">
        <f t="shared" si="363"/>
        <v>0</v>
      </c>
      <c r="O580" s="132">
        <f t="shared" si="356"/>
        <v>0</v>
      </c>
      <c r="P580" s="132">
        <f t="shared" si="357"/>
        <v>0</v>
      </c>
      <c r="Q580" s="132">
        <f t="shared" ref="Q580:S580" si="364">Q581+Q582</f>
        <v>0</v>
      </c>
      <c r="R580" s="132">
        <f t="shared" si="364"/>
        <v>0</v>
      </c>
      <c r="S580" s="132">
        <f t="shared" si="364"/>
        <v>0</v>
      </c>
      <c r="T580" s="132">
        <f t="shared" si="359"/>
        <v>0</v>
      </c>
      <c r="U580" s="132">
        <f t="shared" si="360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133">
        <f t="shared" si="356"/>
        <v>0</v>
      </c>
      <c r="P581" s="133">
        <f t="shared" si="357"/>
        <v>0</v>
      </c>
      <c r="Q581" s="77">
        <v>0</v>
      </c>
      <c r="R581" s="77">
        <v>0</v>
      </c>
      <c r="S581" s="77">
        <v>0</v>
      </c>
      <c r="T581" s="133">
        <f t="shared" si="359"/>
        <v>0</v>
      </c>
      <c r="U581" s="133">
        <f t="shared" si="360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132">
        <f t="shared" si="356"/>
        <v>0</v>
      </c>
      <c r="P582" s="132">
        <f t="shared" si="357"/>
        <v>0</v>
      </c>
      <c r="Q582" s="74">
        <v>0</v>
      </c>
      <c r="R582" s="74">
        <v>0</v>
      </c>
      <c r="S582" s="74">
        <v>0</v>
      </c>
      <c r="T582" s="132">
        <f t="shared" si="359"/>
        <v>0</v>
      </c>
      <c r="U582" s="132">
        <f t="shared" si="360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131">
        <f t="shared" ref="L583:N583" si="365">L584+L585</f>
        <v>0</v>
      </c>
      <c r="M583" s="132">
        <f t="shared" si="365"/>
        <v>0</v>
      </c>
      <c r="N583" s="132">
        <f t="shared" si="365"/>
        <v>0</v>
      </c>
      <c r="O583" s="132">
        <f t="shared" si="356"/>
        <v>0</v>
      </c>
      <c r="P583" s="132">
        <f t="shared" si="357"/>
        <v>0</v>
      </c>
      <c r="Q583" s="132">
        <f t="shared" ref="Q583:S583" si="366">Q584+Q585</f>
        <v>0</v>
      </c>
      <c r="R583" s="132">
        <f t="shared" si="366"/>
        <v>0</v>
      </c>
      <c r="S583" s="132">
        <f t="shared" si="366"/>
        <v>0</v>
      </c>
      <c r="T583" s="132">
        <f t="shared" si="359"/>
        <v>0</v>
      </c>
      <c r="U583" s="132">
        <f t="shared" si="360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133">
        <f t="shared" si="356"/>
        <v>0</v>
      </c>
      <c r="P584" s="133">
        <f t="shared" si="357"/>
        <v>0</v>
      </c>
      <c r="Q584" s="77">
        <v>0</v>
      </c>
      <c r="R584" s="77">
        <v>0</v>
      </c>
      <c r="S584" s="77">
        <v>0</v>
      </c>
      <c r="T584" s="133">
        <f t="shared" si="359"/>
        <v>0</v>
      </c>
      <c r="U584" s="133">
        <f t="shared" si="360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132">
        <f t="shared" si="356"/>
        <v>0</v>
      </c>
      <c r="P585" s="132">
        <f t="shared" si="357"/>
        <v>0</v>
      </c>
      <c r="Q585" s="74">
        <v>0</v>
      </c>
      <c r="R585" s="74">
        <v>0</v>
      </c>
      <c r="S585" s="74">
        <v>0</v>
      </c>
      <c r="T585" s="132">
        <f t="shared" si="359"/>
        <v>0</v>
      </c>
      <c r="U585" s="132">
        <f t="shared" si="360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214">
        <f t="shared" ref="L600:N600" si="367">L601+L602</f>
        <v>0</v>
      </c>
      <c r="M600" s="215">
        <f t="shared" si="367"/>
        <v>0</v>
      </c>
      <c r="N600" s="215">
        <f t="shared" si="367"/>
        <v>0</v>
      </c>
      <c r="O600" s="215">
        <f t="shared" ref="O600:O608" si="368">IF(L600&gt;0,N600*100/L600,0)</f>
        <v>0</v>
      </c>
      <c r="P600" s="215">
        <f t="shared" ref="P600:P608" si="369">IF(M600&gt;0,N600*100/M600,0)</f>
        <v>0</v>
      </c>
      <c r="Q600" s="215">
        <f t="shared" ref="Q600:S600" si="370">Q601+Q602</f>
        <v>0</v>
      </c>
      <c r="R600" s="215">
        <f t="shared" si="370"/>
        <v>0</v>
      </c>
      <c r="S600" s="215">
        <f t="shared" si="370"/>
        <v>0</v>
      </c>
      <c r="T600" s="215">
        <f t="shared" ref="T600:T608" si="371">IF(Q600&gt;0,S600*100/Q600,0)</f>
        <v>0</v>
      </c>
      <c r="U600" s="215">
        <f t="shared" ref="U600:U608" si="372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217">
        <f t="shared" ref="L601:N602" si="373">L604+L607</f>
        <v>0</v>
      </c>
      <c r="M601" s="133">
        <f t="shared" si="373"/>
        <v>0</v>
      </c>
      <c r="N601" s="133">
        <f t="shared" si="373"/>
        <v>0</v>
      </c>
      <c r="O601" s="133">
        <f t="shared" si="368"/>
        <v>0</v>
      </c>
      <c r="P601" s="133">
        <f t="shared" si="369"/>
        <v>0</v>
      </c>
      <c r="Q601" s="133">
        <f t="shared" ref="Q601:S602" si="374">Q604+Q607</f>
        <v>0</v>
      </c>
      <c r="R601" s="133">
        <f t="shared" si="374"/>
        <v>0</v>
      </c>
      <c r="S601" s="133">
        <f t="shared" si="374"/>
        <v>0</v>
      </c>
      <c r="T601" s="133">
        <f t="shared" si="371"/>
        <v>0</v>
      </c>
      <c r="U601" s="133">
        <f t="shared" si="372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131">
        <f t="shared" si="373"/>
        <v>0</v>
      </c>
      <c r="M602" s="132">
        <f t="shared" si="373"/>
        <v>0</v>
      </c>
      <c r="N602" s="132">
        <f t="shared" si="373"/>
        <v>0</v>
      </c>
      <c r="O602" s="132">
        <f t="shared" si="368"/>
        <v>0</v>
      </c>
      <c r="P602" s="132">
        <f t="shared" si="369"/>
        <v>0</v>
      </c>
      <c r="Q602" s="132">
        <f t="shared" si="374"/>
        <v>0</v>
      </c>
      <c r="R602" s="132">
        <f t="shared" si="374"/>
        <v>0</v>
      </c>
      <c r="S602" s="132">
        <f t="shared" si="374"/>
        <v>0</v>
      </c>
      <c r="T602" s="132">
        <f t="shared" si="371"/>
        <v>0</v>
      </c>
      <c r="U602" s="132">
        <f t="shared" si="372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131">
        <f t="shared" ref="L603:N603" si="375">L604+L605</f>
        <v>0</v>
      </c>
      <c r="M603" s="132">
        <f t="shared" si="375"/>
        <v>0</v>
      </c>
      <c r="N603" s="132">
        <f t="shared" si="375"/>
        <v>0</v>
      </c>
      <c r="O603" s="132">
        <f t="shared" si="368"/>
        <v>0</v>
      </c>
      <c r="P603" s="132">
        <f t="shared" si="369"/>
        <v>0</v>
      </c>
      <c r="Q603" s="132">
        <f t="shared" ref="Q603:S603" si="376">Q604+Q605</f>
        <v>0</v>
      </c>
      <c r="R603" s="132">
        <f t="shared" si="376"/>
        <v>0</v>
      </c>
      <c r="S603" s="132">
        <f t="shared" si="376"/>
        <v>0</v>
      </c>
      <c r="T603" s="132">
        <f t="shared" si="371"/>
        <v>0</v>
      </c>
      <c r="U603" s="132">
        <f t="shared" si="372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133">
        <f t="shared" si="368"/>
        <v>0</v>
      </c>
      <c r="P604" s="133">
        <f t="shared" si="369"/>
        <v>0</v>
      </c>
      <c r="Q604" s="77">
        <v>0</v>
      </c>
      <c r="R604" s="77">
        <v>0</v>
      </c>
      <c r="S604" s="77">
        <v>0</v>
      </c>
      <c r="T604" s="133">
        <f t="shared" si="371"/>
        <v>0</v>
      </c>
      <c r="U604" s="133">
        <f t="shared" si="372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132">
        <f t="shared" si="368"/>
        <v>0</v>
      </c>
      <c r="P605" s="132">
        <f t="shared" si="369"/>
        <v>0</v>
      </c>
      <c r="Q605" s="74">
        <v>0</v>
      </c>
      <c r="R605" s="74">
        <v>0</v>
      </c>
      <c r="S605" s="74">
        <v>0</v>
      </c>
      <c r="T605" s="132">
        <f t="shared" si="371"/>
        <v>0</v>
      </c>
      <c r="U605" s="132">
        <f t="shared" si="372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131">
        <f t="shared" ref="L606:N606" si="377">L607+L608</f>
        <v>0</v>
      </c>
      <c r="M606" s="132">
        <f t="shared" si="377"/>
        <v>0</v>
      </c>
      <c r="N606" s="132">
        <f t="shared" si="377"/>
        <v>0</v>
      </c>
      <c r="O606" s="132">
        <f t="shared" si="368"/>
        <v>0</v>
      </c>
      <c r="P606" s="132">
        <f t="shared" si="369"/>
        <v>0</v>
      </c>
      <c r="Q606" s="132">
        <f t="shared" ref="Q606:S606" si="378">Q607+Q608</f>
        <v>0</v>
      </c>
      <c r="R606" s="132">
        <f t="shared" si="378"/>
        <v>0</v>
      </c>
      <c r="S606" s="132">
        <f t="shared" si="378"/>
        <v>0</v>
      </c>
      <c r="T606" s="132">
        <f t="shared" si="371"/>
        <v>0</v>
      </c>
      <c r="U606" s="132">
        <f t="shared" si="372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133">
        <f t="shared" si="368"/>
        <v>0</v>
      </c>
      <c r="P607" s="133">
        <f t="shared" si="369"/>
        <v>0</v>
      </c>
      <c r="Q607" s="77">
        <v>0</v>
      </c>
      <c r="R607" s="77">
        <v>0</v>
      </c>
      <c r="S607" s="77">
        <v>0</v>
      </c>
      <c r="T607" s="133">
        <f t="shared" si="371"/>
        <v>0</v>
      </c>
      <c r="U607" s="133">
        <f t="shared" si="372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132">
        <f t="shared" si="368"/>
        <v>0</v>
      </c>
      <c r="P608" s="132">
        <f t="shared" si="369"/>
        <v>0</v>
      </c>
      <c r="Q608" s="74">
        <v>0</v>
      </c>
      <c r="R608" s="74">
        <v>0</v>
      </c>
      <c r="S608" s="74">
        <v>0</v>
      </c>
      <c r="T608" s="132">
        <f t="shared" si="371"/>
        <v>0</v>
      </c>
      <c r="U608" s="132">
        <f t="shared" si="372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hidden="1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1245">
        <f t="shared" ref="I616:J616" ca="1" si="379">I627</f>
        <v>0</v>
      </c>
      <c r="J616" s="1245">
        <f t="shared" si="379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214">
        <f t="shared" ref="L617:N617" si="380">L618+L619</f>
        <v>0</v>
      </c>
      <c r="M617" s="215">
        <f t="shared" si="380"/>
        <v>0</v>
      </c>
      <c r="N617" s="215">
        <f t="shared" si="380"/>
        <v>0</v>
      </c>
      <c r="O617" s="215">
        <f t="shared" ref="O617:O625" si="381">IF(L617&gt;0,N617*100/L617,0)</f>
        <v>0</v>
      </c>
      <c r="P617" s="215">
        <f t="shared" ref="P617:P625" si="382">IF(M617&gt;0,N617*100/M617,0)</f>
        <v>0</v>
      </c>
      <c r="Q617" s="215">
        <f t="shared" ref="Q617:S617" ca="1" si="383">Q618+Q619</f>
        <v>1875</v>
      </c>
      <c r="R617" s="215">
        <f t="shared" ca="1" si="383"/>
        <v>1875</v>
      </c>
      <c r="S617" s="215">
        <f t="shared" ca="1" si="383"/>
        <v>0</v>
      </c>
      <c r="T617" s="215">
        <f t="shared" ref="T617:T625" ca="1" si="384">IF(Q617&gt;0,S617*100/Q617,0)</f>
        <v>0</v>
      </c>
      <c r="U617" s="215">
        <f t="shared" ref="U617:U625" ca="1" si="385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217">
        <f t="shared" ref="L618:N619" si="386">L621+L624</f>
        <v>0</v>
      </c>
      <c r="M618" s="133">
        <f t="shared" si="386"/>
        <v>0</v>
      </c>
      <c r="N618" s="133">
        <f t="shared" si="386"/>
        <v>0</v>
      </c>
      <c r="O618" s="133">
        <f t="shared" si="381"/>
        <v>0</v>
      </c>
      <c r="P618" s="133">
        <f t="shared" si="382"/>
        <v>0</v>
      </c>
      <c r="Q618" s="133">
        <f t="shared" ref="Q618:S619" si="387">Q621+Q624</f>
        <v>0</v>
      </c>
      <c r="R618" s="133">
        <f t="shared" si="387"/>
        <v>0</v>
      </c>
      <c r="S618" s="133">
        <f t="shared" si="387"/>
        <v>0</v>
      </c>
      <c r="T618" s="133">
        <f t="shared" si="384"/>
        <v>0</v>
      </c>
      <c r="U618" s="133">
        <f t="shared" si="385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131">
        <f t="shared" si="386"/>
        <v>0</v>
      </c>
      <c r="M619" s="132">
        <f t="shared" si="386"/>
        <v>0</v>
      </c>
      <c r="N619" s="132">
        <f t="shared" si="386"/>
        <v>0</v>
      </c>
      <c r="O619" s="132">
        <f t="shared" si="381"/>
        <v>0</v>
      </c>
      <c r="P619" s="132">
        <f t="shared" si="382"/>
        <v>0</v>
      </c>
      <c r="Q619" s="132">
        <f t="shared" ca="1" si="387"/>
        <v>1875</v>
      </c>
      <c r="R619" s="132">
        <f t="shared" ca="1" si="387"/>
        <v>1875</v>
      </c>
      <c r="S619" s="132">
        <f t="shared" ca="1" si="387"/>
        <v>0</v>
      </c>
      <c r="T619" s="132">
        <f t="shared" ca="1" si="384"/>
        <v>0</v>
      </c>
      <c r="U619" s="132">
        <f t="shared" ca="1" si="385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131">
        <f t="shared" ref="L620:N620" si="388">L621+L622</f>
        <v>0</v>
      </c>
      <c r="M620" s="132">
        <f t="shared" si="388"/>
        <v>0</v>
      </c>
      <c r="N620" s="132">
        <f t="shared" si="388"/>
        <v>0</v>
      </c>
      <c r="O620" s="132">
        <f t="shared" si="381"/>
        <v>0</v>
      </c>
      <c r="P620" s="132">
        <f t="shared" si="382"/>
        <v>0</v>
      </c>
      <c r="Q620" s="132">
        <f t="shared" ref="Q620:S620" ca="1" si="389">Q621+Q622</f>
        <v>1875</v>
      </c>
      <c r="R620" s="132">
        <f t="shared" ca="1" si="389"/>
        <v>1875</v>
      </c>
      <c r="S620" s="132">
        <f t="shared" ca="1" si="389"/>
        <v>0</v>
      </c>
      <c r="T620" s="132">
        <f t="shared" ca="1" si="384"/>
        <v>0</v>
      </c>
      <c r="U620" s="132">
        <f t="shared" ca="1" si="385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133">
        <f t="shared" si="381"/>
        <v>0</v>
      </c>
      <c r="P621" s="133">
        <f t="shared" si="382"/>
        <v>0</v>
      </c>
      <c r="Q621" s="77">
        <v>0</v>
      </c>
      <c r="R621" s="77">
        <v>0</v>
      </c>
      <c r="S621" s="77">
        <v>0</v>
      </c>
      <c r="T621" s="133">
        <f t="shared" si="384"/>
        <v>0</v>
      </c>
      <c r="U621" s="133">
        <f t="shared" si="385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132">
        <f t="shared" si="381"/>
        <v>0</v>
      </c>
      <c r="P622" s="132">
        <f t="shared" si="382"/>
        <v>0</v>
      </c>
      <c r="Q622" s="132">
        <f ca="1">IFERROR(__xludf.DUMMYFUNCTION("IMPORTRANGE(""https://docs.google.com/spreadsheets/d/1ItG2mGa2ceCfYo0BwxsXqNm01IGEUdYcSSLTEv9YCik/edit?usp=sharing"",""เบิกจ่ายกองทุน!F56"")"),1875)</f>
        <v>1875</v>
      </c>
      <c r="R622" s="132">
        <f ca="1">IFERROR(__xludf.DUMMYFUNCTION("IMPORTRANGE(""https://docs.google.com/spreadsheets/d/1ItG2mGa2ceCfYo0BwxsXqNm01IGEUdYcSSLTEv9YCik/edit?usp=sharing"",""เบิกจ่ายกองทุน!G56"")"),1875)</f>
        <v>1875</v>
      </c>
      <c r="S622" s="132">
        <f ca="1">IFERROR(__xludf.DUMMYFUNCTION("IMPORTRANGE(""https://docs.google.com/spreadsheets/d/1ItG2mGa2ceCfYo0BwxsXqNm01IGEUdYcSSLTEv9YCik/edit?usp=sharing"",""เบิกจ่ายกองทุน!H56"")"),0)</f>
        <v>0</v>
      </c>
      <c r="T622" s="132">
        <f t="shared" ca="1" si="384"/>
        <v>0</v>
      </c>
      <c r="U622" s="132">
        <f t="shared" ca="1" si="385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131">
        <f t="shared" ref="L623:N623" si="390">L624+L625</f>
        <v>0</v>
      </c>
      <c r="M623" s="132">
        <f t="shared" si="390"/>
        <v>0</v>
      </c>
      <c r="N623" s="132">
        <f t="shared" si="390"/>
        <v>0</v>
      </c>
      <c r="O623" s="132">
        <f t="shared" si="381"/>
        <v>0</v>
      </c>
      <c r="P623" s="132">
        <f t="shared" si="382"/>
        <v>0</v>
      </c>
      <c r="Q623" s="132">
        <f t="shared" ref="Q623:S623" si="391">Q624+Q625</f>
        <v>0</v>
      </c>
      <c r="R623" s="132">
        <f t="shared" si="391"/>
        <v>0</v>
      </c>
      <c r="S623" s="132">
        <f t="shared" si="391"/>
        <v>0</v>
      </c>
      <c r="T623" s="132">
        <f t="shared" si="384"/>
        <v>0</v>
      </c>
      <c r="U623" s="132">
        <f t="shared" si="385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133">
        <f t="shared" si="381"/>
        <v>0</v>
      </c>
      <c r="P624" s="133">
        <f t="shared" si="382"/>
        <v>0</v>
      </c>
      <c r="Q624" s="77">
        <v>0</v>
      </c>
      <c r="R624" s="77">
        <v>0</v>
      </c>
      <c r="S624" s="77">
        <v>0</v>
      </c>
      <c r="T624" s="133">
        <f t="shared" si="384"/>
        <v>0</v>
      </c>
      <c r="U624" s="133">
        <f t="shared" si="385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132">
        <f t="shared" si="381"/>
        <v>0</v>
      </c>
      <c r="P625" s="132">
        <f t="shared" si="382"/>
        <v>0</v>
      </c>
      <c r="Q625" s="74">
        <v>0</v>
      </c>
      <c r="R625" s="74">
        <v>0</v>
      </c>
      <c r="S625" s="74">
        <v>0</v>
      </c>
      <c r="T625" s="132">
        <f t="shared" si="384"/>
        <v>0</v>
      </c>
      <c r="U625" s="132">
        <f t="shared" si="385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1012">
        <f ca="1">IFERROR(__xludf.DUMMYFUNCTION("IMPORTRANGE(""https://docs.google.com/spreadsheets/d/1eHaY18a8A9IcSdp1K8H6x8fbOy06t2VsZHhMHf-1x7Y/edit?usp=sharing"",""แผน!ID56"")"),0)</f>
        <v>0</v>
      </c>
      <c r="J627" s="1013">
        <f>J633</f>
        <v>0</v>
      </c>
      <c r="K627" s="101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1015">
        <f ca="1">IFERROR(__xludf.DUMMYFUNCTION("IMPORTRANGE(""https://docs.google.com/spreadsheets/d/1eHaY18a8A9IcSdp1K8H6x8fbOy06t2VsZHhMHf-1x7Y/edit?usp=sharing"",""แผน!IC56"")"),1)</f>
        <v>1</v>
      </c>
      <c r="J628" s="294">
        <v>0</v>
      </c>
      <c r="K628" s="74">
        <f t="shared" ref="K628:K629" ca="1" si="392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1015">
        <f ca="1">IFERROR(__xludf.DUMMYFUNCTION("IMPORTRANGE(""https://docs.google.com/spreadsheets/d/1eHaY18a8A9IcSdp1K8H6x8fbOy06t2VsZHhMHf-1x7Y/edit?usp=sharing"",""แผน!IC56"")"),1)</f>
        <v>1</v>
      </c>
      <c r="J629" s="294">
        <v>0</v>
      </c>
      <c r="K629" s="74">
        <f t="shared" ca="1" si="392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1016"/>
      <c r="J630" s="294">
        <v>0</v>
      </c>
      <c r="K630" s="74">
        <f t="shared" ref="K630:K632" ca="1" si="393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1016"/>
      <c r="J631" s="294">
        <v>0</v>
      </c>
      <c r="K631" s="74">
        <f t="shared" ca="1" si="393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1016"/>
      <c r="J632" s="294">
        <v>0</v>
      </c>
      <c r="K632" s="74">
        <f t="shared" ca="1" si="393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1016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1016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1016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1017">
        <f ca="1">IFERROR(__xludf.DUMMYFUNCTION("IMPORTRANGE(""https://docs.google.com/spreadsheets/d/1eHaY18a8A9IcSdp1K8H6x8fbOy06t2VsZHhMHf-1x7Y/edit?usp=sharing"",""แผน!IE56"")"),0)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1016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1016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1016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1016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1016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hidden="1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hidden="1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214">
        <f t="shared" ref="L643:N643" si="394">L644+L645</f>
        <v>0</v>
      </c>
      <c r="M643" s="215">
        <f t="shared" si="394"/>
        <v>0</v>
      </c>
      <c r="N643" s="215">
        <f t="shared" si="394"/>
        <v>0</v>
      </c>
      <c r="O643" s="215">
        <f t="shared" ref="O643:O651" si="395">IF(L643&gt;0,N643*100/L643,0)</f>
        <v>0</v>
      </c>
      <c r="P643" s="215">
        <f t="shared" ref="P643:P651" si="396">IF(M643&gt;0,N643*100/M643,0)</f>
        <v>0</v>
      </c>
      <c r="Q643" s="215">
        <f t="shared" ref="Q643:S643" ca="1" si="397">Q644+Q645</f>
        <v>0</v>
      </c>
      <c r="R643" s="215">
        <f t="shared" ca="1" si="397"/>
        <v>0</v>
      </c>
      <c r="S643" s="215">
        <f t="shared" ca="1" si="397"/>
        <v>0</v>
      </c>
      <c r="T643" s="215">
        <f t="shared" ref="T643:T651" ca="1" si="398">IF(Q643&gt;0,S643*100/Q643,0)</f>
        <v>0</v>
      </c>
      <c r="U643" s="215">
        <f t="shared" ref="U643:U651" ca="1" si="399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217">
        <f t="shared" ref="L644:N645" si="400">L647+L650</f>
        <v>0</v>
      </c>
      <c r="M644" s="133">
        <f t="shared" si="400"/>
        <v>0</v>
      </c>
      <c r="N644" s="133">
        <f t="shared" si="400"/>
        <v>0</v>
      </c>
      <c r="O644" s="133">
        <f t="shared" si="395"/>
        <v>0</v>
      </c>
      <c r="P644" s="133">
        <f t="shared" si="396"/>
        <v>0</v>
      </c>
      <c r="Q644" s="133">
        <f t="shared" ref="Q644:S645" si="401">Q647+Q650</f>
        <v>0</v>
      </c>
      <c r="R644" s="133">
        <f t="shared" si="401"/>
        <v>0</v>
      </c>
      <c r="S644" s="133">
        <f t="shared" si="401"/>
        <v>0</v>
      </c>
      <c r="T644" s="133">
        <f t="shared" si="398"/>
        <v>0</v>
      </c>
      <c r="U644" s="133">
        <f t="shared" si="399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131">
        <f t="shared" si="400"/>
        <v>0</v>
      </c>
      <c r="M645" s="132">
        <f t="shared" si="400"/>
        <v>0</v>
      </c>
      <c r="N645" s="132">
        <f t="shared" si="400"/>
        <v>0</v>
      </c>
      <c r="O645" s="132">
        <f t="shared" si="395"/>
        <v>0</v>
      </c>
      <c r="P645" s="132">
        <f t="shared" si="396"/>
        <v>0</v>
      </c>
      <c r="Q645" s="132">
        <f t="shared" ca="1" si="401"/>
        <v>0</v>
      </c>
      <c r="R645" s="132">
        <f t="shared" ca="1" si="401"/>
        <v>0</v>
      </c>
      <c r="S645" s="132">
        <f t="shared" ca="1" si="401"/>
        <v>0</v>
      </c>
      <c r="T645" s="132">
        <f t="shared" ca="1" si="398"/>
        <v>0</v>
      </c>
      <c r="U645" s="132">
        <f t="shared" ca="1" si="399"/>
        <v>0</v>
      </c>
    </row>
    <row r="646" spans="1:21" ht="18.75" hidden="1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131">
        <f t="shared" ref="L646:N646" si="402">L647+L648</f>
        <v>0</v>
      </c>
      <c r="M646" s="132">
        <f t="shared" si="402"/>
        <v>0</v>
      </c>
      <c r="N646" s="132">
        <f t="shared" si="402"/>
        <v>0</v>
      </c>
      <c r="O646" s="132">
        <f t="shared" si="395"/>
        <v>0</v>
      </c>
      <c r="P646" s="132">
        <f t="shared" si="396"/>
        <v>0</v>
      </c>
      <c r="Q646" s="132">
        <f t="shared" ref="Q646:S646" ca="1" si="403">Q647+Q648</f>
        <v>0</v>
      </c>
      <c r="R646" s="132">
        <f t="shared" ca="1" si="403"/>
        <v>0</v>
      </c>
      <c r="S646" s="132">
        <f t="shared" ca="1" si="403"/>
        <v>0</v>
      </c>
      <c r="T646" s="132">
        <f t="shared" ca="1" si="398"/>
        <v>0</v>
      </c>
      <c r="U646" s="132">
        <f t="shared" ca="1" si="399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133">
        <f t="shared" si="395"/>
        <v>0</v>
      </c>
      <c r="P647" s="133">
        <f t="shared" si="396"/>
        <v>0</v>
      </c>
      <c r="Q647" s="77">
        <v>0</v>
      </c>
      <c r="R647" s="77">
        <v>0</v>
      </c>
      <c r="S647" s="77">
        <v>0</v>
      </c>
      <c r="T647" s="133">
        <f t="shared" si="398"/>
        <v>0</v>
      </c>
      <c r="U647" s="133">
        <f t="shared" si="399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132">
        <f t="shared" si="395"/>
        <v>0</v>
      </c>
      <c r="P648" s="132">
        <f t="shared" si="396"/>
        <v>0</v>
      </c>
      <c r="Q648" s="132">
        <f ca="1">IFERROR(__xludf.DUMMYFUNCTION("IMPORTRANGE(""https://docs.google.com/spreadsheets/d/1ItG2mGa2ceCfYo0BwxsXqNm01IGEUdYcSSLTEv9YCik/edit?usp=sharing"",""เบิกจ่ายกองทุน!I56"")"),0)</f>
        <v>0</v>
      </c>
      <c r="R648" s="132">
        <f ca="1">IFERROR(__xludf.DUMMYFUNCTION("IMPORTRANGE(""https://docs.google.com/spreadsheets/d/1ItG2mGa2ceCfYo0BwxsXqNm01IGEUdYcSSLTEv9YCik/edit?usp=sharing"",""เบิกจ่ายกองทุน!J56"")"),0)</f>
        <v>0</v>
      </c>
      <c r="S648" s="132">
        <f ca="1">IFERROR(__xludf.DUMMYFUNCTION("IMPORTRANGE(""https://docs.google.com/spreadsheets/d/1ItG2mGa2ceCfYo0BwxsXqNm01IGEUdYcSSLTEv9YCik/edit?usp=sharing"",""เบิกจ่ายกองทุน!K56"")"),0)</f>
        <v>0</v>
      </c>
      <c r="T648" s="132">
        <f t="shared" ca="1" si="398"/>
        <v>0</v>
      </c>
      <c r="U648" s="132">
        <f t="shared" ca="1" si="399"/>
        <v>0</v>
      </c>
    </row>
    <row r="649" spans="1:21" ht="18.75" hidden="1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131">
        <f t="shared" ref="L649:N649" si="404">L650+L651</f>
        <v>0</v>
      </c>
      <c r="M649" s="132">
        <f t="shared" si="404"/>
        <v>0</v>
      </c>
      <c r="N649" s="132">
        <f t="shared" si="404"/>
        <v>0</v>
      </c>
      <c r="O649" s="132">
        <f t="shared" si="395"/>
        <v>0</v>
      </c>
      <c r="P649" s="132">
        <f t="shared" si="396"/>
        <v>0</v>
      </c>
      <c r="Q649" s="132">
        <f t="shared" ref="Q649:S649" si="405">Q650+Q651</f>
        <v>0</v>
      </c>
      <c r="R649" s="132">
        <f t="shared" si="405"/>
        <v>0</v>
      </c>
      <c r="S649" s="132">
        <f t="shared" si="405"/>
        <v>0</v>
      </c>
      <c r="T649" s="132">
        <f t="shared" si="398"/>
        <v>0</v>
      </c>
      <c r="U649" s="132">
        <f t="shared" si="399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133">
        <f t="shared" si="395"/>
        <v>0</v>
      </c>
      <c r="P650" s="133">
        <f t="shared" si="396"/>
        <v>0</v>
      </c>
      <c r="Q650" s="77">
        <v>0</v>
      </c>
      <c r="R650" s="77">
        <v>0</v>
      </c>
      <c r="S650" s="77">
        <v>0</v>
      </c>
      <c r="T650" s="133">
        <f t="shared" si="398"/>
        <v>0</v>
      </c>
      <c r="U650" s="133">
        <f t="shared" si="399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132">
        <f t="shared" si="395"/>
        <v>0</v>
      </c>
      <c r="P651" s="132">
        <f t="shared" si="396"/>
        <v>0</v>
      </c>
      <c r="Q651" s="74">
        <v>0</v>
      </c>
      <c r="R651" s="74">
        <v>0</v>
      </c>
      <c r="S651" s="74">
        <v>0</v>
      </c>
      <c r="T651" s="132">
        <f t="shared" si="398"/>
        <v>0</v>
      </c>
      <c r="U651" s="132">
        <f t="shared" si="399"/>
        <v>0</v>
      </c>
    </row>
    <row r="652" spans="1:21" ht="19.5" hidden="1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IFERROR(__xludf.DUMMYFUNCTION("IMPORTRANGE(""https://docs.google.com/spreadsheets/d/1eHaY18a8A9IcSdp1K8H6x8fbOy06t2VsZHhMHf-1x7Y/edit?usp=sharing"",""แผน!IF56"")"),0)</f>
        <v>0</v>
      </c>
      <c r="J653" s="293">
        <f ca="1">IFERROR(__xludf.DUMMYFUNCTION("IMPORTRANGE(""https://docs.google.com/spreadsheets/d/1tdoBKaGub7dwA3U6UFTqxio9LNnvDCQjHKmttSEBsFQ/edit?usp=sharing"",""จัดที่ดิน!AU56"")"),0)</f>
        <v>0</v>
      </c>
      <c r="K653" s="74">
        <f t="shared" ref="K653:K655" ca="1" si="406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hidden="1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IFERROR(__xludf.DUMMYFUNCTION("IMPORTRANGE(""https://docs.google.com/spreadsheets/d/1eHaY18a8A9IcSdp1K8H6x8fbOy06t2VsZHhMHf-1x7Y/edit?usp=sharing"",""แผน!IG56"")"),0)</f>
        <v>0</v>
      </c>
      <c r="J654" s="293">
        <f ca="1">IFERROR(__xludf.DUMMYFUNCTION("IMPORTRANGE(""https://docs.google.com/spreadsheets/d/1tdoBKaGub7dwA3U6UFTqxio9LNnvDCQjHKmttSEBsFQ/edit?usp=sharing"",""จัดที่ดิน!AW56"")"),0)</f>
        <v>0</v>
      </c>
      <c r="K654" s="74">
        <f t="shared" ca="1" si="406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hidden="1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IFERROR(__xludf.DUMMYFUNCTION("IMPORTRANGE(""https://docs.google.com/spreadsheets/d/1eHaY18a8A9IcSdp1K8H6x8fbOy06t2VsZHhMHf-1x7Y/edit?usp=sharing"",""แผน!IH56"")"),0)</f>
        <v>0</v>
      </c>
      <c r="J655" s="622">
        <f>J658+J661</f>
        <v>0</v>
      </c>
      <c r="K655" s="264">
        <f t="shared" ca="1" si="406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hidden="1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hidden="1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hidden="1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IFERROR(__xludf.DUMMYFUNCTION("IMPORTRANGE(""https://docs.google.com/spreadsheets/d/1eHaY18a8A9IcSdp1K8H6x8fbOy06t2VsZHhMHf-1x7Y/edit?usp=sharing"",""แผน!II56"")"),0)</f>
        <v>0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hidden="1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hidden="1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hidden="1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IFERROR(__xludf.DUMMYFUNCTION("IMPORTRANGE(""https://docs.google.com/spreadsheets/d/1eHaY18a8A9IcSdp1K8H6x8fbOy06t2VsZHhMHf-1x7Y/edit?usp=sharing"",""แผน!IJ56"")"),0)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hidden="1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IFERROR(__xludf.DUMMYFUNCTION("IMPORTRANGE(""https://docs.google.com/spreadsheets/d/1eHaY18a8A9IcSdp1K8H6x8fbOy06t2VsZHhMHf-1x7Y/edit?usp=sharing"",""แผน!IK56"")"),0)</f>
        <v>0</v>
      </c>
      <c r="J662" s="622">
        <f>J668+J671</f>
        <v>0</v>
      </c>
      <c r="K662" s="264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hidden="1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hidden="1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hidden="1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hidden="1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hidden="1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hidden="1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hidden="1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hidden="1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hidden="1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hidden="1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IFERROR(__xludf.DUMMYFUNCTION("IMPORTRANGE(""https://docs.google.com/spreadsheets/d/1tdoBKaGub7dwA3U6UFTqxio9LNnvDCQjHKmttSEBsFQ/edit?usp=sharing"",""จัดที่ดิน!AY56"")"),0)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hidden="1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IFERROR(__xludf.DUMMYFUNCTION("IMPORTRANGE(""https://docs.google.com/spreadsheets/d/1tdoBKaGub7dwA3U6UFTqxio9LNnvDCQjHKmttSEBsFQ/edit?usp=sharing"",""จัดที่ดิน!AZ56"")"),0)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hidden="1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 t="str">
        <f ca="1">IFERROR(__xludf.DUMMYFUNCTION("IMPORTRANGE(""https://docs.google.com/spreadsheets/d/1eHaY18a8A9IcSdp1K8H6x8fbOy06t2VsZHhMHf-1x7Y/edit?usp=sharing"",""แผน!IL56"")"),"")</f>
        <v/>
      </c>
      <c r="J674" s="293">
        <f ca="1">IFERROR(__xludf.DUMMYFUNCTION("IMPORTRANGE(""https://docs.google.com/spreadsheets/d/1tdoBKaGub7dwA3U6UFTqxio9LNnvDCQjHKmttSEBsFQ/edit?usp=sharing"",""จัดที่ดิน!BA56"")"),0)</f>
        <v>0</v>
      </c>
      <c r="K674" s="74" t="e">
        <f t="shared" ref="K674:K677" ca="1" si="407">IF(I674&gt;0,J674*100/I674,0)</f>
        <v>#VALUE!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hidden="1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IFERROR(__xludf.DUMMYFUNCTION("IMPORTRANGE(""https://docs.google.com/spreadsheets/d/1eHaY18a8A9IcSdp1K8H6x8fbOy06t2VsZHhMHf-1x7Y/edit?usp=sharing"",""แผน!IM56"")"),0)</f>
        <v>0</v>
      </c>
      <c r="J675" s="622">
        <f ca="1">J677+J680</f>
        <v>0</v>
      </c>
      <c r="K675" s="264">
        <f t="shared" ca="1" si="407"/>
        <v>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hidden="1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IFERROR(__xludf.DUMMYFUNCTION("IMPORTRANGE(""https://docs.google.com/spreadsheets/d/1eHaY18a8A9IcSdp1K8H6x8fbOy06t2VsZHhMHf-1x7Y/edit?usp=sharing"",""แผน!IN56"")"),0)</f>
        <v>0</v>
      </c>
      <c r="J676" s="622">
        <f ca="1">J679+J682</f>
        <v>0</v>
      </c>
      <c r="K676" s="264">
        <f t="shared" ca="1" si="407"/>
        <v>0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hidden="1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IFERROR(__xludf.DUMMYFUNCTION("IMPORTRANGE(""https://docs.google.com/spreadsheets/d/1eHaY18a8A9IcSdp1K8H6x8fbOy06t2VsZHhMHf-1x7Y/edit?usp=sharing"",""แผน!IO56"")"),0)</f>
        <v>0</v>
      </c>
      <c r="J677" s="293">
        <f ca="1">IFERROR(__xludf.DUMMYFUNCTION("IMPORTRANGE(""https://docs.google.com/spreadsheets/d/1tdoBKaGub7dwA3U6UFTqxio9LNnvDCQjHKmttSEBsFQ/edit?usp=sharing"",""จัดที่ดิน!BF56"")"),0)</f>
        <v>0</v>
      </c>
      <c r="K677" s="74">
        <f t="shared" ca="1" si="407"/>
        <v>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hidden="1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IFERROR(__xludf.DUMMYFUNCTION("IMPORTRANGE(""https://docs.google.com/spreadsheets/d/1tdoBKaGub7dwA3U6UFTqxio9LNnvDCQjHKmttSEBsFQ/edit?usp=sharing"",""จัดที่ดิน!BG56"")"),0)</f>
        <v>0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hidden="1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IFERROR(__xludf.DUMMYFUNCTION("IMPORTRANGE(""https://docs.google.com/spreadsheets/d/1eHaY18a8A9IcSdp1K8H6x8fbOy06t2VsZHhMHf-1x7Y/edit?usp=sharing"",""แผน!IP56"")"),0)</f>
        <v>0</v>
      </c>
      <c r="J679" s="293">
        <f ca="1">IFERROR(__xludf.DUMMYFUNCTION("IMPORTRANGE(""https://docs.google.com/spreadsheets/d/1tdoBKaGub7dwA3U6UFTqxio9LNnvDCQjHKmttSEBsFQ/edit?usp=sharing"",""จัดที่ดิน!BH56"")"),0)</f>
        <v>0</v>
      </c>
      <c r="K679" s="74">
        <f t="shared" ref="K679:K680" ca="1" si="408">IF(I679&gt;0,J679*100/I679,0)</f>
        <v>0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hidden="1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IFERROR(__xludf.DUMMYFUNCTION("IMPORTRANGE(""https://docs.google.com/spreadsheets/d/1eHaY18a8A9IcSdp1K8H6x8fbOy06t2VsZHhMHf-1x7Y/edit?usp=sharing"",""แผน!IQ56"")"),0)</f>
        <v>0</v>
      </c>
      <c r="J680" s="293">
        <f ca="1">IFERROR(__xludf.DUMMYFUNCTION("IMPORTRANGE(""https://docs.google.com/spreadsheets/d/1tdoBKaGub7dwA3U6UFTqxio9LNnvDCQjHKmttSEBsFQ/edit?usp=sharing"",""จัดที่ดิน!BK56"")"),0)</f>
        <v>0</v>
      </c>
      <c r="K680" s="74">
        <f t="shared" ca="1" si="408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hidden="1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IFERROR(__xludf.DUMMYFUNCTION("IMPORTRANGE(""https://docs.google.com/spreadsheets/d/1tdoBKaGub7dwA3U6UFTqxio9LNnvDCQjHKmttSEBsFQ/edit?usp=sharing"",""จัดที่ดิน!BL56"")"),0)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hidden="1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IFERROR(__xludf.DUMMYFUNCTION("IMPORTRANGE(""https://docs.google.com/spreadsheets/d/1eHaY18a8A9IcSdp1K8H6x8fbOy06t2VsZHhMHf-1x7Y/edit?usp=sharing"",""แผน!IR56"")"),0)</f>
        <v>0</v>
      </c>
      <c r="J682" s="293">
        <f ca="1">IFERROR(__xludf.DUMMYFUNCTION("IMPORTRANGE(""https://docs.google.com/spreadsheets/d/1tdoBKaGub7dwA3U6UFTqxio9LNnvDCQjHKmttSEBsFQ/edit?usp=sharing"",""จัดที่ดิน!BM56"")"),0)</f>
        <v>0</v>
      </c>
      <c r="K682" s="74">
        <f t="shared" ref="K682:K683" ca="1" si="409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hidden="1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IFERROR(__xludf.DUMMYFUNCTION("IMPORTRANGE(""https://docs.google.com/spreadsheets/d/1eHaY18a8A9IcSdp1K8H6x8fbOy06t2VsZHhMHf-1x7Y/edit?usp=sharing"",""แผน!IS56"")"),0)</f>
        <v>0</v>
      </c>
      <c r="J683" s="622">
        <f>J686+J689</f>
        <v>0</v>
      </c>
      <c r="K683" s="264">
        <f t="shared" ca="1" si="409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hidden="1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hidden="1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hidden="1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hidden="1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hidden="1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hidden="1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64" t="s">
        <v>35</v>
      </c>
      <c r="I690" s="765">
        <f t="shared" ref="I690:J690" ca="1" si="410">I708</f>
        <v>65</v>
      </c>
      <c r="J690" s="765">
        <f t="shared" ca="1" si="410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214">
        <f t="shared" ref="L691:N691" si="411">L692+L693</f>
        <v>0</v>
      </c>
      <c r="M691" s="215">
        <f t="shared" si="411"/>
        <v>0</v>
      </c>
      <c r="N691" s="215">
        <f t="shared" si="411"/>
        <v>0</v>
      </c>
      <c r="O691" s="215">
        <f t="shared" ref="O691:O699" si="412">IF(L691&gt;0,N691*100/L691,0)</f>
        <v>0</v>
      </c>
      <c r="P691" s="215">
        <f t="shared" ref="P691:P699" si="413">IF(M691&gt;0,N691*100/M691,0)</f>
        <v>0</v>
      </c>
      <c r="Q691" s="215">
        <f t="shared" ref="Q691:S691" ca="1" si="414">Q692+Q693</f>
        <v>169770</v>
      </c>
      <c r="R691" s="215">
        <f t="shared" ca="1" si="414"/>
        <v>169770</v>
      </c>
      <c r="S691" s="215">
        <f t="shared" ca="1" si="414"/>
        <v>26475</v>
      </c>
      <c r="T691" s="215">
        <f t="shared" ref="T691:T699" ca="1" si="415">IF(Q691&gt;0,S691*100/Q691,0)</f>
        <v>15.59462802615303</v>
      </c>
      <c r="U691" s="215">
        <f t="shared" ref="U691:U699" ca="1" si="416">IF(R691&gt;0,S691*100/R691,0)</f>
        <v>15.59462802615303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217">
        <f t="shared" ref="L692:N693" si="417">L695+L698</f>
        <v>0</v>
      </c>
      <c r="M692" s="133">
        <f t="shared" si="417"/>
        <v>0</v>
      </c>
      <c r="N692" s="133">
        <f t="shared" si="417"/>
        <v>0</v>
      </c>
      <c r="O692" s="133">
        <f t="shared" si="412"/>
        <v>0</v>
      </c>
      <c r="P692" s="133">
        <f t="shared" si="413"/>
        <v>0</v>
      </c>
      <c r="Q692" s="133">
        <f t="shared" ref="Q692:S693" si="418">Q695+Q698</f>
        <v>0</v>
      </c>
      <c r="R692" s="133">
        <f t="shared" si="418"/>
        <v>0</v>
      </c>
      <c r="S692" s="133">
        <f t="shared" si="418"/>
        <v>0</v>
      </c>
      <c r="T692" s="133">
        <f t="shared" si="415"/>
        <v>0</v>
      </c>
      <c r="U692" s="133">
        <f t="shared" si="416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131">
        <f t="shared" si="417"/>
        <v>0</v>
      </c>
      <c r="M693" s="132">
        <f t="shared" si="417"/>
        <v>0</v>
      </c>
      <c r="N693" s="132">
        <f t="shared" si="417"/>
        <v>0</v>
      </c>
      <c r="O693" s="132">
        <f t="shared" si="412"/>
        <v>0</v>
      </c>
      <c r="P693" s="132">
        <f t="shared" si="413"/>
        <v>0</v>
      </c>
      <c r="Q693" s="132">
        <f t="shared" ca="1" si="418"/>
        <v>169770</v>
      </c>
      <c r="R693" s="132">
        <f t="shared" ca="1" si="418"/>
        <v>169770</v>
      </c>
      <c r="S693" s="132">
        <f t="shared" ca="1" si="418"/>
        <v>26475</v>
      </c>
      <c r="T693" s="132">
        <f t="shared" ca="1" si="415"/>
        <v>15.59462802615303</v>
      </c>
      <c r="U693" s="132">
        <f t="shared" ca="1" si="416"/>
        <v>15.59462802615303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131">
        <f t="shared" ref="L694:N694" si="419">L695+L696</f>
        <v>0</v>
      </c>
      <c r="M694" s="132">
        <f t="shared" si="419"/>
        <v>0</v>
      </c>
      <c r="N694" s="132">
        <f t="shared" si="419"/>
        <v>0</v>
      </c>
      <c r="O694" s="132">
        <f t="shared" si="412"/>
        <v>0</v>
      </c>
      <c r="P694" s="132">
        <f t="shared" si="413"/>
        <v>0</v>
      </c>
      <c r="Q694" s="132">
        <f t="shared" ref="Q694:S694" ca="1" si="420">Q695+Q696</f>
        <v>169770</v>
      </c>
      <c r="R694" s="132">
        <f t="shared" ca="1" si="420"/>
        <v>169770</v>
      </c>
      <c r="S694" s="132">
        <f t="shared" ca="1" si="420"/>
        <v>26475</v>
      </c>
      <c r="T694" s="132">
        <f t="shared" ca="1" si="415"/>
        <v>15.59462802615303</v>
      </c>
      <c r="U694" s="132">
        <f t="shared" ca="1" si="416"/>
        <v>15.59462802615303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133">
        <f t="shared" si="412"/>
        <v>0</v>
      </c>
      <c r="P695" s="133">
        <f t="shared" si="413"/>
        <v>0</v>
      </c>
      <c r="Q695" s="77">
        <v>0</v>
      </c>
      <c r="R695" s="77">
        <v>0</v>
      </c>
      <c r="S695" s="77">
        <v>0</v>
      </c>
      <c r="T695" s="133">
        <f t="shared" si="415"/>
        <v>0</v>
      </c>
      <c r="U695" s="133">
        <f t="shared" si="416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132">
        <f t="shared" si="412"/>
        <v>0</v>
      </c>
      <c r="P696" s="132">
        <f t="shared" si="413"/>
        <v>0</v>
      </c>
      <c r="Q696" s="132">
        <f ca="1">IFERROR(__xludf.DUMMYFUNCTION("IMPORTRANGE(""https://docs.google.com/spreadsheets/d/1ItG2mGa2ceCfYo0BwxsXqNm01IGEUdYcSSLTEv9YCik/edit?usp=sharing"",""เบิกจ่ายกองทุน!L56"")"),169770)</f>
        <v>169770</v>
      </c>
      <c r="R696" s="132">
        <f ca="1">IFERROR(__xludf.DUMMYFUNCTION("IMPORTRANGE(""https://docs.google.com/spreadsheets/d/1ItG2mGa2ceCfYo0BwxsXqNm01IGEUdYcSSLTEv9YCik/edit?usp=sharing"",""เบิกจ่ายกองทุน!M56"")"),169770)</f>
        <v>169770</v>
      </c>
      <c r="S696" s="132">
        <f ca="1">IFERROR(__xludf.DUMMYFUNCTION("IMPORTRANGE(""https://docs.google.com/spreadsheets/d/1ItG2mGa2ceCfYo0BwxsXqNm01IGEUdYcSSLTEv9YCik/edit?usp=sharing"",""เบิกจ่ายกองทุน!N56"")"),26475)</f>
        <v>26475</v>
      </c>
      <c r="T696" s="132">
        <f t="shared" ca="1" si="415"/>
        <v>15.59462802615303</v>
      </c>
      <c r="U696" s="132">
        <f t="shared" ca="1" si="416"/>
        <v>15.59462802615303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131">
        <f t="shared" ref="L697:N697" si="421">L698+L699</f>
        <v>0</v>
      </c>
      <c r="M697" s="132">
        <f t="shared" si="421"/>
        <v>0</v>
      </c>
      <c r="N697" s="132">
        <f t="shared" si="421"/>
        <v>0</v>
      </c>
      <c r="O697" s="132">
        <f t="shared" si="412"/>
        <v>0</v>
      </c>
      <c r="P697" s="132">
        <f t="shared" si="413"/>
        <v>0</v>
      </c>
      <c r="Q697" s="132">
        <f t="shared" ref="Q697:S697" si="422">Q698+Q699</f>
        <v>0</v>
      </c>
      <c r="R697" s="132">
        <f t="shared" si="422"/>
        <v>0</v>
      </c>
      <c r="S697" s="132">
        <f t="shared" si="422"/>
        <v>0</v>
      </c>
      <c r="T697" s="132">
        <f t="shared" si="415"/>
        <v>0</v>
      </c>
      <c r="U697" s="132">
        <f t="shared" si="416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133">
        <f t="shared" si="412"/>
        <v>0</v>
      </c>
      <c r="P698" s="133">
        <f t="shared" si="413"/>
        <v>0</v>
      </c>
      <c r="Q698" s="77">
        <v>0</v>
      </c>
      <c r="R698" s="77">
        <v>0</v>
      </c>
      <c r="S698" s="77">
        <v>0</v>
      </c>
      <c r="T698" s="133">
        <f t="shared" si="415"/>
        <v>0</v>
      </c>
      <c r="U698" s="133">
        <f t="shared" si="416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132">
        <f t="shared" si="412"/>
        <v>0</v>
      </c>
      <c r="P699" s="132">
        <f t="shared" si="413"/>
        <v>0</v>
      </c>
      <c r="Q699" s="74">
        <v>0</v>
      </c>
      <c r="R699" s="74">
        <v>0</v>
      </c>
      <c r="S699" s="74">
        <v>0</v>
      </c>
      <c r="T699" s="132">
        <f t="shared" si="415"/>
        <v>0</v>
      </c>
      <c r="U699" s="132">
        <f t="shared" si="416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IFERROR(__xludf.DUMMYFUNCTION("IMPORTRANGE(""https://docs.google.com/spreadsheets/d/1eHaY18a8A9IcSdp1K8H6x8fbOy06t2VsZHhMHf-1x7Y/edit?usp=sharing"",""แผน!LC56"")"),0)</f>
        <v>0</v>
      </c>
      <c r="J701" s="294">
        <v>0</v>
      </c>
      <c r="K701" s="768">
        <f t="shared" ref="K701:K709" ca="1" si="423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ca="1">IFERROR(__xludf.DUMMYFUNCTION("IMPORTRANGE(""https://docs.google.com/spreadsheets/d/1eHaY18a8A9IcSdp1K8H6x8fbOy06t2VsZHhMHf-1x7Y/edit?usp=sharing"",""แผน!LI56"")"),68)</f>
        <v>68</v>
      </c>
      <c r="J702" s="622">
        <f ca="1">IFERROR(__xludf.DUMMYFUNCTION("IMPORTRANGE(""https://docs.google.com/spreadsheets/d/1tdoBKaGub7dwA3U6UFTqxio9LNnvDCQjHKmttSEBsFQ/edit?usp=sharing"",""จัดที่ดิน!AP56"")"),0)</f>
        <v>0</v>
      </c>
      <c r="K702" s="264">
        <f t="shared" ca="1" si="423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IFERROR(__xludf.DUMMYFUNCTION("IMPORTRANGE(""https://docs.google.com/spreadsheets/d/1tdoBKaGub7dwA3U6UFTqxio9LNnvDCQjHKmttSEBsFQ/edit?usp=sharing"",""จัดที่ดิน!AQ56"")"),0)</f>
        <v>0</v>
      </c>
      <c r="K703" s="264">
        <f t="shared" si="423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IFERROR(__xludf.DUMMYFUNCTION("IMPORTRANGE(""https://docs.google.com/spreadsheets/d/1eHaY18a8A9IcSdp1K8H6x8fbOy06t2VsZHhMHf-1x7Y/edit?usp=sharing"",""แผน!LJ56"")"),65)</f>
        <v>65</v>
      </c>
      <c r="J704" s="293">
        <f ca="1">IFERROR(__xludf.DUMMYFUNCTION("IMPORTRANGE(""https://docs.google.com/spreadsheets/d/1tdoBKaGub7dwA3U6UFTqxio9LNnvDCQjHKmttSEBsFQ/edit?usp=sharing"",""จัดที่ดิน!AP56"")"),0)</f>
        <v>0</v>
      </c>
      <c r="K704" s="74">
        <f t="shared" ca="1" si="423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IFERROR(__xludf.DUMMYFUNCTION("IMPORTRANGE(""https://docs.google.com/spreadsheets/d/1tdoBKaGub7dwA3U6UFTqxio9LNnvDCQjHKmttSEBsFQ/edit?usp=sharing"",""จัดที่ดิน!AP56"")"),0)</f>
        <v>0</v>
      </c>
      <c r="K705" s="74">
        <f t="shared" si="423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IFERROR(__xludf.DUMMYFUNCTION("IMPORTRANGE(""https://docs.google.com/spreadsheets/d/1eHaY18a8A9IcSdp1K8H6x8fbOy06t2VsZHhMHf-1x7Y/edit?usp=sharing"",""แผน!LK56"")"),3)</f>
        <v>3</v>
      </c>
      <c r="J706" s="293">
        <f ca="1">IFERROR(__xludf.DUMMYFUNCTION("IMPORTRANGE(""https://docs.google.com/spreadsheets/d/1tdoBKaGub7dwA3U6UFTqxio9LNnvDCQjHKmttSEBsFQ/edit?usp=sharing"",""จัดที่ดิน!AQ56"")"),0)</f>
        <v>0</v>
      </c>
      <c r="K706" s="768">
        <f t="shared" ca="1" si="423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IFERROR(__xludf.DUMMYFUNCTION("IMPORTRANGE(""https://docs.google.com/spreadsheets/d/1tdoBKaGub7dwA3U6UFTqxio9LNnvDCQjHKmttSEBsFQ/edit?usp=sharing"",""จัดที่ดิน!AP56"")"),0)</f>
        <v>0</v>
      </c>
      <c r="K707" s="74">
        <f t="shared" si="423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IFERROR(__xludf.DUMMYFUNCTION("IMPORTRANGE(""https://docs.google.com/spreadsheets/d/1eHaY18a8A9IcSdp1K8H6x8fbOy06t2VsZHhMHf-1x7Y/edit?usp=sharing"",""แผน!LJ56"")"),65)</f>
        <v>65</v>
      </c>
      <c r="J708" s="293">
        <f ca="1">IFERROR(__xludf.DUMMYFUNCTION("IMPORTRANGE(""https://docs.google.com/spreadsheets/d/1tdoBKaGub7dwA3U6UFTqxio9LNnvDCQjHKmttSEBsFQ/edit?usp=sharing"",""จัดที่ดิน!AR56"")"),0)</f>
        <v>0</v>
      </c>
      <c r="K708" s="74">
        <f t="shared" ca="1" si="423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IFERROR(__xludf.DUMMYFUNCTION("IMPORTRANGE(""https://docs.google.com/spreadsheets/d/1tdoBKaGub7dwA3U6UFTqxio9LNnvDCQjHKmttSEBsFQ/edit?usp=sharing"",""จัดที่ดิน!AS56"")"),0)</f>
        <v>0</v>
      </c>
      <c r="K709" s="74">
        <f t="shared" si="423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IFERROR(__xludf.DUMMYFUNCTION("IMPORTRANGE(""https://docs.google.com/spreadsheets/d/1eHaY18a8A9IcSdp1K8H6x8fbOy06t2VsZHhMHf-1x7Y/edit?usp=sharing"",""แผน!LK56"")"),3)</f>
        <v>3</v>
      </c>
      <c r="J710" s="293">
        <v>0</v>
      </c>
      <c r="K710" s="74"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v>0</v>
      </c>
      <c r="K711" s="74"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214">
        <f t="shared" ref="L715:N715" si="424">L716+L717</f>
        <v>0</v>
      </c>
      <c r="M715" s="215">
        <f t="shared" si="424"/>
        <v>0</v>
      </c>
      <c r="N715" s="215">
        <f t="shared" si="424"/>
        <v>0</v>
      </c>
      <c r="O715" s="215">
        <f t="shared" ref="O715:O723" si="425">IF(L715&gt;0,N715*100/L715,0)</f>
        <v>0</v>
      </c>
      <c r="P715" s="215">
        <f t="shared" ref="P715:P723" si="426">IF(M715&gt;0,N715*100/M715,0)</f>
        <v>0</v>
      </c>
      <c r="Q715" s="215">
        <f t="shared" ref="Q715:S715" si="427">Q716+Q717</f>
        <v>0</v>
      </c>
      <c r="R715" s="215">
        <f t="shared" si="427"/>
        <v>0</v>
      </c>
      <c r="S715" s="215">
        <f t="shared" si="427"/>
        <v>0</v>
      </c>
      <c r="T715" s="215">
        <f t="shared" ref="T715:T723" si="428">IF(Q715&gt;0,S715*100/Q715,0)</f>
        <v>0</v>
      </c>
      <c r="U715" s="215">
        <f t="shared" ref="U715:U723" si="429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217">
        <f t="shared" ref="L716:N717" si="430">L719+L722</f>
        <v>0</v>
      </c>
      <c r="M716" s="133">
        <f t="shared" si="430"/>
        <v>0</v>
      </c>
      <c r="N716" s="133">
        <f t="shared" si="430"/>
        <v>0</v>
      </c>
      <c r="O716" s="133">
        <f t="shared" si="425"/>
        <v>0</v>
      </c>
      <c r="P716" s="133">
        <f t="shared" si="426"/>
        <v>0</v>
      </c>
      <c r="Q716" s="133">
        <f t="shared" ref="Q716:S717" si="431">Q719+Q722</f>
        <v>0</v>
      </c>
      <c r="R716" s="133">
        <f t="shared" si="431"/>
        <v>0</v>
      </c>
      <c r="S716" s="133">
        <f t="shared" si="431"/>
        <v>0</v>
      </c>
      <c r="T716" s="133">
        <f t="shared" si="428"/>
        <v>0</v>
      </c>
      <c r="U716" s="133">
        <f t="shared" si="429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131">
        <f t="shared" si="430"/>
        <v>0</v>
      </c>
      <c r="M717" s="132">
        <f t="shared" si="430"/>
        <v>0</v>
      </c>
      <c r="N717" s="132">
        <f t="shared" si="430"/>
        <v>0</v>
      </c>
      <c r="O717" s="132">
        <f t="shared" si="425"/>
        <v>0</v>
      </c>
      <c r="P717" s="132">
        <f t="shared" si="426"/>
        <v>0</v>
      </c>
      <c r="Q717" s="132">
        <f t="shared" si="431"/>
        <v>0</v>
      </c>
      <c r="R717" s="132">
        <f t="shared" si="431"/>
        <v>0</v>
      </c>
      <c r="S717" s="132">
        <f t="shared" si="431"/>
        <v>0</v>
      </c>
      <c r="T717" s="132">
        <f t="shared" si="428"/>
        <v>0</v>
      </c>
      <c r="U717" s="132">
        <f t="shared" si="429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131">
        <f t="shared" ref="L718:N718" si="432">L719+L720</f>
        <v>0</v>
      </c>
      <c r="M718" s="132">
        <f t="shared" si="432"/>
        <v>0</v>
      </c>
      <c r="N718" s="132">
        <f t="shared" si="432"/>
        <v>0</v>
      </c>
      <c r="O718" s="132">
        <f t="shared" si="425"/>
        <v>0</v>
      </c>
      <c r="P718" s="132">
        <f t="shared" si="426"/>
        <v>0</v>
      </c>
      <c r="Q718" s="132">
        <f t="shared" ref="Q718:S718" si="433">Q719+Q720</f>
        <v>0</v>
      </c>
      <c r="R718" s="132">
        <f t="shared" si="433"/>
        <v>0</v>
      </c>
      <c r="S718" s="132">
        <f t="shared" si="433"/>
        <v>0</v>
      </c>
      <c r="T718" s="132">
        <f t="shared" si="428"/>
        <v>0</v>
      </c>
      <c r="U718" s="132">
        <f t="shared" si="429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133">
        <f t="shared" si="425"/>
        <v>0</v>
      </c>
      <c r="P719" s="133">
        <f t="shared" si="426"/>
        <v>0</v>
      </c>
      <c r="Q719" s="77">
        <v>0</v>
      </c>
      <c r="R719" s="77">
        <v>0</v>
      </c>
      <c r="S719" s="77">
        <v>0</v>
      </c>
      <c r="T719" s="133">
        <f t="shared" si="428"/>
        <v>0</v>
      </c>
      <c r="U719" s="133">
        <f t="shared" si="429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132">
        <f t="shared" si="425"/>
        <v>0</v>
      </c>
      <c r="P720" s="132">
        <f t="shared" si="426"/>
        <v>0</v>
      </c>
      <c r="Q720" s="74">
        <v>0</v>
      </c>
      <c r="R720" s="74">
        <v>0</v>
      </c>
      <c r="S720" s="74">
        <v>0</v>
      </c>
      <c r="T720" s="132">
        <f t="shared" si="428"/>
        <v>0</v>
      </c>
      <c r="U720" s="132">
        <f t="shared" si="429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131">
        <f t="shared" ref="L721:N721" si="434">L722+L723</f>
        <v>0</v>
      </c>
      <c r="M721" s="132">
        <f t="shared" si="434"/>
        <v>0</v>
      </c>
      <c r="N721" s="132">
        <f t="shared" si="434"/>
        <v>0</v>
      </c>
      <c r="O721" s="132">
        <f t="shared" si="425"/>
        <v>0</v>
      </c>
      <c r="P721" s="132">
        <f t="shared" si="426"/>
        <v>0</v>
      </c>
      <c r="Q721" s="132">
        <f t="shared" ref="Q721:S721" si="435">Q722+Q723</f>
        <v>0</v>
      </c>
      <c r="R721" s="132">
        <f t="shared" si="435"/>
        <v>0</v>
      </c>
      <c r="S721" s="132">
        <f t="shared" si="435"/>
        <v>0</v>
      </c>
      <c r="T721" s="132">
        <f t="shared" si="428"/>
        <v>0</v>
      </c>
      <c r="U721" s="132">
        <f t="shared" si="429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133">
        <f t="shared" si="425"/>
        <v>0</v>
      </c>
      <c r="P722" s="133">
        <f t="shared" si="426"/>
        <v>0</v>
      </c>
      <c r="Q722" s="77">
        <v>0</v>
      </c>
      <c r="R722" s="77">
        <v>0</v>
      </c>
      <c r="S722" s="77">
        <v>0</v>
      </c>
      <c r="T722" s="133">
        <f t="shared" si="428"/>
        <v>0</v>
      </c>
      <c r="U722" s="133">
        <f t="shared" si="429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132">
        <f t="shared" si="425"/>
        <v>0</v>
      </c>
      <c r="P723" s="132">
        <f t="shared" si="426"/>
        <v>0</v>
      </c>
      <c r="Q723" s="74">
        <v>0</v>
      </c>
      <c r="R723" s="74">
        <v>0</v>
      </c>
      <c r="S723" s="74">
        <v>0</v>
      </c>
      <c r="T723" s="132">
        <f t="shared" si="428"/>
        <v>0</v>
      </c>
      <c r="U723" s="132">
        <f t="shared" si="429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IFERROR(__xludf.DUMMYFUNCTION("IMPORTRANGE(""https://docs.google.com/spreadsheets/d/1eHaY18a8A9IcSdp1K8H6x8fbOy06t2VsZHhMHf-1x7Y/edit?usp=sharing"",""แผน!GA56"")"),21)</f>
        <v>21</v>
      </c>
      <c r="J727" s="781">
        <f>J743+J747+J750</f>
        <v>0</v>
      </c>
      <c r="K727" s="766">
        <f t="shared" ref="K727:K728" ca="1" si="436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IFERROR(__xludf.DUMMYFUNCTION("IMPORTRANGE(""https://docs.google.com/spreadsheets/d/1eHaY18a8A9IcSdp1K8H6x8fbOy06t2VsZHhMHf-1x7Y/edit?usp=sharing"",""แผน!FZ56"")"),200)</f>
        <v>200</v>
      </c>
      <c r="J728" s="781">
        <f>J753+J756</f>
        <v>0</v>
      </c>
      <c r="K728" s="766">
        <f t="shared" ca="1" si="436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214">
        <f t="shared" ref="L729:N729" si="437">L730+L731</f>
        <v>0</v>
      </c>
      <c r="M729" s="215">
        <f t="shared" si="437"/>
        <v>0</v>
      </c>
      <c r="N729" s="215">
        <f t="shared" si="437"/>
        <v>0</v>
      </c>
      <c r="O729" s="215">
        <f t="shared" ref="O729:O737" si="438">IF(L729&gt;0,N729*100/L729,0)</f>
        <v>0</v>
      </c>
      <c r="P729" s="215">
        <f t="shared" ref="P729:P737" si="439">IF(M729&gt;0,N729*100/M729,0)</f>
        <v>0</v>
      </c>
      <c r="Q729" s="215">
        <f t="shared" ref="Q729:S729" ca="1" si="440">Q730+Q731</f>
        <v>175994</v>
      </c>
      <c r="R729" s="215">
        <f t="shared" ca="1" si="440"/>
        <v>175994</v>
      </c>
      <c r="S729" s="215">
        <f t="shared" ca="1" si="440"/>
        <v>0</v>
      </c>
      <c r="T729" s="215">
        <f t="shared" ref="T729:T737" ca="1" si="441">IF(Q729&gt;0,S729*100/Q729,0)</f>
        <v>0</v>
      </c>
      <c r="U729" s="215">
        <f t="shared" ref="U729:U737" ca="1" si="442">IF(R729&gt;0,S729*100/R729,0)</f>
        <v>0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217">
        <f t="shared" ref="L730:N731" si="443">L733+L736</f>
        <v>0</v>
      </c>
      <c r="M730" s="133">
        <f t="shared" si="443"/>
        <v>0</v>
      </c>
      <c r="N730" s="133">
        <f t="shared" si="443"/>
        <v>0</v>
      </c>
      <c r="O730" s="133">
        <f t="shared" si="438"/>
        <v>0</v>
      </c>
      <c r="P730" s="133">
        <f t="shared" si="439"/>
        <v>0</v>
      </c>
      <c r="Q730" s="133">
        <f t="shared" ref="Q730:S731" si="444">Q733+Q736</f>
        <v>0</v>
      </c>
      <c r="R730" s="133">
        <f t="shared" si="444"/>
        <v>0</v>
      </c>
      <c r="S730" s="133">
        <f t="shared" si="444"/>
        <v>0</v>
      </c>
      <c r="T730" s="133">
        <f t="shared" si="441"/>
        <v>0</v>
      </c>
      <c r="U730" s="133">
        <f t="shared" si="442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131">
        <f t="shared" si="443"/>
        <v>0</v>
      </c>
      <c r="M731" s="132">
        <f t="shared" si="443"/>
        <v>0</v>
      </c>
      <c r="N731" s="132">
        <f t="shared" si="443"/>
        <v>0</v>
      </c>
      <c r="O731" s="132">
        <f t="shared" si="438"/>
        <v>0</v>
      </c>
      <c r="P731" s="132">
        <f t="shared" si="439"/>
        <v>0</v>
      </c>
      <c r="Q731" s="132">
        <f t="shared" ca="1" si="444"/>
        <v>175994</v>
      </c>
      <c r="R731" s="132">
        <f t="shared" ca="1" si="444"/>
        <v>175994</v>
      </c>
      <c r="S731" s="132">
        <f t="shared" ca="1" si="444"/>
        <v>0</v>
      </c>
      <c r="T731" s="132">
        <f t="shared" ca="1" si="441"/>
        <v>0</v>
      </c>
      <c r="U731" s="132">
        <f t="shared" ca="1" si="442"/>
        <v>0</v>
      </c>
    </row>
    <row r="732" spans="1:21" ht="18.75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131">
        <f t="shared" ref="L732:N732" si="445">L733+L734</f>
        <v>0</v>
      </c>
      <c r="M732" s="132">
        <f t="shared" si="445"/>
        <v>0</v>
      </c>
      <c r="N732" s="132">
        <f t="shared" si="445"/>
        <v>0</v>
      </c>
      <c r="O732" s="132">
        <f t="shared" si="438"/>
        <v>0</v>
      </c>
      <c r="P732" s="132">
        <f t="shared" si="439"/>
        <v>0</v>
      </c>
      <c r="Q732" s="132">
        <f t="shared" ref="Q732:S732" ca="1" si="446">Q733+Q734</f>
        <v>175994</v>
      </c>
      <c r="R732" s="132">
        <f t="shared" ca="1" si="446"/>
        <v>175994</v>
      </c>
      <c r="S732" s="132">
        <f t="shared" ca="1" si="446"/>
        <v>0</v>
      </c>
      <c r="T732" s="132">
        <f t="shared" ca="1" si="441"/>
        <v>0</v>
      </c>
      <c r="U732" s="132">
        <f t="shared" ca="1" si="442"/>
        <v>0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133">
        <f t="shared" si="438"/>
        <v>0</v>
      </c>
      <c r="P733" s="133">
        <f t="shared" si="439"/>
        <v>0</v>
      </c>
      <c r="Q733" s="77">
        <v>0</v>
      </c>
      <c r="R733" s="77">
        <v>0</v>
      </c>
      <c r="S733" s="77">
        <v>0</v>
      </c>
      <c r="T733" s="133">
        <f t="shared" si="441"/>
        <v>0</v>
      </c>
      <c r="U733" s="133">
        <f t="shared" si="442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132">
        <f t="shared" si="438"/>
        <v>0</v>
      </c>
      <c r="P734" s="132">
        <f t="shared" si="439"/>
        <v>0</v>
      </c>
      <c r="Q734" s="132">
        <f ca="1">IFERROR(__xludf.DUMMYFUNCTION("IMPORTRANGE(""https://docs.google.com/spreadsheets/d/1ItG2mGa2ceCfYo0BwxsXqNm01IGEUdYcSSLTEv9YCik/edit?usp=sharing"",""เบิกจ่ายกองทุน!O56"")"),175994)</f>
        <v>175994</v>
      </c>
      <c r="R734" s="132">
        <f ca="1">IFERROR(__xludf.DUMMYFUNCTION("IMPORTRANGE(""https://docs.google.com/spreadsheets/d/1ItG2mGa2ceCfYo0BwxsXqNm01IGEUdYcSSLTEv9YCik/edit?usp=sharing"",""เบิกจ่ายกองทุน!P56"")"),175994)</f>
        <v>175994</v>
      </c>
      <c r="S734" s="132">
        <f ca="1">IFERROR(__xludf.DUMMYFUNCTION("IMPORTRANGE(""https://docs.google.com/spreadsheets/d/1ItG2mGa2ceCfYo0BwxsXqNm01IGEUdYcSSLTEv9YCik/edit?usp=sharing"",""เบิกจ่ายกองทุน!Q56"")"),0)</f>
        <v>0</v>
      </c>
      <c r="T734" s="132">
        <f t="shared" ca="1" si="441"/>
        <v>0</v>
      </c>
      <c r="U734" s="132">
        <f t="shared" ca="1" si="442"/>
        <v>0</v>
      </c>
    </row>
    <row r="735" spans="1:21" ht="18.75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131">
        <f t="shared" ref="L735:N735" si="447">L736+L737</f>
        <v>0</v>
      </c>
      <c r="M735" s="132">
        <f t="shared" si="447"/>
        <v>0</v>
      </c>
      <c r="N735" s="132">
        <f t="shared" si="447"/>
        <v>0</v>
      </c>
      <c r="O735" s="132">
        <f t="shared" si="438"/>
        <v>0</v>
      </c>
      <c r="P735" s="132">
        <f t="shared" si="439"/>
        <v>0</v>
      </c>
      <c r="Q735" s="132">
        <f t="shared" ref="Q735:S735" si="448">Q736+Q737</f>
        <v>0</v>
      </c>
      <c r="R735" s="132">
        <f t="shared" si="448"/>
        <v>0</v>
      </c>
      <c r="S735" s="132">
        <f t="shared" si="448"/>
        <v>0</v>
      </c>
      <c r="T735" s="132">
        <f t="shared" si="441"/>
        <v>0</v>
      </c>
      <c r="U735" s="132">
        <f t="shared" si="442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133">
        <f t="shared" si="438"/>
        <v>0</v>
      </c>
      <c r="P736" s="133">
        <f t="shared" si="439"/>
        <v>0</v>
      </c>
      <c r="Q736" s="77">
        <v>0</v>
      </c>
      <c r="R736" s="77">
        <v>0</v>
      </c>
      <c r="S736" s="77">
        <v>0</v>
      </c>
      <c r="T736" s="133">
        <f t="shared" si="441"/>
        <v>0</v>
      </c>
      <c r="U736" s="133">
        <f t="shared" si="442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132">
        <f t="shared" si="438"/>
        <v>0</v>
      </c>
      <c r="P737" s="132">
        <f t="shared" si="439"/>
        <v>0</v>
      </c>
      <c r="Q737" s="74">
        <v>0</v>
      </c>
      <c r="R737" s="74">
        <v>0</v>
      </c>
      <c r="S737" s="74">
        <v>0</v>
      </c>
      <c r="T737" s="132">
        <f t="shared" si="441"/>
        <v>0</v>
      </c>
      <c r="U737" s="132">
        <f t="shared" si="442"/>
        <v>0</v>
      </c>
    </row>
    <row r="738" spans="1:21" ht="19.5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x14ac:dyDescent="0.25">
      <c r="A741" s="222"/>
      <c r="B741" s="223"/>
      <c r="C741" s="223"/>
      <c r="D741" s="223"/>
      <c r="E741" s="223"/>
      <c r="F741" s="1032" t="s">
        <v>271</v>
      </c>
      <c r="G741" s="227"/>
      <c r="H741" s="216" t="s">
        <v>46</v>
      </c>
      <c r="I741" s="321">
        <f ca="1">IFERROR(__xludf.DUMMYFUNCTION("IMPORTRANGE(""https://docs.google.com/spreadsheets/d/1eHaY18a8A9IcSdp1K8H6x8fbOy06t2VsZHhMHf-1x7Y/edit?usp=sharing"",""แผน!GB56"")"),160)</f>
        <v>160</v>
      </c>
      <c r="J741" s="884">
        <v>0</v>
      </c>
      <c r="K741" s="399">
        <f ca="1">IF(I741&gt;0,J741*100/I741,0)</f>
        <v>0</v>
      </c>
      <c r="L741" s="540"/>
      <c r="M741" s="72"/>
      <c r="N741" s="72"/>
      <c r="O741" s="72"/>
      <c r="P741" s="72"/>
      <c r="Q741" s="72"/>
      <c r="R741" s="72"/>
      <c r="S741" s="72"/>
      <c r="T741" s="72"/>
      <c r="U741" s="72"/>
    </row>
    <row r="742" spans="1:21" ht="18.75" x14ac:dyDescent="0.25">
      <c r="A742" s="222"/>
      <c r="B742" s="223"/>
      <c r="C742" s="223"/>
      <c r="D742" s="223"/>
      <c r="E742" s="223"/>
      <c r="F742" s="1032" t="s">
        <v>311</v>
      </c>
      <c r="G742" s="227"/>
      <c r="H742" s="216" t="s">
        <v>35</v>
      </c>
      <c r="I742" s="71"/>
      <c r="J742" s="884">
        <v>0</v>
      </c>
      <c r="K742" s="72"/>
      <c r="L742" s="540"/>
      <c r="M742" s="72"/>
      <c r="N742" s="72"/>
      <c r="O742" s="72"/>
      <c r="P742" s="72"/>
      <c r="Q742" s="72"/>
      <c r="R742" s="72"/>
      <c r="S742" s="72"/>
      <c r="T742" s="72"/>
      <c r="U742" s="72"/>
    </row>
    <row r="743" spans="1:21" ht="18.75" x14ac:dyDescent="0.25">
      <c r="A743" s="222"/>
      <c r="B743" s="223"/>
      <c r="C743" s="223"/>
      <c r="D743" s="223"/>
      <c r="E743" s="223"/>
      <c r="F743" s="1032" t="s">
        <v>312</v>
      </c>
      <c r="G743" s="227"/>
      <c r="H743" s="216" t="s">
        <v>35</v>
      </c>
      <c r="I743" s="321">
        <f ca="1">IFERROR(__xludf.DUMMYFUNCTION("IMPORTRANGE(""https://docs.google.com/spreadsheets/d/1eHaY18a8A9IcSdp1K8H6x8fbOy06t2VsZHhMHf-1x7Y/edit?usp=sharing"",""แผน!GC56"")"),16)</f>
        <v>16</v>
      </c>
      <c r="J743" s="884">
        <v>0</v>
      </c>
      <c r="K743" s="399">
        <f ca="1">IF(I743&gt;0,J743*100/I743,0)</f>
        <v>0</v>
      </c>
      <c r="L743" s="540"/>
      <c r="M743" s="72"/>
      <c r="N743" s="72"/>
      <c r="O743" s="72"/>
      <c r="P743" s="72"/>
      <c r="Q743" s="72"/>
      <c r="R743" s="72"/>
      <c r="S743" s="72"/>
      <c r="T743" s="72"/>
      <c r="U743" s="72"/>
    </row>
    <row r="744" spans="1:21" ht="18.75" x14ac:dyDescent="0.25">
      <c r="A744" s="222"/>
      <c r="B744" s="223"/>
      <c r="C744" s="223"/>
      <c r="D744" s="223"/>
      <c r="E744" s="1032" t="s">
        <v>274</v>
      </c>
      <c r="F744" s="223"/>
      <c r="G744" s="227"/>
      <c r="H744" s="1033"/>
      <c r="I744" s="71"/>
      <c r="J744" s="71"/>
      <c r="K744" s="72"/>
      <c r="L744" s="540"/>
      <c r="M744" s="72"/>
      <c r="N744" s="72"/>
      <c r="O744" s="72"/>
      <c r="P744" s="72"/>
      <c r="Q744" s="72"/>
      <c r="R744" s="72"/>
      <c r="S744" s="72"/>
      <c r="T744" s="72"/>
      <c r="U744" s="72"/>
    </row>
    <row r="745" spans="1:21" ht="18.75" x14ac:dyDescent="0.25">
      <c r="A745" s="222"/>
      <c r="B745" s="223"/>
      <c r="C745" s="223"/>
      <c r="D745" s="223"/>
      <c r="E745" s="223"/>
      <c r="F745" s="1032" t="s">
        <v>271</v>
      </c>
      <c r="G745" s="227"/>
      <c r="H745" s="216" t="s">
        <v>46</v>
      </c>
      <c r="I745" s="321">
        <f ca="1">IFERROR(__xludf.DUMMYFUNCTION("IMPORTRANGE(""https://docs.google.com/spreadsheets/d/1eHaY18a8A9IcSdp1K8H6x8fbOy06t2VsZHhMHf-1x7Y/edit?usp=sharing"",""แผน!GD56"")"),40)</f>
        <v>40</v>
      </c>
      <c r="J745" s="884">
        <v>0</v>
      </c>
      <c r="K745" s="399">
        <f ca="1">IF(I745&gt;0,J745*100/I745,0)</f>
        <v>0</v>
      </c>
      <c r="L745" s="540"/>
      <c r="M745" s="72"/>
      <c r="N745" s="72"/>
      <c r="O745" s="72"/>
      <c r="P745" s="72"/>
      <c r="Q745" s="72"/>
      <c r="R745" s="72"/>
      <c r="S745" s="72"/>
      <c r="T745" s="72"/>
      <c r="U745" s="72"/>
    </row>
    <row r="746" spans="1:21" ht="18.75" x14ac:dyDescent="0.25">
      <c r="A746" s="222"/>
      <c r="B746" s="223"/>
      <c r="C746" s="223"/>
      <c r="D746" s="223"/>
      <c r="E746" s="223"/>
      <c r="F746" s="1032" t="s">
        <v>313</v>
      </c>
      <c r="G746" s="227"/>
      <c r="H746" s="216" t="s">
        <v>35</v>
      </c>
      <c r="I746" s="71"/>
      <c r="J746" s="884">
        <v>0</v>
      </c>
      <c r="K746" s="72"/>
      <c r="L746" s="540"/>
      <c r="M746" s="72"/>
      <c r="N746" s="72"/>
      <c r="O746" s="72"/>
      <c r="P746" s="72"/>
      <c r="Q746" s="72"/>
      <c r="R746" s="72"/>
      <c r="S746" s="72"/>
      <c r="T746" s="72"/>
      <c r="U746" s="72"/>
    </row>
    <row r="747" spans="1:21" ht="18.75" x14ac:dyDescent="0.25">
      <c r="A747" s="222"/>
      <c r="B747" s="223"/>
      <c r="C747" s="223"/>
      <c r="D747" s="223"/>
      <c r="E747" s="223"/>
      <c r="F747" s="1032" t="s">
        <v>314</v>
      </c>
      <c r="G747" s="227"/>
      <c r="H747" s="216" t="s">
        <v>35</v>
      </c>
      <c r="I747" s="321">
        <f ca="1">IFERROR(__xludf.DUMMYFUNCTION("IMPORTRANGE(""https://docs.google.com/spreadsheets/d/1eHaY18a8A9IcSdp1K8H6x8fbOy06t2VsZHhMHf-1x7Y/edit?usp=sharing"",""แผน!GE56"")"),4)</f>
        <v>4</v>
      </c>
      <c r="J747" s="884">
        <v>0</v>
      </c>
      <c r="K747" s="399">
        <f ca="1">IF(I747&gt;0,J747*100/I747,0)</f>
        <v>0</v>
      </c>
      <c r="L747" s="540"/>
      <c r="M747" s="72"/>
      <c r="N747" s="72"/>
      <c r="O747" s="72"/>
      <c r="P747" s="72"/>
      <c r="Q747" s="72"/>
      <c r="R747" s="72"/>
      <c r="S747" s="72"/>
      <c r="T747" s="72"/>
      <c r="U747" s="72"/>
    </row>
    <row r="748" spans="1:21" ht="18.75" x14ac:dyDescent="0.25">
      <c r="A748" s="222"/>
      <c r="B748" s="223"/>
      <c r="C748" s="223"/>
      <c r="D748" s="223"/>
      <c r="E748" s="1032" t="s">
        <v>277</v>
      </c>
      <c r="F748" s="231"/>
      <c r="G748" s="227"/>
      <c r="H748" s="1033"/>
      <c r="I748" s="71"/>
      <c r="J748" s="71"/>
      <c r="K748" s="72"/>
      <c r="L748" s="540"/>
      <c r="M748" s="72"/>
      <c r="N748" s="72"/>
      <c r="O748" s="72"/>
      <c r="P748" s="72"/>
      <c r="Q748" s="72"/>
      <c r="R748" s="72"/>
      <c r="S748" s="72"/>
      <c r="T748" s="72"/>
      <c r="U748" s="72"/>
    </row>
    <row r="749" spans="1:21" ht="18.75" x14ac:dyDescent="0.25">
      <c r="A749" s="222"/>
      <c r="B749" s="223"/>
      <c r="C749" s="223"/>
      <c r="D749" s="223"/>
      <c r="E749" s="223"/>
      <c r="F749" s="1032" t="s">
        <v>315</v>
      </c>
      <c r="G749" s="227"/>
      <c r="H749" s="216" t="s">
        <v>35</v>
      </c>
      <c r="I749" s="71"/>
      <c r="J749" s="884">
        <v>0</v>
      </c>
      <c r="K749" s="72"/>
      <c r="L749" s="540"/>
      <c r="M749" s="72"/>
      <c r="N749" s="72"/>
      <c r="O749" s="72"/>
      <c r="P749" s="72"/>
      <c r="Q749" s="72"/>
      <c r="R749" s="72"/>
      <c r="S749" s="72"/>
      <c r="T749" s="72"/>
      <c r="U749" s="72"/>
    </row>
    <row r="750" spans="1:21" ht="18.75" x14ac:dyDescent="0.25">
      <c r="A750" s="222"/>
      <c r="B750" s="223"/>
      <c r="C750" s="223"/>
      <c r="D750" s="223"/>
      <c r="E750" s="223"/>
      <c r="F750" s="1032" t="s">
        <v>316</v>
      </c>
      <c r="G750" s="227"/>
      <c r="H750" s="216" t="s">
        <v>35</v>
      </c>
      <c r="I750" s="321">
        <f ca="1">IFERROR(__xludf.DUMMYFUNCTION("IMPORTRANGE(""https://docs.google.com/spreadsheets/d/1eHaY18a8A9IcSdp1K8H6x8fbOy06t2VsZHhMHf-1x7Y/edit?usp=sharing"",""แผน!GF56"")"),1)</f>
        <v>1</v>
      </c>
      <c r="J750" s="884">
        <v>0</v>
      </c>
      <c r="K750" s="399">
        <f ca="1">IF(I750&gt;0,J750*100/I750,0)</f>
        <v>0</v>
      </c>
      <c r="L750" s="540"/>
      <c r="M750" s="72"/>
      <c r="N750" s="72"/>
      <c r="O750" s="72"/>
      <c r="P750" s="72"/>
      <c r="Q750" s="72"/>
      <c r="R750" s="72"/>
      <c r="S750" s="72"/>
      <c r="T750" s="72"/>
      <c r="U750" s="72"/>
    </row>
    <row r="751" spans="1:21" ht="19.5" x14ac:dyDescent="0.3">
      <c r="A751" s="222"/>
      <c r="B751" s="223"/>
      <c r="C751" s="223"/>
      <c r="D751" s="1034" t="s">
        <v>50</v>
      </c>
      <c r="E751" s="223"/>
      <c r="F751" s="231"/>
      <c r="G751" s="227"/>
      <c r="H751" s="1033"/>
      <c r="I751" s="71"/>
      <c r="J751" s="71"/>
      <c r="K751" s="72"/>
      <c r="L751" s="540"/>
      <c r="M751" s="72"/>
      <c r="N751" s="72"/>
      <c r="O751" s="72"/>
      <c r="P751" s="72"/>
      <c r="Q751" s="72"/>
      <c r="R751" s="72"/>
      <c r="S751" s="72"/>
      <c r="T751" s="72"/>
      <c r="U751" s="72"/>
    </row>
    <row r="752" spans="1:21" ht="18.75" x14ac:dyDescent="0.25">
      <c r="A752" s="222"/>
      <c r="B752" s="223"/>
      <c r="C752" s="223"/>
      <c r="D752" s="223"/>
      <c r="E752" s="1032" t="s">
        <v>270</v>
      </c>
      <c r="F752" s="231"/>
      <c r="G752" s="227"/>
      <c r="H752" s="1033"/>
      <c r="I752" s="71"/>
      <c r="J752" s="71"/>
      <c r="K752" s="72"/>
      <c r="L752" s="540"/>
      <c r="M752" s="72"/>
      <c r="N752" s="72"/>
      <c r="O752" s="72"/>
      <c r="P752" s="72"/>
      <c r="Q752" s="72"/>
      <c r="R752" s="72"/>
      <c r="S752" s="72"/>
      <c r="T752" s="72"/>
      <c r="U752" s="72"/>
    </row>
    <row r="753" spans="1:21" ht="18.75" x14ac:dyDescent="0.25">
      <c r="A753" s="222"/>
      <c r="B753" s="223"/>
      <c r="C753" s="223"/>
      <c r="D753" s="223"/>
      <c r="E753" s="223"/>
      <c r="F753" s="395" t="s">
        <v>317</v>
      </c>
      <c r="G753" s="227"/>
      <c r="H753" s="216" t="s">
        <v>46</v>
      </c>
      <c r="I753" s="321">
        <f ca="1">IFERROR(__xludf.DUMMYFUNCTION("IMPORTRANGE(""https://docs.google.com/spreadsheets/d/1eHaY18a8A9IcSdp1K8H6x8fbOy06t2VsZHhMHf-1x7Y/edit?usp=sharing"",""แผน!GC56"")"),16)</f>
        <v>16</v>
      </c>
      <c r="J753" s="884">
        <v>0</v>
      </c>
      <c r="K753" s="399">
        <f ca="1">IF(I753&gt;0,J753*100/I753,0)</f>
        <v>0</v>
      </c>
      <c r="L753" s="540"/>
      <c r="M753" s="72"/>
      <c r="N753" s="72"/>
      <c r="O753" s="72"/>
      <c r="P753" s="72"/>
      <c r="Q753" s="72"/>
      <c r="R753" s="72"/>
      <c r="S753" s="72"/>
      <c r="T753" s="72"/>
      <c r="U753" s="72"/>
    </row>
    <row r="754" spans="1:21" ht="18.75" x14ac:dyDescent="0.25">
      <c r="A754" s="222"/>
      <c r="B754" s="223"/>
      <c r="C754" s="223"/>
      <c r="D754" s="223"/>
      <c r="E754" s="223"/>
      <c r="F754" s="395" t="s">
        <v>318</v>
      </c>
      <c r="G754" s="227"/>
      <c r="H754" s="216" t="s">
        <v>46</v>
      </c>
      <c r="I754" s="71"/>
      <c r="J754" s="884">
        <v>0</v>
      </c>
      <c r="K754" s="72"/>
      <c r="L754" s="540"/>
      <c r="M754" s="72"/>
      <c r="N754" s="72"/>
      <c r="O754" s="72"/>
      <c r="P754" s="72"/>
      <c r="Q754" s="72"/>
      <c r="R754" s="72"/>
      <c r="S754" s="72"/>
      <c r="T754" s="72"/>
      <c r="U754" s="72"/>
    </row>
    <row r="755" spans="1:21" ht="18.75" x14ac:dyDescent="0.25">
      <c r="A755" s="222"/>
      <c r="B755" s="223"/>
      <c r="C755" s="223"/>
      <c r="D755" s="223"/>
      <c r="E755" s="1032" t="s">
        <v>274</v>
      </c>
      <c r="F755" s="231"/>
      <c r="G755" s="227"/>
      <c r="H755" s="1033"/>
      <c r="I755" s="71"/>
      <c r="J755" s="71"/>
      <c r="K755" s="72"/>
      <c r="L755" s="540"/>
      <c r="M755" s="72"/>
      <c r="N755" s="72"/>
      <c r="O755" s="72"/>
      <c r="P755" s="72"/>
      <c r="Q755" s="72"/>
      <c r="R755" s="72"/>
      <c r="S755" s="72"/>
      <c r="T755" s="72"/>
      <c r="U755" s="72"/>
    </row>
    <row r="756" spans="1:21" ht="18.75" x14ac:dyDescent="0.25">
      <c r="A756" s="222"/>
      <c r="B756" s="223"/>
      <c r="C756" s="223"/>
      <c r="D756" s="223"/>
      <c r="E756" s="231"/>
      <c r="F756" s="395" t="s">
        <v>319</v>
      </c>
      <c r="G756" s="227"/>
      <c r="H756" s="216" t="s">
        <v>46</v>
      </c>
      <c r="I756" s="321">
        <f ca="1">IFERROR(__xludf.DUMMYFUNCTION("IMPORTRANGE(""https://docs.google.com/spreadsheets/d/1eHaY18a8A9IcSdp1K8H6x8fbOy06t2VsZHhMHf-1x7Y/edit?usp=sharing"",""แผน!GE56"")"),4)</f>
        <v>4</v>
      </c>
      <c r="J756" s="884">
        <v>0</v>
      </c>
      <c r="K756" s="399">
        <f ca="1">IF(I756&gt;0,J756*100/I756,0)</f>
        <v>0</v>
      </c>
      <c r="L756" s="540"/>
      <c r="M756" s="72"/>
      <c r="N756" s="72"/>
      <c r="O756" s="72"/>
      <c r="P756" s="72"/>
      <c r="Q756" s="72"/>
      <c r="R756" s="72"/>
      <c r="S756" s="72"/>
      <c r="T756" s="72"/>
      <c r="U756" s="72"/>
    </row>
    <row r="757" spans="1:21" ht="18.75" x14ac:dyDescent="0.25">
      <c r="A757" s="222"/>
      <c r="B757" s="223"/>
      <c r="C757" s="223"/>
      <c r="D757" s="223"/>
      <c r="E757" s="231"/>
      <c r="F757" s="395" t="s">
        <v>320</v>
      </c>
      <c r="G757" s="227"/>
      <c r="H757" s="216" t="s">
        <v>46</v>
      </c>
      <c r="I757" s="71"/>
      <c r="J757" s="884">
        <v>0</v>
      </c>
      <c r="K757" s="72"/>
      <c r="L757" s="540"/>
      <c r="M757" s="72"/>
      <c r="N757" s="72"/>
      <c r="O757" s="72"/>
      <c r="P757" s="72"/>
      <c r="Q757" s="72"/>
      <c r="R757" s="72"/>
      <c r="S757" s="72"/>
      <c r="T757" s="72"/>
      <c r="U757" s="72"/>
    </row>
    <row r="758" spans="1:21" ht="19.5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49">I772</f>
        <v>20</v>
      </c>
      <c r="J758" s="781">
        <f t="shared" si="449"/>
        <v>0</v>
      </c>
      <c r="K758" s="766">
        <f t="shared" ref="K758:K759" ca="1" si="450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1">I774</f>
        <v>25</v>
      </c>
      <c r="J759" s="781">
        <f t="shared" si="451"/>
        <v>0</v>
      </c>
      <c r="K759" s="766">
        <f t="shared" ca="1" si="450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214">
        <f t="shared" ref="L760:N760" si="452">L761+L762</f>
        <v>0</v>
      </c>
      <c r="M760" s="215">
        <f t="shared" si="452"/>
        <v>0</v>
      </c>
      <c r="N760" s="215">
        <f t="shared" si="452"/>
        <v>0</v>
      </c>
      <c r="O760" s="215">
        <f t="shared" ref="O760:O768" si="453">IF(L760&gt;0,N760*100/L760,0)</f>
        <v>0</v>
      </c>
      <c r="P760" s="215">
        <f t="shared" ref="P760:P768" si="454">IF(M760&gt;0,N760*100/M760,0)</f>
        <v>0</v>
      </c>
      <c r="Q760" s="215">
        <f t="shared" ref="Q760:S760" ca="1" si="455">Q761+Q762</f>
        <v>121660</v>
      </c>
      <c r="R760" s="215">
        <f t="shared" ca="1" si="455"/>
        <v>121660</v>
      </c>
      <c r="S760" s="215">
        <f t="shared" ca="1" si="455"/>
        <v>13500</v>
      </c>
      <c r="T760" s="215">
        <f t="shared" ref="T760:T768" ca="1" si="456">IF(Q760&gt;0,S760*100/Q760,0)</f>
        <v>11.09649843827059</v>
      </c>
      <c r="U760" s="215">
        <f t="shared" ref="U760:U768" ca="1" si="457">IF(R760&gt;0,S760*100/R760,0)</f>
        <v>11.09649843827059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217">
        <f t="shared" ref="L761:N762" si="458">L764+L767</f>
        <v>0</v>
      </c>
      <c r="M761" s="133">
        <f t="shared" si="458"/>
        <v>0</v>
      </c>
      <c r="N761" s="133">
        <f t="shared" si="458"/>
        <v>0</v>
      </c>
      <c r="O761" s="133">
        <f t="shared" si="453"/>
        <v>0</v>
      </c>
      <c r="P761" s="133">
        <f t="shared" si="454"/>
        <v>0</v>
      </c>
      <c r="Q761" s="133">
        <f t="shared" ref="Q761:S762" si="459">Q764+Q767</f>
        <v>0</v>
      </c>
      <c r="R761" s="133">
        <f t="shared" si="459"/>
        <v>0</v>
      </c>
      <c r="S761" s="133">
        <f t="shared" si="459"/>
        <v>0</v>
      </c>
      <c r="T761" s="133">
        <f t="shared" si="456"/>
        <v>0</v>
      </c>
      <c r="U761" s="133">
        <f t="shared" si="457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131">
        <f t="shared" si="458"/>
        <v>0</v>
      </c>
      <c r="M762" s="132">
        <f t="shared" si="458"/>
        <v>0</v>
      </c>
      <c r="N762" s="132">
        <f t="shared" si="458"/>
        <v>0</v>
      </c>
      <c r="O762" s="132">
        <f t="shared" si="453"/>
        <v>0</v>
      </c>
      <c r="P762" s="132">
        <f t="shared" si="454"/>
        <v>0</v>
      </c>
      <c r="Q762" s="132">
        <f t="shared" ca="1" si="459"/>
        <v>121660</v>
      </c>
      <c r="R762" s="132">
        <f t="shared" ca="1" si="459"/>
        <v>121660</v>
      </c>
      <c r="S762" s="132">
        <f t="shared" ca="1" si="459"/>
        <v>13500</v>
      </c>
      <c r="T762" s="132">
        <f t="shared" ca="1" si="456"/>
        <v>11.09649843827059</v>
      </c>
      <c r="U762" s="132">
        <f t="shared" ca="1" si="457"/>
        <v>11.09649843827059</v>
      </c>
    </row>
    <row r="763" spans="1:21" ht="18.75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131">
        <f t="shared" ref="L763:N763" si="460">L764+L765</f>
        <v>0</v>
      </c>
      <c r="M763" s="132">
        <f t="shared" si="460"/>
        <v>0</v>
      </c>
      <c r="N763" s="132">
        <f t="shared" si="460"/>
        <v>0</v>
      </c>
      <c r="O763" s="132">
        <f t="shared" si="453"/>
        <v>0</v>
      </c>
      <c r="P763" s="132">
        <f t="shared" si="454"/>
        <v>0</v>
      </c>
      <c r="Q763" s="132">
        <f t="shared" ref="Q763:S763" ca="1" si="461">Q764+Q765</f>
        <v>121660</v>
      </c>
      <c r="R763" s="132">
        <f t="shared" ca="1" si="461"/>
        <v>121660</v>
      </c>
      <c r="S763" s="132">
        <f t="shared" ca="1" si="461"/>
        <v>13500</v>
      </c>
      <c r="T763" s="132">
        <f t="shared" ca="1" si="456"/>
        <v>11.09649843827059</v>
      </c>
      <c r="U763" s="132">
        <f t="shared" ca="1" si="457"/>
        <v>11.09649843827059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133">
        <f t="shared" si="453"/>
        <v>0</v>
      </c>
      <c r="P764" s="133">
        <f t="shared" si="454"/>
        <v>0</v>
      </c>
      <c r="Q764" s="77">
        <v>0</v>
      </c>
      <c r="R764" s="77">
        <v>0</v>
      </c>
      <c r="S764" s="77">
        <v>0</v>
      </c>
      <c r="T764" s="133">
        <f t="shared" si="456"/>
        <v>0</v>
      </c>
      <c r="U764" s="133">
        <f t="shared" si="457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132">
        <f t="shared" si="453"/>
        <v>0</v>
      </c>
      <c r="P765" s="132">
        <f t="shared" si="454"/>
        <v>0</v>
      </c>
      <c r="Q765" s="132">
        <f ca="1">IFERROR(__xludf.DUMMYFUNCTION("IMPORTRANGE(""https://docs.google.com/spreadsheets/d/1ItG2mGa2ceCfYo0BwxsXqNm01IGEUdYcSSLTEv9YCik/edit?usp=sharing"",""เบิกจ่ายกองทุน!U56"")"),121660)</f>
        <v>121660</v>
      </c>
      <c r="R765" s="132">
        <f ca="1">IFERROR(__xludf.DUMMYFUNCTION("IMPORTRANGE(""https://docs.google.com/spreadsheets/d/1ItG2mGa2ceCfYo0BwxsXqNm01IGEUdYcSSLTEv9YCik/edit?usp=sharing"",""เบิกจ่ายกองทุน!V56"")"),121660)</f>
        <v>121660</v>
      </c>
      <c r="S765" s="132">
        <f ca="1">IFERROR(__xludf.DUMMYFUNCTION("IMPORTRANGE(""https://docs.google.com/spreadsheets/d/1ItG2mGa2ceCfYo0BwxsXqNm01IGEUdYcSSLTEv9YCik/edit?usp=sharing"",""เบิกจ่ายกองทุน!W56"")"),13500)</f>
        <v>13500</v>
      </c>
      <c r="T765" s="132">
        <f t="shared" ca="1" si="456"/>
        <v>11.09649843827059</v>
      </c>
      <c r="U765" s="132">
        <f t="shared" ca="1" si="457"/>
        <v>11.09649843827059</v>
      </c>
    </row>
    <row r="766" spans="1:21" ht="18.75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131">
        <f t="shared" ref="L766:N766" si="462">L767+L768</f>
        <v>0</v>
      </c>
      <c r="M766" s="132">
        <f t="shared" si="462"/>
        <v>0</v>
      </c>
      <c r="N766" s="132">
        <f t="shared" si="462"/>
        <v>0</v>
      </c>
      <c r="O766" s="132">
        <f t="shared" si="453"/>
        <v>0</v>
      </c>
      <c r="P766" s="132">
        <f t="shared" si="454"/>
        <v>0</v>
      </c>
      <c r="Q766" s="132">
        <f t="shared" ref="Q766:S766" si="463">Q767+Q768</f>
        <v>0</v>
      </c>
      <c r="R766" s="132">
        <f t="shared" si="463"/>
        <v>0</v>
      </c>
      <c r="S766" s="132">
        <f t="shared" si="463"/>
        <v>0</v>
      </c>
      <c r="T766" s="132">
        <f t="shared" si="456"/>
        <v>0</v>
      </c>
      <c r="U766" s="132">
        <f t="shared" si="457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133">
        <f t="shared" si="453"/>
        <v>0</v>
      </c>
      <c r="P767" s="133">
        <f t="shared" si="454"/>
        <v>0</v>
      </c>
      <c r="Q767" s="77">
        <v>0</v>
      </c>
      <c r="R767" s="77">
        <v>0</v>
      </c>
      <c r="S767" s="77">
        <v>0</v>
      </c>
      <c r="T767" s="133">
        <f t="shared" si="456"/>
        <v>0</v>
      </c>
      <c r="U767" s="133">
        <f t="shared" si="457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132">
        <f t="shared" si="453"/>
        <v>0</v>
      </c>
      <c r="P768" s="132">
        <f t="shared" si="454"/>
        <v>0</v>
      </c>
      <c r="Q768" s="74">
        <v>0</v>
      </c>
      <c r="R768" s="74">
        <v>0</v>
      </c>
      <c r="S768" s="74">
        <v>0</v>
      </c>
      <c r="T768" s="132">
        <f t="shared" si="456"/>
        <v>0</v>
      </c>
      <c r="U768" s="132">
        <f t="shared" si="457"/>
        <v>0</v>
      </c>
    </row>
    <row r="769" spans="1:21" ht="19.5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IFERROR(__xludf.DUMMYFUNCTION("IMPORTRANGE(""https://docs.google.com/spreadsheets/d/1eHaY18a8A9IcSdp1K8H6x8fbOy06t2VsZHhMHf-1x7Y/edit?usp=sharing"",""แผน!FI56"")"),0)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IFERROR(__xludf.DUMMYFUNCTION("IMPORTRANGE(""https://docs.google.com/spreadsheets/d/1eHaY18a8A9IcSdp1K8H6x8fbOy06t2VsZHhMHf-1x7Y/edit?usp=sharing"",""แผน!FQ56"")"),20)</f>
        <v>20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IFERROR(__xludf.DUMMYFUNCTION("IMPORTRANGE(""https://docs.google.com/spreadsheets/d/1eHaY18a8A9IcSdp1K8H6x8fbOy06t2VsZHhMHf-1x7Y/edit?usp=sharing"",""แผน!FR56"")"),25)</f>
        <v>25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IFERROR(__xludf.DUMMYFUNCTION("IMPORTRANGE(""https://docs.google.com/spreadsheets/d/1eHaY18a8A9IcSdp1K8H6x8fbOy06t2VsZHhMHf-1x7Y/edit?usp=sharing"",""แผน!FS56"")"),25)</f>
        <v>25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IFERROR(__xludf.DUMMYFUNCTION("IMPORTRANGE(""https://docs.google.com/spreadsheets/d/1eHaY18a8A9IcSdp1K8H6x8fbOy06t2VsZHhMHf-1x7Y/edit?usp=sharing"",""แผน!FT56"")"),20)</f>
        <v>20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IFERROR(__xludf.DUMMYFUNCTION("IMPORTRANGE(""https://docs.google.com/spreadsheets/d/10OvvATaaLtwErnr3qtWFcTmtbfpFEt5Bsqel9sXx0uE/edit?usp=sharing"",""งานกองทุน!D56"")"),12210000)</f>
        <v>12210000</v>
      </c>
      <c r="J778" s="293">
        <f ca="1">IFERROR(__xludf.DUMMYFUNCTION("IMPORTRANGE(""https://docs.google.com/spreadsheets/d/10OvvATaaLtwErnr3qtWFcTmtbfpFEt5Bsqel9sXx0uE/edit?usp=sharing"",""งานกองทุน!F56"")"),1156737.23)</f>
        <v>1156737.23</v>
      </c>
      <c r="K778" s="74">
        <f t="shared" ref="K778:K785" ca="1" si="464">IF(I778&gt;0,J778*100/I778,0)</f>
        <v>9.4736873873873879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IFERROR(__xludf.DUMMYFUNCTION("IMPORTRANGE(""https://docs.google.com/spreadsheets/d/10OvvATaaLtwErnr3qtWFcTmtbfpFEt5Bsqel9sXx0uE/edit?usp=sharing"",""งานกองทุน!C56"")"),248)</f>
        <v>248</v>
      </c>
      <c r="J779" s="293">
        <f ca="1">IFERROR(__xludf.DUMMYFUNCTION("IMPORTRANGE(""https://docs.google.com/spreadsheets/d/10OvvATaaLtwErnr3qtWFcTmtbfpFEt5Bsqel9sXx0uE/edit?usp=sharing"",""งานกองทุน!E56"")"),34)</f>
        <v>34</v>
      </c>
      <c r="K779" s="74">
        <f t="shared" ca="1" si="464"/>
        <v>13.709677419354838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 t="str">
        <f ca="1">IFERROR(__xludf.DUMMYFUNCTION("IMPORTRANGE(""https://docs.google.com/spreadsheets/d/10OvvATaaLtwErnr3qtWFcTmtbfpFEt5Bsqel9sXx0uE/edit?usp=sharing"",""งานกองทุน!I56"")"),"")</f>
        <v/>
      </c>
      <c r="J780" s="293">
        <f ca="1">IFERROR(__xludf.DUMMYFUNCTION("IMPORTRANGE(""https://docs.google.com/spreadsheets/d/10OvvATaaLtwErnr3qtWFcTmtbfpFEt5Bsqel9sXx0uE/edit?usp=sharing"",""งานกองทุน!K56"")"),0)</f>
        <v>0</v>
      </c>
      <c r="K780" s="74" t="e">
        <f t="shared" ca="1" si="464"/>
        <v>#VALUE!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 t="str">
        <f ca="1">IFERROR(__xludf.DUMMYFUNCTION("IMPORTRANGE(""https://docs.google.com/spreadsheets/d/10OvvATaaLtwErnr3qtWFcTmtbfpFEt5Bsqel9sXx0uE/edit?usp=sharing"",""งานกองทุน!H56"")"),"")</f>
        <v/>
      </c>
      <c r="J781" s="293">
        <f ca="1">IFERROR(__xludf.DUMMYFUNCTION("IMPORTRANGE(""https://docs.google.com/spreadsheets/d/10OvvATaaLtwErnr3qtWFcTmtbfpFEt5Bsqel9sXx0uE/edit?usp=sharing"",""งานกองทุน!J56"")"),0)</f>
        <v>0</v>
      </c>
      <c r="K781" s="74" t="e">
        <f t="shared" ca="1" si="464"/>
        <v>#VALUE!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IFERROR(__xludf.DUMMYFUNCTION("IMPORTRANGE(""https://docs.google.com/spreadsheets/d/10OvvATaaLtwErnr3qtWFcTmtbfpFEt5Bsqel9sXx0uE/edit?usp=sharing"",""งานกองทุน!N56"")"),0)</f>
        <v>0</v>
      </c>
      <c r="J782" s="293">
        <f ca="1">IFERROR(__xludf.DUMMYFUNCTION("IMPORTRANGE(""https://docs.google.com/spreadsheets/d/10OvvATaaLtwErnr3qtWFcTmtbfpFEt5Bsqel9sXx0uE/edit?usp=sharing"",""งานกองทุน!P56"")"),0)</f>
        <v>0</v>
      </c>
      <c r="K782" s="74">
        <f t="shared" ca="1" si="464"/>
        <v>0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IFERROR(__xludf.DUMMYFUNCTION("IMPORTRANGE(""https://docs.google.com/spreadsheets/d/10OvvATaaLtwErnr3qtWFcTmtbfpFEt5Bsqel9sXx0uE/edit?usp=sharing"",""งานกองทุน!M56"")"),0)</f>
        <v>0</v>
      </c>
      <c r="J783" s="293">
        <f ca="1">IFERROR(__xludf.DUMMYFUNCTION("IMPORTRANGE(""https://docs.google.com/spreadsheets/d/10OvvATaaLtwErnr3qtWFcTmtbfpFEt5Bsqel9sXx0uE/edit?usp=sharing"",""งานกองทุน!O56"")"),0)</f>
        <v>0</v>
      </c>
      <c r="K783" s="74">
        <f t="shared" ca="1" si="464"/>
        <v>0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IFERROR(__xludf.DUMMYFUNCTION("IMPORTRANGE(""https://docs.google.com/spreadsheets/d/10OvvATaaLtwErnr3qtWFcTmtbfpFEt5Bsqel9sXx0uE/edit?usp=sharing"",""งานกองทุน!S56"")"),10892000)</f>
        <v>10892000</v>
      </c>
      <c r="J784" s="293">
        <f ca="1">IFERROR(__xludf.DUMMYFUNCTION("IMPORTRANGE(""https://docs.google.com/spreadsheets/d/10OvvATaaLtwErnr3qtWFcTmtbfpFEt5Bsqel9sXx0uE/edit?usp=sharing"",""งานกองทุน!U56"")"),1470000)</f>
        <v>1470000</v>
      </c>
      <c r="K784" s="74">
        <f t="shared" ca="1" si="464"/>
        <v>13.496143958868895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IFERROR(__xludf.DUMMYFUNCTION("IMPORTRANGE(""https://docs.google.com/spreadsheets/d/10OvvATaaLtwErnr3qtWFcTmtbfpFEt5Bsqel9sXx0uE/edit?usp=sharing"",""งานกองทุน!R56"")"),389)</f>
        <v>389</v>
      </c>
      <c r="J785" s="786">
        <f ca="1">IFERROR(__xludf.DUMMYFUNCTION("IMPORTRANGE(""https://docs.google.com/spreadsheets/d/10OvvATaaLtwErnr3qtWFcTmtbfpFEt5Bsqel9sXx0uE/edit?usp=sharing"",""งานกองทุน!T56"")"),30)</f>
        <v>30</v>
      </c>
      <c r="K785" s="182">
        <f t="shared" ca="1" si="464"/>
        <v>7.7120822622107967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BFAB3-D4A9-426C-8C11-857B97069DDB}">
  <sheetPr codeName="Sheet6"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1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3" width="21.28515625" bestFit="1" customWidth="1"/>
    <col min="14" max="14" width="18.7109375" bestFit="1" customWidth="1"/>
    <col min="15" max="16" width="12.5703125" bestFit="1" customWidth="1"/>
    <col min="17" max="18" width="21.2851562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340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1035"/>
      <c r="M4" s="1035"/>
      <c r="N4" s="1035"/>
      <c r="O4" s="1035"/>
      <c r="P4" s="1035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60" t="s">
        <v>2</v>
      </c>
      <c r="M5" s="1353"/>
      <c r="N5" s="1353"/>
      <c r="O5" s="1353"/>
      <c r="P5" s="1347"/>
      <c r="Q5" s="1388" t="s">
        <v>3</v>
      </c>
      <c r="R5" s="1349"/>
      <c r="S5" s="1349"/>
      <c r="T5" s="1349"/>
      <c r="U5" s="1350"/>
    </row>
    <row r="6" spans="1:21" ht="19.5" x14ac:dyDescent="0.3">
      <c r="A6" s="1384" t="s">
        <v>4</v>
      </c>
      <c r="B6" s="1385"/>
      <c r="C6" s="1385"/>
      <c r="D6" s="1385"/>
      <c r="E6" s="1385"/>
      <c r="F6" s="1385"/>
      <c r="G6" s="1386"/>
      <c r="H6" s="1037" t="s">
        <v>5</v>
      </c>
      <c r="I6" s="1387" t="s">
        <v>6</v>
      </c>
      <c r="J6" s="1349"/>
      <c r="K6" s="1350"/>
      <c r="L6" s="1377" t="s">
        <v>7</v>
      </c>
      <c r="M6" s="1350"/>
      <c r="N6" s="1359" t="s">
        <v>8</v>
      </c>
      <c r="O6" s="1349"/>
      <c r="P6" s="1350"/>
      <c r="Q6" s="1358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800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12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9"/>
      <c r="M8" s="19"/>
      <c r="N8" s="19"/>
      <c r="O8" s="19"/>
      <c r="P8" s="19"/>
      <c r="Q8" s="18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30"/>
      <c r="M9" s="30"/>
      <c r="N9" s="30"/>
      <c r="O9" s="30"/>
      <c r="P9" s="30"/>
      <c r="Q9" s="29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30"/>
      <c r="M10" s="30"/>
      <c r="N10" s="30"/>
      <c r="O10" s="30"/>
      <c r="P10" s="30"/>
      <c r="Q10" s="29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30"/>
      <c r="M11" s="30"/>
      <c r="N11" s="30"/>
      <c r="O11" s="30"/>
      <c r="P11" s="30"/>
      <c r="Q11" s="29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30"/>
      <c r="M12" s="30"/>
      <c r="N12" s="30"/>
      <c r="O12" s="30"/>
      <c r="P12" s="30"/>
      <c r="Q12" s="29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30"/>
      <c r="M13" s="30"/>
      <c r="N13" s="30"/>
      <c r="O13" s="30"/>
      <c r="P13" s="30"/>
      <c r="Q13" s="29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30"/>
      <c r="M14" s="30"/>
      <c r="N14" s="30"/>
      <c r="O14" s="30"/>
      <c r="P14" s="30"/>
      <c r="Q14" s="29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30"/>
      <c r="M15" s="30"/>
      <c r="N15" s="30"/>
      <c r="O15" s="30"/>
      <c r="P15" s="30"/>
      <c r="Q15" s="29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30"/>
      <c r="M16" s="30"/>
      <c r="N16" s="30"/>
      <c r="O16" s="30"/>
      <c r="P16" s="30"/>
      <c r="Q16" s="29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9"/>
      <c r="M17" s="19"/>
      <c r="N17" s="19"/>
      <c r="O17" s="19"/>
      <c r="P17" s="19"/>
      <c r="Q17" s="18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7"/>
      <c r="M18" s="47"/>
      <c r="N18" s="47"/>
      <c r="O18" s="47"/>
      <c r="P18" s="47"/>
      <c r="Q18" s="46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9">
        <f ca="1">L20+L21</f>
        <v>1448132</v>
      </c>
      <c r="M19" s="59">
        <f ca="1">M20+M21</f>
        <v>1492172.3599999999</v>
      </c>
      <c r="N19" s="59">
        <f ca="1">N20+N21</f>
        <v>858413.29</v>
      </c>
      <c r="O19" s="59">
        <f t="shared" ref="O19:O27" ca="1" si="0">IF(L19&gt;0,N19*100/L19,0)</f>
        <v>59.277282043349636</v>
      </c>
      <c r="P19" s="59">
        <f t="shared" ref="P19:P27" ca="1" si="1">IF(M19&gt;0,N19*100/M19,0)</f>
        <v>57.527757048120101</v>
      </c>
      <c r="Q19" s="58">
        <f ca="1">Q20+Q21</f>
        <v>1187125.24</v>
      </c>
      <c r="R19" s="59">
        <f ca="1">R20+R21</f>
        <v>1187125</v>
      </c>
      <c r="S19" s="59">
        <f ca="1">S20+S21</f>
        <v>99827</v>
      </c>
      <c r="T19" s="59">
        <f t="shared" ref="T19:T27" ca="1" si="2">IF(Q19&gt;0,S19*100/Q19,0)</f>
        <v>8.4091380282673462</v>
      </c>
      <c r="U19" s="59">
        <f t="shared" ref="U19:U27" ca="1" si="3">IF(R19&gt;0,S19*100/R19,0)</f>
        <v>8.4091397283352638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3">
        <f t="shared" ref="L20:N21" si="4">L23+L26</f>
        <v>0</v>
      </c>
      <c r="M20" s="63">
        <f t="shared" si="4"/>
        <v>0</v>
      </c>
      <c r="N20" s="63">
        <f t="shared" si="4"/>
        <v>0</v>
      </c>
      <c r="O20" s="63">
        <f t="shared" si="0"/>
        <v>0</v>
      </c>
      <c r="P20" s="63">
        <f t="shared" si="1"/>
        <v>0</v>
      </c>
      <c r="Q20" s="62">
        <f t="shared" ref="Q20:S21" si="5">Q23+Q26</f>
        <v>0</v>
      </c>
      <c r="R20" s="63">
        <f t="shared" si="5"/>
        <v>0</v>
      </c>
      <c r="S20" s="63">
        <f t="shared" si="5"/>
        <v>0</v>
      </c>
      <c r="T20" s="63">
        <f t="shared" si="2"/>
        <v>0</v>
      </c>
      <c r="U20" s="63">
        <f t="shared" si="3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5">
        <f t="shared" ca="1" si="4"/>
        <v>1448132</v>
      </c>
      <c r="M21" s="65">
        <f t="shared" ca="1" si="4"/>
        <v>1492172.3599999999</v>
      </c>
      <c r="N21" s="65">
        <f t="shared" ca="1" si="4"/>
        <v>858413.29</v>
      </c>
      <c r="O21" s="65">
        <f t="shared" ca="1" si="0"/>
        <v>59.277282043349636</v>
      </c>
      <c r="P21" s="65">
        <f t="shared" ca="1" si="1"/>
        <v>57.527757048120101</v>
      </c>
      <c r="Q21" s="64">
        <f t="shared" ca="1" si="5"/>
        <v>1187125.24</v>
      </c>
      <c r="R21" s="65">
        <f t="shared" ca="1" si="5"/>
        <v>1187125</v>
      </c>
      <c r="S21" s="65">
        <f t="shared" ca="1" si="5"/>
        <v>99827</v>
      </c>
      <c r="T21" s="65">
        <f t="shared" ca="1" si="2"/>
        <v>8.4091380282673462</v>
      </c>
      <c r="U21" s="65">
        <f t="shared" ca="1" si="3"/>
        <v>8.4091397283352638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4">
        <f ca="1">L23+L24</f>
        <v>1448132</v>
      </c>
      <c r="M22" s="74">
        <f ca="1">M23+M24</f>
        <v>1492172.3599999999</v>
      </c>
      <c r="N22" s="74">
        <f ca="1">N23+N24</f>
        <v>858413.29</v>
      </c>
      <c r="O22" s="74">
        <f t="shared" ca="1" si="0"/>
        <v>59.277282043349636</v>
      </c>
      <c r="P22" s="74">
        <f t="shared" ca="1" si="1"/>
        <v>57.527757048120101</v>
      </c>
      <c r="Q22" s="73">
        <f ca="1">Q23+Q24</f>
        <v>1187125.24</v>
      </c>
      <c r="R22" s="74">
        <f ca="1">R23+R24</f>
        <v>1187125</v>
      </c>
      <c r="S22" s="74">
        <f ca="1">S23+S24</f>
        <v>99827</v>
      </c>
      <c r="T22" s="74">
        <f t="shared" ca="1" si="2"/>
        <v>8.4091380282673462</v>
      </c>
      <c r="U22" s="74">
        <f t="shared" ca="1" si="3"/>
        <v>8.4091397283352638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7">
        <f t="shared" ref="L23:N24" si="6">L49+L64+L77+L99+L130+L144+L162+L191+L178+L271+L287+L308+L325+L338+L361+L518</f>
        <v>0</v>
      </c>
      <c r="M23" s="77">
        <f t="shared" si="6"/>
        <v>0</v>
      </c>
      <c r="N23" s="77">
        <f t="shared" si="6"/>
        <v>0</v>
      </c>
      <c r="O23" s="77">
        <f t="shared" si="0"/>
        <v>0</v>
      </c>
      <c r="P23" s="77">
        <f t="shared" si="1"/>
        <v>0</v>
      </c>
      <c r="Q23" s="76">
        <f t="shared" ref="Q23:S24" si="7">Q77+Q99+Q122+Q144+Q162+Q178+Q191+Q271+Q287+Q308+Q338+Q380+Q397+Q418+Q498+Q604+Q621+Q647+Q695+Q719+Q733+Q764</f>
        <v>0</v>
      </c>
      <c r="R23" s="77">
        <f t="shared" si="7"/>
        <v>0</v>
      </c>
      <c r="S23" s="77">
        <f t="shared" si="7"/>
        <v>0</v>
      </c>
      <c r="T23" s="77">
        <f t="shared" si="2"/>
        <v>0</v>
      </c>
      <c r="U23" s="77">
        <f t="shared" si="3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4">
        <f t="shared" ca="1" si="6"/>
        <v>1448132</v>
      </c>
      <c r="M24" s="74">
        <f t="shared" ca="1" si="6"/>
        <v>1492172.3599999999</v>
      </c>
      <c r="N24" s="74">
        <f t="shared" ca="1" si="6"/>
        <v>858413.29</v>
      </c>
      <c r="O24" s="74">
        <f t="shared" ca="1" si="0"/>
        <v>59.277282043349636</v>
      </c>
      <c r="P24" s="74">
        <f t="shared" ca="1" si="1"/>
        <v>57.527757048120101</v>
      </c>
      <c r="Q24" s="73">
        <f t="shared" ca="1" si="7"/>
        <v>1187125.24</v>
      </c>
      <c r="R24" s="74">
        <f t="shared" ca="1" si="7"/>
        <v>1187125</v>
      </c>
      <c r="S24" s="74">
        <f t="shared" ca="1" si="7"/>
        <v>99827</v>
      </c>
      <c r="T24" s="74">
        <f t="shared" ca="1" si="2"/>
        <v>8.4091380282673462</v>
      </c>
      <c r="U24" s="74">
        <f t="shared" ca="1" si="3"/>
        <v>8.4091397283352638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4">
        <f ca="1">L26+L27</f>
        <v>0</v>
      </c>
      <c r="M25" s="74">
        <f ca="1">M26+M27</f>
        <v>0</v>
      </c>
      <c r="N25" s="74">
        <f ca="1">N26+N27</f>
        <v>0</v>
      </c>
      <c r="O25" s="74">
        <f t="shared" ca="1" si="0"/>
        <v>0</v>
      </c>
      <c r="P25" s="74">
        <f t="shared" ca="1" si="1"/>
        <v>0</v>
      </c>
      <c r="Q25" s="73">
        <f>Q26+Q27</f>
        <v>0</v>
      </c>
      <c r="R25" s="74">
        <f>R26+R27</f>
        <v>0</v>
      </c>
      <c r="S25" s="74">
        <f>S26+S27</f>
        <v>0</v>
      </c>
      <c r="T25" s="74">
        <f t="shared" si="2"/>
        <v>0</v>
      </c>
      <c r="U25" s="74">
        <f t="shared" si="3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7">
        <f t="shared" ref="L26:N27" si="8">L52+L67+L80+L102+L133+L147+L165+L194+L181+L274+L290+L311+L328+L341+L364+L521</f>
        <v>0</v>
      </c>
      <c r="M26" s="77">
        <f t="shared" si="8"/>
        <v>0</v>
      </c>
      <c r="N26" s="77">
        <f t="shared" si="8"/>
        <v>0</v>
      </c>
      <c r="O26" s="77">
        <f t="shared" si="0"/>
        <v>0</v>
      </c>
      <c r="P26" s="77">
        <f t="shared" si="1"/>
        <v>0</v>
      </c>
      <c r="Q26" s="76">
        <f t="shared" ref="Q26:S27" si="9">Q80+Q102+Q125+Q147+Q165+Q181+Q194+Q274+Q290+Q311+Q341+Q383+Q400+Q421+Q501+Q607+Q624+Q650+Q698+Q722+Q736+Q767</f>
        <v>0</v>
      </c>
      <c r="R26" s="77">
        <f t="shared" si="9"/>
        <v>0</v>
      </c>
      <c r="S26" s="77">
        <f t="shared" si="9"/>
        <v>0</v>
      </c>
      <c r="T26" s="77">
        <f t="shared" si="2"/>
        <v>0</v>
      </c>
      <c r="U26" s="77">
        <f t="shared" si="3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4">
        <f t="shared" ca="1" si="8"/>
        <v>0</v>
      </c>
      <c r="M27" s="74">
        <f t="shared" ca="1" si="8"/>
        <v>0</v>
      </c>
      <c r="N27" s="74">
        <f t="shared" ca="1" si="8"/>
        <v>0</v>
      </c>
      <c r="O27" s="74">
        <f t="shared" ca="1" si="0"/>
        <v>0</v>
      </c>
      <c r="P27" s="74">
        <f t="shared" ca="1" si="1"/>
        <v>0</v>
      </c>
      <c r="Q27" s="76">
        <f t="shared" si="9"/>
        <v>0</v>
      </c>
      <c r="R27" s="77">
        <f t="shared" si="9"/>
        <v>0</v>
      </c>
      <c r="S27" s="77">
        <f t="shared" si="9"/>
        <v>0</v>
      </c>
      <c r="T27" s="74">
        <f t="shared" si="2"/>
        <v>0</v>
      </c>
      <c r="U27" s="74">
        <f t="shared" si="3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74"/>
      <c r="M28" s="74"/>
      <c r="N28" s="74"/>
      <c r="O28" s="74"/>
      <c r="P28" s="74"/>
      <c r="Q28" s="86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77"/>
      <c r="M29" s="77"/>
      <c r="N29" s="77"/>
      <c r="O29" s="77"/>
      <c r="P29" s="77"/>
      <c r="Q29" s="86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182"/>
      <c r="M30" s="182"/>
      <c r="N30" s="182"/>
      <c r="O30" s="182"/>
      <c r="P30" s="182"/>
      <c r="Q30" s="97"/>
      <c r="R30" s="98"/>
      <c r="S30" s="98"/>
      <c r="T30" s="98"/>
      <c r="U30" s="98"/>
    </row>
    <row r="31" spans="1:21" ht="12.75" hidden="1" x14ac:dyDescent="0.2">
      <c r="A31" s="1381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9"/>
      <c r="M31" s="19"/>
      <c r="N31" s="19"/>
      <c r="O31" s="19"/>
      <c r="P31" s="19"/>
      <c r="Q31" s="18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30"/>
      <c r="M32" s="30"/>
      <c r="N32" s="30"/>
      <c r="O32" s="30"/>
      <c r="P32" s="30"/>
      <c r="Q32" s="29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30"/>
      <c r="M33" s="30"/>
      <c r="N33" s="30"/>
      <c r="O33" s="30"/>
      <c r="P33" s="30"/>
      <c r="Q33" s="29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30"/>
      <c r="M34" s="30"/>
      <c r="N34" s="30"/>
      <c r="O34" s="30"/>
      <c r="P34" s="30"/>
      <c r="Q34" s="29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30"/>
      <c r="M35" s="30"/>
      <c r="N35" s="30"/>
      <c r="O35" s="30"/>
      <c r="P35" s="30"/>
      <c r="Q35" s="29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30"/>
      <c r="M36" s="30"/>
      <c r="N36" s="30"/>
      <c r="O36" s="30"/>
      <c r="P36" s="30"/>
      <c r="Q36" s="29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30"/>
      <c r="M37" s="30"/>
      <c r="N37" s="30"/>
      <c r="O37" s="30"/>
      <c r="P37" s="30"/>
      <c r="Q37" s="29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30"/>
      <c r="M38" s="30"/>
      <c r="N38" s="30"/>
      <c r="O38" s="30"/>
      <c r="P38" s="30"/>
      <c r="Q38" s="29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30"/>
      <c r="M39" s="30"/>
      <c r="N39" s="30"/>
      <c r="O39" s="30"/>
      <c r="P39" s="30"/>
      <c r="Q39" s="29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9"/>
      <c r="M40" s="19"/>
      <c r="N40" s="19"/>
      <c r="O40" s="19"/>
      <c r="P40" s="19"/>
      <c r="Q40" s="18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79">
        <f ca="1">L45+L60+L73+L95+L126+L140+L158+L174+L187+L267+L283+L304+L321+L334+L357</f>
        <v>1448132</v>
      </c>
      <c r="M41" s="1279">
        <f ca="1">M45+M60+M73+M95+M126+M140+M158+M174+M187+M267+M283+M304+M321+M334+M357</f>
        <v>1492172.3599999999</v>
      </c>
      <c r="N41" s="1279">
        <f ca="1">N45+N60+N73+N95+N126+N140+N158+N174+N187+N267+N283+N304+N321+N334+N357</f>
        <v>858413.29</v>
      </c>
      <c r="O41" s="1279">
        <f ca="1">IF(L41&gt;0,N41*100/L41,0)</f>
        <v>59.277282043349636</v>
      </c>
      <c r="P41" s="1279">
        <f ca="1">IF(M41&gt;0,N41*100/M41,0)</f>
        <v>57.527757048120101</v>
      </c>
      <c r="Q41" s="1278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1277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7"/>
      <c r="M43" s="857"/>
      <c r="N43" s="857"/>
      <c r="O43" s="857"/>
      <c r="P43" s="857"/>
      <c r="Q43" s="856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30"/>
      <c r="M44" s="30"/>
      <c r="N44" s="30"/>
      <c r="O44" s="30"/>
      <c r="P44" s="30"/>
      <c r="Q44" s="29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5">
        <f ca="1">L46+L47</f>
        <v>209157</v>
      </c>
      <c r="M45" s="1275">
        <f ca="1">M46+M47</f>
        <v>214617.36</v>
      </c>
      <c r="N45" s="1275">
        <f ca="1">N46+N47</f>
        <v>165834</v>
      </c>
      <c r="O45" s="1275">
        <f t="shared" ref="O45:O53" ca="1" si="10">IF(L45&gt;0,N45*100/L45,0)</f>
        <v>79.286851503894198</v>
      </c>
      <c r="P45" s="1275">
        <f t="shared" ref="P45:P53" ca="1" si="11">IF(M45&gt;0,N45*100/M45,0)</f>
        <v>77.26961136787817</v>
      </c>
      <c r="Q45" s="1276">
        <f>Q46+Q47</f>
        <v>0</v>
      </c>
      <c r="R45" s="1275">
        <f>R46+R47</f>
        <v>0</v>
      </c>
      <c r="S45" s="1275">
        <f>S46+S47</f>
        <v>0</v>
      </c>
      <c r="T45" s="1275">
        <f t="shared" ref="T45:T53" si="12">IF(Q45&gt;0,S45*100/Q45,0)</f>
        <v>0</v>
      </c>
      <c r="U45" s="1275">
        <f t="shared" ref="U45:U53" si="13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3">
        <f t="shared" ref="L46:N47" si="14">L49+L52</f>
        <v>0</v>
      </c>
      <c r="M46" s="1273">
        <f t="shared" si="14"/>
        <v>0</v>
      </c>
      <c r="N46" s="1273">
        <f t="shared" si="14"/>
        <v>0</v>
      </c>
      <c r="O46" s="1273">
        <f t="shared" si="10"/>
        <v>0</v>
      </c>
      <c r="P46" s="1273">
        <f t="shared" si="11"/>
        <v>0</v>
      </c>
      <c r="Q46" s="1274">
        <f t="shared" ref="Q46:S47" si="15">Q49+Q52</f>
        <v>0</v>
      </c>
      <c r="R46" s="1273">
        <f t="shared" si="15"/>
        <v>0</v>
      </c>
      <c r="S46" s="1273">
        <f t="shared" si="15"/>
        <v>0</v>
      </c>
      <c r="T46" s="1273">
        <f t="shared" si="12"/>
        <v>0</v>
      </c>
      <c r="U46" s="1273">
        <f t="shared" si="13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1">
        <f t="shared" ca="1" si="14"/>
        <v>209157</v>
      </c>
      <c r="M47" s="1271">
        <f t="shared" ca="1" si="14"/>
        <v>214617.36</v>
      </c>
      <c r="N47" s="1271">
        <f t="shared" ca="1" si="14"/>
        <v>165834</v>
      </c>
      <c r="O47" s="1271">
        <f t="shared" ca="1" si="10"/>
        <v>79.286851503894198</v>
      </c>
      <c r="P47" s="1271">
        <f t="shared" ca="1" si="11"/>
        <v>77.26961136787817</v>
      </c>
      <c r="Q47" s="1272">
        <f t="shared" si="15"/>
        <v>0</v>
      </c>
      <c r="R47" s="1271">
        <f t="shared" si="15"/>
        <v>0</v>
      </c>
      <c r="S47" s="1271">
        <f t="shared" si="15"/>
        <v>0</v>
      </c>
      <c r="T47" s="1271">
        <f t="shared" si="12"/>
        <v>0</v>
      </c>
      <c r="U47" s="1271">
        <f t="shared" si="13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4">
        <f ca="1">L49+L50</f>
        <v>209157</v>
      </c>
      <c r="M48" s="74">
        <f ca="1">M49+M50</f>
        <v>214617.36</v>
      </c>
      <c r="N48" s="74">
        <f ca="1">N49+N50</f>
        <v>165834</v>
      </c>
      <c r="O48" s="74">
        <f t="shared" ca="1" si="10"/>
        <v>79.286851503894198</v>
      </c>
      <c r="P48" s="74">
        <f t="shared" ca="1" si="11"/>
        <v>77.26961136787817</v>
      </c>
      <c r="Q48" s="73">
        <f>Q49+Q50</f>
        <v>0</v>
      </c>
      <c r="R48" s="74">
        <f>R49+R50</f>
        <v>0</v>
      </c>
      <c r="S48" s="74">
        <f>S49+S50</f>
        <v>0</v>
      </c>
      <c r="T48" s="74">
        <f t="shared" si="12"/>
        <v>0</v>
      </c>
      <c r="U48" s="74">
        <f t="shared" si="13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7">
        <v>0</v>
      </c>
      <c r="M49" s="77">
        <v>0</v>
      </c>
      <c r="N49" s="77">
        <v>0</v>
      </c>
      <c r="O49" s="77">
        <f t="shared" si="10"/>
        <v>0</v>
      </c>
      <c r="P49" s="77">
        <f t="shared" si="11"/>
        <v>0</v>
      </c>
      <c r="Q49" s="76">
        <v>0</v>
      </c>
      <c r="R49" s="77">
        <v>0</v>
      </c>
      <c r="S49" s="77">
        <v>0</v>
      </c>
      <c r="T49" s="77">
        <f t="shared" si="12"/>
        <v>0</v>
      </c>
      <c r="U49" s="77">
        <f t="shared" si="13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4">
        <f ca="1">IFERROR(__xludf.DUMMYFUNCTION("IMPORTRANGE(""https://docs.google.com/spreadsheets/d/1-uDff_7J0KD5mKrp0Vvzr7lt3OU09vwQwhkpOPPYv2Y/edit?usp=sharing"",""งบพรบ!P57"")"),209157)</f>
        <v>209157</v>
      </c>
      <c r="M50" s="74">
        <f ca="1">IFERROR(__xludf.DUMMYFUNCTION("IMPORTRANGE(""https://docs.google.com/spreadsheets/d/1-uDff_7J0KD5mKrp0Vvzr7lt3OU09vwQwhkpOPPYv2Y/edit?usp=sharing"",""งบพรบ!V57"")"),214617.36)</f>
        <v>214617.36</v>
      </c>
      <c r="N50" s="74">
        <f ca="1">IFERROR(__xludf.DUMMYFUNCTION("IMPORTRANGE(""https://docs.google.com/spreadsheets/d/1-uDff_7J0KD5mKrp0Vvzr7lt3OU09vwQwhkpOPPYv2Y/edit?usp=sharing"",""งบพรบ!Y57"")"),165834)</f>
        <v>165834</v>
      </c>
      <c r="O50" s="74">
        <f t="shared" ca="1" si="10"/>
        <v>79.286851503894198</v>
      </c>
      <c r="P50" s="74">
        <f t="shared" ca="1" si="11"/>
        <v>77.26961136787817</v>
      </c>
      <c r="Q50" s="73">
        <v>0</v>
      </c>
      <c r="R50" s="74">
        <v>0</v>
      </c>
      <c r="S50" s="74">
        <v>0</v>
      </c>
      <c r="T50" s="74">
        <f t="shared" si="12"/>
        <v>0</v>
      </c>
      <c r="U50" s="74">
        <f t="shared" si="13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4">
        <f ca="1">L52+L53</f>
        <v>0</v>
      </c>
      <c r="M51" s="74">
        <f ca="1">M52+M53</f>
        <v>0</v>
      </c>
      <c r="N51" s="74">
        <f ca="1">N52+N53</f>
        <v>0</v>
      </c>
      <c r="O51" s="74">
        <f t="shared" ca="1" si="10"/>
        <v>0</v>
      </c>
      <c r="P51" s="74">
        <f t="shared" ca="1" si="11"/>
        <v>0</v>
      </c>
      <c r="Q51" s="73">
        <f>Q52+Q53</f>
        <v>0</v>
      </c>
      <c r="R51" s="74">
        <f>R52+R53</f>
        <v>0</v>
      </c>
      <c r="S51" s="74">
        <f>S52+S53</f>
        <v>0</v>
      </c>
      <c r="T51" s="74">
        <f t="shared" si="12"/>
        <v>0</v>
      </c>
      <c r="U51" s="74">
        <f t="shared" si="13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7">
        <v>0</v>
      </c>
      <c r="M52" s="77">
        <v>0</v>
      </c>
      <c r="N52" s="77">
        <v>0</v>
      </c>
      <c r="O52" s="77">
        <f t="shared" si="10"/>
        <v>0</v>
      </c>
      <c r="P52" s="77">
        <f t="shared" si="11"/>
        <v>0</v>
      </c>
      <c r="Q52" s="76">
        <v>0</v>
      </c>
      <c r="R52" s="77">
        <v>0</v>
      </c>
      <c r="S52" s="77">
        <v>0</v>
      </c>
      <c r="T52" s="77">
        <f t="shared" si="12"/>
        <v>0</v>
      </c>
      <c r="U52" s="77">
        <f t="shared" si="13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4">
        <f ca="1">IFERROR(__xludf.DUMMYFUNCTION("IMPORTRANGE(""https://docs.google.com/spreadsheets/d/1-uDff_7J0KD5mKrp0Vvzr7lt3OU09vwQwhkpOPPYv2Y/edit?usp=sharing"",""งบพรบ!S57"")"),0)</f>
        <v>0</v>
      </c>
      <c r="M53" s="74">
        <f ca="1">IFERROR(__xludf.DUMMYFUNCTION("IMPORTRANGE(""https://docs.google.com/spreadsheets/d/1-uDff_7J0KD5mKrp0Vvzr7lt3OU09vwQwhkpOPPYv2Y/edit?usp=sharing"",""งบพรบ!W57"")"),0)</f>
        <v>0</v>
      </c>
      <c r="N53" s="74">
        <f ca="1">IFERROR(__xludf.DUMMYFUNCTION("IMPORTRANGE(""https://docs.google.com/spreadsheets/d/1-uDff_7J0KD5mKrp0Vvzr7lt3OU09vwQwhkpOPPYv2Y/edit?usp=sharing"",""งบพรบ!Z57"")"),0)</f>
        <v>0</v>
      </c>
      <c r="O53" s="74">
        <f t="shared" ca="1" si="10"/>
        <v>0</v>
      </c>
      <c r="P53" s="74">
        <f t="shared" ca="1" si="11"/>
        <v>0</v>
      </c>
      <c r="Q53" s="73">
        <v>0</v>
      </c>
      <c r="R53" s="74">
        <v>0</v>
      </c>
      <c r="S53" s="74">
        <v>0</v>
      </c>
      <c r="T53" s="74">
        <f t="shared" si="12"/>
        <v>0</v>
      </c>
      <c r="U53" s="74">
        <f t="shared" si="13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74"/>
      <c r="M54" s="74"/>
      <c r="N54" s="74"/>
      <c r="O54" s="74"/>
      <c r="P54" s="74"/>
      <c r="Q54" s="86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77"/>
      <c r="M55" s="77"/>
      <c r="N55" s="77"/>
      <c r="O55" s="77"/>
      <c r="P55" s="77"/>
      <c r="Q55" s="86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182"/>
      <c r="M56" s="182"/>
      <c r="N56" s="182"/>
      <c r="O56" s="182"/>
      <c r="P56" s="182"/>
      <c r="Q56" s="97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1270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7"/>
      <c r="M58" s="147"/>
      <c r="N58" s="147"/>
      <c r="O58" s="147"/>
      <c r="P58" s="147"/>
      <c r="Q58" s="146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5"/>
      <c r="M59" s="155"/>
      <c r="N59" s="155"/>
      <c r="O59" s="155"/>
      <c r="P59" s="155"/>
      <c r="Q59" s="154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8">
        <f ca="1">L61+L62</f>
        <v>423000</v>
      </c>
      <c r="M60" s="1268">
        <f ca="1">M61+M62</f>
        <v>423000</v>
      </c>
      <c r="N60" s="1268">
        <f ca="1">N61+N62</f>
        <v>295073.78999999998</v>
      </c>
      <c r="O60" s="1268">
        <f t="shared" ref="O60:O68" ca="1" si="16">IF(L60&gt;0,N60*100/L60,0)</f>
        <v>69.757397163120558</v>
      </c>
      <c r="P60" s="1268">
        <f t="shared" ref="P60:P68" ca="1" si="17">IF(M60&gt;0,N60*100/M60,0)</f>
        <v>69.757397163120558</v>
      </c>
      <c r="Q60" s="1269">
        <f>Q61+Q62</f>
        <v>0</v>
      </c>
      <c r="R60" s="1268">
        <f>R61+R62</f>
        <v>0</v>
      </c>
      <c r="S60" s="1268">
        <f>S61+S62</f>
        <v>0</v>
      </c>
      <c r="T60" s="1268">
        <f t="shared" ref="T60:T68" si="18">IF(Q60&gt;0,S60*100/Q60,0)</f>
        <v>0</v>
      </c>
      <c r="U60" s="1268">
        <f t="shared" ref="U60:U68" si="19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6">
        <f t="shared" ref="L61:N62" si="20">L64+L67</f>
        <v>0</v>
      </c>
      <c r="M61" s="1266">
        <f t="shared" si="20"/>
        <v>0</v>
      </c>
      <c r="N61" s="1266">
        <f t="shared" si="20"/>
        <v>0</v>
      </c>
      <c r="O61" s="1266">
        <f t="shared" si="16"/>
        <v>0</v>
      </c>
      <c r="P61" s="1266">
        <f t="shared" si="17"/>
        <v>0</v>
      </c>
      <c r="Q61" s="1267">
        <f t="shared" ref="Q61:S62" si="21">Q64+Q67</f>
        <v>0</v>
      </c>
      <c r="R61" s="1266">
        <f t="shared" si="21"/>
        <v>0</v>
      </c>
      <c r="S61" s="1266">
        <f t="shared" si="21"/>
        <v>0</v>
      </c>
      <c r="T61" s="1266">
        <f t="shared" si="18"/>
        <v>0</v>
      </c>
      <c r="U61" s="1266">
        <f t="shared" si="19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4">
        <f t="shared" ca="1" si="20"/>
        <v>423000</v>
      </c>
      <c r="M62" s="1264">
        <f t="shared" ca="1" si="20"/>
        <v>423000</v>
      </c>
      <c r="N62" s="1264">
        <f t="shared" ca="1" si="20"/>
        <v>295073.78999999998</v>
      </c>
      <c r="O62" s="1264">
        <f t="shared" ca="1" si="16"/>
        <v>69.757397163120558</v>
      </c>
      <c r="P62" s="1264">
        <f t="shared" ca="1" si="17"/>
        <v>69.757397163120558</v>
      </c>
      <c r="Q62" s="1265">
        <f t="shared" si="21"/>
        <v>0</v>
      </c>
      <c r="R62" s="1264">
        <f t="shared" si="21"/>
        <v>0</v>
      </c>
      <c r="S62" s="1264">
        <f t="shared" si="21"/>
        <v>0</v>
      </c>
      <c r="T62" s="1264">
        <f t="shared" si="18"/>
        <v>0</v>
      </c>
      <c r="U62" s="1264">
        <f t="shared" si="19"/>
        <v>0</v>
      </c>
    </row>
    <row r="63" spans="1:21" ht="18.75" x14ac:dyDescent="0.25">
      <c r="A63" s="550"/>
      <c r="B63" s="269"/>
      <c r="C63" s="269"/>
      <c r="D63" s="967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4">
        <f ca="1">L64+L65</f>
        <v>423000</v>
      </c>
      <c r="M63" s="74">
        <f ca="1">M64+M65</f>
        <v>423000</v>
      </c>
      <c r="N63" s="74">
        <f ca="1">N64+N65</f>
        <v>295073.78999999998</v>
      </c>
      <c r="O63" s="74">
        <f t="shared" ca="1" si="16"/>
        <v>69.757397163120558</v>
      </c>
      <c r="P63" s="74">
        <f t="shared" ca="1" si="17"/>
        <v>69.757397163120558</v>
      </c>
      <c r="Q63" s="73">
        <f>Q64+Q65</f>
        <v>0</v>
      </c>
      <c r="R63" s="74">
        <f>R64+R65</f>
        <v>0</v>
      </c>
      <c r="S63" s="74">
        <f>S64+S65</f>
        <v>0</v>
      </c>
      <c r="T63" s="74">
        <f t="shared" si="18"/>
        <v>0</v>
      </c>
      <c r="U63" s="74">
        <f t="shared" si="19"/>
        <v>0</v>
      </c>
    </row>
    <row r="64" spans="1:21" ht="18.75" hidden="1" x14ac:dyDescent="0.25">
      <c r="A64" s="550"/>
      <c r="B64" s="258"/>
      <c r="C64" s="269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7">
        <v>0</v>
      </c>
      <c r="M64" s="77">
        <v>0</v>
      </c>
      <c r="N64" s="77">
        <v>0</v>
      </c>
      <c r="O64" s="77">
        <f t="shared" si="16"/>
        <v>0</v>
      </c>
      <c r="P64" s="77">
        <f t="shared" si="17"/>
        <v>0</v>
      </c>
      <c r="Q64" s="76">
        <v>0</v>
      </c>
      <c r="R64" s="77">
        <v>0</v>
      </c>
      <c r="S64" s="77">
        <v>0</v>
      </c>
      <c r="T64" s="77">
        <f t="shared" si="18"/>
        <v>0</v>
      </c>
      <c r="U64" s="77">
        <f t="shared" si="19"/>
        <v>0</v>
      </c>
    </row>
    <row r="65" spans="1:21" ht="18.75" hidden="1" x14ac:dyDescent="0.25">
      <c r="A65" s="257"/>
      <c r="B65" s="258"/>
      <c r="C65" s="258"/>
      <c r="D65" s="269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4">
        <f ca="1">IFERROR(__xludf.DUMMYFUNCTION("IMPORTRANGE(""https://docs.google.com/spreadsheets/d/1-uDff_7J0KD5mKrp0Vvzr7lt3OU09vwQwhkpOPPYv2Y/edit?usp=sharing"",""งบพรบ!AC57"")"),423000)</f>
        <v>423000</v>
      </c>
      <c r="M65" s="74">
        <f ca="1">IFERROR(__xludf.DUMMYFUNCTION("IMPORTRANGE(""https://docs.google.com/spreadsheets/d/1-uDff_7J0KD5mKrp0Vvzr7lt3OU09vwQwhkpOPPYv2Y/edit?usp=sharing"",""งบพรบ!AH57"")"),423000)</f>
        <v>423000</v>
      </c>
      <c r="N65" s="74">
        <f ca="1">IFERROR(__xludf.DUMMYFUNCTION("IMPORTRANGE(""https://docs.google.com/spreadsheets/d/1-uDff_7J0KD5mKrp0Vvzr7lt3OU09vwQwhkpOPPYv2Y/edit?usp=sharing"",""งบพรบ!AJ57"")"),295073.79)</f>
        <v>295073.78999999998</v>
      </c>
      <c r="O65" s="74">
        <f t="shared" ca="1" si="16"/>
        <v>69.757397163120558</v>
      </c>
      <c r="P65" s="74">
        <f t="shared" ca="1" si="17"/>
        <v>69.757397163120558</v>
      </c>
      <c r="Q65" s="73">
        <v>0</v>
      </c>
      <c r="R65" s="74">
        <v>0</v>
      </c>
      <c r="S65" s="74">
        <v>0</v>
      </c>
      <c r="T65" s="74">
        <f t="shared" si="18"/>
        <v>0</v>
      </c>
      <c r="U65" s="74">
        <f t="shared" si="19"/>
        <v>0</v>
      </c>
    </row>
    <row r="66" spans="1:21" ht="18.75" x14ac:dyDescent="0.25">
      <c r="A66" s="257"/>
      <c r="B66" s="258"/>
      <c r="C66" s="258"/>
      <c r="D66" s="967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4">
        <f ca="1">L67+L68</f>
        <v>0</v>
      </c>
      <c r="M66" s="74">
        <f ca="1">M67+M68</f>
        <v>0</v>
      </c>
      <c r="N66" s="74">
        <f ca="1">N67+N68</f>
        <v>0</v>
      </c>
      <c r="O66" s="74">
        <f t="shared" ca="1" si="16"/>
        <v>0</v>
      </c>
      <c r="P66" s="74">
        <f t="shared" ca="1" si="17"/>
        <v>0</v>
      </c>
      <c r="Q66" s="73">
        <f>Q67+Q68</f>
        <v>0</v>
      </c>
      <c r="R66" s="74">
        <f>R67+R68</f>
        <v>0</v>
      </c>
      <c r="S66" s="74">
        <f>S67+S68</f>
        <v>0</v>
      </c>
      <c r="T66" s="74">
        <f t="shared" si="18"/>
        <v>0</v>
      </c>
      <c r="U66" s="74">
        <f t="shared" si="19"/>
        <v>0</v>
      </c>
    </row>
    <row r="67" spans="1:21" ht="18.75" hidden="1" x14ac:dyDescent="0.25">
      <c r="A67" s="257"/>
      <c r="B67" s="258"/>
      <c r="C67" s="258"/>
      <c r="D67" s="258"/>
      <c r="E67" s="265" t="s">
        <v>20</v>
      </c>
      <c r="F67" s="258"/>
      <c r="G67" s="261"/>
      <c r="H67" s="266" t="s">
        <v>14</v>
      </c>
      <c r="I67" s="263"/>
      <c r="J67" s="263"/>
      <c r="K67" s="87"/>
      <c r="L67" s="77">
        <v>0</v>
      </c>
      <c r="M67" s="77">
        <v>0</v>
      </c>
      <c r="N67" s="77">
        <v>0</v>
      </c>
      <c r="O67" s="77">
        <f t="shared" si="16"/>
        <v>0</v>
      </c>
      <c r="P67" s="77">
        <f t="shared" si="17"/>
        <v>0</v>
      </c>
      <c r="Q67" s="76">
        <v>0</v>
      </c>
      <c r="R67" s="77">
        <v>0</v>
      </c>
      <c r="S67" s="77">
        <v>0</v>
      </c>
      <c r="T67" s="77">
        <f t="shared" si="18"/>
        <v>0</v>
      </c>
      <c r="U67" s="77">
        <f t="shared" si="19"/>
        <v>0</v>
      </c>
    </row>
    <row r="68" spans="1:21" ht="18.75" hidden="1" x14ac:dyDescent="0.25">
      <c r="A68" s="1094"/>
      <c r="B68" s="636"/>
      <c r="C68" s="636"/>
      <c r="D68" s="636"/>
      <c r="E68" s="849" t="s">
        <v>21</v>
      </c>
      <c r="F68" s="636"/>
      <c r="G68" s="637"/>
      <c r="H68" s="630" t="s">
        <v>14</v>
      </c>
      <c r="I68" s="631"/>
      <c r="J68" s="631"/>
      <c r="K68" s="98"/>
      <c r="L68" s="182">
        <f ca="1">IFERROR(__xludf.DUMMYFUNCTION("IMPORTRANGE(""https://docs.google.com/spreadsheets/d/1-uDff_7J0KD5mKrp0Vvzr7lt3OU09vwQwhkpOPPYv2Y/edit?usp=sharing"",""งบพรบ!AF57"")"),0)</f>
        <v>0</v>
      </c>
      <c r="M68" s="182">
        <f ca="1">IFERROR(__xludf.DUMMYFUNCTION("IMPORTRANGE(""https://docs.google.com/spreadsheets/d/1-uDff_7J0KD5mKrp0Vvzr7lt3OU09vwQwhkpOPPYv2Y/edit?usp=sharing"",""งบพรบ!AI57"")"),0)</f>
        <v>0</v>
      </c>
      <c r="N68" s="182">
        <f ca="1">IFERROR(__xludf.DUMMYFUNCTION("IMPORTRANGE(""https://docs.google.com/spreadsheets/d/1-uDff_7J0KD5mKrp0Vvzr7lt3OU09vwQwhkpOPPYv2Y/edit?usp=sharing"",""งบพรบ!AK57"")"),0)</f>
        <v>0</v>
      </c>
      <c r="O68" s="182">
        <f t="shared" ca="1" si="16"/>
        <v>0</v>
      </c>
      <c r="P68" s="182">
        <f t="shared" ca="1" si="17"/>
        <v>0</v>
      </c>
      <c r="Q68" s="181">
        <v>0</v>
      </c>
      <c r="R68" s="182">
        <v>0</v>
      </c>
      <c r="S68" s="182">
        <v>0</v>
      </c>
      <c r="T68" s="182">
        <f t="shared" si="18"/>
        <v>0</v>
      </c>
      <c r="U68" s="182">
        <f t="shared" si="19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6"/>
      <c r="I69" s="1098"/>
      <c r="J69" s="1098"/>
      <c r="K69" s="191"/>
      <c r="L69" s="191"/>
      <c r="M69" s="191"/>
      <c r="N69" s="191"/>
      <c r="O69" s="191"/>
      <c r="P69" s="192"/>
      <c r="Q69" s="190"/>
      <c r="R69" s="191"/>
      <c r="S69" s="191"/>
      <c r="T69" s="191"/>
      <c r="U69" s="192"/>
    </row>
    <row r="70" spans="1:21" ht="19.5" x14ac:dyDescent="0.3">
      <c r="A70" s="1099" t="s">
        <v>32</v>
      </c>
      <c r="B70" s="691"/>
      <c r="C70" s="693"/>
      <c r="D70" s="691"/>
      <c r="E70" s="691"/>
      <c r="F70" s="691"/>
      <c r="G70" s="1100"/>
      <c r="H70" s="1101"/>
      <c r="I70" s="1102"/>
      <c r="J70" s="1102"/>
      <c r="K70" s="200"/>
      <c r="L70" s="200"/>
      <c r="M70" s="200"/>
      <c r="N70" s="200"/>
      <c r="O70" s="200"/>
      <c r="P70" s="200"/>
      <c r="Q70" s="199"/>
      <c r="R70" s="200"/>
      <c r="S70" s="200"/>
      <c r="T70" s="200"/>
      <c r="U70" s="200"/>
    </row>
    <row r="71" spans="1:21" ht="21.75" customHeight="1" x14ac:dyDescent="0.3">
      <c r="A71" s="250"/>
      <c r="B71" s="251" t="s">
        <v>33</v>
      </c>
      <c r="C71" s="252"/>
      <c r="D71" s="253"/>
      <c r="E71" s="252"/>
      <c r="F71" s="252"/>
      <c r="G71" s="254"/>
      <c r="H71" s="255" t="s">
        <v>34</v>
      </c>
      <c r="I71" s="256">
        <f ca="1">I83</f>
        <v>1</v>
      </c>
      <c r="J71" s="256">
        <f>J83</f>
        <v>0</v>
      </c>
      <c r="K71" s="59">
        <f ca="1">IF(I71&gt;0,J71*100/I71,0)</f>
        <v>0</v>
      </c>
      <c r="L71" s="208"/>
      <c r="M71" s="208"/>
      <c r="N71" s="208"/>
      <c r="O71" s="208"/>
      <c r="P71" s="208"/>
      <c r="Q71" s="207"/>
      <c r="R71" s="208"/>
      <c r="S71" s="208"/>
      <c r="T71" s="208"/>
      <c r="U71" s="208"/>
    </row>
    <row r="72" spans="1:21" ht="19.5" x14ac:dyDescent="0.3">
      <c r="A72" s="250"/>
      <c r="B72" s="252"/>
      <c r="C72" s="252"/>
      <c r="D72" s="253"/>
      <c r="E72" s="252"/>
      <c r="F72" s="252"/>
      <c r="G72" s="254"/>
      <c r="H72" s="255" t="s">
        <v>35</v>
      </c>
      <c r="I72" s="256">
        <f ca="1">I84</f>
        <v>34</v>
      </c>
      <c r="J72" s="256">
        <f>J84</f>
        <v>0</v>
      </c>
      <c r="K72" s="59">
        <f ca="1">IF(I72&gt;0,J72*100/I72,0)</f>
        <v>0</v>
      </c>
      <c r="L72" s="208"/>
      <c r="M72" s="208"/>
      <c r="N72" s="208"/>
      <c r="O72" s="208"/>
      <c r="P72" s="208"/>
      <c r="Q72" s="207"/>
      <c r="R72" s="208"/>
      <c r="S72" s="208"/>
      <c r="T72" s="208"/>
      <c r="U72" s="208"/>
    </row>
    <row r="73" spans="1:21" ht="19.5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264">
        <f ca="1">L74+L75</f>
        <v>90000</v>
      </c>
      <c r="M73" s="264">
        <f ca="1">M74+M75</f>
        <v>90000</v>
      </c>
      <c r="N73" s="264">
        <f ca="1">N74+N75</f>
        <v>0</v>
      </c>
      <c r="O73" s="264">
        <f t="shared" ref="O73:O81" ca="1" si="22">IF(L73&gt;0,N73*100/L73,0)</f>
        <v>0</v>
      </c>
      <c r="P73" s="264">
        <f t="shared" ref="P73:P81" ca="1" si="23">IF(M73&gt;0,N73*100/M73,0)</f>
        <v>0</v>
      </c>
      <c r="Q73" s="1257">
        <f ca="1">Q74+Q75</f>
        <v>412380</v>
      </c>
      <c r="R73" s="264">
        <f ca="1">R74+R75</f>
        <v>412380</v>
      </c>
      <c r="S73" s="264">
        <f ca="1">S74+S75</f>
        <v>0</v>
      </c>
      <c r="T73" s="264">
        <f t="shared" ref="T73:T81" ca="1" si="24">IF(Q73&gt;0,S73*100/Q73,0)</f>
        <v>0</v>
      </c>
      <c r="U73" s="264">
        <f t="shared" ref="U73:U81" ca="1" si="25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7">
        <f t="shared" ref="L74:N75" si="26">L77+L80</f>
        <v>0</v>
      </c>
      <c r="M74" s="77">
        <f t="shared" si="26"/>
        <v>0</v>
      </c>
      <c r="N74" s="77">
        <f t="shared" si="26"/>
        <v>0</v>
      </c>
      <c r="O74" s="77">
        <f t="shared" si="22"/>
        <v>0</v>
      </c>
      <c r="P74" s="77">
        <f t="shared" si="23"/>
        <v>0</v>
      </c>
      <c r="Q74" s="76">
        <f t="shared" ref="Q74:S75" si="27">Q77+Q80</f>
        <v>0</v>
      </c>
      <c r="R74" s="77">
        <f t="shared" si="27"/>
        <v>0</v>
      </c>
      <c r="S74" s="77">
        <f t="shared" si="27"/>
        <v>0</v>
      </c>
      <c r="T74" s="77">
        <f t="shared" si="24"/>
        <v>0</v>
      </c>
      <c r="U74" s="77">
        <f t="shared" si="25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4">
        <f t="shared" ca="1" si="26"/>
        <v>90000</v>
      </c>
      <c r="M75" s="74">
        <f t="shared" ca="1" si="26"/>
        <v>90000</v>
      </c>
      <c r="N75" s="74">
        <f t="shared" ca="1" si="26"/>
        <v>0</v>
      </c>
      <c r="O75" s="74">
        <f t="shared" ca="1" si="22"/>
        <v>0</v>
      </c>
      <c r="P75" s="74">
        <f t="shared" ca="1" si="23"/>
        <v>0</v>
      </c>
      <c r="Q75" s="73">
        <f t="shared" ca="1" si="27"/>
        <v>412380</v>
      </c>
      <c r="R75" s="74">
        <f t="shared" ca="1" si="27"/>
        <v>412380</v>
      </c>
      <c r="S75" s="74">
        <f t="shared" ca="1" si="27"/>
        <v>0</v>
      </c>
      <c r="T75" s="74">
        <f t="shared" ca="1" si="24"/>
        <v>0</v>
      </c>
      <c r="U75" s="74">
        <f t="shared" ca="1" si="25"/>
        <v>0</v>
      </c>
    </row>
    <row r="76" spans="1:21" ht="18.75" x14ac:dyDescent="0.25">
      <c r="A76" s="257"/>
      <c r="B76" s="269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4">
        <f ca="1">L77+L78</f>
        <v>90000</v>
      </c>
      <c r="M76" s="74">
        <f ca="1">M77+M78</f>
        <v>90000</v>
      </c>
      <c r="N76" s="74">
        <f ca="1">N77+N78</f>
        <v>0</v>
      </c>
      <c r="O76" s="74">
        <f t="shared" ca="1" si="22"/>
        <v>0</v>
      </c>
      <c r="P76" s="74">
        <f t="shared" ca="1" si="23"/>
        <v>0</v>
      </c>
      <c r="Q76" s="73">
        <f ca="1">Q77+Q78</f>
        <v>412380</v>
      </c>
      <c r="R76" s="74">
        <f ca="1">R77+R78</f>
        <v>412380</v>
      </c>
      <c r="S76" s="74">
        <f ca="1">S77+S78</f>
        <v>0</v>
      </c>
      <c r="T76" s="74">
        <f t="shared" ca="1" si="24"/>
        <v>0</v>
      </c>
      <c r="U76" s="74">
        <f t="shared" ca="1" si="25"/>
        <v>0</v>
      </c>
    </row>
    <row r="77" spans="1:21" ht="18.75" hidden="1" x14ac:dyDescent="0.25">
      <c r="A77" s="257"/>
      <c r="B77" s="269"/>
      <c r="C77" s="269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7">
        <v>0</v>
      </c>
      <c r="M77" s="77">
        <v>0</v>
      </c>
      <c r="N77" s="77">
        <v>0</v>
      </c>
      <c r="O77" s="77">
        <f t="shared" si="22"/>
        <v>0</v>
      </c>
      <c r="P77" s="77">
        <f t="shared" si="23"/>
        <v>0</v>
      </c>
      <c r="Q77" s="76">
        <v>0</v>
      </c>
      <c r="R77" s="77">
        <v>0</v>
      </c>
      <c r="S77" s="77">
        <v>0</v>
      </c>
      <c r="T77" s="77">
        <f t="shared" si="24"/>
        <v>0</v>
      </c>
      <c r="U77" s="77">
        <f t="shared" si="25"/>
        <v>0</v>
      </c>
    </row>
    <row r="78" spans="1:21" ht="18.75" hidden="1" x14ac:dyDescent="0.25">
      <c r="A78" s="257"/>
      <c r="B78" s="269"/>
      <c r="C78" s="269"/>
      <c r="D78" s="269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4">
        <f ca="1">IFERROR(__xludf.DUMMYFUNCTION("IMPORTRANGE(""https://docs.google.com/spreadsheets/d/1-uDff_7J0KD5mKrp0Vvzr7lt3OU09vwQwhkpOPPYv2Y/edit?usp=sharing"",""งบพรบ!AM57"")"),90000)</f>
        <v>90000</v>
      </c>
      <c r="M78" s="74">
        <f ca="1">IFERROR(__xludf.DUMMYFUNCTION("IMPORTRANGE(""https://docs.google.com/spreadsheets/d/1-uDff_7J0KD5mKrp0Vvzr7lt3OU09vwQwhkpOPPYv2Y/edit?usp=sharing"",""งบพรบ!AR57"")"),90000)</f>
        <v>90000</v>
      </c>
      <c r="N78" s="74">
        <f ca="1">IFERROR(__xludf.DUMMYFUNCTION("IMPORTRANGE(""https://docs.google.com/spreadsheets/d/1-uDff_7J0KD5mKrp0Vvzr7lt3OU09vwQwhkpOPPYv2Y/edit?usp=sharing"",""งบพรบ!AT57"")"),0)</f>
        <v>0</v>
      </c>
      <c r="O78" s="74">
        <f t="shared" ca="1" si="22"/>
        <v>0</v>
      </c>
      <c r="P78" s="74">
        <f t="shared" ca="1" si="23"/>
        <v>0</v>
      </c>
      <c r="Q78" s="73">
        <f ca="1">IFERROR(__xludf.DUMMYFUNCTION("IMPORTRANGE(""https://docs.google.com/spreadsheets/d/1ItG2mGa2ceCfYo0BwxsXqNm01IGEUdYcSSLTEv9YCik/edit?usp=sharing"",""เบิกจ่ายกองทุน!AS57"")"),412380)</f>
        <v>412380</v>
      </c>
      <c r="R78" s="74">
        <f ca="1">IFERROR(__xludf.DUMMYFUNCTION("IMPORTRANGE(""https://docs.google.com/spreadsheets/d/1ItG2mGa2ceCfYo0BwxsXqNm01IGEUdYcSSLTEv9YCik/edit?usp=sharing"",""เบิกจ่ายกองทุน!AT57"")"),412380)</f>
        <v>412380</v>
      </c>
      <c r="S78" s="74">
        <f ca="1">IFERROR(__xludf.DUMMYFUNCTION("IMPORTRANGE(""https://docs.google.com/spreadsheets/d/1ItG2mGa2ceCfYo0BwxsXqNm01IGEUdYcSSLTEv9YCik/edit?usp=sharing"",""เบิกจ่ายกองทุน!AU57"")"),0)</f>
        <v>0</v>
      </c>
      <c r="T78" s="74">
        <f t="shared" ca="1" si="24"/>
        <v>0</v>
      </c>
      <c r="U78" s="74">
        <f t="shared" ca="1" si="25"/>
        <v>0</v>
      </c>
    </row>
    <row r="79" spans="1:21" ht="18.75" x14ac:dyDescent="0.25">
      <c r="A79" s="257"/>
      <c r="B79" s="269"/>
      <c r="C79" s="269"/>
      <c r="D79" s="967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4">
        <f ca="1">L80+L81</f>
        <v>0</v>
      </c>
      <c r="M79" s="74">
        <f ca="1">M80+M81</f>
        <v>0</v>
      </c>
      <c r="N79" s="74">
        <f ca="1">N80+N81</f>
        <v>0</v>
      </c>
      <c r="O79" s="74">
        <f t="shared" ca="1" si="22"/>
        <v>0</v>
      </c>
      <c r="P79" s="74">
        <f t="shared" ca="1" si="23"/>
        <v>0</v>
      </c>
      <c r="Q79" s="73">
        <f>Q80+Q81</f>
        <v>0</v>
      </c>
      <c r="R79" s="74">
        <f>R80+R81</f>
        <v>0</v>
      </c>
      <c r="S79" s="74">
        <f>S80+S81</f>
        <v>0</v>
      </c>
      <c r="T79" s="74">
        <f t="shared" si="24"/>
        <v>0</v>
      </c>
      <c r="U79" s="74">
        <f t="shared" si="25"/>
        <v>0</v>
      </c>
    </row>
    <row r="80" spans="1:21" ht="18.75" hidden="1" x14ac:dyDescent="0.25">
      <c r="A80" s="257"/>
      <c r="B80" s="269"/>
      <c r="C80" s="269"/>
      <c r="D80" s="269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7">
        <v>0</v>
      </c>
      <c r="M80" s="87"/>
      <c r="N80" s="87"/>
      <c r="O80" s="77">
        <f t="shared" si="22"/>
        <v>0</v>
      </c>
      <c r="P80" s="77">
        <f t="shared" si="23"/>
        <v>0</v>
      </c>
      <c r="Q80" s="76">
        <v>0</v>
      </c>
      <c r="R80" s="74">
        <v>0</v>
      </c>
      <c r="S80" s="74">
        <v>0</v>
      </c>
      <c r="T80" s="77">
        <f t="shared" si="24"/>
        <v>0</v>
      </c>
      <c r="U80" s="77">
        <f t="shared" si="25"/>
        <v>0</v>
      </c>
    </row>
    <row r="81" spans="1:21" ht="18.75" hidden="1" x14ac:dyDescent="0.25">
      <c r="A81" s="257"/>
      <c r="B81" s="269"/>
      <c r="C81" s="269"/>
      <c r="D81" s="269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4">
        <f ca="1">IFERROR(__xludf.DUMMYFUNCTION("IMPORTRANGE(""https://docs.google.com/spreadsheets/d/1-uDff_7J0KD5mKrp0Vvzr7lt3OU09vwQwhkpOPPYv2Y/edit?usp=sharing"",""งบพรบ!AP57"")"),0)</f>
        <v>0</v>
      </c>
      <c r="M81" s="74">
        <f ca="1">IFERROR(__xludf.DUMMYFUNCTION("IMPORTRANGE(""https://docs.google.com/spreadsheets/d/1-uDff_7J0KD5mKrp0Vvzr7lt3OU09vwQwhkpOPPYv2Y/edit?usp=sharing"",""งบพรบ!AS57"")"),0)</f>
        <v>0</v>
      </c>
      <c r="N81" s="74">
        <f ca="1">IFERROR(__xludf.DUMMYFUNCTION("IMPORTRANGE(""https://docs.google.com/spreadsheets/d/1-uDff_7J0KD5mKrp0Vvzr7lt3OU09vwQwhkpOPPYv2Y/edit?usp=sharing"",""งบพรบ!AU57"")"),0)</f>
        <v>0</v>
      </c>
      <c r="O81" s="74">
        <f t="shared" ca="1" si="22"/>
        <v>0</v>
      </c>
      <c r="P81" s="74">
        <f t="shared" ca="1" si="23"/>
        <v>0</v>
      </c>
      <c r="Q81" s="73">
        <v>0</v>
      </c>
      <c r="R81" s="74">
        <v>0</v>
      </c>
      <c r="S81" s="74">
        <v>0</v>
      </c>
      <c r="T81" s="74">
        <f t="shared" si="24"/>
        <v>0</v>
      </c>
      <c r="U81" s="74">
        <f t="shared" si="25"/>
        <v>0</v>
      </c>
    </row>
    <row r="82" spans="1:21" ht="19.5" x14ac:dyDescent="0.3">
      <c r="A82" s="276"/>
      <c r="B82" s="277"/>
      <c r="C82" s="621" t="s">
        <v>18</v>
      </c>
      <c r="D82" s="968" t="s">
        <v>38</v>
      </c>
      <c r="E82" s="280"/>
      <c r="F82" s="280"/>
      <c r="G82" s="281"/>
      <c r="H82" s="282"/>
      <c r="I82" s="272"/>
      <c r="J82" s="272"/>
      <c r="K82" s="229"/>
      <c r="L82" s="229"/>
      <c r="M82" s="229"/>
      <c r="N82" s="229"/>
      <c r="O82" s="229"/>
      <c r="P82" s="229"/>
      <c r="Q82" s="228"/>
      <c r="R82" s="229"/>
      <c r="S82" s="229"/>
      <c r="T82" s="229"/>
      <c r="U82" s="229"/>
    </row>
    <row r="83" spans="1:21" ht="19.5" x14ac:dyDescent="0.3">
      <c r="A83" s="276"/>
      <c r="B83" s="277"/>
      <c r="C83" s="277"/>
      <c r="D83" s="1103" t="s">
        <v>39</v>
      </c>
      <c r="E83" s="296"/>
      <c r="F83" s="296"/>
      <c r="G83" s="282"/>
      <c r="H83" s="1104" t="s">
        <v>34</v>
      </c>
      <c r="I83" s="622">
        <f ca="1">I85+I87+I89</f>
        <v>1</v>
      </c>
      <c r="J83" s="622">
        <f>J85+J87+J89</f>
        <v>0</v>
      </c>
      <c r="K83" s="1105">
        <f t="shared" ref="K83:K91" ca="1" si="28">IF(I83&gt;0,J83*100/I83,0)</f>
        <v>0</v>
      </c>
      <c r="L83" s="229"/>
      <c r="M83" s="229"/>
      <c r="N83" s="229"/>
      <c r="O83" s="229"/>
      <c r="P83" s="229"/>
      <c r="Q83" s="228"/>
      <c r="R83" s="229"/>
      <c r="S83" s="229"/>
      <c r="T83" s="229"/>
      <c r="U83" s="229"/>
    </row>
    <row r="84" spans="1:21" ht="19.5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ca="1">I86+I88+I90</f>
        <v>34</v>
      </c>
      <c r="J84" s="622">
        <f>J86+J88+J90</f>
        <v>0</v>
      </c>
      <c r="K84" s="1105">
        <f t="shared" ca="1" si="28"/>
        <v>0</v>
      </c>
      <c r="L84" s="229"/>
      <c r="M84" s="229"/>
      <c r="N84" s="229"/>
      <c r="O84" s="229"/>
      <c r="P84" s="229"/>
      <c r="Q84" s="228"/>
      <c r="R84" s="229"/>
      <c r="S84" s="229"/>
      <c r="T84" s="229"/>
      <c r="U84" s="229"/>
    </row>
    <row r="85" spans="1:21" ht="18.75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IFERROR(__xludf.DUMMYFUNCTION("IMPORTRANGE(""https://docs.google.com/spreadsheets/d/1eHaY18a8A9IcSdp1K8H6x8fbOy06t2VsZHhMHf-1x7Y/edit?usp=sharing"",""แผน!H57"")"),0)</f>
        <v>0</v>
      </c>
      <c r="J85" s="294">
        <v>0</v>
      </c>
      <c r="K85" s="768">
        <f t="shared" ca="1" si="28"/>
        <v>0</v>
      </c>
      <c r="L85" s="229"/>
      <c r="M85" s="229"/>
      <c r="N85" s="229"/>
      <c r="O85" s="229"/>
      <c r="P85" s="229"/>
      <c r="Q85" s="228"/>
      <c r="R85" s="229"/>
      <c r="S85" s="229"/>
      <c r="T85" s="229"/>
      <c r="U85" s="229"/>
    </row>
    <row r="86" spans="1:21" ht="18.75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IFERROR(__xludf.DUMMYFUNCTION("IMPORTRANGE(""https://docs.google.com/spreadsheets/d/1eHaY18a8A9IcSdp1K8H6x8fbOy06t2VsZHhMHf-1x7Y/edit?usp=sharing"",""แผน!I57"")"),0)</f>
        <v>0</v>
      </c>
      <c r="J86" s="294">
        <v>0</v>
      </c>
      <c r="K86" s="768">
        <f t="shared" ca="1" si="28"/>
        <v>0</v>
      </c>
      <c r="L86" s="229"/>
      <c r="M86" s="229"/>
      <c r="N86" s="229"/>
      <c r="O86" s="229"/>
      <c r="P86" s="229"/>
      <c r="Q86" s="228"/>
      <c r="R86" s="229"/>
      <c r="S86" s="229"/>
      <c r="T86" s="229"/>
      <c r="U86" s="229"/>
    </row>
    <row r="87" spans="1:21" ht="18.75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IFERROR(__xludf.DUMMYFUNCTION("IMPORTRANGE(""https://docs.google.com/spreadsheets/d/1eHaY18a8A9IcSdp1K8H6x8fbOy06t2VsZHhMHf-1x7Y/edit?usp=sharing"",""แผน!F57"")"),1)</f>
        <v>1</v>
      </c>
      <c r="J87" s="294">
        <v>0</v>
      </c>
      <c r="K87" s="768">
        <f t="shared" ca="1" si="28"/>
        <v>0</v>
      </c>
      <c r="L87" s="229"/>
      <c r="M87" s="229"/>
      <c r="N87" s="229"/>
      <c r="O87" s="229"/>
      <c r="P87" s="229"/>
      <c r="Q87" s="228"/>
      <c r="R87" s="229"/>
      <c r="S87" s="229"/>
      <c r="T87" s="229"/>
      <c r="U87" s="229"/>
    </row>
    <row r="88" spans="1:21" ht="18.75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IFERROR(__xludf.DUMMYFUNCTION("IMPORTRANGE(""https://docs.google.com/spreadsheets/d/1eHaY18a8A9IcSdp1K8H6x8fbOy06t2VsZHhMHf-1x7Y/edit?usp=sharing"",""แผน!G57"")"),34)</f>
        <v>34</v>
      </c>
      <c r="J88" s="294">
        <v>0</v>
      </c>
      <c r="K88" s="768">
        <f t="shared" ca="1" si="28"/>
        <v>0</v>
      </c>
      <c r="L88" s="229"/>
      <c r="M88" s="229"/>
      <c r="N88" s="229"/>
      <c r="O88" s="229"/>
      <c r="P88" s="229"/>
      <c r="Q88" s="228"/>
      <c r="R88" s="229"/>
      <c r="S88" s="229"/>
      <c r="T88" s="229"/>
      <c r="U88" s="229"/>
    </row>
    <row r="89" spans="1:21" ht="18.75" x14ac:dyDescent="0.25">
      <c r="A89" s="276"/>
      <c r="B89" s="277"/>
      <c r="C89" s="277"/>
      <c r="D89" s="277"/>
      <c r="E89" s="295" t="s">
        <v>42</v>
      </c>
      <c r="F89" s="296"/>
      <c r="G89" s="282"/>
      <c r="H89" s="275" t="s">
        <v>34</v>
      </c>
      <c r="I89" s="298">
        <f ca="1">IFERROR(__xludf.DUMMYFUNCTION("IMPORTRANGE(""https://docs.google.com/spreadsheets/d/1eHaY18a8A9IcSdp1K8H6x8fbOy06t2VsZHhMHf-1x7Y/edit?usp=sharing"",""แผน!D57"")"),0)</f>
        <v>0</v>
      </c>
      <c r="J89" s="294">
        <v>0</v>
      </c>
      <c r="K89" s="768">
        <f t="shared" ca="1" si="28"/>
        <v>0</v>
      </c>
      <c r="L89" s="229"/>
      <c r="M89" s="229"/>
      <c r="N89" s="229"/>
      <c r="O89" s="229"/>
      <c r="P89" s="229"/>
      <c r="Q89" s="228"/>
      <c r="R89" s="229"/>
      <c r="S89" s="229"/>
      <c r="T89" s="229"/>
      <c r="U89" s="229"/>
    </row>
    <row r="90" spans="1:21" ht="18.75" x14ac:dyDescent="0.25">
      <c r="A90" s="276"/>
      <c r="B90" s="277"/>
      <c r="C90" s="277"/>
      <c r="D90" s="277"/>
      <c r="E90" s="296"/>
      <c r="F90" s="296"/>
      <c r="G90" s="282"/>
      <c r="H90" s="275" t="s">
        <v>35</v>
      </c>
      <c r="I90" s="298">
        <f ca="1">IFERROR(__xludf.DUMMYFUNCTION("IMPORTRANGE(""https://docs.google.com/spreadsheets/d/1eHaY18a8A9IcSdp1K8H6x8fbOy06t2VsZHhMHf-1x7Y/edit?usp=sharing"",""แผน!E57"")"),0)</f>
        <v>0</v>
      </c>
      <c r="J90" s="294">
        <v>0</v>
      </c>
      <c r="K90" s="768">
        <f t="shared" ca="1" si="28"/>
        <v>0</v>
      </c>
      <c r="L90" s="229"/>
      <c r="M90" s="229"/>
      <c r="N90" s="229"/>
      <c r="O90" s="229"/>
      <c r="P90" s="229"/>
      <c r="Q90" s="228"/>
      <c r="R90" s="229"/>
      <c r="S90" s="229"/>
      <c r="T90" s="229"/>
      <c r="U90" s="229"/>
    </row>
    <row r="91" spans="1:21" ht="18.75" x14ac:dyDescent="0.25">
      <c r="A91" s="276"/>
      <c r="B91" s="277"/>
      <c r="C91" s="277"/>
      <c r="D91" s="767" t="s">
        <v>43</v>
      </c>
      <c r="E91" s="296"/>
      <c r="F91" s="296"/>
      <c r="G91" s="282"/>
      <c r="H91" s="271" t="s">
        <v>34</v>
      </c>
      <c r="I91" s="298">
        <f ca="1">IFERROR(__xludf.DUMMYFUNCTION("IMPORTRANGE(""https://docs.google.com/spreadsheets/d/1eHaY18a8A9IcSdp1K8H6x8fbOy06t2VsZHhMHf-1x7Y/edit?usp=sharing"",""แผน!J57"")"),1)</f>
        <v>1</v>
      </c>
      <c r="J91" s="294">
        <v>0</v>
      </c>
      <c r="K91" s="768">
        <f t="shared" ca="1" si="28"/>
        <v>0</v>
      </c>
      <c r="L91" s="229"/>
      <c r="M91" s="229"/>
      <c r="N91" s="229"/>
      <c r="O91" s="229"/>
      <c r="P91" s="229"/>
      <c r="Q91" s="228"/>
      <c r="R91" s="229"/>
      <c r="S91" s="229"/>
      <c r="T91" s="229"/>
      <c r="U91" s="229"/>
    </row>
    <row r="92" spans="1:21" ht="19.5" x14ac:dyDescent="0.3">
      <c r="A92" s="1099" t="s">
        <v>44</v>
      </c>
      <c r="B92" s="691"/>
      <c r="C92" s="693"/>
      <c r="D92" s="691"/>
      <c r="E92" s="691"/>
      <c r="F92" s="691"/>
      <c r="G92" s="1100"/>
      <c r="H92" s="1101"/>
      <c r="I92" s="1102"/>
      <c r="J92" s="1102"/>
      <c r="K92" s="200"/>
      <c r="L92" s="200"/>
      <c r="M92" s="200"/>
      <c r="N92" s="200"/>
      <c r="O92" s="200"/>
      <c r="P92" s="200"/>
      <c r="Q92" s="199"/>
      <c r="R92" s="200"/>
      <c r="S92" s="200"/>
      <c r="T92" s="200"/>
      <c r="U92" s="200"/>
    </row>
    <row r="93" spans="1:21" ht="19.5" x14ac:dyDescent="0.3">
      <c r="A93" s="250"/>
      <c r="B93" s="251" t="s">
        <v>45</v>
      </c>
      <c r="C93" s="252"/>
      <c r="D93" s="253"/>
      <c r="E93" s="252"/>
      <c r="F93" s="252"/>
      <c r="G93" s="254"/>
      <c r="H93" s="255" t="s">
        <v>46</v>
      </c>
      <c r="I93" s="256">
        <f ca="1">I109</f>
        <v>36</v>
      </c>
      <c r="J93" s="256">
        <f>J109</f>
        <v>0</v>
      </c>
      <c r="K93" s="59">
        <f ca="1">IF(I93&gt;0,J93*100/I93,0)</f>
        <v>0</v>
      </c>
      <c r="L93" s="208"/>
      <c r="M93" s="208"/>
      <c r="N93" s="208"/>
      <c r="O93" s="208"/>
      <c r="P93" s="208"/>
      <c r="Q93" s="207"/>
      <c r="R93" s="208"/>
      <c r="S93" s="208"/>
      <c r="T93" s="208"/>
      <c r="U93" s="208"/>
    </row>
    <row r="94" spans="1:21" ht="19.5" x14ac:dyDescent="0.3">
      <c r="A94" s="250"/>
      <c r="B94" s="252"/>
      <c r="C94" s="252"/>
      <c r="D94" s="253"/>
      <c r="E94" s="252"/>
      <c r="F94" s="252"/>
      <c r="G94" s="254"/>
      <c r="H94" s="255" t="s">
        <v>35</v>
      </c>
      <c r="I94" s="256">
        <f ca="1">I110</f>
        <v>12</v>
      </c>
      <c r="J94" s="256">
        <f>J110</f>
        <v>0</v>
      </c>
      <c r="K94" s="59">
        <f ca="1">IF(I94&gt;0,J94*100/I94,0)</f>
        <v>0</v>
      </c>
      <c r="L94" s="208"/>
      <c r="M94" s="208"/>
      <c r="N94" s="208"/>
      <c r="O94" s="208"/>
      <c r="P94" s="208"/>
      <c r="Q94" s="207"/>
      <c r="R94" s="208"/>
      <c r="S94" s="208"/>
      <c r="T94" s="208"/>
      <c r="U94" s="208"/>
    </row>
    <row r="95" spans="1:21" ht="19.5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264">
        <f ca="1">L96+L97</f>
        <v>0</v>
      </c>
      <c r="M95" s="264">
        <f ca="1">M96+M97</f>
        <v>0</v>
      </c>
      <c r="N95" s="264">
        <f ca="1">N96+N97</f>
        <v>0</v>
      </c>
      <c r="O95" s="264">
        <f t="shared" ref="O95:O103" ca="1" si="29">IF(L95&gt;0,N95*100/L95,0)</f>
        <v>0</v>
      </c>
      <c r="P95" s="264">
        <f t="shared" ref="P95:P103" ca="1" si="30">IF(M95&gt;0,N95*100/M95,0)</f>
        <v>0</v>
      </c>
      <c r="Q95" s="1257">
        <f ca="1">Q96+Q97</f>
        <v>101304</v>
      </c>
      <c r="R95" s="264">
        <f ca="1">R96+R97</f>
        <v>101304</v>
      </c>
      <c r="S95" s="264">
        <f ca="1">S96+S97</f>
        <v>0</v>
      </c>
      <c r="T95" s="264">
        <f t="shared" ref="T95:T103" ca="1" si="31">IF(Q95&gt;0,S95*100/Q95,0)</f>
        <v>0</v>
      </c>
      <c r="U95" s="264">
        <f t="shared" ref="U95:U103" ca="1" si="32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7">
        <f t="shared" ref="L96:N97" si="33">L99+L102</f>
        <v>0</v>
      </c>
      <c r="M96" s="77">
        <f t="shared" si="33"/>
        <v>0</v>
      </c>
      <c r="N96" s="77">
        <f t="shared" si="33"/>
        <v>0</v>
      </c>
      <c r="O96" s="77">
        <f t="shared" si="29"/>
        <v>0</v>
      </c>
      <c r="P96" s="77">
        <f t="shared" si="30"/>
        <v>0</v>
      </c>
      <c r="Q96" s="76">
        <f t="shared" ref="Q96:S97" si="34">Q99+Q102</f>
        <v>0</v>
      </c>
      <c r="R96" s="77">
        <f t="shared" si="34"/>
        <v>0</v>
      </c>
      <c r="S96" s="77">
        <f t="shared" si="34"/>
        <v>0</v>
      </c>
      <c r="T96" s="77">
        <f t="shared" si="31"/>
        <v>0</v>
      </c>
      <c r="U96" s="77">
        <f t="shared" si="32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4">
        <f t="shared" ca="1" si="33"/>
        <v>0</v>
      </c>
      <c r="M97" s="74">
        <f t="shared" ca="1" si="33"/>
        <v>0</v>
      </c>
      <c r="N97" s="74">
        <f t="shared" ca="1" si="33"/>
        <v>0</v>
      </c>
      <c r="O97" s="74">
        <f t="shared" ca="1" si="29"/>
        <v>0</v>
      </c>
      <c r="P97" s="74">
        <f t="shared" ca="1" si="30"/>
        <v>0</v>
      </c>
      <c r="Q97" s="73">
        <f t="shared" ca="1" si="34"/>
        <v>101304</v>
      </c>
      <c r="R97" s="74">
        <f t="shared" ca="1" si="34"/>
        <v>101304</v>
      </c>
      <c r="S97" s="74">
        <f t="shared" ca="1" si="34"/>
        <v>0</v>
      </c>
      <c r="T97" s="74">
        <f t="shared" ca="1" si="31"/>
        <v>0</v>
      </c>
      <c r="U97" s="74">
        <f t="shared" ca="1" si="32"/>
        <v>0</v>
      </c>
    </row>
    <row r="98" spans="1:21" ht="18.75" x14ac:dyDescent="0.25">
      <c r="A98" s="257"/>
      <c r="B98" s="269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4">
        <f ca="1">L99+L100</f>
        <v>0</v>
      </c>
      <c r="M98" s="74">
        <f ca="1">M99+M100</f>
        <v>0</v>
      </c>
      <c r="N98" s="74">
        <f ca="1">N99+N100</f>
        <v>0</v>
      </c>
      <c r="O98" s="74">
        <f t="shared" ca="1" si="29"/>
        <v>0</v>
      </c>
      <c r="P98" s="74">
        <f t="shared" ca="1" si="30"/>
        <v>0</v>
      </c>
      <c r="Q98" s="73">
        <f ca="1">Q99+Q100</f>
        <v>101304</v>
      </c>
      <c r="R98" s="74">
        <f ca="1">R99+R100</f>
        <v>101304</v>
      </c>
      <c r="S98" s="74">
        <f ca="1">S99+S100</f>
        <v>0</v>
      </c>
      <c r="T98" s="74">
        <f t="shared" ca="1" si="31"/>
        <v>0</v>
      </c>
      <c r="U98" s="74">
        <f t="shared" ca="1" si="32"/>
        <v>0</v>
      </c>
    </row>
    <row r="99" spans="1:21" ht="18.75" hidden="1" x14ac:dyDescent="0.25">
      <c r="A99" s="257"/>
      <c r="B99" s="269"/>
      <c r="C99" s="269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7">
        <v>0</v>
      </c>
      <c r="M99" s="77">
        <v>0</v>
      </c>
      <c r="N99" s="77">
        <v>0</v>
      </c>
      <c r="O99" s="77">
        <f t="shared" si="29"/>
        <v>0</v>
      </c>
      <c r="P99" s="77">
        <f t="shared" si="30"/>
        <v>0</v>
      </c>
      <c r="Q99" s="76">
        <v>0</v>
      </c>
      <c r="R99" s="77">
        <v>0</v>
      </c>
      <c r="S99" s="77">
        <v>0</v>
      </c>
      <c r="T99" s="77">
        <f t="shared" si="31"/>
        <v>0</v>
      </c>
      <c r="U99" s="77">
        <f t="shared" si="32"/>
        <v>0</v>
      </c>
    </row>
    <row r="100" spans="1:21" ht="18.75" hidden="1" x14ac:dyDescent="0.25">
      <c r="A100" s="257"/>
      <c r="B100" s="269"/>
      <c r="C100" s="269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4">
        <f ca="1">IFERROR(__xludf.DUMMYFUNCTION("IMPORTRANGE(""https://docs.google.com/spreadsheets/d/1-uDff_7J0KD5mKrp0Vvzr7lt3OU09vwQwhkpOPPYv2Y/edit?usp=sharing"",""งบพรบ!AW57"")"),0)</f>
        <v>0</v>
      </c>
      <c r="M100" s="74">
        <f ca="1">IFERROR(__xludf.DUMMYFUNCTION("IMPORTRANGE(""https://docs.google.com/spreadsheets/d/1-uDff_7J0KD5mKrp0Vvzr7lt3OU09vwQwhkpOPPYv2Y/edit?usp=sharing"",""งบพรบ!BB57"")"),0)</f>
        <v>0</v>
      </c>
      <c r="N100" s="74">
        <f ca="1">IFERROR(__xludf.DUMMYFUNCTION("IMPORTRANGE(""https://docs.google.com/spreadsheets/d/1-uDff_7J0KD5mKrp0Vvzr7lt3OU09vwQwhkpOPPYv2Y/edit?usp=sharing"",""งบพรบ!BD57"")"),0)</f>
        <v>0</v>
      </c>
      <c r="O100" s="74">
        <f t="shared" ca="1" si="29"/>
        <v>0</v>
      </c>
      <c r="P100" s="74">
        <f t="shared" ca="1" si="30"/>
        <v>0</v>
      </c>
      <c r="Q100" s="73">
        <f ca="1">IFERROR(__xludf.DUMMYFUNCTION("IMPORTRANGE(""https://docs.google.com/spreadsheets/d/1ItG2mGa2ceCfYo0BwxsXqNm01IGEUdYcSSLTEv9YCik/edit?usp=sharing"",""เบิกจ่ายกองทุน!AD57"")"),101304)</f>
        <v>101304</v>
      </c>
      <c r="R100" s="74">
        <f ca="1">IFERROR(__xludf.DUMMYFUNCTION("IMPORTRANGE(""https://docs.google.com/spreadsheets/d/1ItG2mGa2ceCfYo0BwxsXqNm01IGEUdYcSSLTEv9YCik/edit?usp=sharing"",""เบิกจ่ายกองทุน!AE57"")"),101304)</f>
        <v>101304</v>
      </c>
      <c r="S100" s="74">
        <f ca="1">IFERROR(__xludf.DUMMYFUNCTION("IMPORTRANGE(""https://docs.google.com/spreadsheets/d/1ItG2mGa2ceCfYo0BwxsXqNm01IGEUdYcSSLTEv9YCik/edit?usp=sharing"",""เบิกจ่ายกองทุน!AF57"")"),0)</f>
        <v>0</v>
      </c>
      <c r="T100" s="74">
        <f t="shared" ca="1" si="31"/>
        <v>0</v>
      </c>
      <c r="U100" s="74">
        <f t="shared" ca="1" si="32"/>
        <v>0</v>
      </c>
    </row>
    <row r="101" spans="1:21" ht="18.75" x14ac:dyDescent="0.25">
      <c r="A101" s="257"/>
      <c r="B101" s="269"/>
      <c r="C101" s="269"/>
      <c r="D101" s="967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4">
        <f ca="1">L102+L103</f>
        <v>0</v>
      </c>
      <c r="M101" s="74">
        <f ca="1">M102+M103</f>
        <v>0</v>
      </c>
      <c r="N101" s="74">
        <f ca="1">N102+N103</f>
        <v>0</v>
      </c>
      <c r="O101" s="74">
        <f t="shared" ca="1" si="29"/>
        <v>0</v>
      </c>
      <c r="P101" s="74">
        <f t="shared" ca="1" si="30"/>
        <v>0</v>
      </c>
      <c r="Q101" s="73">
        <f>Q102+Q103</f>
        <v>0</v>
      </c>
      <c r="R101" s="74">
        <f>R102+R103</f>
        <v>0</v>
      </c>
      <c r="S101" s="74">
        <f>S102+S103</f>
        <v>0</v>
      </c>
      <c r="T101" s="74">
        <f t="shared" si="31"/>
        <v>0</v>
      </c>
      <c r="U101" s="74">
        <f t="shared" si="32"/>
        <v>0</v>
      </c>
    </row>
    <row r="102" spans="1:21" ht="18.75" hidden="1" x14ac:dyDescent="0.25">
      <c r="A102" s="257"/>
      <c r="B102" s="269"/>
      <c r="C102" s="269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7">
        <v>0</v>
      </c>
      <c r="M102" s="77">
        <v>0</v>
      </c>
      <c r="N102" s="77">
        <v>0</v>
      </c>
      <c r="O102" s="77">
        <f t="shared" si="29"/>
        <v>0</v>
      </c>
      <c r="P102" s="77">
        <f t="shared" si="30"/>
        <v>0</v>
      </c>
      <c r="Q102" s="76">
        <v>0</v>
      </c>
      <c r="R102" s="77">
        <v>0</v>
      </c>
      <c r="S102" s="77">
        <v>0</v>
      </c>
      <c r="T102" s="77">
        <f t="shared" si="31"/>
        <v>0</v>
      </c>
      <c r="U102" s="77">
        <f t="shared" si="32"/>
        <v>0</v>
      </c>
    </row>
    <row r="103" spans="1:21" ht="18.75" hidden="1" x14ac:dyDescent="0.25">
      <c r="A103" s="257"/>
      <c r="B103" s="269"/>
      <c r="C103" s="269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4">
        <f ca="1">IFERROR(__xludf.DUMMYFUNCTION("IMPORTRANGE(""https://docs.google.com/spreadsheets/d/1-uDff_7J0KD5mKrp0Vvzr7lt3OU09vwQwhkpOPPYv2Y/edit?usp=sharing"",""งบพรบ!AZ57"")"),0)</f>
        <v>0</v>
      </c>
      <c r="M103" s="74">
        <f ca="1">IFERROR(__xludf.DUMMYFUNCTION("IMPORTRANGE(""https://docs.google.com/spreadsheets/d/1-uDff_7J0KD5mKrp0Vvzr7lt3OU09vwQwhkpOPPYv2Y/edit?usp=sharing"",""งบพรบ!BC57"")"),0)</f>
        <v>0</v>
      </c>
      <c r="N103" s="74">
        <f ca="1">IFERROR(__xludf.DUMMYFUNCTION("IMPORTRANGE(""https://docs.google.com/spreadsheets/d/1-uDff_7J0KD5mKrp0Vvzr7lt3OU09vwQwhkpOPPYv2Y/edit?usp=sharing"",""งบพรบ!BE57"")"),0)</f>
        <v>0</v>
      </c>
      <c r="O103" s="74">
        <f t="shared" ca="1" si="29"/>
        <v>0</v>
      </c>
      <c r="P103" s="74">
        <f t="shared" ca="1" si="30"/>
        <v>0</v>
      </c>
      <c r="Q103" s="73">
        <v>0</v>
      </c>
      <c r="R103" s="74">
        <v>0</v>
      </c>
      <c r="S103" s="74">
        <v>0</v>
      </c>
      <c r="T103" s="74">
        <f t="shared" si="31"/>
        <v>0</v>
      </c>
      <c r="U103" s="74">
        <f t="shared" si="32"/>
        <v>0</v>
      </c>
    </row>
    <row r="104" spans="1:21" ht="19.5" x14ac:dyDescent="0.3">
      <c r="A104" s="276"/>
      <c r="B104" s="277"/>
      <c r="C104" s="621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7"/>
      <c r="M104" s="87"/>
      <c r="N104" s="87"/>
      <c r="O104" s="229"/>
      <c r="P104" s="229"/>
      <c r="Q104" s="86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30"/>
      <c r="M105" s="30"/>
      <c r="N105" s="30"/>
      <c r="O105" s="30"/>
      <c r="P105" s="30"/>
      <c r="Q105" s="29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30"/>
      <c r="M106" s="30"/>
      <c r="N106" s="30"/>
      <c r="O106" s="30"/>
      <c r="P106" s="30"/>
      <c r="Q106" s="29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30"/>
      <c r="M107" s="30"/>
      <c r="N107" s="30"/>
      <c r="O107" s="30"/>
      <c r="P107" s="30"/>
      <c r="Q107" s="29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7"/>
      <c r="M108" s="87"/>
      <c r="N108" s="87"/>
      <c r="O108" s="229"/>
      <c r="P108" s="229"/>
      <c r="Q108" s="86"/>
      <c r="R108" s="87"/>
      <c r="S108" s="87"/>
      <c r="T108" s="229"/>
      <c r="U108" s="229"/>
    </row>
    <row r="109" spans="1:21" ht="18.75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IFERROR(__xludf.DUMMYFUNCTION("IMPORTRANGE(""https://docs.google.com/spreadsheets/d/1eHaY18a8A9IcSdp1K8H6x8fbOy06t2VsZHhMHf-1x7Y/edit?usp=sharing"",""แผน!N57"")"),36)</f>
        <v>36</v>
      </c>
      <c r="J109" s="294">
        <v>0</v>
      </c>
      <c r="K109" s="74">
        <f ca="1">IF(I109&gt;0,J109*100/I109,0)</f>
        <v>0</v>
      </c>
      <c r="L109" s="87"/>
      <c r="M109" s="87"/>
      <c r="N109" s="87"/>
      <c r="O109" s="229"/>
      <c r="P109" s="229"/>
      <c r="Q109" s="86"/>
      <c r="R109" s="87"/>
      <c r="S109" s="87"/>
      <c r="T109" s="229"/>
      <c r="U109" s="229"/>
    </row>
    <row r="110" spans="1:21" ht="18.75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IFERROR(__xludf.DUMMYFUNCTION("IMPORTRANGE(""https://docs.google.com/spreadsheets/d/1eHaY18a8A9IcSdp1K8H6x8fbOy06t2VsZHhMHf-1x7Y/edit?usp=sharing"",""แผน!O57"")"),12)</f>
        <v>12</v>
      </c>
      <c r="J110" s="294">
        <v>0</v>
      </c>
      <c r="K110" s="74">
        <f ca="1">IF(I110&gt;0,J110*100/I110,0)</f>
        <v>0</v>
      </c>
      <c r="L110" s="87"/>
      <c r="M110" s="87"/>
      <c r="N110" s="87"/>
      <c r="O110" s="229"/>
      <c r="P110" s="229"/>
      <c r="Q110" s="86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30"/>
      <c r="M111" s="30"/>
      <c r="N111" s="30"/>
      <c r="O111" s="30"/>
      <c r="P111" s="30"/>
      <c r="Q111" s="29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30"/>
      <c r="M112" s="30"/>
      <c r="N112" s="30"/>
      <c r="O112" s="30"/>
      <c r="P112" s="30"/>
      <c r="Q112" s="29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4"/>
      <c r="E113" s="285"/>
      <c r="F113" s="285"/>
      <c r="G113" s="286"/>
      <c r="H113" s="286"/>
      <c r="I113" s="287"/>
      <c r="J113" s="287"/>
      <c r="K113" s="30"/>
      <c r="L113" s="30"/>
      <c r="M113" s="30"/>
      <c r="N113" s="30"/>
      <c r="O113" s="30"/>
      <c r="P113" s="30"/>
      <c r="Q113" s="29"/>
      <c r="R113" s="30"/>
      <c r="S113" s="30"/>
      <c r="T113" s="30"/>
      <c r="U113" s="30"/>
    </row>
    <row r="114" spans="1:21" ht="18.75" x14ac:dyDescent="0.25">
      <c r="A114" s="890"/>
      <c r="B114" s="891"/>
      <c r="C114" s="891"/>
      <c r="D114" s="1106" t="s">
        <v>50</v>
      </c>
      <c r="E114" s="893"/>
      <c r="F114" s="893"/>
      <c r="G114" s="894"/>
      <c r="H114" s="895" t="s">
        <v>46</v>
      </c>
      <c r="I114" s="896">
        <f ca="1">IFERROR(__xludf.DUMMYFUNCTION("IMPORTRANGE(""https://docs.google.com/spreadsheets/d/1eHaY18a8A9IcSdp1K8H6x8fbOy06t2VsZHhMHf-1x7Y/edit?usp=sharing"",""แผน!S57"")"),0)</f>
        <v>0</v>
      </c>
      <c r="J114" s="897">
        <v>0</v>
      </c>
      <c r="K114" s="898">
        <f ca="1">IF(I114&gt;0,J114*100/I114,0)</f>
        <v>0</v>
      </c>
      <c r="L114" s="450"/>
      <c r="M114" s="450"/>
      <c r="N114" s="450"/>
      <c r="O114" s="899"/>
      <c r="P114" s="899"/>
      <c r="Q114" s="450"/>
      <c r="R114" s="450"/>
      <c r="S114" s="450"/>
      <c r="T114" s="899"/>
      <c r="U114" s="899"/>
    </row>
    <row r="115" spans="1:21" ht="18.75" x14ac:dyDescent="0.25">
      <c r="A115" s="276"/>
      <c r="B115" s="277"/>
      <c r="C115" s="277"/>
      <c r="D115" s="296"/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IFERROR(__xludf.DUMMYFUNCTION("IMPORTRANGE(""https://docs.google.com/spreadsheets/d/1eHaY18a8A9IcSdp1K8H6x8fbOy06t2VsZHhMHf-1x7Y/edit?usp=sharing"",""แผน!R57"")"),12)</f>
        <v>12</v>
      </c>
      <c r="J115" s="294">
        <v>0</v>
      </c>
      <c r="K115" s="74">
        <f ca="1">IF(I115&gt;0,J115*100/I115,0)</f>
        <v>0</v>
      </c>
      <c r="L115" s="87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1099" t="s">
        <v>51</v>
      </c>
      <c r="B116" s="691"/>
      <c r="C116" s="692"/>
      <c r="D116" s="691"/>
      <c r="E116" s="691"/>
      <c r="F116" s="691"/>
      <c r="G116" s="691"/>
      <c r="H116" s="693"/>
      <c r="I116" s="694"/>
      <c r="J116" s="694"/>
      <c r="K116" s="695"/>
      <c r="L116" s="200"/>
      <c r="M116" s="200"/>
      <c r="N116" s="200"/>
      <c r="O116" s="200"/>
      <c r="P116" s="200"/>
      <c r="Q116" s="199"/>
      <c r="R116" s="200"/>
      <c r="S116" s="200"/>
      <c r="T116" s="200"/>
      <c r="U116" s="200"/>
    </row>
    <row r="117" spans="1:21" ht="19.5" x14ac:dyDescent="0.3">
      <c r="A117" s="250"/>
      <c r="B117" s="251" t="s">
        <v>52</v>
      </c>
      <c r="C117" s="304"/>
      <c r="D117" s="253"/>
      <c r="E117" s="252"/>
      <c r="F117" s="252"/>
      <c r="G117" s="252"/>
      <c r="H117" s="253"/>
      <c r="I117" s="900">
        <f ca="1">I128</f>
        <v>20</v>
      </c>
      <c r="J117" s="901">
        <f>J128</f>
        <v>0</v>
      </c>
      <c r="K117" s="902">
        <f ca="1">IF(I117&gt;0,J117*100/I117,0)</f>
        <v>0</v>
      </c>
      <c r="L117" s="208"/>
      <c r="M117" s="208"/>
      <c r="N117" s="208"/>
      <c r="O117" s="208"/>
      <c r="P117" s="208"/>
      <c r="Q117" s="207"/>
      <c r="R117" s="208"/>
      <c r="S117" s="208"/>
      <c r="T117" s="208"/>
      <c r="U117" s="208"/>
    </row>
    <row r="118" spans="1:21" ht="19.5" x14ac:dyDescent="0.3">
      <c r="A118" s="257"/>
      <c r="B118" s="258"/>
      <c r="C118" s="259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264">
        <f ca="1">L119+L120</f>
        <v>0</v>
      </c>
      <c r="M118" s="264">
        <f ca="1">M119+M120</f>
        <v>0</v>
      </c>
      <c r="N118" s="264">
        <f ca="1">N119+N120</f>
        <v>0</v>
      </c>
      <c r="O118" s="264">
        <f t="shared" ref="O118:O126" ca="1" si="35">IF(L118&gt;0,N118*100/L118,0)</f>
        <v>0</v>
      </c>
      <c r="P118" s="264">
        <f t="shared" ref="P118:P126" ca="1" si="36">IF(M118&gt;0,N118*100/M118,0)</f>
        <v>0</v>
      </c>
      <c r="Q118" s="1257">
        <f ca="1">Q119+Q120</f>
        <v>209360</v>
      </c>
      <c r="R118" s="264">
        <f ca="1">R119+R120</f>
        <v>209360</v>
      </c>
      <c r="S118" s="264">
        <f ca="1">S119+S120</f>
        <v>88525</v>
      </c>
      <c r="T118" s="264">
        <f t="shared" ref="T118:T126" ca="1" si="37">IF(Q118&gt;0,S118*100/Q118,0)</f>
        <v>42.28362628964463</v>
      </c>
      <c r="U118" s="264">
        <f t="shared" ref="U118:U126" ca="1" si="38">IF(R118&gt;0,S118*100/R118,0)</f>
        <v>42.28362628964463</v>
      </c>
    </row>
    <row r="119" spans="1:21" ht="18.75" hidden="1" x14ac:dyDescent="0.25">
      <c r="A119" s="257"/>
      <c r="B119" s="258"/>
      <c r="C119" s="258"/>
      <c r="D119" s="258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7">
        <f t="shared" ref="L119:N120" si="39">L122+L125</f>
        <v>0</v>
      </c>
      <c r="M119" s="77">
        <f t="shared" si="39"/>
        <v>0</v>
      </c>
      <c r="N119" s="77">
        <f t="shared" si="39"/>
        <v>0</v>
      </c>
      <c r="O119" s="77">
        <f t="shared" si="35"/>
        <v>0</v>
      </c>
      <c r="P119" s="77">
        <f t="shared" si="36"/>
        <v>0</v>
      </c>
      <c r="Q119" s="76">
        <f t="shared" ref="Q119:S120" si="40">Q122+Q125</f>
        <v>0</v>
      </c>
      <c r="R119" s="77">
        <f t="shared" si="40"/>
        <v>0</v>
      </c>
      <c r="S119" s="77">
        <f t="shared" si="40"/>
        <v>0</v>
      </c>
      <c r="T119" s="77">
        <f t="shared" si="37"/>
        <v>0</v>
      </c>
      <c r="U119" s="77">
        <f t="shared" si="38"/>
        <v>0</v>
      </c>
    </row>
    <row r="120" spans="1:21" ht="18.75" hidden="1" x14ac:dyDescent="0.25">
      <c r="A120" s="257"/>
      <c r="B120" s="258"/>
      <c r="C120" s="258"/>
      <c r="D120" s="258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4">
        <f t="shared" ca="1" si="39"/>
        <v>0</v>
      </c>
      <c r="M120" s="74">
        <f t="shared" ca="1" si="39"/>
        <v>0</v>
      </c>
      <c r="N120" s="74">
        <f t="shared" ca="1" si="39"/>
        <v>0</v>
      </c>
      <c r="O120" s="74">
        <f t="shared" ca="1" si="35"/>
        <v>0</v>
      </c>
      <c r="P120" s="74">
        <f t="shared" ca="1" si="36"/>
        <v>0</v>
      </c>
      <c r="Q120" s="73">
        <f t="shared" ca="1" si="40"/>
        <v>209360</v>
      </c>
      <c r="R120" s="74">
        <f t="shared" ca="1" si="40"/>
        <v>209360</v>
      </c>
      <c r="S120" s="74">
        <f t="shared" ca="1" si="40"/>
        <v>88525</v>
      </c>
      <c r="T120" s="74">
        <f t="shared" ca="1" si="37"/>
        <v>42.28362628964463</v>
      </c>
      <c r="U120" s="74">
        <f t="shared" ca="1" si="38"/>
        <v>42.28362628964463</v>
      </c>
    </row>
    <row r="121" spans="1:21" ht="18.75" x14ac:dyDescent="0.25">
      <c r="A121" s="257"/>
      <c r="B121" s="258"/>
      <c r="C121" s="306"/>
      <c r="D121" s="270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4">
        <f ca="1">L122+L123</f>
        <v>0</v>
      </c>
      <c r="M121" s="74">
        <f ca="1">M122+M123</f>
        <v>0</v>
      </c>
      <c r="N121" s="74">
        <f ca="1">N122+N123</f>
        <v>0</v>
      </c>
      <c r="O121" s="74">
        <f t="shared" ca="1" si="35"/>
        <v>0</v>
      </c>
      <c r="P121" s="74">
        <f t="shared" ca="1" si="36"/>
        <v>0</v>
      </c>
      <c r="Q121" s="73">
        <f ca="1">Q122+Q123</f>
        <v>209360</v>
      </c>
      <c r="R121" s="74">
        <f ca="1">R122+R123</f>
        <v>209360</v>
      </c>
      <c r="S121" s="74">
        <f ca="1">S122+S123</f>
        <v>88525</v>
      </c>
      <c r="T121" s="74">
        <f t="shared" ca="1" si="37"/>
        <v>42.28362628964463</v>
      </c>
      <c r="U121" s="74">
        <f t="shared" ca="1" si="38"/>
        <v>42.28362628964463</v>
      </c>
    </row>
    <row r="122" spans="1:21" ht="18.75" hidden="1" x14ac:dyDescent="0.25">
      <c r="A122" s="257"/>
      <c r="B122" s="258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7">
        <v>0</v>
      </c>
      <c r="M122" s="77">
        <v>0</v>
      </c>
      <c r="N122" s="77">
        <v>0</v>
      </c>
      <c r="O122" s="77">
        <f t="shared" si="35"/>
        <v>0</v>
      </c>
      <c r="P122" s="77">
        <f t="shared" si="36"/>
        <v>0</v>
      </c>
      <c r="Q122" s="76">
        <v>0</v>
      </c>
      <c r="R122" s="77">
        <v>0</v>
      </c>
      <c r="S122" s="77">
        <v>0</v>
      </c>
      <c r="T122" s="77">
        <f t="shared" si="37"/>
        <v>0</v>
      </c>
      <c r="U122" s="77">
        <f t="shared" si="38"/>
        <v>0</v>
      </c>
    </row>
    <row r="123" spans="1:21" ht="18.75" hidden="1" x14ac:dyDescent="0.25">
      <c r="A123" s="257"/>
      <c r="B123" s="258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4">
        <f ca="1">IFERROR(__xludf.DUMMYFUNCTION("IMPORTRANGE(""https://docs.google.com/spreadsheets/d/1-uDff_7J0KD5mKrp0Vvzr7lt3OU09vwQwhkpOPPYv2Y/edit?usp=sharing"",""งบพรบ!BG57"")"),0)</f>
        <v>0</v>
      </c>
      <c r="M123" s="74">
        <f ca="1">IFERROR(__xludf.DUMMYFUNCTION("IMPORTRANGE(""https://docs.google.com/spreadsheets/d/1-uDff_7J0KD5mKrp0Vvzr7lt3OU09vwQwhkpOPPYv2Y/edit?usp=sharing"",""งบพรบ!BL57"")"),0)</f>
        <v>0</v>
      </c>
      <c r="N123" s="74">
        <f ca="1">IFERROR(__xludf.DUMMYFUNCTION("IMPORTRANGE(""https://docs.google.com/spreadsheets/d/1-uDff_7J0KD5mKrp0Vvzr7lt3OU09vwQwhkpOPPYv2Y/edit?usp=sharing"",""งบพรบ!BN57"")"),0)</f>
        <v>0</v>
      </c>
      <c r="O123" s="74">
        <f t="shared" ca="1" si="35"/>
        <v>0</v>
      </c>
      <c r="P123" s="74">
        <f t="shared" ca="1" si="36"/>
        <v>0</v>
      </c>
      <c r="Q123" s="73">
        <f ca="1">IFERROR(__xludf.DUMMYFUNCTION("IMPORTRANGE(""https://docs.google.com/spreadsheets/d/1ItG2mGa2ceCfYo0BwxsXqNm01IGEUdYcSSLTEv9YCik/edit?usp=sharing"",""เบิกจ่ายกองทุน!R57"")"),209360)</f>
        <v>209360</v>
      </c>
      <c r="R123" s="74">
        <f ca="1">IFERROR(__xludf.DUMMYFUNCTION("IMPORTRANGE(""https://docs.google.com/spreadsheets/d/1ItG2mGa2ceCfYo0BwxsXqNm01IGEUdYcSSLTEv9YCik/edit?usp=sharing"",""เบิกจ่ายกองทุน!S57"")"),209360)</f>
        <v>209360</v>
      </c>
      <c r="S123" s="74">
        <f ca="1">IFERROR(__xludf.DUMMYFUNCTION("IMPORTRANGE(""https://docs.google.com/spreadsheets/d/1ItG2mGa2ceCfYo0BwxsXqNm01IGEUdYcSSLTEv9YCik/edit?usp=sharing"",""เบิกจ่ายกองทุน!T57"")"),88525)</f>
        <v>88525</v>
      </c>
      <c r="T123" s="74">
        <f t="shared" ca="1" si="37"/>
        <v>42.28362628964463</v>
      </c>
      <c r="U123" s="74">
        <f t="shared" ca="1" si="38"/>
        <v>42.28362628964463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4">
        <f ca="1">L125+L126</f>
        <v>0</v>
      </c>
      <c r="M124" s="74">
        <f ca="1">M125+M126</f>
        <v>0</v>
      </c>
      <c r="N124" s="74">
        <f ca="1">N125+N126</f>
        <v>0</v>
      </c>
      <c r="O124" s="74">
        <f t="shared" ca="1" si="35"/>
        <v>0</v>
      </c>
      <c r="P124" s="74">
        <f t="shared" ca="1" si="36"/>
        <v>0</v>
      </c>
      <c r="Q124" s="73">
        <f>Q125+Q126</f>
        <v>0</v>
      </c>
      <c r="R124" s="74">
        <f>R125+R126</f>
        <v>0</v>
      </c>
      <c r="S124" s="74">
        <f>S125+S126</f>
        <v>0</v>
      </c>
      <c r="T124" s="74">
        <f t="shared" si="37"/>
        <v>0</v>
      </c>
      <c r="U124" s="74">
        <f t="shared" si="38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7">
        <v>0</v>
      </c>
      <c r="M125" s="77">
        <v>0</v>
      </c>
      <c r="N125" s="77">
        <v>0</v>
      </c>
      <c r="O125" s="77">
        <f t="shared" si="35"/>
        <v>0</v>
      </c>
      <c r="P125" s="77">
        <f t="shared" si="36"/>
        <v>0</v>
      </c>
      <c r="Q125" s="76">
        <v>0</v>
      </c>
      <c r="R125" s="77">
        <v>0</v>
      </c>
      <c r="S125" s="77">
        <v>0</v>
      </c>
      <c r="T125" s="77">
        <f t="shared" si="37"/>
        <v>0</v>
      </c>
      <c r="U125" s="77">
        <f t="shared" si="38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4">
        <f ca="1">IFERROR(__xludf.DUMMYFUNCTION("IMPORTRANGE(""https://docs.google.com/spreadsheets/d/1-uDff_7J0KD5mKrp0Vvzr7lt3OU09vwQwhkpOPPYv2Y/edit?usp=sharing"",""งบพรบ!BJ57"")"),0)</f>
        <v>0</v>
      </c>
      <c r="M126" s="74">
        <f ca="1">IFERROR(__xludf.DUMMYFUNCTION("IMPORTRANGE(""https://docs.google.com/spreadsheets/d/1-uDff_7J0KD5mKrp0Vvzr7lt3OU09vwQwhkpOPPYv2Y/edit?usp=sharing"",""งบพรบ!BM57"")"),0)</f>
        <v>0</v>
      </c>
      <c r="N126" s="74">
        <f ca="1">IFERROR(__xludf.DUMMYFUNCTION("IMPORTRANGE(""https://docs.google.com/spreadsheets/d/1-uDff_7J0KD5mKrp0Vvzr7lt3OU09vwQwhkpOPPYv2Y/edit?usp=sharing"",""งบพรบ!BO57"")"),0)</f>
        <v>0</v>
      </c>
      <c r="O126" s="74">
        <f t="shared" ca="1" si="35"/>
        <v>0</v>
      </c>
      <c r="P126" s="74">
        <f t="shared" ca="1" si="36"/>
        <v>0</v>
      </c>
      <c r="Q126" s="73">
        <v>0</v>
      </c>
      <c r="R126" s="74">
        <v>0</v>
      </c>
      <c r="S126" s="74">
        <v>0</v>
      </c>
      <c r="T126" s="74">
        <f t="shared" si="37"/>
        <v>0</v>
      </c>
      <c r="U126" s="74">
        <f t="shared" si="38"/>
        <v>0</v>
      </c>
    </row>
    <row r="127" spans="1:21" ht="19.5" x14ac:dyDescent="0.3">
      <c r="A127" s="890"/>
      <c r="B127" s="891"/>
      <c r="C127" s="905" t="s">
        <v>18</v>
      </c>
      <c r="D127" s="1108" t="s">
        <v>38</v>
      </c>
      <c r="E127" s="1109"/>
      <c r="F127" s="1109"/>
      <c r="G127" s="1110"/>
      <c r="H127" s="1111"/>
      <c r="I127" s="846"/>
      <c r="J127" s="846"/>
      <c r="K127" s="450"/>
      <c r="L127" s="450"/>
      <c r="M127" s="450"/>
      <c r="N127" s="450"/>
      <c r="O127" s="450"/>
      <c r="P127" s="450"/>
      <c r="Q127" s="86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IFERROR(__xludf.DUMMYFUNCTION("IMPORTRANGE(""https://docs.google.com/spreadsheets/d/1eHaY18a8A9IcSdp1K8H6x8fbOy06t2VsZHhMHf-1x7Y/edit?usp=sharing"",""แผน!FF57"")"),20)</f>
        <v>20</v>
      </c>
      <c r="J128" s="294">
        <v>0</v>
      </c>
      <c r="K128" s="74">
        <f ca="1">IF(I128&gt;0,J128*100/I128,0)</f>
        <v>0</v>
      </c>
      <c r="L128" s="87"/>
      <c r="M128" s="87"/>
      <c r="N128" s="87"/>
      <c r="O128" s="87"/>
      <c r="P128" s="87"/>
      <c r="Q128" s="86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IFERROR(__xludf.DUMMYFUNCTION("IMPORTRANGE(""https://docs.google.com/spreadsheets/d/1eHaY18a8A9IcSdp1K8H6x8fbOy06t2VsZHhMHf-1x7Y/edit?usp=sharing"",""แผน!FG57"")"),0)</f>
        <v>0</v>
      </c>
      <c r="J129" s="294">
        <v>0</v>
      </c>
      <c r="K129" s="74">
        <f ca="1">IF(I129&gt;0,J129*100/I129,0)</f>
        <v>0</v>
      </c>
      <c r="L129" s="87"/>
      <c r="M129" s="87"/>
      <c r="N129" s="87"/>
      <c r="O129" s="87"/>
      <c r="P129" s="87"/>
      <c r="Q129" s="86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74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IFERROR(__xludf.DUMMYFUNCTION("IMPORTRANGE(""https://docs.google.com/spreadsheets/d/1eHaY18a8A9IcSdp1K8H6x8fbOy06t2VsZHhMHf-1x7Y/edit?usp=sharing"",""แผน!FH57"")"),20)</f>
        <v>20</v>
      </c>
      <c r="J130" s="294">
        <v>0</v>
      </c>
      <c r="K130" s="74">
        <f ca="1">IF(I130&gt;0,J130*100/I130,0)</f>
        <v>0</v>
      </c>
      <c r="L130" s="87"/>
      <c r="M130" s="87"/>
      <c r="N130" s="87"/>
      <c r="O130" s="87"/>
      <c r="P130" s="87"/>
      <c r="Q130" s="86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77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IFERROR(__xludf.DUMMYFUNCTION("IMPORTRANGE(""https://docs.google.com/spreadsheets/d/1eHaY18a8A9IcSdp1K8H6x8fbOy06t2VsZHhMHf-1x7Y/edit?usp=sharing"",""แผน!FI57"")"),0)</f>
        <v>0</v>
      </c>
      <c r="J131" s="294">
        <v>0</v>
      </c>
      <c r="K131" s="74">
        <f ca="1">IF(I131&gt;0,J131*100/I131,0)</f>
        <v>0</v>
      </c>
      <c r="L131" s="87"/>
      <c r="M131" s="87"/>
      <c r="N131" s="87"/>
      <c r="O131" s="87"/>
      <c r="P131" s="87"/>
      <c r="Q131" s="86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708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7"/>
      <c r="M132" s="87"/>
      <c r="N132" s="87"/>
      <c r="O132" s="87"/>
      <c r="P132" s="87"/>
      <c r="Q132" s="86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708" t="s">
        <v>57</v>
      </c>
      <c r="E133" s="296"/>
      <c r="F133" s="296"/>
      <c r="G133" s="282"/>
      <c r="H133" s="312"/>
      <c r="I133" s="263"/>
      <c r="J133" s="263"/>
      <c r="K133" s="87"/>
      <c r="L133" s="87"/>
      <c r="M133" s="87"/>
      <c r="N133" s="87"/>
      <c r="O133" s="87"/>
      <c r="P133" s="87"/>
      <c r="Q133" s="86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30"/>
      <c r="M134" s="30"/>
      <c r="N134" s="30"/>
      <c r="O134" s="30"/>
      <c r="P134" s="30"/>
      <c r="Q134" s="29"/>
      <c r="R134" s="30"/>
      <c r="S134" s="30"/>
      <c r="T134" s="30"/>
      <c r="U134" s="30"/>
    </row>
    <row r="135" spans="1:21" ht="19.5" hidden="1" x14ac:dyDescent="0.3">
      <c r="A135" s="1099" t="s">
        <v>58</v>
      </c>
      <c r="B135" s="691"/>
      <c r="C135" s="692"/>
      <c r="D135" s="691"/>
      <c r="E135" s="691"/>
      <c r="F135" s="691"/>
      <c r="G135" s="691"/>
      <c r="H135" s="693"/>
      <c r="I135" s="694"/>
      <c r="J135" s="694"/>
      <c r="K135" s="695"/>
      <c r="L135" s="200"/>
      <c r="M135" s="200"/>
      <c r="N135" s="200"/>
      <c r="O135" s="200"/>
      <c r="P135" s="200"/>
      <c r="Q135" s="199"/>
      <c r="R135" s="200"/>
      <c r="S135" s="200"/>
      <c r="T135" s="200"/>
      <c r="U135" s="200"/>
    </row>
    <row r="136" spans="1:21" ht="19.5" hidden="1" x14ac:dyDescent="0.3">
      <c r="A136" s="250"/>
      <c r="B136" s="251" t="s">
        <v>59</v>
      </c>
      <c r="C136" s="304"/>
      <c r="D136" s="253"/>
      <c r="E136" s="252"/>
      <c r="F136" s="252"/>
      <c r="G136" s="252"/>
      <c r="H136" s="253"/>
      <c r="I136" s="698"/>
      <c r="J136" s="699"/>
      <c r="K136" s="208"/>
      <c r="L136" s="208"/>
      <c r="M136" s="208"/>
      <c r="N136" s="208"/>
      <c r="O136" s="208"/>
      <c r="P136" s="208"/>
      <c r="Q136" s="207"/>
      <c r="R136" s="208"/>
      <c r="S136" s="208"/>
      <c r="T136" s="208"/>
      <c r="U136" s="208"/>
    </row>
    <row r="137" spans="1:21" ht="19.5" hidden="1" x14ac:dyDescent="0.3">
      <c r="A137" s="250"/>
      <c r="B137" s="252"/>
      <c r="C137" s="1112" t="s">
        <v>60</v>
      </c>
      <c r="D137" s="253"/>
      <c r="E137" s="252"/>
      <c r="F137" s="252"/>
      <c r="G137" s="254"/>
      <c r="H137" s="255" t="s">
        <v>61</v>
      </c>
      <c r="I137" s="256">
        <f ca="1">I155</f>
        <v>0</v>
      </c>
      <c r="J137" s="256">
        <f>J155</f>
        <v>0</v>
      </c>
      <c r="K137" s="59">
        <f ca="1">IF(I137&gt;0,J137*100/I137,0)</f>
        <v>0</v>
      </c>
      <c r="L137" s="208"/>
      <c r="M137" s="208"/>
      <c r="N137" s="208"/>
      <c r="O137" s="208"/>
      <c r="P137" s="208"/>
      <c r="Q137" s="207"/>
      <c r="R137" s="208"/>
      <c r="S137" s="208"/>
      <c r="T137" s="208"/>
      <c r="U137" s="208"/>
    </row>
    <row r="138" spans="1:21" ht="19.5" hidden="1" x14ac:dyDescent="0.3">
      <c r="A138" s="250"/>
      <c r="B138" s="252"/>
      <c r="C138" s="1112" t="s">
        <v>62</v>
      </c>
      <c r="D138" s="253"/>
      <c r="E138" s="252"/>
      <c r="F138" s="252"/>
      <c r="G138" s="254"/>
      <c r="H138" s="255" t="s">
        <v>35</v>
      </c>
      <c r="I138" s="256">
        <f ca="1">I153</f>
        <v>0</v>
      </c>
      <c r="J138" s="256">
        <f>J153</f>
        <v>0</v>
      </c>
      <c r="K138" s="59">
        <f ca="1">IF(I138&gt;0,J138*100/I138,0)</f>
        <v>0</v>
      </c>
      <c r="L138" s="208"/>
      <c r="M138" s="208"/>
      <c r="N138" s="208"/>
      <c r="O138" s="208"/>
      <c r="P138" s="208"/>
      <c r="Q138" s="207"/>
      <c r="R138" s="208"/>
      <c r="S138" s="208"/>
      <c r="T138" s="208"/>
      <c r="U138" s="208"/>
    </row>
    <row r="139" spans="1:21" ht="19.5" hidden="1" x14ac:dyDescent="0.3">
      <c r="A139" s="250"/>
      <c r="B139" s="252"/>
      <c r="C139" s="304"/>
      <c r="D139" s="253"/>
      <c r="E139" s="252"/>
      <c r="F139" s="252"/>
      <c r="G139" s="254"/>
      <c r="H139" s="255" t="s">
        <v>54</v>
      </c>
      <c r="I139" s="256">
        <f ca="1">I154</f>
        <v>0</v>
      </c>
      <c r="J139" s="256">
        <f>J154</f>
        <v>0</v>
      </c>
      <c r="K139" s="59">
        <f ca="1">IF(I139&gt;0,J139*100/I139,0)</f>
        <v>0</v>
      </c>
      <c r="L139" s="208"/>
      <c r="M139" s="208"/>
      <c r="N139" s="208"/>
      <c r="O139" s="208"/>
      <c r="P139" s="208"/>
      <c r="Q139" s="207"/>
      <c r="R139" s="208"/>
      <c r="S139" s="208"/>
      <c r="T139" s="208"/>
      <c r="U139" s="208"/>
    </row>
    <row r="140" spans="1:21" ht="19.5" hidden="1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264">
        <f ca="1">L141+L142</f>
        <v>0</v>
      </c>
      <c r="M140" s="264">
        <f ca="1">M141+M142</f>
        <v>0</v>
      </c>
      <c r="N140" s="264">
        <f ca="1">N141+N142</f>
        <v>0</v>
      </c>
      <c r="O140" s="264">
        <f t="shared" ref="O140:O148" ca="1" si="41">IF(L140&gt;0,N140*100/L140,0)</f>
        <v>0</v>
      </c>
      <c r="P140" s="264">
        <f t="shared" ref="P140:P148" ca="1" si="42">IF(M140&gt;0,N140*100/M140,0)</f>
        <v>0</v>
      </c>
      <c r="Q140" s="1257">
        <f ca="1">Q141+Q142</f>
        <v>0</v>
      </c>
      <c r="R140" s="264">
        <f ca="1">R141+R142</f>
        <v>0</v>
      </c>
      <c r="S140" s="264">
        <f ca="1">S141+S142</f>
        <v>0</v>
      </c>
      <c r="T140" s="264">
        <f t="shared" ref="T140:T148" ca="1" si="43">IF(Q140&gt;0,S140*100/Q140,0)</f>
        <v>0</v>
      </c>
      <c r="U140" s="264">
        <f t="shared" ref="U140:U148" ca="1" si="44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7">
        <f t="shared" ref="L141:N142" si="45">L144+L147</f>
        <v>0</v>
      </c>
      <c r="M141" s="77">
        <f t="shared" si="45"/>
        <v>0</v>
      </c>
      <c r="N141" s="77">
        <f t="shared" si="45"/>
        <v>0</v>
      </c>
      <c r="O141" s="77">
        <f t="shared" si="41"/>
        <v>0</v>
      </c>
      <c r="P141" s="77">
        <f t="shared" si="42"/>
        <v>0</v>
      </c>
      <c r="Q141" s="76">
        <f t="shared" ref="Q141:S142" si="46">Q144+Q147</f>
        <v>0</v>
      </c>
      <c r="R141" s="77">
        <f t="shared" si="46"/>
        <v>0</v>
      </c>
      <c r="S141" s="77">
        <f t="shared" si="46"/>
        <v>0</v>
      </c>
      <c r="T141" s="77">
        <f t="shared" si="43"/>
        <v>0</v>
      </c>
      <c r="U141" s="77">
        <f t="shared" si="44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4">
        <f t="shared" ca="1" si="45"/>
        <v>0</v>
      </c>
      <c r="M142" s="74">
        <f t="shared" ca="1" si="45"/>
        <v>0</v>
      </c>
      <c r="N142" s="74">
        <f t="shared" ca="1" si="45"/>
        <v>0</v>
      </c>
      <c r="O142" s="74">
        <f t="shared" ca="1" si="41"/>
        <v>0</v>
      </c>
      <c r="P142" s="74">
        <f t="shared" ca="1" si="42"/>
        <v>0</v>
      </c>
      <c r="Q142" s="73">
        <f t="shared" ca="1" si="46"/>
        <v>0</v>
      </c>
      <c r="R142" s="74">
        <f t="shared" ca="1" si="46"/>
        <v>0</v>
      </c>
      <c r="S142" s="74">
        <f t="shared" ca="1" si="46"/>
        <v>0</v>
      </c>
      <c r="T142" s="74">
        <f t="shared" ca="1" si="43"/>
        <v>0</v>
      </c>
      <c r="U142" s="74">
        <f t="shared" ca="1" si="44"/>
        <v>0</v>
      </c>
    </row>
    <row r="143" spans="1:21" ht="18.75" hidden="1" x14ac:dyDescent="0.25">
      <c r="A143" s="257"/>
      <c r="B143" s="269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4">
        <f ca="1">L144+L145</f>
        <v>0</v>
      </c>
      <c r="M143" s="74">
        <f ca="1">M144+M145</f>
        <v>0</v>
      </c>
      <c r="N143" s="74">
        <f ca="1">N144+N145</f>
        <v>0</v>
      </c>
      <c r="O143" s="74">
        <f t="shared" ca="1" si="41"/>
        <v>0</v>
      </c>
      <c r="P143" s="74">
        <f t="shared" ca="1" si="42"/>
        <v>0</v>
      </c>
      <c r="Q143" s="73">
        <f ca="1">Q144+Q145</f>
        <v>0</v>
      </c>
      <c r="R143" s="74">
        <f ca="1">R144+R145</f>
        <v>0</v>
      </c>
      <c r="S143" s="74">
        <f ca="1">S144+S145</f>
        <v>0</v>
      </c>
      <c r="T143" s="74">
        <f t="shared" ca="1" si="43"/>
        <v>0</v>
      </c>
      <c r="U143" s="74">
        <f t="shared" ca="1" si="44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7">
        <v>0</v>
      </c>
      <c r="M144" s="77">
        <v>0</v>
      </c>
      <c r="N144" s="77">
        <v>0</v>
      </c>
      <c r="O144" s="77">
        <f t="shared" si="41"/>
        <v>0</v>
      </c>
      <c r="P144" s="77">
        <f t="shared" si="42"/>
        <v>0</v>
      </c>
      <c r="Q144" s="76">
        <v>0</v>
      </c>
      <c r="R144" s="77">
        <v>0</v>
      </c>
      <c r="S144" s="77">
        <v>0</v>
      </c>
      <c r="T144" s="77">
        <f t="shared" si="43"/>
        <v>0</v>
      </c>
      <c r="U144" s="77">
        <f t="shared" si="44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4">
        <f ca="1">IFERROR(__xludf.DUMMYFUNCTION("IMPORTRANGE(""https://docs.google.com/spreadsheets/d/1-uDff_7J0KD5mKrp0Vvzr7lt3OU09vwQwhkpOPPYv2Y/edit?usp=sharing"",""งบพรบ!BQ57"")"),0)</f>
        <v>0</v>
      </c>
      <c r="M145" s="74">
        <f ca="1">IFERROR(__xludf.DUMMYFUNCTION("IMPORTRANGE(""https://docs.google.com/spreadsheets/d/1-uDff_7J0KD5mKrp0Vvzr7lt3OU09vwQwhkpOPPYv2Y/edit?usp=sharing"",""งบพรบ!BV57"")"),0)</f>
        <v>0</v>
      </c>
      <c r="N145" s="74">
        <f ca="1">IFERROR(__xludf.DUMMYFUNCTION("IMPORTRANGE(""https://docs.google.com/spreadsheets/d/1-uDff_7J0KD5mKrp0Vvzr7lt3OU09vwQwhkpOPPYv2Y/edit?usp=sharing"",""งบพรบ!BX57"")"),0)</f>
        <v>0</v>
      </c>
      <c r="O145" s="74">
        <f t="shared" ca="1" si="41"/>
        <v>0</v>
      </c>
      <c r="P145" s="74">
        <f t="shared" ca="1" si="42"/>
        <v>0</v>
      </c>
      <c r="Q145" s="73">
        <f ca="1">IFERROR(__xludf.DUMMYFUNCTION("IMPORTRANGE(""https://docs.google.com/spreadsheets/d/1ItG2mGa2ceCfYo0BwxsXqNm01IGEUdYcSSLTEv9YCik/edit?usp=sharing"",""เบิกจ่ายกองทุน!BB57"")"),0)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IFERROR(__xludf.DUMMYFUNCTION("IMPORTRANGE(""https://docs.google.com/spreadsheets/d/1ItG2mGa2ceCfYo0BwxsXqNm01IGEUdYcSSLTEv9YCik/edit?usp=sharing"",""เบิกจ่ายกองทุน!BC57"")"),0)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IFERROR(__xludf.DUMMYFUNCTION("IMPORTRANGE(""https://docs.google.com/spreadsheets/d/1ItG2mGa2ceCfYo0BwxsXqNm01IGEUdYcSSLTEv9YCik/edit?usp=sharing"",""เบิกจ่ายกองทุน!BD57"")"),0)</f>
        <v>0</v>
      </c>
      <c r="T145" s="74">
        <f t="shared" ca="1" si="43"/>
        <v>0</v>
      </c>
      <c r="U145" s="74">
        <f t="shared" ca="1" si="44"/>
        <v>0</v>
      </c>
    </row>
    <row r="146" spans="1:21" ht="18.75" hidden="1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4">
        <f ca="1">L147+L148</f>
        <v>0</v>
      </c>
      <c r="M146" s="74">
        <f ca="1">M147+M148</f>
        <v>0</v>
      </c>
      <c r="N146" s="74">
        <f ca="1">N147+N148</f>
        <v>0</v>
      </c>
      <c r="O146" s="74">
        <f t="shared" ca="1" si="41"/>
        <v>0</v>
      </c>
      <c r="P146" s="74">
        <f t="shared" ca="1" si="42"/>
        <v>0</v>
      </c>
      <c r="Q146" s="73">
        <f>Q147+Q148</f>
        <v>0</v>
      </c>
      <c r="R146" s="74">
        <f>R147+R148</f>
        <v>0</v>
      </c>
      <c r="S146" s="74">
        <f>S147+S148</f>
        <v>0</v>
      </c>
      <c r="T146" s="74">
        <f t="shared" si="43"/>
        <v>0</v>
      </c>
      <c r="U146" s="74">
        <f t="shared" si="44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7">
        <v>0</v>
      </c>
      <c r="M147" s="77">
        <v>0</v>
      </c>
      <c r="N147" s="77">
        <v>0</v>
      </c>
      <c r="O147" s="77">
        <f t="shared" si="41"/>
        <v>0</v>
      </c>
      <c r="P147" s="77">
        <f t="shared" si="42"/>
        <v>0</v>
      </c>
      <c r="Q147" s="76">
        <v>0</v>
      </c>
      <c r="R147" s="77">
        <v>0</v>
      </c>
      <c r="S147" s="77">
        <v>0</v>
      </c>
      <c r="T147" s="77">
        <f t="shared" si="43"/>
        <v>0</v>
      </c>
      <c r="U147" s="77">
        <f t="shared" si="44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4">
        <f ca="1">IFERROR(__xludf.DUMMYFUNCTION("IMPORTRANGE(""https://docs.google.com/spreadsheets/d/1-uDff_7J0KD5mKrp0Vvzr7lt3OU09vwQwhkpOPPYv2Y/edit?usp=sharing"",""งบพรบ!BT57"")"),0)</f>
        <v>0</v>
      </c>
      <c r="M148" s="74">
        <f ca="1">IFERROR(__xludf.DUMMYFUNCTION("IMPORTRANGE(""https://docs.google.com/spreadsheets/d/1-uDff_7J0KD5mKrp0Vvzr7lt3OU09vwQwhkpOPPYv2Y/edit?usp=sharing"",""งบพรบ!BW57"")"),0)</f>
        <v>0</v>
      </c>
      <c r="N148" s="74">
        <f ca="1">IFERROR(__xludf.DUMMYFUNCTION("IMPORTRANGE(""https://docs.google.com/spreadsheets/d/1-uDff_7J0KD5mKrp0Vvzr7lt3OU09vwQwhkpOPPYv2Y/edit?usp=sharing"",""งบพรบ!BY57"")"),0)</f>
        <v>0</v>
      </c>
      <c r="O148" s="74">
        <f t="shared" ca="1" si="41"/>
        <v>0</v>
      </c>
      <c r="P148" s="74">
        <f t="shared" ca="1" si="42"/>
        <v>0</v>
      </c>
      <c r="Q148" s="73">
        <v>0</v>
      </c>
      <c r="R148" s="74">
        <v>0</v>
      </c>
      <c r="S148" s="74">
        <v>0</v>
      </c>
      <c r="T148" s="74">
        <f t="shared" si="43"/>
        <v>0</v>
      </c>
      <c r="U148" s="74">
        <f t="shared" si="44"/>
        <v>0</v>
      </c>
    </row>
    <row r="149" spans="1:21" ht="19.5" hidden="1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7"/>
      <c r="M149" s="87"/>
      <c r="N149" s="87"/>
      <c r="O149" s="87"/>
      <c r="P149" s="87"/>
      <c r="Q149" s="86"/>
      <c r="R149" s="87"/>
      <c r="S149" s="87"/>
      <c r="T149" s="87"/>
      <c r="U149" s="87"/>
    </row>
    <row r="150" spans="1:21" ht="18.75" hidden="1" x14ac:dyDescent="0.25">
      <c r="A150" s="257"/>
      <c r="B150" s="258"/>
      <c r="C150" s="306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7"/>
      <c r="M150" s="87"/>
      <c r="N150" s="87"/>
      <c r="O150" s="87"/>
      <c r="P150" s="87"/>
      <c r="Q150" s="86"/>
      <c r="R150" s="87"/>
      <c r="S150" s="87"/>
      <c r="T150" s="87"/>
      <c r="U150" s="87"/>
    </row>
    <row r="151" spans="1:21" ht="19.5" hidden="1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IFERROR(__xludf.DUMMYFUNCTION("IMPORTRANGE(""https://docs.google.com/spreadsheets/d/1eHaY18a8A9IcSdp1K8H6x8fbOy06t2VsZHhMHf-1x7Y/edit?usp=sharing"",""แผน!U57"")"),0)</f>
        <v>0</v>
      </c>
      <c r="J151" s="294">
        <v>0</v>
      </c>
      <c r="K151" s="74">
        <f ca="1">IF(I151&gt;0,J151*100/I151,0)</f>
        <v>0</v>
      </c>
      <c r="L151" s="87"/>
      <c r="M151" s="87"/>
      <c r="N151" s="87"/>
      <c r="O151" s="87"/>
      <c r="P151" s="87"/>
      <c r="Q151" s="86"/>
      <c r="R151" s="87"/>
      <c r="S151" s="87"/>
      <c r="T151" s="87"/>
      <c r="U151" s="87"/>
    </row>
    <row r="152" spans="1:21" ht="18.75" hidden="1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IFERROR(__xludf.DUMMYFUNCTION("IMPORTRANGE(""https://docs.google.com/spreadsheets/d/1eHaY18a8A9IcSdp1K8H6x8fbOy06t2VsZHhMHf-1x7Y/edit?usp=sharing"",""แผน!V57"")"),0)</f>
        <v>0</v>
      </c>
      <c r="J152" s="294">
        <v>0</v>
      </c>
      <c r="K152" s="74">
        <f ca="1">IF(I152&gt;0,J152*100/I152,0)</f>
        <v>0</v>
      </c>
      <c r="L152" s="87"/>
      <c r="M152" s="87"/>
      <c r="N152" s="87"/>
      <c r="O152" s="87"/>
      <c r="P152" s="87"/>
      <c r="Q152" s="86"/>
      <c r="R152" s="87"/>
      <c r="S152" s="87"/>
      <c r="T152" s="87"/>
      <c r="U152" s="87"/>
    </row>
    <row r="153" spans="1:21" ht="19.5" hidden="1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IFERROR(__xludf.DUMMYFUNCTION("IMPORTRANGE(""https://docs.google.com/spreadsheets/d/1eHaY18a8A9IcSdp1K8H6x8fbOy06t2VsZHhMHf-1x7Y/edit?usp=sharing"",""แผน!W57"")"),0)</f>
        <v>0</v>
      </c>
      <c r="J153" s="294">
        <v>0</v>
      </c>
      <c r="K153" s="74">
        <f ca="1">IF(I153&gt;0,J153*100/I153,0)</f>
        <v>0</v>
      </c>
      <c r="L153" s="87"/>
      <c r="M153" s="87"/>
      <c r="N153" s="87"/>
      <c r="O153" s="87"/>
      <c r="P153" s="87"/>
      <c r="Q153" s="86"/>
      <c r="R153" s="87"/>
      <c r="S153" s="87"/>
      <c r="T153" s="87"/>
      <c r="U153" s="87"/>
    </row>
    <row r="154" spans="1:21" ht="18.75" hidden="1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IFERROR(__xludf.DUMMYFUNCTION("IMPORTRANGE(""https://docs.google.com/spreadsheets/d/1eHaY18a8A9IcSdp1K8H6x8fbOy06t2VsZHhMHf-1x7Y/edit?usp=sharing"",""แผน!X57"")"),0)</f>
        <v>0</v>
      </c>
      <c r="J154" s="294">
        <v>0</v>
      </c>
      <c r="K154" s="74">
        <f ca="1">IF(I154&gt;0,J154*100/I154,0)</f>
        <v>0</v>
      </c>
      <c r="L154" s="87"/>
      <c r="M154" s="87"/>
      <c r="N154" s="87"/>
      <c r="O154" s="87"/>
      <c r="P154" s="87"/>
      <c r="Q154" s="86"/>
      <c r="R154" s="87"/>
      <c r="S154" s="87"/>
      <c r="T154" s="87"/>
      <c r="U154" s="87"/>
    </row>
    <row r="155" spans="1:21" ht="18.75" hidden="1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IFERROR(__xludf.DUMMYFUNCTION("IMPORTRANGE(""https://docs.google.com/spreadsheets/d/1eHaY18a8A9IcSdp1K8H6x8fbOy06t2VsZHhMHf-1x7Y/edit?usp=sharing"",""แผน!Y57"")"),0)</f>
        <v>0</v>
      </c>
      <c r="J155" s="294">
        <v>0</v>
      </c>
      <c r="K155" s="74">
        <f ca="1">IF(I155&gt;0,J155*100/I155,0)</f>
        <v>0</v>
      </c>
      <c r="L155" s="87"/>
      <c r="M155" s="87"/>
      <c r="N155" s="87"/>
      <c r="O155" s="87"/>
      <c r="P155" s="87"/>
      <c r="Q155" s="86"/>
      <c r="R155" s="87"/>
      <c r="S155" s="87"/>
      <c r="T155" s="87"/>
      <c r="U155" s="87"/>
    </row>
    <row r="156" spans="1:21" ht="19.5" x14ac:dyDescent="0.3">
      <c r="A156" s="1099" t="s">
        <v>67</v>
      </c>
      <c r="B156" s="691"/>
      <c r="C156" s="692"/>
      <c r="D156" s="691"/>
      <c r="E156" s="691"/>
      <c r="F156" s="691"/>
      <c r="G156" s="691"/>
      <c r="H156" s="693"/>
      <c r="I156" s="694"/>
      <c r="J156" s="694"/>
      <c r="K156" s="695"/>
      <c r="L156" s="200"/>
      <c r="M156" s="200"/>
      <c r="N156" s="200"/>
      <c r="O156" s="200"/>
      <c r="P156" s="200"/>
      <c r="Q156" s="199"/>
      <c r="R156" s="200"/>
      <c r="S156" s="200"/>
      <c r="T156" s="200"/>
      <c r="U156" s="200"/>
    </row>
    <row r="157" spans="1:21" ht="19.5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ca="1">I168</f>
        <v>10</v>
      </c>
      <c r="J157" s="256">
        <f>J168</f>
        <v>0</v>
      </c>
      <c r="K157" s="59">
        <f ca="1">IF(I157&gt;0,J157*100/I157,0)</f>
        <v>0</v>
      </c>
      <c r="L157" s="208"/>
      <c r="M157" s="208"/>
      <c r="N157" s="208"/>
      <c r="O157" s="208"/>
      <c r="P157" s="208"/>
      <c r="Q157" s="207"/>
      <c r="R157" s="208"/>
      <c r="S157" s="208"/>
      <c r="T157" s="208"/>
      <c r="U157" s="208"/>
    </row>
    <row r="158" spans="1:21" ht="19.5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264">
        <f ca="1">L159+L160</f>
        <v>3000</v>
      </c>
      <c r="M158" s="264">
        <f ca="1">M159+M160</f>
        <v>2250</v>
      </c>
      <c r="N158" s="264">
        <f ca="1">N159+N160</f>
        <v>0</v>
      </c>
      <c r="O158" s="264">
        <f t="shared" ref="O158:O166" ca="1" si="47">IF(L158&gt;0,N158*100/L158,0)</f>
        <v>0</v>
      </c>
      <c r="P158" s="264">
        <f t="shared" ref="P158:P166" ca="1" si="48">IF(M158&gt;0,N158*100/M158,0)</f>
        <v>0</v>
      </c>
      <c r="Q158" s="1257">
        <f ca="1">Q159+Q160</f>
        <v>0</v>
      </c>
      <c r="R158" s="264">
        <f ca="1">R159+R160</f>
        <v>0</v>
      </c>
      <c r="S158" s="264">
        <f ca="1">S159+S160</f>
        <v>0</v>
      </c>
      <c r="T158" s="264">
        <f t="shared" ref="T158:T166" ca="1" si="49">IF(Q158&gt;0,S158*100/Q158,0)</f>
        <v>0</v>
      </c>
      <c r="U158" s="264">
        <f t="shared" ref="U158:U166" ca="1" si="50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7">
        <f t="shared" ref="L159:N160" si="51">L162+L165</f>
        <v>0</v>
      </c>
      <c r="M159" s="77">
        <f t="shared" si="51"/>
        <v>0</v>
      </c>
      <c r="N159" s="77">
        <f t="shared" si="51"/>
        <v>0</v>
      </c>
      <c r="O159" s="77">
        <f t="shared" si="47"/>
        <v>0</v>
      </c>
      <c r="P159" s="77">
        <f t="shared" si="48"/>
        <v>0</v>
      </c>
      <c r="Q159" s="76">
        <f t="shared" ref="Q159:S160" si="52">Q162+Q165</f>
        <v>0</v>
      </c>
      <c r="R159" s="77">
        <f t="shared" si="52"/>
        <v>0</v>
      </c>
      <c r="S159" s="77">
        <f t="shared" si="52"/>
        <v>0</v>
      </c>
      <c r="T159" s="77">
        <f t="shared" si="49"/>
        <v>0</v>
      </c>
      <c r="U159" s="77">
        <f t="shared" si="50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4">
        <f t="shared" ca="1" si="51"/>
        <v>3000</v>
      </c>
      <c r="M160" s="74">
        <f t="shared" ca="1" si="51"/>
        <v>2250</v>
      </c>
      <c r="N160" s="74">
        <f t="shared" ca="1" si="51"/>
        <v>0</v>
      </c>
      <c r="O160" s="74">
        <f t="shared" ca="1" si="47"/>
        <v>0</v>
      </c>
      <c r="P160" s="74">
        <f t="shared" ca="1" si="48"/>
        <v>0</v>
      </c>
      <c r="Q160" s="73">
        <f t="shared" ca="1" si="52"/>
        <v>0</v>
      </c>
      <c r="R160" s="74">
        <f t="shared" ca="1" si="52"/>
        <v>0</v>
      </c>
      <c r="S160" s="74">
        <f t="shared" ca="1" si="52"/>
        <v>0</v>
      </c>
      <c r="T160" s="74">
        <f t="shared" ca="1" si="49"/>
        <v>0</v>
      </c>
      <c r="U160" s="74">
        <f t="shared" ca="1" si="50"/>
        <v>0</v>
      </c>
    </row>
    <row r="161" spans="1:21" ht="18.75" x14ac:dyDescent="0.25">
      <c r="A161" s="257"/>
      <c r="B161" s="269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4">
        <f ca="1">L162+L163</f>
        <v>3000</v>
      </c>
      <c r="M161" s="74">
        <f ca="1">M162+M163</f>
        <v>2250</v>
      </c>
      <c r="N161" s="74">
        <f ca="1">N162+N163</f>
        <v>0</v>
      </c>
      <c r="O161" s="74">
        <f t="shared" ca="1" si="47"/>
        <v>0</v>
      </c>
      <c r="P161" s="74">
        <f t="shared" ca="1" si="48"/>
        <v>0</v>
      </c>
      <c r="Q161" s="73">
        <f ca="1">Q162+Q163</f>
        <v>0</v>
      </c>
      <c r="R161" s="74">
        <f ca="1">R162+R163</f>
        <v>0</v>
      </c>
      <c r="S161" s="74">
        <f ca="1">S162+S163</f>
        <v>0</v>
      </c>
      <c r="T161" s="74">
        <f t="shared" ca="1" si="49"/>
        <v>0</v>
      </c>
      <c r="U161" s="74">
        <f t="shared" ca="1" si="50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7">
        <v>0</v>
      </c>
      <c r="M162" s="77">
        <v>0</v>
      </c>
      <c r="N162" s="77">
        <v>0</v>
      </c>
      <c r="O162" s="77">
        <f t="shared" si="47"/>
        <v>0</v>
      </c>
      <c r="P162" s="77">
        <f t="shared" si="48"/>
        <v>0</v>
      </c>
      <c r="Q162" s="76">
        <v>0</v>
      </c>
      <c r="R162" s="77">
        <v>0</v>
      </c>
      <c r="S162" s="77">
        <v>0</v>
      </c>
      <c r="T162" s="77">
        <f t="shared" si="49"/>
        <v>0</v>
      </c>
      <c r="U162" s="77">
        <f t="shared" si="50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4">
        <f ca="1">IFERROR(__xludf.DUMMYFUNCTION("IMPORTRANGE(""https://docs.google.com/spreadsheets/d/1-uDff_7J0KD5mKrp0Vvzr7lt3OU09vwQwhkpOPPYv2Y/edit?usp=sharing"",""งบพรบ!CA57"")"),3000)</f>
        <v>3000</v>
      </c>
      <c r="M163" s="74">
        <f ca="1">IFERROR(__xludf.DUMMYFUNCTION("IMPORTRANGE(""https://docs.google.com/spreadsheets/d/1-uDff_7J0KD5mKrp0Vvzr7lt3OU09vwQwhkpOPPYv2Y/edit?usp=sharing"",""งบพรบ!CF57"")"),2250)</f>
        <v>2250</v>
      </c>
      <c r="N163" s="74">
        <f ca="1">IFERROR(__xludf.DUMMYFUNCTION("IMPORTRANGE(""https://docs.google.com/spreadsheets/d/1-uDff_7J0KD5mKrp0Vvzr7lt3OU09vwQwhkpOPPYv2Y/edit?usp=sharing"",""งบพรบ!CH57"")"),0)</f>
        <v>0</v>
      </c>
      <c r="O163" s="74">
        <f t="shared" ca="1" si="47"/>
        <v>0</v>
      </c>
      <c r="P163" s="74">
        <f t="shared" ca="1" si="48"/>
        <v>0</v>
      </c>
      <c r="Q163" s="73">
        <f ca="1">IFERROR(__xludf.DUMMYFUNCTION("IMPORTRANGE(""https://docs.google.com/spreadsheets/d/1ItG2mGa2ceCfYo0BwxsXqNm01IGEUdYcSSLTEv9YCik/edit?usp=sharing"",""เบิกจ่ายกองทุน!AG57"")"),0)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IFERROR(__xludf.DUMMYFUNCTION("IMPORTRANGE(""https://docs.google.com/spreadsheets/d/1ItG2mGa2ceCfYo0BwxsXqNm01IGEUdYcSSLTEv9YCik/edit?usp=sharing"",""เบิกจ่ายกองทุน!AH57"")"),0)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IFERROR(__xludf.DUMMYFUNCTION("IMPORTRANGE(""https://docs.google.com/spreadsheets/d/1ItG2mGa2ceCfYo0BwxsXqNm01IGEUdYcSSLTEv9YCik/edit?usp=sharing"",""เบิกจ่ายกองทุน!AI57"")"),0)</f>
        <v>0</v>
      </c>
      <c r="T163" s="74">
        <f t="shared" ca="1" si="49"/>
        <v>0</v>
      </c>
      <c r="U163" s="74">
        <f t="shared" ca="1" si="50"/>
        <v>0</v>
      </c>
    </row>
    <row r="164" spans="1:21" ht="18.75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4">
        <f ca="1">L165+L166</f>
        <v>0</v>
      </c>
      <c r="M164" s="74">
        <f ca="1">M165+M166</f>
        <v>0</v>
      </c>
      <c r="N164" s="74">
        <f ca="1">N165+N166</f>
        <v>0</v>
      </c>
      <c r="O164" s="74">
        <f t="shared" ca="1" si="47"/>
        <v>0</v>
      </c>
      <c r="P164" s="74">
        <f t="shared" ca="1" si="48"/>
        <v>0</v>
      </c>
      <c r="Q164" s="73">
        <f>Q165+Q166</f>
        <v>0</v>
      </c>
      <c r="R164" s="74">
        <f>R165+R166</f>
        <v>0</v>
      </c>
      <c r="S164" s="74">
        <f>S165+S166</f>
        <v>0</v>
      </c>
      <c r="T164" s="74">
        <f t="shared" si="49"/>
        <v>0</v>
      </c>
      <c r="U164" s="74">
        <f t="shared" si="50"/>
        <v>0</v>
      </c>
    </row>
    <row r="165" spans="1:21" ht="18.75" hidden="1" x14ac:dyDescent="0.25">
      <c r="A165" s="257"/>
      <c r="B165" s="269"/>
      <c r="C165" s="269"/>
      <c r="D165" s="269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7">
        <v>0</v>
      </c>
      <c r="M165" s="77">
        <v>0</v>
      </c>
      <c r="N165" s="77">
        <v>0</v>
      </c>
      <c r="O165" s="77">
        <f t="shared" si="47"/>
        <v>0</v>
      </c>
      <c r="P165" s="77">
        <f t="shared" si="48"/>
        <v>0</v>
      </c>
      <c r="Q165" s="76">
        <v>0</v>
      </c>
      <c r="R165" s="77">
        <v>0</v>
      </c>
      <c r="S165" s="77">
        <v>0</v>
      </c>
      <c r="T165" s="77">
        <f t="shared" si="49"/>
        <v>0</v>
      </c>
      <c r="U165" s="77">
        <f t="shared" si="50"/>
        <v>0</v>
      </c>
    </row>
    <row r="166" spans="1:21" ht="18.75" hidden="1" x14ac:dyDescent="0.25">
      <c r="A166" s="257"/>
      <c r="B166" s="269"/>
      <c r="C166" s="269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4">
        <f ca="1">IFERROR(__xludf.DUMMYFUNCTION("IMPORTRANGE(""https://docs.google.com/spreadsheets/d/1-uDff_7J0KD5mKrp0Vvzr7lt3OU09vwQwhkpOPPYv2Y/edit?usp=sharing"",""งบพรบ!CD57"")"),0)</f>
        <v>0</v>
      </c>
      <c r="M166" s="74">
        <f ca="1">IFERROR(__xludf.DUMMYFUNCTION("IMPORTRANGE(""https://docs.google.com/spreadsheets/d/1-uDff_7J0KD5mKrp0Vvzr7lt3OU09vwQwhkpOPPYv2Y/edit?usp=sharing"",""งบพรบ!CG57"")"),0)</f>
        <v>0</v>
      </c>
      <c r="N166" s="74">
        <f ca="1">IFERROR(__xludf.DUMMYFUNCTION("IMPORTRANGE(""https://docs.google.com/spreadsheets/d/1-uDff_7J0KD5mKrp0Vvzr7lt3OU09vwQwhkpOPPYv2Y/edit?usp=sharing"",""งบพรบ!CI57"")"),0)</f>
        <v>0</v>
      </c>
      <c r="O166" s="74">
        <f t="shared" ca="1" si="47"/>
        <v>0</v>
      </c>
      <c r="P166" s="74">
        <f t="shared" ca="1" si="48"/>
        <v>0</v>
      </c>
      <c r="Q166" s="73">
        <v>0</v>
      </c>
      <c r="R166" s="74">
        <v>0</v>
      </c>
      <c r="S166" s="74">
        <v>0</v>
      </c>
      <c r="T166" s="74">
        <f t="shared" si="49"/>
        <v>0</v>
      </c>
      <c r="U166" s="74">
        <f t="shared" si="50"/>
        <v>0</v>
      </c>
    </row>
    <row r="167" spans="1:21" ht="19.5" x14ac:dyDescent="0.3">
      <c r="A167" s="276"/>
      <c r="B167" s="277"/>
      <c r="C167" s="621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7"/>
      <c r="M167" s="87"/>
      <c r="N167" s="87"/>
      <c r="O167" s="87"/>
      <c r="P167" s="87"/>
      <c r="Q167" s="86"/>
      <c r="R167" s="87"/>
      <c r="S167" s="87"/>
      <c r="T167" s="87"/>
      <c r="U167" s="87"/>
    </row>
    <row r="168" spans="1:21" ht="18.75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IFERROR(__xludf.DUMMYFUNCTION("IMPORTRANGE(""https://docs.google.com/spreadsheets/d/1eHaY18a8A9IcSdp1K8H6x8fbOy06t2VsZHhMHf-1x7Y/edit?usp=sharing"",""แผน!Z57"")"),10)</f>
        <v>10</v>
      </c>
      <c r="J168" s="294">
        <v>0</v>
      </c>
      <c r="K168" s="74">
        <f ca="1">IF(I168&gt;0,J168*100/I168,0)</f>
        <v>0</v>
      </c>
      <c r="L168" s="87"/>
      <c r="M168" s="87"/>
      <c r="N168" s="87"/>
      <c r="O168" s="87"/>
      <c r="P168" s="87"/>
      <c r="Q168" s="86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I168</f>
        <v>10</v>
      </c>
      <c r="J169" s="910">
        <v>0</v>
      </c>
      <c r="K169" s="77">
        <f ca="1">IF(I169&gt;0,J169*100/I169,0)</f>
        <v>0</v>
      </c>
      <c r="L169" s="87"/>
      <c r="M169" s="87"/>
      <c r="N169" s="87"/>
      <c r="O169" s="87"/>
      <c r="P169" s="87"/>
      <c r="Q169" s="86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I168</f>
        <v>10</v>
      </c>
      <c r="J170" s="999">
        <v>0</v>
      </c>
      <c r="K170" s="1000">
        <f ca="1">IF(I170&gt;0,J170*100/I170,0)</f>
        <v>0</v>
      </c>
      <c r="L170" s="98"/>
      <c r="M170" s="98"/>
      <c r="N170" s="98"/>
      <c r="O170" s="98"/>
      <c r="P170" s="98"/>
      <c r="Q170" s="97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5"/>
      <c r="I171" s="1117"/>
      <c r="J171" s="1117"/>
      <c r="K171" s="358"/>
      <c r="L171" s="358"/>
      <c r="M171" s="358"/>
      <c r="N171" s="358"/>
      <c r="O171" s="358"/>
      <c r="P171" s="359"/>
      <c r="Q171" s="357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121"/>
      <c r="I172" s="1122"/>
      <c r="J172" s="1122"/>
      <c r="K172" s="367"/>
      <c r="L172" s="367"/>
      <c r="M172" s="367"/>
      <c r="N172" s="367"/>
      <c r="O172" s="367"/>
      <c r="P172" s="367"/>
      <c r="Q172" s="366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125" t="s">
        <v>35</v>
      </c>
      <c r="I173" s="1126">
        <f ca="1">I184+I185</f>
        <v>7</v>
      </c>
      <c r="J173" s="1126">
        <f>J184+J185</f>
        <v>0</v>
      </c>
      <c r="K173" s="1127">
        <f ca="1">IF(I173&gt;0,J173*100/I173,0)</f>
        <v>0</v>
      </c>
      <c r="L173" s="376"/>
      <c r="M173" s="376"/>
      <c r="N173" s="376"/>
      <c r="O173" s="376"/>
      <c r="P173" s="376"/>
      <c r="Q173" s="375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264">
        <f ca="1">L175+L176</f>
        <v>19590</v>
      </c>
      <c r="M174" s="264">
        <f ca="1">M175+M176</f>
        <v>33360</v>
      </c>
      <c r="N174" s="264">
        <f ca="1">N175+N176</f>
        <v>33360</v>
      </c>
      <c r="O174" s="264">
        <f t="shared" ref="O174:O182" ca="1" si="53">IF(L174&gt;0,N174*100/L174,0)</f>
        <v>170.29096477794792</v>
      </c>
      <c r="P174" s="264">
        <f t="shared" ref="P174:P182" ca="1" si="54">IF(M174&gt;0,N174*100/M174,0)</f>
        <v>100</v>
      </c>
      <c r="Q174" s="1257">
        <f ca="1">Q175+Q176</f>
        <v>0</v>
      </c>
      <c r="R174" s="264">
        <f ca="1">R175+R176</f>
        <v>0</v>
      </c>
      <c r="S174" s="264">
        <f ca="1">S175+S176</f>
        <v>0</v>
      </c>
      <c r="T174" s="264">
        <f t="shared" ref="T174:T182" ca="1" si="55">IF(Q174&gt;0,S174*100/Q174,0)</f>
        <v>0</v>
      </c>
      <c r="U174" s="264">
        <f t="shared" ref="U174:U182" ca="1" si="56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7">
        <f t="shared" ref="L175:N176" si="57">L178+L181</f>
        <v>0</v>
      </c>
      <c r="M175" s="77">
        <f t="shared" si="57"/>
        <v>0</v>
      </c>
      <c r="N175" s="77">
        <f t="shared" si="57"/>
        <v>0</v>
      </c>
      <c r="O175" s="77">
        <f t="shared" si="53"/>
        <v>0</v>
      </c>
      <c r="P175" s="77">
        <f t="shared" si="54"/>
        <v>0</v>
      </c>
      <c r="Q175" s="76">
        <f t="shared" ref="Q175:S176" si="58">Q178+Q181</f>
        <v>0</v>
      </c>
      <c r="R175" s="77">
        <f t="shared" si="58"/>
        <v>0</v>
      </c>
      <c r="S175" s="77">
        <f t="shared" si="58"/>
        <v>0</v>
      </c>
      <c r="T175" s="77">
        <f t="shared" si="55"/>
        <v>0</v>
      </c>
      <c r="U175" s="77">
        <f t="shared" si="56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4">
        <f t="shared" ca="1" si="57"/>
        <v>19590</v>
      </c>
      <c r="M176" s="74">
        <f t="shared" ca="1" si="57"/>
        <v>33360</v>
      </c>
      <c r="N176" s="74">
        <f t="shared" ca="1" si="57"/>
        <v>33360</v>
      </c>
      <c r="O176" s="74">
        <f t="shared" ca="1" si="53"/>
        <v>170.29096477794792</v>
      </c>
      <c r="P176" s="74">
        <f t="shared" ca="1" si="54"/>
        <v>100</v>
      </c>
      <c r="Q176" s="73">
        <f t="shared" ca="1" si="58"/>
        <v>0</v>
      </c>
      <c r="R176" s="74">
        <f t="shared" ca="1" si="58"/>
        <v>0</v>
      </c>
      <c r="S176" s="74">
        <f t="shared" ca="1" si="58"/>
        <v>0</v>
      </c>
      <c r="T176" s="74">
        <f t="shared" ca="1" si="55"/>
        <v>0</v>
      </c>
      <c r="U176" s="74">
        <f t="shared" ca="1" si="56"/>
        <v>0</v>
      </c>
    </row>
    <row r="177" spans="1:21" ht="18.75" x14ac:dyDescent="0.25">
      <c r="A177" s="257"/>
      <c r="B177" s="269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4">
        <f ca="1">L178+L179</f>
        <v>19590</v>
      </c>
      <c r="M177" s="74">
        <f ca="1">M178+M179</f>
        <v>33360</v>
      </c>
      <c r="N177" s="74">
        <f ca="1">N178+N179</f>
        <v>33360</v>
      </c>
      <c r="O177" s="74">
        <f t="shared" ca="1" si="53"/>
        <v>170.29096477794792</v>
      </c>
      <c r="P177" s="74">
        <f t="shared" ca="1" si="54"/>
        <v>100</v>
      </c>
      <c r="Q177" s="73">
        <f ca="1">Q178+Q179</f>
        <v>0</v>
      </c>
      <c r="R177" s="74">
        <f ca="1">R178+R179</f>
        <v>0</v>
      </c>
      <c r="S177" s="74">
        <f ca="1">S178+S179</f>
        <v>0</v>
      </c>
      <c r="T177" s="74">
        <f t="shared" ca="1" si="55"/>
        <v>0</v>
      </c>
      <c r="U177" s="74">
        <f t="shared" ca="1" si="56"/>
        <v>0</v>
      </c>
    </row>
    <row r="178" spans="1:21" ht="18.75" hidden="1" x14ac:dyDescent="0.25">
      <c r="A178" s="257"/>
      <c r="B178" s="258"/>
      <c r="C178" s="269"/>
      <c r="D178" s="269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7">
        <v>0</v>
      </c>
      <c r="M178" s="77">
        <v>0</v>
      </c>
      <c r="N178" s="77">
        <v>0</v>
      </c>
      <c r="O178" s="77">
        <f t="shared" si="53"/>
        <v>0</v>
      </c>
      <c r="P178" s="77">
        <f t="shared" si="54"/>
        <v>0</v>
      </c>
      <c r="Q178" s="76">
        <v>0</v>
      </c>
      <c r="R178" s="77">
        <v>0</v>
      </c>
      <c r="S178" s="77">
        <v>0</v>
      </c>
      <c r="T178" s="77">
        <f t="shared" si="55"/>
        <v>0</v>
      </c>
      <c r="U178" s="77">
        <f t="shared" si="56"/>
        <v>0</v>
      </c>
    </row>
    <row r="179" spans="1:21" ht="18.75" hidden="1" x14ac:dyDescent="0.25">
      <c r="A179" s="257"/>
      <c r="B179" s="269"/>
      <c r="C179" s="269"/>
      <c r="D179" s="269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4">
        <f ca="1">IFERROR(__xludf.DUMMYFUNCTION("IMPORTRANGE(""https://docs.google.com/spreadsheets/d/1-uDff_7J0KD5mKrp0Vvzr7lt3OU09vwQwhkpOPPYv2Y/edit?usp=sharing"",""งบพรบ!CK57"")"),19590)</f>
        <v>19590</v>
      </c>
      <c r="M179" s="74">
        <f ca="1">IFERROR(__xludf.DUMMYFUNCTION("IMPORTRANGE(""https://docs.google.com/spreadsheets/d/1-uDff_7J0KD5mKrp0Vvzr7lt3OU09vwQwhkpOPPYv2Y/edit?usp=sharing"",""งบพรบ!CP57"")"),33360)</f>
        <v>33360</v>
      </c>
      <c r="N179" s="74">
        <f ca="1">IFERROR(__xludf.DUMMYFUNCTION("IMPORTRANGE(""https://docs.google.com/spreadsheets/d/1-uDff_7J0KD5mKrp0Vvzr7lt3OU09vwQwhkpOPPYv2Y/edit?usp=sharing"",""งบพรบ!CR57"")"),33360)</f>
        <v>33360</v>
      </c>
      <c r="O179" s="74">
        <f t="shared" ca="1" si="53"/>
        <v>170.29096477794792</v>
      </c>
      <c r="P179" s="74">
        <f t="shared" ca="1" si="54"/>
        <v>100</v>
      </c>
      <c r="Q179" s="73">
        <f ca="1">IFERROR(__xludf.DUMMYFUNCTION("IMPORTRANGE(""https://docs.google.com/spreadsheets/d/1ItG2mGa2ceCfYo0BwxsXqNm01IGEUdYcSSLTEv9YCik/edit?usp=sharing"",""เบิกจ่ายกองทุน!BE57"")"),0)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IFERROR(__xludf.DUMMYFUNCTION("IMPORTRANGE(""https://docs.google.com/spreadsheets/d/1ItG2mGa2ceCfYo0BwxsXqNm01IGEUdYcSSLTEv9YCik/edit?usp=sharing"",""เบิกจ่ายกองทุน!BF57"")"),0)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IFERROR(__xludf.DUMMYFUNCTION("IMPORTRANGE(""https://docs.google.com/spreadsheets/d/1ItG2mGa2ceCfYo0BwxsXqNm01IGEUdYcSSLTEv9YCik/edit?usp=sharing"",""เบิกจ่ายกองทุน!BG57"")"),0)</f>
        <v>0</v>
      </c>
      <c r="T179" s="74">
        <f t="shared" ca="1" si="55"/>
        <v>0</v>
      </c>
      <c r="U179" s="74">
        <f t="shared" ca="1" si="56"/>
        <v>0</v>
      </c>
    </row>
    <row r="180" spans="1:21" ht="18.75" x14ac:dyDescent="0.25">
      <c r="A180" s="257"/>
      <c r="B180" s="258"/>
      <c r="C180" s="269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4">
        <f ca="1">L181+L182</f>
        <v>0</v>
      </c>
      <c r="M180" s="74">
        <f ca="1">M181+M182</f>
        <v>0</v>
      </c>
      <c r="N180" s="74">
        <f ca="1">N181+N182</f>
        <v>0</v>
      </c>
      <c r="O180" s="74">
        <f t="shared" ca="1" si="53"/>
        <v>0</v>
      </c>
      <c r="P180" s="74">
        <f t="shared" ca="1" si="54"/>
        <v>0</v>
      </c>
      <c r="Q180" s="73">
        <f>Q181+Q182</f>
        <v>0</v>
      </c>
      <c r="R180" s="74">
        <f>R181+R182</f>
        <v>0</v>
      </c>
      <c r="S180" s="74">
        <f>S181+S182</f>
        <v>0</v>
      </c>
      <c r="T180" s="74">
        <f t="shared" si="55"/>
        <v>0</v>
      </c>
      <c r="U180" s="74">
        <f t="shared" si="56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7">
        <v>0</v>
      </c>
      <c r="M181" s="77">
        <v>0</v>
      </c>
      <c r="N181" s="77">
        <v>0</v>
      </c>
      <c r="O181" s="77">
        <f t="shared" si="53"/>
        <v>0</v>
      </c>
      <c r="P181" s="77">
        <f t="shared" si="54"/>
        <v>0</v>
      </c>
      <c r="Q181" s="76">
        <v>0</v>
      </c>
      <c r="R181" s="77">
        <v>0</v>
      </c>
      <c r="S181" s="77">
        <v>0</v>
      </c>
      <c r="T181" s="77">
        <f t="shared" si="55"/>
        <v>0</v>
      </c>
      <c r="U181" s="77">
        <f t="shared" si="56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4">
        <f ca="1">IFERROR(__xludf.DUMMYFUNCTION("IMPORTRANGE(""https://docs.google.com/spreadsheets/d/1-uDff_7J0KD5mKrp0Vvzr7lt3OU09vwQwhkpOPPYv2Y/edit?usp=sharing"",""งบพรบ!CN57"")"),0)</f>
        <v>0</v>
      </c>
      <c r="M182" s="74">
        <f ca="1">IFERROR(__xludf.DUMMYFUNCTION("IMPORTRANGE(""https://docs.google.com/spreadsheets/d/1-uDff_7J0KD5mKrp0Vvzr7lt3OU09vwQwhkpOPPYv2Y/edit?usp=sharing"",""งบพรบ!CQ57"")"),0)</f>
        <v>0</v>
      </c>
      <c r="N182" s="74">
        <f ca="1">IFERROR(__xludf.DUMMYFUNCTION("IMPORTRANGE(""https://docs.google.com/spreadsheets/d/1-uDff_7J0KD5mKrp0Vvzr7lt3OU09vwQwhkpOPPYv2Y/edit?usp=sharing"",""งบพรบ!CS57"")"),0)</f>
        <v>0</v>
      </c>
      <c r="O182" s="74">
        <f t="shared" ca="1" si="53"/>
        <v>0</v>
      </c>
      <c r="P182" s="74">
        <f t="shared" ca="1" si="54"/>
        <v>0</v>
      </c>
      <c r="Q182" s="73">
        <v>0</v>
      </c>
      <c r="R182" s="74">
        <v>0</v>
      </c>
      <c r="S182" s="74">
        <v>0</v>
      </c>
      <c r="T182" s="74">
        <f t="shared" si="55"/>
        <v>0</v>
      </c>
      <c r="U182" s="74">
        <f t="shared" si="56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7"/>
      <c r="M183" s="87"/>
      <c r="N183" s="87"/>
      <c r="O183" s="87"/>
      <c r="P183" s="87"/>
      <c r="Q183" s="86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307" t="s">
        <v>35</v>
      </c>
      <c r="I184" s="293">
        <f ca="1">IFERROR(__xludf.DUMMYFUNCTION("IMPORTRANGE(""https://docs.google.com/spreadsheets/d/1eHaY18a8A9IcSdp1K8H6x8fbOy06t2VsZHhMHf-1x7Y/edit?usp=sharing"",""แผน!AA57"")"),7)</f>
        <v>7</v>
      </c>
      <c r="J184" s="294">
        <v>0</v>
      </c>
      <c r="K184" s="74">
        <f ca="1">IF(I184&gt;0,J184*100/I184,0)</f>
        <v>0</v>
      </c>
      <c r="L184" s="87"/>
      <c r="M184" s="87"/>
      <c r="N184" s="87"/>
      <c r="O184" s="87"/>
      <c r="P184" s="87"/>
      <c r="Q184" s="86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308" t="s">
        <v>35</v>
      </c>
      <c r="I185" s="592">
        <v>0</v>
      </c>
      <c r="J185" s="592">
        <v>0</v>
      </c>
      <c r="K185" s="77">
        <f>IF(I185&gt;0,J185*100/I185,0)</f>
        <v>0</v>
      </c>
      <c r="L185" s="87"/>
      <c r="M185" s="87"/>
      <c r="N185" s="87"/>
      <c r="O185" s="87"/>
      <c r="P185" s="87"/>
      <c r="Q185" s="86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125" t="s">
        <v>35</v>
      </c>
      <c r="I186" s="1126">
        <f ca="1">I231+I232</f>
        <v>0</v>
      </c>
      <c r="J186" s="1126">
        <f>J231+J232</f>
        <v>0</v>
      </c>
      <c r="K186" s="1127">
        <f ca="1">IF(I186&gt;0,J186*100/I186,0)</f>
        <v>0</v>
      </c>
      <c r="L186" s="376"/>
      <c r="M186" s="376"/>
      <c r="N186" s="376"/>
      <c r="O186" s="376"/>
      <c r="P186" s="376"/>
      <c r="Q186" s="375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264">
        <f ca="1">L188+L189</f>
        <v>98200</v>
      </c>
      <c r="M187" s="264">
        <f ca="1">M188+M189</f>
        <v>93760</v>
      </c>
      <c r="N187" s="264">
        <f ca="1">N188+N189</f>
        <v>50581.5</v>
      </c>
      <c r="O187" s="264">
        <f t="shared" ref="O187:O195" ca="1" si="59">IF(L187&gt;0,N187*100/L187,0)</f>
        <v>51.508655804480654</v>
      </c>
      <c r="P187" s="264">
        <f t="shared" ref="P187:P195" ca="1" si="60">IF(M187&gt;0,N187*100/M187,0)</f>
        <v>53.947845563139929</v>
      </c>
      <c r="Q187" s="1257">
        <f ca="1">Q188+Q189</f>
        <v>14000</v>
      </c>
      <c r="R187" s="264">
        <f ca="1">R188+R189</f>
        <v>14000</v>
      </c>
      <c r="S187" s="264">
        <f ca="1">S188+S189</f>
        <v>0</v>
      </c>
      <c r="T187" s="264">
        <f t="shared" ref="T187:T195" ca="1" si="61">IF(Q187&gt;0,S187*100/Q187,0)</f>
        <v>0</v>
      </c>
      <c r="U187" s="264">
        <f t="shared" ref="U187:U195" ca="1" si="62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7">
        <f t="shared" ref="L188:N189" si="63">L191+L194</f>
        <v>0</v>
      </c>
      <c r="M188" s="77">
        <f t="shared" si="63"/>
        <v>0</v>
      </c>
      <c r="N188" s="77">
        <f t="shared" si="63"/>
        <v>0</v>
      </c>
      <c r="O188" s="77">
        <f t="shared" si="59"/>
        <v>0</v>
      </c>
      <c r="P188" s="77">
        <f t="shared" si="60"/>
        <v>0</v>
      </c>
      <c r="Q188" s="76">
        <f t="shared" ref="Q188:S189" si="64">Q191+Q194</f>
        <v>0</v>
      </c>
      <c r="R188" s="77">
        <f t="shared" si="64"/>
        <v>0</v>
      </c>
      <c r="S188" s="77">
        <f t="shared" si="64"/>
        <v>0</v>
      </c>
      <c r="T188" s="77">
        <f t="shared" si="61"/>
        <v>0</v>
      </c>
      <c r="U188" s="77">
        <f t="shared" si="62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4">
        <f t="shared" ca="1" si="63"/>
        <v>98200</v>
      </c>
      <c r="M189" s="74">
        <f t="shared" ca="1" si="63"/>
        <v>93760</v>
      </c>
      <c r="N189" s="74">
        <f t="shared" ca="1" si="63"/>
        <v>50581.5</v>
      </c>
      <c r="O189" s="74">
        <f t="shared" ca="1" si="59"/>
        <v>51.508655804480654</v>
      </c>
      <c r="P189" s="74">
        <f t="shared" ca="1" si="60"/>
        <v>53.947845563139929</v>
      </c>
      <c r="Q189" s="73">
        <f t="shared" ca="1" si="64"/>
        <v>14000</v>
      </c>
      <c r="R189" s="74">
        <f t="shared" ca="1" si="64"/>
        <v>14000</v>
      </c>
      <c r="S189" s="74">
        <f t="shared" ca="1" si="64"/>
        <v>0</v>
      </c>
      <c r="T189" s="74">
        <f t="shared" ca="1" si="61"/>
        <v>0</v>
      </c>
      <c r="U189" s="74">
        <f t="shared" ca="1" si="62"/>
        <v>0</v>
      </c>
    </row>
    <row r="190" spans="1:21" ht="18.75" x14ac:dyDescent="0.25">
      <c r="A190" s="257"/>
      <c r="B190" s="269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4">
        <f ca="1">L191+L192</f>
        <v>98200</v>
      </c>
      <c r="M190" s="74">
        <f ca="1">M191+M192</f>
        <v>93760</v>
      </c>
      <c r="N190" s="74">
        <f ca="1">N191+N192</f>
        <v>50581.5</v>
      </c>
      <c r="O190" s="74">
        <f t="shared" ca="1" si="59"/>
        <v>51.508655804480654</v>
      </c>
      <c r="P190" s="74">
        <f t="shared" ca="1" si="60"/>
        <v>53.947845563139929</v>
      </c>
      <c r="Q190" s="73">
        <f ca="1">Q191+Q192</f>
        <v>14000</v>
      </c>
      <c r="R190" s="74">
        <f ca="1">R191+R192</f>
        <v>14000</v>
      </c>
      <c r="S190" s="74">
        <f ca="1">S191+S192</f>
        <v>0</v>
      </c>
      <c r="T190" s="74">
        <f t="shared" ca="1" si="61"/>
        <v>0</v>
      </c>
      <c r="U190" s="74">
        <f t="shared" ca="1" si="62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7">
        <v>0</v>
      </c>
      <c r="M191" s="77">
        <v>0</v>
      </c>
      <c r="N191" s="77">
        <v>0</v>
      </c>
      <c r="O191" s="77">
        <f t="shared" si="59"/>
        <v>0</v>
      </c>
      <c r="P191" s="77">
        <f t="shared" si="60"/>
        <v>0</v>
      </c>
      <c r="Q191" s="76">
        <v>0</v>
      </c>
      <c r="R191" s="77">
        <v>0</v>
      </c>
      <c r="S191" s="77">
        <v>0</v>
      </c>
      <c r="T191" s="77">
        <f t="shared" si="61"/>
        <v>0</v>
      </c>
      <c r="U191" s="77">
        <f t="shared" si="62"/>
        <v>0</v>
      </c>
    </row>
    <row r="192" spans="1:21" ht="18.75" hidden="1" x14ac:dyDescent="0.25">
      <c r="A192" s="257"/>
      <c r="B192" s="269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4">
        <f ca="1">IFERROR(__xludf.DUMMYFUNCTION("IMPORTRANGE(""https://docs.google.com/spreadsheets/d/1-uDff_7J0KD5mKrp0Vvzr7lt3OU09vwQwhkpOPPYv2Y/edit?usp=sharing"",""งบพรบ!CU57"")"),98200)</f>
        <v>98200</v>
      </c>
      <c r="M192" s="74">
        <f ca="1">IFERROR(__xludf.DUMMYFUNCTION("IMPORTRANGE(""https://docs.google.com/spreadsheets/d/1-uDff_7J0KD5mKrp0Vvzr7lt3OU09vwQwhkpOPPYv2Y/edit?usp=sharing"",""งบพรบ!CZ57"")"),93760)</f>
        <v>93760</v>
      </c>
      <c r="N192" s="74">
        <f ca="1">IFERROR(__xludf.DUMMYFUNCTION("IMPORTRANGE(""https://docs.google.com/spreadsheets/d/1-uDff_7J0KD5mKrp0Vvzr7lt3OU09vwQwhkpOPPYv2Y/edit?usp=sharing"",""งบพรบ!DB57"")"),50581.5)</f>
        <v>50581.5</v>
      </c>
      <c r="O192" s="74">
        <f t="shared" ca="1" si="59"/>
        <v>51.508655804480654</v>
      </c>
      <c r="P192" s="74">
        <f t="shared" ca="1" si="60"/>
        <v>53.947845563139929</v>
      </c>
      <c r="Q192" s="73">
        <f ca="1">IFERROR(__xludf.DUMMYFUNCTION("IMPORTRANGE(""https://docs.google.com/spreadsheets/d/1ItG2mGa2ceCfYo0BwxsXqNm01IGEUdYcSSLTEv9YCik/edit?usp=sharing"",""เบิกจ่ายกองทุน!AV57"")"),14000)</f>
        <v>14000</v>
      </c>
      <c r="R192" s="74">
        <f ca="1">IFERROR(__xludf.DUMMYFUNCTION("IMPORTRANGE(""https://docs.google.com/spreadsheets/d/1ItG2mGa2ceCfYo0BwxsXqNm01IGEUdYcSSLTEv9YCik/edit?usp=sharing"",""เบิกจ่ายกองทุน!AW57"")"),14000)</f>
        <v>14000</v>
      </c>
      <c r="S192" s="74">
        <f ca="1">IFERROR(__xludf.DUMMYFUNCTION("IMPORTRANGE(""https://docs.google.com/spreadsheets/d/1ItG2mGa2ceCfYo0BwxsXqNm01IGEUdYcSSLTEv9YCik/edit?usp=sharing"",""เบิกจ่ายกองทุน!AX57"")"),0)</f>
        <v>0</v>
      </c>
      <c r="T192" s="74">
        <f t="shared" ca="1" si="61"/>
        <v>0</v>
      </c>
      <c r="U192" s="74">
        <f t="shared" ca="1" si="62"/>
        <v>0</v>
      </c>
    </row>
    <row r="193" spans="1:21" ht="18.75" x14ac:dyDescent="0.25">
      <c r="A193" s="257"/>
      <c r="B193" s="269"/>
      <c r="C193" s="269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4">
        <f ca="1">L194+L195</f>
        <v>0</v>
      </c>
      <c r="M193" s="74">
        <f ca="1">M194+M195</f>
        <v>0</v>
      </c>
      <c r="N193" s="74">
        <f ca="1">N194+N195</f>
        <v>0</v>
      </c>
      <c r="O193" s="74">
        <f t="shared" ca="1" si="59"/>
        <v>0</v>
      </c>
      <c r="P193" s="74">
        <f t="shared" ca="1" si="60"/>
        <v>0</v>
      </c>
      <c r="Q193" s="73">
        <f>Q194+Q195</f>
        <v>0</v>
      </c>
      <c r="R193" s="74">
        <f>R194+R195</f>
        <v>0</v>
      </c>
      <c r="S193" s="74">
        <f>S194+S195</f>
        <v>0</v>
      </c>
      <c r="T193" s="74">
        <f t="shared" si="61"/>
        <v>0</v>
      </c>
      <c r="U193" s="74">
        <f t="shared" si="62"/>
        <v>0</v>
      </c>
    </row>
    <row r="194" spans="1:21" ht="18.75" hidden="1" x14ac:dyDescent="0.25">
      <c r="A194" s="257"/>
      <c r="B194" s="269"/>
      <c r="C194" s="269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7">
        <v>0</v>
      </c>
      <c r="M194" s="77">
        <v>0</v>
      </c>
      <c r="N194" s="77">
        <v>0</v>
      </c>
      <c r="O194" s="77">
        <f t="shared" si="59"/>
        <v>0</v>
      </c>
      <c r="P194" s="77">
        <f t="shared" si="60"/>
        <v>0</v>
      </c>
      <c r="Q194" s="76">
        <v>0</v>
      </c>
      <c r="R194" s="77">
        <v>0</v>
      </c>
      <c r="S194" s="77">
        <v>0</v>
      </c>
      <c r="T194" s="77">
        <f t="shared" si="61"/>
        <v>0</v>
      </c>
      <c r="U194" s="77">
        <f t="shared" si="62"/>
        <v>0</v>
      </c>
    </row>
    <row r="195" spans="1:21" ht="18.75" hidden="1" x14ac:dyDescent="0.25">
      <c r="A195" s="257"/>
      <c r="B195" s="269"/>
      <c r="C195" s="269"/>
      <c r="D195" s="269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4">
        <f ca="1">IFERROR(__xludf.DUMMYFUNCTION("IMPORTRANGE(""https://docs.google.com/spreadsheets/d/1-uDff_7J0KD5mKrp0Vvzr7lt3OU09vwQwhkpOPPYv2Y/edit?usp=sharing"",""งบพรบ!CX57"")"),0)</f>
        <v>0</v>
      </c>
      <c r="M195" s="74">
        <f ca="1">IFERROR(__xludf.DUMMYFUNCTION("IMPORTRANGE(""https://docs.google.com/spreadsheets/d/1-uDff_7J0KD5mKrp0Vvzr7lt3OU09vwQwhkpOPPYv2Y/edit?usp=sharing"",""งบพรบ!DA57"")"),0)</f>
        <v>0</v>
      </c>
      <c r="N195" s="74">
        <f ca="1">IFERROR(__xludf.DUMMYFUNCTION("IMPORTRANGE(""https://docs.google.com/spreadsheets/d/1-uDff_7J0KD5mKrp0Vvzr7lt3OU09vwQwhkpOPPYv2Y/edit?usp=sharing"",""งบพรบ!DC57"")"),0)</f>
        <v>0</v>
      </c>
      <c r="O195" s="74">
        <f t="shared" ca="1" si="59"/>
        <v>0</v>
      </c>
      <c r="P195" s="74">
        <f t="shared" ca="1" si="60"/>
        <v>0</v>
      </c>
      <c r="Q195" s="73">
        <v>0</v>
      </c>
      <c r="R195" s="74">
        <v>0</v>
      </c>
      <c r="S195" s="74">
        <v>0</v>
      </c>
      <c r="T195" s="74">
        <f t="shared" si="61"/>
        <v>0</v>
      </c>
      <c r="U195" s="74">
        <f t="shared" si="62"/>
        <v>0</v>
      </c>
    </row>
    <row r="196" spans="1:21" ht="19.5" x14ac:dyDescent="0.3">
      <c r="A196" s="553"/>
      <c r="B196" s="555"/>
      <c r="C196" s="1128" t="s">
        <v>78</v>
      </c>
      <c r="D196" s="555"/>
      <c r="E196" s="554"/>
      <c r="F196" s="554"/>
      <c r="G196" s="557"/>
      <c r="H196" s="558" t="s">
        <v>79</v>
      </c>
      <c r="I196" s="559">
        <f ca="1">I199</f>
        <v>4</v>
      </c>
      <c r="J196" s="559">
        <f>J199</f>
        <v>1</v>
      </c>
      <c r="K196" s="560">
        <f ca="1">IF(I196&gt;0,J196*100/I196,0)</f>
        <v>25</v>
      </c>
      <c r="L196" s="392"/>
      <c r="M196" s="392"/>
      <c r="N196" s="392"/>
      <c r="O196" s="392"/>
      <c r="P196" s="392"/>
      <c r="Q196" s="391"/>
      <c r="R196" s="392"/>
      <c r="S196" s="392"/>
      <c r="T196" s="392"/>
      <c r="U196" s="392"/>
    </row>
    <row r="197" spans="1:21" ht="19.5" x14ac:dyDescent="0.3">
      <c r="A197" s="257"/>
      <c r="B197" s="269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264">
        <f ca="1">IFERROR(__xludf.DUMMYFUNCTION("IMPORTRANGE(""https://docs.google.com/spreadsheets/d/1eHaY18a8A9IcSdp1K8H6x8fbOy06t2VsZHhMHf-1x7Y/edit?usp=sharing"",""แผน!AB57"")"),6000)</f>
        <v>6000</v>
      </c>
      <c r="M197" s="87"/>
      <c r="N197" s="923">
        <v>360</v>
      </c>
      <c r="O197" s="264">
        <f ca="1">IF(L197&gt;0,N197*100/L197,0)</f>
        <v>6</v>
      </c>
      <c r="P197" s="264">
        <f>IF(M197&gt;0,N197*100/M197,0)</f>
        <v>0</v>
      </c>
      <c r="Q197" s="86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310"/>
      <c r="I198" s="263"/>
      <c r="J198" s="263"/>
      <c r="K198" s="87"/>
      <c r="L198" s="87"/>
      <c r="M198" s="87"/>
      <c r="N198" s="87"/>
      <c r="O198" s="87"/>
      <c r="P198" s="87"/>
      <c r="Q198" s="86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75" t="s">
        <v>79</v>
      </c>
      <c r="I199" s="293">
        <f ca="1">IFERROR(__xludf.DUMMYFUNCTION("IMPORTRANGE(""https://docs.google.com/spreadsheets/d/1eHaY18a8A9IcSdp1K8H6x8fbOy06t2VsZHhMHf-1x7Y/edit?usp=sharing"",""แผน!AE57"")"),4)</f>
        <v>4</v>
      </c>
      <c r="J199" s="294">
        <v>1</v>
      </c>
      <c r="K199" s="74">
        <f ca="1">IF(I199&gt;0,J199*100/I199,0)</f>
        <v>25</v>
      </c>
      <c r="L199" s="87"/>
      <c r="M199" s="87"/>
      <c r="N199" s="87"/>
      <c r="O199" s="87"/>
      <c r="P199" s="87"/>
      <c r="Q199" s="86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100</v>
      </c>
      <c r="K200" s="87"/>
      <c r="L200" s="87"/>
      <c r="M200" s="87"/>
      <c r="N200" s="87"/>
      <c r="O200" s="87"/>
      <c r="P200" s="87"/>
      <c r="Q200" s="86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100</v>
      </c>
      <c r="K201" s="87"/>
      <c r="L201" s="87"/>
      <c r="M201" s="87"/>
      <c r="N201" s="87"/>
      <c r="O201" s="87"/>
      <c r="P201" s="87"/>
      <c r="Q201" s="86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7"/>
      <c r="M202" s="87"/>
      <c r="N202" s="87"/>
      <c r="O202" s="87"/>
      <c r="P202" s="87"/>
      <c r="Q202" s="86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ca="1">I210</f>
        <v>1</v>
      </c>
      <c r="J203" s="559">
        <f>J210</f>
        <v>0</v>
      </c>
      <c r="K203" s="560">
        <f ca="1">IF(I203&gt;0,J203*100/I203,0)</f>
        <v>0</v>
      </c>
      <c r="L203" s="392"/>
      <c r="M203" s="392"/>
      <c r="N203" s="392"/>
      <c r="O203" s="392"/>
      <c r="P203" s="392"/>
      <c r="Q203" s="391"/>
      <c r="R203" s="392"/>
      <c r="S203" s="392"/>
      <c r="T203" s="392"/>
      <c r="U203" s="392"/>
    </row>
    <row r="204" spans="1:21" ht="19.5" x14ac:dyDescent="0.3">
      <c r="A204" s="257"/>
      <c r="B204" s="269"/>
      <c r="C204" s="621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264">
        <f ca="1">L205+L206+L207+L208</f>
        <v>13000</v>
      </c>
      <c r="M204" s="87"/>
      <c r="N204" s="264">
        <f>N205+N206+N207+N208</f>
        <v>0</v>
      </c>
      <c r="O204" s="264">
        <f ca="1">IF(L204&gt;0,N204*100/L204,0)</f>
        <v>0</v>
      </c>
      <c r="P204" s="264">
        <f>IF(M204&gt;0,N204*100/M204,0)</f>
        <v>0</v>
      </c>
      <c r="Q204" s="86"/>
      <c r="R204" s="87"/>
      <c r="S204" s="87"/>
      <c r="T204" s="87"/>
      <c r="U204" s="87"/>
    </row>
    <row r="205" spans="1:21" ht="18.75" x14ac:dyDescent="0.25">
      <c r="A205" s="257"/>
      <c r="B205" s="269"/>
      <c r="C205" s="269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74">
        <f ca="1">IFERROR(__xludf.DUMMYFUNCTION("IMPORTRANGE(""https://docs.google.com/spreadsheets/d/1eHaY18a8A9IcSdp1K8H6x8fbOy06t2VsZHhMHf-1x7Y/edit?usp=sharing"",""แผน!AG57"")"),1000)</f>
        <v>1000</v>
      </c>
      <c r="M205" s="87"/>
      <c r="N205" s="924">
        <v>0</v>
      </c>
      <c r="O205" s="229"/>
      <c r="P205" s="87"/>
      <c r="Q205" s="86"/>
      <c r="R205" s="87"/>
      <c r="S205" s="87"/>
      <c r="T205" s="229"/>
      <c r="U205" s="87"/>
    </row>
    <row r="206" spans="1:21" ht="18.75" x14ac:dyDescent="0.25">
      <c r="A206" s="550"/>
      <c r="B206" s="269"/>
      <c r="C206" s="269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74">
        <f ca="1">IFERROR(__xludf.DUMMYFUNCTION("IMPORTRANGE(""https://docs.google.com/spreadsheets/d/1eHaY18a8A9IcSdp1K8H6x8fbOy06t2VsZHhMHf-1x7Y/edit?usp=sharing"",""แผน!AH57"")"),0)</f>
        <v>0</v>
      </c>
      <c r="M206" s="87"/>
      <c r="N206" s="924">
        <v>0</v>
      </c>
      <c r="O206" s="229"/>
      <c r="P206" s="87"/>
      <c r="Q206" s="86"/>
      <c r="R206" s="87"/>
      <c r="S206" s="87"/>
      <c r="T206" s="229"/>
      <c r="U206" s="87"/>
    </row>
    <row r="207" spans="1:21" ht="18.75" x14ac:dyDescent="0.25">
      <c r="A207" s="550"/>
      <c r="B207" s="269"/>
      <c r="C207" s="269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74">
        <f ca="1">IFERROR(__xludf.DUMMYFUNCTION("IMPORTRANGE(""https://docs.google.com/spreadsheets/d/1eHaY18a8A9IcSdp1K8H6x8fbOy06t2VsZHhMHf-1x7Y/edit?usp=sharing"",""แผน!AI57"")"),8000)</f>
        <v>8000</v>
      </c>
      <c r="M207" s="87"/>
      <c r="N207" s="924">
        <v>0</v>
      </c>
      <c r="O207" s="229"/>
      <c r="P207" s="87"/>
      <c r="Q207" s="86"/>
      <c r="R207" s="87"/>
      <c r="S207" s="87"/>
      <c r="T207" s="229"/>
      <c r="U207" s="87"/>
    </row>
    <row r="208" spans="1:21" ht="18.75" x14ac:dyDescent="0.25">
      <c r="A208" s="550"/>
      <c r="B208" s="269"/>
      <c r="C208" s="269"/>
      <c r="D208" s="267" t="s">
        <v>89</v>
      </c>
      <c r="E208" s="258"/>
      <c r="F208" s="258"/>
      <c r="G208" s="261"/>
      <c r="H208" s="292" t="s">
        <v>14</v>
      </c>
      <c r="I208" s="263"/>
      <c r="J208" s="263"/>
      <c r="K208" s="87"/>
      <c r="L208" s="74">
        <f ca="1">IFERROR(__xludf.DUMMYFUNCTION("IMPORTRANGE(""https://docs.google.com/spreadsheets/d/1eHaY18a8A9IcSdp1K8H6x8fbOy06t2VsZHhMHf-1x7Y/edit?usp=sharing"",""แผน!AJ57"")"),4000)</f>
        <v>4000</v>
      </c>
      <c r="M208" s="87"/>
      <c r="N208" s="924">
        <v>0</v>
      </c>
      <c r="O208" s="229"/>
      <c r="P208" s="87"/>
      <c r="Q208" s="86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310"/>
      <c r="I209" s="272"/>
      <c r="J209" s="272"/>
      <c r="K209" s="229"/>
      <c r="L209" s="229"/>
      <c r="M209" s="229"/>
      <c r="N209" s="229"/>
      <c r="O209" s="229"/>
      <c r="P209" s="229"/>
      <c r="Q209" s="228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2" t="s">
        <v>85</v>
      </c>
      <c r="I210" s="293">
        <f ca="1">IFERROR(__xludf.DUMMYFUNCTION("IMPORTRANGE(""https://docs.google.com/spreadsheets/d/1eHaY18a8A9IcSdp1K8H6x8fbOy06t2VsZHhMHf-1x7Y/edit?usp=sharing"",""แผน!AK57"")"),1)</f>
        <v>1</v>
      </c>
      <c r="J210" s="294">
        <v>0</v>
      </c>
      <c r="K210" s="768">
        <f ca="1">IF(I210&gt;0,J210*100/I210,0)</f>
        <v>0</v>
      </c>
      <c r="L210" s="87"/>
      <c r="M210" s="87"/>
      <c r="N210" s="87"/>
      <c r="O210" s="87"/>
      <c r="P210" s="87"/>
      <c r="Q210" s="86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310"/>
      <c r="I211" s="263"/>
      <c r="J211" s="263"/>
      <c r="K211" s="229"/>
      <c r="L211" s="87"/>
      <c r="M211" s="87"/>
      <c r="N211" s="87"/>
      <c r="O211" s="87"/>
      <c r="P211" s="87"/>
      <c r="Q211" s="86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2" t="s">
        <v>85</v>
      </c>
      <c r="I212" s="293">
        <f ca="1">IFERROR(__xludf.DUMMYFUNCTION("IMPORTRANGE(""https://docs.google.com/spreadsheets/d/1eHaY18a8A9IcSdp1K8H6x8fbOy06t2VsZHhMHf-1x7Y/edit?usp=sharing"",""แผน!JX57"")"),1)</f>
        <v>1</v>
      </c>
      <c r="J212" s="294">
        <v>0</v>
      </c>
      <c r="K212" s="768">
        <f ca="1">IF(I212&gt;0,J212*100/I212,0)</f>
        <v>0</v>
      </c>
      <c r="L212" s="87"/>
      <c r="M212" s="87"/>
      <c r="N212" s="87"/>
      <c r="O212" s="87"/>
      <c r="P212" s="87"/>
      <c r="Q212" s="86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IFERROR(__xludf.DUMMYFUNCTION("IMPORTRANGE(""https://docs.google.com/spreadsheets/d/1eHaY18a8A9IcSdp1K8H6x8fbOy06t2VsZHhMHf-1x7Y/edit?usp=sharing"",""แผน!JY57"")"),0)</f>
        <v>0</v>
      </c>
      <c r="J213" s="294">
        <v>0</v>
      </c>
      <c r="K213" s="768">
        <f ca="1">IF(I213&gt;0,J213*100/I213,0)</f>
        <v>0</v>
      </c>
      <c r="L213" s="87"/>
      <c r="M213" s="87"/>
      <c r="N213" s="87"/>
      <c r="O213" s="87"/>
      <c r="P213" s="87"/>
      <c r="Q213" s="86"/>
      <c r="R213" s="87"/>
      <c r="S213" s="87"/>
      <c r="T213" s="87"/>
      <c r="U213" s="87"/>
    </row>
    <row r="214" spans="1:21" ht="19.5" hidden="1" x14ac:dyDescent="0.3">
      <c r="A214" s="553"/>
      <c r="B214" s="555"/>
      <c r="C214" s="1128" t="s">
        <v>94</v>
      </c>
      <c r="D214" s="554"/>
      <c r="E214" s="554"/>
      <c r="F214" s="554"/>
      <c r="G214" s="557"/>
      <c r="H214" s="1131" t="s">
        <v>85</v>
      </c>
      <c r="I214" s="559">
        <f ca="1">I221</f>
        <v>0</v>
      </c>
      <c r="J214" s="559">
        <f>J221</f>
        <v>0</v>
      </c>
      <c r="K214" s="560">
        <f ca="1">IF(I214&gt;0,J214*100/I214,0)</f>
        <v>0</v>
      </c>
      <c r="L214" s="392"/>
      <c r="M214" s="392"/>
      <c r="N214" s="392"/>
      <c r="O214" s="392"/>
      <c r="P214" s="392"/>
      <c r="Q214" s="391"/>
      <c r="R214" s="392"/>
      <c r="S214" s="392"/>
      <c r="T214" s="392"/>
      <c r="U214" s="392"/>
    </row>
    <row r="215" spans="1:21" ht="19.5" hidden="1" x14ac:dyDescent="0.3">
      <c r="A215" s="257"/>
      <c r="B215" s="269"/>
      <c r="C215" s="621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264">
        <f ca="1">L216+L217+L218</f>
        <v>0</v>
      </c>
      <c r="M215" s="87"/>
      <c r="N215" s="264">
        <f>N216+N217+N218</f>
        <v>0</v>
      </c>
      <c r="O215" s="264">
        <f ca="1">IF(L215&gt;0,N215*100/L215,0)</f>
        <v>0</v>
      </c>
      <c r="P215" s="264">
        <f>IF(M215&gt;0,N215*100/M215,0)</f>
        <v>0</v>
      </c>
      <c r="Q215" s="86"/>
      <c r="R215" s="87"/>
      <c r="S215" s="87"/>
      <c r="T215" s="87"/>
      <c r="U215" s="87"/>
    </row>
    <row r="216" spans="1:21" ht="18.75" hidden="1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4">
        <f ca="1">IFERROR(__xludf.DUMMYFUNCTION("IMPORTRANGE(""https://docs.google.com/spreadsheets/d/1eHaY18a8A9IcSdp1K8H6x8fbOy06t2VsZHhMHf-1x7Y/edit?usp=sharing"",""แผน!AM57"")"),0)</f>
        <v>0</v>
      </c>
      <c r="M216" s="87"/>
      <c r="N216" s="924">
        <v>0</v>
      </c>
      <c r="O216" s="229"/>
      <c r="P216" s="87"/>
      <c r="Q216" s="86"/>
      <c r="R216" s="87"/>
      <c r="S216" s="87"/>
      <c r="T216" s="229"/>
      <c r="U216" s="87"/>
    </row>
    <row r="217" spans="1:21" ht="18.75" hidden="1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4">
        <f ca="1">IFERROR(__xludf.DUMMYFUNCTION("IMPORTRANGE(""https://docs.google.com/spreadsheets/d/1eHaY18a8A9IcSdp1K8H6x8fbOy06t2VsZHhMHf-1x7Y/edit?usp=sharing"",""แผน!AN57"")"),0)</f>
        <v>0</v>
      </c>
      <c r="M217" s="87"/>
      <c r="N217" s="924">
        <v>0</v>
      </c>
      <c r="O217" s="229"/>
      <c r="P217" s="87"/>
      <c r="Q217" s="86"/>
      <c r="R217" s="87"/>
      <c r="S217" s="87"/>
      <c r="T217" s="229"/>
      <c r="U217" s="87"/>
    </row>
    <row r="218" spans="1:21" ht="18.75" hidden="1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4">
        <f ca="1">IFERROR(__xludf.DUMMYFUNCTION("IMPORTRANGE(""https://docs.google.com/spreadsheets/d/1eHaY18a8A9IcSdp1K8H6x8fbOy06t2VsZHhMHf-1x7Y/edit?usp=sharing"",""แผน!AO57"")"),0)</f>
        <v>0</v>
      </c>
      <c r="M218" s="87"/>
      <c r="N218" s="924">
        <v>0</v>
      </c>
      <c r="O218" s="229"/>
      <c r="P218" s="87"/>
      <c r="Q218" s="86"/>
      <c r="R218" s="87"/>
      <c r="S218" s="87"/>
      <c r="T218" s="229"/>
      <c r="U218" s="87"/>
    </row>
    <row r="219" spans="1:21" ht="19.5" hidden="1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310"/>
      <c r="I219" s="272"/>
      <c r="J219" s="263"/>
      <c r="K219" s="87"/>
      <c r="L219" s="87"/>
      <c r="M219" s="87"/>
      <c r="N219" s="87"/>
      <c r="O219" s="229"/>
      <c r="P219" s="229"/>
      <c r="Q219" s="86"/>
      <c r="R219" s="87"/>
      <c r="S219" s="87"/>
      <c r="T219" s="229"/>
      <c r="U219" s="229"/>
    </row>
    <row r="220" spans="1:21" ht="18.75" hidden="1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2" t="s">
        <v>85</v>
      </c>
      <c r="I220" s="293">
        <f ca="1">IFERROR(__xludf.DUMMYFUNCTION("IMPORTRANGE(""https://docs.google.com/spreadsheets/d/1eHaY18a8A9IcSdp1K8H6x8fbOy06t2VsZHhMHf-1x7Y/edit?usp=sharing"",""แผน!AP57"")"),0)</f>
        <v>0</v>
      </c>
      <c r="J220" s="294">
        <v>0</v>
      </c>
      <c r="K220" s="74">
        <f ca="1">IF(I220&gt;0,J220*100/I220,0)</f>
        <v>0</v>
      </c>
      <c r="L220" s="87"/>
      <c r="M220" s="87"/>
      <c r="N220" s="87"/>
      <c r="O220" s="87"/>
      <c r="P220" s="87"/>
      <c r="Q220" s="86"/>
      <c r="R220" s="87"/>
      <c r="S220" s="87"/>
      <c r="T220" s="87"/>
      <c r="U220" s="87"/>
    </row>
    <row r="221" spans="1:21" ht="18.75" hidden="1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IFERROR(__xludf.DUMMYFUNCTION("IMPORTRANGE(""https://docs.google.com/spreadsheets/d/1eHaY18a8A9IcSdp1K8H6x8fbOy06t2VsZHhMHf-1x7Y/edit?usp=sharing"",""แผน!AP57"")"),0)</f>
        <v>0</v>
      </c>
      <c r="J221" s="294">
        <v>0</v>
      </c>
      <c r="K221" s="74">
        <f ca="1">IF(I221&gt;0,J221*100/I221,0)</f>
        <v>0</v>
      </c>
      <c r="L221" s="87"/>
      <c r="M221" s="87"/>
      <c r="N221" s="87"/>
      <c r="O221" s="87"/>
      <c r="P221" s="87"/>
      <c r="Q221" s="86"/>
      <c r="R221" s="87"/>
      <c r="S221" s="87"/>
      <c r="T221" s="87"/>
      <c r="U221" s="87"/>
    </row>
    <row r="222" spans="1:21" ht="19.5" x14ac:dyDescent="0.3">
      <c r="A222" s="553"/>
      <c r="B222" s="555"/>
      <c r="C222" s="1128" t="s">
        <v>98</v>
      </c>
      <c r="D222" s="554"/>
      <c r="E222" s="554"/>
      <c r="F222" s="554"/>
      <c r="G222" s="557"/>
      <c r="H222" s="558" t="s">
        <v>99</v>
      </c>
      <c r="I222" s="559">
        <f ca="1">I230</f>
        <v>12800</v>
      </c>
      <c r="J222" s="559">
        <f>J230</f>
        <v>0</v>
      </c>
      <c r="K222" s="560">
        <f ca="1">IF(I222&gt;0,J222*100/I222,0)</f>
        <v>0</v>
      </c>
      <c r="L222" s="392"/>
      <c r="M222" s="392"/>
      <c r="N222" s="392"/>
      <c r="O222" s="392"/>
      <c r="P222" s="392"/>
      <c r="Q222" s="391"/>
      <c r="R222" s="392"/>
      <c r="S222" s="392"/>
      <c r="T222" s="392"/>
      <c r="U222" s="392"/>
    </row>
    <row r="223" spans="1:21" ht="19.5" x14ac:dyDescent="0.3">
      <c r="A223" s="257"/>
      <c r="B223" s="269"/>
      <c r="C223" s="621" t="s">
        <v>18</v>
      </c>
      <c r="D223" s="96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264">
        <f ca="1">L224+L225+L226</f>
        <v>4500</v>
      </c>
      <c r="M223" s="87"/>
      <c r="N223" s="264">
        <f>N224+N225+N226</f>
        <v>0</v>
      </c>
      <c r="O223" s="264">
        <f ca="1">IF(L223&gt;0,N223*100/L223,0)</f>
        <v>0</v>
      </c>
      <c r="P223" s="264">
        <f>IF(M223&gt;0,N223*100/M223,0)</f>
        <v>0</v>
      </c>
      <c r="Q223" s="86"/>
      <c r="R223" s="87"/>
      <c r="S223" s="87"/>
      <c r="T223" s="87"/>
      <c r="U223" s="87"/>
    </row>
    <row r="224" spans="1:21" ht="18.75" x14ac:dyDescent="0.25">
      <c r="A224" s="257"/>
      <c r="B224" s="269"/>
      <c r="C224" s="269"/>
      <c r="D224" s="1134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4">
        <f ca="1">IFERROR(__xludf.DUMMYFUNCTION("IMPORTRANGE(""https://docs.google.com/spreadsheets/d/1eHaY18a8A9IcSdp1K8H6x8fbOy06t2VsZHhMHf-1x7Y/edit?usp=sharing"",""แผน!AR57"")"),3000)</f>
        <v>3000</v>
      </c>
      <c r="M224" s="87"/>
      <c r="N224" s="924">
        <v>0</v>
      </c>
      <c r="O224" s="229"/>
      <c r="P224" s="87"/>
      <c r="Q224" s="86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4">
        <f ca="1">IFERROR(__xludf.DUMMYFUNCTION("IMPORTRANGE(""https://docs.google.com/spreadsheets/d/1eHaY18a8A9IcSdp1K8H6x8fbOy06t2VsZHhMHf-1x7Y/edit?usp=sharing"",""แผน!AS57"")"),1500)</f>
        <v>1500</v>
      </c>
      <c r="M225" s="87"/>
      <c r="N225" s="924">
        <v>0</v>
      </c>
      <c r="O225" s="229"/>
      <c r="P225" s="87"/>
      <c r="Q225" s="86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4">
        <f ca="1">IFERROR(__xludf.DUMMYFUNCTION("IMPORTRANGE(""https://docs.google.com/spreadsheets/d/1eHaY18a8A9IcSdp1K8H6x8fbOy06t2VsZHhMHf-1x7Y/edit?usp=sharing"",""แผน!AT57"")"),0)</f>
        <v>0</v>
      </c>
      <c r="M226" s="87"/>
      <c r="N226" s="924">
        <v>0</v>
      </c>
      <c r="O226" s="229"/>
      <c r="P226" s="87"/>
      <c r="Q226" s="86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310"/>
      <c r="I227" s="272"/>
      <c r="J227" s="272"/>
      <c r="K227" s="229"/>
      <c r="L227" s="229"/>
      <c r="M227" s="229"/>
      <c r="N227" s="229"/>
      <c r="O227" s="229"/>
      <c r="P227" s="229"/>
      <c r="Q227" s="228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310"/>
      <c r="I228" s="263"/>
      <c r="J228" s="263"/>
      <c r="K228" s="229"/>
      <c r="L228" s="229"/>
      <c r="M228" s="229"/>
      <c r="N228" s="229"/>
      <c r="O228" s="229"/>
      <c r="P228" s="229"/>
      <c r="Q228" s="228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75" t="s">
        <v>99</v>
      </c>
      <c r="I229" s="293">
        <f ca="1">IFERROR(__xludf.DUMMYFUNCTION("IMPORTRANGE(""https://docs.google.com/spreadsheets/d/1eHaY18a8A9IcSdp1K8H6x8fbOy06t2VsZHhMHf-1x7Y/edit?usp=sharing"",""แผน!AV57"")"),12800)</f>
        <v>12800</v>
      </c>
      <c r="J229" s="294">
        <v>0</v>
      </c>
      <c r="K229" s="768">
        <f ca="1">IF(I229&gt;0,J229*100/I229,0)</f>
        <v>0</v>
      </c>
      <c r="L229" s="229"/>
      <c r="M229" s="229"/>
      <c r="N229" s="229"/>
      <c r="O229" s="229"/>
      <c r="P229" s="229"/>
      <c r="Q229" s="228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75" t="s">
        <v>99</v>
      </c>
      <c r="I230" s="293">
        <f ca="1">IFERROR(__xludf.DUMMYFUNCTION("IMPORTRANGE(""https://docs.google.com/spreadsheets/d/1eHaY18a8A9IcSdp1K8H6x8fbOy06t2VsZHhMHf-1x7Y/edit?usp=sharing"",""แผน!AV57"")"),12800)</f>
        <v>12800</v>
      </c>
      <c r="J230" s="294">
        <v>0</v>
      </c>
      <c r="K230" s="768">
        <f ca="1">IF(I230&gt;0,J230*100/I230,0)</f>
        <v>0</v>
      </c>
      <c r="L230" s="87"/>
      <c r="M230" s="87"/>
      <c r="N230" s="87"/>
      <c r="O230" s="87"/>
      <c r="P230" s="87"/>
      <c r="Q230" s="86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75" t="s">
        <v>35</v>
      </c>
      <c r="I231" s="293">
        <f ca="1">IFERROR(__xludf.DUMMYFUNCTION("IMPORTRANGE(""https://docs.google.com/spreadsheets/d/1eHaY18a8A9IcSdp1K8H6x8fbOy06t2VsZHhMHf-1x7Y/edit?usp=sharing"",""แผน!AU57"")"),0)</f>
        <v>0</v>
      </c>
      <c r="J231" s="294">
        <v>0</v>
      </c>
      <c r="K231" s="768">
        <f ca="1">IF(I231&gt;0,J231*100/I231,0)</f>
        <v>0</v>
      </c>
      <c r="L231" s="87"/>
      <c r="M231" s="87"/>
      <c r="N231" s="87"/>
      <c r="O231" s="87"/>
      <c r="P231" s="87"/>
      <c r="Q231" s="86"/>
      <c r="R231" s="87"/>
      <c r="S231" s="87"/>
      <c r="T231" s="87"/>
      <c r="U231" s="87"/>
    </row>
    <row r="232" spans="1:21" ht="19.5" hidden="1" x14ac:dyDescent="0.3">
      <c r="A232" s="553"/>
      <c r="B232" s="555"/>
      <c r="C232" s="1128" t="s">
        <v>105</v>
      </c>
      <c r="D232" s="554"/>
      <c r="E232" s="554"/>
      <c r="F232" s="554"/>
      <c r="G232" s="557"/>
      <c r="H232" s="558" t="s">
        <v>35</v>
      </c>
      <c r="I232" s="559">
        <f ca="1">I243+I254</f>
        <v>0</v>
      </c>
      <c r="J232" s="559">
        <f>J243+J254</f>
        <v>0</v>
      </c>
      <c r="K232" s="560">
        <f ca="1">IF(I232&gt;0,J232*100/I232,0)</f>
        <v>0</v>
      </c>
      <c r="L232" s="392"/>
      <c r="M232" s="392"/>
      <c r="N232" s="392"/>
      <c r="O232" s="392"/>
      <c r="P232" s="392"/>
      <c r="Q232" s="391"/>
      <c r="R232" s="392"/>
      <c r="S232" s="392"/>
      <c r="T232" s="392"/>
      <c r="U232" s="392"/>
    </row>
    <row r="233" spans="1:21" ht="19.5" hidden="1" x14ac:dyDescent="0.3">
      <c r="A233" s="257"/>
      <c r="B233" s="269"/>
      <c r="C233" s="621" t="s">
        <v>18</v>
      </c>
      <c r="D233" s="260" t="s">
        <v>19</v>
      </c>
      <c r="E233" s="258"/>
      <c r="F233" s="258"/>
      <c r="G233" s="261"/>
      <c r="H233" s="633" t="s">
        <v>14</v>
      </c>
      <c r="I233" s="272"/>
      <c r="J233" s="272"/>
      <c r="K233" s="229"/>
      <c r="L233" s="264">
        <f ca="1">L244+L255</f>
        <v>0</v>
      </c>
      <c r="M233" s="87"/>
      <c r="N233" s="264">
        <f>N244+N255</f>
        <v>0</v>
      </c>
      <c r="O233" s="87"/>
      <c r="P233" s="87"/>
      <c r="Q233" s="86"/>
      <c r="R233" s="87"/>
      <c r="S233" s="87"/>
      <c r="T233" s="87"/>
      <c r="U233" s="87"/>
    </row>
    <row r="234" spans="1:21" ht="18.75" hidden="1" x14ac:dyDescent="0.25">
      <c r="A234" s="257"/>
      <c r="B234" s="269"/>
      <c r="C234" s="269"/>
      <c r="D234" s="749" t="s">
        <v>86</v>
      </c>
      <c r="E234" s="258"/>
      <c r="F234" s="258"/>
      <c r="G234" s="261"/>
      <c r="H234" s="271" t="s">
        <v>14</v>
      </c>
      <c r="I234" s="272"/>
      <c r="J234" s="272"/>
      <c r="K234" s="229"/>
      <c r="L234" s="74">
        <f ca="1">L245+L256</f>
        <v>0</v>
      </c>
      <c r="M234" s="87"/>
      <c r="N234" s="74">
        <f>N245+N256</f>
        <v>0</v>
      </c>
      <c r="O234" s="87"/>
      <c r="P234" s="87"/>
      <c r="Q234" s="86"/>
      <c r="R234" s="87"/>
      <c r="S234" s="87"/>
      <c r="T234" s="87"/>
      <c r="U234" s="87"/>
    </row>
    <row r="235" spans="1:21" ht="18.75" hidden="1" x14ac:dyDescent="0.25">
      <c r="A235" s="550"/>
      <c r="B235" s="269"/>
      <c r="C235" s="269"/>
      <c r="D235" s="749" t="s">
        <v>88</v>
      </c>
      <c r="E235" s="258"/>
      <c r="F235" s="258"/>
      <c r="G235" s="261"/>
      <c r="H235" s="271" t="s">
        <v>14</v>
      </c>
      <c r="I235" s="263"/>
      <c r="J235" s="263"/>
      <c r="K235" s="87"/>
      <c r="L235" s="74">
        <f ca="1">L246+L257</f>
        <v>0</v>
      </c>
      <c r="M235" s="87"/>
      <c r="N235" s="74">
        <f>N246+N257</f>
        <v>0</v>
      </c>
      <c r="O235" s="87"/>
      <c r="P235" s="87"/>
      <c r="Q235" s="86"/>
      <c r="R235" s="87"/>
      <c r="S235" s="87"/>
      <c r="T235" s="87"/>
      <c r="U235" s="87"/>
    </row>
    <row r="236" spans="1:21" ht="18.75" hidden="1" x14ac:dyDescent="0.25">
      <c r="A236" s="550"/>
      <c r="B236" s="269"/>
      <c r="C236" s="269"/>
      <c r="D236" s="749" t="s">
        <v>106</v>
      </c>
      <c r="E236" s="258"/>
      <c r="F236" s="258"/>
      <c r="G236" s="261"/>
      <c r="H236" s="271" t="s">
        <v>14</v>
      </c>
      <c r="I236" s="263"/>
      <c r="J236" s="263"/>
      <c r="K236" s="87"/>
      <c r="L236" s="74">
        <f ca="1">L247+L258</f>
        <v>0</v>
      </c>
      <c r="M236" s="87"/>
      <c r="N236" s="74">
        <f>N247+N258</f>
        <v>0</v>
      </c>
      <c r="O236" s="87"/>
      <c r="P236" s="87"/>
      <c r="Q236" s="86"/>
      <c r="R236" s="87"/>
      <c r="S236" s="87"/>
      <c r="T236" s="87"/>
      <c r="U236" s="87"/>
    </row>
    <row r="237" spans="1:21" ht="18.75" hidden="1" x14ac:dyDescent="0.25">
      <c r="A237" s="550"/>
      <c r="B237" s="269"/>
      <c r="C237" s="269"/>
      <c r="D237" s="267" t="s">
        <v>107</v>
      </c>
      <c r="E237" s="258"/>
      <c r="F237" s="258"/>
      <c r="G237" s="261"/>
      <c r="H237" s="271" t="s">
        <v>14</v>
      </c>
      <c r="I237" s="263"/>
      <c r="J237" s="263"/>
      <c r="K237" s="87"/>
      <c r="L237" s="74">
        <f ca="1">L248+L259</f>
        <v>0</v>
      </c>
      <c r="M237" s="87"/>
      <c r="N237" s="74">
        <f>N248+N259</f>
        <v>0</v>
      </c>
      <c r="O237" s="87"/>
      <c r="P237" s="87"/>
      <c r="Q237" s="86"/>
      <c r="R237" s="87"/>
      <c r="S237" s="87"/>
      <c r="T237" s="87"/>
      <c r="U237" s="87"/>
    </row>
    <row r="238" spans="1:21" ht="19.5" hidden="1" x14ac:dyDescent="0.3">
      <c r="A238" s="276"/>
      <c r="B238" s="277"/>
      <c r="C238" s="621" t="s">
        <v>18</v>
      </c>
      <c r="D238" s="1019" t="s">
        <v>38</v>
      </c>
      <c r="E238" s="280"/>
      <c r="F238" s="280"/>
      <c r="G238" s="281"/>
      <c r="H238" s="310"/>
      <c r="I238" s="272"/>
      <c r="J238" s="263"/>
      <c r="K238" s="87"/>
      <c r="L238" s="87"/>
      <c r="M238" s="87"/>
      <c r="N238" s="87"/>
      <c r="O238" s="229"/>
      <c r="P238" s="229"/>
      <c r="Q238" s="86"/>
      <c r="R238" s="87"/>
      <c r="S238" s="87"/>
      <c r="T238" s="229"/>
      <c r="U238" s="229"/>
    </row>
    <row r="239" spans="1:21" ht="18.75" hidden="1" x14ac:dyDescent="0.25">
      <c r="A239" s="276"/>
      <c r="B239" s="277"/>
      <c r="C239" s="277"/>
      <c r="D239" s="295" t="s">
        <v>108</v>
      </c>
      <c r="E239" s="296"/>
      <c r="F239" s="296"/>
      <c r="G239" s="282"/>
      <c r="H239" s="275" t="s">
        <v>35</v>
      </c>
      <c r="I239" s="293">
        <f ca="1">I250+I261</f>
        <v>0</v>
      </c>
      <c r="J239" s="293">
        <f>J250+J261</f>
        <v>0</v>
      </c>
      <c r="K239" s="74">
        <f ca="1">IF(I239&gt;0,J239*100/I239,0)</f>
        <v>0</v>
      </c>
      <c r="L239" s="87"/>
      <c r="M239" s="87"/>
      <c r="N239" s="87"/>
      <c r="O239" s="87"/>
      <c r="P239" s="87"/>
      <c r="Q239" s="86"/>
      <c r="R239" s="87"/>
      <c r="S239" s="87"/>
      <c r="T239" s="87"/>
      <c r="U239" s="87"/>
    </row>
    <row r="240" spans="1:21" ht="18.75" hidden="1" x14ac:dyDescent="0.25">
      <c r="A240" s="276"/>
      <c r="B240" s="277"/>
      <c r="C240" s="277"/>
      <c r="D240" s="1103" t="s">
        <v>43</v>
      </c>
      <c r="E240" s="296"/>
      <c r="F240" s="296"/>
      <c r="G240" s="282"/>
      <c r="H240" s="310"/>
      <c r="I240" s="263"/>
      <c r="J240" s="263"/>
      <c r="K240" s="87"/>
      <c r="L240" s="87"/>
      <c r="M240" s="87"/>
      <c r="N240" s="87"/>
      <c r="O240" s="229"/>
      <c r="P240" s="229"/>
      <c r="Q240" s="86"/>
      <c r="R240" s="87"/>
      <c r="S240" s="87"/>
      <c r="T240" s="229"/>
      <c r="U240" s="229"/>
    </row>
    <row r="241" spans="1:21" ht="18.75" hidden="1" x14ac:dyDescent="0.25">
      <c r="A241" s="276"/>
      <c r="B241" s="277"/>
      <c r="C241" s="277"/>
      <c r="D241" s="277"/>
      <c r="E241" s="767" t="s">
        <v>109</v>
      </c>
      <c r="F241" s="296"/>
      <c r="G241" s="282"/>
      <c r="H241" s="275" t="s">
        <v>35</v>
      </c>
      <c r="I241" s="293">
        <f>I252+I263</f>
        <v>0</v>
      </c>
      <c r="J241" s="293">
        <f>J252+J263</f>
        <v>0</v>
      </c>
      <c r="K241" s="74">
        <f>IF(I241&gt;0,J241*100/I241,0)</f>
        <v>0</v>
      </c>
      <c r="L241" s="87"/>
      <c r="M241" s="87"/>
      <c r="N241" s="87"/>
      <c r="O241" s="87"/>
      <c r="P241" s="87"/>
      <c r="Q241" s="86"/>
      <c r="R241" s="87"/>
      <c r="S241" s="87"/>
      <c r="T241" s="87"/>
      <c r="U241" s="87"/>
    </row>
    <row r="242" spans="1:21" ht="18.75" hidden="1" x14ac:dyDescent="0.25">
      <c r="A242" s="276"/>
      <c r="B242" s="277"/>
      <c r="C242" s="277"/>
      <c r="D242" s="277"/>
      <c r="E242" s="767" t="s">
        <v>110</v>
      </c>
      <c r="F242" s="296"/>
      <c r="G242" s="282"/>
      <c r="H242" s="275" t="s">
        <v>61</v>
      </c>
      <c r="I242" s="293">
        <f>I253+I264</f>
        <v>0</v>
      </c>
      <c r="J242" s="293">
        <f>J253+J264</f>
        <v>0</v>
      </c>
      <c r="K242" s="74">
        <f>IF(I242&gt;0,J242*100/I242,0)</f>
        <v>0</v>
      </c>
      <c r="L242" s="87"/>
      <c r="M242" s="87"/>
      <c r="N242" s="87"/>
      <c r="O242" s="87"/>
      <c r="P242" s="87"/>
      <c r="Q242" s="86"/>
      <c r="R242" s="87"/>
      <c r="S242" s="87"/>
      <c r="T242" s="87"/>
      <c r="U242" s="87"/>
    </row>
    <row r="243" spans="1:21" ht="19.5" hidden="1" x14ac:dyDescent="0.3">
      <c r="A243" s="553"/>
      <c r="B243" s="555"/>
      <c r="C243" s="1135" t="s">
        <v>111</v>
      </c>
      <c r="D243" s="554"/>
      <c r="E243" s="554"/>
      <c r="F243" s="554"/>
      <c r="G243" s="557"/>
      <c r="H243" s="930" t="s">
        <v>35</v>
      </c>
      <c r="I243" s="931">
        <f ca="1">I250</f>
        <v>0</v>
      </c>
      <c r="J243" s="931">
        <f>J250</f>
        <v>0</v>
      </c>
      <c r="K243" s="932">
        <f ca="1">IF(I243&gt;0,J243*100/I243,0)</f>
        <v>0</v>
      </c>
      <c r="L243" s="392"/>
      <c r="M243" s="392"/>
      <c r="N243" s="392"/>
      <c r="O243" s="392"/>
      <c r="P243" s="392"/>
      <c r="Q243" s="391"/>
      <c r="R243" s="392"/>
      <c r="S243" s="392"/>
      <c r="T243" s="392"/>
      <c r="U243" s="392"/>
    </row>
    <row r="244" spans="1:21" ht="19.5" hidden="1" x14ac:dyDescent="0.3">
      <c r="A244" s="257"/>
      <c r="B244" s="269"/>
      <c r="C244" s="939" t="s">
        <v>18</v>
      </c>
      <c r="D244" s="934" t="s">
        <v>19</v>
      </c>
      <c r="E244" s="258"/>
      <c r="F244" s="258"/>
      <c r="G244" s="261"/>
      <c r="H244" s="703" t="s">
        <v>14</v>
      </c>
      <c r="I244" s="272"/>
      <c r="J244" s="272"/>
      <c r="K244" s="229"/>
      <c r="L244" s="1258">
        <f ca="1">L245+L246+L247+L248</f>
        <v>0</v>
      </c>
      <c r="M244" s="87"/>
      <c r="N244" s="1258">
        <f>N245+N246+N247+N248</f>
        <v>0</v>
      </c>
      <c r="O244" s="1258">
        <f ca="1">IF(L244&gt;0,N244*100/L244,0)</f>
        <v>0</v>
      </c>
      <c r="P244" s="1258">
        <f>IF(M244&gt;0,N244*100/M244,0)</f>
        <v>0</v>
      </c>
      <c r="Q244" s="86"/>
      <c r="R244" s="87"/>
      <c r="S244" s="87"/>
      <c r="T244" s="87"/>
      <c r="U244" s="87"/>
    </row>
    <row r="245" spans="1:21" ht="18.75" hidden="1" x14ac:dyDescent="0.25">
      <c r="A245" s="257"/>
      <c r="B245" s="269"/>
      <c r="C245" s="269"/>
      <c r="D245" s="775" t="s">
        <v>86</v>
      </c>
      <c r="E245" s="258"/>
      <c r="F245" s="258"/>
      <c r="G245" s="261"/>
      <c r="H245" s="273" t="s">
        <v>14</v>
      </c>
      <c r="I245" s="272"/>
      <c r="J245" s="272"/>
      <c r="K245" s="229"/>
      <c r="L245" s="77">
        <f ca="1">IFERROR(__xludf.DUMMYFUNCTION("IMPORTRANGE(""https://docs.google.com/spreadsheets/d/1eHaY18a8A9IcSdp1K8H6x8fbOy06t2VsZHhMHf-1x7Y/edit?usp=sharing"",""แผน!AX57"")"),0)</f>
        <v>0</v>
      </c>
      <c r="M245" s="87"/>
      <c r="N245" s="1263">
        <v>0</v>
      </c>
      <c r="O245" s="87"/>
      <c r="P245" s="87"/>
      <c r="Q245" s="86"/>
      <c r="R245" s="87"/>
      <c r="S245" s="87"/>
      <c r="T245" s="87"/>
      <c r="U245" s="87"/>
    </row>
    <row r="246" spans="1:21" ht="18.75" hidden="1" x14ac:dyDescent="0.25">
      <c r="A246" s="550"/>
      <c r="B246" s="269"/>
      <c r="C246" s="269"/>
      <c r="D246" s="775" t="s">
        <v>88</v>
      </c>
      <c r="E246" s="258"/>
      <c r="F246" s="258"/>
      <c r="G246" s="261"/>
      <c r="H246" s="273" t="s">
        <v>14</v>
      </c>
      <c r="I246" s="263"/>
      <c r="J246" s="263"/>
      <c r="K246" s="87"/>
      <c r="L246" s="77">
        <f ca="1">IFERROR(__xludf.DUMMYFUNCTION("IMPORTRANGE(""https://docs.google.com/spreadsheets/d/1eHaY18a8A9IcSdp1K8H6x8fbOy06t2VsZHhMHf-1x7Y/edit?usp=sharing"",""แผน!AY57"")"),0)</f>
        <v>0</v>
      </c>
      <c r="M246" s="87"/>
      <c r="N246" s="1263">
        <v>0</v>
      </c>
      <c r="O246" s="87"/>
      <c r="P246" s="87"/>
      <c r="Q246" s="86"/>
      <c r="R246" s="87"/>
      <c r="S246" s="87"/>
      <c r="T246" s="87"/>
      <c r="U246" s="87"/>
    </row>
    <row r="247" spans="1:21" ht="18.75" hidden="1" x14ac:dyDescent="0.25">
      <c r="A247" s="550"/>
      <c r="B247" s="269"/>
      <c r="C247" s="269"/>
      <c r="D247" s="775" t="s">
        <v>106</v>
      </c>
      <c r="E247" s="258"/>
      <c r="F247" s="258"/>
      <c r="G247" s="261"/>
      <c r="H247" s="273" t="s">
        <v>14</v>
      </c>
      <c r="I247" s="263"/>
      <c r="J247" s="263"/>
      <c r="K247" s="87"/>
      <c r="L247" s="77">
        <f ca="1">IFERROR(__xludf.DUMMYFUNCTION("IMPORTRANGE(""https://docs.google.com/spreadsheets/d/1eHaY18a8A9IcSdp1K8H6x8fbOy06t2VsZHhMHf-1x7Y/edit?usp=sharing"",""แผน!AZ57"")"),0)</f>
        <v>0</v>
      </c>
      <c r="M247" s="87"/>
      <c r="N247" s="1263">
        <v>0</v>
      </c>
      <c r="O247" s="87"/>
      <c r="P247" s="87"/>
      <c r="Q247" s="86"/>
      <c r="R247" s="87"/>
      <c r="S247" s="87"/>
      <c r="T247" s="87"/>
      <c r="U247" s="87"/>
    </row>
    <row r="248" spans="1:21" ht="18.75" hidden="1" x14ac:dyDescent="0.25">
      <c r="A248" s="550"/>
      <c r="B248" s="269"/>
      <c r="C248" s="269"/>
      <c r="D248" s="265" t="s">
        <v>107</v>
      </c>
      <c r="E248" s="258"/>
      <c r="F248" s="258"/>
      <c r="G248" s="261"/>
      <c r="H248" s="273" t="s">
        <v>14</v>
      </c>
      <c r="I248" s="263"/>
      <c r="J248" s="263"/>
      <c r="K248" s="87"/>
      <c r="L248" s="77">
        <f ca="1">IFERROR(__xludf.DUMMYFUNCTION("IMPORTRANGE(""https://docs.google.com/spreadsheets/d/1eHaY18a8A9IcSdp1K8H6x8fbOy06t2VsZHhMHf-1x7Y/edit?usp=sharing"",""แผน!BA57"")"),0)</f>
        <v>0</v>
      </c>
      <c r="M248" s="87"/>
      <c r="N248" s="1263">
        <v>0</v>
      </c>
      <c r="O248" s="87"/>
      <c r="P248" s="87"/>
      <c r="Q248" s="86"/>
      <c r="R248" s="87"/>
      <c r="S248" s="87"/>
      <c r="T248" s="87"/>
      <c r="U248" s="87"/>
    </row>
    <row r="249" spans="1:21" ht="19.5" hidden="1" x14ac:dyDescent="0.3">
      <c r="A249" s="276"/>
      <c r="B249" s="277"/>
      <c r="C249" s="939" t="s">
        <v>18</v>
      </c>
      <c r="D249" s="940" t="s">
        <v>38</v>
      </c>
      <c r="E249" s="280"/>
      <c r="F249" s="280"/>
      <c r="G249" s="281"/>
      <c r="H249" s="310"/>
      <c r="I249" s="272"/>
      <c r="J249" s="263"/>
      <c r="K249" s="87"/>
      <c r="L249" s="87"/>
      <c r="M249" s="87"/>
      <c r="N249" s="87"/>
      <c r="O249" s="229"/>
      <c r="P249" s="229"/>
      <c r="Q249" s="86"/>
      <c r="R249" s="87"/>
      <c r="S249" s="87"/>
      <c r="T249" s="229"/>
      <c r="U249" s="229"/>
    </row>
    <row r="250" spans="1:21" ht="18.75" hidden="1" x14ac:dyDescent="0.25">
      <c r="A250" s="276"/>
      <c r="B250" s="277"/>
      <c r="C250" s="277"/>
      <c r="D250" s="311" t="s">
        <v>108</v>
      </c>
      <c r="E250" s="296"/>
      <c r="F250" s="296"/>
      <c r="G250" s="282"/>
      <c r="H250" s="706" t="s">
        <v>35</v>
      </c>
      <c r="I250" s="592">
        <f ca="1">IFERROR(__xludf.DUMMYFUNCTION("IMPORTRANGE(""https://docs.google.com/spreadsheets/d/1eHaY18a8A9IcSdp1K8H6x8fbOy06t2VsZHhMHf-1x7Y/edit?usp=sharing"",""แผน!BG57"")"),0)</f>
        <v>0</v>
      </c>
      <c r="J250" s="910">
        <v>0</v>
      </c>
      <c r="K250" s="77">
        <f ca="1">IF(I250&gt;0,J250*100/I250,0)</f>
        <v>0</v>
      </c>
      <c r="L250" s="87"/>
      <c r="M250" s="87"/>
      <c r="N250" s="87"/>
      <c r="O250" s="87"/>
      <c r="P250" s="87"/>
      <c r="Q250" s="86"/>
      <c r="R250" s="87"/>
      <c r="S250" s="87"/>
      <c r="T250" s="87"/>
      <c r="U250" s="87"/>
    </row>
    <row r="251" spans="1:21" ht="18.75" hidden="1" x14ac:dyDescent="0.25">
      <c r="A251" s="276"/>
      <c r="B251" s="277"/>
      <c r="C251" s="277"/>
      <c r="D251" s="946" t="s">
        <v>43</v>
      </c>
      <c r="E251" s="296"/>
      <c r="F251" s="296"/>
      <c r="G251" s="282"/>
      <c r="H251" s="310"/>
      <c r="I251" s="263"/>
      <c r="J251" s="263"/>
      <c r="K251" s="87"/>
      <c r="L251" s="87"/>
      <c r="M251" s="87"/>
      <c r="N251" s="87"/>
      <c r="O251" s="229"/>
      <c r="P251" s="229"/>
      <c r="Q251" s="86"/>
      <c r="R251" s="87"/>
      <c r="S251" s="87"/>
      <c r="T251" s="229"/>
      <c r="U251" s="229"/>
    </row>
    <row r="252" spans="1:21" ht="18.75" hidden="1" x14ac:dyDescent="0.25">
      <c r="A252" s="276"/>
      <c r="B252" s="277"/>
      <c r="C252" s="277"/>
      <c r="D252" s="277"/>
      <c r="E252" s="947" t="s">
        <v>109</v>
      </c>
      <c r="F252" s="296"/>
      <c r="G252" s="282"/>
      <c r="H252" s="706" t="s">
        <v>35</v>
      </c>
      <c r="I252" s="592">
        <v>0</v>
      </c>
      <c r="J252" s="910">
        <v>0</v>
      </c>
      <c r="K252" s="77">
        <f>IF(I252&gt;0,J252*100/I252,0)</f>
        <v>0</v>
      </c>
      <c r="L252" s="87"/>
      <c r="M252" s="87"/>
      <c r="N252" s="87"/>
      <c r="O252" s="87"/>
      <c r="P252" s="87"/>
      <c r="Q252" s="86"/>
      <c r="R252" s="87"/>
      <c r="S252" s="87"/>
      <c r="T252" s="87"/>
      <c r="U252" s="87"/>
    </row>
    <row r="253" spans="1:21" ht="18.75" hidden="1" x14ac:dyDescent="0.25">
      <c r="A253" s="276"/>
      <c r="B253" s="277"/>
      <c r="C253" s="277"/>
      <c r="D253" s="277"/>
      <c r="E253" s="947" t="s">
        <v>110</v>
      </c>
      <c r="F253" s="296"/>
      <c r="G253" s="282"/>
      <c r="H253" s="706" t="s">
        <v>61</v>
      </c>
      <c r="I253" s="592">
        <v>0</v>
      </c>
      <c r="J253" s="910">
        <v>0</v>
      </c>
      <c r="K253" s="77">
        <f>IF(I253&gt;0,J253*100/I253,0)</f>
        <v>0</v>
      </c>
      <c r="L253" s="87"/>
      <c r="M253" s="87"/>
      <c r="N253" s="87"/>
      <c r="O253" s="87"/>
      <c r="P253" s="87"/>
      <c r="Q253" s="86"/>
      <c r="R253" s="87"/>
      <c r="S253" s="87"/>
      <c r="T253" s="87"/>
      <c r="U253" s="87"/>
    </row>
    <row r="254" spans="1:21" ht="19.5" hidden="1" x14ac:dyDescent="0.3">
      <c r="A254" s="553"/>
      <c r="B254" s="555"/>
      <c r="C254" s="1135" t="s">
        <v>112</v>
      </c>
      <c r="D254" s="554"/>
      <c r="E254" s="554"/>
      <c r="F254" s="554"/>
      <c r="G254" s="557"/>
      <c r="H254" s="930" t="s">
        <v>35</v>
      </c>
      <c r="I254" s="931">
        <f ca="1">I261</f>
        <v>0</v>
      </c>
      <c r="J254" s="931">
        <f>J261</f>
        <v>0</v>
      </c>
      <c r="K254" s="932">
        <f ca="1">IF(I254&gt;0,J254*100/I254,0)</f>
        <v>0</v>
      </c>
      <c r="L254" s="392"/>
      <c r="M254" s="392"/>
      <c r="N254" s="392"/>
      <c r="O254" s="392"/>
      <c r="P254" s="392"/>
      <c r="Q254" s="391"/>
      <c r="R254" s="392"/>
      <c r="S254" s="392"/>
      <c r="T254" s="392"/>
      <c r="U254" s="392"/>
    </row>
    <row r="255" spans="1:21" ht="19.5" hidden="1" x14ac:dyDescent="0.3">
      <c r="A255" s="257"/>
      <c r="B255" s="269"/>
      <c r="C255" s="939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1258">
        <f ca="1">L256+L257+L258+L259</f>
        <v>0</v>
      </c>
      <c r="M255" s="87"/>
      <c r="N255" s="1258">
        <f>N256+N257+N258+N259</f>
        <v>0</v>
      </c>
      <c r="O255" s="1258">
        <f ca="1">IF(L255&gt;0,N255*100/L255,0)</f>
        <v>0</v>
      </c>
      <c r="P255" s="1258">
        <f>IF(M255&gt;0,N255*100/M255,0)</f>
        <v>0</v>
      </c>
      <c r="Q255" s="86"/>
      <c r="R255" s="87"/>
      <c r="S255" s="87"/>
      <c r="T255" s="87"/>
      <c r="U255" s="87"/>
    </row>
    <row r="256" spans="1:21" ht="18.75" hidden="1" x14ac:dyDescent="0.25">
      <c r="A256" s="257"/>
      <c r="B256" s="269"/>
      <c r="C256" s="269"/>
      <c r="D256" s="775" t="s">
        <v>86</v>
      </c>
      <c r="E256" s="258"/>
      <c r="F256" s="258"/>
      <c r="G256" s="261"/>
      <c r="H256" s="273" t="s">
        <v>14</v>
      </c>
      <c r="I256" s="272"/>
      <c r="J256" s="272"/>
      <c r="K256" s="229"/>
      <c r="L256" s="77">
        <f ca="1">IFERROR(__xludf.DUMMYFUNCTION("IMPORTRANGE(""https://docs.google.com/spreadsheets/d/1eHaY18a8A9IcSdp1K8H6x8fbOy06t2VsZHhMHf-1x7Y/edit?usp=sharing"",""แผน!BB57"")"),0)</f>
        <v>0</v>
      </c>
      <c r="M256" s="87"/>
      <c r="N256" s="1263">
        <v>0</v>
      </c>
      <c r="O256" s="87"/>
      <c r="P256" s="87"/>
      <c r="Q256" s="86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775" t="s">
        <v>88</v>
      </c>
      <c r="E257" s="258"/>
      <c r="F257" s="258"/>
      <c r="G257" s="261"/>
      <c r="H257" s="273" t="s">
        <v>14</v>
      </c>
      <c r="I257" s="263"/>
      <c r="J257" s="263"/>
      <c r="K257" s="87"/>
      <c r="L257" s="77">
        <f ca="1">IFERROR(__xludf.DUMMYFUNCTION("IMPORTRANGE(""https://docs.google.com/spreadsheets/d/1eHaY18a8A9IcSdp1K8H6x8fbOy06t2VsZHhMHf-1x7Y/edit?usp=sharing"",""แผน!BC57"")"),0)</f>
        <v>0</v>
      </c>
      <c r="M257" s="87"/>
      <c r="N257" s="1263">
        <v>0</v>
      </c>
      <c r="O257" s="87"/>
      <c r="P257" s="87"/>
      <c r="Q257" s="86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775" t="s">
        <v>106</v>
      </c>
      <c r="E258" s="258"/>
      <c r="F258" s="258"/>
      <c r="G258" s="261"/>
      <c r="H258" s="273" t="s">
        <v>14</v>
      </c>
      <c r="I258" s="263"/>
      <c r="J258" s="263"/>
      <c r="K258" s="87"/>
      <c r="L258" s="77">
        <f ca="1">IFERROR(__xludf.DUMMYFUNCTION("IMPORTRANGE(""https://docs.google.com/spreadsheets/d/1eHaY18a8A9IcSdp1K8H6x8fbOy06t2VsZHhMHf-1x7Y/edit?usp=sharing"",""แผน!BD57"")"),0)</f>
        <v>0</v>
      </c>
      <c r="M258" s="87"/>
      <c r="N258" s="1263">
        <v>0</v>
      </c>
      <c r="O258" s="87"/>
      <c r="P258" s="87"/>
      <c r="Q258" s="86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5" t="s">
        <v>107</v>
      </c>
      <c r="E259" s="258"/>
      <c r="F259" s="258"/>
      <c r="G259" s="261"/>
      <c r="H259" s="273" t="s">
        <v>14</v>
      </c>
      <c r="I259" s="263"/>
      <c r="J259" s="263"/>
      <c r="K259" s="87"/>
      <c r="L259" s="77">
        <f ca="1">IFERROR(__xludf.DUMMYFUNCTION("IMPORTRANGE(""https://docs.google.com/spreadsheets/d/1eHaY18a8A9IcSdp1K8H6x8fbOy06t2VsZHhMHf-1x7Y/edit?usp=sharing"",""แผน!BE57"")"),0)</f>
        <v>0</v>
      </c>
      <c r="M259" s="87"/>
      <c r="N259" s="1263">
        <v>0</v>
      </c>
      <c r="O259" s="87"/>
      <c r="P259" s="87"/>
      <c r="Q259" s="86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7"/>
      <c r="M260" s="87"/>
      <c r="N260" s="87"/>
      <c r="O260" s="229"/>
      <c r="P260" s="229"/>
      <c r="Q260" s="86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706" t="s">
        <v>35</v>
      </c>
      <c r="I261" s="592">
        <f ca="1">IFERROR(__xludf.DUMMYFUNCTION("IMPORTRANGE(""https://docs.google.com/spreadsheets/d/1eHaY18a8A9IcSdp1K8H6x8fbOy06t2VsZHhMHf-1x7Y/edit?usp=sharing"",""แผน!BH57"")"),0)</f>
        <v>0</v>
      </c>
      <c r="J261" s="910">
        <v>0</v>
      </c>
      <c r="K261" s="77">
        <f ca="1">IF(I261&gt;0,J261*100/I261,0)</f>
        <v>0</v>
      </c>
      <c r="L261" s="87"/>
      <c r="M261" s="87"/>
      <c r="N261" s="87"/>
      <c r="O261" s="87"/>
      <c r="P261" s="87"/>
      <c r="Q261" s="86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310"/>
      <c r="I262" s="263"/>
      <c r="J262" s="263"/>
      <c r="K262" s="87"/>
      <c r="L262" s="87"/>
      <c r="M262" s="87"/>
      <c r="N262" s="87"/>
      <c r="O262" s="229"/>
      <c r="P262" s="229"/>
      <c r="Q262" s="86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706" t="s">
        <v>35</v>
      </c>
      <c r="I263" s="263"/>
      <c r="J263" s="910">
        <v>0</v>
      </c>
      <c r="K263" s="77">
        <f>IF(I263&gt;0,J263*100/I263,0)</f>
        <v>0</v>
      </c>
      <c r="L263" s="87"/>
      <c r="M263" s="87"/>
      <c r="N263" s="87"/>
      <c r="O263" s="87"/>
      <c r="P263" s="87"/>
      <c r="Q263" s="86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706" t="s">
        <v>61</v>
      </c>
      <c r="I264" s="263"/>
      <c r="J264" s="910">
        <v>0</v>
      </c>
      <c r="K264" s="77">
        <f>IF(I264&gt;0,J264*100/I264,0)</f>
        <v>0</v>
      </c>
      <c r="L264" s="87"/>
      <c r="M264" s="87"/>
      <c r="N264" s="87"/>
      <c r="O264" s="87"/>
      <c r="P264" s="87"/>
      <c r="Q264" s="86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1138"/>
      <c r="I265" s="364"/>
      <c r="J265" s="364"/>
      <c r="K265" s="365"/>
      <c r="L265" s="365"/>
      <c r="M265" s="365"/>
      <c r="N265" s="365"/>
      <c r="O265" s="365"/>
      <c r="P265" s="365"/>
      <c r="Q265" s="1230"/>
      <c r="R265" s="365"/>
      <c r="S265" s="365"/>
      <c r="T265" s="365"/>
      <c r="U265" s="365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1139" t="s">
        <v>35</v>
      </c>
      <c r="I266" s="1140">
        <f ca="1">I277</f>
        <v>22</v>
      </c>
      <c r="J266" s="1140">
        <f>J277</f>
        <v>0</v>
      </c>
      <c r="K266" s="373">
        <f ca="1">IF(I266&gt;0,J266*100/I266,0)</f>
        <v>0</v>
      </c>
      <c r="L266" s="374"/>
      <c r="M266" s="374"/>
      <c r="N266" s="374"/>
      <c r="O266" s="374"/>
      <c r="P266" s="374"/>
      <c r="Q266" s="1231"/>
      <c r="R266" s="374"/>
      <c r="S266" s="374"/>
      <c r="T266" s="374"/>
      <c r="U266" s="374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213">
        <f ca="1">L268+L269</f>
        <v>0</v>
      </c>
      <c r="M267" s="213">
        <f ca="1">M268+M269</f>
        <v>5000</v>
      </c>
      <c r="N267" s="213">
        <f ca="1">N268+N269</f>
        <v>0</v>
      </c>
      <c r="O267" s="213">
        <f t="shared" ref="O267:O275" ca="1" si="65">IF(L267&gt;0,N267*100/L267,0)</f>
        <v>0</v>
      </c>
      <c r="P267" s="213">
        <f t="shared" ref="P267:P275" ca="1" si="66">IF(M267&gt;0,N267*100/M267,0)</f>
        <v>0</v>
      </c>
      <c r="Q267" s="1262">
        <f ca="1">Q268+Q269</f>
        <v>50660</v>
      </c>
      <c r="R267" s="213">
        <f ca="1">R268+R269</f>
        <v>50660</v>
      </c>
      <c r="S267" s="213">
        <f ca="1">S268+S269</f>
        <v>0</v>
      </c>
      <c r="T267" s="213">
        <f t="shared" ref="T267:T275" ca="1" si="67">IF(Q267&gt;0,S267*100/Q267,0)</f>
        <v>0</v>
      </c>
      <c r="U267" s="213">
        <f t="shared" ref="U267:U275" ca="1" si="68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77">
        <f t="shared" ref="L268:N269" si="69">L271+L274</f>
        <v>0</v>
      </c>
      <c r="M268" s="77">
        <f t="shared" si="69"/>
        <v>0</v>
      </c>
      <c r="N268" s="77">
        <f t="shared" si="69"/>
        <v>0</v>
      </c>
      <c r="O268" s="77">
        <f t="shared" si="65"/>
        <v>0</v>
      </c>
      <c r="P268" s="77">
        <f t="shared" si="66"/>
        <v>0</v>
      </c>
      <c r="Q268" s="76">
        <f t="shared" ref="Q268:S269" si="70">Q271+Q274</f>
        <v>0</v>
      </c>
      <c r="R268" s="77">
        <f t="shared" si="70"/>
        <v>0</v>
      </c>
      <c r="S268" s="77">
        <f t="shared" si="70"/>
        <v>0</v>
      </c>
      <c r="T268" s="77">
        <f t="shared" si="67"/>
        <v>0</v>
      </c>
      <c r="U268" s="77">
        <f t="shared" si="68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399">
        <f t="shared" ca="1" si="69"/>
        <v>0</v>
      </c>
      <c r="M269" s="399">
        <f t="shared" ca="1" si="69"/>
        <v>5000</v>
      </c>
      <c r="N269" s="399">
        <f t="shared" ca="1" si="69"/>
        <v>0</v>
      </c>
      <c r="O269" s="399">
        <f t="shared" ca="1" si="65"/>
        <v>0</v>
      </c>
      <c r="P269" s="399">
        <f t="shared" ca="1" si="66"/>
        <v>0</v>
      </c>
      <c r="Q269" s="1261">
        <f t="shared" ca="1" si="70"/>
        <v>50660</v>
      </c>
      <c r="R269" s="399">
        <f t="shared" ca="1" si="70"/>
        <v>50660</v>
      </c>
      <c r="S269" s="399">
        <f t="shared" ca="1" si="70"/>
        <v>0</v>
      </c>
      <c r="T269" s="399">
        <f t="shared" ca="1" si="67"/>
        <v>0</v>
      </c>
      <c r="U269" s="399">
        <f t="shared" ca="1" si="68"/>
        <v>0</v>
      </c>
    </row>
    <row r="270" spans="1:21" ht="18.75" x14ac:dyDescent="0.25">
      <c r="A270" s="209"/>
      <c r="B270" s="381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399">
        <f ca="1">L271+L272</f>
        <v>0</v>
      </c>
      <c r="M270" s="399">
        <f ca="1">M271+M272</f>
        <v>5000</v>
      </c>
      <c r="N270" s="399">
        <f ca="1">N271+N272</f>
        <v>0</v>
      </c>
      <c r="O270" s="399">
        <f t="shared" ca="1" si="65"/>
        <v>0</v>
      </c>
      <c r="P270" s="399">
        <f t="shared" ca="1" si="66"/>
        <v>0</v>
      </c>
      <c r="Q270" s="1261">
        <f ca="1">Q271+Q272</f>
        <v>50660</v>
      </c>
      <c r="R270" s="399">
        <f ca="1">R271+R272</f>
        <v>50660</v>
      </c>
      <c r="S270" s="399">
        <f ca="1">S271+S272</f>
        <v>0</v>
      </c>
      <c r="T270" s="399">
        <f t="shared" ca="1" si="67"/>
        <v>0</v>
      </c>
      <c r="U270" s="399">
        <f t="shared" ca="1" si="68"/>
        <v>0</v>
      </c>
    </row>
    <row r="271" spans="1:21" ht="18.75" hidden="1" x14ac:dyDescent="0.25">
      <c r="A271" s="880"/>
      <c r="B271" s="920"/>
      <c r="C271" s="920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7">
        <v>0</v>
      </c>
      <c r="M271" s="77">
        <v>0</v>
      </c>
      <c r="N271" s="77">
        <v>0</v>
      </c>
      <c r="O271" s="77">
        <f t="shared" si="65"/>
        <v>0</v>
      </c>
      <c r="P271" s="77">
        <f t="shared" si="66"/>
        <v>0</v>
      </c>
      <c r="Q271" s="76">
        <v>0</v>
      </c>
      <c r="R271" s="77">
        <v>0</v>
      </c>
      <c r="S271" s="77">
        <v>0</v>
      </c>
      <c r="T271" s="77">
        <f t="shared" si="67"/>
        <v>0</v>
      </c>
      <c r="U271" s="77">
        <f t="shared" si="68"/>
        <v>0</v>
      </c>
    </row>
    <row r="272" spans="1:21" ht="18.75" hidden="1" x14ac:dyDescent="0.25">
      <c r="A272" s="209"/>
      <c r="B272" s="381"/>
      <c r="C272" s="381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399">
        <f ca="1">IFERROR(__xludf.DUMMYFUNCTION("IMPORTRANGE(""https://docs.google.com/spreadsheets/d/1-uDff_7J0KD5mKrp0Vvzr7lt3OU09vwQwhkpOPPYv2Y/edit?usp=sharing"",""งบพรบ!DE57"")"),0)</f>
        <v>0</v>
      </c>
      <c r="M272" s="399">
        <f ca="1">IFERROR(__xludf.DUMMYFUNCTION("IMPORTRANGE(""https://docs.google.com/spreadsheets/d/1-uDff_7J0KD5mKrp0Vvzr7lt3OU09vwQwhkpOPPYv2Y/edit?usp=sharing"",""งบพรบ!DJ57"")"),5000)</f>
        <v>5000</v>
      </c>
      <c r="N272" s="399">
        <f ca="1">IFERROR(__xludf.DUMMYFUNCTION("IMPORTRANGE(""https://docs.google.com/spreadsheets/d/1-uDff_7J0KD5mKrp0Vvzr7lt3OU09vwQwhkpOPPYv2Y/edit?usp=sharing"",""งบพรบ!DL57"")"),0)</f>
        <v>0</v>
      </c>
      <c r="O272" s="399">
        <f t="shared" ca="1" si="65"/>
        <v>0</v>
      </c>
      <c r="P272" s="399">
        <f t="shared" ca="1" si="66"/>
        <v>0</v>
      </c>
      <c r="Q272" s="1261">
        <f ca="1">IFERROR(__xludf.DUMMYFUNCTION("IMPORTRANGE(""https://docs.google.com/spreadsheets/d/1ItG2mGa2ceCfYo0BwxsXqNm01IGEUdYcSSLTEv9YCik/edit?usp=sharing"",""เบิกจ่ายกองทุน!AJ57"")"),50660)</f>
        <v>50660</v>
      </c>
      <c r="R272" s="399">
        <f ca="1">IFERROR(__xludf.DUMMYFUNCTION("IMPORTRANGE(""https://docs.google.com/spreadsheets/d/1ItG2mGa2ceCfYo0BwxsXqNm01IGEUdYcSSLTEv9YCik/edit?usp=sharing"",""เบิกจ่ายกองทุน!AK57"")"),50660)</f>
        <v>50660</v>
      </c>
      <c r="S272" s="399">
        <f ca="1">IFERROR(__xludf.DUMMYFUNCTION("IMPORTRANGE(""https://docs.google.com/spreadsheets/d/1ItG2mGa2ceCfYo0BwxsXqNm01IGEUdYcSSLTEv9YCik/edit?usp=sharing"",""เบิกจ่ายกองทุน!AL57"")"),0)</f>
        <v>0</v>
      </c>
      <c r="T272" s="399">
        <f t="shared" ca="1" si="67"/>
        <v>0</v>
      </c>
      <c r="U272" s="399">
        <f t="shared" ca="1" si="68"/>
        <v>0</v>
      </c>
    </row>
    <row r="273" spans="1:21" ht="18.75" x14ac:dyDescent="0.25">
      <c r="A273" s="209"/>
      <c r="B273" s="381"/>
      <c r="C273" s="381"/>
      <c r="D273" s="1141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399">
        <f ca="1">L274+L275</f>
        <v>0</v>
      </c>
      <c r="M273" s="399">
        <f ca="1">M274+M275</f>
        <v>0</v>
      </c>
      <c r="N273" s="399">
        <f ca="1">N274+N275</f>
        <v>0</v>
      </c>
      <c r="O273" s="399">
        <f t="shared" ca="1" si="65"/>
        <v>0</v>
      </c>
      <c r="P273" s="399">
        <f t="shared" ca="1" si="66"/>
        <v>0</v>
      </c>
      <c r="Q273" s="1261">
        <f>Q274+Q275</f>
        <v>0</v>
      </c>
      <c r="R273" s="399">
        <f>R274+R275</f>
        <v>0</v>
      </c>
      <c r="S273" s="399">
        <f>S274+S275</f>
        <v>0</v>
      </c>
      <c r="T273" s="399">
        <f t="shared" si="67"/>
        <v>0</v>
      </c>
      <c r="U273" s="399">
        <f t="shared" si="68"/>
        <v>0</v>
      </c>
    </row>
    <row r="274" spans="1:21" ht="18.75" hidden="1" x14ac:dyDescent="0.25">
      <c r="A274" s="880"/>
      <c r="B274" s="838"/>
      <c r="C274" s="920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7">
        <v>0</v>
      </c>
      <c r="M274" s="77">
        <v>0</v>
      </c>
      <c r="N274" s="77">
        <v>0</v>
      </c>
      <c r="O274" s="77">
        <f t="shared" si="65"/>
        <v>0</v>
      </c>
      <c r="P274" s="77">
        <f t="shared" si="66"/>
        <v>0</v>
      </c>
      <c r="Q274" s="76">
        <v>0</v>
      </c>
      <c r="R274" s="77">
        <v>0</v>
      </c>
      <c r="S274" s="77">
        <v>0</v>
      </c>
      <c r="T274" s="77">
        <f t="shared" si="67"/>
        <v>0</v>
      </c>
      <c r="U274" s="77">
        <f t="shared" si="68"/>
        <v>0</v>
      </c>
    </row>
    <row r="275" spans="1:21" ht="18.75" hidden="1" x14ac:dyDescent="0.25">
      <c r="A275" s="209"/>
      <c r="B275" s="67"/>
      <c r="C275" s="67"/>
      <c r="D275" s="381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399">
        <f ca="1">IFERROR(__xludf.DUMMYFUNCTION("IMPORTRANGE(""https://docs.google.com/spreadsheets/d/1-uDff_7J0KD5mKrp0Vvzr7lt3OU09vwQwhkpOPPYv2Y/edit?usp=sharing"",""งบพรบ!DH57"")"),0)</f>
        <v>0</v>
      </c>
      <c r="M275" s="399">
        <f ca="1">IFERROR(__xludf.DUMMYFUNCTION("IMPORTRANGE(""https://docs.google.com/spreadsheets/d/1-uDff_7J0KD5mKrp0Vvzr7lt3OU09vwQwhkpOPPYv2Y/edit?usp=sharing"",""งบพรบ!DK57"")"),0)</f>
        <v>0</v>
      </c>
      <c r="N275" s="399">
        <f ca="1">IFERROR(__xludf.DUMMYFUNCTION("IMPORTRANGE(""https://docs.google.com/spreadsheets/d/1-uDff_7J0KD5mKrp0Vvzr7lt3OU09vwQwhkpOPPYv2Y/edit?usp=sharing"",""งบพรบ!DM57"")"),0)</f>
        <v>0</v>
      </c>
      <c r="O275" s="399">
        <f t="shared" ca="1" si="65"/>
        <v>0</v>
      </c>
      <c r="P275" s="399">
        <f t="shared" ca="1" si="66"/>
        <v>0</v>
      </c>
      <c r="Q275" s="1261">
        <v>0</v>
      </c>
      <c r="R275" s="399">
        <v>0</v>
      </c>
      <c r="S275" s="399">
        <v>0</v>
      </c>
      <c r="T275" s="399">
        <f t="shared" si="67"/>
        <v>0</v>
      </c>
      <c r="U275" s="399">
        <f t="shared" si="68"/>
        <v>0</v>
      </c>
    </row>
    <row r="276" spans="1:21" ht="19.5" x14ac:dyDescent="0.3">
      <c r="A276" s="222"/>
      <c r="B276" s="223"/>
      <c r="C276" s="440" t="s">
        <v>18</v>
      </c>
      <c r="D276" s="1142" t="s">
        <v>38</v>
      </c>
      <c r="E276" s="225"/>
      <c r="F276" s="225"/>
      <c r="G276" s="226"/>
      <c r="H276" s="227"/>
      <c r="I276" s="219"/>
      <c r="J276" s="219"/>
      <c r="K276" s="220"/>
      <c r="L276" s="220"/>
      <c r="M276" s="220"/>
      <c r="N276" s="220"/>
      <c r="O276" s="220"/>
      <c r="P276" s="220"/>
      <c r="Q276" s="1235"/>
      <c r="R276" s="220"/>
      <c r="S276" s="220"/>
      <c r="T276" s="220"/>
      <c r="U276" s="220"/>
    </row>
    <row r="277" spans="1:21" ht="18.75" x14ac:dyDescent="0.25">
      <c r="A277" s="949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IFERROR(__xludf.DUMMYFUNCTION("IMPORTRANGE(""https://docs.google.com/spreadsheets/d/1eHaY18a8A9IcSdp1K8H6x8fbOy06t2VsZHhMHf-1x7Y/edit?usp=sharing"",""แผน!EC57"")"),22)</f>
        <v>22</v>
      </c>
      <c r="J277" s="908">
        <v>0</v>
      </c>
      <c r="K277" s="85">
        <f ca="1">IF(I277&gt;0,J277*100/I277,0)</f>
        <v>0</v>
      </c>
      <c r="L277" s="84"/>
      <c r="M277" s="84"/>
      <c r="N277" s="84"/>
      <c r="O277" s="84"/>
      <c r="P277" s="84"/>
      <c r="Q277" s="540"/>
      <c r="R277" s="72"/>
      <c r="S277" s="72"/>
      <c r="T277" s="72"/>
      <c r="U277" s="72"/>
    </row>
    <row r="278" spans="1:21" ht="18.75" hidden="1" x14ac:dyDescent="0.25">
      <c r="A278" s="1236"/>
      <c r="B278" s="996"/>
      <c r="C278" s="996"/>
      <c r="D278" s="1145" t="s">
        <v>116</v>
      </c>
      <c r="E278" s="1237"/>
      <c r="F278" s="1237"/>
      <c r="G278" s="1238"/>
      <c r="H278" s="1146" t="s">
        <v>35</v>
      </c>
      <c r="I278" s="779">
        <v>0</v>
      </c>
      <c r="J278" s="779">
        <v>0</v>
      </c>
      <c r="K278" s="1147">
        <v>0</v>
      </c>
      <c r="L278" s="1240"/>
      <c r="M278" s="1240"/>
      <c r="N278" s="1240"/>
      <c r="O278" s="1240"/>
      <c r="P278" s="1240"/>
      <c r="Q278" s="1239"/>
      <c r="R278" s="1240"/>
      <c r="S278" s="1240"/>
      <c r="T278" s="1240"/>
      <c r="U278" s="124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49"/>
      <c r="I279" s="1151"/>
      <c r="J279" s="1151"/>
      <c r="K279" s="469"/>
      <c r="L279" s="469"/>
      <c r="M279" s="469"/>
      <c r="N279" s="469"/>
      <c r="O279" s="469"/>
      <c r="P279" s="470"/>
      <c r="Q279" s="468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4"/>
      <c r="I280" s="1155"/>
      <c r="J280" s="1156"/>
      <c r="K280" s="478"/>
      <c r="L280" s="478"/>
      <c r="M280" s="478"/>
      <c r="N280" s="478"/>
      <c r="O280" s="478"/>
      <c r="P280" s="478"/>
      <c r="Q280" s="477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162" t="s">
        <v>35</v>
      </c>
      <c r="I281" s="1163">
        <f ca="1">I294</f>
        <v>0</v>
      </c>
      <c r="J281" s="1163">
        <f>J294</f>
        <v>0</v>
      </c>
      <c r="K281" s="1164">
        <f ca="1">IF(I281&gt;0,J281*100/I281,0)</f>
        <v>0</v>
      </c>
      <c r="L281" s="489"/>
      <c r="M281" s="489"/>
      <c r="N281" s="489"/>
      <c r="O281" s="489"/>
      <c r="P281" s="489"/>
      <c r="Q281" s="488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162" t="s">
        <v>46</v>
      </c>
      <c r="I282" s="1163">
        <f ca="1">I293</f>
        <v>0</v>
      </c>
      <c r="J282" s="1163">
        <f>J293</f>
        <v>0</v>
      </c>
      <c r="K282" s="1164">
        <f ca="1">IF(I282&gt;0,J282*100/I282,0)</f>
        <v>0</v>
      </c>
      <c r="L282" s="489"/>
      <c r="M282" s="489"/>
      <c r="N282" s="489"/>
      <c r="O282" s="489"/>
      <c r="P282" s="489"/>
      <c r="Q282" s="488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264">
        <f ca="1">L284+L285</f>
        <v>0</v>
      </c>
      <c r="M283" s="264">
        <f ca="1">M284+M285</f>
        <v>0</v>
      </c>
      <c r="N283" s="264">
        <f ca="1">N284+N285</f>
        <v>0</v>
      </c>
      <c r="O283" s="264">
        <f t="shared" ref="O283:O291" ca="1" si="71">IF(L283&gt;0,N283*100/L283,0)</f>
        <v>0</v>
      </c>
      <c r="P283" s="264">
        <f t="shared" ref="P283:P291" ca="1" si="72">IF(M283&gt;0,N283*100/M283,0)</f>
        <v>0</v>
      </c>
      <c r="Q283" s="1257">
        <f>Q284+Q285</f>
        <v>0</v>
      </c>
      <c r="R283" s="264">
        <f>R284+R285</f>
        <v>0</v>
      </c>
      <c r="S283" s="264">
        <f>S284+S285</f>
        <v>0</v>
      </c>
      <c r="T283" s="264">
        <f t="shared" ref="T283:T291" si="73">IF(Q283&gt;0,S283*100/Q283,0)</f>
        <v>0</v>
      </c>
      <c r="U283" s="264">
        <f t="shared" ref="U283:U291" si="74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7">
        <f t="shared" ref="L284:N285" si="75">L287+L290</f>
        <v>0</v>
      </c>
      <c r="M284" s="77">
        <f t="shared" si="75"/>
        <v>0</v>
      </c>
      <c r="N284" s="77">
        <f t="shared" si="75"/>
        <v>0</v>
      </c>
      <c r="O284" s="77">
        <f t="shared" si="71"/>
        <v>0</v>
      </c>
      <c r="P284" s="77">
        <f t="shared" si="72"/>
        <v>0</v>
      </c>
      <c r="Q284" s="76">
        <f t="shared" ref="Q284:S285" si="76">Q287+Q290</f>
        <v>0</v>
      </c>
      <c r="R284" s="77">
        <f t="shared" si="76"/>
        <v>0</v>
      </c>
      <c r="S284" s="77">
        <f t="shared" si="76"/>
        <v>0</v>
      </c>
      <c r="T284" s="77">
        <f t="shared" si="73"/>
        <v>0</v>
      </c>
      <c r="U284" s="77">
        <f t="shared" si="74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4">
        <f t="shared" ca="1" si="75"/>
        <v>0</v>
      </c>
      <c r="M285" s="74">
        <f t="shared" ca="1" si="75"/>
        <v>0</v>
      </c>
      <c r="N285" s="74">
        <f t="shared" ca="1" si="75"/>
        <v>0</v>
      </c>
      <c r="O285" s="74">
        <f t="shared" ca="1" si="71"/>
        <v>0</v>
      </c>
      <c r="P285" s="74">
        <f t="shared" ca="1" si="72"/>
        <v>0</v>
      </c>
      <c r="Q285" s="73">
        <f t="shared" si="76"/>
        <v>0</v>
      </c>
      <c r="R285" s="74">
        <f t="shared" si="76"/>
        <v>0</v>
      </c>
      <c r="S285" s="74">
        <f t="shared" si="76"/>
        <v>0</v>
      </c>
      <c r="T285" s="74">
        <f t="shared" si="73"/>
        <v>0</v>
      </c>
      <c r="U285" s="74">
        <f t="shared" si="74"/>
        <v>0</v>
      </c>
    </row>
    <row r="286" spans="1:21" ht="18.75" hidden="1" x14ac:dyDescent="0.25">
      <c r="A286" s="257"/>
      <c r="B286" s="269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4">
        <f ca="1">L287+L288</f>
        <v>0</v>
      </c>
      <c r="M286" s="74">
        <f ca="1">M287+M288</f>
        <v>0</v>
      </c>
      <c r="N286" s="74">
        <f ca="1">N287+N288</f>
        <v>0</v>
      </c>
      <c r="O286" s="74">
        <f t="shared" ca="1" si="71"/>
        <v>0</v>
      </c>
      <c r="P286" s="74">
        <f t="shared" ca="1" si="72"/>
        <v>0</v>
      </c>
      <c r="Q286" s="73">
        <f>Q287+Q288</f>
        <v>0</v>
      </c>
      <c r="R286" s="74">
        <f>R287+R288</f>
        <v>0</v>
      </c>
      <c r="S286" s="74">
        <f>S287+S288</f>
        <v>0</v>
      </c>
      <c r="T286" s="74">
        <f t="shared" si="73"/>
        <v>0</v>
      </c>
      <c r="U286" s="74">
        <f t="shared" si="74"/>
        <v>0</v>
      </c>
    </row>
    <row r="287" spans="1:21" ht="18.75" hidden="1" x14ac:dyDescent="0.25">
      <c r="A287" s="257"/>
      <c r="B287" s="269"/>
      <c r="C287" s="269"/>
      <c r="D287" s="258"/>
      <c r="E287" s="775" t="s">
        <v>36</v>
      </c>
      <c r="F287" s="258"/>
      <c r="G287" s="261"/>
      <c r="H287" s="273" t="s">
        <v>14</v>
      </c>
      <c r="I287" s="272"/>
      <c r="J287" s="272"/>
      <c r="K287" s="229"/>
      <c r="L287" s="77">
        <v>0</v>
      </c>
      <c r="M287" s="77">
        <v>0</v>
      </c>
      <c r="N287" s="77">
        <v>0</v>
      </c>
      <c r="O287" s="77">
        <f t="shared" si="71"/>
        <v>0</v>
      </c>
      <c r="P287" s="77">
        <f t="shared" si="72"/>
        <v>0</v>
      </c>
      <c r="Q287" s="76">
        <v>0</v>
      </c>
      <c r="R287" s="77">
        <v>0</v>
      </c>
      <c r="S287" s="77">
        <v>0</v>
      </c>
      <c r="T287" s="77">
        <f t="shared" si="73"/>
        <v>0</v>
      </c>
      <c r="U287" s="77">
        <f t="shared" si="74"/>
        <v>0</v>
      </c>
    </row>
    <row r="288" spans="1:21" ht="18.75" hidden="1" x14ac:dyDescent="0.25">
      <c r="A288" s="257"/>
      <c r="B288" s="269"/>
      <c r="C288" s="269"/>
      <c r="D288" s="258"/>
      <c r="E288" s="749" t="s">
        <v>37</v>
      </c>
      <c r="F288" s="258"/>
      <c r="G288" s="261"/>
      <c r="H288" s="271" t="s">
        <v>14</v>
      </c>
      <c r="I288" s="272"/>
      <c r="J288" s="272"/>
      <c r="K288" s="229"/>
      <c r="L288" s="74">
        <f ca="1">IFERROR(__xludf.DUMMYFUNCTION("IMPORTRANGE(""https://docs.google.com/spreadsheets/d/1-uDff_7J0KD5mKrp0Vvzr7lt3OU09vwQwhkpOPPYv2Y/edit?usp=sharing"",""งบพรบ!DO57"")"),0)</f>
        <v>0</v>
      </c>
      <c r="M288" s="74">
        <f ca="1">IFERROR(__xludf.DUMMYFUNCTION("IMPORTRANGE(""https://docs.google.com/spreadsheets/d/1-uDff_7J0KD5mKrp0Vvzr7lt3OU09vwQwhkpOPPYv2Y/edit?usp=sharing"",""งบพรบ!DT57"")"),0)</f>
        <v>0</v>
      </c>
      <c r="N288" s="74">
        <f ca="1">IFERROR(__xludf.DUMMYFUNCTION("IMPORTRANGE(""https://docs.google.com/spreadsheets/d/1-uDff_7J0KD5mKrp0Vvzr7lt3OU09vwQwhkpOPPYv2Y/edit?usp=sharing"",""งบพรบ!DV57"")"),0)</f>
        <v>0</v>
      </c>
      <c r="O288" s="74">
        <f t="shared" ca="1" si="71"/>
        <v>0</v>
      </c>
      <c r="P288" s="74">
        <f t="shared" ca="1" si="72"/>
        <v>0</v>
      </c>
      <c r="Q288" s="73">
        <v>0</v>
      </c>
      <c r="R288" s="74">
        <v>0</v>
      </c>
      <c r="S288" s="74">
        <v>0</v>
      </c>
      <c r="T288" s="77">
        <f t="shared" si="73"/>
        <v>0</v>
      </c>
      <c r="U288" s="77">
        <f t="shared" si="74"/>
        <v>0</v>
      </c>
    </row>
    <row r="289" spans="1:21" ht="18.75" hidden="1" x14ac:dyDescent="0.25">
      <c r="A289" s="257"/>
      <c r="B289" s="269"/>
      <c r="C289" s="269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4">
        <f ca="1">L290+L291</f>
        <v>0</v>
      </c>
      <c r="M289" s="74">
        <f ca="1">M290+M291</f>
        <v>0</v>
      </c>
      <c r="N289" s="74">
        <f ca="1">N290+N291</f>
        <v>0</v>
      </c>
      <c r="O289" s="74">
        <f t="shared" ca="1" si="71"/>
        <v>0</v>
      </c>
      <c r="P289" s="74">
        <f t="shared" ca="1" si="72"/>
        <v>0</v>
      </c>
      <c r="Q289" s="73">
        <f>Q290+Q291</f>
        <v>0</v>
      </c>
      <c r="R289" s="74">
        <f>R290+R291</f>
        <v>0</v>
      </c>
      <c r="S289" s="74">
        <f>S290+S291</f>
        <v>0</v>
      </c>
      <c r="T289" s="74">
        <f t="shared" si="73"/>
        <v>0</v>
      </c>
      <c r="U289" s="74">
        <f t="shared" si="74"/>
        <v>0</v>
      </c>
    </row>
    <row r="290" spans="1:21" ht="18.75" hidden="1" x14ac:dyDescent="0.25">
      <c r="A290" s="257"/>
      <c r="B290" s="269"/>
      <c r="C290" s="269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7">
        <v>0</v>
      </c>
      <c r="M290" s="77">
        <v>0</v>
      </c>
      <c r="N290" s="77">
        <v>0</v>
      </c>
      <c r="O290" s="77">
        <f t="shared" si="71"/>
        <v>0</v>
      </c>
      <c r="P290" s="77">
        <f t="shared" si="72"/>
        <v>0</v>
      </c>
      <c r="Q290" s="76">
        <v>0</v>
      </c>
      <c r="R290" s="77">
        <v>0</v>
      </c>
      <c r="S290" s="77">
        <v>0</v>
      </c>
      <c r="T290" s="77">
        <f t="shared" si="73"/>
        <v>0</v>
      </c>
      <c r="U290" s="77">
        <f t="shared" si="74"/>
        <v>0</v>
      </c>
    </row>
    <row r="291" spans="1:21" ht="18.75" hidden="1" x14ac:dyDescent="0.25">
      <c r="A291" s="257"/>
      <c r="B291" s="269"/>
      <c r="C291" s="269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4">
        <f ca="1">IFERROR(__xludf.DUMMYFUNCTION("IMPORTRANGE(""https://docs.google.com/spreadsheets/d/1-uDff_7J0KD5mKrp0Vvzr7lt3OU09vwQwhkpOPPYv2Y/edit?usp=sharing"",""งบพรบ!DR57"")"),0)</f>
        <v>0</v>
      </c>
      <c r="M291" s="74">
        <f ca="1">IFERROR(__xludf.DUMMYFUNCTION("IMPORTRANGE(""https://docs.google.com/spreadsheets/d/1-uDff_7J0KD5mKrp0Vvzr7lt3OU09vwQwhkpOPPYv2Y/edit?usp=sharing"",""งบพรบ!DU57"")"),0)</f>
        <v>0</v>
      </c>
      <c r="N291" s="74">
        <f ca="1">IFERROR(__xludf.DUMMYFUNCTION("IMPORTRANGE(""https://docs.google.com/spreadsheets/d/1-uDff_7J0KD5mKrp0Vvzr7lt3OU09vwQwhkpOPPYv2Y/edit?usp=sharing"",""งบพรบ!DW57"")"),0)</f>
        <v>0</v>
      </c>
      <c r="O291" s="74">
        <f t="shared" ca="1" si="71"/>
        <v>0</v>
      </c>
      <c r="P291" s="74">
        <f t="shared" ca="1" si="72"/>
        <v>0</v>
      </c>
      <c r="Q291" s="73">
        <v>0</v>
      </c>
      <c r="R291" s="74">
        <v>0</v>
      </c>
      <c r="S291" s="74">
        <v>0</v>
      </c>
      <c r="T291" s="74">
        <f t="shared" si="73"/>
        <v>0</v>
      </c>
      <c r="U291" s="74">
        <f t="shared" si="74"/>
        <v>0</v>
      </c>
    </row>
    <row r="292" spans="1:21" ht="19.5" hidden="1" x14ac:dyDescent="0.3">
      <c r="A292" s="276"/>
      <c r="B292" s="277"/>
      <c r="C292" s="621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9"/>
      <c r="M292" s="229"/>
      <c r="N292" s="229"/>
      <c r="O292" s="229"/>
      <c r="P292" s="229"/>
      <c r="Q292" s="228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IFERROR(__xludf.DUMMYFUNCTION("IMPORTRANGE(""https://docs.google.com/spreadsheets/d/1eHaY18a8A9IcSdp1K8H6x8fbOy06t2VsZHhMHf-1x7Y/edit?usp=sharing"",""แผน!EE57"")"),0)</f>
        <v>0</v>
      </c>
      <c r="J293" s="294">
        <v>0</v>
      </c>
      <c r="K293" s="768">
        <f ca="1">IF(I293&gt;0,J293*100/I293,0)</f>
        <v>0</v>
      </c>
      <c r="L293" s="229"/>
      <c r="M293" s="229"/>
      <c r="N293" s="229"/>
      <c r="O293" s="229"/>
      <c r="P293" s="229"/>
      <c r="Q293" s="228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IFERROR(__xludf.DUMMYFUNCTION("IMPORTRANGE(""https://docs.google.com/spreadsheets/d/1eHaY18a8A9IcSdp1K8H6x8fbOy06t2VsZHhMHf-1x7Y/edit?usp=sharing"",""แผน!ED57"")"),0)</f>
        <v>0</v>
      </c>
      <c r="J294" s="622">
        <f>J297</f>
        <v>0</v>
      </c>
      <c r="K294" s="1105">
        <f ca="1">IF(I294&gt;0,J294*100/I294,0)</f>
        <v>0</v>
      </c>
      <c r="L294" s="229"/>
      <c r="M294" s="229"/>
      <c r="N294" s="229"/>
      <c r="O294" s="229"/>
      <c r="P294" s="229"/>
      <c r="Q294" s="228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77"/>
      <c r="E295" s="288" t="s">
        <v>325</v>
      </c>
      <c r="F295" s="296"/>
      <c r="G295" s="282"/>
      <c r="H295" s="282"/>
      <c r="I295" s="272"/>
      <c r="J295" s="263"/>
      <c r="K295" s="229"/>
      <c r="L295" s="229"/>
      <c r="M295" s="229"/>
      <c r="N295" s="229"/>
      <c r="O295" s="229"/>
      <c r="P295" s="229"/>
      <c r="Q295" s="228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IFERROR(__xludf.DUMMYFUNCTION("IMPORTRANGE(""https://docs.google.com/spreadsheets/d/1eHaY18a8A9IcSdp1K8H6x8fbOy06t2VsZHhMHf-1x7Y/edit?usp=sharing"",""แผน!ED57"")"),0)</f>
        <v>0</v>
      </c>
      <c r="J296" s="294">
        <v>0</v>
      </c>
      <c r="K296" s="768">
        <f ca="1">IF(I296&gt;0,J296*100/I296,0)</f>
        <v>0</v>
      </c>
      <c r="L296" s="229"/>
      <c r="M296" s="229"/>
      <c r="N296" s="229"/>
      <c r="O296" s="229"/>
      <c r="P296" s="229"/>
      <c r="Q296" s="228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IFERROR(__xludf.DUMMYFUNCTION("IMPORTRANGE(""https://docs.google.com/spreadsheets/d/1eHaY18a8A9IcSdp1K8H6x8fbOy06t2VsZHhMHf-1x7Y/edit?usp=sharing"",""แผน!ED57"")"),0)</f>
        <v>0</v>
      </c>
      <c r="J297" s="294">
        <v>0</v>
      </c>
      <c r="K297" s="768">
        <f ca="1">IF(I297&gt;0,J297*100/I297,0)</f>
        <v>0</v>
      </c>
      <c r="L297" s="229"/>
      <c r="M297" s="229"/>
      <c r="N297" s="229"/>
      <c r="O297" s="229"/>
      <c r="P297" s="229"/>
      <c r="Q297" s="228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313"/>
      <c r="I298" s="287"/>
      <c r="J298" s="287"/>
      <c r="K298" s="30"/>
      <c r="L298" s="30"/>
      <c r="M298" s="30"/>
      <c r="N298" s="30"/>
      <c r="O298" s="30"/>
      <c r="P298" s="30"/>
      <c r="Q298" s="29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313"/>
      <c r="I299" s="287"/>
      <c r="J299" s="287"/>
      <c r="K299" s="30"/>
      <c r="L299" s="30"/>
      <c r="M299" s="30"/>
      <c r="N299" s="30"/>
      <c r="O299" s="30"/>
      <c r="P299" s="30"/>
      <c r="Q299" s="29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168"/>
      <c r="I300" s="1042"/>
      <c r="J300" s="1042"/>
      <c r="K300" s="19"/>
      <c r="L300" s="19"/>
      <c r="M300" s="19"/>
      <c r="N300" s="19"/>
      <c r="O300" s="19"/>
      <c r="P300" s="19"/>
      <c r="Q300" s="18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0"/>
      <c r="I301" s="1172"/>
      <c r="J301" s="1172"/>
      <c r="K301" s="511"/>
      <c r="L301" s="511"/>
      <c r="M301" s="511"/>
      <c r="N301" s="511"/>
      <c r="O301" s="511"/>
      <c r="P301" s="512"/>
      <c r="Q301" s="510"/>
      <c r="R301" s="511"/>
      <c r="S301" s="511"/>
      <c r="T301" s="511"/>
      <c r="U301" s="512"/>
    </row>
    <row r="302" spans="1:21" ht="19.5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7"/>
      <c r="I302" s="1178"/>
      <c r="J302" s="1178"/>
      <c r="K302" s="520"/>
      <c r="L302" s="520"/>
      <c r="M302" s="520"/>
      <c r="N302" s="520"/>
      <c r="O302" s="520"/>
      <c r="P302" s="520"/>
      <c r="Q302" s="519"/>
      <c r="R302" s="520"/>
      <c r="S302" s="520"/>
      <c r="T302" s="520"/>
      <c r="U302" s="520"/>
    </row>
    <row r="303" spans="1:21" ht="19.5" x14ac:dyDescent="0.3">
      <c r="A303" s="1179"/>
      <c r="B303" s="1180" t="s">
        <v>127</v>
      </c>
      <c r="C303" s="607"/>
      <c r="D303" s="607"/>
      <c r="E303" s="607"/>
      <c r="F303" s="607"/>
      <c r="G303" s="608"/>
      <c r="H303" s="609" t="s">
        <v>35</v>
      </c>
      <c r="I303" s="617">
        <f ca="1">I315</f>
        <v>20</v>
      </c>
      <c r="J303" s="617">
        <f>J315</f>
        <v>0</v>
      </c>
      <c r="K303" s="611">
        <f ca="1">IF(I303&gt;0,J303*100/I303,0)</f>
        <v>0</v>
      </c>
      <c r="L303" s="530"/>
      <c r="M303" s="530"/>
      <c r="N303" s="530"/>
      <c r="O303" s="530"/>
      <c r="P303" s="530"/>
      <c r="Q303" s="529"/>
      <c r="R303" s="530"/>
      <c r="S303" s="530"/>
      <c r="T303" s="530"/>
      <c r="U303" s="530"/>
    </row>
    <row r="304" spans="1:21" ht="19.5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264">
        <f ca="1">L305+L306</f>
        <v>133500</v>
      </c>
      <c r="M304" s="264">
        <f ca="1">M305+M306</f>
        <v>133500</v>
      </c>
      <c r="N304" s="264">
        <f ca="1">N305+N306</f>
        <v>60220</v>
      </c>
      <c r="O304" s="264">
        <f t="shared" ref="O304:O312" ca="1" si="77">IF(L304&gt;0,N304*100/L304,0)</f>
        <v>45.108614232209739</v>
      </c>
      <c r="P304" s="264">
        <f t="shared" ref="P304:P312" ca="1" si="78">IF(M304&gt;0,N304*100/M304,0)</f>
        <v>45.108614232209739</v>
      </c>
      <c r="Q304" s="1257">
        <f ca="1">Q305+Q306</f>
        <v>144609.24</v>
      </c>
      <c r="R304" s="264">
        <f ca="1">R305+R306</f>
        <v>144609</v>
      </c>
      <c r="S304" s="264">
        <f ca="1">S305+S306</f>
        <v>0</v>
      </c>
      <c r="T304" s="264">
        <f t="shared" ref="T304:T312" ca="1" si="79">IF(Q304&gt;0,S304*100/Q304,0)</f>
        <v>0</v>
      </c>
      <c r="U304" s="264">
        <f t="shared" ref="U304:U312" ca="1" si="80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7">
        <f t="shared" ref="L305:N306" si="81">L308+L311</f>
        <v>0</v>
      </c>
      <c r="M305" s="77">
        <f t="shared" si="81"/>
        <v>0</v>
      </c>
      <c r="N305" s="77">
        <f t="shared" si="81"/>
        <v>0</v>
      </c>
      <c r="O305" s="77">
        <f t="shared" si="77"/>
        <v>0</v>
      </c>
      <c r="P305" s="77">
        <f t="shared" si="78"/>
        <v>0</v>
      </c>
      <c r="Q305" s="76">
        <f t="shared" ref="Q305:S306" si="82">Q308+Q311</f>
        <v>0</v>
      </c>
      <c r="R305" s="77">
        <f t="shared" si="82"/>
        <v>0</v>
      </c>
      <c r="S305" s="77">
        <f t="shared" si="82"/>
        <v>0</v>
      </c>
      <c r="T305" s="77">
        <f t="shared" si="79"/>
        <v>0</v>
      </c>
      <c r="U305" s="77">
        <f t="shared" si="80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4">
        <f t="shared" ca="1" si="81"/>
        <v>133500</v>
      </c>
      <c r="M306" s="74">
        <f t="shared" ca="1" si="81"/>
        <v>133500</v>
      </c>
      <c r="N306" s="74">
        <f t="shared" ca="1" si="81"/>
        <v>60220</v>
      </c>
      <c r="O306" s="74">
        <f t="shared" ca="1" si="77"/>
        <v>45.108614232209739</v>
      </c>
      <c r="P306" s="74">
        <f t="shared" ca="1" si="78"/>
        <v>45.108614232209739</v>
      </c>
      <c r="Q306" s="73">
        <f t="shared" ca="1" si="82"/>
        <v>144609.24</v>
      </c>
      <c r="R306" s="74">
        <f t="shared" ca="1" si="82"/>
        <v>144609</v>
      </c>
      <c r="S306" s="74">
        <f t="shared" ca="1" si="82"/>
        <v>0</v>
      </c>
      <c r="T306" s="74">
        <f t="shared" ca="1" si="79"/>
        <v>0</v>
      </c>
      <c r="U306" s="74">
        <f t="shared" ca="1" si="80"/>
        <v>0</v>
      </c>
    </row>
    <row r="307" spans="1:21" ht="18.75" x14ac:dyDescent="0.25">
      <c r="A307" s="257"/>
      <c r="B307" s="269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4">
        <f ca="1">L308+L309</f>
        <v>133500</v>
      </c>
      <c r="M307" s="74">
        <f ca="1">M308+M309</f>
        <v>133500</v>
      </c>
      <c r="N307" s="74">
        <f ca="1">N308+N309</f>
        <v>60220</v>
      </c>
      <c r="O307" s="74">
        <f t="shared" ca="1" si="77"/>
        <v>45.108614232209739</v>
      </c>
      <c r="P307" s="74">
        <f t="shared" ca="1" si="78"/>
        <v>45.108614232209739</v>
      </c>
      <c r="Q307" s="73">
        <f ca="1">Q308+Q309</f>
        <v>144609.24</v>
      </c>
      <c r="R307" s="74">
        <f ca="1">R308+R309</f>
        <v>144609</v>
      </c>
      <c r="S307" s="74">
        <f ca="1">S308+S309</f>
        <v>0</v>
      </c>
      <c r="T307" s="74">
        <f t="shared" ca="1" si="79"/>
        <v>0</v>
      </c>
      <c r="U307" s="74">
        <f t="shared" ca="1" si="80"/>
        <v>0</v>
      </c>
    </row>
    <row r="308" spans="1:21" ht="18.75" hidden="1" x14ac:dyDescent="0.25">
      <c r="A308" s="257"/>
      <c r="B308" s="269"/>
      <c r="C308" s="269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7">
        <v>0</v>
      </c>
      <c r="M308" s="77">
        <v>0</v>
      </c>
      <c r="N308" s="77">
        <v>0</v>
      </c>
      <c r="O308" s="77">
        <f t="shared" si="77"/>
        <v>0</v>
      </c>
      <c r="P308" s="77">
        <f t="shared" si="78"/>
        <v>0</v>
      </c>
      <c r="Q308" s="76">
        <v>0</v>
      </c>
      <c r="R308" s="77">
        <v>0</v>
      </c>
      <c r="S308" s="77">
        <v>0</v>
      </c>
      <c r="T308" s="77">
        <f t="shared" si="79"/>
        <v>0</v>
      </c>
      <c r="U308" s="77">
        <f t="shared" si="80"/>
        <v>0</v>
      </c>
    </row>
    <row r="309" spans="1:21" ht="18.75" hidden="1" x14ac:dyDescent="0.25">
      <c r="A309" s="257"/>
      <c r="B309" s="269"/>
      <c r="C309" s="269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4">
        <f ca="1">IFERROR(__xludf.DUMMYFUNCTION("IMPORTRANGE(""https://docs.google.com/spreadsheets/d/1-uDff_7J0KD5mKrp0Vvzr7lt3OU09vwQwhkpOPPYv2Y/edit?usp=sharing"",""งบพรบ!DY57"")"),133500)</f>
        <v>133500</v>
      </c>
      <c r="M309" s="74">
        <f ca="1">IFERROR(__xludf.DUMMYFUNCTION("IMPORTRANGE(""https://docs.google.com/spreadsheets/d/1-uDff_7J0KD5mKrp0Vvzr7lt3OU09vwQwhkpOPPYv2Y/edit?usp=sharing"",""งบพรบ!ED57"")"),133500)</f>
        <v>133500</v>
      </c>
      <c r="N309" s="74">
        <f ca="1">IFERROR(__xludf.DUMMYFUNCTION("IMPORTRANGE(""https://docs.google.com/spreadsheets/d/1-uDff_7J0KD5mKrp0Vvzr7lt3OU09vwQwhkpOPPYv2Y/edit?usp=sharing"",""งบพรบ!EF57"")"),60220)</f>
        <v>60220</v>
      </c>
      <c r="O309" s="74">
        <f t="shared" ca="1" si="77"/>
        <v>45.108614232209739</v>
      </c>
      <c r="P309" s="74">
        <f t="shared" ca="1" si="78"/>
        <v>45.108614232209739</v>
      </c>
      <c r="Q309" s="73">
        <f ca="1">IFERROR(__xludf.DUMMYFUNCTION("IMPORTRANGE(""https://docs.google.com/spreadsheets/d/1ItG2mGa2ceCfYo0BwxsXqNm01IGEUdYcSSLTEv9YCik/edit?usp=sharing"",""เบิกจ่ายกองทุน!AP57"")"),144609.24)</f>
        <v>144609.24</v>
      </c>
      <c r="R309" s="74">
        <f ca="1">IFERROR(__xludf.DUMMYFUNCTION("IMPORTRANGE(""https://docs.google.com/spreadsheets/d/1ItG2mGa2ceCfYo0BwxsXqNm01IGEUdYcSSLTEv9YCik/edit?usp=sharing"",""เบิกจ่ายกองทุน!AQ57"")"),144609)</f>
        <v>144609</v>
      </c>
      <c r="S309" s="74">
        <f ca="1">IFERROR(__xludf.DUMMYFUNCTION("IMPORTRANGE(""https://docs.google.com/spreadsheets/d/1ItG2mGa2ceCfYo0BwxsXqNm01IGEUdYcSSLTEv9YCik/edit?usp=sharing"",""เบิกจ่ายกองทุน!AR57"")"),0)</f>
        <v>0</v>
      </c>
      <c r="T309" s="74">
        <f t="shared" ca="1" si="79"/>
        <v>0</v>
      </c>
      <c r="U309" s="74">
        <f t="shared" ca="1" si="80"/>
        <v>0</v>
      </c>
    </row>
    <row r="310" spans="1:21" ht="18.75" x14ac:dyDescent="0.25">
      <c r="A310" s="257"/>
      <c r="B310" s="269"/>
      <c r="C310" s="269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4">
        <f ca="1">L311+L312</f>
        <v>0</v>
      </c>
      <c r="M310" s="74">
        <f ca="1">M311+M312</f>
        <v>0</v>
      </c>
      <c r="N310" s="74">
        <f ca="1">N311+N312</f>
        <v>0</v>
      </c>
      <c r="O310" s="74">
        <f t="shared" ca="1" si="77"/>
        <v>0</v>
      </c>
      <c r="P310" s="74">
        <f t="shared" ca="1" si="78"/>
        <v>0</v>
      </c>
      <c r="Q310" s="73">
        <f>Q311+Q312</f>
        <v>0</v>
      </c>
      <c r="R310" s="74">
        <f>R311+R312</f>
        <v>0</v>
      </c>
      <c r="S310" s="74">
        <f>S311+S312</f>
        <v>0</v>
      </c>
      <c r="T310" s="74">
        <f t="shared" si="79"/>
        <v>0</v>
      </c>
      <c r="U310" s="74">
        <f t="shared" si="80"/>
        <v>0</v>
      </c>
    </row>
    <row r="311" spans="1:21" ht="18.75" hidden="1" x14ac:dyDescent="0.25">
      <c r="A311" s="257"/>
      <c r="B311" s="269"/>
      <c r="C311" s="269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7">
        <v>0</v>
      </c>
      <c r="M311" s="77">
        <v>0</v>
      </c>
      <c r="N311" s="77">
        <v>0</v>
      </c>
      <c r="O311" s="77">
        <f t="shared" si="77"/>
        <v>0</v>
      </c>
      <c r="P311" s="77">
        <f t="shared" si="78"/>
        <v>0</v>
      </c>
      <c r="Q311" s="76">
        <v>0</v>
      </c>
      <c r="R311" s="77">
        <v>0</v>
      </c>
      <c r="S311" s="77">
        <v>0</v>
      </c>
      <c r="T311" s="77">
        <f t="shared" si="79"/>
        <v>0</v>
      </c>
      <c r="U311" s="77">
        <f t="shared" si="80"/>
        <v>0</v>
      </c>
    </row>
    <row r="312" spans="1:21" ht="18.75" hidden="1" x14ac:dyDescent="0.25">
      <c r="A312" s="257"/>
      <c r="B312" s="269"/>
      <c r="C312" s="269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4">
        <f ca="1">IFERROR(__xludf.DUMMYFUNCTION("IMPORTRANGE(""https://docs.google.com/spreadsheets/d/1-uDff_7J0KD5mKrp0Vvzr7lt3OU09vwQwhkpOPPYv2Y/edit?usp=sharing"",""งบพรบ!EB57"")"),0)</f>
        <v>0</v>
      </c>
      <c r="M312" s="74">
        <f ca="1">IFERROR(__xludf.DUMMYFUNCTION("IMPORTRANGE(""https://docs.google.com/spreadsheets/d/1-uDff_7J0KD5mKrp0Vvzr7lt3OU09vwQwhkpOPPYv2Y/edit?usp=sharing"",""งบพรบ!EE57"")"),0)</f>
        <v>0</v>
      </c>
      <c r="N312" s="74">
        <f ca="1">IFERROR(__xludf.DUMMYFUNCTION("IMPORTRANGE(""https://docs.google.com/spreadsheets/d/1-uDff_7J0KD5mKrp0Vvzr7lt3OU09vwQwhkpOPPYv2Y/edit?usp=sharing"",""งบพรบ!EG57"")"),0)</f>
        <v>0</v>
      </c>
      <c r="O312" s="74">
        <f t="shared" ca="1" si="77"/>
        <v>0</v>
      </c>
      <c r="P312" s="74">
        <f t="shared" ca="1" si="78"/>
        <v>0</v>
      </c>
      <c r="Q312" s="73">
        <v>0</v>
      </c>
      <c r="R312" s="74">
        <v>0</v>
      </c>
      <c r="S312" s="74">
        <v>0</v>
      </c>
      <c r="T312" s="74">
        <f t="shared" si="79"/>
        <v>0</v>
      </c>
      <c r="U312" s="74">
        <f t="shared" si="80"/>
        <v>0</v>
      </c>
    </row>
    <row r="313" spans="1:21" ht="19.5" x14ac:dyDescent="0.3">
      <c r="A313" s="276"/>
      <c r="B313" s="277"/>
      <c r="C313" s="621" t="s">
        <v>18</v>
      </c>
      <c r="D313" s="1019" t="s">
        <v>38</v>
      </c>
      <c r="E313" s="783"/>
      <c r="F313" s="783"/>
      <c r="G313" s="1181"/>
      <c r="H313" s="282"/>
      <c r="I313" s="263"/>
      <c r="J313" s="263"/>
      <c r="K313" s="87"/>
      <c r="L313" s="87"/>
      <c r="M313" s="87"/>
      <c r="N313" s="87"/>
      <c r="O313" s="87"/>
      <c r="P313" s="87"/>
      <c r="Q313" s="86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1"/>
      <c r="E314" s="285"/>
      <c r="F314" s="285"/>
      <c r="G314" s="286"/>
      <c r="H314" s="286"/>
      <c r="I314" s="287"/>
      <c r="J314" s="1252"/>
      <c r="K314" s="30"/>
      <c r="L314" s="30"/>
      <c r="M314" s="30"/>
      <c r="N314" s="30"/>
      <c r="O314" s="30"/>
      <c r="P314" s="30"/>
      <c r="Q314" s="29"/>
      <c r="R314" s="30"/>
      <c r="S314" s="30"/>
      <c r="T314" s="30"/>
      <c r="U314" s="30"/>
    </row>
    <row r="315" spans="1:21" ht="18.75" x14ac:dyDescent="0.25">
      <c r="A315" s="276"/>
      <c r="B315" s="277"/>
      <c r="C315" s="277"/>
      <c r="D315" s="295" t="s">
        <v>121</v>
      </c>
      <c r="E315" s="296"/>
      <c r="F315" s="296"/>
      <c r="G315" s="282"/>
      <c r="H315" s="275" t="s">
        <v>35</v>
      </c>
      <c r="I315" s="293">
        <f ca="1">IFERROR(__xludf.DUMMYFUNCTION("IMPORTRANGE(""https://docs.google.com/spreadsheets/d/1eHaY18a8A9IcSdp1K8H6x8fbOy06t2VsZHhMHf-1x7Y/edit?usp=sharing"",""แผน!EF57"")"),20)</f>
        <v>20</v>
      </c>
      <c r="J315" s="294">
        <v>0</v>
      </c>
      <c r="K315" s="74">
        <f ca="1">IF(I315&gt;0,J315*100/I315,0)</f>
        <v>0</v>
      </c>
      <c r="L315" s="87"/>
      <c r="M315" s="87"/>
      <c r="N315" s="87"/>
      <c r="O315" s="87"/>
      <c r="P315" s="87"/>
      <c r="Q315" s="86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254"/>
      <c r="I316" s="1252"/>
      <c r="J316" s="1252"/>
      <c r="K316" s="1255"/>
      <c r="L316" s="30"/>
      <c r="M316" s="30"/>
      <c r="N316" s="30"/>
      <c r="O316" s="30"/>
      <c r="P316" s="30"/>
      <c r="Q316" s="29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254"/>
      <c r="I317" s="1252"/>
      <c r="J317" s="1252"/>
      <c r="K317" s="1255"/>
      <c r="L317" s="30"/>
      <c r="M317" s="30"/>
      <c r="N317" s="30"/>
      <c r="O317" s="30"/>
      <c r="P317" s="30"/>
      <c r="Q317" s="29"/>
      <c r="R317" s="30"/>
      <c r="S317" s="30"/>
      <c r="T317" s="30"/>
      <c r="U317" s="30"/>
    </row>
    <row r="318" spans="1:21" ht="18.75" hidden="1" x14ac:dyDescent="0.25">
      <c r="A318" s="283"/>
      <c r="B318" s="284"/>
      <c r="C318" s="284"/>
      <c r="D318" s="812"/>
      <c r="E318" s="285"/>
      <c r="F318" s="285"/>
      <c r="G318" s="286"/>
      <c r="H318" s="1256"/>
      <c r="I318" s="887"/>
      <c r="J318" s="887"/>
      <c r="K318" s="888"/>
      <c r="L318" s="30"/>
      <c r="M318" s="30"/>
      <c r="N318" s="30"/>
      <c r="O318" s="30"/>
      <c r="P318" s="30"/>
      <c r="Q318" s="29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4"/>
      <c r="I319" s="1178"/>
      <c r="J319" s="1178"/>
      <c r="K319" s="520"/>
      <c r="L319" s="520"/>
      <c r="M319" s="520"/>
      <c r="N319" s="520"/>
      <c r="O319" s="520"/>
      <c r="P319" s="520"/>
      <c r="Q319" s="519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609" t="s">
        <v>133</v>
      </c>
      <c r="I320" s="617">
        <f ca="1">I331</f>
        <v>0</v>
      </c>
      <c r="J320" s="617">
        <f>J331</f>
        <v>0</v>
      </c>
      <c r="K320" s="611">
        <f ca="1">IF(I320&gt;0,J320*100/I320,0)</f>
        <v>0</v>
      </c>
      <c r="L320" s="530"/>
      <c r="M320" s="530"/>
      <c r="N320" s="530"/>
      <c r="O320" s="530"/>
      <c r="P320" s="530"/>
      <c r="Q320" s="529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264">
        <f ca="1">L322+L323</f>
        <v>0</v>
      </c>
      <c r="M321" s="264">
        <f ca="1">M322+M323</f>
        <v>0</v>
      </c>
      <c r="N321" s="264">
        <f ca="1">N322+N323</f>
        <v>0</v>
      </c>
      <c r="O321" s="264">
        <f t="shared" ref="O321:O329" ca="1" si="83">IF(L321&gt;0,N321*100/L321,0)</f>
        <v>0</v>
      </c>
      <c r="P321" s="264">
        <f t="shared" ref="P321:P329" ca="1" si="84">IF(M321&gt;0,N321*100/M321,0)</f>
        <v>0</v>
      </c>
      <c r="Q321" s="1257">
        <f>Q322+Q323</f>
        <v>0</v>
      </c>
      <c r="R321" s="264">
        <f>R322+R323</f>
        <v>0</v>
      </c>
      <c r="S321" s="264">
        <f>S322+S323</f>
        <v>0</v>
      </c>
      <c r="T321" s="264">
        <f t="shared" ref="T321:T329" si="85">IF(Q321&gt;0,S321*100/Q321,0)</f>
        <v>0</v>
      </c>
      <c r="U321" s="264">
        <f t="shared" ref="U321:U329" si="86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7">
        <f t="shared" ref="L322:N323" si="87">L325+L328</f>
        <v>0</v>
      </c>
      <c r="M322" s="77">
        <f t="shared" si="87"/>
        <v>0</v>
      </c>
      <c r="N322" s="77">
        <f t="shared" si="87"/>
        <v>0</v>
      </c>
      <c r="O322" s="77">
        <f t="shared" si="83"/>
        <v>0</v>
      </c>
      <c r="P322" s="77">
        <f t="shared" si="84"/>
        <v>0</v>
      </c>
      <c r="Q322" s="76">
        <f t="shared" ref="Q322:S323" si="88">Q325+Q328</f>
        <v>0</v>
      </c>
      <c r="R322" s="77">
        <f t="shared" si="88"/>
        <v>0</v>
      </c>
      <c r="S322" s="77">
        <f t="shared" si="88"/>
        <v>0</v>
      </c>
      <c r="T322" s="77">
        <f t="shared" si="85"/>
        <v>0</v>
      </c>
      <c r="U322" s="77">
        <f t="shared" si="86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4">
        <f t="shared" ca="1" si="87"/>
        <v>0</v>
      </c>
      <c r="M323" s="74">
        <f t="shared" ca="1" si="87"/>
        <v>0</v>
      </c>
      <c r="N323" s="74">
        <f t="shared" ca="1" si="87"/>
        <v>0</v>
      </c>
      <c r="O323" s="74">
        <f t="shared" ca="1" si="83"/>
        <v>0</v>
      </c>
      <c r="P323" s="74">
        <f t="shared" ca="1" si="84"/>
        <v>0</v>
      </c>
      <c r="Q323" s="73">
        <f t="shared" si="88"/>
        <v>0</v>
      </c>
      <c r="R323" s="74">
        <f t="shared" si="88"/>
        <v>0</v>
      </c>
      <c r="S323" s="74">
        <f t="shared" si="88"/>
        <v>0</v>
      </c>
      <c r="T323" s="74">
        <f t="shared" si="85"/>
        <v>0</v>
      </c>
      <c r="U323" s="74">
        <f t="shared" si="86"/>
        <v>0</v>
      </c>
    </row>
    <row r="324" spans="1:21" ht="18.75" hidden="1" x14ac:dyDescent="0.25">
      <c r="A324" s="257"/>
      <c r="B324" s="269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4">
        <f ca="1">L325+L326</f>
        <v>0</v>
      </c>
      <c r="M324" s="74">
        <f ca="1">M325+M326</f>
        <v>0</v>
      </c>
      <c r="N324" s="74">
        <f ca="1">N325+N326</f>
        <v>0</v>
      </c>
      <c r="O324" s="74">
        <f t="shared" ca="1" si="83"/>
        <v>0</v>
      </c>
      <c r="P324" s="74">
        <f t="shared" ca="1" si="84"/>
        <v>0</v>
      </c>
      <c r="Q324" s="73">
        <f>Q325+Q326</f>
        <v>0</v>
      </c>
      <c r="R324" s="74">
        <f>R325+R326</f>
        <v>0</v>
      </c>
      <c r="S324" s="74">
        <f>S325+S326</f>
        <v>0</v>
      </c>
      <c r="T324" s="74">
        <f t="shared" si="85"/>
        <v>0</v>
      </c>
      <c r="U324" s="74">
        <f t="shared" si="86"/>
        <v>0</v>
      </c>
    </row>
    <row r="325" spans="1:21" ht="18.75" hidden="1" x14ac:dyDescent="0.25">
      <c r="A325" s="257"/>
      <c r="B325" s="269"/>
      <c r="C325" s="269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7">
        <v>0</v>
      </c>
      <c r="M325" s="77">
        <v>0</v>
      </c>
      <c r="N325" s="77">
        <v>0</v>
      </c>
      <c r="O325" s="77">
        <f t="shared" si="83"/>
        <v>0</v>
      </c>
      <c r="P325" s="77">
        <f t="shared" si="84"/>
        <v>0</v>
      </c>
      <c r="Q325" s="76">
        <v>0</v>
      </c>
      <c r="R325" s="77">
        <v>0</v>
      </c>
      <c r="S325" s="77">
        <v>0</v>
      </c>
      <c r="T325" s="77">
        <f t="shared" si="85"/>
        <v>0</v>
      </c>
      <c r="U325" s="77">
        <f t="shared" si="86"/>
        <v>0</v>
      </c>
    </row>
    <row r="326" spans="1:21" ht="18.75" hidden="1" x14ac:dyDescent="0.25">
      <c r="A326" s="257"/>
      <c r="B326" s="269"/>
      <c r="C326" s="269"/>
      <c r="D326" s="258"/>
      <c r="E326" s="749" t="s">
        <v>37</v>
      </c>
      <c r="F326" s="269"/>
      <c r="G326" s="312"/>
      <c r="H326" s="271" t="s">
        <v>14</v>
      </c>
      <c r="I326" s="272"/>
      <c r="J326" s="272"/>
      <c r="K326" s="229"/>
      <c r="L326" s="74">
        <f ca="1">IFERROR(__xludf.DUMMYFUNCTION("IMPORTRANGE(""https://docs.google.com/spreadsheets/d/1-uDff_7J0KD5mKrp0Vvzr7lt3OU09vwQwhkpOPPYv2Y/edit?usp=sharing"",""งบพรบ!EI57"")"),0)</f>
        <v>0</v>
      </c>
      <c r="M326" s="74">
        <f ca="1">IFERROR(__xludf.DUMMYFUNCTION("IMPORTRANGE(""https://docs.google.com/spreadsheets/d/1-uDff_7J0KD5mKrp0Vvzr7lt3OU09vwQwhkpOPPYv2Y/edit?usp=sharing"",""งบพรบ!EN57"")"),0)</f>
        <v>0</v>
      </c>
      <c r="N326" s="74">
        <f ca="1">IFERROR(__xludf.DUMMYFUNCTION("IMPORTRANGE(""https://docs.google.com/spreadsheets/d/1-uDff_7J0KD5mKrp0Vvzr7lt3OU09vwQwhkpOPPYv2Y/edit?usp=sharing"",""งบพรบ!EP57"")"),0)</f>
        <v>0</v>
      </c>
      <c r="O326" s="74">
        <f t="shared" ca="1" si="83"/>
        <v>0</v>
      </c>
      <c r="P326" s="74">
        <f t="shared" ca="1" si="84"/>
        <v>0</v>
      </c>
      <c r="Q326" s="73">
        <v>0</v>
      </c>
      <c r="R326" s="74">
        <v>0</v>
      </c>
      <c r="S326" s="74">
        <v>0</v>
      </c>
      <c r="T326" s="74">
        <f t="shared" si="85"/>
        <v>0</v>
      </c>
      <c r="U326" s="74">
        <f t="shared" si="86"/>
        <v>0</v>
      </c>
    </row>
    <row r="327" spans="1:21" ht="18.75" hidden="1" x14ac:dyDescent="0.25">
      <c r="A327" s="257"/>
      <c r="B327" s="258"/>
      <c r="C327" s="269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4">
        <f ca="1">L328+L329</f>
        <v>0</v>
      </c>
      <c r="M327" s="74">
        <f ca="1">M328+M329</f>
        <v>0</v>
      </c>
      <c r="N327" s="74">
        <f ca="1">N328+N329</f>
        <v>0</v>
      </c>
      <c r="O327" s="74">
        <f t="shared" ca="1" si="83"/>
        <v>0</v>
      </c>
      <c r="P327" s="74">
        <f t="shared" ca="1" si="84"/>
        <v>0</v>
      </c>
      <c r="Q327" s="73">
        <f>Q328+Q329</f>
        <v>0</v>
      </c>
      <c r="R327" s="74">
        <f>R328+R329</f>
        <v>0</v>
      </c>
      <c r="S327" s="74">
        <f>S328+S329</f>
        <v>0</v>
      </c>
      <c r="T327" s="74">
        <f t="shared" si="85"/>
        <v>0</v>
      </c>
      <c r="U327" s="74">
        <f t="shared" si="86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7">
        <v>0</v>
      </c>
      <c r="M328" s="77">
        <v>0</v>
      </c>
      <c r="N328" s="77">
        <v>0</v>
      </c>
      <c r="O328" s="77">
        <f t="shared" si="83"/>
        <v>0</v>
      </c>
      <c r="P328" s="77">
        <f t="shared" si="84"/>
        <v>0</v>
      </c>
      <c r="Q328" s="76">
        <v>0</v>
      </c>
      <c r="R328" s="77">
        <v>0</v>
      </c>
      <c r="S328" s="77">
        <v>0</v>
      </c>
      <c r="T328" s="77">
        <f t="shared" si="85"/>
        <v>0</v>
      </c>
      <c r="U328" s="77">
        <f t="shared" si="86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4">
        <f ca="1">IFERROR(__xludf.DUMMYFUNCTION("IMPORTRANGE(""https://docs.google.com/spreadsheets/d/1-uDff_7J0KD5mKrp0Vvzr7lt3OU09vwQwhkpOPPYv2Y/edit?usp=sharing"",""งบพรบ!EL57"")"),0)</f>
        <v>0</v>
      </c>
      <c r="M329" s="74">
        <f ca="1">IFERROR(__xludf.DUMMYFUNCTION("IMPORTRANGE(""https://docs.google.com/spreadsheets/d/1-uDff_7J0KD5mKrp0Vvzr7lt3OU09vwQwhkpOPPYv2Y/edit?usp=sharing"",""งบพรบ!EO57"")"),0)</f>
        <v>0</v>
      </c>
      <c r="N329" s="74">
        <f ca="1">IFERROR(__xludf.DUMMYFUNCTION("IMPORTRANGE(""https://docs.google.com/spreadsheets/d/1-uDff_7J0KD5mKrp0Vvzr7lt3OU09vwQwhkpOPPYv2Y/edit?usp=sharing"",""งบพรบ!EQ57"")"),0)</f>
        <v>0</v>
      </c>
      <c r="O329" s="74">
        <f t="shared" ca="1" si="83"/>
        <v>0</v>
      </c>
      <c r="P329" s="74">
        <f t="shared" ca="1" si="84"/>
        <v>0</v>
      </c>
      <c r="Q329" s="73">
        <v>0</v>
      </c>
      <c r="R329" s="74">
        <v>0</v>
      </c>
      <c r="S329" s="74">
        <v>0</v>
      </c>
      <c r="T329" s="74">
        <f t="shared" si="85"/>
        <v>0</v>
      </c>
      <c r="U329" s="74">
        <f t="shared" si="86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310"/>
      <c r="I330" s="272"/>
      <c r="J330" s="263"/>
      <c r="K330" s="87"/>
      <c r="L330" s="87"/>
      <c r="M330" s="87"/>
      <c r="N330" s="87"/>
      <c r="O330" s="229"/>
      <c r="P330" s="229"/>
      <c r="Q330" s="86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68" t="s">
        <v>133</v>
      </c>
      <c r="I331" s="293">
        <f ca="1">IFERROR(__xludf.DUMMYFUNCTION("IMPORTRANGE(""https://docs.google.com/spreadsheets/d/1eHaY18a8A9IcSdp1K8H6x8fbOy06t2VsZHhMHf-1x7Y/edit?usp=sharing"",""แผน!EJ57"")"),0)</f>
        <v>0</v>
      </c>
      <c r="J331" s="294">
        <v>0</v>
      </c>
      <c r="K331" s="74">
        <f ca="1">IF(I331&gt;0,J331*100/I331,0)</f>
        <v>0</v>
      </c>
      <c r="L331" s="87"/>
      <c r="M331" s="87"/>
      <c r="N331" s="87"/>
      <c r="O331" s="229"/>
      <c r="P331" s="229"/>
      <c r="Q331" s="86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4"/>
      <c r="I332" s="1178"/>
      <c r="J332" s="1178"/>
      <c r="K332" s="520"/>
      <c r="L332" s="520"/>
      <c r="M332" s="520"/>
      <c r="N332" s="520"/>
      <c r="O332" s="520"/>
      <c r="P332" s="520"/>
      <c r="Q332" s="519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609" t="s">
        <v>35</v>
      </c>
      <c r="I333" s="534">
        <f ca="1">I345</f>
        <v>540</v>
      </c>
      <c r="J333" s="535">
        <f ca="1">J345+J348+J349+J350+J354</f>
        <v>1383</v>
      </c>
      <c r="K333" s="536">
        <f ca="1">IF(I333&gt;0,J333*100/I333,0)</f>
        <v>256.11111111111109</v>
      </c>
      <c r="L333" s="530"/>
      <c r="M333" s="530"/>
      <c r="N333" s="530"/>
      <c r="O333" s="530"/>
      <c r="P333" s="530"/>
      <c r="Q333" s="529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264">
        <f ca="1">L335+L336</f>
        <v>103000</v>
      </c>
      <c r="M334" s="264">
        <f ca="1">M335+M336</f>
        <v>108000</v>
      </c>
      <c r="N334" s="264">
        <f ca="1">N335+N336</f>
        <v>55887</v>
      </c>
      <c r="O334" s="264">
        <f t="shared" ref="O334:O342" ca="1" si="89">IF(L334&gt;0,N334*100/L334,0)</f>
        <v>54.259223300970874</v>
      </c>
      <c r="P334" s="264">
        <f t="shared" ref="P334:P342" ca="1" si="90">IF(M334&gt;0,N334*100/M334,0)</f>
        <v>51.74722222222222</v>
      </c>
      <c r="Q334" s="1257">
        <f>Q335+Q336</f>
        <v>0</v>
      </c>
      <c r="R334" s="264">
        <f>R335+R336</f>
        <v>0</v>
      </c>
      <c r="S334" s="264">
        <f>S335+S336</f>
        <v>0</v>
      </c>
      <c r="T334" s="264">
        <f t="shared" ref="T334:T342" si="91">IF(Q334&gt;0,S334*100/Q334,0)</f>
        <v>0</v>
      </c>
      <c r="U334" s="264">
        <f t="shared" ref="U334:U342" si="92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7">
        <f t="shared" ref="L335:N336" si="93">L338+L341</f>
        <v>0</v>
      </c>
      <c r="M335" s="77">
        <f t="shared" si="93"/>
        <v>0</v>
      </c>
      <c r="N335" s="77">
        <f t="shared" si="93"/>
        <v>0</v>
      </c>
      <c r="O335" s="77">
        <f t="shared" si="89"/>
        <v>0</v>
      </c>
      <c r="P335" s="77">
        <f t="shared" si="90"/>
        <v>0</v>
      </c>
      <c r="Q335" s="76">
        <f t="shared" ref="Q335:S336" si="94">Q338+Q341</f>
        <v>0</v>
      </c>
      <c r="R335" s="77">
        <f t="shared" si="94"/>
        <v>0</v>
      </c>
      <c r="S335" s="77">
        <f t="shared" si="94"/>
        <v>0</v>
      </c>
      <c r="T335" s="77">
        <f t="shared" si="91"/>
        <v>0</v>
      </c>
      <c r="U335" s="77">
        <f t="shared" si="92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4">
        <f t="shared" ca="1" si="93"/>
        <v>103000</v>
      </c>
      <c r="M336" s="74">
        <f t="shared" ca="1" si="93"/>
        <v>108000</v>
      </c>
      <c r="N336" s="74">
        <f t="shared" ca="1" si="93"/>
        <v>55887</v>
      </c>
      <c r="O336" s="74">
        <f t="shared" ca="1" si="89"/>
        <v>54.259223300970874</v>
      </c>
      <c r="P336" s="74">
        <f t="shared" ca="1" si="90"/>
        <v>51.74722222222222</v>
      </c>
      <c r="Q336" s="73">
        <f t="shared" si="94"/>
        <v>0</v>
      </c>
      <c r="R336" s="74">
        <f t="shared" si="94"/>
        <v>0</v>
      </c>
      <c r="S336" s="74">
        <f t="shared" si="94"/>
        <v>0</v>
      </c>
      <c r="T336" s="74">
        <f t="shared" si="91"/>
        <v>0</v>
      </c>
      <c r="U336" s="74">
        <f t="shared" si="92"/>
        <v>0</v>
      </c>
    </row>
    <row r="337" spans="1:21" ht="18.75" x14ac:dyDescent="0.25">
      <c r="A337" s="257"/>
      <c r="B337" s="269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4">
        <f ca="1">L338+L339</f>
        <v>103000</v>
      </c>
      <c r="M337" s="74">
        <f ca="1">M338+M339</f>
        <v>108000</v>
      </c>
      <c r="N337" s="74">
        <f ca="1">N338+N339</f>
        <v>55887</v>
      </c>
      <c r="O337" s="74">
        <f t="shared" ca="1" si="89"/>
        <v>54.259223300970874</v>
      </c>
      <c r="P337" s="74">
        <f t="shared" ca="1" si="90"/>
        <v>51.74722222222222</v>
      </c>
      <c r="Q337" s="73">
        <f>Q338+Q339</f>
        <v>0</v>
      </c>
      <c r="R337" s="74">
        <f>R338+R339</f>
        <v>0</v>
      </c>
      <c r="S337" s="74">
        <f>S338+S339</f>
        <v>0</v>
      </c>
      <c r="T337" s="74">
        <f t="shared" si="91"/>
        <v>0</v>
      </c>
      <c r="U337" s="74">
        <f t="shared" si="92"/>
        <v>0</v>
      </c>
    </row>
    <row r="338" spans="1:21" ht="18.75" hidden="1" x14ac:dyDescent="0.25">
      <c r="A338" s="257"/>
      <c r="B338" s="258"/>
      <c r="C338" s="269"/>
      <c r="D338" s="258"/>
      <c r="E338" s="775" t="s">
        <v>36</v>
      </c>
      <c r="F338" s="258"/>
      <c r="G338" s="261"/>
      <c r="H338" s="273" t="s">
        <v>14</v>
      </c>
      <c r="I338" s="272"/>
      <c r="J338" s="272"/>
      <c r="K338" s="229"/>
      <c r="L338" s="77">
        <v>0</v>
      </c>
      <c r="M338" s="77">
        <v>0</v>
      </c>
      <c r="N338" s="77">
        <v>0</v>
      </c>
      <c r="O338" s="77">
        <f t="shared" si="89"/>
        <v>0</v>
      </c>
      <c r="P338" s="77">
        <f t="shared" si="90"/>
        <v>0</v>
      </c>
      <c r="Q338" s="76">
        <v>0</v>
      </c>
      <c r="R338" s="77">
        <v>0</v>
      </c>
      <c r="S338" s="77">
        <v>0</v>
      </c>
      <c r="T338" s="77">
        <f t="shared" si="91"/>
        <v>0</v>
      </c>
      <c r="U338" s="77">
        <f t="shared" si="92"/>
        <v>0</v>
      </c>
    </row>
    <row r="339" spans="1:21" ht="18.75" hidden="1" x14ac:dyDescent="0.25">
      <c r="A339" s="257"/>
      <c r="B339" s="258"/>
      <c r="C339" s="269"/>
      <c r="D339" s="258"/>
      <c r="E339" s="749" t="s">
        <v>37</v>
      </c>
      <c r="F339" s="258"/>
      <c r="G339" s="261"/>
      <c r="H339" s="271" t="s">
        <v>14</v>
      </c>
      <c r="I339" s="272"/>
      <c r="J339" s="272"/>
      <c r="K339" s="229"/>
      <c r="L339" s="74">
        <f ca="1">IFERROR(__xludf.DUMMYFUNCTION("IMPORTRANGE(""https://docs.google.com/spreadsheets/d/1-uDff_7J0KD5mKrp0Vvzr7lt3OU09vwQwhkpOPPYv2Y/edit?usp=sharing"",""งบพรบ!ES57"")"),103000)</f>
        <v>103000</v>
      </c>
      <c r="M339" s="74">
        <f ca="1">IFERROR(__xludf.DUMMYFUNCTION("IMPORTRANGE(""https://docs.google.com/spreadsheets/d/1-uDff_7J0KD5mKrp0Vvzr7lt3OU09vwQwhkpOPPYv2Y/edit?usp=sharing"",""งบพรบ!EX57"")"),108000)</f>
        <v>108000</v>
      </c>
      <c r="N339" s="74">
        <f ca="1">IFERROR(__xludf.DUMMYFUNCTION("IMPORTRANGE(""https://docs.google.com/spreadsheets/d/1-uDff_7J0KD5mKrp0Vvzr7lt3OU09vwQwhkpOPPYv2Y/edit?usp=sharing"",""งบพรบ!EZ57"")"),55887)</f>
        <v>55887</v>
      </c>
      <c r="O339" s="74">
        <f t="shared" ca="1" si="89"/>
        <v>54.259223300970874</v>
      </c>
      <c r="P339" s="74">
        <f t="shared" ca="1" si="90"/>
        <v>51.74722222222222</v>
      </c>
      <c r="Q339" s="73">
        <v>0</v>
      </c>
      <c r="R339" s="74">
        <v>0</v>
      </c>
      <c r="S339" s="74">
        <v>0</v>
      </c>
      <c r="T339" s="74">
        <f t="shared" si="91"/>
        <v>0</v>
      </c>
      <c r="U339" s="74">
        <f t="shared" si="92"/>
        <v>0</v>
      </c>
    </row>
    <row r="340" spans="1:21" ht="18.75" x14ac:dyDescent="0.25">
      <c r="A340" s="257"/>
      <c r="B340" s="258"/>
      <c r="C340" s="269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4">
        <f ca="1">L341+L342</f>
        <v>0</v>
      </c>
      <c r="M340" s="74">
        <f ca="1">M341+M342</f>
        <v>0</v>
      </c>
      <c r="N340" s="74">
        <f ca="1">N341+N342</f>
        <v>0</v>
      </c>
      <c r="O340" s="74">
        <f t="shared" ca="1" si="89"/>
        <v>0</v>
      </c>
      <c r="P340" s="74">
        <f t="shared" ca="1" si="90"/>
        <v>0</v>
      </c>
      <c r="Q340" s="73">
        <f>Q341+Q342</f>
        <v>0</v>
      </c>
      <c r="R340" s="74">
        <f>R341+R342</f>
        <v>0</v>
      </c>
      <c r="S340" s="74">
        <f>S341+S342</f>
        <v>0</v>
      </c>
      <c r="T340" s="74">
        <f t="shared" si="91"/>
        <v>0</v>
      </c>
      <c r="U340" s="74">
        <f t="shared" si="92"/>
        <v>0</v>
      </c>
    </row>
    <row r="341" spans="1:21" ht="18.75" hidden="1" x14ac:dyDescent="0.25">
      <c r="A341" s="257"/>
      <c r="B341" s="258"/>
      <c r="C341" s="269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7">
        <v>0</v>
      </c>
      <c r="M341" s="77">
        <v>0</v>
      </c>
      <c r="N341" s="77">
        <v>0</v>
      </c>
      <c r="O341" s="77">
        <f t="shared" si="89"/>
        <v>0</v>
      </c>
      <c r="P341" s="77">
        <f t="shared" si="90"/>
        <v>0</v>
      </c>
      <c r="Q341" s="76">
        <v>0</v>
      </c>
      <c r="R341" s="77">
        <v>0</v>
      </c>
      <c r="S341" s="77">
        <v>0</v>
      </c>
      <c r="T341" s="77">
        <f t="shared" si="91"/>
        <v>0</v>
      </c>
      <c r="U341" s="77">
        <f t="shared" si="92"/>
        <v>0</v>
      </c>
    </row>
    <row r="342" spans="1:21" ht="18.75" hidden="1" x14ac:dyDescent="0.25">
      <c r="A342" s="257"/>
      <c r="B342" s="258"/>
      <c r="C342" s="269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4">
        <f ca="1">IFERROR(__xludf.DUMMYFUNCTION("IMPORTRANGE(""https://docs.google.com/spreadsheets/d/1-uDff_7J0KD5mKrp0Vvzr7lt3OU09vwQwhkpOPPYv2Y/edit?usp=sharing"",""งบพรบ!EV57"")"),0)</f>
        <v>0</v>
      </c>
      <c r="M342" s="74">
        <f ca="1">IFERROR(__xludf.DUMMYFUNCTION("IMPORTRANGE(""https://docs.google.com/spreadsheets/d/1-uDff_7J0KD5mKrp0Vvzr7lt3OU09vwQwhkpOPPYv2Y/edit?usp=sharing"",""งบพรบ!EY57"")"),0)</f>
        <v>0</v>
      </c>
      <c r="N342" s="74">
        <f ca="1">IFERROR(__xludf.DUMMYFUNCTION("IMPORTRANGE(""https://docs.google.com/spreadsheets/d/1-uDff_7J0KD5mKrp0Vvzr7lt3OU09vwQwhkpOPPYv2Y/edit?usp=sharing"",""งบพรบ!FA57"")"),0)</f>
        <v>0</v>
      </c>
      <c r="O342" s="74">
        <f t="shared" ca="1" si="89"/>
        <v>0</v>
      </c>
      <c r="P342" s="74">
        <f t="shared" ca="1" si="90"/>
        <v>0</v>
      </c>
      <c r="Q342" s="73">
        <v>0</v>
      </c>
      <c r="R342" s="74">
        <v>0</v>
      </c>
      <c r="S342" s="74">
        <v>0</v>
      </c>
      <c r="T342" s="74">
        <f t="shared" si="91"/>
        <v>0</v>
      </c>
      <c r="U342" s="74">
        <f t="shared" si="92"/>
        <v>0</v>
      </c>
    </row>
    <row r="343" spans="1:21" ht="19.5" x14ac:dyDescent="0.3">
      <c r="A343" s="276"/>
      <c r="B343" s="277"/>
      <c r="C343" s="621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7"/>
      <c r="M343" s="87"/>
      <c r="N343" s="87"/>
      <c r="O343" s="229"/>
      <c r="P343" s="229"/>
      <c r="Q343" s="86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375</v>
      </c>
      <c r="K344" s="548">
        <v>0</v>
      </c>
      <c r="L344" s="1260"/>
      <c r="M344" s="1260"/>
      <c r="N344" s="1260"/>
      <c r="O344" s="1260"/>
      <c r="P344" s="1260"/>
      <c r="Q344" s="391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307" t="s">
        <v>35</v>
      </c>
      <c r="I345" s="293">
        <f ca="1">IFERROR(__xludf.DUMMYFUNCTION("IMPORTRANGE(""https://docs.google.com/spreadsheets/d/1eHaY18a8A9IcSdp1K8H6x8fbOy06t2VsZHhMHf-1x7Y/edit?usp=sharing"",""แผน!EK57"")"),540)</f>
        <v>540</v>
      </c>
      <c r="J345" s="293">
        <f ca="1">IFERROR(__xludf.DUMMYFUNCTION("IMPORTRANGE(""https://docs.google.com/spreadsheets/d/1awYsYK3VOup2i3Pq_Yjnu8DRu_mYwSBnCR2QPthd0rU/edit?usp=sharing"",""ศูนย์ยกเว้นโฉนด!D57"")"),372)</f>
        <v>372</v>
      </c>
      <c r="K345" s="74">
        <f ca="1">IF(I345&gt;0,J345*100/I345,0)</f>
        <v>68.888888888888886</v>
      </c>
      <c r="L345" s="87"/>
      <c r="M345" s="87"/>
      <c r="N345" s="87"/>
      <c r="O345" s="87"/>
      <c r="P345" s="87"/>
      <c r="Q345" s="86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7"/>
      <c r="M346" s="87"/>
      <c r="N346" s="87"/>
      <c r="O346" s="87"/>
      <c r="P346" s="87"/>
      <c r="Q346" s="86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IFERROR(__xludf.DUMMYFUNCTION("IMPORTRANGE(""https://docs.google.com/spreadsheets/d/1eHaY18a8A9IcSdp1K8H6x8fbOy06t2VsZHhMHf-1x7Y/edit?usp=sharing"",""แผน!EL57"")"),3)</f>
        <v>3</v>
      </c>
      <c r="J347" s="293">
        <f ca="1">IFERROR(__xludf.DUMMYFUNCTION("IMPORTRANGE(""https://docs.google.com/spreadsheets/d/1awYsYK3VOup2i3Pq_Yjnu8DRu_mYwSBnCR2QPthd0rU/edit?usp=sharing"",""ศูนย์รวม!E57"")"),5)</f>
        <v>5</v>
      </c>
      <c r="K347" s="74">
        <f ca="1">IF(I347&gt;0,J347*100/I347,0)</f>
        <v>166.66666666666666</v>
      </c>
      <c r="L347" s="87"/>
      <c r="M347" s="87"/>
      <c r="N347" s="87"/>
      <c r="O347" s="87"/>
      <c r="P347" s="87"/>
      <c r="Q347" s="86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IFERROR(__xludf.DUMMYFUNCTION("IMPORTRANGE(""https://docs.google.com/spreadsheets/d/1awYsYK3VOup2i3Pq_Yjnu8DRu_mYwSBnCR2QPthd0rU/edit?usp=sharing"",""ศูนย์ยกเว้นโฉนด!F57"")"),0)</f>
        <v>0</v>
      </c>
      <c r="K348" s="87"/>
      <c r="L348" s="87"/>
      <c r="M348" s="87"/>
      <c r="N348" s="87"/>
      <c r="O348" s="87"/>
      <c r="P348" s="87"/>
      <c r="Q348" s="86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IFERROR(__xludf.DUMMYFUNCTION("IMPORTRANGE(""https://docs.google.com/spreadsheets/d/1awYsYK3VOup2i3Pq_Yjnu8DRu_mYwSBnCR2QPthd0rU/edit?usp=sharing"",""ศูนย์ยกเว้นโฉนด!G57"")"),3)</f>
        <v>3</v>
      </c>
      <c r="K349" s="87"/>
      <c r="L349" s="87"/>
      <c r="M349" s="87"/>
      <c r="N349" s="87"/>
      <c r="O349" s="87"/>
      <c r="P349" s="87"/>
      <c r="Q349" s="86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IFERROR(__xludf.DUMMYFUNCTION("IMPORTRANGE(""https://docs.google.com/spreadsheets/d/1awYsYK3VOup2i3Pq_Yjnu8DRu_mYwSBnCR2QPthd0rU/edit?usp=sharing"",""ศูนย์ยกเว้นโฉนด!H57"")"),0)</f>
        <v>0</v>
      </c>
      <c r="K350" s="87"/>
      <c r="L350" s="87"/>
      <c r="M350" s="87"/>
      <c r="N350" s="87"/>
      <c r="O350" s="87"/>
      <c r="P350" s="87"/>
      <c r="Q350" s="86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7"/>
      <c r="M351" s="87"/>
      <c r="N351" s="87"/>
      <c r="O351" s="87"/>
      <c r="P351" s="87"/>
      <c r="Q351" s="86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1188" t="s">
        <v>35</v>
      </c>
      <c r="I352" s="559">
        <v>0</v>
      </c>
      <c r="J352" s="559">
        <f ca="1">J353+J354</f>
        <v>1010</v>
      </c>
      <c r="K352" s="560">
        <v>0</v>
      </c>
      <c r="L352" s="392"/>
      <c r="M352" s="392"/>
      <c r="N352" s="392"/>
      <c r="O352" s="392"/>
      <c r="P352" s="392"/>
      <c r="Q352" s="391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IFERROR(__xludf.DUMMYFUNCTION("IMPORTRANGE(""https://docs.google.com/spreadsheets/d/1awYsYK3VOup2i3Pq_Yjnu8DRu_mYwSBnCR2QPthd0rU/edit?usp=sharing"",""โฉนดM3!G57"")"),2)</f>
        <v>2</v>
      </c>
      <c r="K353" s="87"/>
      <c r="L353" s="87"/>
      <c r="M353" s="87"/>
      <c r="N353" s="87"/>
      <c r="O353" s="87"/>
      <c r="P353" s="87"/>
      <c r="Q353" s="86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IFERROR(__xludf.DUMMYFUNCTION("IMPORTRANGE(""https://docs.google.com/spreadsheets/d/1awYsYK3VOup2i3Pq_Yjnu8DRu_mYwSBnCR2QPthd0rU/edit?usp=sharing"",""โฉนดM3!H57"")"),1008)</f>
        <v>1008</v>
      </c>
      <c r="K354" s="87"/>
      <c r="L354" s="87"/>
      <c r="M354" s="87"/>
      <c r="N354" s="87"/>
      <c r="O354" s="87"/>
      <c r="P354" s="87"/>
      <c r="Q354" s="86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7"/>
      <c r="M355" s="87"/>
      <c r="N355" s="87"/>
      <c r="O355" s="87"/>
      <c r="P355" s="87"/>
      <c r="Q355" s="86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15"/>
      <c r="I356" s="1189"/>
      <c r="J356" s="1189"/>
      <c r="K356" s="530"/>
      <c r="L356" s="530"/>
      <c r="M356" s="530"/>
      <c r="N356" s="530"/>
      <c r="O356" s="530"/>
      <c r="P356" s="530"/>
      <c r="Q356" s="529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264">
        <f ca="1">L358+L359</f>
        <v>368685</v>
      </c>
      <c r="M357" s="264">
        <f ca="1">M358+M359</f>
        <v>388685</v>
      </c>
      <c r="N357" s="264">
        <f ca="1">N358+N359</f>
        <v>197457</v>
      </c>
      <c r="O357" s="264">
        <f t="shared" ref="O357:O365" ca="1" si="95">IF(L357&gt;0,N357*100/L357,0)</f>
        <v>53.557101590788882</v>
      </c>
      <c r="P357" s="264">
        <f t="shared" ref="P357:P365" ca="1" si="96">IF(M357&gt;0,N357*100/M357,0)</f>
        <v>50.801291534275826</v>
      </c>
      <c r="Q357" s="1257">
        <f>Q358+Q359</f>
        <v>0</v>
      </c>
      <c r="R357" s="264">
        <f>R358+R359</f>
        <v>0</v>
      </c>
      <c r="S357" s="264">
        <f>S358+S359</f>
        <v>0</v>
      </c>
      <c r="T357" s="264">
        <f t="shared" ref="T357:T365" si="97">IF(Q357&gt;0,S357*100/Q357,0)</f>
        <v>0</v>
      </c>
      <c r="U357" s="264">
        <f t="shared" ref="U357:U365" si="98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7">
        <f t="shared" ref="L358:N359" si="99">L361+L364</f>
        <v>0</v>
      </c>
      <c r="M358" s="77">
        <f t="shared" si="99"/>
        <v>0</v>
      </c>
      <c r="N358" s="77">
        <f t="shared" si="99"/>
        <v>0</v>
      </c>
      <c r="O358" s="77">
        <f t="shared" si="95"/>
        <v>0</v>
      </c>
      <c r="P358" s="77">
        <f t="shared" si="96"/>
        <v>0</v>
      </c>
      <c r="Q358" s="76">
        <f t="shared" ref="Q358:S359" si="100">Q361+Q364</f>
        <v>0</v>
      </c>
      <c r="R358" s="77">
        <f t="shared" si="100"/>
        <v>0</v>
      </c>
      <c r="S358" s="77">
        <f t="shared" si="100"/>
        <v>0</v>
      </c>
      <c r="T358" s="77">
        <f t="shared" si="97"/>
        <v>0</v>
      </c>
      <c r="U358" s="77">
        <f t="shared" si="98"/>
        <v>0</v>
      </c>
    </row>
    <row r="359" spans="1:21" ht="18.75" hidden="1" x14ac:dyDescent="0.25">
      <c r="A359" s="257"/>
      <c r="B359" s="269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4">
        <f t="shared" ca="1" si="99"/>
        <v>368685</v>
      </c>
      <c r="M359" s="74">
        <f t="shared" ca="1" si="99"/>
        <v>388685</v>
      </c>
      <c r="N359" s="74">
        <f t="shared" ca="1" si="99"/>
        <v>197457</v>
      </c>
      <c r="O359" s="74">
        <f t="shared" ca="1" si="95"/>
        <v>53.557101590788882</v>
      </c>
      <c r="P359" s="74">
        <f t="shared" ca="1" si="96"/>
        <v>50.801291534275826</v>
      </c>
      <c r="Q359" s="73">
        <f t="shared" si="100"/>
        <v>0</v>
      </c>
      <c r="R359" s="74">
        <f t="shared" si="100"/>
        <v>0</v>
      </c>
      <c r="S359" s="74">
        <f t="shared" si="100"/>
        <v>0</v>
      </c>
      <c r="T359" s="74">
        <f t="shared" si="97"/>
        <v>0</v>
      </c>
      <c r="U359" s="74">
        <f t="shared" si="98"/>
        <v>0</v>
      </c>
    </row>
    <row r="360" spans="1:21" ht="18.75" x14ac:dyDescent="0.25">
      <c r="A360" s="257"/>
      <c r="B360" s="269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4">
        <f ca="1">L361+L362</f>
        <v>368685</v>
      </c>
      <c r="M360" s="74">
        <f ca="1">M361+M362</f>
        <v>388685</v>
      </c>
      <c r="N360" s="74">
        <f ca="1">N361+N362</f>
        <v>197457</v>
      </c>
      <c r="O360" s="74">
        <f t="shared" ca="1" si="95"/>
        <v>53.557101590788882</v>
      </c>
      <c r="P360" s="74">
        <f t="shared" ca="1" si="96"/>
        <v>50.801291534275826</v>
      </c>
      <c r="Q360" s="73">
        <f>Q361+Q362</f>
        <v>0</v>
      </c>
      <c r="R360" s="74">
        <f>R361+R362</f>
        <v>0</v>
      </c>
      <c r="S360" s="74">
        <f>S361+S362</f>
        <v>0</v>
      </c>
      <c r="T360" s="74">
        <f t="shared" si="97"/>
        <v>0</v>
      </c>
      <c r="U360" s="74">
        <f t="shared" si="98"/>
        <v>0</v>
      </c>
    </row>
    <row r="361" spans="1:21" ht="18.75" hidden="1" x14ac:dyDescent="0.25">
      <c r="A361" s="257"/>
      <c r="B361" s="258"/>
      <c r="C361" s="269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7">
        <v>0</v>
      </c>
      <c r="M361" s="77">
        <v>0</v>
      </c>
      <c r="N361" s="77">
        <v>0</v>
      </c>
      <c r="O361" s="77">
        <f t="shared" si="95"/>
        <v>0</v>
      </c>
      <c r="P361" s="77">
        <f t="shared" si="96"/>
        <v>0</v>
      </c>
      <c r="Q361" s="76">
        <v>0</v>
      </c>
      <c r="R361" s="77">
        <v>0</v>
      </c>
      <c r="S361" s="77">
        <v>0</v>
      </c>
      <c r="T361" s="77">
        <f t="shared" si="97"/>
        <v>0</v>
      </c>
      <c r="U361" s="77">
        <f t="shared" si="98"/>
        <v>0</v>
      </c>
    </row>
    <row r="362" spans="1:21" ht="18.75" hidden="1" x14ac:dyDescent="0.25">
      <c r="A362" s="257"/>
      <c r="B362" s="258"/>
      <c r="C362" s="269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4">
        <f ca="1">IFERROR(__xludf.DUMMYFUNCTION("IMPORTRANGE(""https://docs.google.com/spreadsheets/d/1-uDff_7J0KD5mKrp0Vvzr7lt3OU09vwQwhkpOPPYv2Y/edit?usp=sharing"",""งบพรบ!FC57"")"),368685)</f>
        <v>368685</v>
      </c>
      <c r="M362" s="74">
        <f ca="1">IFERROR(__xludf.DUMMYFUNCTION("IMPORTRANGE(""https://docs.google.com/spreadsheets/d/1-uDff_7J0KD5mKrp0Vvzr7lt3OU09vwQwhkpOPPYv2Y/edit?usp=sharing"",""งบพรบ!FH57"")"),388685)</f>
        <v>388685</v>
      </c>
      <c r="N362" s="74">
        <f ca="1">IFERROR(__xludf.DUMMYFUNCTION("IMPORTRANGE(""https://docs.google.com/spreadsheets/d/1-uDff_7J0KD5mKrp0Vvzr7lt3OU09vwQwhkpOPPYv2Y/edit?usp=sharing"",""งบพรบ!FJ57"")"),197457)</f>
        <v>197457</v>
      </c>
      <c r="O362" s="74">
        <f t="shared" ca="1" si="95"/>
        <v>53.557101590788882</v>
      </c>
      <c r="P362" s="74">
        <f t="shared" ca="1" si="96"/>
        <v>50.801291534275826</v>
      </c>
      <c r="Q362" s="73">
        <v>0</v>
      </c>
      <c r="R362" s="74">
        <v>0</v>
      </c>
      <c r="S362" s="74">
        <v>0</v>
      </c>
      <c r="T362" s="74">
        <f t="shared" si="97"/>
        <v>0</v>
      </c>
      <c r="U362" s="74">
        <f t="shared" si="98"/>
        <v>0</v>
      </c>
    </row>
    <row r="363" spans="1:21" ht="18.75" x14ac:dyDescent="0.25">
      <c r="A363" s="257"/>
      <c r="B363" s="258"/>
      <c r="C363" s="269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4">
        <f ca="1">L364+L365</f>
        <v>0</v>
      </c>
      <c r="M363" s="74">
        <f ca="1">M364+M365</f>
        <v>0</v>
      </c>
      <c r="N363" s="74">
        <f ca="1">N364+N365</f>
        <v>0</v>
      </c>
      <c r="O363" s="74">
        <f t="shared" ca="1" si="95"/>
        <v>0</v>
      </c>
      <c r="P363" s="74">
        <f t="shared" ca="1" si="96"/>
        <v>0</v>
      </c>
      <c r="Q363" s="73">
        <f>Q364+Q365</f>
        <v>0</v>
      </c>
      <c r="R363" s="74">
        <f>R364+R365</f>
        <v>0</v>
      </c>
      <c r="S363" s="74">
        <f>S364+S365</f>
        <v>0</v>
      </c>
      <c r="T363" s="74">
        <f t="shared" si="97"/>
        <v>0</v>
      </c>
      <c r="U363" s="74">
        <f t="shared" si="98"/>
        <v>0</v>
      </c>
    </row>
    <row r="364" spans="1:21" ht="18.75" hidden="1" x14ac:dyDescent="0.25">
      <c r="A364" s="257"/>
      <c r="B364" s="258"/>
      <c r="C364" s="269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7">
        <v>0</v>
      </c>
      <c r="M364" s="77">
        <v>0</v>
      </c>
      <c r="N364" s="77">
        <v>0</v>
      </c>
      <c r="O364" s="77">
        <f t="shared" si="95"/>
        <v>0</v>
      </c>
      <c r="P364" s="77">
        <f t="shared" si="96"/>
        <v>0</v>
      </c>
      <c r="Q364" s="76">
        <v>0</v>
      </c>
      <c r="R364" s="77">
        <v>0</v>
      </c>
      <c r="S364" s="77">
        <v>0</v>
      </c>
      <c r="T364" s="77">
        <f t="shared" si="97"/>
        <v>0</v>
      </c>
      <c r="U364" s="77">
        <f t="shared" si="98"/>
        <v>0</v>
      </c>
    </row>
    <row r="365" spans="1:21" ht="18.75" hidden="1" x14ac:dyDescent="0.25">
      <c r="A365" s="257"/>
      <c r="B365" s="258"/>
      <c r="C365" s="269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4">
        <f ca="1">IFERROR(__xludf.DUMMYFUNCTION("IMPORTRANGE(""https://docs.google.com/spreadsheets/d/1-uDff_7J0KD5mKrp0Vvzr7lt3OU09vwQwhkpOPPYv2Y/edit?usp=sharing"",""งบพรบ!FF57"")"),0)</f>
        <v>0</v>
      </c>
      <c r="M365" s="74">
        <f ca="1">IFERROR(__xludf.DUMMYFUNCTION("IMPORTRANGE(""https://docs.google.com/spreadsheets/d/1-uDff_7J0KD5mKrp0Vvzr7lt3OU09vwQwhkpOPPYv2Y/edit?usp=sharing"",""งบพรบ!FI57"")"),0)</f>
        <v>0</v>
      </c>
      <c r="N365" s="74">
        <f ca="1">IFERROR(__xludf.DUMMYFUNCTION("IMPORTRANGE(""https://docs.google.com/spreadsheets/d/1-uDff_7J0KD5mKrp0Vvzr7lt3OU09vwQwhkpOPPYv2Y/edit?usp=sharing"",""งบพรบ!FK57"")"),0)</f>
        <v>0</v>
      </c>
      <c r="O365" s="74">
        <f t="shared" ca="1" si="95"/>
        <v>0</v>
      </c>
      <c r="P365" s="74">
        <f t="shared" ca="1" si="96"/>
        <v>0</v>
      </c>
      <c r="Q365" s="73">
        <v>0</v>
      </c>
      <c r="R365" s="74">
        <v>0</v>
      </c>
      <c r="S365" s="74">
        <v>0</v>
      </c>
      <c r="T365" s="74">
        <f t="shared" si="97"/>
        <v>0</v>
      </c>
      <c r="U365" s="74">
        <f t="shared" si="98"/>
        <v>0</v>
      </c>
    </row>
    <row r="366" spans="1:21" ht="19.5" x14ac:dyDescent="0.3">
      <c r="A366" s="553"/>
      <c r="B366" s="555"/>
      <c r="C366" s="555"/>
      <c r="D366" s="961" t="s">
        <v>149</v>
      </c>
      <c r="E366" s="554"/>
      <c r="F366" s="554"/>
      <c r="G366" s="557"/>
      <c r="H366" s="1131" t="s">
        <v>35</v>
      </c>
      <c r="I366" s="559">
        <f ca="1">I372</f>
        <v>42</v>
      </c>
      <c r="J366" s="559">
        <f ca="1">J372</f>
        <v>1</v>
      </c>
      <c r="K366" s="560">
        <f ca="1">IF(I366&gt;0,J366*100/I366,0)</f>
        <v>2.3809523809523809</v>
      </c>
      <c r="L366" s="392"/>
      <c r="M366" s="392"/>
      <c r="N366" s="392"/>
      <c r="O366" s="392"/>
      <c r="P366" s="392"/>
      <c r="Q366" s="391"/>
      <c r="R366" s="392"/>
      <c r="S366" s="392"/>
      <c r="T366" s="392"/>
      <c r="U366" s="392"/>
    </row>
    <row r="367" spans="1:21" ht="19.5" x14ac:dyDescent="0.3">
      <c r="A367" s="276"/>
      <c r="B367" s="277"/>
      <c r="C367" s="621" t="s">
        <v>18</v>
      </c>
      <c r="D367" s="968" t="s">
        <v>38</v>
      </c>
      <c r="E367" s="280"/>
      <c r="F367" s="280"/>
      <c r="G367" s="281"/>
      <c r="H367" s="282"/>
      <c r="I367" s="263"/>
      <c r="J367" s="263"/>
      <c r="K367" s="87"/>
      <c r="L367" s="229"/>
      <c r="M367" s="229"/>
      <c r="N367" s="229"/>
      <c r="O367" s="229"/>
      <c r="P367" s="229"/>
      <c r="Q367" s="228"/>
      <c r="R367" s="229"/>
      <c r="S367" s="229"/>
      <c r="T367" s="229"/>
      <c r="U367" s="229"/>
    </row>
    <row r="368" spans="1:21" ht="18.75" x14ac:dyDescent="0.25">
      <c r="A368" s="276"/>
      <c r="B368" s="277"/>
      <c r="C368" s="277"/>
      <c r="D368" s="296"/>
      <c r="E368" s="1103" t="s">
        <v>150</v>
      </c>
      <c r="F368" s="277"/>
      <c r="G368" s="310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IFERROR(__xludf.DUMMYFUNCTION("IMPORTRANGE(""https://docs.google.com/spreadsheets/d/1tdoBKaGub7dwA3U6UFTqxio9LNnvDCQjHKmttSEBsFQ/edit?usp=sharing"",""จัดที่ดิน!AB57"")"),0)</f>
        <v>0</v>
      </c>
      <c r="K368" s="74">
        <f t="shared" ref="K368:K373" si="101">IF(I368&gt;0,J368*100/I368,0)</f>
        <v>0</v>
      </c>
      <c r="L368" s="229"/>
      <c r="M368" s="229"/>
      <c r="N368" s="229"/>
      <c r="O368" s="229"/>
      <c r="P368" s="229"/>
      <c r="Q368" s="228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IFERROR(__xludf.DUMMYFUNCTION("IMPORTRANGE(""https://docs.google.com/spreadsheets/d/1eHaY18a8A9IcSdp1K8H6x8fbOy06t2VsZHhMHf-1x7Y/edit?usp=sharing"",""แผน!EW57"")"),265)</f>
        <v>265</v>
      </c>
      <c r="J369" s="1190">
        <f ca="1">IFERROR(__xludf.DUMMYFUNCTION("IMPORTRANGE(""https://docs.google.com/spreadsheets/d/1tdoBKaGub7dwA3U6UFTqxio9LNnvDCQjHKmttSEBsFQ/edit?usp=sharing"",""จัดที่ดิน!AC57"")"),0)</f>
        <v>0</v>
      </c>
      <c r="K369" s="74">
        <f t="shared" ca="1" si="101"/>
        <v>0</v>
      </c>
      <c r="L369" s="229"/>
      <c r="M369" s="229"/>
      <c r="N369" s="229"/>
      <c r="O369" s="229"/>
      <c r="P369" s="229"/>
      <c r="Q369" s="228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75" t="s">
        <v>35</v>
      </c>
      <c r="I370" s="293">
        <f ca="1">IFERROR(__xludf.DUMMYFUNCTION("IMPORTRANGE(""https://docs.google.com/spreadsheets/d/1eHaY18a8A9IcSdp1K8H6x8fbOy06t2VsZHhMHf-1x7Y/edit?usp=sharing"",""แผน!EX57"")"),53)</f>
        <v>53</v>
      </c>
      <c r="J370" s="293">
        <f ca="1">IFERROR(__xludf.DUMMYFUNCTION("IMPORTRANGE(""https://docs.google.com/spreadsheets/d/1tdoBKaGub7dwA3U6UFTqxio9LNnvDCQjHKmttSEBsFQ/edit?usp=sharing"",""จัดที่ดิน!AD57"")"),0)</f>
        <v>0</v>
      </c>
      <c r="K370" s="74">
        <f t="shared" ca="1" si="101"/>
        <v>0</v>
      </c>
      <c r="L370" s="229"/>
      <c r="M370" s="229"/>
      <c r="N370" s="229"/>
      <c r="O370" s="229"/>
      <c r="P370" s="229"/>
      <c r="Q370" s="228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75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IFERROR(__xludf.DUMMYFUNCTION("IMPORTRANGE(""https://docs.google.com/spreadsheets/d/1tdoBKaGub7dwA3U6UFTqxio9LNnvDCQjHKmttSEBsFQ/edit?usp=sharing"",""จัดที่ดิน!AE57"")"),0)</f>
        <v>0</v>
      </c>
      <c r="K371" s="74">
        <f t="shared" si="101"/>
        <v>0</v>
      </c>
      <c r="L371" s="229"/>
      <c r="M371" s="229"/>
      <c r="N371" s="229"/>
      <c r="O371" s="229"/>
      <c r="P371" s="229"/>
      <c r="Q371" s="228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75" t="s">
        <v>35</v>
      </c>
      <c r="I372" s="293">
        <f ca="1">IFERROR(__xludf.DUMMYFUNCTION("IMPORTRANGE(""https://docs.google.com/spreadsheets/d/1eHaY18a8A9IcSdp1K8H6x8fbOy06t2VsZHhMHf-1x7Y/edit?usp=sharing"",""แผน!EY57"")"),42)</f>
        <v>42</v>
      </c>
      <c r="J372" s="293">
        <f ca="1">IFERROR(__xludf.DUMMYFUNCTION("IMPORTRANGE(""https://docs.google.com/spreadsheets/d/1tdoBKaGub7dwA3U6UFTqxio9LNnvDCQjHKmttSEBsFQ/edit?usp=sharing"",""จัดที่ดิน!AF57"")"),1)</f>
        <v>1</v>
      </c>
      <c r="K372" s="74">
        <f t="shared" ca="1" si="101"/>
        <v>2.3809523809523809</v>
      </c>
      <c r="L372" s="229"/>
      <c r="M372" s="229"/>
      <c r="N372" s="229"/>
      <c r="O372" s="229"/>
      <c r="P372" s="229"/>
      <c r="Q372" s="228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75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IFERROR(__xludf.DUMMYFUNCTION("IMPORTRANGE(""https://docs.google.com/spreadsheets/d/1tdoBKaGub7dwA3U6UFTqxio9LNnvDCQjHKmttSEBsFQ/edit?usp=sharing"",""จัดที่ดิน!AG57"")"),0.73)</f>
        <v>0.73</v>
      </c>
      <c r="K373" s="74">
        <f t="shared" si="101"/>
        <v>0</v>
      </c>
      <c r="L373" s="229"/>
      <c r="M373" s="229"/>
      <c r="N373" s="229"/>
      <c r="O373" s="229"/>
      <c r="P373" s="229"/>
      <c r="Q373" s="228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29"/>
      <c r="I374" s="631"/>
      <c r="J374" s="631"/>
      <c r="K374" s="98"/>
      <c r="L374" s="98"/>
      <c r="M374" s="98"/>
      <c r="N374" s="98"/>
      <c r="O374" s="98"/>
      <c r="P374" s="98"/>
      <c r="Q374" s="97"/>
      <c r="R374" s="98"/>
      <c r="S374" s="98"/>
      <c r="T374" s="98"/>
      <c r="U374" s="98"/>
    </row>
    <row r="375" spans="1:21" ht="19.5" hidden="1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ca="1">I386</f>
        <v>0</v>
      </c>
      <c r="J375" s="585">
        <f>J386</f>
        <v>0</v>
      </c>
      <c r="K375" s="586">
        <f ca="1">IF(I375&gt;0,J375*100/I375,0)</f>
        <v>0</v>
      </c>
      <c r="L375" s="587"/>
      <c r="M375" s="587"/>
      <c r="N375" s="587"/>
      <c r="O375" s="587"/>
      <c r="P375" s="587"/>
      <c r="Q375" s="529"/>
      <c r="R375" s="530"/>
      <c r="S375" s="530"/>
      <c r="T375" s="530"/>
      <c r="U375" s="530"/>
    </row>
    <row r="376" spans="1:21" ht="19.5" hidden="1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264">
        <f>L377+L378</f>
        <v>0</v>
      </c>
      <c r="M376" s="264">
        <f>M377+M378</f>
        <v>0</v>
      </c>
      <c r="N376" s="264">
        <f>N377+N378</f>
        <v>0</v>
      </c>
      <c r="O376" s="264">
        <f t="shared" ref="O376:O384" si="102">IF(L376&gt;0,N376*100/L376,0)</f>
        <v>0</v>
      </c>
      <c r="P376" s="264">
        <f t="shared" ref="P376:P384" si="103">IF(M376&gt;0,N376*100/M376,0)</f>
        <v>0</v>
      </c>
      <c r="Q376" s="1257">
        <f ca="1">Q377+Q378</f>
        <v>0</v>
      </c>
      <c r="R376" s="264">
        <f ca="1">R377+R378</f>
        <v>0</v>
      </c>
      <c r="S376" s="264">
        <f ca="1">S377+S378</f>
        <v>0</v>
      </c>
      <c r="T376" s="264">
        <f t="shared" ref="T376:T384" ca="1" si="104">IF(Q376&gt;0,S376*100/Q376,0)</f>
        <v>0</v>
      </c>
      <c r="U376" s="264">
        <f t="shared" ref="U376:U384" ca="1" si="105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7">
        <f t="shared" ref="L377:N378" si="106">L380+L383</f>
        <v>0</v>
      </c>
      <c r="M377" s="77">
        <f t="shared" si="106"/>
        <v>0</v>
      </c>
      <c r="N377" s="77">
        <f t="shared" si="106"/>
        <v>0</v>
      </c>
      <c r="O377" s="77">
        <f t="shared" si="102"/>
        <v>0</v>
      </c>
      <c r="P377" s="77">
        <f t="shared" si="103"/>
        <v>0</v>
      </c>
      <c r="Q377" s="76">
        <f t="shared" ref="Q377:S378" si="107">Q380+Q383</f>
        <v>0</v>
      </c>
      <c r="R377" s="77">
        <f t="shared" si="107"/>
        <v>0</v>
      </c>
      <c r="S377" s="77">
        <f t="shared" si="107"/>
        <v>0</v>
      </c>
      <c r="T377" s="77">
        <f t="shared" si="104"/>
        <v>0</v>
      </c>
      <c r="U377" s="77">
        <f t="shared" si="105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4">
        <f t="shared" si="106"/>
        <v>0</v>
      </c>
      <c r="M378" s="74">
        <f t="shared" si="106"/>
        <v>0</v>
      </c>
      <c r="N378" s="74">
        <f t="shared" si="106"/>
        <v>0</v>
      </c>
      <c r="O378" s="74">
        <f t="shared" si="102"/>
        <v>0</v>
      </c>
      <c r="P378" s="74">
        <f t="shared" si="103"/>
        <v>0</v>
      </c>
      <c r="Q378" s="73">
        <f t="shared" ca="1" si="107"/>
        <v>0</v>
      </c>
      <c r="R378" s="74">
        <f t="shared" ca="1" si="107"/>
        <v>0</v>
      </c>
      <c r="S378" s="74">
        <f t="shared" ca="1" si="107"/>
        <v>0</v>
      </c>
      <c r="T378" s="74">
        <f t="shared" ca="1" si="104"/>
        <v>0</v>
      </c>
      <c r="U378" s="74">
        <f t="shared" ca="1" si="105"/>
        <v>0</v>
      </c>
    </row>
    <row r="379" spans="1:21" ht="18.75" hidden="1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4">
        <f>L380+L381</f>
        <v>0</v>
      </c>
      <c r="M379" s="74">
        <f>M380+M381</f>
        <v>0</v>
      </c>
      <c r="N379" s="74">
        <f>N380+N381</f>
        <v>0</v>
      </c>
      <c r="O379" s="74">
        <f t="shared" si="102"/>
        <v>0</v>
      </c>
      <c r="P379" s="74">
        <f t="shared" si="103"/>
        <v>0</v>
      </c>
      <c r="Q379" s="73">
        <f ca="1">Q380+Q381</f>
        <v>0</v>
      </c>
      <c r="R379" s="74">
        <f ca="1">R380+R381</f>
        <v>0</v>
      </c>
      <c r="S379" s="74">
        <f ca="1">S380+S381</f>
        <v>0</v>
      </c>
      <c r="T379" s="74">
        <f t="shared" ca="1" si="104"/>
        <v>0</v>
      </c>
      <c r="U379" s="74">
        <f t="shared" ca="1" si="105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7">
        <v>0</v>
      </c>
      <c r="M380" s="77">
        <v>0</v>
      </c>
      <c r="N380" s="77">
        <v>0</v>
      </c>
      <c r="O380" s="77">
        <f t="shared" si="102"/>
        <v>0</v>
      </c>
      <c r="P380" s="77">
        <f t="shared" si="103"/>
        <v>0</v>
      </c>
      <c r="Q380" s="76">
        <v>0</v>
      </c>
      <c r="R380" s="77">
        <v>0</v>
      </c>
      <c r="S380" s="77">
        <v>0</v>
      </c>
      <c r="T380" s="77">
        <f t="shared" si="104"/>
        <v>0</v>
      </c>
      <c r="U380" s="77">
        <f t="shared" si="105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4">
        <v>0</v>
      </c>
      <c r="M381" s="74">
        <v>0</v>
      </c>
      <c r="N381" s="74">
        <v>0</v>
      </c>
      <c r="O381" s="74">
        <f t="shared" si="102"/>
        <v>0</v>
      </c>
      <c r="P381" s="74">
        <f t="shared" si="103"/>
        <v>0</v>
      </c>
      <c r="Q381" s="73">
        <f ca="1">IFERROR(__xludf.DUMMYFUNCTION("IMPORTRANGE(""https://docs.google.com/spreadsheets/d/1ItG2mGa2ceCfYo0BwxsXqNm01IGEUdYcSSLTEv9YCik/edit?usp=sharing"",""เบิกจ่ายกองทุน!AY57"")"),0)</f>
        <v>0</v>
      </c>
      <c r="R381" s="74">
        <f ca="1">IFERROR(__xludf.DUMMYFUNCTION("IMPORTRANGE(""https://docs.google.com/spreadsheets/d/1ItG2mGa2ceCfYo0BwxsXqNm01IGEUdYcSSLTEv9YCik/edit?usp=sharing"",""เบิกจ่ายกองทุน!AZ57"")"),0)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IFERROR(__xludf.DUMMYFUNCTION("IMPORTRANGE(""https://docs.google.com/spreadsheets/d/1ItG2mGa2ceCfYo0BwxsXqNm01IGEUdYcSSLTEv9YCik/edit?usp=sharing"",""เบิกจ่ายกองทุน!BA57"")"),0)</f>
        <v>0</v>
      </c>
      <c r="T381" s="74">
        <f t="shared" ca="1" si="104"/>
        <v>0</v>
      </c>
      <c r="U381" s="74">
        <f t="shared" ca="1" si="105"/>
        <v>0</v>
      </c>
    </row>
    <row r="382" spans="1:21" ht="18.75" hidden="1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4">
        <f>L383+L384</f>
        <v>0</v>
      </c>
      <c r="M382" s="74">
        <f>M383+M384</f>
        <v>0</v>
      </c>
      <c r="N382" s="74">
        <f>N383+N384</f>
        <v>0</v>
      </c>
      <c r="O382" s="74">
        <f t="shared" si="102"/>
        <v>0</v>
      </c>
      <c r="P382" s="74">
        <f t="shared" si="103"/>
        <v>0</v>
      </c>
      <c r="Q382" s="73">
        <f>Q383+Q384</f>
        <v>0</v>
      </c>
      <c r="R382" s="74">
        <f>R383+R384</f>
        <v>0</v>
      </c>
      <c r="S382" s="74">
        <f>S383+S384</f>
        <v>0</v>
      </c>
      <c r="T382" s="74">
        <f t="shared" si="104"/>
        <v>0</v>
      </c>
      <c r="U382" s="74">
        <f t="shared" si="105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7">
        <v>0</v>
      </c>
      <c r="M383" s="77">
        <v>0</v>
      </c>
      <c r="N383" s="77">
        <v>0</v>
      </c>
      <c r="O383" s="77">
        <f t="shared" si="102"/>
        <v>0</v>
      </c>
      <c r="P383" s="77">
        <f t="shared" si="103"/>
        <v>0</v>
      </c>
      <c r="Q383" s="76">
        <v>0</v>
      </c>
      <c r="R383" s="77">
        <v>0</v>
      </c>
      <c r="S383" s="77">
        <v>0</v>
      </c>
      <c r="T383" s="77">
        <f t="shared" si="104"/>
        <v>0</v>
      </c>
      <c r="U383" s="77">
        <f t="shared" si="105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4">
        <v>0</v>
      </c>
      <c r="M384" s="74">
        <v>0</v>
      </c>
      <c r="N384" s="74">
        <v>0</v>
      </c>
      <c r="O384" s="74">
        <f t="shared" si="102"/>
        <v>0</v>
      </c>
      <c r="P384" s="74">
        <f t="shared" si="103"/>
        <v>0</v>
      </c>
      <c r="Q384" s="73">
        <v>0</v>
      </c>
      <c r="R384" s="74">
        <v>0</v>
      </c>
      <c r="S384" s="74">
        <v>0</v>
      </c>
      <c r="T384" s="74">
        <f t="shared" si="104"/>
        <v>0</v>
      </c>
      <c r="U384" s="74">
        <f t="shared" si="105"/>
        <v>0</v>
      </c>
    </row>
    <row r="385" spans="1:21" ht="19.5" hidden="1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7"/>
      <c r="M385" s="87"/>
      <c r="N385" s="87"/>
      <c r="O385" s="229"/>
      <c r="P385" s="229"/>
      <c r="Q385" s="86"/>
      <c r="R385" s="87"/>
      <c r="S385" s="87"/>
      <c r="T385" s="229"/>
      <c r="U385" s="229"/>
    </row>
    <row r="386" spans="1:21" ht="18.75" hidden="1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f ca="1">IFERROR(__xludf.DUMMYFUNCTION("IMPORTRANGE(""https://docs.google.com/spreadsheets/d/1eHaY18a8A9IcSdp1K8H6x8fbOy06t2VsZHhMHf-1x7Y/edit?usp=sharing"",""แผน!JQ57"")"),0)</f>
        <v>0</v>
      </c>
      <c r="J386" s="293">
        <v>0</v>
      </c>
      <c r="K386" s="74">
        <f ca="1">IF(I386&gt;0,J386*100/I386,0)</f>
        <v>0</v>
      </c>
      <c r="L386" s="87"/>
      <c r="M386" s="87"/>
      <c r="N386" s="87"/>
      <c r="O386" s="87"/>
      <c r="P386" s="87"/>
      <c r="Q386" s="86"/>
      <c r="R386" s="87"/>
      <c r="S386" s="87"/>
      <c r="T386" s="87"/>
      <c r="U386" s="87"/>
    </row>
    <row r="387" spans="1:21" ht="18.75" hidden="1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IFERROR(__xludf.DUMMYFUNCTION("IMPORTRANGE(""https://docs.google.com/spreadsheets/d/1eHaY18a8A9IcSdp1K8H6x8fbOy06t2VsZHhMHf-1x7Y/edit?usp=sharing"",""แผน!JQ57"")"),0)</f>
        <v>0</v>
      </c>
      <c r="J387" s="293">
        <v>0</v>
      </c>
      <c r="K387" s="74">
        <f ca="1">IF(I387&gt;0,J387*100/I387,0)</f>
        <v>0</v>
      </c>
      <c r="L387" s="87"/>
      <c r="M387" s="87"/>
      <c r="N387" s="87"/>
      <c r="O387" s="87"/>
      <c r="P387" s="87"/>
      <c r="Q387" s="86"/>
      <c r="R387" s="87"/>
      <c r="S387" s="87"/>
      <c r="T387" s="87"/>
      <c r="U387" s="87"/>
    </row>
    <row r="388" spans="1:21" ht="18.75" hidden="1" x14ac:dyDescent="0.25">
      <c r="A388" s="269"/>
      <c r="B388" s="269"/>
      <c r="C388" s="269"/>
      <c r="D388" s="269"/>
      <c r="E388" s="775" t="s">
        <v>155</v>
      </c>
      <c r="F388" s="269"/>
      <c r="G388" s="312"/>
      <c r="H388" s="266" t="s">
        <v>34</v>
      </c>
      <c r="I388" s="592">
        <v>0</v>
      </c>
      <c r="J388" s="592">
        <v>0</v>
      </c>
      <c r="K388" s="77">
        <f>IF(I388&gt;0,J388*100/I388,0)</f>
        <v>0</v>
      </c>
      <c r="L388" s="87"/>
      <c r="M388" s="87"/>
      <c r="N388" s="87"/>
      <c r="O388" s="87"/>
      <c r="P388" s="87"/>
      <c r="Q388" s="86"/>
      <c r="R388" s="87"/>
      <c r="S388" s="87"/>
      <c r="T388" s="87"/>
      <c r="U388" s="87"/>
    </row>
    <row r="389" spans="1:21" ht="18.75" hidden="1" x14ac:dyDescent="0.25">
      <c r="A389" s="269"/>
      <c r="B389" s="269"/>
      <c r="C389" s="269"/>
      <c r="D389" s="269"/>
      <c r="E389" s="269"/>
      <c r="F389" s="269"/>
      <c r="G389" s="312"/>
      <c r="H389" s="266" t="s">
        <v>46</v>
      </c>
      <c r="I389" s="592">
        <v>0</v>
      </c>
      <c r="J389" s="592">
        <v>0</v>
      </c>
      <c r="K389" s="77">
        <f>IF(I389&gt;0,J389*100/I389,0)</f>
        <v>0</v>
      </c>
      <c r="L389" s="87"/>
      <c r="M389" s="87"/>
      <c r="N389" s="87"/>
      <c r="O389" s="87"/>
      <c r="P389" s="87"/>
      <c r="Q389" s="86"/>
      <c r="R389" s="87"/>
      <c r="S389" s="87"/>
      <c r="T389" s="87"/>
      <c r="U389" s="87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6"/>
      <c r="M390" s="596"/>
      <c r="N390" s="596"/>
      <c r="O390" s="596"/>
      <c r="P390" s="596"/>
      <c r="Q390" s="597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1"/>
      <c r="M391" s="601"/>
      <c r="N391" s="601"/>
      <c r="O391" s="601"/>
      <c r="P391" s="601"/>
      <c r="Q391" s="602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>I403</f>
        <v>0</v>
      </c>
      <c r="J392" s="1189">
        <f>J403</f>
        <v>0</v>
      </c>
      <c r="K392" s="611">
        <f>IF(I392&gt;0,J392*100/I392,0)</f>
        <v>0</v>
      </c>
      <c r="L392" s="530"/>
      <c r="M392" s="530"/>
      <c r="N392" s="530"/>
      <c r="O392" s="530"/>
      <c r="P392" s="530"/>
      <c r="Q392" s="529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264">
        <f>L394+L395</f>
        <v>0</v>
      </c>
      <c r="M393" s="264">
        <f>M394+M395</f>
        <v>0</v>
      </c>
      <c r="N393" s="264">
        <f>N394+N395</f>
        <v>0</v>
      </c>
      <c r="O393" s="264">
        <f t="shared" ref="O393:O401" si="108">IF(L393&gt;0,N393*100/L393,0)</f>
        <v>0</v>
      </c>
      <c r="P393" s="264">
        <f t="shared" ref="P393:P401" si="109">IF(M393&gt;0,N393*100/M393,0)</f>
        <v>0</v>
      </c>
      <c r="Q393" s="1257">
        <f>Q394+Q395</f>
        <v>0</v>
      </c>
      <c r="R393" s="264">
        <f>R394+R395</f>
        <v>0</v>
      </c>
      <c r="S393" s="264">
        <f>S394+S395</f>
        <v>0</v>
      </c>
      <c r="T393" s="264">
        <f t="shared" ref="T393:T401" si="110">IF(Q393&gt;0,S393*100/Q393,0)</f>
        <v>0</v>
      </c>
      <c r="U393" s="264">
        <f t="shared" ref="U393:U401" si="111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7">
        <f t="shared" ref="L394:N395" si="112">L397+L400</f>
        <v>0</v>
      </c>
      <c r="M394" s="77">
        <f t="shared" si="112"/>
        <v>0</v>
      </c>
      <c r="N394" s="77">
        <f t="shared" si="112"/>
        <v>0</v>
      </c>
      <c r="O394" s="77">
        <f t="shared" si="108"/>
        <v>0</v>
      </c>
      <c r="P394" s="77">
        <f t="shared" si="109"/>
        <v>0</v>
      </c>
      <c r="Q394" s="76">
        <f t="shared" ref="Q394:S395" si="113">Q397+Q400</f>
        <v>0</v>
      </c>
      <c r="R394" s="77">
        <f t="shared" si="113"/>
        <v>0</v>
      </c>
      <c r="S394" s="77">
        <f t="shared" si="113"/>
        <v>0</v>
      </c>
      <c r="T394" s="77">
        <f t="shared" si="110"/>
        <v>0</v>
      </c>
      <c r="U394" s="77">
        <f t="shared" si="111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4">
        <f t="shared" si="112"/>
        <v>0</v>
      </c>
      <c r="M395" s="74">
        <f t="shared" si="112"/>
        <v>0</v>
      </c>
      <c r="N395" s="74">
        <f t="shared" si="112"/>
        <v>0</v>
      </c>
      <c r="O395" s="74">
        <f t="shared" si="108"/>
        <v>0</v>
      </c>
      <c r="P395" s="74">
        <f t="shared" si="109"/>
        <v>0</v>
      </c>
      <c r="Q395" s="73">
        <f t="shared" si="113"/>
        <v>0</v>
      </c>
      <c r="R395" s="74">
        <f t="shared" si="113"/>
        <v>0</v>
      </c>
      <c r="S395" s="74">
        <f t="shared" si="113"/>
        <v>0</v>
      </c>
      <c r="T395" s="74">
        <f t="shared" si="110"/>
        <v>0</v>
      </c>
      <c r="U395" s="74">
        <f t="shared" si="111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4">
        <f>L397+L398</f>
        <v>0</v>
      </c>
      <c r="M396" s="74">
        <f>M397+M398</f>
        <v>0</v>
      </c>
      <c r="N396" s="74">
        <f>N397+N398</f>
        <v>0</v>
      </c>
      <c r="O396" s="74">
        <f t="shared" si="108"/>
        <v>0</v>
      </c>
      <c r="P396" s="74">
        <f t="shared" si="109"/>
        <v>0</v>
      </c>
      <c r="Q396" s="73">
        <f>Q397+Q398</f>
        <v>0</v>
      </c>
      <c r="R396" s="74">
        <f>R397+R398</f>
        <v>0</v>
      </c>
      <c r="S396" s="74">
        <f>S397+S398</f>
        <v>0</v>
      </c>
      <c r="T396" s="74">
        <f t="shared" si="110"/>
        <v>0</v>
      </c>
      <c r="U396" s="74">
        <f t="shared" si="111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7">
        <v>0</v>
      </c>
      <c r="M397" s="77">
        <v>0</v>
      </c>
      <c r="N397" s="77">
        <v>0</v>
      </c>
      <c r="O397" s="77">
        <f t="shared" si="108"/>
        <v>0</v>
      </c>
      <c r="P397" s="77">
        <f t="shared" si="109"/>
        <v>0</v>
      </c>
      <c r="Q397" s="76">
        <v>0</v>
      </c>
      <c r="R397" s="77">
        <v>0</v>
      </c>
      <c r="S397" s="77">
        <v>0</v>
      </c>
      <c r="T397" s="77">
        <f t="shared" si="110"/>
        <v>0</v>
      </c>
      <c r="U397" s="77">
        <f t="shared" si="111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4">
        <v>0</v>
      </c>
      <c r="M398" s="74">
        <v>0</v>
      </c>
      <c r="N398" s="74">
        <v>0</v>
      </c>
      <c r="O398" s="74">
        <f t="shared" si="108"/>
        <v>0</v>
      </c>
      <c r="P398" s="74">
        <f t="shared" si="109"/>
        <v>0</v>
      </c>
      <c r="Q398" s="73">
        <v>0</v>
      </c>
      <c r="R398" s="74">
        <v>0</v>
      </c>
      <c r="S398" s="74">
        <v>0</v>
      </c>
      <c r="T398" s="74">
        <f t="shared" si="110"/>
        <v>0</v>
      </c>
      <c r="U398" s="74">
        <f t="shared" si="111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4">
        <f>L400+L401</f>
        <v>0</v>
      </c>
      <c r="M399" s="74">
        <f>M400+M401</f>
        <v>0</v>
      </c>
      <c r="N399" s="74">
        <f>N400+N401</f>
        <v>0</v>
      </c>
      <c r="O399" s="74">
        <f t="shared" si="108"/>
        <v>0</v>
      </c>
      <c r="P399" s="74">
        <f t="shared" si="109"/>
        <v>0</v>
      </c>
      <c r="Q399" s="73">
        <f>Q400+Q401</f>
        <v>0</v>
      </c>
      <c r="R399" s="74">
        <f>R400+R401</f>
        <v>0</v>
      </c>
      <c r="S399" s="74">
        <f>S400+S401</f>
        <v>0</v>
      </c>
      <c r="T399" s="74">
        <f t="shared" si="110"/>
        <v>0</v>
      </c>
      <c r="U399" s="74">
        <f t="shared" si="111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7">
        <v>0</v>
      </c>
      <c r="M400" s="77">
        <v>0</v>
      </c>
      <c r="N400" s="77">
        <v>0</v>
      </c>
      <c r="O400" s="77">
        <f t="shared" si="108"/>
        <v>0</v>
      </c>
      <c r="P400" s="77">
        <f t="shared" si="109"/>
        <v>0</v>
      </c>
      <c r="Q400" s="76">
        <v>0</v>
      </c>
      <c r="R400" s="77">
        <v>0</v>
      </c>
      <c r="S400" s="77">
        <v>0</v>
      </c>
      <c r="T400" s="77">
        <f t="shared" si="110"/>
        <v>0</v>
      </c>
      <c r="U400" s="77">
        <f t="shared" si="111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4">
        <v>0</v>
      </c>
      <c r="M401" s="74">
        <v>0</v>
      </c>
      <c r="N401" s="74">
        <v>0</v>
      </c>
      <c r="O401" s="74">
        <f t="shared" si="108"/>
        <v>0</v>
      </c>
      <c r="P401" s="74">
        <f t="shared" si="109"/>
        <v>0</v>
      </c>
      <c r="Q401" s="73">
        <v>0</v>
      </c>
      <c r="R401" s="74">
        <v>0</v>
      </c>
      <c r="S401" s="74">
        <v>0</v>
      </c>
      <c r="T401" s="74">
        <f t="shared" si="110"/>
        <v>0</v>
      </c>
      <c r="U401" s="74">
        <f t="shared" si="111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7"/>
      <c r="M402" s="87"/>
      <c r="N402" s="87"/>
      <c r="O402" s="229"/>
      <c r="P402" s="229"/>
      <c r="Q402" s="86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6"/>
      <c r="M403" s="596"/>
      <c r="N403" s="596"/>
      <c r="O403" s="596"/>
      <c r="P403" s="596"/>
      <c r="Q403" s="597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6"/>
      <c r="M404" s="596"/>
      <c r="N404" s="596"/>
      <c r="O404" s="596"/>
      <c r="P404" s="596"/>
      <c r="Q404" s="597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6"/>
      <c r="M405" s="596"/>
      <c r="N405" s="596"/>
      <c r="O405" s="596"/>
      <c r="P405" s="596"/>
      <c r="Q405" s="597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6"/>
      <c r="M406" s="596"/>
      <c r="N406" s="596"/>
      <c r="O406" s="596"/>
      <c r="P406" s="596"/>
      <c r="Q406" s="597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6"/>
      <c r="M407" s="596"/>
      <c r="N407" s="596"/>
      <c r="O407" s="596"/>
      <c r="P407" s="596"/>
      <c r="Q407" s="597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6"/>
      <c r="M408" s="596"/>
      <c r="N408" s="596"/>
      <c r="O408" s="596"/>
      <c r="P408" s="596"/>
      <c r="Q408" s="597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6"/>
      <c r="M409" s="596"/>
      <c r="N409" s="596"/>
      <c r="O409" s="596"/>
      <c r="P409" s="596"/>
      <c r="Q409" s="597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6"/>
      <c r="M410" s="596"/>
      <c r="N410" s="596"/>
      <c r="O410" s="596"/>
      <c r="P410" s="596"/>
      <c r="Q410" s="597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6"/>
      <c r="M411" s="596"/>
      <c r="N411" s="596"/>
      <c r="O411" s="596"/>
      <c r="P411" s="596"/>
      <c r="Q411" s="597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1"/>
      <c r="M412" s="601"/>
      <c r="N412" s="601"/>
      <c r="O412" s="601"/>
      <c r="P412" s="601"/>
      <c r="Q412" s="602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ca="1">I424</f>
        <v>0</v>
      </c>
      <c r="J413" s="617">
        <f>J424</f>
        <v>0</v>
      </c>
      <c r="K413" s="611">
        <f ca="1">IF(I413&gt;0,J413*100/I413,0)</f>
        <v>0</v>
      </c>
      <c r="L413" s="530"/>
      <c r="M413" s="530"/>
      <c r="N413" s="530"/>
      <c r="O413" s="530"/>
      <c r="P413" s="530"/>
      <c r="Q413" s="529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264">
        <f>L415+L416</f>
        <v>0</v>
      </c>
      <c r="M414" s="264">
        <f>M415+M416</f>
        <v>0</v>
      </c>
      <c r="N414" s="264">
        <f>N415+N416</f>
        <v>0</v>
      </c>
      <c r="O414" s="264">
        <f t="shared" ref="O414:O422" si="114">IF(L414&gt;0,N414*100/L414,0)</f>
        <v>0</v>
      </c>
      <c r="P414" s="264">
        <f t="shared" ref="P414:P422" si="115">IF(M414&gt;0,N414*100/M414,0)</f>
        <v>0</v>
      </c>
      <c r="Q414" s="1257">
        <f ca="1">Q415+Q416</f>
        <v>0</v>
      </c>
      <c r="R414" s="264">
        <f ca="1">R415+R416</f>
        <v>0</v>
      </c>
      <c r="S414" s="264">
        <f ca="1">S415+S416</f>
        <v>0</v>
      </c>
      <c r="T414" s="264">
        <f t="shared" ref="T414:T422" ca="1" si="116">IF(Q414&gt;0,S414*100/Q414,0)</f>
        <v>0</v>
      </c>
      <c r="U414" s="264">
        <f t="shared" ref="U414:U422" ca="1" si="117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7">
        <f t="shared" ref="L415:N416" si="118">L418+L421</f>
        <v>0</v>
      </c>
      <c r="M415" s="77">
        <f t="shared" si="118"/>
        <v>0</v>
      </c>
      <c r="N415" s="77">
        <f t="shared" si="118"/>
        <v>0</v>
      </c>
      <c r="O415" s="77">
        <f t="shared" si="114"/>
        <v>0</v>
      </c>
      <c r="P415" s="77">
        <f t="shared" si="115"/>
        <v>0</v>
      </c>
      <c r="Q415" s="76">
        <f t="shared" ref="Q415:S416" si="119">Q418+Q421</f>
        <v>0</v>
      </c>
      <c r="R415" s="77">
        <f t="shared" si="119"/>
        <v>0</v>
      </c>
      <c r="S415" s="77">
        <f t="shared" si="119"/>
        <v>0</v>
      </c>
      <c r="T415" s="77">
        <f t="shared" si="116"/>
        <v>0</v>
      </c>
      <c r="U415" s="77">
        <f t="shared" si="117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4">
        <f t="shared" si="118"/>
        <v>0</v>
      </c>
      <c r="M416" s="74">
        <f t="shared" si="118"/>
        <v>0</v>
      </c>
      <c r="N416" s="74">
        <f t="shared" si="118"/>
        <v>0</v>
      </c>
      <c r="O416" s="74">
        <f t="shared" si="114"/>
        <v>0</v>
      </c>
      <c r="P416" s="74">
        <f t="shared" si="115"/>
        <v>0</v>
      </c>
      <c r="Q416" s="73">
        <f t="shared" ca="1" si="119"/>
        <v>0</v>
      </c>
      <c r="R416" s="74">
        <f t="shared" ca="1" si="119"/>
        <v>0</v>
      </c>
      <c r="S416" s="74">
        <f t="shared" ca="1" si="119"/>
        <v>0</v>
      </c>
      <c r="T416" s="74">
        <f t="shared" ca="1" si="116"/>
        <v>0</v>
      </c>
      <c r="U416" s="74">
        <f t="shared" ca="1" si="117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4">
        <f>L418+L419</f>
        <v>0</v>
      </c>
      <c r="M417" s="74">
        <f>M418+M419</f>
        <v>0</v>
      </c>
      <c r="N417" s="74">
        <f>N418+N419</f>
        <v>0</v>
      </c>
      <c r="O417" s="74">
        <f t="shared" si="114"/>
        <v>0</v>
      </c>
      <c r="P417" s="74">
        <f t="shared" si="115"/>
        <v>0</v>
      </c>
      <c r="Q417" s="73">
        <f ca="1">Q418+Q419</f>
        <v>0</v>
      </c>
      <c r="R417" s="74">
        <f ca="1">R418+R419</f>
        <v>0</v>
      </c>
      <c r="S417" s="74">
        <f ca="1">S418+S419</f>
        <v>0</v>
      </c>
      <c r="T417" s="74">
        <f t="shared" ca="1" si="116"/>
        <v>0</v>
      </c>
      <c r="U417" s="74">
        <f t="shared" ca="1" si="117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7">
        <v>0</v>
      </c>
      <c r="M418" s="77">
        <v>0</v>
      </c>
      <c r="N418" s="77">
        <v>0</v>
      </c>
      <c r="O418" s="77">
        <f t="shared" si="114"/>
        <v>0</v>
      </c>
      <c r="P418" s="77">
        <f t="shared" si="115"/>
        <v>0</v>
      </c>
      <c r="Q418" s="76">
        <v>0</v>
      </c>
      <c r="R418" s="77">
        <v>0</v>
      </c>
      <c r="S418" s="77">
        <v>0</v>
      </c>
      <c r="T418" s="77">
        <f t="shared" si="116"/>
        <v>0</v>
      </c>
      <c r="U418" s="77">
        <f t="shared" si="117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4">
        <v>0</v>
      </c>
      <c r="M419" s="74">
        <v>0</v>
      </c>
      <c r="N419" s="74">
        <v>0</v>
      </c>
      <c r="O419" s="74">
        <f t="shared" si="114"/>
        <v>0</v>
      </c>
      <c r="P419" s="74">
        <f t="shared" si="115"/>
        <v>0</v>
      </c>
      <c r="Q419" s="73">
        <f ca="1">IFERROR(__xludf.DUMMYFUNCTION("IMPORTRANGE(""https://docs.google.com/spreadsheets/d/1ItG2mGa2ceCfYo0BwxsXqNm01IGEUdYcSSLTEv9YCik/edit?usp=sharing"",""เบิกจ่ายกองทุน!BH57"")"),0)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IFERROR(__xludf.DUMMYFUNCTION("IMPORTRANGE(""https://docs.google.com/spreadsheets/d/1ItG2mGa2ceCfYo0BwxsXqNm01IGEUdYcSSLTEv9YCik/edit?usp=sharing"",""เบิกจ่ายกองทุน!BI57"")"),0)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IFERROR(__xludf.DUMMYFUNCTION("IMPORTRANGE(""https://docs.google.com/spreadsheets/d/1ItG2mGa2ceCfYo0BwxsXqNm01IGEUdYcSSLTEv9YCik/edit?usp=sharing"",""เบิกจ่ายกองทุน!BJ57"")"),0)</f>
        <v>0</v>
      </c>
      <c r="T419" s="74">
        <f t="shared" ca="1" si="116"/>
        <v>0</v>
      </c>
      <c r="U419" s="74">
        <f t="shared" ca="1" si="117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4">
        <f>L421+L422</f>
        <v>0</v>
      </c>
      <c r="M420" s="74">
        <f>M421+M422</f>
        <v>0</v>
      </c>
      <c r="N420" s="74">
        <f>N421+N422</f>
        <v>0</v>
      </c>
      <c r="O420" s="74">
        <f t="shared" si="114"/>
        <v>0</v>
      </c>
      <c r="P420" s="74">
        <f t="shared" si="115"/>
        <v>0</v>
      </c>
      <c r="Q420" s="73">
        <f>Q421+Q422</f>
        <v>0</v>
      </c>
      <c r="R420" s="74">
        <f>R421+R422</f>
        <v>0</v>
      </c>
      <c r="S420" s="74">
        <f>S421+S422</f>
        <v>0</v>
      </c>
      <c r="T420" s="74">
        <f t="shared" si="116"/>
        <v>0</v>
      </c>
      <c r="U420" s="74">
        <f t="shared" si="117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7">
        <v>0</v>
      </c>
      <c r="M421" s="77">
        <v>0</v>
      </c>
      <c r="N421" s="77">
        <v>0</v>
      </c>
      <c r="O421" s="77">
        <f t="shared" si="114"/>
        <v>0</v>
      </c>
      <c r="P421" s="77">
        <f t="shared" si="115"/>
        <v>0</v>
      </c>
      <c r="Q421" s="76">
        <v>0</v>
      </c>
      <c r="R421" s="77">
        <v>0</v>
      </c>
      <c r="S421" s="77">
        <v>0</v>
      </c>
      <c r="T421" s="77">
        <f t="shared" si="116"/>
        <v>0</v>
      </c>
      <c r="U421" s="77">
        <f t="shared" si="117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4">
        <v>0</v>
      </c>
      <c r="M422" s="74">
        <v>0</v>
      </c>
      <c r="N422" s="74">
        <v>0</v>
      </c>
      <c r="O422" s="74">
        <f t="shared" si="114"/>
        <v>0</v>
      </c>
      <c r="P422" s="74">
        <f t="shared" si="115"/>
        <v>0</v>
      </c>
      <c r="Q422" s="73">
        <v>0</v>
      </c>
      <c r="R422" s="74">
        <v>0</v>
      </c>
      <c r="S422" s="74">
        <v>0</v>
      </c>
      <c r="T422" s="74">
        <f t="shared" si="116"/>
        <v>0</v>
      </c>
      <c r="U422" s="74">
        <f t="shared" si="117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7"/>
      <c r="M423" s="87"/>
      <c r="N423" s="87"/>
      <c r="O423" s="87"/>
      <c r="P423" s="87"/>
      <c r="Q423" s="86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ca="1">I441</f>
        <v>0</v>
      </c>
      <c r="J424" s="622">
        <f>J441</f>
        <v>0</v>
      </c>
      <c r="K424" s="264">
        <f ca="1">IF(I424&gt;0,J424*100/I424,0)</f>
        <v>0</v>
      </c>
      <c r="L424" s="87"/>
      <c r="M424" s="87"/>
      <c r="N424" s="87"/>
      <c r="O424" s="87"/>
      <c r="P424" s="87"/>
      <c r="Q424" s="86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IFERROR(__xludf.DUMMYFUNCTION("IMPORTRANGE(""https://docs.google.com/spreadsheets/d/1eHaY18a8A9IcSdp1K8H6x8fbOy06t2VsZHhMHf-1x7Y/edit?usp=sharing"",""แผน!HJ57"")"),0)</f>
        <v>0</v>
      </c>
      <c r="J425" s="622">
        <f>J427+J429+J431</f>
        <v>0</v>
      </c>
      <c r="K425" s="264">
        <f ca="1">IF(I425&gt;0,J425*100/I425,0)</f>
        <v>0</v>
      </c>
      <c r="L425" s="87"/>
      <c r="M425" s="87"/>
      <c r="N425" s="87"/>
      <c r="O425" s="87"/>
      <c r="P425" s="87"/>
      <c r="Q425" s="86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IFERROR(__xludf.DUMMYFUNCTION("IMPORTRANGE(""https://docs.google.com/spreadsheets/d/1eHaY18a8A9IcSdp1K8H6x8fbOy06t2VsZHhMHf-1x7Y/edit?usp=sharing"",""แผน!HK57"")"),0)</f>
        <v>0</v>
      </c>
      <c r="J426" s="622">
        <f>J428+J430+J432</f>
        <v>0</v>
      </c>
      <c r="K426" s="264">
        <f ca="1">IF(I426&gt;0,J426*100/I426,0)</f>
        <v>0</v>
      </c>
      <c r="L426" s="87"/>
      <c r="M426" s="87"/>
      <c r="N426" s="87"/>
      <c r="O426" s="87"/>
      <c r="P426" s="87"/>
      <c r="Q426" s="86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7"/>
      <c r="M427" s="87"/>
      <c r="N427" s="87"/>
      <c r="O427" s="87"/>
      <c r="P427" s="87"/>
      <c r="Q427" s="86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7"/>
      <c r="M428" s="87"/>
      <c r="N428" s="87"/>
      <c r="O428" s="87"/>
      <c r="P428" s="87"/>
      <c r="Q428" s="86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7"/>
      <c r="M429" s="87"/>
      <c r="N429" s="87"/>
      <c r="O429" s="87"/>
      <c r="P429" s="87"/>
      <c r="Q429" s="86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7"/>
      <c r="M430" s="87"/>
      <c r="N430" s="87"/>
      <c r="O430" s="87"/>
      <c r="P430" s="87"/>
      <c r="Q430" s="86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7"/>
      <c r="M431" s="87"/>
      <c r="N431" s="87"/>
      <c r="O431" s="87"/>
      <c r="P431" s="87"/>
      <c r="Q431" s="86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7"/>
      <c r="M432" s="87"/>
      <c r="N432" s="87"/>
      <c r="O432" s="87"/>
      <c r="P432" s="87"/>
      <c r="Q432" s="86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IFERROR(__xludf.DUMMYFUNCTION("IMPORTRANGE(""https://docs.google.com/spreadsheets/d/1eHaY18a8A9IcSdp1K8H6x8fbOy06t2VsZHhMHf-1x7Y/edit?usp=sharing"",""แผน!HJ57"")"),0)</f>
        <v>0</v>
      </c>
      <c r="J433" s="622">
        <f>J435+J437+J439</f>
        <v>0</v>
      </c>
      <c r="K433" s="264">
        <f ca="1">IF(I433&gt;0,J433*100/I433,0)</f>
        <v>0</v>
      </c>
      <c r="L433" s="87"/>
      <c r="M433" s="87"/>
      <c r="N433" s="87"/>
      <c r="O433" s="87"/>
      <c r="P433" s="87"/>
      <c r="Q433" s="86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IFERROR(__xludf.DUMMYFUNCTION("IMPORTRANGE(""https://docs.google.com/spreadsheets/d/1eHaY18a8A9IcSdp1K8H6x8fbOy06t2VsZHhMHf-1x7Y/edit?usp=sharing"",""แผน!HK57"")"),0)</f>
        <v>0</v>
      </c>
      <c r="J434" s="622">
        <f>J436+J438+J440</f>
        <v>0</v>
      </c>
      <c r="K434" s="264">
        <f ca="1">IF(I434&gt;0,J434*100/I434,0)</f>
        <v>0</v>
      </c>
      <c r="L434" s="87"/>
      <c r="M434" s="87"/>
      <c r="N434" s="87"/>
      <c r="O434" s="87"/>
      <c r="P434" s="87"/>
      <c r="Q434" s="86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7"/>
      <c r="M435" s="87"/>
      <c r="N435" s="87"/>
      <c r="O435" s="87"/>
      <c r="P435" s="87"/>
      <c r="Q435" s="86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7"/>
      <c r="M436" s="87"/>
      <c r="N436" s="87"/>
      <c r="O436" s="87"/>
      <c r="P436" s="87"/>
      <c r="Q436" s="86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7"/>
      <c r="M437" s="87"/>
      <c r="N437" s="87"/>
      <c r="O437" s="87"/>
      <c r="P437" s="87"/>
      <c r="Q437" s="86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7"/>
      <c r="M438" s="87"/>
      <c r="N438" s="87"/>
      <c r="O438" s="87"/>
      <c r="P438" s="87"/>
      <c r="Q438" s="86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7"/>
      <c r="M439" s="87"/>
      <c r="N439" s="87"/>
      <c r="O439" s="87"/>
      <c r="P439" s="87"/>
      <c r="Q439" s="86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7"/>
      <c r="M440" s="87"/>
      <c r="N440" s="87"/>
      <c r="O440" s="87"/>
      <c r="P440" s="87"/>
      <c r="Q440" s="86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IFERROR(__xludf.DUMMYFUNCTION("IMPORTRANGE(""https://docs.google.com/spreadsheets/d/1eHaY18a8A9IcSdp1K8H6x8fbOy06t2VsZHhMHf-1x7Y/edit?usp=sharing"",""แผน!HJ57"")"),0)</f>
        <v>0</v>
      </c>
      <c r="J441" s="622">
        <f>J443+J445+J447+J453+J455</f>
        <v>0</v>
      </c>
      <c r="K441" s="264">
        <f ca="1">IF(I441&gt;0,J441*100/I441,0)</f>
        <v>0</v>
      </c>
      <c r="L441" s="87"/>
      <c r="M441" s="87"/>
      <c r="N441" s="87"/>
      <c r="O441" s="87"/>
      <c r="P441" s="87"/>
      <c r="Q441" s="86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IFERROR(__xludf.DUMMYFUNCTION("IMPORTRANGE(""https://docs.google.com/spreadsheets/d/1eHaY18a8A9IcSdp1K8H6x8fbOy06t2VsZHhMHf-1x7Y/edit?usp=sharing"",""แผน!HK57"")"),0)</f>
        <v>0</v>
      </c>
      <c r="J442" s="622">
        <f>J444+J446+J448+J454+J456</f>
        <v>0</v>
      </c>
      <c r="K442" s="264">
        <f ca="1">IF(I442&gt;0,J442*100/I442,0)</f>
        <v>0</v>
      </c>
      <c r="L442" s="87"/>
      <c r="M442" s="87"/>
      <c r="N442" s="87"/>
      <c r="O442" s="87"/>
      <c r="P442" s="87"/>
      <c r="Q442" s="86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7"/>
      <c r="M443" s="87"/>
      <c r="N443" s="87"/>
      <c r="O443" s="87"/>
      <c r="P443" s="87"/>
      <c r="Q443" s="86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7"/>
      <c r="M444" s="87"/>
      <c r="N444" s="87"/>
      <c r="O444" s="87"/>
      <c r="P444" s="87"/>
      <c r="Q444" s="86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7"/>
      <c r="M445" s="87"/>
      <c r="N445" s="87"/>
      <c r="O445" s="87"/>
      <c r="P445" s="87"/>
      <c r="Q445" s="86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7"/>
      <c r="M446" s="87"/>
      <c r="N446" s="87"/>
      <c r="O446" s="87"/>
      <c r="P446" s="87"/>
      <c r="Q446" s="86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>J449+J451</f>
        <v>0</v>
      </c>
      <c r="K447" s="87"/>
      <c r="L447" s="87"/>
      <c r="M447" s="87"/>
      <c r="N447" s="87"/>
      <c r="O447" s="87"/>
      <c r="P447" s="87"/>
      <c r="Q447" s="86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>J450+J452</f>
        <v>0</v>
      </c>
      <c r="K448" s="87"/>
      <c r="L448" s="87"/>
      <c r="M448" s="87"/>
      <c r="N448" s="87"/>
      <c r="O448" s="87"/>
      <c r="P448" s="87"/>
      <c r="Q448" s="86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7"/>
      <c r="M449" s="87"/>
      <c r="N449" s="87"/>
      <c r="O449" s="87"/>
      <c r="P449" s="87"/>
      <c r="Q449" s="86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7"/>
      <c r="M450" s="87"/>
      <c r="N450" s="87"/>
      <c r="O450" s="87"/>
      <c r="P450" s="87"/>
      <c r="Q450" s="86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7"/>
      <c r="M451" s="87"/>
      <c r="N451" s="87"/>
      <c r="O451" s="87"/>
      <c r="P451" s="87"/>
      <c r="Q451" s="86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7"/>
      <c r="M452" s="87"/>
      <c r="N452" s="87"/>
      <c r="O452" s="87"/>
      <c r="P452" s="87"/>
      <c r="Q452" s="86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7"/>
      <c r="M453" s="87"/>
      <c r="N453" s="87"/>
      <c r="O453" s="87"/>
      <c r="P453" s="87"/>
      <c r="Q453" s="86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7"/>
      <c r="M454" s="87"/>
      <c r="N454" s="87"/>
      <c r="O454" s="87"/>
      <c r="P454" s="87"/>
      <c r="Q454" s="86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7"/>
      <c r="M455" s="87"/>
      <c r="N455" s="87"/>
      <c r="O455" s="87"/>
      <c r="P455" s="87"/>
      <c r="Q455" s="86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7"/>
      <c r="M456" s="87"/>
      <c r="N456" s="87"/>
      <c r="O456" s="87"/>
      <c r="P456" s="87"/>
      <c r="Q456" s="86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ca="1">I458</f>
        <v>0</v>
      </c>
      <c r="J457" s="622">
        <f>J458</f>
        <v>0</v>
      </c>
      <c r="K457" s="264">
        <f ca="1">IF(I457&gt;0,J457*100/I457,0)</f>
        <v>0</v>
      </c>
      <c r="L457" s="87"/>
      <c r="M457" s="87"/>
      <c r="N457" s="87"/>
      <c r="O457" s="87"/>
      <c r="P457" s="87"/>
      <c r="Q457" s="86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IFERROR(__xludf.DUMMYFUNCTION("IMPORTRANGE(""https://docs.google.com/spreadsheets/d/1eHaY18a8A9IcSdp1K8H6x8fbOy06t2VsZHhMHf-1x7Y/edit?usp=sharing"",""แผน!HL57"")"),0)</f>
        <v>0</v>
      </c>
      <c r="J458" s="622">
        <f>J460+J468+J474</f>
        <v>0</v>
      </c>
      <c r="K458" s="264">
        <f ca="1">IF(I458&gt;0,J458*100/I458,0)</f>
        <v>0</v>
      </c>
      <c r="L458" s="87"/>
      <c r="M458" s="87"/>
      <c r="N458" s="87"/>
      <c r="O458" s="87"/>
      <c r="P458" s="87"/>
      <c r="Q458" s="86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IFERROR(__xludf.DUMMYFUNCTION("IMPORTRANGE(""https://docs.google.com/spreadsheets/d/1eHaY18a8A9IcSdp1K8H6x8fbOy06t2VsZHhMHf-1x7Y/edit?usp=sharing"",""แผน!HM57"")"),0)</f>
        <v>0</v>
      </c>
      <c r="J459" s="622">
        <f>J461+J469+J475</f>
        <v>0</v>
      </c>
      <c r="K459" s="264">
        <f ca="1">IF(I459&gt;0,J459*100/I459,0)</f>
        <v>0</v>
      </c>
      <c r="L459" s="87"/>
      <c r="M459" s="87"/>
      <c r="N459" s="87"/>
      <c r="O459" s="87"/>
      <c r="P459" s="87"/>
      <c r="Q459" s="86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>J462+J464</f>
        <v>0</v>
      </c>
      <c r="K460" s="87"/>
      <c r="L460" s="87"/>
      <c r="M460" s="87"/>
      <c r="N460" s="87"/>
      <c r="O460" s="87"/>
      <c r="P460" s="87"/>
      <c r="Q460" s="86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>J463+J465</f>
        <v>0</v>
      </c>
      <c r="K461" s="87"/>
      <c r="L461" s="87"/>
      <c r="M461" s="87"/>
      <c r="N461" s="87"/>
      <c r="O461" s="87"/>
      <c r="P461" s="87"/>
      <c r="Q461" s="86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7"/>
      <c r="M462" s="87"/>
      <c r="N462" s="87"/>
      <c r="O462" s="87"/>
      <c r="P462" s="87"/>
      <c r="Q462" s="86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7"/>
      <c r="M463" s="87"/>
      <c r="N463" s="87"/>
      <c r="O463" s="87"/>
      <c r="P463" s="87"/>
      <c r="Q463" s="86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7"/>
      <c r="M464" s="87"/>
      <c r="N464" s="87"/>
      <c r="O464" s="87"/>
      <c r="P464" s="87"/>
      <c r="Q464" s="86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7"/>
      <c r="M465" s="87"/>
      <c r="N465" s="87"/>
      <c r="O465" s="87"/>
      <c r="P465" s="87"/>
      <c r="Q465" s="86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7"/>
      <c r="M466" s="87"/>
      <c r="N466" s="87"/>
      <c r="O466" s="87"/>
      <c r="P466" s="87"/>
      <c r="Q466" s="86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7"/>
      <c r="M467" s="87"/>
      <c r="N467" s="87"/>
      <c r="O467" s="87"/>
      <c r="P467" s="87"/>
      <c r="Q467" s="86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>J470+J472</f>
        <v>0</v>
      </c>
      <c r="K468" s="87"/>
      <c r="L468" s="87"/>
      <c r="M468" s="87"/>
      <c r="N468" s="87"/>
      <c r="O468" s="87"/>
      <c r="P468" s="87"/>
      <c r="Q468" s="86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>J471+J473</f>
        <v>0</v>
      </c>
      <c r="K469" s="87"/>
      <c r="L469" s="87"/>
      <c r="M469" s="87"/>
      <c r="N469" s="87"/>
      <c r="O469" s="87"/>
      <c r="P469" s="87"/>
      <c r="Q469" s="86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7"/>
      <c r="M470" s="87"/>
      <c r="N470" s="87"/>
      <c r="O470" s="87"/>
      <c r="P470" s="87"/>
      <c r="Q470" s="86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7"/>
      <c r="M471" s="87"/>
      <c r="N471" s="87"/>
      <c r="O471" s="87"/>
      <c r="P471" s="87"/>
      <c r="Q471" s="86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7"/>
      <c r="M472" s="87"/>
      <c r="N472" s="87"/>
      <c r="O472" s="87"/>
      <c r="P472" s="87"/>
      <c r="Q472" s="86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7"/>
      <c r="M473" s="87"/>
      <c r="N473" s="87"/>
      <c r="O473" s="87"/>
      <c r="P473" s="87"/>
      <c r="Q473" s="86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7"/>
      <c r="M474" s="87"/>
      <c r="N474" s="87"/>
      <c r="O474" s="87"/>
      <c r="P474" s="87"/>
      <c r="Q474" s="86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7"/>
      <c r="M475" s="87"/>
      <c r="N475" s="87"/>
      <c r="O475" s="87"/>
      <c r="P475" s="87"/>
      <c r="Q475" s="86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>IF(I476&gt;0,J476*100/I476,0)</f>
        <v>0</v>
      </c>
      <c r="L476" s="87"/>
      <c r="M476" s="87"/>
      <c r="N476" s="87"/>
      <c r="O476" s="87"/>
      <c r="P476" s="87"/>
      <c r="Q476" s="86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>J479+J481</f>
        <v>0</v>
      </c>
      <c r="K477" s="264">
        <f>IF(I477&gt;0,J477*100/I477,0)</f>
        <v>0</v>
      </c>
      <c r="L477" s="87"/>
      <c r="M477" s="87"/>
      <c r="N477" s="87"/>
      <c r="O477" s="87"/>
      <c r="P477" s="87"/>
      <c r="Q477" s="86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>J480+J482</f>
        <v>0</v>
      </c>
      <c r="K478" s="264">
        <f>IF(I478&gt;0,J478*100/I478,0)</f>
        <v>0</v>
      </c>
      <c r="L478" s="87"/>
      <c r="M478" s="87"/>
      <c r="N478" s="87"/>
      <c r="O478" s="87"/>
      <c r="P478" s="87"/>
      <c r="Q478" s="86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7"/>
      <c r="M479" s="87"/>
      <c r="N479" s="87"/>
      <c r="O479" s="87"/>
      <c r="P479" s="87"/>
      <c r="Q479" s="86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7"/>
      <c r="M480" s="87"/>
      <c r="N480" s="87"/>
      <c r="O480" s="87"/>
      <c r="P480" s="87"/>
      <c r="Q480" s="86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7"/>
      <c r="M481" s="87"/>
      <c r="N481" s="87"/>
      <c r="O481" s="87"/>
      <c r="P481" s="87"/>
      <c r="Q481" s="86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7"/>
      <c r="M482" s="87"/>
      <c r="N482" s="87"/>
      <c r="O482" s="87"/>
      <c r="P482" s="87"/>
      <c r="Q482" s="86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IFERROR(__xludf.DUMMYFUNCTION("IMPORTRANGE(""https://docs.google.com/spreadsheets/d/1eHaY18a8A9IcSdp1K8H6x8fbOy06t2VsZHhMHf-1x7Y/edit?usp=sharing"",""แผน!HN57"")"),0)</f>
        <v>0</v>
      </c>
      <c r="K483" s="87"/>
      <c r="L483" s="87"/>
      <c r="M483" s="87"/>
      <c r="N483" s="87"/>
      <c r="O483" s="87"/>
      <c r="P483" s="87"/>
      <c r="Q483" s="86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IFERROR(__xludf.DUMMYFUNCTION("IMPORTRANGE(""https://docs.google.com/spreadsheets/d/1eHaY18a8A9IcSdp1K8H6x8fbOy06t2VsZHhMHf-1x7Y/edit?usp=sharing"",""แผน!HO57"")"),0)</f>
        <v>0</v>
      </c>
      <c r="K484" s="87"/>
      <c r="L484" s="87"/>
      <c r="M484" s="87"/>
      <c r="N484" s="87"/>
      <c r="O484" s="87"/>
      <c r="P484" s="87"/>
      <c r="Q484" s="86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>J481</f>
        <v>0</v>
      </c>
      <c r="J485" s="622">
        <f>J487+J489+J491</f>
        <v>0</v>
      </c>
      <c r="K485" s="264">
        <f>IF(I485&gt;0,J485*100/I485,0)</f>
        <v>0</v>
      </c>
      <c r="L485" s="87"/>
      <c r="M485" s="87"/>
      <c r="N485" s="87"/>
      <c r="O485" s="87"/>
      <c r="P485" s="87"/>
      <c r="Q485" s="86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>J482</f>
        <v>0</v>
      </c>
      <c r="J486" s="622">
        <f>J488+J490+J492</f>
        <v>0</v>
      </c>
      <c r="K486" s="264">
        <f>IF(I486&gt;0,J486*100/I486,0)</f>
        <v>0</v>
      </c>
      <c r="L486" s="87"/>
      <c r="M486" s="87"/>
      <c r="N486" s="87"/>
      <c r="O486" s="87"/>
      <c r="P486" s="87"/>
      <c r="Q486" s="86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7"/>
      <c r="M487" s="87"/>
      <c r="N487" s="87"/>
      <c r="O487" s="87"/>
      <c r="P487" s="87"/>
      <c r="Q487" s="86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7"/>
      <c r="M488" s="87"/>
      <c r="N488" s="87"/>
      <c r="O488" s="87"/>
      <c r="P488" s="87"/>
      <c r="Q488" s="86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7"/>
      <c r="M489" s="87"/>
      <c r="N489" s="87"/>
      <c r="O489" s="87"/>
      <c r="P489" s="87"/>
      <c r="Q489" s="86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7"/>
      <c r="M490" s="87"/>
      <c r="N490" s="87"/>
      <c r="O490" s="87"/>
      <c r="P490" s="87"/>
      <c r="Q490" s="86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7"/>
      <c r="M491" s="87"/>
      <c r="N491" s="87"/>
      <c r="O491" s="87"/>
      <c r="P491" s="87"/>
      <c r="Q491" s="86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8"/>
      <c r="M492" s="98"/>
      <c r="N492" s="98"/>
      <c r="O492" s="98"/>
      <c r="P492" s="98"/>
      <c r="Q492" s="97"/>
      <c r="R492" s="98"/>
      <c r="S492" s="98"/>
      <c r="T492" s="98"/>
      <c r="U492" s="98"/>
    </row>
    <row r="493" spans="1:21" ht="19.5" hidden="1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ca="1">I504</f>
        <v>0</v>
      </c>
      <c r="J493" s="617">
        <f ca="1">J504</f>
        <v>0</v>
      </c>
      <c r="K493" s="611">
        <f ca="1">IF(I493&gt;0,J493*100/I493,0)</f>
        <v>0</v>
      </c>
      <c r="L493" s="530"/>
      <c r="M493" s="530"/>
      <c r="N493" s="530"/>
      <c r="O493" s="530"/>
      <c r="P493" s="530"/>
      <c r="Q493" s="529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264">
        <f>L495+L496</f>
        <v>0</v>
      </c>
      <c r="M494" s="264">
        <f>M495+M496</f>
        <v>0</v>
      </c>
      <c r="N494" s="264">
        <f>N495+N496</f>
        <v>0</v>
      </c>
      <c r="O494" s="264">
        <f t="shared" ref="O494:O502" si="120">IF(L494&gt;0,N494*100/L494,0)</f>
        <v>0</v>
      </c>
      <c r="P494" s="264">
        <f t="shared" ref="P494:P502" si="121">IF(M494&gt;0,N494*100/M494,0)</f>
        <v>0</v>
      </c>
      <c r="Q494" s="1257">
        <f ca="1">Q495+Q496</f>
        <v>0</v>
      </c>
      <c r="R494" s="264">
        <f ca="1">R495+R496</f>
        <v>0</v>
      </c>
      <c r="S494" s="264">
        <f ca="1">S495+S496</f>
        <v>0</v>
      </c>
      <c r="T494" s="264">
        <f t="shared" ref="T494:T502" ca="1" si="122">IF(Q494&gt;0,S494*100/Q494,0)</f>
        <v>0</v>
      </c>
      <c r="U494" s="264">
        <f t="shared" ref="U494:U502" ca="1" si="123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7">
        <f t="shared" ref="L495:N496" si="124">L498+L501</f>
        <v>0</v>
      </c>
      <c r="M495" s="77">
        <f t="shared" si="124"/>
        <v>0</v>
      </c>
      <c r="N495" s="77">
        <f t="shared" si="124"/>
        <v>0</v>
      </c>
      <c r="O495" s="77">
        <f t="shared" si="120"/>
        <v>0</v>
      </c>
      <c r="P495" s="77">
        <f t="shared" si="121"/>
        <v>0</v>
      </c>
      <c r="Q495" s="76">
        <f t="shared" ref="Q495:S496" si="125">Q498+Q501</f>
        <v>0</v>
      </c>
      <c r="R495" s="77">
        <f t="shared" si="125"/>
        <v>0</v>
      </c>
      <c r="S495" s="77">
        <f t="shared" si="125"/>
        <v>0</v>
      </c>
      <c r="T495" s="77">
        <f t="shared" si="122"/>
        <v>0</v>
      </c>
      <c r="U495" s="77">
        <f t="shared" si="123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4">
        <f t="shared" si="124"/>
        <v>0</v>
      </c>
      <c r="M496" s="74">
        <f t="shared" si="124"/>
        <v>0</v>
      </c>
      <c r="N496" s="74">
        <f t="shared" si="124"/>
        <v>0</v>
      </c>
      <c r="O496" s="74">
        <f t="shared" si="120"/>
        <v>0</v>
      </c>
      <c r="P496" s="74">
        <f t="shared" si="121"/>
        <v>0</v>
      </c>
      <c r="Q496" s="73">
        <f t="shared" ca="1" si="125"/>
        <v>0</v>
      </c>
      <c r="R496" s="74">
        <f t="shared" ca="1" si="125"/>
        <v>0</v>
      </c>
      <c r="S496" s="74">
        <f t="shared" ca="1" si="125"/>
        <v>0</v>
      </c>
      <c r="T496" s="74">
        <f t="shared" ca="1" si="122"/>
        <v>0</v>
      </c>
      <c r="U496" s="74">
        <f t="shared" ca="1" si="123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4">
        <f>L498+L499</f>
        <v>0</v>
      </c>
      <c r="M497" s="74">
        <f>M498+M499</f>
        <v>0</v>
      </c>
      <c r="N497" s="74">
        <f>N498+N499</f>
        <v>0</v>
      </c>
      <c r="O497" s="74">
        <f t="shared" si="120"/>
        <v>0</v>
      </c>
      <c r="P497" s="74">
        <f t="shared" si="121"/>
        <v>0</v>
      </c>
      <c r="Q497" s="73">
        <f ca="1">Q498+Q499</f>
        <v>0</v>
      </c>
      <c r="R497" s="74">
        <f ca="1">R498+R499</f>
        <v>0</v>
      </c>
      <c r="S497" s="74">
        <f ca="1">S498+S499</f>
        <v>0</v>
      </c>
      <c r="T497" s="74">
        <f t="shared" ca="1" si="122"/>
        <v>0</v>
      </c>
      <c r="U497" s="74">
        <f t="shared" ca="1" si="123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7">
        <v>0</v>
      </c>
      <c r="M498" s="77">
        <v>0</v>
      </c>
      <c r="N498" s="77">
        <v>0</v>
      </c>
      <c r="O498" s="77">
        <f t="shared" si="120"/>
        <v>0</v>
      </c>
      <c r="P498" s="77">
        <f t="shared" si="121"/>
        <v>0</v>
      </c>
      <c r="Q498" s="76">
        <v>0</v>
      </c>
      <c r="R498" s="77">
        <v>0</v>
      </c>
      <c r="S498" s="77">
        <v>0</v>
      </c>
      <c r="T498" s="77">
        <f t="shared" si="122"/>
        <v>0</v>
      </c>
      <c r="U498" s="77">
        <f t="shared" si="123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4">
        <v>0</v>
      </c>
      <c r="M499" s="74">
        <v>0</v>
      </c>
      <c r="N499" s="74">
        <v>0</v>
      </c>
      <c r="O499" s="74">
        <f t="shared" si="120"/>
        <v>0</v>
      </c>
      <c r="P499" s="74">
        <f t="shared" si="121"/>
        <v>0</v>
      </c>
      <c r="Q499" s="73">
        <f ca="1">IFERROR(__xludf.DUMMYFUNCTION("IMPORTRANGE(""https://docs.google.com/spreadsheets/d/1ItG2mGa2ceCfYo0BwxsXqNm01IGEUdYcSSLTEv9YCik/edit?usp=sharing"",""เบิกจ่ายกองทุน!X57"")"),0)</f>
        <v>0</v>
      </c>
      <c r="R499" s="74">
        <f ca="1">IFERROR(__xludf.DUMMYFUNCTION("IMPORTRANGE(""https://docs.google.com/spreadsheets/d/1ItG2mGa2ceCfYo0BwxsXqNm01IGEUdYcSSLTEv9YCik/edit?usp=sharing"",""เบิกจ่ายกองทุน!Y57"")"),0)</f>
        <v>0</v>
      </c>
      <c r="S499" s="74">
        <f ca="1">IFERROR(__xludf.DUMMYFUNCTION("IMPORTRANGE(""https://docs.google.com/spreadsheets/d/1ItG2mGa2ceCfYo0BwxsXqNm01IGEUdYcSSLTEv9YCik/edit?usp=sharing"",""เบิกจ่ายกองทุน!Z57"")"),0)</f>
        <v>0</v>
      </c>
      <c r="T499" s="74">
        <f t="shared" ca="1" si="122"/>
        <v>0</v>
      </c>
      <c r="U499" s="74">
        <f t="shared" ca="1" si="123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4">
        <f>L501+L502</f>
        <v>0</v>
      </c>
      <c r="M500" s="74">
        <f>M501+M502</f>
        <v>0</v>
      </c>
      <c r="N500" s="74">
        <f>N501+N502</f>
        <v>0</v>
      </c>
      <c r="O500" s="74">
        <f t="shared" si="120"/>
        <v>0</v>
      </c>
      <c r="P500" s="74">
        <f t="shared" si="121"/>
        <v>0</v>
      </c>
      <c r="Q500" s="73">
        <f>Q501+Q502</f>
        <v>0</v>
      </c>
      <c r="R500" s="74">
        <f>R501+R502</f>
        <v>0</v>
      </c>
      <c r="S500" s="74">
        <f>S501+S502</f>
        <v>0</v>
      </c>
      <c r="T500" s="74">
        <f t="shared" si="122"/>
        <v>0</v>
      </c>
      <c r="U500" s="74">
        <f t="shared" si="123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7">
        <v>0</v>
      </c>
      <c r="M501" s="77">
        <v>0</v>
      </c>
      <c r="N501" s="77">
        <v>0</v>
      </c>
      <c r="O501" s="77">
        <f t="shared" si="120"/>
        <v>0</v>
      </c>
      <c r="P501" s="77">
        <f t="shared" si="121"/>
        <v>0</v>
      </c>
      <c r="Q501" s="76">
        <v>0</v>
      </c>
      <c r="R501" s="77">
        <v>0</v>
      </c>
      <c r="S501" s="77">
        <v>0</v>
      </c>
      <c r="T501" s="77">
        <f t="shared" si="122"/>
        <v>0</v>
      </c>
      <c r="U501" s="77">
        <f t="shared" si="123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4">
        <v>0</v>
      </c>
      <c r="M502" s="74">
        <v>0</v>
      </c>
      <c r="N502" s="74">
        <v>0</v>
      </c>
      <c r="O502" s="74">
        <f t="shared" si="120"/>
        <v>0</v>
      </c>
      <c r="P502" s="74">
        <f t="shared" si="121"/>
        <v>0</v>
      </c>
      <c r="Q502" s="73">
        <v>0</v>
      </c>
      <c r="R502" s="74">
        <v>0</v>
      </c>
      <c r="S502" s="74">
        <v>0</v>
      </c>
      <c r="T502" s="74">
        <f t="shared" si="122"/>
        <v>0</v>
      </c>
      <c r="U502" s="74">
        <f t="shared" si="123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9"/>
      <c r="M503" s="229"/>
      <c r="N503" s="229"/>
      <c r="O503" s="229"/>
      <c r="P503" s="229"/>
      <c r="Q503" s="228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IFERROR(__xludf.DUMMYFUNCTION("IMPORTRANGE(""https://docs.google.com/spreadsheets/d/1eHaY18a8A9IcSdp1K8H6x8fbOy06t2VsZHhMHf-1x7Y/edit?usp=sharing"",""แผน!GX57"")"),0)</f>
        <v>0</v>
      </c>
      <c r="J504" s="622">
        <f ca="1">IF(AND(J505=I505,J506=I506,J507=I507,J508=I508),I504,0)</f>
        <v>0</v>
      </c>
      <c r="K504" s="264">
        <f t="shared" ref="K504:K510" ca="1" si="126">IF(I504&gt;0,J504*100/I504,0)</f>
        <v>0</v>
      </c>
      <c r="L504" s="87"/>
      <c r="M504" s="87"/>
      <c r="N504" s="87"/>
      <c r="O504" s="87"/>
      <c r="P504" s="87"/>
      <c r="Q504" s="86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IFERROR(__xludf.DUMMYFUNCTION("IMPORTRANGE(""https://docs.google.com/spreadsheets/d/1eHaY18a8A9IcSdp1K8H6x8fbOy06t2VsZHhMHf-1x7Y/edit?usp=sharing"",""แผน!GY57"")"),0)</f>
        <v>0</v>
      </c>
      <c r="J505" s="294">
        <v>0</v>
      </c>
      <c r="K505" s="74">
        <f t="shared" ca="1" si="126"/>
        <v>0</v>
      </c>
      <c r="L505" s="87"/>
      <c r="M505" s="87"/>
      <c r="N505" s="87"/>
      <c r="O505" s="87"/>
      <c r="P505" s="87"/>
      <c r="Q505" s="86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IFERROR(__xludf.DUMMYFUNCTION("IMPORTRANGE(""https://docs.google.com/spreadsheets/d/1eHaY18a8A9IcSdp1K8H6x8fbOy06t2VsZHhMHf-1x7Y/edit?usp=sharing"",""แผน!GZ57"")"),0)</f>
        <v>0</v>
      </c>
      <c r="J506" s="294">
        <v>0</v>
      </c>
      <c r="K506" s="74">
        <f t="shared" ca="1" si="126"/>
        <v>0</v>
      </c>
      <c r="L506" s="87"/>
      <c r="M506" s="87"/>
      <c r="N506" s="87"/>
      <c r="O506" s="87"/>
      <c r="P506" s="87"/>
      <c r="Q506" s="86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IFERROR(__xludf.DUMMYFUNCTION("IMPORTRANGE(""https://docs.google.com/spreadsheets/d/1eHaY18a8A9IcSdp1K8H6x8fbOy06t2VsZHhMHf-1x7Y/edit?usp=sharing"",""แผน!HA57"")"),0)</f>
        <v>0</v>
      </c>
      <c r="J507" s="294">
        <v>0</v>
      </c>
      <c r="K507" s="74">
        <f t="shared" ca="1" si="126"/>
        <v>0</v>
      </c>
      <c r="L507" s="87"/>
      <c r="M507" s="87"/>
      <c r="N507" s="87"/>
      <c r="O507" s="87"/>
      <c r="P507" s="87"/>
      <c r="Q507" s="86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IFERROR(__xludf.DUMMYFUNCTION("IMPORTRANGE(""https://docs.google.com/spreadsheets/d/1eHaY18a8A9IcSdp1K8H6x8fbOy06t2VsZHhMHf-1x7Y/edit?usp=sharing"",""แผน!HB57"")"),0)</f>
        <v>0</v>
      </c>
      <c r="J508" s="294">
        <v>0</v>
      </c>
      <c r="K508" s="74">
        <f t="shared" ca="1" si="126"/>
        <v>0</v>
      </c>
      <c r="L508" s="87"/>
      <c r="M508" s="87"/>
      <c r="N508" s="87"/>
      <c r="O508" s="87"/>
      <c r="P508" s="87"/>
      <c r="Q508" s="86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126"/>
        <v>0</v>
      </c>
      <c r="L509" s="87"/>
      <c r="M509" s="87"/>
      <c r="N509" s="87"/>
      <c r="O509" s="87"/>
      <c r="P509" s="87"/>
      <c r="Q509" s="86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IFERROR(__xludf.DUMMYFUNCTION("IMPORTRANGE(""https://docs.google.com/spreadsheets/d/1eHaY18a8A9IcSdp1K8H6x8fbOy06t2VsZHhMHf-1x7Y/edit?usp=sharing"",""แผน!HC57"")"),0)</f>
        <v>0</v>
      </c>
      <c r="J510" s="761">
        <v>0</v>
      </c>
      <c r="K510" s="182">
        <f t="shared" ca="1" si="126"/>
        <v>0</v>
      </c>
      <c r="L510" s="98"/>
      <c r="M510" s="98"/>
      <c r="N510" s="98"/>
      <c r="O510" s="98"/>
      <c r="P510" s="98"/>
      <c r="Q510" s="97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8"/>
      <c r="I511" s="1200"/>
      <c r="J511" s="1200"/>
      <c r="K511" s="1201"/>
      <c r="L511" s="1201"/>
      <c r="M511" s="1201"/>
      <c r="N511" s="1201"/>
      <c r="O511" s="1201"/>
      <c r="P511" s="1259"/>
      <c r="Q511" s="644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204"/>
      <c r="I512" s="1205"/>
      <c r="J512" s="1205"/>
      <c r="K512" s="1206"/>
      <c r="L512" s="1206"/>
      <c r="M512" s="1206"/>
      <c r="N512" s="1206"/>
      <c r="O512" s="1206"/>
      <c r="P512" s="1206"/>
      <c r="Q512" s="652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1001" t="s">
        <v>61</v>
      </c>
      <c r="I513" s="988">
        <f>I525</f>
        <v>0</v>
      </c>
      <c r="J513" s="988">
        <f>J525</f>
        <v>0</v>
      </c>
      <c r="K513" s="989">
        <f>IF(I513&gt;0,J513*100/I513,0)</f>
        <v>0</v>
      </c>
      <c r="L513" s="664"/>
      <c r="M513" s="664"/>
      <c r="N513" s="664"/>
      <c r="O513" s="664"/>
      <c r="P513" s="664"/>
      <c r="Q513" s="663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8">
        <f ca="1">L515+L516</f>
        <v>0</v>
      </c>
      <c r="M514" s="1258">
        <f ca="1">M515+M516</f>
        <v>0</v>
      </c>
      <c r="N514" s="1258">
        <f ca="1">N515+N516</f>
        <v>0</v>
      </c>
      <c r="O514" s="1258">
        <f t="shared" ref="O514:O522" ca="1" si="127">IF(L514&gt;0,N514*100/L514,0)</f>
        <v>0</v>
      </c>
      <c r="P514" s="1258">
        <f t="shared" ref="P514:P522" ca="1" si="128">IF(M514&gt;0,N514*100/M514,0)</f>
        <v>0</v>
      </c>
      <c r="Q514" s="1257">
        <f>Q515+Q516</f>
        <v>0</v>
      </c>
      <c r="R514" s="264">
        <f>R515+R516</f>
        <v>0</v>
      </c>
      <c r="S514" s="264">
        <f>S515+S516</f>
        <v>0</v>
      </c>
      <c r="T514" s="264">
        <f t="shared" ref="T514:T522" si="129">IF(Q514&gt;0,S514*100/Q514,0)</f>
        <v>0</v>
      </c>
      <c r="U514" s="264">
        <f t="shared" ref="U514:U522" si="130">IF(R514&gt;0,S514*100/R514,0)</f>
        <v>0</v>
      </c>
    </row>
    <row r="515" spans="1:21" ht="18.75" hidden="1" x14ac:dyDescent="0.25">
      <c r="A515" s="257"/>
      <c r="B515" s="269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7">
        <f t="shared" ref="L515:N516" si="131">L518+L521</f>
        <v>0</v>
      </c>
      <c r="M515" s="77">
        <f t="shared" si="131"/>
        <v>0</v>
      </c>
      <c r="N515" s="77">
        <f t="shared" si="131"/>
        <v>0</v>
      </c>
      <c r="O515" s="77">
        <f t="shared" si="127"/>
        <v>0</v>
      </c>
      <c r="P515" s="77">
        <f t="shared" si="128"/>
        <v>0</v>
      </c>
      <c r="Q515" s="76">
        <f t="shared" ref="Q515:S516" si="132">Q518+Q521</f>
        <v>0</v>
      </c>
      <c r="R515" s="77">
        <f t="shared" si="132"/>
        <v>0</v>
      </c>
      <c r="S515" s="77">
        <f t="shared" si="132"/>
        <v>0</v>
      </c>
      <c r="T515" s="77">
        <f t="shared" si="129"/>
        <v>0</v>
      </c>
      <c r="U515" s="77">
        <f t="shared" si="130"/>
        <v>0</v>
      </c>
    </row>
    <row r="516" spans="1:21" ht="18.75" hidden="1" x14ac:dyDescent="0.25">
      <c r="A516" s="257"/>
      <c r="B516" s="258"/>
      <c r="C516" s="269"/>
      <c r="D516" s="258"/>
      <c r="E516" s="775" t="s">
        <v>21</v>
      </c>
      <c r="F516" s="258"/>
      <c r="G516" s="261"/>
      <c r="H516" s="266" t="s">
        <v>14</v>
      </c>
      <c r="I516" s="263"/>
      <c r="J516" s="263"/>
      <c r="K516" s="87"/>
      <c r="L516" s="77">
        <f t="shared" ca="1" si="131"/>
        <v>0</v>
      </c>
      <c r="M516" s="77">
        <f t="shared" ca="1" si="131"/>
        <v>0</v>
      </c>
      <c r="N516" s="77">
        <f t="shared" ca="1" si="131"/>
        <v>0</v>
      </c>
      <c r="O516" s="77">
        <f t="shared" ca="1" si="127"/>
        <v>0</v>
      </c>
      <c r="P516" s="77">
        <f t="shared" ca="1" si="128"/>
        <v>0</v>
      </c>
      <c r="Q516" s="73">
        <f t="shared" si="132"/>
        <v>0</v>
      </c>
      <c r="R516" s="74">
        <f t="shared" si="132"/>
        <v>0</v>
      </c>
      <c r="S516" s="74">
        <f t="shared" si="132"/>
        <v>0</v>
      </c>
      <c r="T516" s="74">
        <f t="shared" si="129"/>
        <v>0</v>
      </c>
      <c r="U516" s="74">
        <f t="shared" si="130"/>
        <v>0</v>
      </c>
    </row>
    <row r="517" spans="1:21" ht="18.75" hidden="1" x14ac:dyDescent="0.25">
      <c r="A517" s="257"/>
      <c r="B517" s="258"/>
      <c r="C517" s="269"/>
      <c r="D517" s="991" t="s">
        <v>22</v>
      </c>
      <c r="E517" s="269"/>
      <c r="F517" s="258"/>
      <c r="G517" s="261"/>
      <c r="H517" s="273" t="s">
        <v>14</v>
      </c>
      <c r="I517" s="272"/>
      <c r="J517" s="272"/>
      <c r="K517" s="229"/>
      <c r="L517" s="77">
        <f ca="1">L518+L519</f>
        <v>0</v>
      </c>
      <c r="M517" s="77">
        <f ca="1">M518+M519</f>
        <v>0</v>
      </c>
      <c r="N517" s="77">
        <f ca="1">N518+N519</f>
        <v>0</v>
      </c>
      <c r="O517" s="77">
        <f t="shared" ca="1" si="127"/>
        <v>0</v>
      </c>
      <c r="P517" s="77">
        <f t="shared" ca="1" si="128"/>
        <v>0</v>
      </c>
      <c r="Q517" s="73">
        <f>Q518+Q519</f>
        <v>0</v>
      </c>
      <c r="R517" s="74">
        <f>R518+R519</f>
        <v>0</v>
      </c>
      <c r="S517" s="74">
        <f>S518+S519</f>
        <v>0</v>
      </c>
      <c r="T517" s="74">
        <f t="shared" si="129"/>
        <v>0</v>
      </c>
      <c r="U517" s="74">
        <f t="shared" si="130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7">
        <v>0</v>
      </c>
      <c r="M518" s="77">
        <v>0</v>
      </c>
      <c r="N518" s="77">
        <v>0</v>
      </c>
      <c r="O518" s="77">
        <f t="shared" si="127"/>
        <v>0</v>
      </c>
      <c r="P518" s="77">
        <f t="shared" si="128"/>
        <v>0</v>
      </c>
      <c r="Q518" s="76">
        <v>0</v>
      </c>
      <c r="R518" s="77">
        <v>0</v>
      </c>
      <c r="S518" s="77">
        <v>0</v>
      </c>
      <c r="T518" s="77">
        <f t="shared" si="129"/>
        <v>0</v>
      </c>
      <c r="U518" s="77">
        <f t="shared" si="130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7">
        <f ca="1">IFERROR(__xludf.DUMMYFUNCTION("IMPORTRANGE(""https://docs.google.com/spreadsheets/d/1-uDff_7J0KD5mKrp0Vvzr7lt3OU09vwQwhkpOPPYv2Y/edit?usp=sharing"",""งบพรบ!FM57"")"),0)</f>
        <v>0</v>
      </c>
      <c r="M519" s="77">
        <f ca="1">IFERROR(__xludf.DUMMYFUNCTION("IMPORTRANGE(""https://docs.google.com/spreadsheets/d/1-uDff_7J0KD5mKrp0Vvzr7lt3OU09vwQwhkpOPPYv2Y/edit?usp=sharing"",""งบพรบ!FR57"")"),0)</f>
        <v>0</v>
      </c>
      <c r="N519" s="77">
        <f ca="1">IFERROR(__xludf.DUMMYFUNCTION("IMPORTRANGE(""https://docs.google.com/spreadsheets/d/1-uDff_7J0KD5mKrp0Vvzr7lt3OU09vwQwhkpOPPYv2Y/edit?usp=sharing"",""งบพรบ!FT57"")"),0)</f>
        <v>0</v>
      </c>
      <c r="O519" s="77">
        <f t="shared" ca="1" si="127"/>
        <v>0</v>
      </c>
      <c r="P519" s="77">
        <f t="shared" ca="1" si="128"/>
        <v>0</v>
      </c>
      <c r="Q519" s="73">
        <v>0</v>
      </c>
      <c r="R519" s="74">
        <v>0</v>
      </c>
      <c r="S519" s="74">
        <v>0</v>
      </c>
      <c r="T519" s="74">
        <f t="shared" si="129"/>
        <v>0</v>
      </c>
      <c r="U519" s="74">
        <f t="shared" si="130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7">
        <f ca="1">L521+L522</f>
        <v>0</v>
      </c>
      <c r="M520" s="77">
        <f ca="1">M521+M522</f>
        <v>0</v>
      </c>
      <c r="N520" s="77">
        <f ca="1">N521+N522</f>
        <v>0</v>
      </c>
      <c r="O520" s="77">
        <f t="shared" ca="1" si="127"/>
        <v>0</v>
      </c>
      <c r="P520" s="77">
        <f t="shared" ca="1" si="128"/>
        <v>0</v>
      </c>
      <c r="Q520" s="73">
        <f>Q521+Q522</f>
        <v>0</v>
      </c>
      <c r="R520" s="74">
        <f>R521+R522</f>
        <v>0</v>
      </c>
      <c r="S520" s="74">
        <f>S521+S522</f>
        <v>0</v>
      </c>
      <c r="T520" s="74">
        <f t="shared" si="129"/>
        <v>0</v>
      </c>
      <c r="U520" s="74">
        <f t="shared" si="130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7">
        <v>0</v>
      </c>
      <c r="M521" s="77">
        <v>0</v>
      </c>
      <c r="N521" s="77">
        <v>0</v>
      </c>
      <c r="O521" s="77">
        <f t="shared" si="127"/>
        <v>0</v>
      </c>
      <c r="P521" s="77">
        <f t="shared" si="128"/>
        <v>0</v>
      </c>
      <c r="Q521" s="76">
        <v>0</v>
      </c>
      <c r="R521" s="77">
        <v>0</v>
      </c>
      <c r="S521" s="77">
        <v>0</v>
      </c>
      <c r="T521" s="77">
        <f t="shared" si="129"/>
        <v>0</v>
      </c>
      <c r="U521" s="77">
        <f t="shared" si="130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7">
        <f ca="1">IFERROR(__xludf.DUMMYFUNCTION("IMPORTRANGE(""https://docs.google.com/spreadsheets/d/1-uDff_7J0KD5mKrp0Vvzr7lt3OU09vwQwhkpOPPYv2Y/edit?usp=sharing"",""งบพรบ!FP57"")"),0)</f>
        <v>0</v>
      </c>
      <c r="M522" s="77">
        <f ca="1">IFERROR(__xludf.DUMMYFUNCTION("IMPORTRANGE(""https://docs.google.com/spreadsheets/d/1-uDff_7J0KD5mKrp0Vvzr7lt3OU09vwQwhkpOPPYv2Y/edit?usp=sharing"",""งบพรบ!FS57"")"),0)</f>
        <v>0</v>
      </c>
      <c r="N522" s="77">
        <f ca="1">IFERROR(__xludf.DUMMYFUNCTION("IMPORTRANGE(""https://docs.google.com/spreadsheets/d/1-uDff_7J0KD5mKrp0Vvzr7lt3OU09vwQwhkpOPPYv2Y/edit?usp=sharing"",""งบพรบ!FU57"")"),0)</f>
        <v>0</v>
      </c>
      <c r="O522" s="77">
        <f t="shared" ca="1" si="127"/>
        <v>0</v>
      </c>
      <c r="P522" s="77">
        <f t="shared" ca="1" si="128"/>
        <v>0</v>
      </c>
      <c r="Q522" s="73">
        <v>0</v>
      </c>
      <c r="R522" s="74">
        <v>0</v>
      </c>
      <c r="S522" s="74">
        <v>0</v>
      </c>
      <c r="T522" s="74">
        <f t="shared" si="129"/>
        <v>0</v>
      </c>
      <c r="U522" s="74">
        <f t="shared" si="130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7"/>
      <c r="M523" s="87"/>
      <c r="N523" s="87"/>
      <c r="O523" s="229"/>
      <c r="P523" s="229"/>
      <c r="Q523" s="86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>IF(I524&gt;0,J524*100/I524,0)</f>
        <v>0</v>
      </c>
      <c r="L524" s="87"/>
      <c r="M524" s="87"/>
      <c r="N524" s="87"/>
      <c r="O524" s="87"/>
      <c r="P524" s="87"/>
      <c r="Q524" s="86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>IF(I525&gt;0,J525*100/I525,0)</f>
        <v>0</v>
      </c>
      <c r="L525" s="98"/>
      <c r="M525" s="98"/>
      <c r="N525" s="98"/>
      <c r="O525" s="98"/>
      <c r="P525" s="98"/>
      <c r="Q525" s="86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677"/>
      <c r="M526" s="677"/>
      <c r="N526" s="677"/>
      <c r="O526" s="677"/>
      <c r="P526" s="677"/>
      <c r="Q526" s="597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6"/>
      <c r="M527" s="596"/>
      <c r="N527" s="596"/>
      <c r="O527" s="596"/>
      <c r="P527" s="596"/>
      <c r="Q527" s="597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6"/>
      <c r="M528" s="596"/>
      <c r="N528" s="596"/>
      <c r="O528" s="596"/>
      <c r="P528" s="596"/>
      <c r="Q528" s="597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6"/>
      <c r="M529" s="596"/>
      <c r="N529" s="596"/>
      <c r="O529" s="596"/>
      <c r="P529" s="596"/>
      <c r="Q529" s="597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6"/>
      <c r="M530" s="596"/>
      <c r="N530" s="596"/>
      <c r="O530" s="596"/>
      <c r="P530" s="596"/>
      <c r="Q530" s="597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6"/>
      <c r="M531" s="596"/>
      <c r="N531" s="596"/>
      <c r="O531" s="596"/>
      <c r="P531" s="596"/>
      <c r="Q531" s="597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6"/>
      <c r="M532" s="596"/>
      <c r="N532" s="596"/>
      <c r="O532" s="596"/>
      <c r="P532" s="596"/>
      <c r="Q532" s="597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1"/>
      <c r="M533" s="601"/>
      <c r="N533" s="601"/>
      <c r="O533" s="601"/>
      <c r="P533" s="601"/>
      <c r="Q533" s="602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>I546</f>
        <v>0</v>
      </c>
      <c r="J534" s="1002">
        <f>J546</f>
        <v>0</v>
      </c>
      <c r="K534" s="688">
        <f>IF(I534&gt;0,J534*100/I534,0)</f>
        <v>0</v>
      </c>
      <c r="L534" s="664"/>
      <c r="M534" s="664"/>
      <c r="N534" s="664"/>
      <c r="O534" s="664"/>
      <c r="P534" s="664"/>
      <c r="Q534" s="663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264">
        <f>L536+L537</f>
        <v>0</v>
      </c>
      <c r="M535" s="264">
        <f>M536+M537</f>
        <v>0</v>
      </c>
      <c r="N535" s="264">
        <f>N536+N537</f>
        <v>0</v>
      </c>
      <c r="O535" s="264">
        <f t="shared" ref="O535:O543" si="133">IF(L535&gt;0,N535*100/L535,0)</f>
        <v>0</v>
      </c>
      <c r="P535" s="264">
        <f t="shared" ref="P535:P543" si="134">IF(M535&gt;0,N535*100/M535,0)</f>
        <v>0</v>
      </c>
      <c r="Q535" s="1257">
        <f>Q536+Q537</f>
        <v>0</v>
      </c>
      <c r="R535" s="264">
        <f>R536+R537</f>
        <v>0</v>
      </c>
      <c r="S535" s="264">
        <f>S536+S537</f>
        <v>0</v>
      </c>
      <c r="T535" s="264">
        <f t="shared" ref="T535:T543" si="135">IF(Q535&gt;0,S535*100/Q535,0)</f>
        <v>0</v>
      </c>
      <c r="U535" s="264">
        <f t="shared" ref="U535:U543" si="136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7">
        <f t="shared" ref="L536:N537" si="137">L539+L542</f>
        <v>0</v>
      </c>
      <c r="M536" s="77">
        <f t="shared" si="137"/>
        <v>0</v>
      </c>
      <c r="N536" s="77">
        <f t="shared" si="137"/>
        <v>0</v>
      </c>
      <c r="O536" s="77">
        <f t="shared" si="133"/>
        <v>0</v>
      </c>
      <c r="P536" s="77">
        <f t="shared" si="134"/>
        <v>0</v>
      </c>
      <c r="Q536" s="76">
        <f t="shared" ref="Q536:S537" si="138">Q539+Q542</f>
        <v>0</v>
      </c>
      <c r="R536" s="77">
        <f t="shared" si="138"/>
        <v>0</v>
      </c>
      <c r="S536" s="77">
        <f t="shared" si="138"/>
        <v>0</v>
      </c>
      <c r="T536" s="77">
        <f t="shared" si="135"/>
        <v>0</v>
      </c>
      <c r="U536" s="77">
        <f t="shared" si="136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4">
        <f t="shared" si="137"/>
        <v>0</v>
      </c>
      <c r="M537" s="74">
        <f t="shared" si="137"/>
        <v>0</v>
      </c>
      <c r="N537" s="74">
        <f t="shared" si="137"/>
        <v>0</v>
      </c>
      <c r="O537" s="74">
        <f t="shared" si="133"/>
        <v>0</v>
      </c>
      <c r="P537" s="74">
        <f t="shared" si="134"/>
        <v>0</v>
      </c>
      <c r="Q537" s="73">
        <f t="shared" si="138"/>
        <v>0</v>
      </c>
      <c r="R537" s="74">
        <f t="shared" si="138"/>
        <v>0</v>
      </c>
      <c r="S537" s="74">
        <f t="shared" si="138"/>
        <v>0</v>
      </c>
      <c r="T537" s="74">
        <f t="shared" si="135"/>
        <v>0</v>
      </c>
      <c r="U537" s="74">
        <f t="shared" si="136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4">
        <f>L539+L540</f>
        <v>0</v>
      </c>
      <c r="M538" s="74">
        <f>M539+M540</f>
        <v>0</v>
      </c>
      <c r="N538" s="74">
        <f>N539+N540</f>
        <v>0</v>
      </c>
      <c r="O538" s="74">
        <f t="shared" si="133"/>
        <v>0</v>
      </c>
      <c r="P538" s="74">
        <f t="shared" si="134"/>
        <v>0</v>
      </c>
      <c r="Q538" s="73">
        <f>Q539+Q540</f>
        <v>0</v>
      </c>
      <c r="R538" s="74">
        <f>R539+R540</f>
        <v>0</v>
      </c>
      <c r="S538" s="74">
        <f>S539+S540</f>
        <v>0</v>
      </c>
      <c r="T538" s="74">
        <f t="shared" si="135"/>
        <v>0</v>
      </c>
      <c r="U538" s="74">
        <f t="shared" si="136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7">
        <v>0</v>
      </c>
      <c r="M539" s="77">
        <v>0</v>
      </c>
      <c r="N539" s="77">
        <v>0</v>
      </c>
      <c r="O539" s="77">
        <f t="shared" si="133"/>
        <v>0</v>
      </c>
      <c r="P539" s="77">
        <f t="shared" si="134"/>
        <v>0</v>
      </c>
      <c r="Q539" s="76">
        <v>0</v>
      </c>
      <c r="R539" s="77">
        <v>0</v>
      </c>
      <c r="S539" s="77">
        <v>0</v>
      </c>
      <c r="T539" s="77">
        <f t="shared" si="135"/>
        <v>0</v>
      </c>
      <c r="U539" s="77">
        <f t="shared" si="136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4">
        <v>0</v>
      </c>
      <c r="M540" s="74">
        <v>0</v>
      </c>
      <c r="N540" s="74">
        <v>0</v>
      </c>
      <c r="O540" s="74">
        <f t="shared" si="133"/>
        <v>0</v>
      </c>
      <c r="P540" s="74">
        <f t="shared" si="134"/>
        <v>0</v>
      </c>
      <c r="Q540" s="73">
        <v>0</v>
      </c>
      <c r="R540" s="74">
        <v>0</v>
      </c>
      <c r="S540" s="74">
        <v>0</v>
      </c>
      <c r="T540" s="74">
        <f t="shared" si="135"/>
        <v>0</v>
      </c>
      <c r="U540" s="74">
        <f t="shared" si="136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4">
        <f>L542+L543</f>
        <v>0</v>
      </c>
      <c r="M541" s="74">
        <f>M542+M543</f>
        <v>0</v>
      </c>
      <c r="N541" s="74">
        <f>N542+N543</f>
        <v>0</v>
      </c>
      <c r="O541" s="74">
        <f t="shared" si="133"/>
        <v>0</v>
      </c>
      <c r="P541" s="74">
        <f t="shared" si="134"/>
        <v>0</v>
      </c>
      <c r="Q541" s="73">
        <f>Q542+Q543</f>
        <v>0</v>
      </c>
      <c r="R541" s="74">
        <f>R542+R543</f>
        <v>0</v>
      </c>
      <c r="S541" s="74">
        <f>S542+S543</f>
        <v>0</v>
      </c>
      <c r="T541" s="74">
        <f t="shared" si="135"/>
        <v>0</v>
      </c>
      <c r="U541" s="74">
        <f t="shared" si="136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7">
        <v>0</v>
      </c>
      <c r="M542" s="77">
        <v>0</v>
      </c>
      <c r="N542" s="77">
        <v>0</v>
      </c>
      <c r="O542" s="77">
        <f t="shared" si="133"/>
        <v>0</v>
      </c>
      <c r="P542" s="77">
        <f t="shared" si="134"/>
        <v>0</v>
      </c>
      <c r="Q542" s="76">
        <v>0</v>
      </c>
      <c r="R542" s="77">
        <v>0</v>
      </c>
      <c r="S542" s="77">
        <v>0</v>
      </c>
      <c r="T542" s="77">
        <f t="shared" si="135"/>
        <v>0</v>
      </c>
      <c r="U542" s="77">
        <f t="shared" si="136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4">
        <v>0</v>
      </c>
      <c r="M543" s="74">
        <v>0</v>
      </c>
      <c r="N543" s="74">
        <v>0</v>
      </c>
      <c r="O543" s="74">
        <f t="shared" si="133"/>
        <v>0</v>
      </c>
      <c r="P543" s="74">
        <f t="shared" si="134"/>
        <v>0</v>
      </c>
      <c r="Q543" s="73">
        <v>0</v>
      </c>
      <c r="R543" s="74">
        <v>0</v>
      </c>
      <c r="S543" s="74">
        <v>0</v>
      </c>
      <c r="T543" s="74">
        <f t="shared" si="135"/>
        <v>0</v>
      </c>
      <c r="U543" s="74">
        <f t="shared" si="136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7"/>
      <c r="M544" s="87"/>
      <c r="N544" s="87"/>
      <c r="O544" s="229"/>
      <c r="P544" s="229"/>
      <c r="Q544" s="86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6"/>
      <c r="M545" s="596"/>
      <c r="N545" s="596"/>
      <c r="O545" s="596"/>
      <c r="P545" s="596"/>
      <c r="Q545" s="597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6"/>
      <c r="M546" s="596"/>
      <c r="N546" s="596"/>
      <c r="O546" s="596"/>
      <c r="P546" s="596"/>
      <c r="Q546" s="597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6"/>
      <c r="M547" s="596"/>
      <c r="N547" s="596"/>
      <c r="O547" s="596"/>
      <c r="P547" s="596"/>
      <c r="Q547" s="597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6"/>
      <c r="M548" s="596"/>
      <c r="N548" s="596"/>
      <c r="O548" s="596"/>
      <c r="P548" s="596"/>
      <c r="Q548" s="597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6"/>
      <c r="M549" s="596"/>
      <c r="N549" s="596"/>
      <c r="O549" s="596"/>
      <c r="P549" s="596"/>
      <c r="Q549" s="597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6"/>
      <c r="M550" s="596"/>
      <c r="N550" s="596"/>
      <c r="O550" s="596"/>
      <c r="P550" s="596"/>
      <c r="Q550" s="597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6"/>
      <c r="M551" s="596"/>
      <c r="N551" s="596"/>
      <c r="O551" s="596"/>
      <c r="P551" s="596"/>
      <c r="Q551" s="597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6"/>
      <c r="M552" s="596"/>
      <c r="N552" s="596"/>
      <c r="O552" s="596"/>
      <c r="P552" s="596"/>
      <c r="Q552" s="597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6"/>
      <c r="M553" s="596"/>
      <c r="N553" s="596"/>
      <c r="O553" s="596"/>
      <c r="P553" s="596"/>
      <c r="Q553" s="597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1"/>
      <c r="M554" s="601"/>
      <c r="N554" s="601"/>
      <c r="O554" s="601"/>
      <c r="P554" s="601"/>
      <c r="Q554" s="602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>I567</f>
        <v>0</v>
      </c>
      <c r="J555" s="1002">
        <f>J567</f>
        <v>0</v>
      </c>
      <c r="K555" s="688">
        <f>IF(I555&gt;0,J555*100/I555,0)</f>
        <v>0</v>
      </c>
      <c r="L555" s="664"/>
      <c r="M555" s="664"/>
      <c r="N555" s="664"/>
      <c r="O555" s="664"/>
      <c r="P555" s="664"/>
      <c r="Q555" s="663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264">
        <f>L557+L558</f>
        <v>0</v>
      </c>
      <c r="M556" s="264">
        <f>M557+M558</f>
        <v>0</v>
      </c>
      <c r="N556" s="264">
        <f>N557+N558</f>
        <v>0</v>
      </c>
      <c r="O556" s="264">
        <f t="shared" ref="O556:O564" si="139">IF(L556&gt;0,N556*100/L556,0)</f>
        <v>0</v>
      </c>
      <c r="P556" s="264">
        <f t="shared" ref="P556:P564" si="140">IF(M556&gt;0,N556*100/M556,0)</f>
        <v>0</v>
      </c>
      <c r="Q556" s="1257">
        <f>Q557+Q558</f>
        <v>0</v>
      </c>
      <c r="R556" s="264">
        <f>R557+R558</f>
        <v>0</v>
      </c>
      <c r="S556" s="264">
        <f>S557+S558</f>
        <v>0</v>
      </c>
      <c r="T556" s="264">
        <f t="shared" ref="T556:T564" si="141">IF(Q556&gt;0,S556*100/Q556,0)</f>
        <v>0</v>
      </c>
      <c r="U556" s="264">
        <f t="shared" ref="U556:U564" si="142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7">
        <f t="shared" ref="L557:N558" si="143">L560+L563</f>
        <v>0</v>
      </c>
      <c r="M557" s="77">
        <f t="shared" si="143"/>
        <v>0</v>
      </c>
      <c r="N557" s="77">
        <f t="shared" si="143"/>
        <v>0</v>
      </c>
      <c r="O557" s="77">
        <f t="shared" si="139"/>
        <v>0</v>
      </c>
      <c r="P557" s="77">
        <f t="shared" si="140"/>
        <v>0</v>
      </c>
      <c r="Q557" s="76">
        <f t="shared" ref="Q557:S558" si="144">Q560+Q563</f>
        <v>0</v>
      </c>
      <c r="R557" s="77">
        <f t="shared" si="144"/>
        <v>0</v>
      </c>
      <c r="S557" s="77">
        <f t="shared" si="144"/>
        <v>0</v>
      </c>
      <c r="T557" s="77">
        <f t="shared" si="141"/>
        <v>0</v>
      </c>
      <c r="U557" s="77">
        <f t="shared" si="142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4">
        <f t="shared" si="143"/>
        <v>0</v>
      </c>
      <c r="M558" s="74">
        <f t="shared" si="143"/>
        <v>0</v>
      </c>
      <c r="N558" s="74">
        <f t="shared" si="143"/>
        <v>0</v>
      </c>
      <c r="O558" s="74">
        <f t="shared" si="139"/>
        <v>0</v>
      </c>
      <c r="P558" s="74">
        <f t="shared" si="140"/>
        <v>0</v>
      </c>
      <c r="Q558" s="73">
        <f t="shared" si="144"/>
        <v>0</v>
      </c>
      <c r="R558" s="74">
        <f t="shared" si="144"/>
        <v>0</v>
      </c>
      <c r="S558" s="74">
        <f t="shared" si="144"/>
        <v>0</v>
      </c>
      <c r="T558" s="74">
        <f t="shared" si="141"/>
        <v>0</v>
      </c>
      <c r="U558" s="74">
        <f t="shared" si="142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4">
        <f>L560+L561</f>
        <v>0</v>
      </c>
      <c r="M559" s="74">
        <f>M560+M561</f>
        <v>0</v>
      </c>
      <c r="N559" s="74">
        <f>N560+N561</f>
        <v>0</v>
      </c>
      <c r="O559" s="74">
        <f t="shared" si="139"/>
        <v>0</v>
      </c>
      <c r="P559" s="74">
        <f t="shared" si="140"/>
        <v>0</v>
      </c>
      <c r="Q559" s="73">
        <f>Q560+Q561</f>
        <v>0</v>
      </c>
      <c r="R559" s="74">
        <f>R560+R561</f>
        <v>0</v>
      </c>
      <c r="S559" s="74">
        <f>S560+S561</f>
        <v>0</v>
      </c>
      <c r="T559" s="74">
        <f t="shared" si="141"/>
        <v>0</v>
      </c>
      <c r="U559" s="74">
        <f t="shared" si="142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7">
        <v>0</v>
      </c>
      <c r="M560" s="77">
        <v>0</v>
      </c>
      <c r="N560" s="77">
        <v>0</v>
      </c>
      <c r="O560" s="77">
        <f t="shared" si="139"/>
        <v>0</v>
      </c>
      <c r="P560" s="77">
        <f t="shared" si="140"/>
        <v>0</v>
      </c>
      <c r="Q560" s="76">
        <v>0</v>
      </c>
      <c r="R560" s="77">
        <v>0</v>
      </c>
      <c r="S560" s="77">
        <v>0</v>
      </c>
      <c r="T560" s="77">
        <f t="shared" si="141"/>
        <v>0</v>
      </c>
      <c r="U560" s="77">
        <f t="shared" si="142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4">
        <v>0</v>
      </c>
      <c r="M561" s="74">
        <v>0</v>
      </c>
      <c r="N561" s="74">
        <v>0</v>
      </c>
      <c r="O561" s="74">
        <f t="shared" si="139"/>
        <v>0</v>
      </c>
      <c r="P561" s="74">
        <f t="shared" si="140"/>
        <v>0</v>
      </c>
      <c r="Q561" s="73">
        <v>0</v>
      </c>
      <c r="R561" s="74">
        <v>0</v>
      </c>
      <c r="S561" s="74">
        <v>0</v>
      </c>
      <c r="T561" s="74">
        <f t="shared" si="141"/>
        <v>0</v>
      </c>
      <c r="U561" s="74">
        <f t="shared" si="142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4">
        <f>L563+L564</f>
        <v>0</v>
      </c>
      <c r="M562" s="74">
        <f>M563+M564</f>
        <v>0</v>
      </c>
      <c r="N562" s="74">
        <f>N563+N564</f>
        <v>0</v>
      </c>
      <c r="O562" s="74">
        <f t="shared" si="139"/>
        <v>0</v>
      </c>
      <c r="P562" s="74">
        <f t="shared" si="140"/>
        <v>0</v>
      </c>
      <c r="Q562" s="73">
        <f>Q563+Q564</f>
        <v>0</v>
      </c>
      <c r="R562" s="74">
        <f>R563+R564</f>
        <v>0</v>
      </c>
      <c r="S562" s="74">
        <f>S563+S564</f>
        <v>0</v>
      </c>
      <c r="T562" s="74">
        <f t="shared" si="141"/>
        <v>0</v>
      </c>
      <c r="U562" s="74">
        <f t="shared" si="142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7">
        <v>0</v>
      </c>
      <c r="M563" s="77">
        <v>0</v>
      </c>
      <c r="N563" s="77">
        <v>0</v>
      </c>
      <c r="O563" s="77">
        <f t="shared" si="139"/>
        <v>0</v>
      </c>
      <c r="P563" s="77">
        <f t="shared" si="140"/>
        <v>0</v>
      </c>
      <c r="Q563" s="76">
        <v>0</v>
      </c>
      <c r="R563" s="77">
        <v>0</v>
      </c>
      <c r="S563" s="77">
        <v>0</v>
      </c>
      <c r="T563" s="77">
        <f t="shared" si="141"/>
        <v>0</v>
      </c>
      <c r="U563" s="77">
        <f t="shared" si="142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4">
        <v>0</v>
      </c>
      <c r="M564" s="74">
        <v>0</v>
      </c>
      <c r="N564" s="74">
        <v>0</v>
      </c>
      <c r="O564" s="74">
        <f t="shared" si="139"/>
        <v>0</v>
      </c>
      <c r="P564" s="74">
        <f t="shared" si="140"/>
        <v>0</v>
      </c>
      <c r="Q564" s="73">
        <v>0</v>
      </c>
      <c r="R564" s="74">
        <v>0</v>
      </c>
      <c r="S564" s="74">
        <v>0</v>
      </c>
      <c r="T564" s="74">
        <f t="shared" si="141"/>
        <v>0</v>
      </c>
      <c r="U564" s="74">
        <f t="shared" si="142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7"/>
      <c r="M565" s="87"/>
      <c r="N565" s="87"/>
      <c r="O565" s="229"/>
      <c r="P565" s="229"/>
      <c r="Q565" s="86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6"/>
      <c r="M566" s="596"/>
      <c r="N566" s="596"/>
      <c r="O566" s="596"/>
      <c r="P566" s="596"/>
      <c r="Q566" s="597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6"/>
      <c r="M567" s="596"/>
      <c r="N567" s="596"/>
      <c r="O567" s="596"/>
      <c r="P567" s="596"/>
      <c r="Q567" s="597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6"/>
      <c r="M568" s="596"/>
      <c r="N568" s="596"/>
      <c r="O568" s="596"/>
      <c r="P568" s="596"/>
      <c r="Q568" s="597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6"/>
      <c r="M569" s="596"/>
      <c r="N569" s="596"/>
      <c r="O569" s="596"/>
      <c r="P569" s="596"/>
      <c r="Q569" s="597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6"/>
      <c r="M570" s="596"/>
      <c r="N570" s="596"/>
      <c r="O570" s="596"/>
      <c r="P570" s="596"/>
      <c r="Q570" s="597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6"/>
      <c r="M571" s="596"/>
      <c r="N571" s="596"/>
      <c r="O571" s="596"/>
      <c r="P571" s="596"/>
      <c r="Q571" s="597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6"/>
      <c r="M572" s="596"/>
      <c r="N572" s="596"/>
      <c r="O572" s="596"/>
      <c r="P572" s="596"/>
      <c r="Q572" s="597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6"/>
      <c r="M573" s="596"/>
      <c r="N573" s="596"/>
      <c r="O573" s="596"/>
      <c r="P573" s="596"/>
      <c r="Q573" s="597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6"/>
      <c r="M574" s="596"/>
      <c r="N574" s="596"/>
      <c r="O574" s="596"/>
      <c r="P574" s="596"/>
      <c r="Q574" s="597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1"/>
      <c r="M575" s="601"/>
      <c r="N575" s="601"/>
      <c r="O575" s="601"/>
      <c r="P575" s="601"/>
      <c r="Q575" s="602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>I588</f>
        <v>0</v>
      </c>
      <c r="J576" s="1002">
        <f>J588</f>
        <v>0</v>
      </c>
      <c r="K576" s="688">
        <f>IF(I576&gt;0,J576*100/I576,0)</f>
        <v>0</v>
      </c>
      <c r="L576" s="664"/>
      <c r="M576" s="664"/>
      <c r="N576" s="664"/>
      <c r="O576" s="664"/>
      <c r="P576" s="664"/>
      <c r="Q576" s="663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264">
        <f>L578+L579</f>
        <v>0</v>
      </c>
      <c r="M577" s="264">
        <f>M578+M579</f>
        <v>0</v>
      </c>
      <c r="N577" s="264">
        <f>N578+N579</f>
        <v>0</v>
      </c>
      <c r="O577" s="264">
        <f t="shared" ref="O577:O585" si="145">IF(L577&gt;0,N577*100/L577,0)</f>
        <v>0</v>
      </c>
      <c r="P577" s="264">
        <f t="shared" ref="P577:P585" si="146">IF(M577&gt;0,N577*100/M577,0)</f>
        <v>0</v>
      </c>
      <c r="Q577" s="1257">
        <f>Q578+Q579</f>
        <v>0</v>
      </c>
      <c r="R577" s="264">
        <f>R578+R579</f>
        <v>0</v>
      </c>
      <c r="S577" s="264">
        <f>S578+S579</f>
        <v>0</v>
      </c>
      <c r="T577" s="264">
        <f t="shared" ref="T577:T585" si="147">IF(Q577&gt;0,S577*100/Q577,0)</f>
        <v>0</v>
      </c>
      <c r="U577" s="264">
        <f t="shared" ref="U577:U585" si="148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7">
        <f t="shared" ref="L578:N579" si="149">L581+L584</f>
        <v>0</v>
      </c>
      <c r="M578" s="77">
        <f t="shared" si="149"/>
        <v>0</v>
      </c>
      <c r="N578" s="77">
        <f t="shared" si="149"/>
        <v>0</v>
      </c>
      <c r="O578" s="77">
        <f t="shared" si="145"/>
        <v>0</v>
      </c>
      <c r="P578" s="77">
        <f t="shared" si="146"/>
        <v>0</v>
      </c>
      <c r="Q578" s="76">
        <f t="shared" ref="Q578:S579" si="150">Q581+Q584</f>
        <v>0</v>
      </c>
      <c r="R578" s="77">
        <f t="shared" si="150"/>
        <v>0</v>
      </c>
      <c r="S578" s="77">
        <f t="shared" si="150"/>
        <v>0</v>
      </c>
      <c r="T578" s="77">
        <f t="shared" si="147"/>
        <v>0</v>
      </c>
      <c r="U578" s="77">
        <f t="shared" si="148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4">
        <f t="shared" si="149"/>
        <v>0</v>
      </c>
      <c r="M579" s="74">
        <f t="shared" si="149"/>
        <v>0</v>
      </c>
      <c r="N579" s="74">
        <f t="shared" si="149"/>
        <v>0</v>
      </c>
      <c r="O579" s="74">
        <f t="shared" si="145"/>
        <v>0</v>
      </c>
      <c r="P579" s="74">
        <f t="shared" si="146"/>
        <v>0</v>
      </c>
      <c r="Q579" s="73">
        <f t="shared" si="150"/>
        <v>0</v>
      </c>
      <c r="R579" s="74">
        <f t="shared" si="150"/>
        <v>0</v>
      </c>
      <c r="S579" s="74">
        <f t="shared" si="150"/>
        <v>0</v>
      </c>
      <c r="T579" s="74">
        <f t="shared" si="147"/>
        <v>0</v>
      </c>
      <c r="U579" s="74">
        <f t="shared" si="148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4">
        <f>L581+L582</f>
        <v>0</v>
      </c>
      <c r="M580" s="74">
        <f>M581+M582</f>
        <v>0</v>
      </c>
      <c r="N580" s="74">
        <f>N581+N582</f>
        <v>0</v>
      </c>
      <c r="O580" s="74">
        <f t="shared" si="145"/>
        <v>0</v>
      </c>
      <c r="P580" s="74">
        <f t="shared" si="146"/>
        <v>0</v>
      </c>
      <c r="Q580" s="73">
        <f>Q581+Q582</f>
        <v>0</v>
      </c>
      <c r="R580" s="74">
        <f>R581+R582</f>
        <v>0</v>
      </c>
      <c r="S580" s="74">
        <f>S581+S582</f>
        <v>0</v>
      </c>
      <c r="T580" s="74">
        <f t="shared" si="147"/>
        <v>0</v>
      </c>
      <c r="U580" s="74">
        <f t="shared" si="148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7">
        <v>0</v>
      </c>
      <c r="M581" s="77">
        <v>0</v>
      </c>
      <c r="N581" s="77">
        <v>0</v>
      </c>
      <c r="O581" s="77">
        <f t="shared" si="145"/>
        <v>0</v>
      </c>
      <c r="P581" s="77">
        <f t="shared" si="146"/>
        <v>0</v>
      </c>
      <c r="Q581" s="76">
        <v>0</v>
      </c>
      <c r="R581" s="77">
        <v>0</v>
      </c>
      <c r="S581" s="77">
        <v>0</v>
      </c>
      <c r="T581" s="77">
        <f t="shared" si="147"/>
        <v>0</v>
      </c>
      <c r="U581" s="77">
        <f t="shared" si="148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4">
        <v>0</v>
      </c>
      <c r="M582" s="74">
        <v>0</v>
      </c>
      <c r="N582" s="74">
        <v>0</v>
      </c>
      <c r="O582" s="74">
        <f t="shared" si="145"/>
        <v>0</v>
      </c>
      <c r="P582" s="74">
        <f t="shared" si="146"/>
        <v>0</v>
      </c>
      <c r="Q582" s="73">
        <v>0</v>
      </c>
      <c r="R582" s="74">
        <v>0</v>
      </c>
      <c r="S582" s="74">
        <v>0</v>
      </c>
      <c r="T582" s="74">
        <f t="shared" si="147"/>
        <v>0</v>
      </c>
      <c r="U582" s="74">
        <f t="shared" si="148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4">
        <f>L584+L585</f>
        <v>0</v>
      </c>
      <c r="M583" s="74">
        <f>M584+M585</f>
        <v>0</v>
      </c>
      <c r="N583" s="74">
        <f>N584+N585</f>
        <v>0</v>
      </c>
      <c r="O583" s="74">
        <f t="shared" si="145"/>
        <v>0</v>
      </c>
      <c r="P583" s="74">
        <f t="shared" si="146"/>
        <v>0</v>
      </c>
      <c r="Q583" s="73">
        <f>Q584+Q585</f>
        <v>0</v>
      </c>
      <c r="R583" s="74">
        <f>R584+R585</f>
        <v>0</v>
      </c>
      <c r="S583" s="74">
        <f>S584+S585</f>
        <v>0</v>
      </c>
      <c r="T583" s="74">
        <f t="shared" si="147"/>
        <v>0</v>
      </c>
      <c r="U583" s="74">
        <f t="shared" si="148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7">
        <v>0</v>
      </c>
      <c r="M584" s="77">
        <v>0</v>
      </c>
      <c r="N584" s="77">
        <v>0</v>
      </c>
      <c r="O584" s="77">
        <f t="shared" si="145"/>
        <v>0</v>
      </c>
      <c r="P584" s="77">
        <f t="shared" si="146"/>
        <v>0</v>
      </c>
      <c r="Q584" s="76">
        <v>0</v>
      </c>
      <c r="R584" s="77">
        <v>0</v>
      </c>
      <c r="S584" s="77">
        <v>0</v>
      </c>
      <c r="T584" s="77">
        <f t="shared" si="147"/>
        <v>0</v>
      </c>
      <c r="U584" s="77">
        <f t="shared" si="148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4">
        <v>0</v>
      </c>
      <c r="M585" s="74">
        <v>0</v>
      </c>
      <c r="N585" s="74">
        <v>0</v>
      </c>
      <c r="O585" s="74">
        <f t="shared" si="145"/>
        <v>0</v>
      </c>
      <c r="P585" s="74">
        <f t="shared" si="146"/>
        <v>0</v>
      </c>
      <c r="Q585" s="73">
        <v>0</v>
      </c>
      <c r="R585" s="74">
        <v>0</v>
      </c>
      <c r="S585" s="74">
        <v>0</v>
      </c>
      <c r="T585" s="74">
        <f t="shared" si="147"/>
        <v>0</v>
      </c>
      <c r="U585" s="74">
        <f t="shared" si="148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7"/>
      <c r="M586" s="87"/>
      <c r="N586" s="87"/>
      <c r="O586" s="229"/>
      <c r="P586" s="229"/>
      <c r="Q586" s="86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6"/>
      <c r="M587" s="596"/>
      <c r="N587" s="596"/>
      <c r="O587" s="596"/>
      <c r="P587" s="596"/>
      <c r="Q587" s="597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6"/>
      <c r="M588" s="596"/>
      <c r="N588" s="596"/>
      <c r="O588" s="596"/>
      <c r="P588" s="596"/>
      <c r="Q588" s="597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6"/>
      <c r="M589" s="596"/>
      <c r="N589" s="596"/>
      <c r="O589" s="596"/>
      <c r="P589" s="596"/>
      <c r="Q589" s="597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6"/>
      <c r="M590" s="596"/>
      <c r="N590" s="596"/>
      <c r="O590" s="596"/>
      <c r="P590" s="596"/>
      <c r="Q590" s="597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6"/>
      <c r="M591" s="596"/>
      <c r="N591" s="596"/>
      <c r="O591" s="596"/>
      <c r="P591" s="596"/>
      <c r="Q591" s="597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6"/>
      <c r="M592" s="596"/>
      <c r="N592" s="596"/>
      <c r="O592" s="596"/>
      <c r="P592" s="596"/>
      <c r="Q592" s="597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6"/>
      <c r="M593" s="596"/>
      <c r="N593" s="596"/>
      <c r="O593" s="596"/>
      <c r="P593" s="596"/>
      <c r="Q593" s="597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6"/>
      <c r="M594" s="596"/>
      <c r="N594" s="596"/>
      <c r="O594" s="596"/>
      <c r="P594" s="596"/>
      <c r="Q594" s="597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6"/>
      <c r="M595" s="596"/>
      <c r="N595" s="596"/>
      <c r="O595" s="596"/>
      <c r="P595" s="596"/>
      <c r="Q595" s="597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1"/>
      <c r="M596" s="601"/>
      <c r="N596" s="601"/>
      <c r="O596" s="601"/>
      <c r="P596" s="601"/>
      <c r="Q596" s="602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199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8"/>
      <c r="M598" s="208"/>
      <c r="N598" s="208"/>
      <c r="O598" s="208"/>
      <c r="P598" s="208"/>
      <c r="Q598" s="207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8"/>
      <c r="M599" s="208"/>
      <c r="N599" s="208"/>
      <c r="O599" s="208"/>
      <c r="P599" s="208"/>
      <c r="Q599" s="207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264">
        <f>L601+L602</f>
        <v>0</v>
      </c>
      <c r="M600" s="264">
        <f>M601+M602</f>
        <v>0</v>
      </c>
      <c r="N600" s="264">
        <f>N601+N602</f>
        <v>0</v>
      </c>
      <c r="O600" s="264">
        <f t="shared" ref="O600:O608" si="151">IF(L600&gt;0,N600*100/L600,0)</f>
        <v>0</v>
      </c>
      <c r="P600" s="264">
        <f t="shared" ref="P600:P608" si="152">IF(M600&gt;0,N600*100/M600,0)</f>
        <v>0</v>
      </c>
      <c r="Q600" s="1257">
        <f>Q601+Q602</f>
        <v>0</v>
      </c>
      <c r="R600" s="264">
        <f>R601+R602</f>
        <v>0</v>
      </c>
      <c r="S600" s="264">
        <f>S601+S602</f>
        <v>0</v>
      </c>
      <c r="T600" s="264">
        <f t="shared" ref="T600:T608" si="153">IF(Q600&gt;0,S600*100/Q600,0)</f>
        <v>0</v>
      </c>
      <c r="U600" s="264">
        <f t="shared" ref="U600:U608" si="154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7">
        <f t="shared" ref="L601:N602" si="155">L604+L607</f>
        <v>0</v>
      </c>
      <c r="M601" s="77">
        <f t="shared" si="155"/>
        <v>0</v>
      </c>
      <c r="N601" s="77">
        <f t="shared" si="155"/>
        <v>0</v>
      </c>
      <c r="O601" s="77">
        <f t="shared" si="151"/>
        <v>0</v>
      </c>
      <c r="P601" s="77">
        <f t="shared" si="152"/>
        <v>0</v>
      </c>
      <c r="Q601" s="76">
        <f t="shared" ref="Q601:S602" si="156">Q604+Q607</f>
        <v>0</v>
      </c>
      <c r="R601" s="77">
        <f t="shared" si="156"/>
        <v>0</v>
      </c>
      <c r="S601" s="77">
        <f t="shared" si="156"/>
        <v>0</v>
      </c>
      <c r="T601" s="77">
        <f t="shared" si="153"/>
        <v>0</v>
      </c>
      <c r="U601" s="77">
        <f t="shared" si="154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4">
        <f t="shared" si="155"/>
        <v>0</v>
      </c>
      <c r="M602" s="74">
        <f t="shared" si="155"/>
        <v>0</v>
      </c>
      <c r="N602" s="74">
        <f t="shared" si="155"/>
        <v>0</v>
      </c>
      <c r="O602" s="74">
        <f t="shared" si="151"/>
        <v>0</v>
      </c>
      <c r="P602" s="74">
        <f t="shared" si="152"/>
        <v>0</v>
      </c>
      <c r="Q602" s="73">
        <f t="shared" si="156"/>
        <v>0</v>
      </c>
      <c r="R602" s="74">
        <f t="shared" si="156"/>
        <v>0</v>
      </c>
      <c r="S602" s="74">
        <f t="shared" si="156"/>
        <v>0</v>
      </c>
      <c r="T602" s="74">
        <f t="shared" si="153"/>
        <v>0</v>
      </c>
      <c r="U602" s="74">
        <f t="shared" si="154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4">
        <f>L604+L605</f>
        <v>0</v>
      </c>
      <c r="M603" s="74">
        <f>M604+M605</f>
        <v>0</v>
      </c>
      <c r="N603" s="74">
        <f>N604+N605</f>
        <v>0</v>
      </c>
      <c r="O603" s="74">
        <f t="shared" si="151"/>
        <v>0</v>
      </c>
      <c r="P603" s="74">
        <f t="shared" si="152"/>
        <v>0</v>
      </c>
      <c r="Q603" s="73">
        <f>Q604+Q605</f>
        <v>0</v>
      </c>
      <c r="R603" s="74">
        <f>R604+R605</f>
        <v>0</v>
      </c>
      <c r="S603" s="74">
        <f>S604+S605</f>
        <v>0</v>
      </c>
      <c r="T603" s="74">
        <f t="shared" si="153"/>
        <v>0</v>
      </c>
      <c r="U603" s="74">
        <f t="shared" si="154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7">
        <v>0</v>
      </c>
      <c r="M604" s="77">
        <v>0</v>
      </c>
      <c r="N604" s="77">
        <v>0</v>
      </c>
      <c r="O604" s="77">
        <f t="shared" si="151"/>
        <v>0</v>
      </c>
      <c r="P604" s="77">
        <f t="shared" si="152"/>
        <v>0</v>
      </c>
      <c r="Q604" s="76">
        <v>0</v>
      </c>
      <c r="R604" s="77">
        <v>0</v>
      </c>
      <c r="S604" s="77">
        <v>0</v>
      </c>
      <c r="T604" s="77">
        <f t="shared" si="153"/>
        <v>0</v>
      </c>
      <c r="U604" s="77">
        <f t="shared" si="154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4">
        <v>0</v>
      </c>
      <c r="M605" s="74">
        <v>0</v>
      </c>
      <c r="N605" s="74">
        <v>0</v>
      </c>
      <c r="O605" s="74">
        <f t="shared" si="151"/>
        <v>0</v>
      </c>
      <c r="P605" s="74">
        <f t="shared" si="152"/>
        <v>0</v>
      </c>
      <c r="Q605" s="73">
        <v>0</v>
      </c>
      <c r="R605" s="74">
        <v>0</v>
      </c>
      <c r="S605" s="74">
        <v>0</v>
      </c>
      <c r="T605" s="74">
        <f t="shared" si="153"/>
        <v>0</v>
      </c>
      <c r="U605" s="74">
        <f t="shared" si="154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4">
        <f>L607+L608</f>
        <v>0</v>
      </c>
      <c r="M606" s="74">
        <f>M607+M608</f>
        <v>0</v>
      </c>
      <c r="N606" s="74">
        <f>N607+N608</f>
        <v>0</v>
      </c>
      <c r="O606" s="74">
        <f t="shared" si="151"/>
        <v>0</v>
      </c>
      <c r="P606" s="74">
        <f t="shared" si="152"/>
        <v>0</v>
      </c>
      <c r="Q606" s="73">
        <f>Q607+Q608</f>
        <v>0</v>
      </c>
      <c r="R606" s="74">
        <f>R607+R608</f>
        <v>0</v>
      </c>
      <c r="S606" s="74">
        <f>S607+S608</f>
        <v>0</v>
      </c>
      <c r="T606" s="74">
        <f t="shared" si="153"/>
        <v>0</v>
      </c>
      <c r="U606" s="74">
        <f t="shared" si="154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7">
        <v>0</v>
      </c>
      <c r="M607" s="77">
        <v>0</v>
      </c>
      <c r="N607" s="77">
        <v>0</v>
      </c>
      <c r="O607" s="77">
        <f t="shared" si="151"/>
        <v>0</v>
      </c>
      <c r="P607" s="77">
        <f t="shared" si="152"/>
        <v>0</v>
      </c>
      <c r="Q607" s="76">
        <v>0</v>
      </c>
      <c r="R607" s="77">
        <v>0</v>
      </c>
      <c r="S607" s="77">
        <v>0</v>
      </c>
      <c r="T607" s="77">
        <f t="shared" si="153"/>
        <v>0</v>
      </c>
      <c r="U607" s="77">
        <f t="shared" si="154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4">
        <v>0</v>
      </c>
      <c r="M608" s="74">
        <v>0</v>
      </c>
      <c r="N608" s="74">
        <v>0</v>
      </c>
      <c r="O608" s="74">
        <f t="shared" si="151"/>
        <v>0</v>
      </c>
      <c r="P608" s="74">
        <f t="shared" si="152"/>
        <v>0</v>
      </c>
      <c r="Q608" s="73">
        <v>0</v>
      </c>
      <c r="R608" s="74">
        <v>0</v>
      </c>
      <c r="S608" s="74">
        <v>0</v>
      </c>
      <c r="T608" s="74">
        <f t="shared" si="153"/>
        <v>0</v>
      </c>
      <c r="U608" s="74">
        <f t="shared" si="154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7"/>
      <c r="M609" s="87"/>
      <c r="N609" s="87"/>
      <c r="O609" s="87"/>
      <c r="P609" s="87"/>
      <c r="Q609" s="86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7"/>
      <c r="M610" s="87"/>
      <c r="N610" s="87"/>
      <c r="O610" s="87"/>
      <c r="P610" s="87"/>
      <c r="Q610" s="86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7"/>
      <c r="M611" s="87"/>
      <c r="N611" s="87"/>
      <c r="O611" s="87"/>
      <c r="P611" s="87"/>
      <c r="Q611" s="86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7"/>
      <c r="M612" s="87"/>
      <c r="N612" s="87"/>
      <c r="O612" s="87"/>
      <c r="P612" s="87"/>
      <c r="Q612" s="86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7"/>
      <c r="M613" s="717"/>
      <c r="N613" s="717"/>
      <c r="O613" s="717"/>
      <c r="P613" s="717"/>
      <c r="Q613" s="718"/>
      <c r="R613" s="717"/>
      <c r="S613" s="717"/>
      <c r="T613" s="717"/>
      <c r="U613" s="717"/>
    </row>
    <row r="614" spans="1:21" ht="19.5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5"/>
      <c r="M614" s="725"/>
      <c r="N614" s="725"/>
      <c r="O614" s="725"/>
      <c r="P614" s="725"/>
      <c r="Q614" s="726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3"/>
      <c r="M615" s="733"/>
      <c r="N615" s="733"/>
      <c r="O615" s="733"/>
      <c r="P615" s="733"/>
      <c r="Q615" s="734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740">
        <f ca="1">I627</f>
        <v>50</v>
      </c>
      <c r="J616" s="740">
        <f>J627</f>
        <v>0</v>
      </c>
      <c r="K616" s="741">
        <f ca="1">IF(I616&gt;0,J616*100/I616,0)</f>
        <v>0</v>
      </c>
      <c r="L616" s="742"/>
      <c r="M616" s="742"/>
      <c r="N616" s="742"/>
      <c r="O616" s="742"/>
      <c r="P616" s="742"/>
      <c r="Q616" s="743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264">
        <f>L618+L619</f>
        <v>0</v>
      </c>
      <c r="M617" s="264">
        <f>M618+M619</f>
        <v>0</v>
      </c>
      <c r="N617" s="264">
        <f>N618+N619</f>
        <v>0</v>
      </c>
      <c r="O617" s="264">
        <f t="shared" ref="O617:O625" si="157">IF(L617&gt;0,N617*100/L617,0)</f>
        <v>0</v>
      </c>
      <c r="P617" s="264">
        <f t="shared" ref="P617:P625" si="158">IF(M617&gt;0,N617*100/M617,0)</f>
        <v>0</v>
      </c>
      <c r="Q617" s="1257">
        <f ca="1">Q618+Q619</f>
        <v>6700</v>
      </c>
      <c r="R617" s="264">
        <f ca="1">R618+R619</f>
        <v>6700</v>
      </c>
      <c r="S617" s="264">
        <f ca="1">S618+S619</f>
        <v>0</v>
      </c>
      <c r="T617" s="264">
        <f t="shared" ref="T617:T625" ca="1" si="159">IF(Q617&gt;0,S617*100/Q617,0)</f>
        <v>0</v>
      </c>
      <c r="U617" s="264">
        <f t="shared" ref="U617:U625" ca="1" si="160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7">
        <f t="shared" ref="L618:N619" si="161">L621+L624</f>
        <v>0</v>
      </c>
      <c r="M618" s="77">
        <f t="shared" si="161"/>
        <v>0</v>
      </c>
      <c r="N618" s="77">
        <f t="shared" si="161"/>
        <v>0</v>
      </c>
      <c r="O618" s="77">
        <f t="shared" si="157"/>
        <v>0</v>
      </c>
      <c r="P618" s="77">
        <f t="shared" si="158"/>
        <v>0</v>
      </c>
      <c r="Q618" s="76">
        <f t="shared" ref="Q618:S619" si="162">Q621+Q624</f>
        <v>0</v>
      </c>
      <c r="R618" s="77">
        <f t="shared" si="162"/>
        <v>0</v>
      </c>
      <c r="S618" s="77">
        <f t="shared" si="162"/>
        <v>0</v>
      </c>
      <c r="T618" s="77">
        <f t="shared" si="159"/>
        <v>0</v>
      </c>
      <c r="U618" s="77">
        <f t="shared" si="160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4">
        <f t="shared" si="161"/>
        <v>0</v>
      </c>
      <c r="M619" s="74">
        <f t="shared" si="161"/>
        <v>0</v>
      </c>
      <c r="N619" s="74">
        <f t="shared" si="161"/>
        <v>0</v>
      </c>
      <c r="O619" s="74">
        <f t="shared" si="157"/>
        <v>0</v>
      </c>
      <c r="P619" s="74">
        <f t="shared" si="158"/>
        <v>0</v>
      </c>
      <c r="Q619" s="73">
        <f t="shared" ca="1" si="162"/>
        <v>6700</v>
      </c>
      <c r="R619" s="74">
        <f t="shared" ca="1" si="162"/>
        <v>6700</v>
      </c>
      <c r="S619" s="74">
        <f t="shared" ca="1" si="162"/>
        <v>0</v>
      </c>
      <c r="T619" s="74">
        <f t="shared" ca="1" si="159"/>
        <v>0</v>
      </c>
      <c r="U619" s="74">
        <f t="shared" ca="1" si="160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4">
        <f>L621+L622</f>
        <v>0</v>
      </c>
      <c r="M620" s="74">
        <f>M621+M622</f>
        <v>0</v>
      </c>
      <c r="N620" s="74">
        <f>N621+N622</f>
        <v>0</v>
      </c>
      <c r="O620" s="74">
        <f t="shared" si="157"/>
        <v>0</v>
      </c>
      <c r="P620" s="74">
        <f t="shared" si="158"/>
        <v>0</v>
      </c>
      <c r="Q620" s="73">
        <f ca="1">Q621+Q622</f>
        <v>6700</v>
      </c>
      <c r="R620" s="74">
        <f ca="1">R621+R622</f>
        <v>6700</v>
      </c>
      <c r="S620" s="74">
        <f ca="1">S621+S622</f>
        <v>0</v>
      </c>
      <c r="T620" s="74">
        <f t="shared" ca="1" si="159"/>
        <v>0</v>
      </c>
      <c r="U620" s="74">
        <f t="shared" ca="1" si="160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7">
        <v>0</v>
      </c>
      <c r="M621" s="77">
        <v>0</v>
      </c>
      <c r="N621" s="77">
        <v>0</v>
      </c>
      <c r="O621" s="77">
        <f t="shared" si="157"/>
        <v>0</v>
      </c>
      <c r="P621" s="77">
        <f t="shared" si="158"/>
        <v>0</v>
      </c>
      <c r="Q621" s="76">
        <v>0</v>
      </c>
      <c r="R621" s="77">
        <v>0</v>
      </c>
      <c r="S621" s="77">
        <v>0</v>
      </c>
      <c r="T621" s="77">
        <f t="shared" si="159"/>
        <v>0</v>
      </c>
      <c r="U621" s="77">
        <f t="shared" si="160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4">
        <v>0</v>
      </c>
      <c r="M622" s="74">
        <v>0</v>
      </c>
      <c r="N622" s="74">
        <v>0</v>
      </c>
      <c r="O622" s="74">
        <f t="shared" si="157"/>
        <v>0</v>
      </c>
      <c r="P622" s="74">
        <f t="shared" si="158"/>
        <v>0</v>
      </c>
      <c r="Q622" s="73">
        <f ca="1">IFERROR(__xludf.DUMMYFUNCTION("IMPORTRANGE(""https://docs.google.com/spreadsheets/d/1ItG2mGa2ceCfYo0BwxsXqNm01IGEUdYcSSLTEv9YCik/edit?usp=sharing"",""เบิกจ่ายกองทุน!F57"")"),6700)</f>
        <v>6700</v>
      </c>
      <c r="R622" s="74">
        <f ca="1">IFERROR(__xludf.DUMMYFUNCTION("IMPORTRANGE(""https://docs.google.com/spreadsheets/d/1ItG2mGa2ceCfYo0BwxsXqNm01IGEUdYcSSLTEv9YCik/edit?usp=sharing"",""เบิกจ่ายกองทุน!G57"")"),6700)</f>
        <v>6700</v>
      </c>
      <c r="S622" s="74">
        <f ca="1">IFERROR(__xludf.DUMMYFUNCTION("IMPORTRANGE(""https://docs.google.com/spreadsheets/d/1ItG2mGa2ceCfYo0BwxsXqNm01IGEUdYcSSLTEv9YCik/edit?usp=sharing"",""เบิกจ่ายกองทุน!H57"")"),0)</f>
        <v>0</v>
      </c>
      <c r="T622" s="74">
        <f t="shared" ca="1" si="159"/>
        <v>0</v>
      </c>
      <c r="U622" s="74">
        <f t="shared" ca="1" si="160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4">
        <f>L624+L625</f>
        <v>0</v>
      </c>
      <c r="M623" s="74">
        <f>M624+M625</f>
        <v>0</v>
      </c>
      <c r="N623" s="74">
        <f>N624+N625</f>
        <v>0</v>
      </c>
      <c r="O623" s="74">
        <f t="shared" si="157"/>
        <v>0</v>
      </c>
      <c r="P623" s="74">
        <f t="shared" si="158"/>
        <v>0</v>
      </c>
      <c r="Q623" s="73">
        <f>Q624+Q625</f>
        <v>0</v>
      </c>
      <c r="R623" s="74">
        <f>R624+R625</f>
        <v>0</v>
      </c>
      <c r="S623" s="74">
        <f>S624+S625</f>
        <v>0</v>
      </c>
      <c r="T623" s="74">
        <f t="shared" si="159"/>
        <v>0</v>
      </c>
      <c r="U623" s="74">
        <f t="shared" si="160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7">
        <v>0</v>
      </c>
      <c r="M624" s="77">
        <v>0</v>
      </c>
      <c r="N624" s="77">
        <v>0</v>
      </c>
      <c r="O624" s="77">
        <f t="shared" si="157"/>
        <v>0</v>
      </c>
      <c r="P624" s="77">
        <f t="shared" si="158"/>
        <v>0</v>
      </c>
      <c r="Q624" s="76">
        <v>0</v>
      </c>
      <c r="R624" s="77">
        <v>0</v>
      </c>
      <c r="S624" s="77">
        <v>0</v>
      </c>
      <c r="T624" s="77">
        <f t="shared" si="159"/>
        <v>0</v>
      </c>
      <c r="U624" s="77">
        <f t="shared" si="160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4">
        <v>0</v>
      </c>
      <c r="M625" s="74">
        <v>0</v>
      </c>
      <c r="N625" s="74">
        <v>0</v>
      </c>
      <c r="O625" s="74">
        <f t="shared" si="157"/>
        <v>0</v>
      </c>
      <c r="P625" s="74">
        <f t="shared" si="158"/>
        <v>0</v>
      </c>
      <c r="Q625" s="73">
        <v>0</v>
      </c>
      <c r="R625" s="74">
        <v>0</v>
      </c>
      <c r="S625" s="74">
        <v>0</v>
      </c>
      <c r="T625" s="74">
        <f t="shared" si="159"/>
        <v>0</v>
      </c>
      <c r="U625" s="74">
        <f t="shared" si="160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9"/>
      <c r="M626" s="229"/>
      <c r="N626" s="229"/>
      <c r="O626" s="229"/>
      <c r="P626" s="229"/>
      <c r="Q626" s="228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IFERROR(__xludf.DUMMYFUNCTION("IMPORTRANGE(""https://docs.google.com/spreadsheets/d/1eHaY18a8A9IcSdp1K8H6x8fbOy06t2VsZHhMHf-1x7Y/edit?usp=sharing"",""แผน!ID57"")"),50)</f>
        <v>50</v>
      </c>
      <c r="J627" s="622">
        <f>J633</f>
        <v>0</v>
      </c>
      <c r="K627" s="264">
        <f ca="1">IF(I627&gt;0,J627*100/I627,0)</f>
        <v>0</v>
      </c>
      <c r="L627" s="229"/>
      <c r="M627" s="229"/>
      <c r="N627" s="229"/>
      <c r="O627" s="229"/>
      <c r="P627" s="229"/>
      <c r="Q627" s="228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IFERROR(__xludf.DUMMYFUNCTION("IMPORTRANGE(""https://docs.google.com/spreadsheets/d/1eHaY18a8A9IcSdp1K8H6x8fbOy06t2VsZHhMHf-1x7Y/edit?usp=sharing"",""แผน!IC57"")"),0)</f>
        <v>0</v>
      </c>
      <c r="J628" s="294">
        <v>0</v>
      </c>
      <c r="K628" s="74">
        <f ca="1">IF(I628&gt;0,(J628*100)/I628,0)</f>
        <v>0</v>
      </c>
      <c r="L628" s="229"/>
      <c r="M628" s="229"/>
      <c r="N628" s="229"/>
      <c r="O628" s="229"/>
      <c r="P628" s="229"/>
      <c r="Q628" s="228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IFERROR(__xludf.DUMMYFUNCTION("IMPORTRANGE(""https://docs.google.com/spreadsheets/d/1eHaY18a8A9IcSdp1K8H6x8fbOy06t2VsZHhMHf-1x7Y/edit?usp=sharing"",""แผน!IC57"")"),0)</f>
        <v>0</v>
      </c>
      <c r="J629" s="294">
        <v>0</v>
      </c>
      <c r="K629" s="74">
        <f ca="1">IF(I629&gt;0,(J629*100)/I629,0)</f>
        <v>0</v>
      </c>
      <c r="L629" s="229"/>
      <c r="M629" s="229"/>
      <c r="N629" s="229"/>
      <c r="O629" s="229"/>
      <c r="P629" s="229"/>
      <c r="Q629" s="228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0</v>
      </c>
      <c r="K630" s="74">
        <f ca="1">IF(I$627&gt;0,J630*100/I$627,0)</f>
        <v>0</v>
      </c>
      <c r="L630" s="229"/>
      <c r="M630" s="229"/>
      <c r="N630" s="229"/>
      <c r="O630" s="229"/>
      <c r="P630" s="229"/>
      <c r="Q630" s="228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ca="1">IF(I$627&gt;0,J631*100/I$627,0)</f>
        <v>0</v>
      </c>
      <c r="L631" s="229"/>
      <c r="M631" s="229"/>
      <c r="N631" s="229"/>
      <c r="O631" s="229"/>
      <c r="P631" s="229"/>
      <c r="Q631" s="228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ca="1">IF(I$627&gt;0,J632*100/I$627,0)</f>
        <v>0</v>
      </c>
      <c r="L632" s="229"/>
      <c r="M632" s="229"/>
      <c r="N632" s="229"/>
      <c r="O632" s="229"/>
      <c r="P632" s="229"/>
      <c r="Q632" s="228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9"/>
      <c r="M633" s="229"/>
      <c r="N633" s="229"/>
      <c r="O633" s="229"/>
      <c r="P633" s="229"/>
      <c r="Q633" s="228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9"/>
      <c r="M634" s="229"/>
      <c r="N634" s="229"/>
      <c r="O634" s="229"/>
      <c r="P634" s="229"/>
      <c r="Q634" s="228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9"/>
      <c r="M635" s="229"/>
      <c r="N635" s="229"/>
      <c r="O635" s="229"/>
      <c r="P635" s="229"/>
      <c r="Q635" s="228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IFERROR(__xludf.DUMMYFUNCTION("IMPORTRANGE(""https://docs.google.com/spreadsheets/d/1eHaY18a8A9IcSdp1K8H6x8fbOy06t2VsZHhMHf-1x7Y/edit?usp=sharing"",""แผน!IE57"")"),0)</f>
        <v>0</v>
      </c>
      <c r="J636" s="622">
        <f>J637</f>
        <v>0</v>
      </c>
      <c r="K636" s="264">
        <f ca="1">IF(I636&gt;0,J636*100/I636,0)</f>
        <v>0</v>
      </c>
      <c r="L636" s="229"/>
      <c r="M636" s="229"/>
      <c r="N636" s="229"/>
      <c r="O636" s="229"/>
      <c r="P636" s="229"/>
      <c r="Q636" s="228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9"/>
      <c r="M637" s="229"/>
      <c r="N637" s="229"/>
      <c r="O637" s="229"/>
      <c r="P637" s="229"/>
      <c r="Q637" s="228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9"/>
      <c r="M638" s="229"/>
      <c r="N638" s="229"/>
      <c r="O638" s="229"/>
      <c r="P638" s="229"/>
      <c r="Q638" s="228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9"/>
      <c r="M639" s="229"/>
      <c r="N639" s="229"/>
      <c r="O639" s="229"/>
      <c r="P639" s="229"/>
      <c r="Q639" s="228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9"/>
      <c r="M640" s="229"/>
      <c r="N640" s="229"/>
      <c r="O640" s="229"/>
      <c r="P640" s="229"/>
      <c r="Q640" s="228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9"/>
      <c r="M641" s="229"/>
      <c r="N641" s="229"/>
      <c r="O641" s="229"/>
      <c r="P641" s="229"/>
      <c r="Q641" s="228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2"/>
      <c r="M642" s="742"/>
      <c r="N642" s="742"/>
      <c r="O642" s="742"/>
      <c r="P642" s="742"/>
      <c r="Q642" s="743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264">
        <f>L644+L645</f>
        <v>0</v>
      </c>
      <c r="M643" s="264">
        <f>M644+M645</f>
        <v>0</v>
      </c>
      <c r="N643" s="264">
        <f>N644+N645</f>
        <v>0</v>
      </c>
      <c r="O643" s="264">
        <f t="shared" ref="O643:O651" si="163">IF(L643&gt;0,N643*100/L643,0)</f>
        <v>0</v>
      </c>
      <c r="P643" s="264">
        <f t="shared" ref="P643:P651" si="164">IF(M643&gt;0,N643*100/M643,0)</f>
        <v>0</v>
      </c>
      <c r="Q643" s="1257">
        <f ca="1">Q644+Q645</f>
        <v>10480</v>
      </c>
      <c r="R643" s="264">
        <f ca="1">R644+R645</f>
        <v>10480</v>
      </c>
      <c r="S643" s="264">
        <f ca="1">S644+S645</f>
        <v>0</v>
      </c>
      <c r="T643" s="264">
        <f t="shared" ref="T643:T651" ca="1" si="165">IF(Q643&gt;0,S643*100/Q643,0)</f>
        <v>0</v>
      </c>
      <c r="U643" s="264">
        <f t="shared" ref="U643:U651" ca="1" si="166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7">
        <f t="shared" ref="L644:N645" si="167">L647+L650</f>
        <v>0</v>
      </c>
      <c r="M644" s="77">
        <f t="shared" si="167"/>
        <v>0</v>
      </c>
      <c r="N644" s="77">
        <f t="shared" si="167"/>
        <v>0</v>
      </c>
      <c r="O644" s="77">
        <f t="shared" si="163"/>
        <v>0</v>
      </c>
      <c r="P644" s="77">
        <f t="shared" si="164"/>
        <v>0</v>
      </c>
      <c r="Q644" s="76">
        <f t="shared" ref="Q644:S645" si="168">Q647+Q650</f>
        <v>0</v>
      </c>
      <c r="R644" s="77">
        <f t="shared" si="168"/>
        <v>0</v>
      </c>
      <c r="S644" s="77">
        <f t="shared" si="168"/>
        <v>0</v>
      </c>
      <c r="T644" s="77">
        <f t="shared" si="165"/>
        <v>0</v>
      </c>
      <c r="U644" s="77">
        <f t="shared" si="166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4">
        <f t="shared" si="167"/>
        <v>0</v>
      </c>
      <c r="M645" s="74">
        <f t="shared" si="167"/>
        <v>0</v>
      </c>
      <c r="N645" s="74">
        <f t="shared" si="167"/>
        <v>0</v>
      </c>
      <c r="O645" s="74">
        <f t="shared" si="163"/>
        <v>0</v>
      </c>
      <c r="P645" s="74">
        <f t="shared" si="164"/>
        <v>0</v>
      </c>
      <c r="Q645" s="73">
        <f t="shared" ca="1" si="168"/>
        <v>10480</v>
      </c>
      <c r="R645" s="74">
        <f t="shared" ca="1" si="168"/>
        <v>10480</v>
      </c>
      <c r="S645" s="74">
        <f t="shared" ca="1" si="168"/>
        <v>0</v>
      </c>
      <c r="T645" s="74">
        <f t="shared" ca="1" si="165"/>
        <v>0</v>
      </c>
      <c r="U645" s="74">
        <f t="shared" ca="1" si="166"/>
        <v>0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4">
        <f>L647+L648</f>
        <v>0</v>
      </c>
      <c r="M646" s="74">
        <f>M647+M648</f>
        <v>0</v>
      </c>
      <c r="N646" s="74">
        <f>N647+N648</f>
        <v>0</v>
      </c>
      <c r="O646" s="74">
        <f t="shared" si="163"/>
        <v>0</v>
      </c>
      <c r="P646" s="74">
        <f t="shared" si="164"/>
        <v>0</v>
      </c>
      <c r="Q646" s="73">
        <f ca="1">Q647+Q648</f>
        <v>10480</v>
      </c>
      <c r="R646" s="74">
        <f ca="1">R647+R648</f>
        <v>10480</v>
      </c>
      <c r="S646" s="74">
        <f ca="1">S647+S648</f>
        <v>0</v>
      </c>
      <c r="T646" s="74">
        <f t="shared" ca="1" si="165"/>
        <v>0</v>
      </c>
      <c r="U646" s="74">
        <f t="shared" ca="1" si="166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7">
        <v>0</v>
      </c>
      <c r="M647" s="77">
        <v>0</v>
      </c>
      <c r="N647" s="77">
        <v>0</v>
      </c>
      <c r="O647" s="77">
        <f t="shared" si="163"/>
        <v>0</v>
      </c>
      <c r="P647" s="77">
        <f t="shared" si="164"/>
        <v>0</v>
      </c>
      <c r="Q647" s="76">
        <v>0</v>
      </c>
      <c r="R647" s="77">
        <v>0</v>
      </c>
      <c r="S647" s="77">
        <v>0</v>
      </c>
      <c r="T647" s="77">
        <f t="shared" si="165"/>
        <v>0</v>
      </c>
      <c r="U647" s="77">
        <f t="shared" si="166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4">
        <v>0</v>
      </c>
      <c r="M648" s="74">
        <v>0</v>
      </c>
      <c r="N648" s="74">
        <v>0</v>
      </c>
      <c r="O648" s="74">
        <f t="shared" si="163"/>
        <v>0</v>
      </c>
      <c r="P648" s="74">
        <f t="shared" si="164"/>
        <v>0</v>
      </c>
      <c r="Q648" s="73">
        <f ca="1">IFERROR(__xludf.DUMMYFUNCTION("IMPORTRANGE(""https://docs.google.com/spreadsheets/d/1ItG2mGa2ceCfYo0BwxsXqNm01IGEUdYcSSLTEv9YCik/edit?usp=sharing"",""เบิกจ่ายกองทุน!I57"")"),10480)</f>
        <v>10480</v>
      </c>
      <c r="R648" s="74">
        <f ca="1">IFERROR(__xludf.DUMMYFUNCTION("IMPORTRANGE(""https://docs.google.com/spreadsheets/d/1ItG2mGa2ceCfYo0BwxsXqNm01IGEUdYcSSLTEv9YCik/edit?usp=sharing"",""เบิกจ่ายกองทุน!J57"")"),10480)</f>
        <v>10480</v>
      </c>
      <c r="S648" s="74">
        <f ca="1">IFERROR(__xludf.DUMMYFUNCTION("IMPORTRANGE(""https://docs.google.com/spreadsheets/d/1ItG2mGa2ceCfYo0BwxsXqNm01IGEUdYcSSLTEv9YCik/edit?usp=sharing"",""เบิกจ่ายกองทุน!K57"")"),0)</f>
        <v>0</v>
      </c>
      <c r="T648" s="74">
        <f t="shared" ca="1" si="165"/>
        <v>0</v>
      </c>
      <c r="U648" s="74">
        <f t="shared" ca="1" si="166"/>
        <v>0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4">
        <f>L650+L651</f>
        <v>0</v>
      </c>
      <c r="M649" s="74">
        <f>M650+M651</f>
        <v>0</v>
      </c>
      <c r="N649" s="74">
        <f>N650+N651</f>
        <v>0</v>
      </c>
      <c r="O649" s="74">
        <f t="shared" si="163"/>
        <v>0</v>
      </c>
      <c r="P649" s="74">
        <f t="shared" si="164"/>
        <v>0</v>
      </c>
      <c r="Q649" s="73">
        <f>Q650+Q651</f>
        <v>0</v>
      </c>
      <c r="R649" s="74">
        <f>R650+R651</f>
        <v>0</v>
      </c>
      <c r="S649" s="74">
        <f>S650+S651</f>
        <v>0</v>
      </c>
      <c r="T649" s="74">
        <f t="shared" si="165"/>
        <v>0</v>
      </c>
      <c r="U649" s="74">
        <f t="shared" si="166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7">
        <v>0</v>
      </c>
      <c r="M650" s="77">
        <v>0</v>
      </c>
      <c r="N650" s="77">
        <v>0</v>
      </c>
      <c r="O650" s="77">
        <f t="shared" si="163"/>
        <v>0</v>
      </c>
      <c r="P650" s="77">
        <f t="shared" si="164"/>
        <v>0</v>
      </c>
      <c r="Q650" s="76">
        <v>0</v>
      </c>
      <c r="R650" s="77">
        <v>0</v>
      </c>
      <c r="S650" s="77">
        <v>0</v>
      </c>
      <c r="T650" s="77">
        <f t="shared" si="165"/>
        <v>0</v>
      </c>
      <c r="U650" s="77">
        <f t="shared" si="166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4">
        <v>0</v>
      </c>
      <c r="M651" s="74">
        <v>0</v>
      </c>
      <c r="N651" s="74">
        <v>0</v>
      </c>
      <c r="O651" s="74">
        <f t="shared" si="163"/>
        <v>0</v>
      </c>
      <c r="P651" s="74">
        <f t="shared" si="164"/>
        <v>0</v>
      </c>
      <c r="Q651" s="73">
        <v>0</v>
      </c>
      <c r="R651" s="74">
        <v>0</v>
      </c>
      <c r="S651" s="74">
        <v>0</v>
      </c>
      <c r="T651" s="74">
        <f t="shared" si="165"/>
        <v>0</v>
      </c>
      <c r="U651" s="74">
        <f t="shared" si="166"/>
        <v>0</v>
      </c>
    </row>
    <row r="652" spans="1:21" ht="19.5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9"/>
      <c r="M652" s="229"/>
      <c r="N652" s="229"/>
      <c r="O652" s="229"/>
      <c r="P652" s="229"/>
      <c r="Q652" s="86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IFERROR(__xludf.DUMMYFUNCTION("IMPORTRANGE(""https://docs.google.com/spreadsheets/d/1eHaY18a8A9IcSdp1K8H6x8fbOy06t2VsZHhMHf-1x7Y/edit?usp=sharing"",""แผน!IF57"")"),0)</f>
        <v>0</v>
      </c>
      <c r="J653" s="293">
        <f ca="1">IFERROR(__xludf.DUMMYFUNCTION("IMPORTRANGE(""https://docs.google.com/spreadsheets/d/1tdoBKaGub7dwA3U6UFTqxio9LNnvDCQjHKmttSEBsFQ/edit?usp=sharing"",""จัดที่ดิน!AU57"")"),0)</f>
        <v>0</v>
      </c>
      <c r="K653" s="74">
        <f ca="1">IF(I653&gt;0,J653*100/I653,0)</f>
        <v>0</v>
      </c>
      <c r="L653" s="87"/>
      <c r="M653" s="87"/>
      <c r="N653" s="752"/>
      <c r="O653" s="87"/>
      <c r="P653" s="87"/>
      <c r="Q653" s="86"/>
      <c r="R653" s="87"/>
      <c r="S653" s="752"/>
      <c r="T653" s="87"/>
      <c r="U653" s="87"/>
    </row>
    <row r="654" spans="1:21" ht="18.75" hidden="1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IFERROR(__xludf.DUMMYFUNCTION("IMPORTRANGE(""https://docs.google.com/spreadsheets/d/1eHaY18a8A9IcSdp1K8H6x8fbOy06t2VsZHhMHf-1x7Y/edit?usp=sharing"",""แผน!IG57"")"),0)</f>
        <v>0</v>
      </c>
      <c r="J654" s="293">
        <f ca="1">IFERROR(__xludf.DUMMYFUNCTION("IMPORTRANGE(""https://docs.google.com/spreadsheets/d/1tdoBKaGub7dwA3U6UFTqxio9LNnvDCQjHKmttSEBsFQ/edit?usp=sharing"",""จัดที่ดิน!AW57"")"),0)</f>
        <v>0</v>
      </c>
      <c r="K654" s="74">
        <f ca="1">IF(I654&gt;0,J654*100/I654,0)</f>
        <v>0</v>
      </c>
      <c r="L654" s="87"/>
      <c r="M654" s="87"/>
      <c r="N654" s="752"/>
      <c r="O654" s="87"/>
      <c r="P654" s="87"/>
      <c r="Q654" s="86"/>
      <c r="R654" s="87"/>
      <c r="S654" s="752"/>
      <c r="T654" s="87"/>
      <c r="U654" s="87"/>
    </row>
    <row r="655" spans="1:21" ht="19.5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IFERROR(__xludf.DUMMYFUNCTION("IMPORTRANGE(""https://docs.google.com/spreadsheets/d/1eHaY18a8A9IcSdp1K8H6x8fbOy06t2VsZHhMHf-1x7Y/edit?usp=sharing"",""แผน!IH57"")"),120)</f>
        <v>120</v>
      </c>
      <c r="J655" s="622">
        <f>J658+J661</f>
        <v>0</v>
      </c>
      <c r="K655" s="264">
        <f ca="1">IF(I655&gt;0,J655*100/I655,0)</f>
        <v>0</v>
      </c>
      <c r="L655" s="87"/>
      <c r="M655" s="87"/>
      <c r="N655" s="752"/>
      <c r="O655" s="87"/>
      <c r="P655" s="87"/>
      <c r="Q655" s="86"/>
      <c r="R655" s="87"/>
      <c r="S655" s="752"/>
      <c r="T655" s="87"/>
      <c r="U655" s="87"/>
    </row>
    <row r="656" spans="1:21" ht="18.75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7"/>
      <c r="M656" s="87"/>
      <c r="N656" s="752"/>
      <c r="O656" s="87"/>
      <c r="P656" s="87"/>
      <c r="Q656" s="86"/>
      <c r="R656" s="87"/>
      <c r="S656" s="752"/>
      <c r="T656" s="87"/>
      <c r="U656" s="87"/>
    </row>
    <row r="657" spans="1:21" ht="18.75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7"/>
      <c r="M657" s="87"/>
      <c r="N657" s="752"/>
      <c r="O657" s="87"/>
      <c r="P657" s="87"/>
      <c r="Q657" s="86"/>
      <c r="R657" s="87"/>
      <c r="S657" s="752"/>
      <c r="T657" s="87"/>
      <c r="U657" s="87"/>
    </row>
    <row r="658" spans="1:21" ht="18.75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IFERROR(__xludf.DUMMYFUNCTION("IMPORTRANGE(""https://docs.google.com/spreadsheets/d/1eHaY18a8A9IcSdp1K8H6x8fbOy06t2VsZHhMHf-1x7Y/edit?usp=sharing"",""แผน!II57"")"),20)</f>
        <v>20</v>
      </c>
      <c r="J658" s="294">
        <v>0</v>
      </c>
      <c r="K658" s="87"/>
      <c r="L658" s="87"/>
      <c r="M658" s="87"/>
      <c r="N658" s="752"/>
      <c r="O658" s="87"/>
      <c r="P658" s="87"/>
      <c r="Q658" s="86"/>
      <c r="R658" s="87"/>
      <c r="S658" s="752"/>
      <c r="T658" s="87"/>
      <c r="U658" s="87"/>
    </row>
    <row r="659" spans="1:21" ht="18.75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7"/>
      <c r="M659" s="87"/>
      <c r="N659" s="752"/>
      <c r="O659" s="87"/>
      <c r="P659" s="87"/>
      <c r="Q659" s="86"/>
      <c r="R659" s="87"/>
      <c r="S659" s="752"/>
      <c r="T659" s="87"/>
      <c r="U659" s="87"/>
    </row>
    <row r="660" spans="1:21" ht="18.75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7"/>
      <c r="M660" s="87"/>
      <c r="N660" s="752"/>
      <c r="O660" s="87"/>
      <c r="P660" s="87"/>
      <c r="Q660" s="86"/>
      <c r="R660" s="87"/>
      <c r="S660" s="752"/>
      <c r="T660" s="87"/>
      <c r="U660" s="87"/>
    </row>
    <row r="661" spans="1:21" ht="18.75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IFERROR(__xludf.DUMMYFUNCTION("IMPORTRANGE(""https://docs.google.com/spreadsheets/d/1eHaY18a8A9IcSdp1K8H6x8fbOy06t2VsZHhMHf-1x7Y/edit?usp=sharing"",""แผน!IJ57"")"),100)</f>
        <v>100</v>
      </c>
      <c r="J661" s="294">
        <v>0</v>
      </c>
      <c r="K661" s="87"/>
      <c r="L661" s="87"/>
      <c r="M661" s="87"/>
      <c r="N661" s="752"/>
      <c r="O661" s="87"/>
      <c r="P661" s="87"/>
      <c r="Q661" s="86"/>
      <c r="R661" s="87"/>
      <c r="S661" s="752"/>
      <c r="T661" s="87"/>
      <c r="U661" s="87"/>
    </row>
    <row r="662" spans="1:21" ht="19.5" hidden="1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IFERROR(__xludf.DUMMYFUNCTION("IMPORTRANGE(""https://docs.google.com/spreadsheets/d/1eHaY18a8A9IcSdp1K8H6x8fbOy06t2VsZHhMHf-1x7Y/edit?usp=sharing"",""แผน!IK57"")"),0)</f>
        <v>0</v>
      </c>
      <c r="J662" s="622">
        <f>J668+J671</f>
        <v>0</v>
      </c>
      <c r="K662" s="264">
        <f ca="1">IF(I662&gt;0,J662*100/I662,0)</f>
        <v>0</v>
      </c>
      <c r="L662" s="87"/>
      <c r="M662" s="87"/>
      <c r="N662" s="752"/>
      <c r="O662" s="87"/>
      <c r="P662" s="87"/>
      <c r="Q662" s="86"/>
      <c r="R662" s="87"/>
      <c r="S662" s="752"/>
      <c r="T662" s="87"/>
      <c r="U662" s="87"/>
    </row>
    <row r="663" spans="1:21" ht="18.75" hidden="1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2"/>
      <c r="M663" s="87"/>
      <c r="N663" s="752"/>
      <c r="O663" s="87"/>
      <c r="P663" s="87"/>
      <c r="Q663" s="754"/>
      <c r="R663" s="87"/>
      <c r="S663" s="752"/>
      <c r="T663" s="87"/>
      <c r="U663" s="87"/>
    </row>
    <row r="664" spans="1:21" ht="18.75" hidden="1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2"/>
      <c r="M664" s="87"/>
      <c r="N664" s="752"/>
      <c r="O664" s="87"/>
      <c r="P664" s="87"/>
      <c r="Q664" s="754"/>
      <c r="R664" s="87"/>
      <c r="S664" s="752"/>
      <c r="T664" s="87"/>
      <c r="U664" s="87"/>
    </row>
    <row r="665" spans="1:21" ht="18.75" hidden="1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2"/>
      <c r="M665" s="87"/>
      <c r="N665" s="752"/>
      <c r="O665" s="87"/>
      <c r="P665" s="87"/>
      <c r="Q665" s="754"/>
      <c r="R665" s="87"/>
      <c r="S665" s="752"/>
      <c r="T665" s="87"/>
      <c r="U665" s="87"/>
    </row>
    <row r="666" spans="1:21" ht="18.75" hidden="1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2"/>
      <c r="M666" s="87"/>
      <c r="N666" s="752"/>
      <c r="O666" s="87"/>
      <c r="P666" s="87"/>
      <c r="Q666" s="754"/>
      <c r="R666" s="87"/>
      <c r="S666" s="752"/>
      <c r="T666" s="87"/>
      <c r="U666" s="87"/>
    </row>
    <row r="667" spans="1:21" ht="18.75" hidden="1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2"/>
      <c r="M667" s="87"/>
      <c r="N667" s="752"/>
      <c r="O667" s="87"/>
      <c r="P667" s="87"/>
      <c r="Q667" s="754"/>
      <c r="R667" s="87"/>
      <c r="S667" s="752"/>
      <c r="T667" s="87"/>
      <c r="U667" s="87"/>
    </row>
    <row r="668" spans="1:21" ht="18.75" hidden="1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2"/>
      <c r="M668" s="87"/>
      <c r="N668" s="752"/>
      <c r="O668" s="87"/>
      <c r="P668" s="87"/>
      <c r="Q668" s="754"/>
      <c r="R668" s="87"/>
      <c r="S668" s="752"/>
      <c r="T668" s="87"/>
      <c r="U668" s="87"/>
    </row>
    <row r="669" spans="1:21" ht="18.75" hidden="1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2"/>
      <c r="M669" s="87"/>
      <c r="N669" s="752"/>
      <c r="O669" s="87"/>
      <c r="P669" s="87"/>
      <c r="Q669" s="754"/>
      <c r="R669" s="87"/>
      <c r="S669" s="752"/>
      <c r="T669" s="87"/>
      <c r="U669" s="87"/>
    </row>
    <row r="670" spans="1:21" ht="18.75" hidden="1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2"/>
      <c r="M670" s="87"/>
      <c r="N670" s="752"/>
      <c r="O670" s="87"/>
      <c r="P670" s="87"/>
      <c r="Q670" s="754"/>
      <c r="R670" s="87"/>
      <c r="S670" s="752"/>
      <c r="T670" s="87"/>
      <c r="U670" s="87"/>
    </row>
    <row r="671" spans="1:21" ht="18.75" hidden="1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2"/>
      <c r="M671" s="87"/>
      <c r="N671" s="752"/>
      <c r="O671" s="87"/>
      <c r="P671" s="87"/>
      <c r="Q671" s="754"/>
      <c r="R671" s="87"/>
      <c r="S671" s="752"/>
      <c r="T671" s="87"/>
      <c r="U671" s="87"/>
    </row>
    <row r="672" spans="1:21" ht="18.75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IFERROR(__xludf.DUMMYFUNCTION("IMPORTRANGE(""https://docs.google.com/spreadsheets/d/1tdoBKaGub7dwA3U6UFTqxio9LNnvDCQjHKmttSEBsFQ/edit?usp=sharing"",""จัดที่ดิน!AY57"")"),0)</f>
        <v>0</v>
      </c>
      <c r="K672" s="87"/>
      <c r="L672" s="87"/>
      <c r="M672" s="87"/>
      <c r="N672" s="752"/>
      <c r="O672" s="87"/>
      <c r="P672" s="87"/>
      <c r="Q672" s="86"/>
      <c r="R672" s="87"/>
      <c r="S672" s="752"/>
      <c r="T672" s="87"/>
      <c r="U672" s="87"/>
    </row>
    <row r="673" spans="1:21" ht="18.75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IFERROR(__xludf.DUMMYFUNCTION("IMPORTRANGE(""https://docs.google.com/spreadsheets/d/1tdoBKaGub7dwA3U6UFTqxio9LNnvDCQjHKmttSEBsFQ/edit?usp=sharing"",""จัดที่ดิน!AZ57"")"),0)</f>
        <v>0</v>
      </c>
      <c r="K673" s="87"/>
      <c r="L673" s="752"/>
      <c r="M673" s="87"/>
      <c r="N673" s="752"/>
      <c r="O673" s="87"/>
      <c r="P673" s="87"/>
      <c r="Q673" s="754"/>
      <c r="R673" s="87"/>
      <c r="S673" s="752"/>
      <c r="T673" s="87"/>
      <c r="U673" s="87"/>
    </row>
    <row r="674" spans="1:21" ht="18.75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IFERROR(__xludf.DUMMYFUNCTION("IMPORTRANGE(""https://docs.google.com/spreadsheets/d/1eHaY18a8A9IcSdp1K8H6x8fbOy06t2VsZHhMHf-1x7Y/edit?usp=sharing"",""แผน!IL57"")"),100)</f>
        <v>100</v>
      </c>
      <c r="J674" s="293">
        <f ca="1">IFERROR(__xludf.DUMMYFUNCTION("IMPORTRANGE(""https://docs.google.com/spreadsheets/d/1tdoBKaGub7dwA3U6UFTqxio9LNnvDCQjHKmttSEBsFQ/edit?usp=sharing"",""จัดที่ดิน!BA57"")"),0)</f>
        <v>0</v>
      </c>
      <c r="K674" s="74">
        <f ca="1">IF(I674&gt;0,J674*100/I674,0)</f>
        <v>0</v>
      </c>
      <c r="L674" s="752"/>
      <c r="M674" s="87"/>
      <c r="N674" s="752"/>
      <c r="O674" s="87"/>
      <c r="P674" s="87"/>
      <c r="Q674" s="754"/>
      <c r="R674" s="87"/>
      <c r="S674" s="752"/>
      <c r="T674" s="87"/>
      <c r="U674" s="87"/>
    </row>
    <row r="675" spans="1:21" ht="19.5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IFERROR(__xludf.DUMMYFUNCTION("IMPORTRANGE(""https://docs.google.com/spreadsheets/d/1eHaY18a8A9IcSdp1K8H6x8fbOy06t2VsZHhMHf-1x7Y/edit?usp=sharing"",""แผน!IM57"")"),9)</f>
        <v>9</v>
      </c>
      <c r="J675" s="622">
        <f ca="1">J677+J680</f>
        <v>0</v>
      </c>
      <c r="K675" s="264">
        <f ca="1">IF(I675&gt;0,J675*100/I675,0)</f>
        <v>0</v>
      </c>
      <c r="L675" s="752"/>
      <c r="M675" s="87"/>
      <c r="N675" s="752"/>
      <c r="O675" s="87"/>
      <c r="P675" s="87"/>
      <c r="Q675" s="754"/>
      <c r="R675" s="87"/>
      <c r="S675" s="752"/>
      <c r="T675" s="87"/>
      <c r="U675" s="87"/>
    </row>
    <row r="676" spans="1:21" ht="19.5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IFERROR(__xludf.DUMMYFUNCTION("IMPORTRANGE(""https://docs.google.com/spreadsheets/d/1eHaY18a8A9IcSdp1K8H6x8fbOy06t2VsZHhMHf-1x7Y/edit?usp=sharing"",""แผน!IN57"")"),140)</f>
        <v>140</v>
      </c>
      <c r="J676" s="622">
        <f ca="1">J679+J682</f>
        <v>0</v>
      </c>
      <c r="K676" s="264">
        <f ca="1">IF(I676&gt;0,J676*100/I676,0)</f>
        <v>0</v>
      </c>
      <c r="L676" s="87"/>
      <c r="M676" s="87"/>
      <c r="N676" s="752"/>
      <c r="O676" s="87"/>
      <c r="P676" s="87"/>
      <c r="Q676" s="86"/>
      <c r="R676" s="87"/>
      <c r="S676" s="752"/>
      <c r="T676" s="87"/>
      <c r="U676" s="87"/>
    </row>
    <row r="677" spans="1:21" ht="18.75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IFERROR(__xludf.DUMMYFUNCTION("IMPORTRANGE(""https://docs.google.com/spreadsheets/d/1eHaY18a8A9IcSdp1K8H6x8fbOy06t2VsZHhMHf-1x7Y/edit?usp=sharing"",""แผน!IO57"")"),9)</f>
        <v>9</v>
      </c>
      <c r="J677" s="293">
        <f ca="1">IFERROR(__xludf.DUMMYFUNCTION("IMPORTRANGE(""https://docs.google.com/spreadsheets/d/1tdoBKaGub7dwA3U6UFTqxio9LNnvDCQjHKmttSEBsFQ/edit?usp=sharing"",""จัดที่ดิน!BF57"")"),0)</f>
        <v>0</v>
      </c>
      <c r="K677" s="74">
        <f ca="1">IF(I677&gt;0,J677*100/I677,0)</f>
        <v>0</v>
      </c>
      <c r="L677" s="87"/>
      <c r="M677" s="87"/>
      <c r="N677" s="752"/>
      <c r="O677" s="87"/>
      <c r="P677" s="87"/>
      <c r="Q677" s="86"/>
      <c r="R677" s="87"/>
      <c r="S677" s="752"/>
      <c r="T677" s="87"/>
      <c r="U677" s="87"/>
    </row>
    <row r="678" spans="1:21" ht="18.75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IFERROR(__xludf.DUMMYFUNCTION("IMPORTRANGE(""https://docs.google.com/spreadsheets/d/1tdoBKaGub7dwA3U6UFTqxio9LNnvDCQjHKmttSEBsFQ/edit?usp=sharing"",""จัดที่ดิน!BG57"")"),0)</f>
        <v>0</v>
      </c>
      <c r="K678" s="87"/>
      <c r="L678" s="752"/>
      <c r="M678" s="87"/>
      <c r="N678" s="752"/>
      <c r="O678" s="87"/>
      <c r="P678" s="87"/>
      <c r="Q678" s="754"/>
      <c r="R678" s="87"/>
      <c r="S678" s="752"/>
      <c r="T678" s="87"/>
      <c r="U678" s="87"/>
    </row>
    <row r="679" spans="1:21" ht="18.75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IFERROR(__xludf.DUMMYFUNCTION("IMPORTRANGE(""https://docs.google.com/spreadsheets/d/1eHaY18a8A9IcSdp1K8H6x8fbOy06t2VsZHhMHf-1x7Y/edit?usp=sharing"",""แผน!IP57"")"),140)</f>
        <v>140</v>
      </c>
      <c r="J679" s="293">
        <f ca="1">IFERROR(__xludf.DUMMYFUNCTION("IMPORTRANGE(""https://docs.google.com/spreadsheets/d/1tdoBKaGub7dwA3U6UFTqxio9LNnvDCQjHKmttSEBsFQ/edit?usp=sharing"",""จัดที่ดิน!BH57"")"),0)</f>
        <v>0</v>
      </c>
      <c r="K679" s="74">
        <f ca="1">IF(I679&gt;0,J679*100/I679,0)</f>
        <v>0</v>
      </c>
      <c r="L679" s="752"/>
      <c r="M679" s="87"/>
      <c r="N679" s="752"/>
      <c r="O679" s="87"/>
      <c r="P679" s="87"/>
      <c r="Q679" s="754"/>
      <c r="R679" s="87"/>
      <c r="S679" s="752"/>
      <c r="T679" s="87"/>
      <c r="U679" s="87"/>
    </row>
    <row r="680" spans="1:21" ht="18.75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IFERROR(__xludf.DUMMYFUNCTION("IMPORTRANGE(""https://docs.google.com/spreadsheets/d/1eHaY18a8A9IcSdp1K8H6x8fbOy06t2VsZHhMHf-1x7Y/edit?usp=sharing"",""แผน!IQ57"")"),0)</f>
        <v>0</v>
      </c>
      <c r="J680" s="293">
        <f ca="1">IFERROR(__xludf.DUMMYFUNCTION("IMPORTRANGE(""https://docs.google.com/spreadsheets/d/1tdoBKaGub7dwA3U6UFTqxio9LNnvDCQjHKmttSEBsFQ/edit?usp=sharing"",""จัดที่ดิน!BK57"")"),0)</f>
        <v>0</v>
      </c>
      <c r="K680" s="74">
        <f ca="1">IF(I680&gt;0,J680*100/I680,0)</f>
        <v>0</v>
      </c>
      <c r="L680" s="87"/>
      <c r="M680" s="87"/>
      <c r="N680" s="752"/>
      <c r="O680" s="87"/>
      <c r="P680" s="87"/>
      <c r="Q680" s="86"/>
      <c r="R680" s="87"/>
      <c r="S680" s="752"/>
      <c r="T680" s="87"/>
      <c r="U680" s="87"/>
    </row>
    <row r="681" spans="1:21" ht="18.75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IFERROR(__xludf.DUMMYFUNCTION("IMPORTRANGE(""https://docs.google.com/spreadsheets/d/1tdoBKaGub7dwA3U6UFTqxio9LNnvDCQjHKmttSEBsFQ/edit?usp=sharing"",""จัดที่ดิน!BL57"")"),0)</f>
        <v>0</v>
      </c>
      <c r="K681" s="87"/>
      <c r="L681" s="752"/>
      <c r="M681" s="87"/>
      <c r="N681" s="752"/>
      <c r="O681" s="87"/>
      <c r="P681" s="87"/>
      <c r="Q681" s="754"/>
      <c r="R681" s="87"/>
      <c r="S681" s="752"/>
      <c r="T681" s="87"/>
      <c r="U681" s="87"/>
    </row>
    <row r="682" spans="1:21" ht="18.75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IFERROR(__xludf.DUMMYFUNCTION("IMPORTRANGE(""https://docs.google.com/spreadsheets/d/1eHaY18a8A9IcSdp1K8H6x8fbOy06t2VsZHhMHf-1x7Y/edit?usp=sharing"",""แผน!IR57"")"),0)</f>
        <v>0</v>
      </c>
      <c r="J682" s="293">
        <f ca="1">IFERROR(__xludf.DUMMYFUNCTION("IMPORTRANGE(""https://docs.google.com/spreadsheets/d/1tdoBKaGub7dwA3U6UFTqxio9LNnvDCQjHKmttSEBsFQ/edit?usp=sharing"",""จัดที่ดิน!BM57"")"),0)</f>
        <v>0</v>
      </c>
      <c r="K682" s="74">
        <f ca="1">IF(I682&gt;0,J682*100/I682,0)</f>
        <v>0</v>
      </c>
      <c r="L682" s="752"/>
      <c r="M682" s="87"/>
      <c r="N682" s="752"/>
      <c r="O682" s="87"/>
      <c r="P682" s="87"/>
      <c r="Q682" s="754"/>
      <c r="R682" s="87"/>
      <c r="S682" s="752"/>
      <c r="T682" s="87"/>
      <c r="U682" s="87"/>
    </row>
    <row r="683" spans="1:21" ht="19.5" hidden="1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IFERROR(__xludf.DUMMYFUNCTION("IMPORTRANGE(""https://docs.google.com/spreadsheets/d/1eHaY18a8A9IcSdp1K8H6x8fbOy06t2VsZHhMHf-1x7Y/edit?usp=sharing"",""แผน!IS57"")"),0)</f>
        <v>0</v>
      </c>
      <c r="J683" s="622">
        <f>J686+J689</f>
        <v>0</v>
      </c>
      <c r="K683" s="264">
        <f ca="1">IF(I683&gt;0,J683*100/I683,0)</f>
        <v>0</v>
      </c>
      <c r="L683" s="87"/>
      <c r="M683" s="87"/>
      <c r="N683" s="752"/>
      <c r="O683" s="87"/>
      <c r="P683" s="87"/>
      <c r="Q683" s="86"/>
      <c r="R683" s="87"/>
      <c r="S683" s="752"/>
      <c r="T683" s="87"/>
      <c r="U683" s="87"/>
    </row>
    <row r="684" spans="1:21" ht="18.75" hidden="1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2"/>
      <c r="M684" s="87"/>
      <c r="N684" s="752"/>
      <c r="O684" s="87"/>
      <c r="P684" s="87"/>
      <c r="Q684" s="754"/>
      <c r="R684" s="87"/>
      <c r="S684" s="752"/>
      <c r="T684" s="87"/>
      <c r="U684" s="87"/>
    </row>
    <row r="685" spans="1:21" ht="18.75" hidden="1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2"/>
      <c r="M685" s="87"/>
      <c r="N685" s="752"/>
      <c r="O685" s="87"/>
      <c r="P685" s="87"/>
      <c r="Q685" s="754"/>
      <c r="R685" s="87"/>
      <c r="S685" s="752"/>
      <c r="T685" s="87"/>
      <c r="U685" s="87"/>
    </row>
    <row r="686" spans="1:21" ht="18.75" hidden="1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2"/>
      <c r="M686" s="87"/>
      <c r="N686" s="752"/>
      <c r="O686" s="87"/>
      <c r="P686" s="87"/>
      <c r="Q686" s="754"/>
      <c r="R686" s="87"/>
      <c r="S686" s="752"/>
      <c r="T686" s="87"/>
      <c r="U686" s="87"/>
    </row>
    <row r="687" spans="1:21" ht="18.75" hidden="1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2"/>
      <c r="M687" s="87"/>
      <c r="N687" s="752"/>
      <c r="O687" s="87"/>
      <c r="P687" s="87"/>
      <c r="Q687" s="754"/>
      <c r="R687" s="87"/>
      <c r="S687" s="752"/>
      <c r="T687" s="87"/>
      <c r="U687" s="87"/>
    </row>
    <row r="688" spans="1:21" ht="18.75" hidden="1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2"/>
      <c r="M688" s="87"/>
      <c r="N688" s="752"/>
      <c r="O688" s="87"/>
      <c r="P688" s="87"/>
      <c r="Q688" s="754"/>
      <c r="R688" s="87"/>
      <c r="S688" s="752"/>
      <c r="T688" s="87"/>
      <c r="U688" s="87"/>
    </row>
    <row r="689" spans="1:21" ht="19.5" hidden="1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2"/>
      <c r="M689" s="98"/>
      <c r="N689" s="762"/>
      <c r="O689" s="98"/>
      <c r="P689" s="98"/>
      <c r="Q689" s="763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80" t="s">
        <v>35</v>
      </c>
      <c r="I690" s="781">
        <f ca="1">I708</f>
        <v>21</v>
      </c>
      <c r="J690" s="781">
        <f ca="1">J708</f>
        <v>0</v>
      </c>
      <c r="K690" s="766">
        <f ca="1">IF(I690&gt;0,J690*100/I690,0)</f>
        <v>0</v>
      </c>
      <c r="L690" s="733"/>
      <c r="M690" s="733"/>
      <c r="N690" s="733"/>
      <c r="O690" s="733"/>
      <c r="P690" s="733"/>
      <c r="Q690" s="734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264">
        <f>L692+L693</f>
        <v>0</v>
      </c>
      <c r="M691" s="264">
        <f>M692+M693</f>
        <v>0</v>
      </c>
      <c r="N691" s="264">
        <f>N692+N693</f>
        <v>0</v>
      </c>
      <c r="O691" s="264">
        <f t="shared" ref="O691:O699" si="169">IF(L691&gt;0,N691*100/L691,0)</f>
        <v>0</v>
      </c>
      <c r="P691" s="264">
        <f t="shared" ref="P691:P699" si="170">IF(M691&gt;0,N691*100/M691,0)</f>
        <v>0</v>
      </c>
      <c r="Q691" s="1257">
        <f ca="1">Q692+Q693</f>
        <v>126470</v>
      </c>
      <c r="R691" s="264">
        <f ca="1">R692+R693</f>
        <v>126470</v>
      </c>
      <c r="S691" s="264">
        <f ca="1">S692+S693</f>
        <v>0</v>
      </c>
      <c r="T691" s="264">
        <f t="shared" ref="T691:T699" ca="1" si="171">IF(Q691&gt;0,S691*100/Q691,0)</f>
        <v>0</v>
      </c>
      <c r="U691" s="264">
        <f t="shared" ref="U691:U699" ca="1" si="172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7">
        <f t="shared" ref="L692:N693" si="173">L695+L698</f>
        <v>0</v>
      </c>
      <c r="M692" s="77">
        <f t="shared" si="173"/>
        <v>0</v>
      </c>
      <c r="N692" s="77">
        <f t="shared" si="173"/>
        <v>0</v>
      </c>
      <c r="O692" s="77">
        <f t="shared" si="169"/>
        <v>0</v>
      </c>
      <c r="P692" s="77">
        <f t="shared" si="170"/>
        <v>0</v>
      </c>
      <c r="Q692" s="76">
        <f t="shared" ref="Q692:S693" si="174">Q695+Q698</f>
        <v>0</v>
      </c>
      <c r="R692" s="77">
        <f t="shared" si="174"/>
        <v>0</v>
      </c>
      <c r="S692" s="77">
        <f t="shared" si="174"/>
        <v>0</v>
      </c>
      <c r="T692" s="77">
        <f t="shared" si="171"/>
        <v>0</v>
      </c>
      <c r="U692" s="77">
        <f t="shared" si="172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4">
        <f t="shared" si="173"/>
        <v>0</v>
      </c>
      <c r="M693" s="74">
        <f t="shared" si="173"/>
        <v>0</v>
      </c>
      <c r="N693" s="74">
        <f t="shared" si="173"/>
        <v>0</v>
      </c>
      <c r="O693" s="74">
        <f t="shared" si="169"/>
        <v>0</v>
      </c>
      <c r="P693" s="74">
        <f t="shared" si="170"/>
        <v>0</v>
      </c>
      <c r="Q693" s="73">
        <f t="shared" ca="1" si="174"/>
        <v>126470</v>
      </c>
      <c r="R693" s="74">
        <f t="shared" ca="1" si="174"/>
        <v>126470</v>
      </c>
      <c r="S693" s="74">
        <f t="shared" ca="1" si="174"/>
        <v>0</v>
      </c>
      <c r="T693" s="74">
        <f t="shared" ca="1" si="171"/>
        <v>0</v>
      </c>
      <c r="U693" s="74">
        <f t="shared" ca="1" si="172"/>
        <v>0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4">
        <f>L695+L696</f>
        <v>0</v>
      </c>
      <c r="M694" s="74">
        <f>M695+M696</f>
        <v>0</v>
      </c>
      <c r="N694" s="74">
        <f>N695+N696</f>
        <v>0</v>
      </c>
      <c r="O694" s="74">
        <f t="shared" si="169"/>
        <v>0</v>
      </c>
      <c r="P694" s="74">
        <f t="shared" si="170"/>
        <v>0</v>
      </c>
      <c r="Q694" s="73">
        <f ca="1">Q695+Q696</f>
        <v>126470</v>
      </c>
      <c r="R694" s="74">
        <f ca="1">R695+R696</f>
        <v>126470</v>
      </c>
      <c r="S694" s="74">
        <f ca="1">S695+S696</f>
        <v>0</v>
      </c>
      <c r="T694" s="74">
        <f t="shared" ca="1" si="171"/>
        <v>0</v>
      </c>
      <c r="U694" s="74">
        <f t="shared" ca="1" si="172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7">
        <v>0</v>
      </c>
      <c r="M695" s="77">
        <v>0</v>
      </c>
      <c r="N695" s="77">
        <v>0</v>
      </c>
      <c r="O695" s="77">
        <f t="shared" si="169"/>
        <v>0</v>
      </c>
      <c r="P695" s="77">
        <f t="shared" si="170"/>
        <v>0</v>
      </c>
      <c r="Q695" s="76">
        <v>0</v>
      </c>
      <c r="R695" s="77">
        <v>0</v>
      </c>
      <c r="S695" s="77">
        <v>0</v>
      </c>
      <c r="T695" s="77">
        <f t="shared" si="171"/>
        <v>0</v>
      </c>
      <c r="U695" s="77">
        <f t="shared" si="172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4">
        <v>0</v>
      </c>
      <c r="M696" s="74">
        <v>0</v>
      </c>
      <c r="N696" s="74">
        <v>0</v>
      </c>
      <c r="O696" s="74">
        <f t="shared" si="169"/>
        <v>0</v>
      </c>
      <c r="P696" s="74">
        <f t="shared" si="170"/>
        <v>0</v>
      </c>
      <c r="Q696" s="73">
        <f ca="1">IFERROR(__xludf.DUMMYFUNCTION("IMPORTRANGE(""https://docs.google.com/spreadsheets/d/1ItG2mGa2ceCfYo0BwxsXqNm01IGEUdYcSSLTEv9YCik/edit?usp=sharing"",""เบิกจ่ายกองทุน!L57"")"),126470)</f>
        <v>126470</v>
      </c>
      <c r="R696" s="74">
        <f ca="1">IFERROR(__xludf.DUMMYFUNCTION("IMPORTRANGE(""https://docs.google.com/spreadsheets/d/1ItG2mGa2ceCfYo0BwxsXqNm01IGEUdYcSSLTEv9YCik/edit?usp=sharing"",""เบิกจ่ายกองทุน!M57"")"),126470)</f>
        <v>126470</v>
      </c>
      <c r="S696" s="74">
        <f ca="1">IFERROR(__xludf.DUMMYFUNCTION("IMPORTRANGE(""https://docs.google.com/spreadsheets/d/1ItG2mGa2ceCfYo0BwxsXqNm01IGEUdYcSSLTEv9YCik/edit?usp=sharing"",""เบิกจ่ายกองทุน!N57"")"),0)</f>
        <v>0</v>
      </c>
      <c r="T696" s="74">
        <f t="shared" ca="1" si="171"/>
        <v>0</v>
      </c>
      <c r="U696" s="74">
        <f t="shared" ca="1" si="172"/>
        <v>0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4">
        <f>L698+L699</f>
        <v>0</v>
      </c>
      <c r="M697" s="74">
        <f>M698+M699</f>
        <v>0</v>
      </c>
      <c r="N697" s="74">
        <f>N698+N699</f>
        <v>0</v>
      </c>
      <c r="O697" s="74">
        <f t="shared" si="169"/>
        <v>0</v>
      </c>
      <c r="P697" s="74">
        <f t="shared" si="170"/>
        <v>0</v>
      </c>
      <c r="Q697" s="73">
        <f>Q698+Q699</f>
        <v>0</v>
      </c>
      <c r="R697" s="74">
        <f>R698+R699</f>
        <v>0</v>
      </c>
      <c r="S697" s="74">
        <f>S698+S699</f>
        <v>0</v>
      </c>
      <c r="T697" s="74">
        <f t="shared" si="171"/>
        <v>0</v>
      </c>
      <c r="U697" s="74">
        <f t="shared" si="172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7">
        <v>0</v>
      </c>
      <c r="M698" s="77">
        <v>0</v>
      </c>
      <c r="N698" s="77">
        <v>0</v>
      </c>
      <c r="O698" s="77">
        <f t="shared" si="169"/>
        <v>0</v>
      </c>
      <c r="P698" s="77">
        <f t="shared" si="170"/>
        <v>0</v>
      </c>
      <c r="Q698" s="76">
        <v>0</v>
      </c>
      <c r="R698" s="77">
        <v>0</v>
      </c>
      <c r="S698" s="77">
        <v>0</v>
      </c>
      <c r="T698" s="77">
        <f t="shared" si="171"/>
        <v>0</v>
      </c>
      <c r="U698" s="77">
        <f t="shared" si="172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4">
        <v>0</v>
      </c>
      <c r="M699" s="74">
        <v>0</v>
      </c>
      <c r="N699" s="74">
        <v>0</v>
      </c>
      <c r="O699" s="74">
        <f t="shared" si="169"/>
        <v>0</v>
      </c>
      <c r="P699" s="74">
        <f t="shared" si="170"/>
        <v>0</v>
      </c>
      <c r="Q699" s="73">
        <v>0</v>
      </c>
      <c r="R699" s="74">
        <v>0</v>
      </c>
      <c r="S699" s="74">
        <v>0</v>
      </c>
      <c r="T699" s="74">
        <f t="shared" si="171"/>
        <v>0</v>
      </c>
      <c r="U699" s="74">
        <f t="shared" si="172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7"/>
      <c r="M700" s="87"/>
      <c r="N700" s="87"/>
      <c r="O700" s="87"/>
      <c r="P700" s="87"/>
      <c r="Q700" s="86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IFERROR(__xludf.DUMMYFUNCTION("IMPORTRANGE(""https://docs.google.com/spreadsheets/d/1eHaY18a8A9IcSdp1K8H6x8fbOy06t2VsZHhMHf-1x7Y/edit?usp=sharing"",""แผน!LC57"")"),0)</f>
        <v>0</v>
      </c>
      <c r="J701" s="294">
        <v>0</v>
      </c>
      <c r="K701" s="768">
        <f t="shared" ref="K701:K711" ca="1" si="175">IF(I701&gt;0,J701*100/I701,0)</f>
        <v>0</v>
      </c>
      <c r="L701" s="229"/>
      <c r="M701" s="229"/>
      <c r="N701" s="87"/>
      <c r="O701" s="229"/>
      <c r="P701" s="229"/>
      <c r="Q701" s="228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ca="1">I704+I706</f>
        <v>22</v>
      </c>
      <c r="J702" s="622">
        <f ca="1">J704+J706</f>
        <v>0</v>
      </c>
      <c r="K702" s="264">
        <f t="shared" ca="1" si="175"/>
        <v>0</v>
      </c>
      <c r="L702" s="229"/>
      <c r="M702" s="229"/>
      <c r="N702" s="229"/>
      <c r="O702" s="229"/>
      <c r="P702" s="229"/>
      <c r="Q702" s="228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0</v>
      </c>
      <c r="K703" s="264">
        <f t="shared" si="175"/>
        <v>0</v>
      </c>
      <c r="L703" s="229"/>
      <c r="M703" s="229"/>
      <c r="N703" s="229"/>
      <c r="O703" s="229"/>
      <c r="P703" s="229"/>
      <c r="Q703" s="228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IFERROR(__xludf.DUMMYFUNCTION("IMPORTRANGE(""https://docs.google.com/spreadsheets/d/1eHaY18a8A9IcSdp1K8H6x8fbOy06t2VsZHhMHf-1x7Y/edit?usp=sharing"",""แผน!LJ57"")"),21)</f>
        <v>21</v>
      </c>
      <c r="J704" s="293">
        <f ca="1">IFERROR(__xludf.DUMMYFUNCTION("IMPORTRANGE(""https://docs.google.com/spreadsheets/d/1tdoBKaGub7dwA3U6UFTqxio9LNnvDCQjHKmttSEBsFQ/edit?usp=sharing"",""จัดที่ดิน!AP57"")"),0)</f>
        <v>0</v>
      </c>
      <c r="K704" s="74">
        <f t="shared" ca="1" si="175"/>
        <v>0</v>
      </c>
      <c r="L704" s="229"/>
      <c r="M704" s="229"/>
      <c r="N704" s="229"/>
      <c r="O704" s="229"/>
      <c r="P704" s="229"/>
      <c r="Q704" s="228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IFERROR(__xludf.DUMMYFUNCTION("IMPORTRANGE(""https://docs.google.com/spreadsheets/d/1tdoBKaGub7dwA3U6UFTqxio9LNnvDCQjHKmttSEBsFQ/edit?usp=sharing"",""จัดที่ดิน!AQ57"")"),0)</f>
        <v>0</v>
      </c>
      <c r="K705" s="74">
        <f t="shared" si="175"/>
        <v>0</v>
      </c>
      <c r="L705" s="229"/>
      <c r="M705" s="229"/>
      <c r="N705" s="229"/>
      <c r="O705" s="229"/>
      <c r="P705" s="229"/>
      <c r="Q705" s="228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IFERROR(__xludf.DUMMYFUNCTION("IMPORTRANGE(""https://docs.google.com/spreadsheets/d/1eHaY18a8A9IcSdp1K8H6x8fbOy06t2VsZHhMHf-1x7Y/edit?usp=sharing"",""แผน!LK57"")"),1)</f>
        <v>1</v>
      </c>
      <c r="J706" s="293">
        <f ca="1">IFERROR(__xludf.DUMMYFUNCTION("IMPORTRANGE(""https://docs.google.com/spreadsheets/d/1tdoBKaGub7dwA3U6UFTqxio9LNnvDCQjHKmttSEBsFQ/edit?usp=sharing"",""จัดที่ดิน!AR57"")"),0)</f>
        <v>0</v>
      </c>
      <c r="K706" s="768">
        <f t="shared" ca="1" si="175"/>
        <v>0</v>
      </c>
      <c r="L706" s="229"/>
      <c r="M706" s="229"/>
      <c r="N706" s="229"/>
      <c r="O706" s="229"/>
      <c r="P706" s="229"/>
      <c r="Q706" s="228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IFERROR(__xludf.DUMMYFUNCTION("IMPORTRANGE(""https://docs.google.com/spreadsheets/d/1tdoBKaGub7dwA3U6UFTqxio9LNnvDCQjHKmttSEBsFQ/edit?usp=sharing"",""จัดที่ดิน!AS57"")"),0)</f>
        <v>0</v>
      </c>
      <c r="K707" s="74">
        <f t="shared" si="175"/>
        <v>0</v>
      </c>
      <c r="L707" s="229"/>
      <c r="M707" s="229"/>
      <c r="N707" s="229"/>
      <c r="O707" s="229"/>
      <c r="P707" s="229"/>
      <c r="Q707" s="228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IFERROR(__xludf.DUMMYFUNCTION("IMPORTRANGE(""https://docs.google.com/spreadsheets/d/1eHaY18a8A9IcSdp1K8H6x8fbOy06t2VsZHhMHf-1x7Y/edit?usp=sharing"",""แผน!LJ57"")"),21)</f>
        <v>21</v>
      </c>
      <c r="J708" s="293">
        <f ca="1">IFERROR(__xludf.DUMMYFUNCTION("IMPORTRANGE(""https://docs.google.com/spreadsheets/d/1tdoBKaGub7dwA3U6UFTqxio9LNnvDCQjHKmttSEBsFQ/edit?usp=sharing"",""จัดที่ดิน!BN57"")"),0)</f>
        <v>0</v>
      </c>
      <c r="K708" s="74">
        <f t="shared" ca="1" si="175"/>
        <v>0</v>
      </c>
      <c r="L708" s="229"/>
      <c r="M708" s="229"/>
      <c r="N708" s="229"/>
      <c r="O708" s="229"/>
      <c r="P708" s="229"/>
      <c r="Q708" s="228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IFERROR(__xludf.DUMMYFUNCTION("IMPORTRANGE(""https://docs.google.com/spreadsheets/d/1tdoBKaGub7dwA3U6UFTqxio9LNnvDCQjHKmttSEBsFQ/edit?usp=sharing"",""จัดที่ดิน!BO57"")"),0)</f>
        <v>0</v>
      </c>
      <c r="K709" s="74">
        <f t="shared" si="175"/>
        <v>0</v>
      </c>
      <c r="L709" s="229"/>
      <c r="M709" s="229"/>
      <c r="N709" s="229"/>
      <c r="O709" s="229"/>
      <c r="P709" s="229"/>
      <c r="Q709" s="228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IFERROR(__xludf.DUMMYFUNCTION("IMPORTRANGE(""https://docs.google.com/spreadsheets/d/1eHaY18a8A9IcSdp1K8H6x8fbOy06t2VsZHhMHf-1x7Y/edit?usp=sharing"",""แผน!LK57"")"),1)</f>
        <v>1</v>
      </c>
      <c r="J710" s="293">
        <f ca="1">IFERROR(__xludf.DUMMYFUNCTION("IMPORTRANGE(""https://docs.google.com/spreadsheets/d/1tdoBKaGub7dwA3U6UFTqxio9LNnvDCQjHKmttSEBsFQ/edit?usp=sharing"",""จัดที่ดิน!BP57"")"),0)</f>
        <v>0</v>
      </c>
      <c r="K710" s="74">
        <f t="shared" ca="1" si="175"/>
        <v>0</v>
      </c>
      <c r="L710" s="87"/>
      <c r="M710" s="87"/>
      <c r="N710" s="87"/>
      <c r="O710" s="87"/>
      <c r="P710" s="87"/>
      <c r="Q710" s="86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IFERROR(__xludf.DUMMYFUNCTION("IMPORTRANGE(""https://docs.google.com/spreadsheets/d/1tdoBKaGub7dwA3U6UFTqxio9LNnvDCQjHKmttSEBsFQ/edit?usp=sharing"",""จัดที่ดิน!BQ57"")"),0)</f>
        <v>0</v>
      </c>
      <c r="K711" s="74">
        <f t="shared" si="175"/>
        <v>0</v>
      </c>
      <c r="L711" s="87"/>
      <c r="M711" s="87"/>
      <c r="N711" s="87"/>
      <c r="O711" s="87"/>
      <c r="P711" s="87"/>
      <c r="Q711" s="86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1"/>
      <c r="M712" s="601"/>
      <c r="N712" s="601"/>
      <c r="O712" s="601"/>
      <c r="P712" s="601"/>
      <c r="Q712" s="602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3"/>
      <c r="M713" s="733"/>
      <c r="N713" s="733"/>
      <c r="O713" s="733"/>
      <c r="P713" s="733"/>
      <c r="Q713" s="734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3"/>
      <c r="M714" s="733"/>
      <c r="N714" s="733"/>
      <c r="O714" s="733"/>
      <c r="P714" s="733"/>
      <c r="Q714" s="734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264">
        <f>L716+L717</f>
        <v>0</v>
      </c>
      <c r="M715" s="264">
        <f>M716+M717</f>
        <v>0</v>
      </c>
      <c r="N715" s="264">
        <f>N716+N717</f>
        <v>0</v>
      </c>
      <c r="O715" s="264">
        <f t="shared" ref="O715:O723" si="176">IF(L715&gt;0,N715*100/L715,0)</f>
        <v>0</v>
      </c>
      <c r="P715" s="264">
        <f t="shared" ref="P715:P723" si="177">IF(M715&gt;0,N715*100/M715,0)</f>
        <v>0</v>
      </c>
      <c r="Q715" s="1257">
        <f>Q716+Q717</f>
        <v>0</v>
      </c>
      <c r="R715" s="264">
        <f>R716+R717</f>
        <v>0</v>
      </c>
      <c r="S715" s="264">
        <f>S716+S717</f>
        <v>0</v>
      </c>
      <c r="T715" s="264">
        <f t="shared" ref="T715:T723" si="178">IF(Q715&gt;0,S715*100/Q715,0)</f>
        <v>0</v>
      </c>
      <c r="U715" s="264">
        <f t="shared" ref="U715:U723" si="179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7">
        <f t="shared" ref="L716:N717" si="180">L719+L722</f>
        <v>0</v>
      </c>
      <c r="M716" s="77">
        <f t="shared" si="180"/>
        <v>0</v>
      </c>
      <c r="N716" s="77">
        <f t="shared" si="180"/>
        <v>0</v>
      </c>
      <c r="O716" s="77">
        <f t="shared" si="176"/>
        <v>0</v>
      </c>
      <c r="P716" s="77">
        <f t="shared" si="177"/>
        <v>0</v>
      </c>
      <c r="Q716" s="76">
        <f t="shared" ref="Q716:S717" si="181">Q719+Q722</f>
        <v>0</v>
      </c>
      <c r="R716" s="77">
        <f t="shared" si="181"/>
        <v>0</v>
      </c>
      <c r="S716" s="77">
        <f t="shared" si="181"/>
        <v>0</v>
      </c>
      <c r="T716" s="77">
        <f t="shared" si="178"/>
        <v>0</v>
      </c>
      <c r="U716" s="77">
        <f t="shared" si="179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4">
        <f t="shared" si="180"/>
        <v>0</v>
      </c>
      <c r="M717" s="74">
        <f t="shared" si="180"/>
        <v>0</v>
      </c>
      <c r="N717" s="74">
        <f t="shared" si="180"/>
        <v>0</v>
      </c>
      <c r="O717" s="74">
        <f t="shared" si="176"/>
        <v>0</v>
      </c>
      <c r="P717" s="74">
        <f t="shared" si="177"/>
        <v>0</v>
      </c>
      <c r="Q717" s="73">
        <f t="shared" si="181"/>
        <v>0</v>
      </c>
      <c r="R717" s="74">
        <f t="shared" si="181"/>
        <v>0</v>
      </c>
      <c r="S717" s="74">
        <f t="shared" si="181"/>
        <v>0</v>
      </c>
      <c r="T717" s="74">
        <f t="shared" si="178"/>
        <v>0</v>
      </c>
      <c r="U717" s="74">
        <f t="shared" si="179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4">
        <f>L719+L720</f>
        <v>0</v>
      </c>
      <c r="M718" s="74">
        <f>M719+M720</f>
        <v>0</v>
      </c>
      <c r="N718" s="74">
        <f>N719+N720</f>
        <v>0</v>
      </c>
      <c r="O718" s="74">
        <f t="shared" si="176"/>
        <v>0</v>
      </c>
      <c r="P718" s="74">
        <f t="shared" si="177"/>
        <v>0</v>
      </c>
      <c r="Q718" s="73">
        <f>Q719+Q720</f>
        <v>0</v>
      </c>
      <c r="R718" s="74">
        <f>R719+R720</f>
        <v>0</v>
      </c>
      <c r="S718" s="74">
        <f>S719+S720</f>
        <v>0</v>
      </c>
      <c r="T718" s="74">
        <f t="shared" si="178"/>
        <v>0</v>
      </c>
      <c r="U718" s="74">
        <f t="shared" si="179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7">
        <v>0</v>
      </c>
      <c r="M719" s="77">
        <v>0</v>
      </c>
      <c r="N719" s="77">
        <v>0</v>
      </c>
      <c r="O719" s="77">
        <f t="shared" si="176"/>
        <v>0</v>
      </c>
      <c r="P719" s="77">
        <f t="shared" si="177"/>
        <v>0</v>
      </c>
      <c r="Q719" s="76">
        <v>0</v>
      </c>
      <c r="R719" s="77">
        <v>0</v>
      </c>
      <c r="S719" s="77">
        <v>0</v>
      </c>
      <c r="T719" s="77">
        <f t="shared" si="178"/>
        <v>0</v>
      </c>
      <c r="U719" s="77">
        <f t="shared" si="179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4">
        <v>0</v>
      </c>
      <c r="M720" s="74">
        <v>0</v>
      </c>
      <c r="N720" s="74">
        <v>0</v>
      </c>
      <c r="O720" s="74">
        <f t="shared" si="176"/>
        <v>0</v>
      </c>
      <c r="P720" s="74">
        <f t="shared" si="177"/>
        <v>0</v>
      </c>
      <c r="Q720" s="73">
        <v>0</v>
      </c>
      <c r="R720" s="74">
        <v>0</v>
      </c>
      <c r="S720" s="74">
        <v>0</v>
      </c>
      <c r="T720" s="74">
        <f t="shared" si="178"/>
        <v>0</v>
      </c>
      <c r="U720" s="74">
        <f t="shared" si="179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4">
        <f>L722+L723</f>
        <v>0</v>
      </c>
      <c r="M721" s="74">
        <f>M722+M723</f>
        <v>0</v>
      </c>
      <c r="N721" s="74">
        <f>N722+N723</f>
        <v>0</v>
      </c>
      <c r="O721" s="74">
        <f t="shared" si="176"/>
        <v>0</v>
      </c>
      <c r="P721" s="74">
        <f t="shared" si="177"/>
        <v>0</v>
      </c>
      <c r="Q721" s="73">
        <f>Q722+Q723</f>
        <v>0</v>
      </c>
      <c r="R721" s="74">
        <f>R722+R723</f>
        <v>0</v>
      </c>
      <c r="S721" s="74">
        <f>S722+S723</f>
        <v>0</v>
      </c>
      <c r="T721" s="74">
        <f t="shared" si="178"/>
        <v>0</v>
      </c>
      <c r="U721" s="74">
        <f t="shared" si="179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7">
        <v>0</v>
      </c>
      <c r="M722" s="77">
        <v>0</v>
      </c>
      <c r="N722" s="77">
        <v>0</v>
      </c>
      <c r="O722" s="77">
        <f t="shared" si="176"/>
        <v>0</v>
      </c>
      <c r="P722" s="77">
        <f t="shared" si="177"/>
        <v>0</v>
      </c>
      <c r="Q722" s="76">
        <v>0</v>
      </c>
      <c r="R722" s="77">
        <v>0</v>
      </c>
      <c r="S722" s="77">
        <v>0</v>
      </c>
      <c r="T722" s="77">
        <f t="shared" si="178"/>
        <v>0</v>
      </c>
      <c r="U722" s="77">
        <f t="shared" si="179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4">
        <v>0</v>
      </c>
      <c r="M723" s="74">
        <v>0</v>
      </c>
      <c r="N723" s="74">
        <v>0</v>
      </c>
      <c r="O723" s="74">
        <f t="shared" si="176"/>
        <v>0</v>
      </c>
      <c r="P723" s="74">
        <f t="shared" si="177"/>
        <v>0</v>
      </c>
      <c r="Q723" s="73">
        <v>0</v>
      </c>
      <c r="R723" s="74">
        <v>0</v>
      </c>
      <c r="S723" s="74">
        <v>0</v>
      </c>
      <c r="T723" s="74">
        <f t="shared" si="178"/>
        <v>0</v>
      </c>
      <c r="U723" s="74">
        <f t="shared" si="179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9"/>
      <c r="M724" s="229"/>
      <c r="N724" s="229"/>
      <c r="O724" s="229"/>
      <c r="P724" s="229"/>
      <c r="Q724" s="228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7"/>
      <c r="M725" s="87"/>
      <c r="N725" s="87"/>
      <c r="O725" s="87"/>
      <c r="P725" s="87"/>
      <c r="Q725" s="86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8"/>
      <c r="M726" s="98"/>
      <c r="N726" s="98"/>
      <c r="O726" s="98"/>
      <c r="P726" s="98"/>
      <c r="Q726" s="97"/>
      <c r="R726" s="98"/>
      <c r="S726" s="98"/>
      <c r="T726" s="98"/>
      <c r="U726" s="98"/>
    </row>
    <row r="727" spans="1:21" ht="19.5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IFERROR(__xludf.DUMMYFUNCTION("IMPORTRANGE(""https://docs.google.com/spreadsheets/d/1eHaY18a8A9IcSdp1K8H6x8fbOy06t2VsZHhMHf-1x7Y/edit?usp=sharing"",""แผน!GA57"")"),11)</f>
        <v>11</v>
      </c>
      <c r="J727" s="781">
        <f>J743+J747+J750</f>
        <v>0</v>
      </c>
      <c r="K727" s="766">
        <f ca="1">IF(I727&gt;0,J727*100/I727,0)</f>
        <v>0</v>
      </c>
      <c r="L727" s="733"/>
      <c r="M727" s="733"/>
      <c r="N727" s="733"/>
      <c r="O727" s="733"/>
      <c r="P727" s="733"/>
      <c r="Q727" s="734"/>
      <c r="R727" s="733"/>
      <c r="S727" s="733"/>
      <c r="T727" s="733"/>
      <c r="U727" s="733"/>
    </row>
    <row r="728" spans="1:21" ht="19.5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IFERROR(__xludf.DUMMYFUNCTION("IMPORTRANGE(""https://docs.google.com/spreadsheets/d/1eHaY18a8A9IcSdp1K8H6x8fbOy06t2VsZHhMHf-1x7Y/edit?usp=sharing"",""แผน!FZ57"")"),100)</f>
        <v>100</v>
      </c>
      <c r="J728" s="781">
        <f>J753+J756</f>
        <v>0</v>
      </c>
      <c r="K728" s="766">
        <f ca="1">IF(I728&gt;0,J728*100/I728,0)</f>
        <v>0</v>
      </c>
      <c r="L728" s="733"/>
      <c r="M728" s="733"/>
      <c r="N728" s="733"/>
      <c r="O728" s="733"/>
      <c r="P728" s="733"/>
      <c r="Q728" s="734"/>
      <c r="R728" s="733"/>
      <c r="S728" s="733"/>
      <c r="T728" s="733"/>
      <c r="U728" s="733"/>
    </row>
    <row r="729" spans="1:21" ht="19.5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264">
        <f>L730+L731</f>
        <v>0</v>
      </c>
      <c r="M729" s="264">
        <f>M730+M731</f>
        <v>0</v>
      </c>
      <c r="N729" s="264">
        <f>N730+N731</f>
        <v>0</v>
      </c>
      <c r="O729" s="264">
        <f t="shared" ref="O729:O737" si="182">IF(L729&gt;0,N729*100/L729,0)</f>
        <v>0</v>
      </c>
      <c r="P729" s="264">
        <f t="shared" ref="P729:P737" si="183">IF(M729&gt;0,N729*100/M729,0)</f>
        <v>0</v>
      </c>
      <c r="Q729" s="1257">
        <f ca="1">Q730+Q731</f>
        <v>111162</v>
      </c>
      <c r="R729" s="264">
        <f ca="1">R730+R731</f>
        <v>111162</v>
      </c>
      <c r="S729" s="264">
        <f ca="1">S730+S731</f>
        <v>11302</v>
      </c>
      <c r="T729" s="264">
        <f t="shared" ref="T729:T737" ca="1" si="184">IF(Q729&gt;0,S729*100/Q729,0)</f>
        <v>10.167143448300678</v>
      </c>
      <c r="U729" s="264">
        <f t="shared" ref="U729:U737" ca="1" si="185">IF(R729&gt;0,S729*100/R729,0)</f>
        <v>10.167143448300678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7">
        <f t="shared" ref="L730:N731" si="186">L733+L736</f>
        <v>0</v>
      </c>
      <c r="M730" s="77">
        <f t="shared" si="186"/>
        <v>0</v>
      </c>
      <c r="N730" s="77">
        <f t="shared" si="186"/>
        <v>0</v>
      </c>
      <c r="O730" s="77">
        <f t="shared" si="182"/>
        <v>0</v>
      </c>
      <c r="P730" s="77">
        <f t="shared" si="183"/>
        <v>0</v>
      </c>
      <c r="Q730" s="76">
        <f t="shared" ref="Q730:S731" si="187">Q733+Q736</f>
        <v>0</v>
      </c>
      <c r="R730" s="77">
        <f t="shared" si="187"/>
        <v>0</v>
      </c>
      <c r="S730" s="77">
        <f t="shared" si="187"/>
        <v>0</v>
      </c>
      <c r="T730" s="77">
        <f t="shared" si="184"/>
        <v>0</v>
      </c>
      <c r="U730" s="77">
        <f t="shared" si="185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4">
        <f t="shared" si="186"/>
        <v>0</v>
      </c>
      <c r="M731" s="74">
        <f t="shared" si="186"/>
        <v>0</v>
      </c>
      <c r="N731" s="74">
        <f t="shared" si="186"/>
        <v>0</v>
      </c>
      <c r="O731" s="74">
        <f t="shared" si="182"/>
        <v>0</v>
      </c>
      <c r="P731" s="74">
        <f t="shared" si="183"/>
        <v>0</v>
      </c>
      <c r="Q731" s="73">
        <f t="shared" ca="1" si="187"/>
        <v>111162</v>
      </c>
      <c r="R731" s="74">
        <f t="shared" ca="1" si="187"/>
        <v>111162</v>
      </c>
      <c r="S731" s="74">
        <f t="shared" ca="1" si="187"/>
        <v>11302</v>
      </c>
      <c r="T731" s="74">
        <f t="shared" ca="1" si="184"/>
        <v>10.167143448300678</v>
      </c>
      <c r="U731" s="74">
        <f t="shared" ca="1" si="185"/>
        <v>10.167143448300678</v>
      </c>
    </row>
    <row r="732" spans="1:21" ht="18.75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4">
        <f>L733+L734</f>
        <v>0</v>
      </c>
      <c r="M732" s="74">
        <f>M733+M734</f>
        <v>0</v>
      </c>
      <c r="N732" s="74">
        <f>N733+N734</f>
        <v>0</v>
      </c>
      <c r="O732" s="74">
        <f t="shared" si="182"/>
        <v>0</v>
      </c>
      <c r="P732" s="74">
        <f t="shared" si="183"/>
        <v>0</v>
      </c>
      <c r="Q732" s="73">
        <f ca="1">Q733+Q734</f>
        <v>111162</v>
      </c>
      <c r="R732" s="74">
        <f ca="1">R733+R734</f>
        <v>111162</v>
      </c>
      <c r="S732" s="74">
        <f ca="1">S733+S734</f>
        <v>11302</v>
      </c>
      <c r="T732" s="74">
        <f t="shared" ca="1" si="184"/>
        <v>10.167143448300678</v>
      </c>
      <c r="U732" s="74">
        <f t="shared" ca="1" si="185"/>
        <v>10.167143448300678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7">
        <v>0</v>
      </c>
      <c r="M733" s="77">
        <v>0</v>
      </c>
      <c r="N733" s="77">
        <v>0</v>
      </c>
      <c r="O733" s="77">
        <f t="shared" si="182"/>
        <v>0</v>
      </c>
      <c r="P733" s="77">
        <f t="shared" si="183"/>
        <v>0</v>
      </c>
      <c r="Q733" s="76">
        <v>0</v>
      </c>
      <c r="R733" s="77">
        <v>0</v>
      </c>
      <c r="S733" s="77">
        <v>0</v>
      </c>
      <c r="T733" s="77">
        <f t="shared" si="184"/>
        <v>0</v>
      </c>
      <c r="U733" s="77">
        <f t="shared" si="185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4">
        <v>0</v>
      </c>
      <c r="M734" s="74">
        <v>0</v>
      </c>
      <c r="N734" s="74">
        <v>0</v>
      </c>
      <c r="O734" s="74">
        <f t="shared" si="182"/>
        <v>0</v>
      </c>
      <c r="P734" s="74">
        <f t="shared" si="183"/>
        <v>0</v>
      </c>
      <c r="Q734" s="73">
        <f ca="1">IFERROR(__xludf.DUMMYFUNCTION("IMPORTRANGE(""https://docs.google.com/spreadsheets/d/1ItG2mGa2ceCfYo0BwxsXqNm01IGEUdYcSSLTEv9YCik/edit?usp=sharing"",""เบิกจ่ายกองทุน!O57"")"),111162)</f>
        <v>111162</v>
      </c>
      <c r="R734" s="74">
        <f ca="1">IFERROR(__xludf.DUMMYFUNCTION("IMPORTRANGE(""https://docs.google.com/spreadsheets/d/1ItG2mGa2ceCfYo0BwxsXqNm01IGEUdYcSSLTEv9YCik/edit?usp=sharing"",""เบิกจ่ายกองทุน!P57"")"),111162)</f>
        <v>111162</v>
      </c>
      <c r="S734" s="74">
        <f ca="1">IFERROR(__xludf.DUMMYFUNCTION("IMPORTRANGE(""https://docs.google.com/spreadsheets/d/1ItG2mGa2ceCfYo0BwxsXqNm01IGEUdYcSSLTEv9YCik/edit?usp=sharing"",""เบิกจ่ายกองทุน!Q57"")"),11302)</f>
        <v>11302</v>
      </c>
      <c r="T734" s="74">
        <f t="shared" ca="1" si="184"/>
        <v>10.167143448300678</v>
      </c>
      <c r="U734" s="74">
        <f t="shared" ca="1" si="185"/>
        <v>10.167143448300678</v>
      </c>
    </row>
    <row r="735" spans="1:21" ht="18.75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4">
        <f>L736+L737</f>
        <v>0</v>
      </c>
      <c r="M735" s="74">
        <f>M736+M737</f>
        <v>0</v>
      </c>
      <c r="N735" s="74">
        <f>N736+N737</f>
        <v>0</v>
      </c>
      <c r="O735" s="74">
        <f t="shared" si="182"/>
        <v>0</v>
      </c>
      <c r="P735" s="74">
        <f t="shared" si="183"/>
        <v>0</v>
      </c>
      <c r="Q735" s="73">
        <f>Q736+Q737</f>
        <v>0</v>
      </c>
      <c r="R735" s="74">
        <f>R736+R737</f>
        <v>0</v>
      </c>
      <c r="S735" s="74">
        <f>S736+S737</f>
        <v>0</v>
      </c>
      <c r="T735" s="74">
        <f t="shared" si="184"/>
        <v>0</v>
      </c>
      <c r="U735" s="74">
        <f t="shared" si="185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7">
        <v>0</v>
      </c>
      <c r="M736" s="77">
        <v>0</v>
      </c>
      <c r="N736" s="77">
        <v>0</v>
      </c>
      <c r="O736" s="77">
        <f t="shared" si="182"/>
        <v>0</v>
      </c>
      <c r="P736" s="77">
        <f t="shared" si="183"/>
        <v>0</v>
      </c>
      <c r="Q736" s="76">
        <v>0</v>
      </c>
      <c r="R736" s="77">
        <v>0</v>
      </c>
      <c r="S736" s="77">
        <v>0</v>
      </c>
      <c r="T736" s="77">
        <f t="shared" si="184"/>
        <v>0</v>
      </c>
      <c r="U736" s="77">
        <f t="shared" si="185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4">
        <v>0</v>
      </c>
      <c r="M737" s="74">
        <v>0</v>
      </c>
      <c r="N737" s="74">
        <v>0</v>
      </c>
      <c r="O737" s="74">
        <f t="shared" si="182"/>
        <v>0</v>
      </c>
      <c r="P737" s="74">
        <f t="shared" si="183"/>
        <v>0</v>
      </c>
      <c r="Q737" s="73">
        <v>0</v>
      </c>
      <c r="R737" s="74">
        <v>0</v>
      </c>
      <c r="S737" s="74">
        <v>0</v>
      </c>
      <c r="T737" s="74">
        <f t="shared" si="184"/>
        <v>0</v>
      </c>
      <c r="U737" s="74">
        <f t="shared" si="185"/>
        <v>0</v>
      </c>
    </row>
    <row r="738" spans="1:21" ht="19.5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7"/>
      <c r="M738" s="87"/>
      <c r="N738" s="87"/>
      <c r="O738" s="87"/>
      <c r="P738" s="87"/>
      <c r="Q738" s="86"/>
      <c r="R738" s="87"/>
      <c r="S738" s="87"/>
      <c r="T738" s="87"/>
      <c r="U738" s="87"/>
    </row>
    <row r="739" spans="1:21" ht="19.5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7"/>
      <c r="M739" s="87"/>
      <c r="N739" s="87"/>
      <c r="O739" s="87"/>
      <c r="P739" s="87"/>
      <c r="Q739" s="86"/>
      <c r="R739" s="87"/>
      <c r="S739" s="87"/>
      <c r="T739" s="87"/>
      <c r="U739" s="87"/>
    </row>
    <row r="740" spans="1:21" ht="18.75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7"/>
      <c r="M740" s="87"/>
      <c r="N740" s="87"/>
      <c r="O740" s="87"/>
      <c r="P740" s="87"/>
      <c r="Q740" s="86"/>
      <c r="R740" s="87"/>
      <c r="S740" s="87"/>
      <c r="T740" s="87"/>
      <c r="U740" s="87"/>
    </row>
    <row r="741" spans="1:21" ht="18.75" x14ac:dyDescent="0.25">
      <c r="A741" s="222"/>
      <c r="B741" s="223"/>
      <c r="C741" s="223"/>
      <c r="D741" s="223"/>
      <c r="E741" s="223"/>
      <c r="F741" s="1032" t="s">
        <v>271</v>
      </c>
      <c r="G741" s="227"/>
      <c r="H741" s="216" t="s">
        <v>46</v>
      </c>
      <c r="I741" s="321">
        <f ca="1">IFERROR(__xludf.DUMMYFUNCTION("IMPORTRANGE(""https://docs.google.com/spreadsheets/d/1eHaY18a8A9IcSdp1K8H6x8fbOy06t2VsZHhMHf-1x7Y/edit?usp=sharing"",""แผน!GB57"")"),80)</f>
        <v>80</v>
      </c>
      <c r="J741" s="884">
        <v>0</v>
      </c>
      <c r="K741" s="399">
        <f ca="1">IF(I741&gt;0,J741*100/I741,0)</f>
        <v>0</v>
      </c>
      <c r="L741" s="72"/>
      <c r="M741" s="72"/>
      <c r="N741" s="72"/>
      <c r="O741" s="72"/>
      <c r="P741" s="72"/>
      <c r="Q741" s="540"/>
      <c r="R741" s="72"/>
      <c r="S741" s="72"/>
      <c r="T741" s="72"/>
      <c r="U741" s="72"/>
    </row>
    <row r="742" spans="1:21" ht="18.75" x14ac:dyDescent="0.25">
      <c r="A742" s="222"/>
      <c r="B742" s="223"/>
      <c r="C742" s="223"/>
      <c r="D742" s="223"/>
      <c r="E742" s="223"/>
      <c r="F742" s="1032" t="s">
        <v>311</v>
      </c>
      <c r="G742" s="227"/>
      <c r="H742" s="216" t="s">
        <v>35</v>
      </c>
      <c r="I742" s="71"/>
      <c r="J742" s="884">
        <v>0</v>
      </c>
      <c r="K742" s="72"/>
      <c r="L742" s="72"/>
      <c r="M742" s="72"/>
      <c r="N742" s="72"/>
      <c r="O742" s="72"/>
      <c r="P742" s="72"/>
      <c r="Q742" s="540"/>
      <c r="R742" s="72"/>
      <c r="S742" s="72"/>
      <c r="T742" s="72"/>
      <c r="U742" s="72"/>
    </row>
    <row r="743" spans="1:21" ht="18.75" x14ac:dyDescent="0.25">
      <c r="A743" s="222"/>
      <c r="B743" s="223"/>
      <c r="C743" s="223"/>
      <c r="D743" s="223"/>
      <c r="E743" s="223"/>
      <c r="F743" s="1032" t="s">
        <v>312</v>
      </c>
      <c r="G743" s="227"/>
      <c r="H743" s="216" t="s">
        <v>35</v>
      </c>
      <c r="I743" s="321">
        <f ca="1">IFERROR(__xludf.DUMMYFUNCTION("IMPORTRANGE(""https://docs.google.com/spreadsheets/d/1eHaY18a8A9IcSdp1K8H6x8fbOy06t2VsZHhMHf-1x7Y/edit?usp=sharing"",""แผน!GC57"")"),8)</f>
        <v>8</v>
      </c>
      <c r="J743" s="884">
        <v>0</v>
      </c>
      <c r="K743" s="399">
        <f ca="1">IF(I743&gt;0,J743*100/I743,0)</f>
        <v>0</v>
      </c>
      <c r="L743" s="72"/>
      <c r="M743" s="72"/>
      <c r="N743" s="72"/>
      <c r="O743" s="72"/>
      <c r="P743" s="72"/>
      <c r="Q743" s="540"/>
      <c r="R743" s="72"/>
      <c r="S743" s="72"/>
      <c r="T743" s="72"/>
      <c r="U743" s="72"/>
    </row>
    <row r="744" spans="1:21" ht="18.75" x14ac:dyDescent="0.25">
      <c r="A744" s="222"/>
      <c r="B744" s="223"/>
      <c r="C744" s="223"/>
      <c r="D744" s="223"/>
      <c r="E744" s="1032" t="s">
        <v>274</v>
      </c>
      <c r="F744" s="223"/>
      <c r="G744" s="227"/>
      <c r="H744" s="1033"/>
      <c r="I744" s="71"/>
      <c r="J744" s="71"/>
      <c r="K744" s="72"/>
      <c r="L744" s="72"/>
      <c r="M744" s="72"/>
      <c r="N744" s="72"/>
      <c r="O744" s="72"/>
      <c r="P744" s="72"/>
      <c r="Q744" s="540"/>
      <c r="R744" s="72"/>
      <c r="S744" s="72"/>
      <c r="T744" s="72"/>
      <c r="U744" s="72"/>
    </row>
    <row r="745" spans="1:21" ht="18.75" x14ac:dyDescent="0.25">
      <c r="A745" s="222"/>
      <c r="B745" s="223"/>
      <c r="C745" s="223"/>
      <c r="D745" s="223"/>
      <c r="E745" s="223"/>
      <c r="F745" s="1032" t="s">
        <v>271</v>
      </c>
      <c r="G745" s="227"/>
      <c r="H745" s="216" t="s">
        <v>46</v>
      </c>
      <c r="I745" s="321">
        <f ca="1">IFERROR(__xludf.DUMMYFUNCTION("IMPORTRANGE(""https://docs.google.com/spreadsheets/d/1eHaY18a8A9IcSdp1K8H6x8fbOy06t2VsZHhMHf-1x7Y/edit?usp=sharing"",""แผน!GD57"")"),20)</f>
        <v>20</v>
      </c>
      <c r="J745" s="884">
        <v>0</v>
      </c>
      <c r="K745" s="399">
        <f ca="1">IF(I745&gt;0,J745*100/I745,0)</f>
        <v>0</v>
      </c>
      <c r="L745" s="72"/>
      <c r="M745" s="72"/>
      <c r="N745" s="72"/>
      <c r="O745" s="72"/>
      <c r="P745" s="72"/>
      <c r="Q745" s="540"/>
      <c r="R745" s="72"/>
      <c r="S745" s="72"/>
      <c r="T745" s="72"/>
      <c r="U745" s="72"/>
    </row>
    <row r="746" spans="1:21" ht="18.75" x14ac:dyDescent="0.25">
      <c r="A746" s="222"/>
      <c r="B746" s="223"/>
      <c r="C746" s="223"/>
      <c r="D746" s="223"/>
      <c r="E746" s="223"/>
      <c r="F746" s="1032" t="s">
        <v>313</v>
      </c>
      <c r="G746" s="227"/>
      <c r="H746" s="216" t="s">
        <v>35</v>
      </c>
      <c r="I746" s="71"/>
      <c r="J746" s="884">
        <v>0</v>
      </c>
      <c r="K746" s="72"/>
      <c r="L746" s="72"/>
      <c r="M746" s="72"/>
      <c r="N746" s="72"/>
      <c r="O746" s="72"/>
      <c r="P746" s="72"/>
      <c r="Q746" s="540"/>
      <c r="R746" s="72"/>
      <c r="S746" s="72"/>
      <c r="T746" s="72"/>
      <c r="U746" s="72"/>
    </row>
    <row r="747" spans="1:21" ht="18.75" x14ac:dyDescent="0.25">
      <c r="A747" s="222"/>
      <c r="B747" s="223"/>
      <c r="C747" s="223"/>
      <c r="D747" s="223"/>
      <c r="E747" s="223"/>
      <c r="F747" s="1032" t="s">
        <v>314</v>
      </c>
      <c r="G747" s="227"/>
      <c r="H747" s="216" t="s">
        <v>35</v>
      </c>
      <c r="I747" s="321">
        <f ca="1">IFERROR(__xludf.DUMMYFUNCTION("IMPORTRANGE(""https://docs.google.com/spreadsheets/d/1eHaY18a8A9IcSdp1K8H6x8fbOy06t2VsZHhMHf-1x7Y/edit?usp=sharing"",""แผน!GE57"")"),2)</f>
        <v>2</v>
      </c>
      <c r="J747" s="884">
        <v>0</v>
      </c>
      <c r="K747" s="399">
        <f ca="1">IF(I747&gt;0,J747*100/I747,0)</f>
        <v>0</v>
      </c>
      <c r="L747" s="72"/>
      <c r="M747" s="72"/>
      <c r="N747" s="72"/>
      <c r="O747" s="72"/>
      <c r="P747" s="72"/>
      <c r="Q747" s="540"/>
      <c r="R747" s="72"/>
      <c r="S747" s="72"/>
      <c r="T747" s="72"/>
      <c r="U747" s="72"/>
    </row>
    <row r="748" spans="1:21" ht="18.75" x14ac:dyDescent="0.25">
      <c r="A748" s="222"/>
      <c r="B748" s="223"/>
      <c r="C748" s="223"/>
      <c r="D748" s="223"/>
      <c r="E748" s="1032" t="s">
        <v>277</v>
      </c>
      <c r="F748" s="231"/>
      <c r="G748" s="227"/>
      <c r="H748" s="1033"/>
      <c r="I748" s="71"/>
      <c r="J748" s="71"/>
      <c r="K748" s="72"/>
      <c r="L748" s="72"/>
      <c r="M748" s="72"/>
      <c r="N748" s="72"/>
      <c r="O748" s="72"/>
      <c r="P748" s="72"/>
      <c r="Q748" s="540"/>
      <c r="R748" s="72"/>
      <c r="S748" s="72"/>
      <c r="T748" s="72"/>
      <c r="U748" s="72"/>
    </row>
    <row r="749" spans="1:21" ht="18.75" x14ac:dyDescent="0.25">
      <c r="A749" s="222"/>
      <c r="B749" s="223"/>
      <c r="C749" s="223"/>
      <c r="D749" s="223"/>
      <c r="E749" s="223"/>
      <c r="F749" s="1032" t="s">
        <v>315</v>
      </c>
      <c r="G749" s="227"/>
      <c r="H749" s="216" t="s">
        <v>35</v>
      </c>
      <c r="I749" s="71"/>
      <c r="J749" s="884">
        <v>0</v>
      </c>
      <c r="K749" s="72"/>
      <c r="L749" s="72"/>
      <c r="M749" s="72"/>
      <c r="N749" s="72"/>
      <c r="O749" s="72"/>
      <c r="P749" s="72"/>
      <c r="Q749" s="540"/>
      <c r="R749" s="72"/>
      <c r="S749" s="72"/>
      <c r="T749" s="72"/>
      <c r="U749" s="72"/>
    </row>
    <row r="750" spans="1:21" ht="18.75" x14ac:dyDescent="0.25">
      <c r="A750" s="222"/>
      <c r="B750" s="223"/>
      <c r="C750" s="223"/>
      <c r="D750" s="223"/>
      <c r="E750" s="223"/>
      <c r="F750" s="1032" t="s">
        <v>316</v>
      </c>
      <c r="G750" s="227"/>
      <c r="H750" s="216" t="s">
        <v>35</v>
      </c>
      <c r="I750" s="321">
        <f ca="1">IFERROR(__xludf.DUMMYFUNCTION("IMPORTRANGE(""https://docs.google.com/spreadsheets/d/1eHaY18a8A9IcSdp1K8H6x8fbOy06t2VsZHhMHf-1x7Y/edit?usp=sharing"",""แผน!GF57"")"),1)</f>
        <v>1</v>
      </c>
      <c r="J750" s="884">
        <v>0</v>
      </c>
      <c r="K750" s="399">
        <f ca="1">IF(I750&gt;0,J750*100/I750,0)</f>
        <v>0</v>
      </c>
      <c r="L750" s="72"/>
      <c r="M750" s="72"/>
      <c r="N750" s="72"/>
      <c r="O750" s="72"/>
      <c r="P750" s="72"/>
      <c r="Q750" s="540"/>
      <c r="R750" s="72"/>
      <c r="S750" s="72"/>
      <c r="T750" s="72"/>
      <c r="U750" s="72"/>
    </row>
    <row r="751" spans="1:21" ht="19.5" x14ac:dyDescent="0.3">
      <c r="A751" s="222"/>
      <c r="B751" s="223"/>
      <c r="C751" s="223"/>
      <c r="D751" s="1034" t="s">
        <v>50</v>
      </c>
      <c r="E751" s="223"/>
      <c r="F751" s="231"/>
      <c r="G751" s="227"/>
      <c r="H751" s="1033"/>
      <c r="I751" s="71"/>
      <c r="J751" s="71"/>
      <c r="K751" s="72"/>
      <c r="L751" s="72"/>
      <c r="M751" s="72"/>
      <c r="N751" s="72"/>
      <c r="O751" s="72"/>
      <c r="P751" s="72"/>
      <c r="Q751" s="540"/>
      <c r="R751" s="72"/>
      <c r="S751" s="72"/>
      <c r="T751" s="72"/>
      <c r="U751" s="72"/>
    </row>
    <row r="752" spans="1:21" ht="18.75" x14ac:dyDescent="0.25">
      <c r="A752" s="222"/>
      <c r="B752" s="223"/>
      <c r="C752" s="223"/>
      <c r="D752" s="223"/>
      <c r="E752" s="1032" t="s">
        <v>270</v>
      </c>
      <c r="F752" s="231"/>
      <c r="G752" s="227"/>
      <c r="H752" s="1033"/>
      <c r="I752" s="71"/>
      <c r="J752" s="71"/>
      <c r="K752" s="72"/>
      <c r="L752" s="72"/>
      <c r="M752" s="72"/>
      <c r="N752" s="72"/>
      <c r="O752" s="72"/>
      <c r="P752" s="72"/>
      <c r="Q752" s="540"/>
      <c r="R752" s="72"/>
      <c r="S752" s="72"/>
      <c r="T752" s="72"/>
      <c r="U752" s="72"/>
    </row>
    <row r="753" spans="1:21" ht="18.75" x14ac:dyDescent="0.25">
      <c r="A753" s="222"/>
      <c r="B753" s="223"/>
      <c r="C753" s="223"/>
      <c r="D753" s="223"/>
      <c r="E753" s="223"/>
      <c r="F753" s="395" t="s">
        <v>317</v>
      </c>
      <c r="G753" s="227"/>
      <c r="H753" s="216" t="s">
        <v>46</v>
      </c>
      <c r="I753" s="321">
        <f ca="1">IFERROR(__xludf.DUMMYFUNCTION("IMPORTRANGE(""https://docs.google.com/spreadsheets/d/1eHaY18a8A9IcSdp1K8H6x8fbOy06t2VsZHhMHf-1x7Y/edit?usp=sharing"",""แผน!GC57"")"),8)</f>
        <v>8</v>
      </c>
      <c r="J753" s="884">
        <v>0</v>
      </c>
      <c r="K753" s="399">
        <f ca="1">IF(I753&gt;0,J753*100/I753,0)</f>
        <v>0</v>
      </c>
      <c r="L753" s="72"/>
      <c r="M753" s="72"/>
      <c r="N753" s="72"/>
      <c r="O753" s="72"/>
      <c r="P753" s="72"/>
      <c r="Q753" s="540"/>
      <c r="R753" s="72"/>
      <c r="S753" s="72"/>
      <c r="T753" s="72"/>
      <c r="U753" s="72"/>
    </row>
    <row r="754" spans="1:21" ht="18.75" x14ac:dyDescent="0.25">
      <c r="A754" s="222"/>
      <c r="B754" s="223"/>
      <c r="C754" s="223"/>
      <c r="D754" s="223"/>
      <c r="E754" s="223"/>
      <c r="F754" s="395" t="s">
        <v>318</v>
      </c>
      <c r="G754" s="227"/>
      <c r="H754" s="216" t="s">
        <v>46</v>
      </c>
      <c r="I754" s="71"/>
      <c r="J754" s="884">
        <v>0</v>
      </c>
      <c r="K754" s="72"/>
      <c r="L754" s="72"/>
      <c r="M754" s="72"/>
      <c r="N754" s="72"/>
      <c r="O754" s="72"/>
      <c r="P754" s="72"/>
      <c r="Q754" s="540"/>
      <c r="R754" s="72"/>
      <c r="S754" s="72"/>
      <c r="T754" s="72"/>
      <c r="U754" s="72"/>
    </row>
    <row r="755" spans="1:21" ht="18.75" x14ac:dyDescent="0.25">
      <c r="A755" s="222"/>
      <c r="B755" s="223"/>
      <c r="C755" s="223"/>
      <c r="D755" s="223"/>
      <c r="E755" s="1032" t="s">
        <v>274</v>
      </c>
      <c r="F755" s="231"/>
      <c r="G755" s="227"/>
      <c r="H755" s="1033"/>
      <c r="I755" s="71"/>
      <c r="J755" s="71"/>
      <c r="K755" s="72"/>
      <c r="L755" s="72"/>
      <c r="M755" s="72"/>
      <c r="N755" s="72"/>
      <c r="O755" s="72"/>
      <c r="P755" s="72"/>
      <c r="Q755" s="540"/>
      <c r="R755" s="72"/>
      <c r="S755" s="72"/>
      <c r="T755" s="72"/>
      <c r="U755" s="72"/>
    </row>
    <row r="756" spans="1:21" ht="18.75" x14ac:dyDescent="0.25">
      <c r="A756" s="222"/>
      <c r="B756" s="223"/>
      <c r="C756" s="223"/>
      <c r="D756" s="223"/>
      <c r="E756" s="231"/>
      <c r="F756" s="395" t="s">
        <v>319</v>
      </c>
      <c r="G756" s="227"/>
      <c r="H756" s="216" t="s">
        <v>46</v>
      </c>
      <c r="I756" s="321">
        <f ca="1">IFERROR(__xludf.DUMMYFUNCTION("IMPORTRANGE(""https://docs.google.com/spreadsheets/d/1eHaY18a8A9IcSdp1K8H6x8fbOy06t2VsZHhMHf-1x7Y/edit?usp=sharing"",""แผน!GE57"")"),2)</f>
        <v>2</v>
      </c>
      <c r="J756" s="884">
        <v>0</v>
      </c>
      <c r="K756" s="399">
        <f ca="1">IF(I756&gt;0,J756*100/I756,0)</f>
        <v>0</v>
      </c>
      <c r="L756" s="72"/>
      <c r="M756" s="72"/>
      <c r="N756" s="72"/>
      <c r="O756" s="72"/>
      <c r="P756" s="72"/>
      <c r="Q756" s="540"/>
      <c r="R756" s="72"/>
      <c r="S756" s="72"/>
      <c r="T756" s="72"/>
      <c r="U756" s="72"/>
    </row>
    <row r="757" spans="1:21" ht="18.75" x14ac:dyDescent="0.25">
      <c r="A757" s="222"/>
      <c r="B757" s="223"/>
      <c r="C757" s="223"/>
      <c r="D757" s="223"/>
      <c r="E757" s="231"/>
      <c r="F757" s="395" t="s">
        <v>320</v>
      </c>
      <c r="G757" s="227"/>
      <c r="H757" s="216" t="s">
        <v>46</v>
      </c>
      <c r="I757" s="71"/>
      <c r="J757" s="884">
        <v>0</v>
      </c>
      <c r="K757" s="72"/>
      <c r="L757" s="72"/>
      <c r="M757" s="72"/>
      <c r="N757" s="72"/>
      <c r="O757" s="72"/>
      <c r="P757" s="72"/>
      <c r="Q757" s="540"/>
      <c r="R757" s="72"/>
      <c r="S757" s="72"/>
      <c r="T757" s="72"/>
      <c r="U757" s="72"/>
    </row>
    <row r="758" spans="1:21" ht="19.5" hidden="1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ca="1">I772</f>
        <v>0</v>
      </c>
      <c r="J758" s="781">
        <f>J772</f>
        <v>0</v>
      </c>
      <c r="K758" s="766">
        <f ca="1">IF(I758&gt;0,J758*100/I758,0)</f>
        <v>0</v>
      </c>
      <c r="L758" s="733"/>
      <c r="M758" s="733"/>
      <c r="N758" s="733"/>
      <c r="O758" s="733"/>
      <c r="P758" s="733"/>
      <c r="Q758" s="734"/>
      <c r="R758" s="733"/>
      <c r="S758" s="733"/>
      <c r="T758" s="733"/>
      <c r="U758" s="733"/>
    </row>
    <row r="759" spans="1:21" ht="19.5" hidden="1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ca="1">I774</f>
        <v>0</v>
      </c>
      <c r="J759" s="781">
        <f>J774</f>
        <v>0</v>
      </c>
      <c r="K759" s="766">
        <f ca="1">IF(I759&gt;0,J759*100/I759,0)</f>
        <v>0</v>
      </c>
      <c r="L759" s="733"/>
      <c r="M759" s="733"/>
      <c r="N759" s="733"/>
      <c r="O759" s="733"/>
      <c r="P759" s="733"/>
      <c r="Q759" s="734"/>
      <c r="R759" s="733"/>
      <c r="S759" s="733"/>
      <c r="T759" s="733"/>
      <c r="U759" s="733"/>
    </row>
    <row r="760" spans="1:21" ht="19.5" hidden="1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264">
        <f>L761+L762</f>
        <v>0</v>
      </c>
      <c r="M760" s="264">
        <f>M761+M762</f>
        <v>0</v>
      </c>
      <c r="N760" s="264">
        <f>N761+N762</f>
        <v>0</v>
      </c>
      <c r="O760" s="264">
        <f t="shared" ref="O760:O768" si="188">IF(L760&gt;0,N760*100/L760,0)</f>
        <v>0</v>
      </c>
      <c r="P760" s="264">
        <f t="shared" ref="P760:P768" si="189">IF(M760&gt;0,N760*100/M760,0)</f>
        <v>0</v>
      </c>
      <c r="Q760" s="1257">
        <f ca="1">Q761+Q762</f>
        <v>0</v>
      </c>
      <c r="R760" s="264">
        <f ca="1">R761+R762</f>
        <v>0</v>
      </c>
      <c r="S760" s="264">
        <f ca="1">S761+S762</f>
        <v>0</v>
      </c>
      <c r="T760" s="264">
        <f t="shared" ref="T760:T768" ca="1" si="190">IF(Q760&gt;0,S760*100/Q760,0)</f>
        <v>0</v>
      </c>
      <c r="U760" s="264">
        <f t="shared" ref="U760:U768" ca="1" si="191">IF(R760&gt;0,S760*100/R760,0)</f>
        <v>0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7">
        <f t="shared" ref="L761:N762" si="192">L764+L767</f>
        <v>0</v>
      </c>
      <c r="M761" s="77">
        <f t="shared" si="192"/>
        <v>0</v>
      </c>
      <c r="N761" s="77">
        <f t="shared" si="192"/>
        <v>0</v>
      </c>
      <c r="O761" s="77">
        <f t="shared" si="188"/>
        <v>0</v>
      </c>
      <c r="P761" s="77">
        <f t="shared" si="189"/>
        <v>0</v>
      </c>
      <c r="Q761" s="76">
        <f t="shared" ref="Q761:S762" si="193">Q764+Q767</f>
        <v>0</v>
      </c>
      <c r="R761" s="77">
        <f t="shared" si="193"/>
        <v>0</v>
      </c>
      <c r="S761" s="77">
        <f t="shared" si="193"/>
        <v>0</v>
      </c>
      <c r="T761" s="77">
        <f t="shared" si="190"/>
        <v>0</v>
      </c>
      <c r="U761" s="77">
        <f t="shared" si="191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4">
        <f t="shared" si="192"/>
        <v>0</v>
      </c>
      <c r="M762" s="74">
        <f t="shared" si="192"/>
        <v>0</v>
      </c>
      <c r="N762" s="74">
        <f t="shared" si="192"/>
        <v>0</v>
      </c>
      <c r="O762" s="74">
        <f t="shared" si="188"/>
        <v>0</v>
      </c>
      <c r="P762" s="74">
        <f t="shared" si="189"/>
        <v>0</v>
      </c>
      <c r="Q762" s="73">
        <f t="shared" ca="1" si="193"/>
        <v>0</v>
      </c>
      <c r="R762" s="74">
        <f t="shared" ca="1" si="193"/>
        <v>0</v>
      </c>
      <c r="S762" s="74">
        <f t="shared" ca="1" si="193"/>
        <v>0</v>
      </c>
      <c r="T762" s="74">
        <f t="shared" ca="1" si="190"/>
        <v>0</v>
      </c>
      <c r="U762" s="74">
        <f t="shared" ca="1" si="191"/>
        <v>0</v>
      </c>
    </row>
    <row r="763" spans="1:21" ht="18.75" hidden="1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4">
        <f>L764+L765</f>
        <v>0</v>
      </c>
      <c r="M763" s="74">
        <f>M764+M765</f>
        <v>0</v>
      </c>
      <c r="N763" s="74">
        <f>N764+N765</f>
        <v>0</v>
      </c>
      <c r="O763" s="74">
        <f t="shared" si="188"/>
        <v>0</v>
      </c>
      <c r="P763" s="74">
        <f t="shared" si="189"/>
        <v>0</v>
      </c>
      <c r="Q763" s="73">
        <f ca="1">Q764+Q765</f>
        <v>0</v>
      </c>
      <c r="R763" s="74">
        <f ca="1">R764+R765</f>
        <v>0</v>
      </c>
      <c r="S763" s="74">
        <f ca="1">S764+S765</f>
        <v>0</v>
      </c>
      <c r="T763" s="74">
        <f t="shared" ca="1" si="190"/>
        <v>0</v>
      </c>
      <c r="U763" s="74">
        <f t="shared" ca="1" si="191"/>
        <v>0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7">
        <v>0</v>
      </c>
      <c r="M764" s="77">
        <v>0</v>
      </c>
      <c r="N764" s="77">
        <v>0</v>
      </c>
      <c r="O764" s="77">
        <f t="shared" si="188"/>
        <v>0</v>
      </c>
      <c r="P764" s="77">
        <f t="shared" si="189"/>
        <v>0</v>
      </c>
      <c r="Q764" s="76">
        <v>0</v>
      </c>
      <c r="R764" s="77">
        <v>0</v>
      </c>
      <c r="S764" s="77">
        <v>0</v>
      </c>
      <c r="T764" s="77">
        <f t="shared" si="190"/>
        <v>0</v>
      </c>
      <c r="U764" s="77">
        <f t="shared" si="191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4">
        <v>0</v>
      </c>
      <c r="M765" s="74">
        <v>0</v>
      </c>
      <c r="N765" s="74">
        <v>0</v>
      </c>
      <c r="O765" s="74">
        <f t="shared" si="188"/>
        <v>0</v>
      </c>
      <c r="P765" s="74">
        <f t="shared" si="189"/>
        <v>0</v>
      </c>
      <c r="Q765" s="73">
        <f ca="1">IFERROR(__xludf.DUMMYFUNCTION("IMPORTRANGE(""https://docs.google.com/spreadsheets/d/1ItG2mGa2ceCfYo0BwxsXqNm01IGEUdYcSSLTEv9YCik/edit?usp=sharing"",""เบิกจ่ายกองทุน!U57"")"),0)</f>
        <v>0</v>
      </c>
      <c r="R765" s="74">
        <f ca="1">IFERROR(__xludf.DUMMYFUNCTION("IMPORTRANGE(""https://docs.google.com/spreadsheets/d/1ItG2mGa2ceCfYo0BwxsXqNm01IGEUdYcSSLTEv9YCik/edit?usp=sharing"",""เบิกจ่ายกองทุน!V57"")"),0)</f>
        <v>0</v>
      </c>
      <c r="S765" s="74">
        <f ca="1">IFERROR(__xludf.DUMMYFUNCTION("IMPORTRANGE(""https://docs.google.com/spreadsheets/d/1ItG2mGa2ceCfYo0BwxsXqNm01IGEUdYcSSLTEv9YCik/edit?usp=sharing"",""เบิกจ่ายกองทุน!W57"")"),0)</f>
        <v>0</v>
      </c>
      <c r="T765" s="74">
        <f t="shared" ca="1" si="190"/>
        <v>0</v>
      </c>
      <c r="U765" s="74">
        <f t="shared" ca="1" si="191"/>
        <v>0</v>
      </c>
    </row>
    <row r="766" spans="1:21" ht="18.75" hidden="1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4">
        <f>L767+L768</f>
        <v>0</v>
      </c>
      <c r="M766" s="74">
        <f>M767+M768</f>
        <v>0</v>
      </c>
      <c r="N766" s="74">
        <f>N767+N768</f>
        <v>0</v>
      </c>
      <c r="O766" s="74">
        <f t="shared" si="188"/>
        <v>0</v>
      </c>
      <c r="P766" s="74">
        <f t="shared" si="189"/>
        <v>0</v>
      </c>
      <c r="Q766" s="73">
        <f>Q767+Q768</f>
        <v>0</v>
      </c>
      <c r="R766" s="74">
        <f>R767+R768</f>
        <v>0</v>
      </c>
      <c r="S766" s="74">
        <f>S767+S768</f>
        <v>0</v>
      </c>
      <c r="T766" s="74">
        <f t="shared" si="190"/>
        <v>0</v>
      </c>
      <c r="U766" s="74">
        <f t="shared" si="191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7">
        <v>0</v>
      </c>
      <c r="M767" s="77">
        <v>0</v>
      </c>
      <c r="N767" s="77">
        <v>0</v>
      </c>
      <c r="O767" s="77">
        <f t="shared" si="188"/>
        <v>0</v>
      </c>
      <c r="P767" s="77">
        <f t="shared" si="189"/>
        <v>0</v>
      </c>
      <c r="Q767" s="76">
        <v>0</v>
      </c>
      <c r="R767" s="77">
        <v>0</v>
      </c>
      <c r="S767" s="77">
        <v>0</v>
      </c>
      <c r="T767" s="77">
        <f t="shared" si="190"/>
        <v>0</v>
      </c>
      <c r="U767" s="77">
        <f t="shared" si="191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4">
        <v>0</v>
      </c>
      <c r="M768" s="74">
        <v>0</v>
      </c>
      <c r="N768" s="74">
        <v>0</v>
      </c>
      <c r="O768" s="74">
        <f t="shared" si="188"/>
        <v>0</v>
      </c>
      <c r="P768" s="74">
        <f t="shared" si="189"/>
        <v>0</v>
      </c>
      <c r="Q768" s="73">
        <v>0</v>
      </c>
      <c r="R768" s="74">
        <v>0</v>
      </c>
      <c r="S768" s="74">
        <v>0</v>
      </c>
      <c r="T768" s="74">
        <f t="shared" si="190"/>
        <v>0</v>
      </c>
      <c r="U768" s="74">
        <f t="shared" si="191"/>
        <v>0</v>
      </c>
    </row>
    <row r="769" spans="1:21" ht="19.5" hidden="1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7"/>
      <c r="M769" s="87"/>
      <c r="N769" s="87"/>
      <c r="O769" s="87"/>
      <c r="P769" s="87"/>
      <c r="Q769" s="86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IFERROR(__xludf.DUMMYFUNCTION("IMPORTRANGE(""https://docs.google.com/spreadsheets/d/1eHaY18a8A9IcSdp1K8H6x8fbOy06t2VsZHhMHf-1x7Y/edit?usp=sharing"",""แผน!FI57"")"),0)</f>
        <v>0</v>
      </c>
      <c r="J770" s="592">
        <v>0</v>
      </c>
      <c r="K770" s="77">
        <f ca="1">IF(I770&gt;0,J770*100/I770,0)</f>
        <v>0</v>
      </c>
      <c r="L770" s="87"/>
      <c r="M770" s="87"/>
      <c r="N770" s="87"/>
      <c r="O770" s="87"/>
      <c r="P770" s="87"/>
      <c r="Q770" s="86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7"/>
      <c r="M771" s="87"/>
      <c r="N771" s="87"/>
      <c r="O771" s="87"/>
      <c r="P771" s="87"/>
      <c r="Q771" s="86"/>
      <c r="R771" s="87"/>
      <c r="S771" s="87"/>
      <c r="T771" s="87"/>
      <c r="U771" s="87"/>
    </row>
    <row r="772" spans="1:21" ht="18.75" hidden="1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IFERROR(__xludf.DUMMYFUNCTION("IMPORTRANGE(""https://docs.google.com/spreadsheets/d/1eHaY18a8A9IcSdp1K8H6x8fbOy06t2VsZHhMHf-1x7Y/edit?usp=sharing"",""แผน!FQ57"")"),0)</f>
        <v>0</v>
      </c>
      <c r="J772" s="294">
        <v>0</v>
      </c>
      <c r="K772" s="74">
        <f ca="1">IF(I772&gt;0,J772*100/I772,0)</f>
        <v>0</v>
      </c>
      <c r="L772" s="87"/>
      <c r="M772" s="87"/>
      <c r="N772" s="87"/>
      <c r="O772" s="87"/>
      <c r="P772" s="87"/>
      <c r="Q772" s="86"/>
      <c r="R772" s="87"/>
      <c r="S772" s="87"/>
      <c r="T772" s="87"/>
      <c r="U772" s="87"/>
    </row>
    <row r="773" spans="1:21" ht="18.75" hidden="1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7"/>
      <c r="M773" s="87"/>
      <c r="N773" s="87"/>
      <c r="O773" s="87"/>
      <c r="P773" s="87"/>
      <c r="Q773" s="86"/>
      <c r="R773" s="87"/>
      <c r="S773" s="87"/>
      <c r="T773" s="87"/>
      <c r="U773" s="87"/>
    </row>
    <row r="774" spans="1:21" ht="18.75" hidden="1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IFERROR(__xludf.DUMMYFUNCTION("IMPORTRANGE(""https://docs.google.com/spreadsheets/d/1eHaY18a8A9IcSdp1K8H6x8fbOy06t2VsZHhMHf-1x7Y/edit?usp=sharing"",""แผน!FR57"")"),0)</f>
        <v>0</v>
      </c>
      <c r="J774" s="294">
        <v>0</v>
      </c>
      <c r="K774" s="74">
        <f ca="1">IF(I774&gt;0,J774*100/I774,0)</f>
        <v>0</v>
      </c>
      <c r="L774" s="87"/>
      <c r="M774" s="87"/>
      <c r="N774" s="87"/>
      <c r="O774" s="87"/>
      <c r="P774" s="87"/>
      <c r="Q774" s="86"/>
      <c r="R774" s="87"/>
      <c r="S774" s="87"/>
      <c r="T774" s="87"/>
      <c r="U774" s="87"/>
    </row>
    <row r="775" spans="1:21" ht="18.75" hidden="1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IFERROR(__xludf.DUMMYFUNCTION("IMPORTRANGE(""https://docs.google.com/spreadsheets/d/1eHaY18a8A9IcSdp1K8H6x8fbOy06t2VsZHhMHf-1x7Y/edit?usp=sharing"",""แผน!FS57"")"),0)</f>
        <v>0</v>
      </c>
      <c r="J775" s="294">
        <v>0</v>
      </c>
      <c r="K775" s="87"/>
      <c r="L775" s="87"/>
      <c r="M775" s="87"/>
      <c r="N775" s="87"/>
      <c r="O775" s="87"/>
      <c r="P775" s="87"/>
      <c r="Q775" s="86"/>
      <c r="R775" s="87"/>
      <c r="S775" s="87"/>
      <c r="T775" s="87"/>
      <c r="U775" s="87"/>
    </row>
    <row r="776" spans="1:21" ht="18.75" hidden="1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IFERROR(__xludf.DUMMYFUNCTION("IMPORTRANGE(""https://docs.google.com/spreadsheets/d/1eHaY18a8A9IcSdp1K8H6x8fbOy06t2VsZHhMHf-1x7Y/edit?usp=sharing"",""แผน!FT57"")"),0)</f>
        <v>0</v>
      </c>
      <c r="J776" s="761">
        <v>0</v>
      </c>
      <c r="K776" s="98"/>
      <c r="L776" s="98"/>
      <c r="M776" s="98"/>
      <c r="N776" s="98"/>
      <c r="O776" s="98"/>
      <c r="P776" s="98"/>
      <c r="Q776" s="97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IFERROR(__xludf.DUMMYFUNCTION("IMPORTRANGE(""https://docs.google.com/spreadsheets/d/10OvvATaaLtwErnr3qtWFcTmtbfpFEt5Bsqel9sXx0uE/edit?usp=sharing"",""งานกองทุน!D57"")"),2931595.19)</f>
        <v>2931595.19</v>
      </c>
      <c r="J778" s="293">
        <f ca="1">IFERROR(__xludf.DUMMYFUNCTION("IMPORTRANGE(""https://docs.google.com/spreadsheets/d/10OvvATaaLtwErnr3qtWFcTmtbfpFEt5Bsqel9sXx0uE/edit?usp=sharing"",""งานกองทุน!F57"")"),180308.59)</f>
        <v>180308.59</v>
      </c>
      <c r="K778" s="74">
        <f t="shared" ref="K778:K785" ca="1" si="194">IF(I778&gt;0,J778*100/I778,0)</f>
        <v>6.1505282385184978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IFERROR(__xludf.DUMMYFUNCTION("IMPORTRANGE(""https://docs.google.com/spreadsheets/d/10OvvATaaLtwErnr3qtWFcTmtbfpFEt5Bsqel9sXx0uE/edit?usp=sharing"",""งานกองทุน!C57"")"),170)</f>
        <v>170</v>
      </c>
      <c r="J779" s="293">
        <f ca="1">IFERROR(__xludf.DUMMYFUNCTION("IMPORTRANGE(""https://docs.google.com/spreadsheets/d/10OvvATaaLtwErnr3qtWFcTmtbfpFEt5Bsqel9sXx0uE/edit?usp=sharing"",""งานกองทุน!E57"")"),13)</f>
        <v>13</v>
      </c>
      <c r="K779" s="74">
        <f t="shared" ca="1" si="194"/>
        <v>7.6470588235294121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IFERROR(__xludf.DUMMYFUNCTION("IMPORTRANGE(""https://docs.google.com/spreadsheets/d/10OvvATaaLtwErnr3qtWFcTmtbfpFEt5Bsqel9sXx0uE/edit?usp=sharing"",""งานกองทุน!I57"")"),6704945.28)</f>
        <v>6704945.2800000003</v>
      </c>
      <c r="J780" s="293">
        <f ca="1">IFERROR(__xludf.DUMMYFUNCTION("IMPORTRANGE(""https://docs.google.com/spreadsheets/d/10OvvATaaLtwErnr3qtWFcTmtbfpFEt5Bsqel9sXx0uE/edit?usp=sharing"",""งานกองทุน!K57"")"),133355.85)</f>
        <v>133355.85</v>
      </c>
      <c r="K780" s="74">
        <f t="shared" ca="1" si="194"/>
        <v>1.9889177977005055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IFERROR(__xludf.DUMMYFUNCTION("IMPORTRANGE(""https://docs.google.com/spreadsheets/d/10OvvATaaLtwErnr3qtWFcTmtbfpFEt5Bsqel9sXx0uE/edit?usp=sharing"",""งานกองทุน!H57"")"),288)</f>
        <v>288</v>
      </c>
      <c r="J781" s="293">
        <f ca="1">IFERROR(__xludf.DUMMYFUNCTION("IMPORTRANGE(""https://docs.google.com/spreadsheets/d/10OvvATaaLtwErnr3qtWFcTmtbfpFEt5Bsqel9sXx0uE/edit?usp=sharing"",""งานกองทุน!J57"")"),13)</f>
        <v>13</v>
      </c>
      <c r="K781" s="74">
        <f t="shared" ca="1" si="194"/>
        <v>4.5138888888888893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IFERROR(__xludf.DUMMYFUNCTION("IMPORTRANGE(""https://docs.google.com/spreadsheets/d/10OvvATaaLtwErnr3qtWFcTmtbfpFEt5Bsqel9sXx0uE/edit?usp=sharing"",""งานกองทุน!N57"")"),8628977.84)</f>
        <v>8628977.8399999999</v>
      </c>
      <c r="J782" s="293">
        <f ca="1">IFERROR(__xludf.DUMMYFUNCTION("IMPORTRANGE(""https://docs.google.com/spreadsheets/d/10OvvATaaLtwErnr3qtWFcTmtbfpFEt5Bsqel9sXx0uE/edit?usp=sharing"",""งานกองทุน!P57"")"),402832.3)</f>
        <v>402832.3</v>
      </c>
      <c r="K782" s="74">
        <f t="shared" ca="1" si="194"/>
        <v>4.668366375130244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IFERROR(__xludf.DUMMYFUNCTION("IMPORTRANGE(""https://docs.google.com/spreadsheets/d/10OvvATaaLtwErnr3qtWFcTmtbfpFEt5Bsqel9sXx0uE/edit?usp=sharing"",""งานกองทุน!M57"")"),259)</f>
        <v>259</v>
      </c>
      <c r="J783" s="293">
        <f ca="1">IFERROR(__xludf.DUMMYFUNCTION("IMPORTRANGE(""https://docs.google.com/spreadsheets/d/10OvvATaaLtwErnr3qtWFcTmtbfpFEt5Bsqel9sXx0uE/edit?usp=sharing"",""งานกองทุน!O57"")"),40)</f>
        <v>40</v>
      </c>
      <c r="K783" s="74">
        <f t="shared" ca="1" si="194"/>
        <v>15.444015444015443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IFERROR(__xludf.DUMMYFUNCTION("IMPORTRANGE(""https://docs.google.com/spreadsheets/d/10OvvATaaLtwErnr3qtWFcTmtbfpFEt5Bsqel9sXx0uE/edit?usp=sharing"",""งานกองทุน!S57"")"),3640000)</f>
        <v>3640000</v>
      </c>
      <c r="J784" s="293">
        <f ca="1">IFERROR(__xludf.DUMMYFUNCTION("IMPORTRANGE(""https://docs.google.com/spreadsheets/d/10OvvATaaLtwErnr3qtWFcTmtbfpFEt5Bsqel9sXx0uE/edit?usp=sharing"",""งานกองทุน!U57"")"),0)</f>
        <v>0</v>
      </c>
      <c r="K784" s="74">
        <f t="shared" ca="1" si="194"/>
        <v>0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IFERROR(__xludf.DUMMYFUNCTION("IMPORTRANGE(""https://docs.google.com/spreadsheets/d/10OvvATaaLtwErnr3qtWFcTmtbfpFEt5Bsqel9sXx0uE/edit?usp=sharing"",""งานกองทุน!R57"")"),130)</f>
        <v>130</v>
      </c>
      <c r="J785" s="786">
        <f ca="1">IFERROR(__xludf.DUMMYFUNCTION("IMPORTRANGE(""https://docs.google.com/spreadsheets/d/10OvvATaaLtwErnr3qtWFcTmtbfpFEt5Bsqel9sXx0uE/edit?usp=sharing"",""งานกองทุน!T57"")"),0)</f>
        <v>0</v>
      </c>
      <c r="K785" s="182">
        <f t="shared" ca="1" si="194"/>
        <v>0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D760:G760"/>
    <mergeCell ref="L6:M6"/>
    <mergeCell ref="A18:G18"/>
    <mergeCell ref="A31:G31"/>
    <mergeCell ref="A57:G57"/>
    <mergeCell ref="B58:G58"/>
    <mergeCell ref="D414:G414"/>
    <mergeCell ref="D643:G643"/>
    <mergeCell ref="D691:G691"/>
    <mergeCell ref="D715:G715"/>
    <mergeCell ref="D729:G729"/>
    <mergeCell ref="A1:U1"/>
    <mergeCell ref="A8:G8"/>
    <mergeCell ref="D494:F494"/>
    <mergeCell ref="D600:G600"/>
    <mergeCell ref="D617:G617"/>
    <mergeCell ref="A2:U2"/>
    <mergeCell ref="A3:U3"/>
    <mergeCell ref="S6:U6"/>
    <mergeCell ref="L5:P5"/>
    <mergeCell ref="Q5:U5"/>
    <mergeCell ref="A6:G7"/>
    <mergeCell ref="I6:K6"/>
    <mergeCell ref="N6:P6"/>
    <mergeCell ref="Q6:R6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A1F46-59AC-4948-98A1-E8514CC3BAD6}">
  <sheetPr codeName="Sheet7"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3" width="21.28515625" bestFit="1" customWidth="1"/>
    <col min="14" max="14" width="18.7109375" bestFit="1" customWidth="1"/>
    <col min="15" max="16" width="12.5703125" bestFit="1" customWidth="1"/>
    <col min="17" max="18" width="18.710937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341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1035"/>
      <c r="M4" s="1035"/>
      <c r="N4" s="1035"/>
      <c r="O4" s="1035"/>
      <c r="P4" s="1035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60" t="s">
        <v>2</v>
      </c>
      <c r="M5" s="1353"/>
      <c r="N5" s="1353"/>
      <c r="O5" s="1353"/>
      <c r="P5" s="1347"/>
      <c r="Q5" s="1388" t="s">
        <v>3</v>
      </c>
      <c r="R5" s="1349"/>
      <c r="S5" s="1349"/>
      <c r="T5" s="1349"/>
      <c r="U5" s="1350"/>
    </row>
    <row r="6" spans="1:21" ht="19.5" x14ac:dyDescent="0.3">
      <c r="A6" s="1384" t="s">
        <v>4</v>
      </c>
      <c r="B6" s="1385"/>
      <c r="C6" s="1385"/>
      <c r="D6" s="1385"/>
      <c r="E6" s="1385"/>
      <c r="F6" s="1385"/>
      <c r="G6" s="1386"/>
      <c r="H6" s="1037" t="s">
        <v>5</v>
      </c>
      <c r="I6" s="1387" t="s">
        <v>6</v>
      </c>
      <c r="J6" s="1349"/>
      <c r="K6" s="1350"/>
      <c r="L6" s="1377" t="s">
        <v>7</v>
      </c>
      <c r="M6" s="1350"/>
      <c r="N6" s="1359" t="s">
        <v>8</v>
      </c>
      <c r="O6" s="1349"/>
      <c r="P6" s="1350"/>
      <c r="Q6" s="1358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800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12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9"/>
      <c r="M8" s="19"/>
      <c r="N8" s="19"/>
      <c r="O8" s="19"/>
      <c r="P8" s="19"/>
      <c r="Q8" s="18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30"/>
      <c r="M9" s="30"/>
      <c r="N9" s="30"/>
      <c r="O9" s="30"/>
      <c r="P9" s="30"/>
      <c r="Q9" s="29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30"/>
      <c r="M10" s="30"/>
      <c r="N10" s="30"/>
      <c r="O10" s="30"/>
      <c r="P10" s="30"/>
      <c r="Q10" s="29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30"/>
      <c r="M11" s="30"/>
      <c r="N11" s="30"/>
      <c r="O11" s="30"/>
      <c r="P11" s="30"/>
      <c r="Q11" s="29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30"/>
      <c r="M12" s="30"/>
      <c r="N12" s="30"/>
      <c r="O12" s="30"/>
      <c r="P12" s="30"/>
      <c r="Q12" s="29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30"/>
      <c r="M13" s="30"/>
      <c r="N13" s="30"/>
      <c r="O13" s="30"/>
      <c r="P13" s="30"/>
      <c r="Q13" s="29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30"/>
      <c r="M14" s="30"/>
      <c r="N14" s="30"/>
      <c r="O14" s="30"/>
      <c r="P14" s="30"/>
      <c r="Q14" s="29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30"/>
      <c r="M15" s="30"/>
      <c r="N15" s="30"/>
      <c r="O15" s="30"/>
      <c r="P15" s="30"/>
      <c r="Q15" s="29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30"/>
      <c r="M16" s="30"/>
      <c r="N16" s="30"/>
      <c r="O16" s="30"/>
      <c r="P16" s="30"/>
      <c r="Q16" s="29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9"/>
      <c r="M17" s="19"/>
      <c r="N17" s="19"/>
      <c r="O17" s="19"/>
      <c r="P17" s="19"/>
      <c r="Q17" s="18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7"/>
      <c r="M18" s="47"/>
      <c r="N18" s="47"/>
      <c r="O18" s="47"/>
      <c r="P18" s="47"/>
      <c r="Q18" s="46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9">
        <f t="shared" ref="L19:N19" ca="1" si="0">L20+L21</f>
        <v>1301350</v>
      </c>
      <c r="M19" s="59">
        <f t="shared" ca="1" si="0"/>
        <v>1329900</v>
      </c>
      <c r="N19" s="59">
        <f t="shared" ca="1" si="0"/>
        <v>761590.66999999993</v>
      </c>
      <c r="O19" s="59">
        <f t="shared" ref="O19:O27" ca="1" si="1">IF(L19&gt;0,N19*100/L19,0)</f>
        <v>58.523123679256159</v>
      </c>
      <c r="P19" s="59">
        <f t="shared" ref="P19:P27" ca="1" si="2">IF(M19&gt;0,N19*100/M19,0)</f>
        <v>57.266762162568611</v>
      </c>
      <c r="Q19" s="58">
        <f t="shared" ref="Q19:S19" ca="1" si="3">Q20+Q21</f>
        <v>610679</v>
      </c>
      <c r="R19" s="59">
        <f t="shared" ca="1" si="3"/>
        <v>548179</v>
      </c>
      <c r="S19" s="59">
        <f t="shared" ca="1" si="3"/>
        <v>0</v>
      </c>
      <c r="T19" s="59">
        <f t="shared" ref="T19:T27" ca="1" si="4">IF(Q19&gt;0,S19*100/Q19,0)</f>
        <v>0</v>
      </c>
      <c r="U19" s="59">
        <f t="shared" ref="U19:U27" ca="1" si="5">IF(R19&gt;0,S19*100/R19,0)</f>
        <v>0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3">
        <f t="shared" ref="L20:N21" si="6">L23+L26</f>
        <v>0</v>
      </c>
      <c r="M20" s="63">
        <f t="shared" si="6"/>
        <v>0</v>
      </c>
      <c r="N20" s="63">
        <f t="shared" si="6"/>
        <v>0</v>
      </c>
      <c r="O20" s="63">
        <f t="shared" si="1"/>
        <v>0</v>
      </c>
      <c r="P20" s="63">
        <f t="shared" si="2"/>
        <v>0</v>
      </c>
      <c r="Q20" s="62">
        <f t="shared" ref="Q20:S21" si="7">Q23+Q26</f>
        <v>0</v>
      </c>
      <c r="R20" s="63">
        <f t="shared" si="7"/>
        <v>0</v>
      </c>
      <c r="S20" s="63">
        <f t="shared" si="7"/>
        <v>0</v>
      </c>
      <c r="T20" s="63">
        <f t="shared" si="4"/>
        <v>0</v>
      </c>
      <c r="U20" s="6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5">
        <f t="shared" ca="1" si="6"/>
        <v>1301350</v>
      </c>
      <c r="M21" s="65">
        <f t="shared" ca="1" si="6"/>
        <v>1329900</v>
      </c>
      <c r="N21" s="65">
        <f t="shared" ca="1" si="6"/>
        <v>761590.66999999993</v>
      </c>
      <c r="O21" s="65">
        <f t="shared" ca="1" si="1"/>
        <v>58.523123679256159</v>
      </c>
      <c r="P21" s="65">
        <f t="shared" ca="1" si="2"/>
        <v>57.266762162568611</v>
      </c>
      <c r="Q21" s="64">
        <f t="shared" ca="1" si="7"/>
        <v>610679</v>
      </c>
      <c r="R21" s="65">
        <f t="shared" ca="1" si="7"/>
        <v>548179</v>
      </c>
      <c r="S21" s="65">
        <f t="shared" ca="1" si="7"/>
        <v>0</v>
      </c>
      <c r="T21" s="65">
        <f t="shared" ca="1" si="4"/>
        <v>0</v>
      </c>
      <c r="U21" s="65">
        <f t="shared" ca="1" si="5"/>
        <v>0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4">
        <f t="shared" ref="L22:N22" ca="1" si="8">L23+L24</f>
        <v>1301350</v>
      </c>
      <c r="M22" s="74">
        <f t="shared" ca="1" si="8"/>
        <v>1329900</v>
      </c>
      <c r="N22" s="74">
        <f t="shared" ca="1" si="8"/>
        <v>761590.66999999993</v>
      </c>
      <c r="O22" s="74">
        <f t="shared" ca="1" si="1"/>
        <v>58.523123679256159</v>
      </c>
      <c r="P22" s="74">
        <f t="shared" ca="1" si="2"/>
        <v>57.266762162568611</v>
      </c>
      <c r="Q22" s="73">
        <f t="shared" ref="Q22:S22" ca="1" si="9">Q23+Q24</f>
        <v>610679</v>
      </c>
      <c r="R22" s="74">
        <f t="shared" ca="1" si="9"/>
        <v>548179</v>
      </c>
      <c r="S22" s="74">
        <f t="shared" ca="1" si="9"/>
        <v>0</v>
      </c>
      <c r="T22" s="74">
        <f t="shared" ca="1" si="4"/>
        <v>0</v>
      </c>
      <c r="U22" s="74">
        <f t="shared" ca="1" si="5"/>
        <v>0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7">
        <f t="shared" ref="L23:N24" si="10">L49+L64+L77+L99+L130+L144+L162+L191+L178+L271+L287+L308+L325+L338+L361+L518</f>
        <v>0</v>
      </c>
      <c r="M23" s="77">
        <f t="shared" si="10"/>
        <v>0</v>
      </c>
      <c r="N23" s="77">
        <f t="shared" si="10"/>
        <v>0</v>
      </c>
      <c r="O23" s="77">
        <f t="shared" si="1"/>
        <v>0</v>
      </c>
      <c r="P23" s="77">
        <f t="shared" si="2"/>
        <v>0</v>
      </c>
      <c r="Q23" s="76">
        <f t="shared" ref="Q23:S24" si="11">Q77+Q99+Q122+Q144+Q162+Q178+Q191+Q271+Q287+Q308+Q338+Q380+Q397+Q418+Q498+Q604+Q621+Q647+Q695+Q719+Q733+Q764</f>
        <v>0</v>
      </c>
      <c r="R23" s="77">
        <f t="shared" si="11"/>
        <v>0</v>
      </c>
      <c r="S23" s="77">
        <f t="shared" si="11"/>
        <v>0</v>
      </c>
      <c r="T23" s="77">
        <f t="shared" si="4"/>
        <v>0</v>
      </c>
      <c r="U23" s="77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4">
        <f t="shared" ca="1" si="10"/>
        <v>1301350</v>
      </c>
      <c r="M24" s="74">
        <f t="shared" ca="1" si="10"/>
        <v>1329900</v>
      </c>
      <c r="N24" s="74">
        <f t="shared" ca="1" si="10"/>
        <v>761590.66999999993</v>
      </c>
      <c r="O24" s="74">
        <f t="shared" ca="1" si="1"/>
        <v>58.523123679256159</v>
      </c>
      <c r="P24" s="74">
        <f t="shared" ca="1" si="2"/>
        <v>57.266762162568611</v>
      </c>
      <c r="Q24" s="73">
        <f t="shared" ca="1" si="11"/>
        <v>610679</v>
      </c>
      <c r="R24" s="74">
        <f t="shared" ca="1" si="11"/>
        <v>548179</v>
      </c>
      <c r="S24" s="74">
        <f t="shared" ca="1" si="11"/>
        <v>0</v>
      </c>
      <c r="T24" s="74">
        <f t="shared" ca="1" si="4"/>
        <v>0</v>
      </c>
      <c r="U24" s="74">
        <f t="shared" ca="1" si="5"/>
        <v>0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4">
        <f t="shared" ref="L25:N25" ca="1" si="12">L26+L27</f>
        <v>0</v>
      </c>
      <c r="M25" s="74">
        <f t="shared" ca="1" si="12"/>
        <v>0</v>
      </c>
      <c r="N25" s="74">
        <f t="shared" ca="1" si="12"/>
        <v>0</v>
      </c>
      <c r="O25" s="74">
        <f t="shared" ca="1" si="1"/>
        <v>0</v>
      </c>
      <c r="P25" s="74">
        <f t="shared" ca="1" si="2"/>
        <v>0</v>
      </c>
      <c r="Q25" s="73">
        <f t="shared" ref="Q25:S25" si="13">Q26+Q27</f>
        <v>0</v>
      </c>
      <c r="R25" s="74">
        <f t="shared" si="13"/>
        <v>0</v>
      </c>
      <c r="S25" s="74">
        <f t="shared" si="13"/>
        <v>0</v>
      </c>
      <c r="T25" s="74">
        <f t="shared" si="4"/>
        <v>0</v>
      </c>
      <c r="U25" s="74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7">
        <f t="shared" ref="L26:N27" si="14">L52+L67+L80+L102+L133+L147+L165+L194+L181+L274+L290+L311+L328+L341+L364+L521</f>
        <v>0</v>
      </c>
      <c r="M26" s="77">
        <f t="shared" si="14"/>
        <v>0</v>
      </c>
      <c r="N26" s="77">
        <f t="shared" si="14"/>
        <v>0</v>
      </c>
      <c r="O26" s="77">
        <f t="shared" si="1"/>
        <v>0</v>
      </c>
      <c r="P26" s="77">
        <f t="shared" si="2"/>
        <v>0</v>
      </c>
      <c r="Q26" s="76">
        <f t="shared" ref="Q26:S27" si="15">Q80+Q102+Q125+Q147+Q165+Q181+Q194+Q274+Q290+Q311+Q341+Q383+Q400+Q421+Q501+Q607+Q624+Q650+Q698+Q722+Q736+Q767</f>
        <v>0</v>
      </c>
      <c r="R26" s="77">
        <f t="shared" si="15"/>
        <v>0</v>
      </c>
      <c r="S26" s="77">
        <f t="shared" si="15"/>
        <v>0</v>
      </c>
      <c r="T26" s="77">
        <f t="shared" si="4"/>
        <v>0</v>
      </c>
      <c r="U26" s="77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4">
        <f t="shared" ca="1" si="14"/>
        <v>0</v>
      </c>
      <c r="M27" s="74">
        <f t="shared" ca="1" si="14"/>
        <v>0</v>
      </c>
      <c r="N27" s="74">
        <f t="shared" ca="1" si="14"/>
        <v>0</v>
      </c>
      <c r="O27" s="74">
        <f t="shared" ca="1" si="1"/>
        <v>0</v>
      </c>
      <c r="P27" s="74">
        <f t="shared" ca="1" si="2"/>
        <v>0</v>
      </c>
      <c r="Q27" s="76">
        <f t="shared" si="15"/>
        <v>0</v>
      </c>
      <c r="R27" s="77">
        <f t="shared" si="15"/>
        <v>0</v>
      </c>
      <c r="S27" s="77">
        <f t="shared" si="15"/>
        <v>0</v>
      </c>
      <c r="T27" s="74">
        <f t="shared" si="4"/>
        <v>0</v>
      </c>
      <c r="U27" s="74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74"/>
      <c r="M28" s="74"/>
      <c r="N28" s="74"/>
      <c r="O28" s="74"/>
      <c r="P28" s="74"/>
      <c r="Q28" s="86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77"/>
      <c r="M29" s="77"/>
      <c r="N29" s="77"/>
      <c r="O29" s="77"/>
      <c r="P29" s="77"/>
      <c r="Q29" s="86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182"/>
      <c r="M30" s="182"/>
      <c r="N30" s="182"/>
      <c r="O30" s="182"/>
      <c r="P30" s="182"/>
      <c r="Q30" s="97"/>
      <c r="R30" s="98"/>
      <c r="S30" s="98"/>
      <c r="T30" s="98"/>
      <c r="U30" s="98"/>
    </row>
    <row r="31" spans="1:21" ht="12.75" hidden="1" x14ac:dyDescent="0.2">
      <c r="A31" s="1381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9"/>
      <c r="M31" s="19"/>
      <c r="N31" s="19"/>
      <c r="O31" s="19"/>
      <c r="P31" s="19"/>
      <c r="Q31" s="18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30"/>
      <c r="M32" s="30"/>
      <c r="N32" s="30"/>
      <c r="O32" s="30"/>
      <c r="P32" s="30"/>
      <c r="Q32" s="29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30"/>
      <c r="M33" s="30"/>
      <c r="N33" s="30"/>
      <c r="O33" s="30"/>
      <c r="P33" s="30"/>
      <c r="Q33" s="29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30"/>
      <c r="M34" s="30"/>
      <c r="N34" s="30"/>
      <c r="O34" s="30"/>
      <c r="P34" s="30"/>
      <c r="Q34" s="29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30"/>
      <c r="M35" s="30"/>
      <c r="N35" s="30"/>
      <c r="O35" s="30"/>
      <c r="P35" s="30"/>
      <c r="Q35" s="29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30"/>
      <c r="M36" s="30"/>
      <c r="N36" s="30"/>
      <c r="O36" s="30"/>
      <c r="P36" s="30"/>
      <c r="Q36" s="29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30"/>
      <c r="M37" s="30"/>
      <c r="N37" s="30"/>
      <c r="O37" s="30"/>
      <c r="P37" s="30"/>
      <c r="Q37" s="29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30"/>
      <c r="M38" s="30"/>
      <c r="N38" s="30"/>
      <c r="O38" s="30"/>
      <c r="P38" s="30"/>
      <c r="Q38" s="29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30"/>
      <c r="M39" s="30"/>
      <c r="N39" s="30"/>
      <c r="O39" s="30"/>
      <c r="P39" s="30"/>
      <c r="Q39" s="29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9"/>
      <c r="M40" s="19"/>
      <c r="N40" s="19"/>
      <c r="O40" s="19"/>
      <c r="P40" s="19"/>
      <c r="Q40" s="18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79">
        <f t="shared" ref="L41:N41" ca="1" si="16">L45+L60+L73+L95+L126+L140+L158+L174+L187+L267+L283+L304+L321+L334+L357</f>
        <v>1301350</v>
      </c>
      <c r="M41" s="1279">
        <f t="shared" ca="1" si="16"/>
        <v>1329900</v>
      </c>
      <c r="N41" s="1279">
        <f t="shared" ca="1" si="16"/>
        <v>761590.66999999993</v>
      </c>
      <c r="O41" s="1279">
        <f ca="1">IF(L41&gt;0,N41*100/L41,0)</f>
        <v>58.523123679256159</v>
      </c>
      <c r="P41" s="1279">
        <f ca="1">IF(M41&gt;0,N41*100/M41,0)</f>
        <v>57.266762162568611</v>
      </c>
      <c r="Q41" s="1278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1277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7"/>
      <c r="M43" s="857"/>
      <c r="N43" s="857"/>
      <c r="O43" s="857"/>
      <c r="P43" s="857"/>
      <c r="Q43" s="856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30"/>
      <c r="M44" s="30"/>
      <c r="N44" s="30"/>
      <c r="O44" s="30"/>
      <c r="P44" s="30"/>
      <c r="Q44" s="29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5">
        <f t="shared" ref="L45:N45" ca="1" si="17">L46+L47</f>
        <v>189350</v>
      </c>
      <c r="M45" s="1275">
        <f t="shared" ca="1" si="17"/>
        <v>196510</v>
      </c>
      <c r="N45" s="1275">
        <f t="shared" ca="1" si="17"/>
        <v>119660</v>
      </c>
      <c r="O45" s="1275">
        <f t="shared" ref="O45:O53" ca="1" si="18">IF(L45&gt;0,N45*100/L45,0)</f>
        <v>63.195141272775281</v>
      </c>
      <c r="P45" s="1275">
        <f t="shared" ref="P45:P53" ca="1" si="19">IF(M45&gt;0,N45*100/M45,0)</f>
        <v>60.89257544145336</v>
      </c>
      <c r="Q45" s="1276">
        <f t="shared" ref="Q45:S45" si="20">Q46+Q47</f>
        <v>0</v>
      </c>
      <c r="R45" s="1275">
        <f t="shared" si="20"/>
        <v>0</v>
      </c>
      <c r="S45" s="1275">
        <f t="shared" si="20"/>
        <v>0</v>
      </c>
      <c r="T45" s="1275">
        <f t="shared" ref="T45:T53" si="21">IF(Q45&gt;0,S45*100/Q45,0)</f>
        <v>0</v>
      </c>
      <c r="U45" s="1275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3">
        <f t="shared" ref="L46:N47" si="23">L49+L52</f>
        <v>0</v>
      </c>
      <c r="M46" s="1273">
        <f t="shared" si="23"/>
        <v>0</v>
      </c>
      <c r="N46" s="1273">
        <f t="shared" si="23"/>
        <v>0</v>
      </c>
      <c r="O46" s="1273">
        <f t="shared" si="18"/>
        <v>0</v>
      </c>
      <c r="P46" s="1273">
        <f t="shared" si="19"/>
        <v>0</v>
      </c>
      <c r="Q46" s="1274">
        <f t="shared" ref="Q46:S47" si="24">Q49+Q52</f>
        <v>0</v>
      </c>
      <c r="R46" s="1273">
        <f t="shared" si="24"/>
        <v>0</v>
      </c>
      <c r="S46" s="1273">
        <f t="shared" si="24"/>
        <v>0</v>
      </c>
      <c r="T46" s="1273">
        <f t="shared" si="21"/>
        <v>0</v>
      </c>
      <c r="U46" s="1273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1">
        <f t="shared" ca="1" si="23"/>
        <v>189350</v>
      </c>
      <c r="M47" s="1271">
        <f t="shared" ca="1" si="23"/>
        <v>196510</v>
      </c>
      <c r="N47" s="1271">
        <f t="shared" ca="1" si="23"/>
        <v>119660</v>
      </c>
      <c r="O47" s="1271">
        <f t="shared" ca="1" si="18"/>
        <v>63.195141272775281</v>
      </c>
      <c r="P47" s="1271">
        <f t="shared" ca="1" si="19"/>
        <v>60.89257544145336</v>
      </c>
      <c r="Q47" s="1272">
        <f t="shared" si="24"/>
        <v>0</v>
      </c>
      <c r="R47" s="1271">
        <f t="shared" si="24"/>
        <v>0</v>
      </c>
      <c r="S47" s="1271">
        <f t="shared" si="24"/>
        <v>0</v>
      </c>
      <c r="T47" s="1271">
        <f t="shared" si="21"/>
        <v>0</v>
      </c>
      <c r="U47" s="1271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4">
        <f t="shared" ref="L48:N48" ca="1" si="25">L49+L50</f>
        <v>189350</v>
      </c>
      <c r="M48" s="74">
        <f t="shared" ca="1" si="25"/>
        <v>196510</v>
      </c>
      <c r="N48" s="74">
        <f t="shared" ca="1" si="25"/>
        <v>119660</v>
      </c>
      <c r="O48" s="74">
        <f t="shared" ca="1" si="18"/>
        <v>63.195141272775281</v>
      </c>
      <c r="P48" s="74">
        <f t="shared" ca="1" si="19"/>
        <v>60.89257544145336</v>
      </c>
      <c r="Q48" s="73">
        <f t="shared" ref="Q48:S48" si="26">Q49+Q50</f>
        <v>0</v>
      </c>
      <c r="R48" s="74">
        <f t="shared" si="26"/>
        <v>0</v>
      </c>
      <c r="S48" s="74">
        <f t="shared" si="26"/>
        <v>0</v>
      </c>
      <c r="T48" s="74">
        <f t="shared" si="21"/>
        <v>0</v>
      </c>
      <c r="U48" s="74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7">
        <v>0</v>
      </c>
      <c r="M49" s="77">
        <v>0</v>
      </c>
      <c r="N49" s="77">
        <v>0</v>
      </c>
      <c r="O49" s="77">
        <f t="shared" si="18"/>
        <v>0</v>
      </c>
      <c r="P49" s="77">
        <f t="shared" si="19"/>
        <v>0</v>
      </c>
      <c r="Q49" s="76">
        <v>0</v>
      </c>
      <c r="R49" s="77">
        <v>0</v>
      </c>
      <c r="S49" s="77">
        <v>0</v>
      </c>
      <c r="T49" s="77">
        <f t="shared" si="21"/>
        <v>0</v>
      </c>
      <c r="U49" s="77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4">
        <f ca="1">IFERROR(__xludf.DUMMYFUNCTION("IMPORTRANGE(""https://docs.google.com/spreadsheets/d/1-uDff_7J0KD5mKrp0Vvzr7lt3OU09vwQwhkpOPPYv2Y/edit?usp=sharing"",""งบพรบ!P58"")"),189350)</f>
        <v>189350</v>
      </c>
      <c r="M50" s="74">
        <f ca="1">IFERROR(__xludf.DUMMYFUNCTION("IMPORTRANGE(""https://docs.google.com/spreadsheets/d/1-uDff_7J0KD5mKrp0Vvzr7lt3OU09vwQwhkpOPPYv2Y/edit?usp=sharing"",""งบพรบ!V58"")"),196510)</f>
        <v>196510</v>
      </c>
      <c r="N50" s="74">
        <f ca="1">IFERROR(__xludf.DUMMYFUNCTION("IMPORTRANGE(""https://docs.google.com/spreadsheets/d/1-uDff_7J0KD5mKrp0Vvzr7lt3OU09vwQwhkpOPPYv2Y/edit?usp=sharing"",""งบพรบ!Y58"")"),119660)</f>
        <v>119660</v>
      </c>
      <c r="O50" s="74">
        <f t="shared" ca="1" si="18"/>
        <v>63.195141272775281</v>
      </c>
      <c r="P50" s="74">
        <f t="shared" ca="1" si="19"/>
        <v>60.89257544145336</v>
      </c>
      <c r="Q50" s="73">
        <v>0</v>
      </c>
      <c r="R50" s="74">
        <v>0</v>
      </c>
      <c r="S50" s="74">
        <v>0</v>
      </c>
      <c r="T50" s="74">
        <f t="shared" si="21"/>
        <v>0</v>
      </c>
      <c r="U50" s="74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4">
        <f t="shared" ref="L51:N51" ca="1" si="27">L52+L53</f>
        <v>0</v>
      </c>
      <c r="M51" s="74">
        <f t="shared" ca="1" si="27"/>
        <v>0</v>
      </c>
      <c r="N51" s="74">
        <f t="shared" ca="1" si="27"/>
        <v>0</v>
      </c>
      <c r="O51" s="74">
        <f t="shared" ca="1" si="18"/>
        <v>0</v>
      </c>
      <c r="P51" s="74">
        <f t="shared" ca="1" si="19"/>
        <v>0</v>
      </c>
      <c r="Q51" s="73">
        <f t="shared" ref="Q51:S51" si="28">Q52+Q53</f>
        <v>0</v>
      </c>
      <c r="R51" s="74">
        <f t="shared" si="28"/>
        <v>0</v>
      </c>
      <c r="S51" s="74">
        <f t="shared" si="28"/>
        <v>0</v>
      </c>
      <c r="T51" s="74">
        <f t="shared" si="21"/>
        <v>0</v>
      </c>
      <c r="U51" s="74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7">
        <v>0</v>
      </c>
      <c r="M52" s="77">
        <v>0</v>
      </c>
      <c r="N52" s="77">
        <v>0</v>
      </c>
      <c r="O52" s="77">
        <f t="shared" si="18"/>
        <v>0</v>
      </c>
      <c r="P52" s="77">
        <f t="shared" si="19"/>
        <v>0</v>
      </c>
      <c r="Q52" s="76">
        <v>0</v>
      </c>
      <c r="R52" s="77">
        <v>0</v>
      </c>
      <c r="S52" s="77">
        <v>0</v>
      </c>
      <c r="T52" s="77">
        <f t="shared" si="21"/>
        <v>0</v>
      </c>
      <c r="U52" s="77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4">
        <f ca="1">IFERROR(__xludf.DUMMYFUNCTION("IMPORTRANGE(""https://docs.google.com/spreadsheets/d/1-uDff_7J0KD5mKrp0Vvzr7lt3OU09vwQwhkpOPPYv2Y/edit?usp=sharing"",""งบพรบ!S58"")"),0)</f>
        <v>0</v>
      </c>
      <c r="M53" s="74">
        <f ca="1">IFERROR(__xludf.DUMMYFUNCTION("IMPORTRANGE(""https://docs.google.com/spreadsheets/d/1-uDff_7J0KD5mKrp0Vvzr7lt3OU09vwQwhkpOPPYv2Y/edit?usp=sharing"",""งบพรบ!W58"")"),0)</f>
        <v>0</v>
      </c>
      <c r="N53" s="74">
        <f ca="1">IFERROR(__xludf.DUMMYFUNCTION("IMPORTRANGE(""https://docs.google.com/spreadsheets/d/1-uDff_7J0KD5mKrp0Vvzr7lt3OU09vwQwhkpOPPYv2Y/edit?usp=sharing"",""งบพรบ!Z58"")"),0)</f>
        <v>0</v>
      </c>
      <c r="O53" s="74">
        <f t="shared" ca="1" si="18"/>
        <v>0</v>
      </c>
      <c r="P53" s="74">
        <f t="shared" ca="1" si="19"/>
        <v>0</v>
      </c>
      <c r="Q53" s="73">
        <v>0</v>
      </c>
      <c r="R53" s="74">
        <v>0</v>
      </c>
      <c r="S53" s="74">
        <v>0</v>
      </c>
      <c r="T53" s="74">
        <f t="shared" si="21"/>
        <v>0</v>
      </c>
      <c r="U53" s="74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74"/>
      <c r="M54" s="74"/>
      <c r="N54" s="74"/>
      <c r="O54" s="74"/>
      <c r="P54" s="74"/>
      <c r="Q54" s="86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77"/>
      <c r="M55" s="77"/>
      <c r="N55" s="77"/>
      <c r="O55" s="77"/>
      <c r="P55" s="77"/>
      <c r="Q55" s="86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182"/>
      <c r="M56" s="182"/>
      <c r="N56" s="182"/>
      <c r="O56" s="182"/>
      <c r="P56" s="182"/>
      <c r="Q56" s="97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1270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7"/>
      <c r="M58" s="147"/>
      <c r="N58" s="147"/>
      <c r="O58" s="147"/>
      <c r="P58" s="147"/>
      <c r="Q58" s="146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5"/>
      <c r="M59" s="155"/>
      <c r="N59" s="155"/>
      <c r="O59" s="155"/>
      <c r="P59" s="155"/>
      <c r="Q59" s="154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8">
        <f t="shared" ref="L60:N60" ca="1" si="29">L61+L62</f>
        <v>429400</v>
      </c>
      <c r="M60" s="1268">
        <f t="shared" ca="1" si="29"/>
        <v>429400</v>
      </c>
      <c r="N60" s="1268">
        <f t="shared" ca="1" si="29"/>
        <v>310638.67</v>
      </c>
      <c r="O60" s="1268">
        <f t="shared" ref="O60:O68" ca="1" si="30">IF(L60&gt;0,N60*100/L60,0)</f>
        <v>72.342494177922688</v>
      </c>
      <c r="P60" s="1268">
        <f t="shared" ref="P60:P68" ca="1" si="31">IF(M60&gt;0,N60*100/M60,0)</f>
        <v>72.342494177922688</v>
      </c>
      <c r="Q60" s="1269">
        <f t="shared" ref="Q60:S60" si="32">Q61+Q62</f>
        <v>0</v>
      </c>
      <c r="R60" s="1268">
        <f t="shared" si="32"/>
        <v>0</v>
      </c>
      <c r="S60" s="1268">
        <f t="shared" si="32"/>
        <v>0</v>
      </c>
      <c r="T60" s="1268">
        <f t="shared" ref="T60:T68" si="33">IF(Q60&gt;0,S60*100/Q60,0)</f>
        <v>0</v>
      </c>
      <c r="U60" s="1268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6">
        <f t="shared" ref="L61:N62" si="35">L64+L67</f>
        <v>0</v>
      </c>
      <c r="M61" s="1266">
        <f t="shared" si="35"/>
        <v>0</v>
      </c>
      <c r="N61" s="1266">
        <f t="shared" si="35"/>
        <v>0</v>
      </c>
      <c r="O61" s="1266">
        <f t="shared" si="30"/>
        <v>0</v>
      </c>
      <c r="P61" s="1266">
        <f t="shared" si="31"/>
        <v>0</v>
      </c>
      <c r="Q61" s="1267">
        <f t="shared" ref="Q61:S62" si="36">Q64+Q67</f>
        <v>0</v>
      </c>
      <c r="R61" s="1266">
        <f t="shared" si="36"/>
        <v>0</v>
      </c>
      <c r="S61" s="1266">
        <f t="shared" si="36"/>
        <v>0</v>
      </c>
      <c r="T61" s="1266">
        <f t="shared" si="33"/>
        <v>0</v>
      </c>
      <c r="U61" s="1266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4">
        <f t="shared" ca="1" si="35"/>
        <v>429400</v>
      </c>
      <c r="M62" s="1264">
        <f t="shared" ca="1" si="35"/>
        <v>429400</v>
      </c>
      <c r="N62" s="1264">
        <f t="shared" ca="1" si="35"/>
        <v>310638.67</v>
      </c>
      <c r="O62" s="1264">
        <f t="shared" ca="1" si="30"/>
        <v>72.342494177922688</v>
      </c>
      <c r="P62" s="1264">
        <f t="shared" ca="1" si="31"/>
        <v>72.342494177922688</v>
      </c>
      <c r="Q62" s="1265">
        <f t="shared" si="36"/>
        <v>0</v>
      </c>
      <c r="R62" s="1264">
        <f t="shared" si="36"/>
        <v>0</v>
      </c>
      <c r="S62" s="1264">
        <f t="shared" si="36"/>
        <v>0</v>
      </c>
      <c r="T62" s="1264">
        <f t="shared" si="33"/>
        <v>0</v>
      </c>
      <c r="U62" s="1264">
        <f t="shared" si="34"/>
        <v>0</v>
      </c>
    </row>
    <row r="63" spans="1:21" ht="18.75" x14ac:dyDescent="0.25">
      <c r="A63" s="550"/>
      <c r="B63" s="269"/>
      <c r="C63" s="269"/>
      <c r="D63" s="967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4">
        <f t="shared" ref="L63:N63" ca="1" si="37">L64+L65</f>
        <v>429400</v>
      </c>
      <c r="M63" s="74">
        <f t="shared" ca="1" si="37"/>
        <v>429400</v>
      </c>
      <c r="N63" s="74">
        <f t="shared" ca="1" si="37"/>
        <v>310638.67</v>
      </c>
      <c r="O63" s="74">
        <f t="shared" ca="1" si="30"/>
        <v>72.342494177922688</v>
      </c>
      <c r="P63" s="74">
        <f t="shared" ca="1" si="31"/>
        <v>72.342494177922688</v>
      </c>
      <c r="Q63" s="73">
        <f t="shared" ref="Q63:S63" si="38">Q64+Q65</f>
        <v>0</v>
      </c>
      <c r="R63" s="74">
        <f t="shared" si="38"/>
        <v>0</v>
      </c>
      <c r="S63" s="74">
        <f t="shared" si="38"/>
        <v>0</v>
      </c>
      <c r="T63" s="74">
        <f t="shared" si="33"/>
        <v>0</v>
      </c>
      <c r="U63" s="74">
        <f t="shared" si="34"/>
        <v>0</v>
      </c>
    </row>
    <row r="64" spans="1:21" ht="18.75" hidden="1" x14ac:dyDescent="0.25">
      <c r="A64" s="550"/>
      <c r="B64" s="258"/>
      <c r="C64" s="269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7">
        <v>0</v>
      </c>
      <c r="M64" s="77">
        <v>0</v>
      </c>
      <c r="N64" s="77">
        <v>0</v>
      </c>
      <c r="O64" s="77">
        <f t="shared" si="30"/>
        <v>0</v>
      </c>
      <c r="P64" s="77">
        <f t="shared" si="31"/>
        <v>0</v>
      </c>
      <c r="Q64" s="76">
        <v>0</v>
      </c>
      <c r="R64" s="77">
        <v>0</v>
      </c>
      <c r="S64" s="77">
        <v>0</v>
      </c>
      <c r="T64" s="77">
        <f t="shared" si="33"/>
        <v>0</v>
      </c>
      <c r="U64" s="77">
        <f t="shared" si="34"/>
        <v>0</v>
      </c>
    </row>
    <row r="65" spans="1:21" ht="18.75" hidden="1" x14ac:dyDescent="0.25">
      <c r="A65" s="257"/>
      <c r="B65" s="258"/>
      <c r="C65" s="258"/>
      <c r="D65" s="269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4">
        <f ca="1">IFERROR(__xludf.DUMMYFUNCTION("IMPORTRANGE(""https://docs.google.com/spreadsheets/d/1-uDff_7J0KD5mKrp0Vvzr7lt3OU09vwQwhkpOPPYv2Y/edit?usp=sharing"",""งบพรบ!AC58"")"),429400)</f>
        <v>429400</v>
      </c>
      <c r="M65" s="74">
        <f ca="1">IFERROR(__xludf.DUMMYFUNCTION("IMPORTRANGE(""https://docs.google.com/spreadsheets/d/1-uDff_7J0KD5mKrp0Vvzr7lt3OU09vwQwhkpOPPYv2Y/edit?usp=sharing"",""งบพรบ!AH58"")"),429400)</f>
        <v>429400</v>
      </c>
      <c r="N65" s="74">
        <f ca="1">IFERROR(__xludf.DUMMYFUNCTION("IMPORTRANGE(""https://docs.google.com/spreadsheets/d/1-uDff_7J0KD5mKrp0Vvzr7lt3OU09vwQwhkpOPPYv2Y/edit?usp=sharing"",""งบพรบ!AJ58"")"),310638.67)</f>
        <v>310638.67</v>
      </c>
      <c r="O65" s="74">
        <f t="shared" ca="1" si="30"/>
        <v>72.342494177922688</v>
      </c>
      <c r="P65" s="74">
        <f t="shared" ca="1" si="31"/>
        <v>72.342494177922688</v>
      </c>
      <c r="Q65" s="73">
        <v>0</v>
      </c>
      <c r="R65" s="74">
        <v>0</v>
      </c>
      <c r="S65" s="74">
        <v>0</v>
      </c>
      <c r="T65" s="74">
        <f t="shared" si="33"/>
        <v>0</v>
      </c>
      <c r="U65" s="74">
        <f t="shared" si="34"/>
        <v>0</v>
      </c>
    </row>
    <row r="66" spans="1:21" ht="18.75" x14ac:dyDescent="0.25">
      <c r="A66" s="257"/>
      <c r="B66" s="258"/>
      <c r="C66" s="258"/>
      <c r="D66" s="967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4">
        <f t="shared" ref="L66:N66" ca="1" si="39">L67+L68</f>
        <v>0</v>
      </c>
      <c r="M66" s="74">
        <f t="shared" ca="1" si="39"/>
        <v>0</v>
      </c>
      <c r="N66" s="74">
        <f t="shared" ca="1" si="39"/>
        <v>0</v>
      </c>
      <c r="O66" s="74">
        <f t="shared" ca="1" si="30"/>
        <v>0</v>
      </c>
      <c r="P66" s="74">
        <f t="shared" ca="1" si="31"/>
        <v>0</v>
      </c>
      <c r="Q66" s="73">
        <f t="shared" ref="Q66:S66" si="40">Q67+Q68</f>
        <v>0</v>
      </c>
      <c r="R66" s="74">
        <f t="shared" si="40"/>
        <v>0</v>
      </c>
      <c r="S66" s="74">
        <f t="shared" si="40"/>
        <v>0</v>
      </c>
      <c r="T66" s="74">
        <f t="shared" si="33"/>
        <v>0</v>
      </c>
      <c r="U66" s="74">
        <f t="shared" si="34"/>
        <v>0</v>
      </c>
    </row>
    <row r="67" spans="1:21" ht="18.75" hidden="1" x14ac:dyDescent="0.25">
      <c r="A67" s="257"/>
      <c r="B67" s="258"/>
      <c r="C67" s="258"/>
      <c r="D67" s="258"/>
      <c r="E67" s="265" t="s">
        <v>20</v>
      </c>
      <c r="F67" s="258"/>
      <c r="G67" s="261"/>
      <c r="H67" s="266" t="s">
        <v>14</v>
      </c>
      <c r="I67" s="263"/>
      <c r="J67" s="263"/>
      <c r="K67" s="87"/>
      <c r="L67" s="77">
        <v>0</v>
      </c>
      <c r="M67" s="77">
        <v>0</v>
      </c>
      <c r="N67" s="77">
        <v>0</v>
      </c>
      <c r="O67" s="77">
        <f t="shared" si="30"/>
        <v>0</v>
      </c>
      <c r="P67" s="77">
        <f t="shared" si="31"/>
        <v>0</v>
      </c>
      <c r="Q67" s="76">
        <v>0</v>
      </c>
      <c r="R67" s="77">
        <v>0</v>
      </c>
      <c r="S67" s="77">
        <v>0</v>
      </c>
      <c r="T67" s="77">
        <f t="shared" si="33"/>
        <v>0</v>
      </c>
      <c r="U67" s="77">
        <f t="shared" si="34"/>
        <v>0</v>
      </c>
    </row>
    <row r="68" spans="1:21" ht="18.75" hidden="1" x14ac:dyDescent="0.25">
      <c r="A68" s="1094"/>
      <c r="B68" s="636"/>
      <c r="C68" s="636"/>
      <c r="D68" s="636"/>
      <c r="E68" s="849" t="s">
        <v>21</v>
      </c>
      <c r="F68" s="636"/>
      <c r="G68" s="637"/>
      <c r="H68" s="630" t="s">
        <v>14</v>
      </c>
      <c r="I68" s="631"/>
      <c r="J68" s="631"/>
      <c r="K68" s="98"/>
      <c r="L68" s="182">
        <f ca="1">IFERROR(__xludf.DUMMYFUNCTION("IMPORTRANGE(""https://docs.google.com/spreadsheets/d/1-uDff_7J0KD5mKrp0Vvzr7lt3OU09vwQwhkpOPPYv2Y/edit?usp=sharing"",""งบพรบ!AF58"")"),0)</f>
        <v>0</v>
      </c>
      <c r="M68" s="182">
        <f ca="1">IFERROR(__xludf.DUMMYFUNCTION("IMPORTRANGE(""https://docs.google.com/spreadsheets/d/1-uDff_7J0KD5mKrp0Vvzr7lt3OU09vwQwhkpOPPYv2Y/edit?usp=sharing"",""งบพรบ!AI58"")"),0)</f>
        <v>0</v>
      </c>
      <c r="N68" s="182">
        <f ca="1">IFERROR(__xludf.DUMMYFUNCTION("IMPORTRANGE(""https://docs.google.com/spreadsheets/d/1-uDff_7J0KD5mKrp0Vvzr7lt3OU09vwQwhkpOPPYv2Y/edit?usp=sharing"",""งบพรบ!AK58"")"),0)</f>
        <v>0</v>
      </c>
      <c r="O68" s="182">
        <f t="shared" ca="1" si="30"/>
        <v>0</v>
      </c>
      <c r="P68" s="182">
        <f t="shared" ca="1" si="31"/>
        <v>0</v>
      </c>
      <c r="Q68" s="181">
        <v>0</v>
      </c>
      <c r="R68" s="182">
        <v>0</v>
      </c>
      <c r="S68" s="182">
        <v>0</v>
      </c>
      <c r="T68" s="182">
        <f t="shared" si="33"/>
        <v>0</v>
      </c>
      <c r="U68" s="182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6"/>
      <c r="I69" s="1098"/>
      <c r="J69" s="1098"/>
      <c r="K69" s="191"/>
      <c r="L69" s="191"/>
      <c r="M69" s="191"/>
      <c r="N69" s="191"/>
      <c r="O69" s="191"/>
      <c r="P69" s="192"/>
      <c r="Q69" s="190"/>
      <c r="R69" s="191"/>
      <c r="S69" s="191"/>
      <c r="T69" s="191"/>
      <c r="U69" s="192"/>
    </row>
    <row r="70" spans="1:21" ht="19.5" hidden="1" x14ac:dyDescent="0.3">
      <c r="A70" s="1099" t="s">
        <v>32</v>
      </c>
      <c r="B70" s="691"/>
      <c r="C70" s="693"/>
      <c r="D70" s="691"/>
      <c r="E70" s="691"/>
      <c r="F70" s="691"/>
      <c r="G70" s="1100"/>
      <c r="H70" s="1101"/>
      <c r="I70" s="1102"/>
      <c r="J70" s="1102"/>
      <c r="K70" s="200"/>
      <c r="L70" s="200"/>
      <c r="M70" s="200"/>
      <c r="N70" s="200"/>
      <c r="O70" s="200"/>
      <c r="P70" s="200"/>
      <c r="Q70" s="199"/>
      <c r="R70" s="200"/>
      <c r="S70" s="200"/>
      <c r="T70" s="200"/>
      <c r="U70" s="200"/>
    </row>
    <row r="71" spans="1:21" ht="39" hidden="1" x14ac:dyDescent="0.3">
      <c r="A71" s="250"/>
      <c r="B71" s="251" t="s">
        <v>33</v>
      </c>
      <c r="C71" s="252"/>
      <c r="D71" s="253"/>
      <c r="E71" s="252"/>
      <c r="F71" s="252"/>
      <c r="G71" s="254"/>
      <c r="H71" s="255" t="s">
        <v>34</v>
      </c>
      <c r="I71" s="256">
        <f t="shared" ref="I71:J72" ca="1" si="41">I83</f>
        <v>0</v>
      </c>
      <c r="J71" s="256">
        <f t="shared" si="41"/>
        <v>0</v>
      </c>
      <c r="K71" s="59">
        <f t="shared" ref="K71:K72" ca="1" si="42">IF(I71&gt;0,J71*100/I71,0)</f>
        <v>0</v>
      </c>
      <c r="L71" s="208"/>
      <c r="M71" s="208"/>
      <c r="N71" s="208"/>
      <c r="O71" s="208"/>
      <c r="P71" s="208"/>
      <c r="Q71" s="207"/>
      <c r="R71" s="208"/>
      <c r="S71" s="208"/>
      <c r="T71" s="208"/>
      <c r="U71" s="208"/>
    </row>
    <row r="72" spans="1:21" ht="19.5" hidden="1" x14ac:dyDescent="0.3">
      <c r="A72" s="250"/>
      <c r="B72" s="252"/>
      <c r="C72" s="252"/>
      <c r="D72" s="253"/>
      <c r="E72" s="252"/>
      <c r="F72" s="252"/>
      <c r="G72" s="254"/>
      <c r="H72" s="255" t="s">
        <v>35</v>
      </c>
      <c r="I72" s="256">
        <f t="shared" ca="1" si="41"/>
        <v>0</v>
      </c>
      <c r="J72" s="256">
        <f t="shared" si="41"/>
        <v>0</v>
      </c>
      <c r="K72" s="59">
        <f t="shared" ca="1" si="42"/>
        <v>0</v>
      </c>
      <c r="L72" s="208"/>
      <c r="M72" s="208"/>
      <c r="N72" s="208"/>
      <c r="O72" s="208"/>
      <c r="P72" s="208"/>
      <c r="Q72" s="207"/>
      <c r="R72" s="208"/>
      <c r="S72" s="208"/>
      <c r="T72" s="208"/>
      <c r="U72" s="208"/>
    </row>
    <row r="73" spans="1:21" ht="19.5" hidden="1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264">
        <f t="shared" ref="L73:N73" ca="1" si="43">L74+L75</f>
        <v>0</v>
      </c>
      <c r="M73" s="264">
        <f t="shared" ca="1" si="43"/>
        <v>0</v>
      </c>
      <c r="N73" s="264">
        <f t="shared" ca="1" si="43"/>
        <v>0</v>
      </c>
      <c r="O73" s="264">
        <f t="shared" ref="O73:O81" ca="1" si="44">IF(L73&gt;0,N73*100/L73,0)</f>
        <v>0</v>
      </c>
      <c r="P73" s="264">
        <f t="shared" ref="P73:P81" ca="1" si="45">IF(M73&gt;0,N73*100/M73,0)</f>
        <v>0</v>
      </c>
      <c r="Q73" s="1257">
        <f t="shared" ref="Q73:S73" ca="1" si="46">Q74+Q75</f>
        <v>0</v>
      </c>
      <c r="R73" s="264">
        <f t="shared" ca="1" si="46"/>
        <v>0</v>
      </c>
      <c r="S73" s="264">
        <f t="shared" ca="1" si="46"/>
        <v>0</v>
      </c>
      <c r="T73" s="264">
        <f t="shared" ref="T73:T81" ca="1" si="47">IF(Q73&gt;0,S73*100/Q73,0)</f>
        <v>0</v>
      </c>
      <c r="U73" s="264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7">
        <f t="shared" ref="L74:N75" si="49">L77+L80</f>
        <v>0</v>
      </c>
      <c r="M74" s="77">
        <f t="shared" si="49"/>
        <v>0</v>
      </c>
      <c r="N74" s="77">
        <f t="shared" si="49"/>
        <v>0</v>
      </c>
      <c r="O74" s="77">
        <f t="shared" si="44"/>
        <v>0</v>
      </c>
      <c r="P74" s="77">
        <f t="shared" si="45"/>
        <v>0</v>
      </c>
      <c r="Q74" s="76">
        <f t="shared" ref="Q74:S75" si="50">Q77+Q80</f>
        <v>0</v>
      </c>
      <c r="R74" s="77">
        <f t="shared" si="50"/>
        <v>0</v>
      </c>
      <c r="S74" s="77">
        <f t="shared" si="50"/>
        <v>0</v>
      </c>
      <c r="T74" s="77">
        <f t="shared" si="47"/>
        <v>0</v>
      </c>
      <c r="U74" s="77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4">
        <f t="shared" ca="1" si="49"/>
        <v>0</v>
      </c>
      <c r="M75" s="74">
        <f t="shared" ca="1" si="49"/>
        <v>0</v>
      </c>
      <c r="N75" s="74">
        <f t="shared" ca="1" si="49"/>
        <v>0</v>
      </c>
      <c r="O75" s="74">
        <f t="shared" ca="1" si="44"/>
        <v>0</v>
      </c>
      <c r="P75" s="74">
        <f t="shared" ca="1" si="45"/>
        <v>0</v>
      </c>
      <c r="Q75" s="73">
        <f t="shared" ca="1" si="50"/>
        <v>0</v>
      </c>
      <c r="R75" s="74">
        <f t="shared" ca="1" si="50"/>
        <v>0</v>
      </c>
      <c r="S75" s="74">
        <f t="shared" ca="1" si="50"/>
        <v>0</v>
      </c>
      <c r="T75" s="74">
        <f t="shared" ca="1" si="47"/>
        <v>0</v>
      </c>
      <c r="U75" s="74">
        <f t="shared" ca="1" si="48"/>
        <v>0</v>
      </c>
    </row>
    <row r="76" spans="1:21" ht="18.75" hidden="1" x14ac:dyDescent="0.25">
      <c r="A76" s="257"/>
      <c r="B76" s="269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4">
        <f t="shared" ref="L76:N76" ca="1" si="51">L77+L78</f>
        <v>0</v>
      </c>
      <c r="M76" s="74">
        <f t="shared" ca="1" si="51"/>
        <v>0</v>
      </c>
      <c r="N76" s="74">
        <f t="shared" ca="1" si="51"/>
        <v>0</v>
      </c>
      <c r="O76" s="74">
        <f t="shared" ca="1" si="44"/>
        <v>0</v>
      </c>
      <c r="P76" s="74">
        <f t="shared" ca="1" si="45"/>
        <v>0</v>
      </c>
      <c r="Q76" s="73">
        <f t="shared" ref="Q76:S76" ca="1" si="52">Q77+Q78</f>
        <v>0</v>
      </c>
      <c r="R76" s="74">
        <f t="shared" ca="1" si="52"/>
        <v>0</v>
      </c>
      <c r="S76" s="74">
        <f t="shared" ca="1" si="52"/>
        <v>0</v>
      </c>
      <c r="T76" s="74">
        <f t="shared" ca="1" si="47"/>
        <v>0</v>
      </c>
      <c r="U76" s="74">
        <f t="shared" ca="1" si="48"/>
        <v>0</v>
      </c>
    </row>
    <row r="77" spans="1:21" ht="18.75" hidden="1" x14ac:dyDescent="0.25">
      <c r="A77" s="257"/>
      <c r="B77" s="269"/>
      <c r="C77" s="269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7">
        <v>0</v>
      </c>
      <c r="M77" s="77">
        <v>0</v>
      </c>
      <c r="N77" s="77">
        <v>0</v>
      </c>
      <c r="O77" s="77">
        <f t="shared" si="44"/>
        <v>0</v>
      </c>
      <c r="P77" s="77">
        <f t="shared" si="45"/>
        <v>0</v>
      </c>
      <c r="Q77" s="76">
        <v>0</v>
      </c>
      <c r="R77" s="77">
        <v>0</v>
      </c>
      <c r="S77" s="77">
        <v>0</v>
      </c>
      <c r="T77" s="77">
        <f t="shared" si="47"/>
        <v>0</v>
      </c>
      <c r="U77" s="77">
        <f t="shared" si="48"/>
        <v>0</v>
      </c>
    </row>
    <row r="78" spans="1:21" ht="18.75" hidden="1" x14ac:dyDescent="0.25">
      <c r="A78" s="257"/>
      <c r="B78" s="269"/>
      <c r="C78" s="269"/>
      <c r="D78" s="269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4">
        <f ca="1">IFERROR(__xludf.DUMMYFUNCTION("IMPORTRANGE(""https://docs.google.com/spreadsheets/d/1-uDff_7J0KD5mKrp0Vvzr7lt3OU09vwQwhkpOPPYv2Y/edit?usp=sharing"",""งบพรบ!AM58"")"),0)</f>
        <v>0</v>
      </c>
      <c r="M78" s="74">
        <f ca="1">IFERROR(__xludf.DUMMYFUNCTION("IMPORTRANGE(""https://docs.google.com/spreadsheets/d/1-uDff_7J0KD5mKrp0Vvzr7lt3OU09vwQwhkpOPPYv2Y/edit?usp=sharing"",""งบพรบ!AR58"")"),0)</f>
        <v>0</v>
      </c>
      <c r="N78" s="74">
        <f ca="1">IFERROR(__xludf.DUMMYFUNCTION("IMPORTRANGE(""https://docs.google.com/spreadsheets/d/1-uDff_7J0KD5mKrp0Vvzr7lt3OU09vwQwhkpOPPYv2Y/edit?usp=sharing"",""งบพรบ!AT58"")"),0)</f>
        <v>0</v>
      </c>
      <c r="O78" s="74">
        <f t="shared" ca="1" si="44"/>
        <v>0</v>
      </c>
      <c r="P78" s="74">
        <f t="shared" ca="1" si="45"/>
        <v>0</v>
      </c>
      <c r="Q78" s="73">
        <f ca="1">IFERROR(__xludf.DUMMYFUNCTION("IMPORTRANGE(""https://docs.google.com/spreadsheets/d/1ItG2mGa2ceCfYo0BwxsXqNm01IGEUdYcSSLTEv9YCik/edit?usp=sharing"",""เบิกจ่ายกองทุน!AS58"")"),0)</f>
        <v>0</v>
      </c>
      <c r="R78" s="74">
        <f ca="1">IFERROR(__xludf.DUMMYFUNCTION("IMPORTRANGE(""https://docs.google.com/spreadsheets/d/1ItG2mGa2ceCfYo0BwxsXqNm01IGEUdYcSSLTEv9YCik/edit?usp=sharing"",""เบิกจ่ายกองทุน!AT58"")"),0)</f>
        <v>0</v>
      </c>
      <c r="S78" s="74">
        <f ca="1">IFERROR(__xludf.DUMMYFUNCTION("IMPORTRANGE(""https://docs.google.com/spreadsheets/d/1ItG2mGa2ceCfYo0BwxsXqNm01IGEUdYcSSLTEv9YCik/edit?usp=sharing"",""เบิกจ่ายกองทุน!AU58"")"),0)</f>
        <v>0</v>
      </c>
      <c r="T78" s="74">
        <f t="shared" ca="1" si="47"/>
        <v>0</v>
      </c>
      <c r="U78" s="74">
        <f t="shared" ca="1" si="48"/>
        <v>0</v>
      </c>
    </row>
    <row r="79" spans="1:21" ht="18.75" hidden="1" x14ac:dyDescent="0.25">
      <c r="A79" s="257"/>
      <c r="B79" s="269"/>
      <c r="C79" s="269"/>
      <c r="D79" s="967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4">
        <f t="shared" ref="L79:N79" ca="1" si="53">L80+L81</f>
        <v>0</v>
      </c>
      <c r="M79" s="74">
        <f t="shared" ca="1" si="53"/>
        <v>0</v>
      </c>
      <c r="N79" s="74">
        <f t="shared" ca="1" si="53"/>
        <v>0</v>
      </c>
      <c r="O79" s="74">
        <f t="shared" ca="1" si="44"/>
        <v>0</v>
      </c>
      <c r="P79" s="74">
        <f t="shared" ca="1" si="45"/>
        <v>0</v>
      </c>
      <c r="Q79" s="73">
        <f t="shared" ref="Q79:S79" si="54">Q80+Q81</f>
        <v>0</v>
      </c>
      <c r="R79" s="74">
        <f t="shared" si="54"/>
        <v>0</v>
      </c>
      <c r="S79" s="74">
        <f t="shared" si="54"/>
        <v>0</v>
      </c>
      <c r="T79" s="74">
        <f t="shared" si="47"/>
        <v>0</v>
      </c>
      <c r="U79" s="74">
        <f t="shared" si="48"/>
        <v>0</v>
      </c>
    </row>
    <row r="80" spans="1:21" ht="18.75" hidden="1" x14ac:dyDescent="0.25">
      <c r="A80" s="257"/>
      <c r="B80" s="269"/>
      <c r="C80" s="269"/>
      <c r="D80" s="269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7">
        <v>0</v>
      </c>
      <c r="M80" s="87"/>
      <c r="N80" s="87"/>
      <c r="O80" s="77">
        <f t="shared" si="44"/>
        <v>0</v>
      </c>
      <c r="P80" s="77">
        <f t="shared" si="45"/>
        <v>0</v>
      </c>
      <c r="Q80" s="76">
        <v>0</v>
      </c>
      <c r="R80" s="74">
        <v>0</v>
      </c>
      <c r="S80" s="74">
        <v>0</v>
      </c>
      <c r="T80" s="77">
        <f t="shared" si="47"/>
        <v>0</v>
      </c>
      <c r="U80" s="77">
        <f t="shared" si="48"/>
        <v>0</v>
      </c>
    </row>
    <row r="81" spans="1:21" ht="18.75" hidden="1" x14ac:dyDescent="0.25">
      <c r="A81" s="257"/>
      <c r="B81" s="269"/>
      <c r="C81" s="269"/>
      <c r="D81" s="269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4">
        <f ca="1">IFERROR(__xludf.DUMMYFUNCTION("IMPORTRANGE(""https://docs.google.com/spreadsheets/d/1-uDff_7J0KD5mKrp0Vvzr7lt3OU09vwQwhkpOPPYv2Y/edit?usp=sharing"",""งบพรบ!AP58"")"),0)</f>
        <v>0</v>
      </c>
      <c r="M81" s="74">
        <f ca="1">IFERROR(__xludf.DUMMYFUNCTION("IMPORTRANGE(""https://docs.google.com/spreadsheets/d/1-uDff_7J0KD5mKrp0Vvzr7lt3OU09vwQwhkpOPPYv2Y/edit?usp=sharing"",""งบพรบ!AS58"")"),0)</f>
        <v>0</v>
      </c>
      <c r="N81" s="74">
        <f ca="1">IFERROR(__xludf.DUMMYFUNCTION("IMPORTRANGE(""https://docs.google.com/spreadsheets/d/1-uDff_7J0KD5mKrp0Vvzr7lt3OU09vwQwhkpOPPYv2Y/edit?usp=sharing"",""งบพรบ!AU58"")"),0)</f>
        <v>0</v>
      </c>
      <c r="O81" s="74">
        <f t="shared" ca="1" si="44"/>
        <v>0</v>
      </c>
      <c r="P81" s="74">
        <f t="shared" ca="1" si="45"/>
        <v>0</v>
      </c>
      <c r="Q81" s="73">
        <v>0</v>
      </c>
      <c r="R81" s="74">
        <v>0</v>
      </c>
      <c r="S81" s="74">
        <v>0</v>
      </c>
      <c r="T81" s="74">
        <f t="shared" si="47"/>
        <v>0</v>
      </c>
      <c r="U81" s="74">
        <f t="shared" si="48"/>
        <v>0</v>
      </c>
    </row>
    <row r="82" spans="1:21" ht="19.5" hidden="1" x14ac:dyDescent="0.3">
      <c r="A82" s="276"/>
      <c r="B82" s="277"/>
      <c r="C82" s="621" t="s">
        <v>18</v>
      </c>
      <c r="D82" s="968" t="s">
        <v>38</v>
      </c>
      <c r="E82" s="280"/>
      <c r="F82" s="280"/>
      <c r="G82" s="281"/>
      <c r="H82" s="282"/>
      <c r="I82" s="272"/>
      <c r="J82" s="272"/>
      <c r="K82" s="229"/>
      <c r="L82" s="229"/>
      <c r="M82" s="229"/>
      <c r="N82" s="229"/>
      <c r="O82" s="229"/>
      <c r="P82" s="229"/>
      <c r="Q82" s="228"/>
      <c r="R82" s="229"/>
      <c r="S82" s="229"/>
      <c r="T82" s="229"/>
      <c r="U82" s="229"/>
    </row>
    <row r="83" spans="1:21" ht="19.5" hidden="1" x14ac:dyDescent="0.3">
      <c r="A83" s="276"/>
      <c r="B83" s="277"/>
      <c r="C83" s="277"/>
      <c r="D83" s="1103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0</v>
      </c>
      <c r="J83" s="622">
        <f t="shared" si="55"/>
        <v>0</v>
      </c>
      <c r="K83" s="1105">
        <f t="shared" ref="K83:K91" ca="1" si="56">IF(I83&gt;0,J83*100/I83,0)</f>
        <v>0</v>
      </c>
      <c r="L83" s="229"/>
      <c r="M83" s="229"/>
      <c r="N83" s="229"/>
      <c r="O83" s="229"/>
      <c r="P83" s="229"/>
      <c r="Q83" s="228"/>
      <c r="R83" s="229"/>
      <c r="S83" s="229"/>
      <c r="T83" s="229"/>
      <c r="U83" s="229"/>
    </row>
    <row r="84" spans="1:21" ht="19.5" hidden="1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0</v>
      </c>
      <c r="J84" s="622">
        <f t="shared" si="55"/>
        <v>0</v>
      </c>
      <c r="K84" s="1105">
        <f t="shared" ca="1" si="56"/>
        <v>0</v>
      </c>
      <c r="L84" s="229"/>
      <c r="M84" s="229"/>
      <c r="N84" s="229"/>
      <c r="O84" s="229"/>
      <c r="P84" s="229"/>
      <c r="Q84" s="228"/>
      <c r="R84" s="229"/>
      <c r="S84" s="229"/>
      <c r="T84" s="229"/>
      <c r="U84" s="229"/>
    </row>
    <row r="85" spans="1:21" ht="18.75" hidden="1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IFERROR(__xludf.DUMMYFUNCTION("IMPORTRANGE(""https://docs.google.com/spreadsheets/d/1eHaY18a8A9IcSdp1K8H6x8fbOy06t2VsZHhMHf-1x7Y/edit?usp=sharing"",""แผน!H58"")"),0)</f>
        <v>0</v>
      </c>
      <c r="J85" s="294">
        <v>0</v>
      </c>
      <c r="K85" s="768">
        <f t="shared" ca="1" si="56"/>
        <v>0</v>
      </c>
      <c r="L85" s="229"/>
      <c r="M85" s="229"/>
      <c r="N85" s="229"/>
      <c r="O85" s="229"/>
      <c r="P85" s="229"/>
      <c r="Q85" s="228"/>
      <c r="R85" s="229"/>
      <c r="S85" s="229"/>
      <c r="T85" s="229"/>
      <c r="U85" s="229"/>
    </row>
    <row r="86" spans="1:21" ht="18.75" hidden="1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IFERROR(__xludf.DUMMYFUNCTION("IMPORTRANGE(""https://docs.google.com/spreadsheets/d/1eHaY18a8A9IcSdp1K8H6x8fbOy06t2VsZHhMHf-1x7Y/edit?usp=sharing"",""แผน!I58"")"),0)</f>
        <v>0</v>
      </c>
      <c r="J86" s="294">
        <v>0</v>
      </c>
      <c r="K86" s="768">
        <f t="shared" ca="1" si="56"/>
        <v>0</v>
      </c>
      <c r="L86" s="229"/>
      <c r="M86" s="229"/>
      <c r="N86" s="229"/>
      <c r="O86" s="229"/>
      <c r="P86" s="229"/>
      <c r="Q86" s="228"/>
      <c r="R86" s="229"/>
      <c r="S86" s="229"/>
      <c r="T86" s="229"/>
      <c r="U86" s="229"/>
    </row>
    <row r="87" spans="1:21" ht="18.75" hidden="1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IFERROR(__xludf.DUMMYFUNCTION("IMPORTRANGE(""https://docs.google.com/spreadsheets/d/1eHaY18a8A9IcSdp1K8H6x8fbOy06t2VsZHhMHf-1x7Y/edit?usp=sharing"",""แผน!F58"")"),0)</f>
        <v>0</v>
      </c>
      <c r="J87" s="294">
        <v>0</v>
      </c>
      <c r="K87" s="768">
        <f t="shared" ca="1" si="56"/>
        <v>0</v>
      </c>
      <c r="L87" s="229"/>
      <c r="M87" s="229"/>
      <c r="N87" s="229"/>
      <c r="O87" s="229"/>
      <c r="P87" s="229"/>
      <c r="Q87" s="228"/>
      <c r="R87" s="229"/>
      <c r="S87" s="229"/>
      <c r="T87" s="229"/>
      <c r="U87" s="229"/>
    </row>
    <row r="88" spans="1:21" ht="18.75" hidden="1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IFERROR(__xludf.DUMMYFUNCTION("IMPORTRANGE(""https://docs.google.com/spreadsheets/d/1eHaY18a8A9IcSdp1K8H6x8fbOy06t2VsZHhMHf-1x7Y/edit?usp=sharing"",""แผน!G58"")"),0)</f>
        <v>0</v>
      </c>
      <c r="J88" s="294">
        <v>0</v>
      </c>
      <c r="K88" s="768">
        <f t="shared" ca="1" si="56"/>
        <v>0</v>
      </c>
      <c r="L88" s="229"/>
      <c r="M88" s="229"/>
      <c r="N88" s="229"/>
      <c r="O88" s="229"/>
      <c r="P88" s="229"/>
      <c r="Q88" s="228"/>
      <c r="R88" s="229"/>
      <c r="S88" s="229"/>
      <c r="T88" s="229"/>
      <c r="U88" s="229"/>
    </row>
    <row r="89" spans="1:21" ht="18.75" hidden="1" x14ac:dyDescent="0.25">
      <c r="A89" s="276"/>
      <c r="B89" s="277"/>
      <c r="C89" s="277"/>
      <c r="D89" s="277"/>
      <c r="E89" s="295" t="s">
        <v>42</v>
      </c>
      <c r="F89" s="296"/>
      <c r="G89" s="282"/>
      <c r="H89" s="275" t="s">
        <v>34</v>
      </c>
      <c r="I89" s="298">
        <f ca="1">IFERROR(__xludf.DUMMYFUNCTION("IMPORTRANGE(""https://docs.google.com/spreadsheets/d/1eHaY18a8A9IcSdp1K8H6x8fbOy06t2VsZHhMHf-1x7Y/edit?usp=sharing"",""แผน!D58"")"),0)</f>
        <v>0</v>
      </c>
      <c r="J89" s="294">
        <v>0</v>
      </c>
      <c r="K89" s="768">
        <f t="shared" ca="1" si="56"/>
        <v>0</v>
      </c>
      <c r="L89" s="229"/>
      <c r="M89" s="229"/>
      <c r="N89" s="229"/>
      <c r="O89" s="229"/>
      <c r="P89" s="229"/>
      <c r="Q89" s="228"/>
      <c r="R89" s="229"/>
      <c r="S89" s="229"/>
      <c r="T89" s="229"/>
      <c r="U89" s="229"/>
    </row>
    <row r="90" spans="1:21" ht="18.75" hidden="1" x14ac:dyDescent="0.25">
      <c r="A90" s="276"/>
      <c r="B90" s="277"/>
      <c r="C90" s="277"/>
      <c r="D90" s="277"/>
      <c r="E90" s="296"/>
      <c r="F90" s="296"/>
      <c r="G90" s="282"/>
      <c r="H90" s="275" t="s">
        <v>35</v>
      </c>
      <c r="I90" s="298">
        <f ca="1">IFERROR(__xludf.DUMMYFUNCTION("IMPORTRANGE(""https://docs.google.com/spreadsheets/d/1eHaY18a8A9IcSdp1K8H6x8fbOy06t2VsZHhMHf-1x7Y/edit?usp=sharing"",""แผน!E58"")"),0)</f>
        <v>0</v>
      </c>
      <c r="J90" s="294">
        <v>0</v>
      </c>
      <c r="K90" s="768">
        <f t="shared" ca="1" si="56"/>
        <v>0</v>
      </c>
      <c r="L90" s="229"/>
      <c r="M90" s="229"/>
      <c r="N90" s="229"/>
      <c r="O90" s="229"/>
      <c r="P90" s="229"/>
      <c r="Q90" s="228"/>
      <c r="R90" s="229"/>
      <c r="S90" s="229"/>
      <c r="T90" s="229"/>
      <c r="U90" s="229"/>
    </row>
    <row r="91" spans="1:21" ht="18.75" hidden="1" x14ac:dyDescent="0.25">
      <c r="A91" s="276"/>
      <c r="B91" s="277"/>
      <c r="C91" s="277"/>
      <c r="D91" s="767" t="s">
        <v>43</v>
      </c>
      <c r="E91" s="296"/>
      <c r="F91" s="296"/>
      <c r="G91" s="282"/>
      <c r="H91" s="271" t="s">
        <v>34</v>
      </c>
      <c r="I91" s="298">
        <f ca="1">IFERROR(__xludf.DUMMYFUNCTION("IMPORTRANGE(""https://docs.google.com/spreadsheets/d/1eHaY18a8A9IcSdp1K8H6x8fbOy06t2VsZHhMHf-1x7Y/edit?usp=sharing"",""แผน!J58"")"),0)</f>
        <v>0</v>
      </c>
      <c r="J91" s="294">
        <v>0</v>
      </c>
      <c r="K91" s="768">
        <f t="shared" ca="1" si="56"/>
        <v>0</v>
      </c>
      <c r="L91" s="229"/>
      <c r="M91" s="229"/>
      <c r="N91" s="229"/>
      <c r="O91" s="229"/>
      <c r="P91" s="229"/>
      <c r="Q91" s="228"/>
      <c r="R91" s="229"/>
      <c r="S91" s="229"/>
      <c r="T91" s="229"/>
      <c r="U91" s="229"/>
    </row>
    <row r="92" spans="1:21" ht="19.5" hidden="1" x14ac:dyDescent="0.3">
      <c r="A92" s="1099" t="s">
        <v>44</v>
      </c>
      <c r="B92" s="691"/>
      <c r="C92" s="693"/>
      <c r="D92" s="691"/>
      <c r="E92" s="691"/>
      <c r="F92" s="691"/>
      <c r="G92" s="1100"/>
      <c r="H92" s="1101"/>
      <c r="I92" s="1102"/>
      <c r="J92" s="1102"/>
      <c r="K92" s="200"/>
      <c r="L92" s="200"/>
      <c r="M92" s="200"/>
      <c r="N92" s="200"/>
      <c r="O92" s="200"/>
      <c r="P92" s="200"/>
      <c r="Q92" s="199"/>
      <c r="R92" s="200"/>
      <c r="S92" s="200"/>
      <c r="T92" s="200"/>
      <c r="U92" s="200"/>
    </row>
    <row r="93" spans="1:21" ht="19.5" hidden="1" x14ac:dyDescent="0.3">
      <c r="A93" s="250"/>
      <c r="B93" s="251" t="s">
        <v>45</v>
      </c>
      <c r="C93" s="252"/>
      <c r="D93" s="253"/>
      <c r="E93" s="252"/>
      <c r="F93" s="252"/>
      <c r="G93" s="254"/>
      <c r="H93" s="255" t="s">
        <v>46</v>
      </c>
      <c r="I93" s="256">
        <f t="shared" ref="I93:J94" ca="1" si="57">I109</f>
        <v>0</v>
      </c>
      <c r="J93" s="256">
        <f t="shared" si="57"/>
        <v>0</v>
      </c>
      <c r="K93" s="59">
        <f t="shared" ref="K93:K94" ca="1" si="58">IF(I93&gt;0,J93*100/I93,0)</f>
        <v>0</v>
      </c>
      <c r="L93" s="208"/>
      <c r="M93" s="208"/>
      <c r="N93" s="208"/>
      <c r="O93" s="208"/>
      <c r="P93" s="208"/>
      <c r="Q93" s="207"/>
      <c r="R93" s="208"/>
      <c r="S93" s="208"/>
      <c r="T93" s="208"/>
      <c r="U93" s="208"/>
    </row>
    <row r="94" spans="1:21" ht="19.5" hidden="1" x14ac:dyDescent="0.3">
      <c r="A94" s="250"/>
      <c r="B94" s="252"/>
      <c r="C94" s="252"/>
      <c r="D94" s="253"/>
      <c r="E94" s="252"/>
      <c r="F94" s="252"/>
      <c r="G94" s="254"/>
      <c r="H94" s="255" t="s">
        <v>35</v>
      </c>
      <c r="I94" s="256">
        <f t="shared" ca="1" si="57"/>
        <v>0</v>
      </c>
      <c r="J94" s="256">
        <f t="shared" si="57"/>
        <v>0</v>
      </c>
      <c r="K94" s="59">
        <f t="shared" ca="1" si="58"/>
        <v>0</v>
      </c>
      <c r="L94" s="208"/>
      <c r="M94" s="208"/>
      <c r="N94" s="208"/>
      <c r="O94" s="208"/>
      <c r="P94" s="208"/>
      <c r="Q94" s="207"/>
      <c r="R94" s="208"/>
      <c r="S94" s="208"/>
      <c r="T94" s="208"/>
      <c r="U94" s="208"/>
    </row>
    <row r="95" spans="1:21" ht="19.5" hidden="1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264">
        <f t="shared" ref="L95:N95" ca="1" si="59">L96+L97</f>
        <v>0</v>
      </c>
      <c r="M95" s="264">
        <f t="shared" ca="1" si="59"/>
        <v>0</v>
      </c>
      <c r="N95" s="264">
        <f t="shared" ca="1" si="59"/>
        <v>0</v>
      </c>
      <c r="O95" s="264">
        <f t="shared" ref="O95:O103" ca="1" si="60">IF(L95&gt;0,N95*100/L95,0)</f>
        <v>0</v>
      </c>
      <c r="P95" s="264">
        <f t="shared" ref="P95:P103" ca="1" si="61">IF(M95&gt;0,N95*100/M95,0)</f>
        <v>0</v>
      </c>
      <c r="Q95" s="1257">
        <f t="shared" ref="Q95:S95" ca="1" si="62">Q96+Q97</f>
        <v>0</v>
      </c>
      <c r="R95" s="264">
        <f t="shared" ca="1" si="62"/>
        <v>0</v>
      </c>
      <c r="S95" s="264">
        <f t="shared" ca="1" si="62"/>
        <v>0</v>
      </c>
      <c r="T95" s="264">
        <f t="shared" ref="T95:T103" ca="1" si="63">IF(Q95&gt;0,S95*100/Q95,0)</f>
        <v>0</v>
      </c>
      <c r="U95" s="264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7">
        <f t="shared" ref="L96:N97" si="65">L99+L102</f>
        <v>0</v>
      </c>
      <c r="M96" s="77">
        <f t="shared" si="65"/>
        <v>0</v>
      </c>
      <c r="N96" s="77">
        <f t="shared" si="65"/>
        <v>0</v>
      </c>
      <c r="O96" s="77">
        <f t="shared" si="60"/>
        <v>0</v>
      </c>
      <c r="P96" s="77">
        <f t="shared" si="61"/>
        <v>0</v>
      </c>
      <c r="Q96" s="76">
        <f t="shared" ref="Q96:S97" si="66">Q99+Q102</f>
        <v>0</v>
      </c>
      <c r="R96" s="77">
        <f t="shared" si="66"/>
        <v>0</v>
      </c>
      <c r="S96" s="77">
        <f t="shared" si="66"/>
        <v>0</v>
      </c>
      <c r="T96" s="77">
        <f t="shared" si="63"/>
        <v>0</v>
      </c>
      <c r="U96" s="77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4">
        <f t="shared" ca="1" si="65"/>
        <v>0</v>
      </c>
      <c r="M97" s="74">
        <f t="shared" ca="1" si="65"/>
        <v>0</v>
      </c>
      <c r="N97" s="74">
        <f t="shared" ca="1" si="65"/>
        <v>0</v>
      </c>
      <c r="O97" s="74">
        <f t="shared" ca="1" si="60"/>
        <v>0</v>
      </c>
      <c r="P97" s="74">
        <f t="shared" ca="1" si="61"/>
        <v>0</v>
      </c>
      <c r="Q97" s="73">
        <f t="shared" ca="1" si="66"/>
        <v>0</v>
      </c>
      <c r="R97" s="74">
        <f t="shared" ca="1" si="66"/>
        <v>0</v>
      </c>
      <c r="S97" s="74">
        <f t="shared" ca="1" si="66"/>
        <v>0</v>
      </c>
      <c r="T97" s="74">
        <f t="shared" ca="1" si="63"/>
        <v>0</v>
      </c>
      <c r="U97" s="74">
        <f t="shared" ca="1" si="64"/>
        <v>0</v>
      </c>
    </row>
    <row r="98" spans="1:21" ht="18.75" hidden="1" x14ac:dyDescent="0.25">
      <c r="A98" s="257"/>
      <c r="B98" s="269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4">
        <f t="shared" ref="L98:N98" ca="1" si="67">L99+L100</f>
        <v>0</v>
      </c>
      <c r="M98" s="74">
        <f t="shared" ca="1" si="67"/>
        <v>0</v>
      </c>
      <c r="N98" s="74">
        <f t="shared" ca="1" si="67"/>
        <v>0</v>
      </c>
      <c r="O98" s="74">
        <f t="shared" ca="1" si="60"/>
        <v>0</v>
      </c>
      <c r="P98" s="74">
        <f t="shared" ca="1" si="61"/>
        <v>0</v>
      </c>
      <c r="Q98" s="73">
        <f t="shared" ref="Q98:S98" ca="1" si="68">Q99+Q100</f>
        <v>0</v>
      </c>
      <c r="R98" s="74">
        <f t="shared" ca="1" si="68"/>
        <v>0</v>
      </c>
      <c r="S98" s="74">
        <f t="shared" ca="1" si="68"/>
        <v>0</v>
      </c>
      <c r="T98" s="74">
        <f t="shared" ca="1" si="63"/>
        <v>0</v>
      </c>
      <c r="U98" s="74">
        <f t="shared" ca="1" si="64"/>
        <v>0</v>
      </c>
    </row>
    <row r="99" spans="1:21" ht="18.75" hidden="1" x14ac:dyDescent="0.25">
      <c r="A99" s="257"/>
      <c r="B99" s="269"/>
      <c r="C99" s="269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7">
        <v>0</v>
      </c>
      <c r="M99" s="77">
        <v>0</v>
      </c>
      <c r="N99" s="77">
        <v>0</v>
      </c>
      <c r="O99" s="77">
        <f t="shared" si="60"/>
        <v>0</v>
      </c>
      <c r="P99" s="77">
        <f t="shared" si="61"/>
        <v>0</v>
      </c>
      <c r="Q99" s="76">
        <v>0</v>
      </c>
      <c r="R99" s="77">
        <v>0</v>
      </c>
      <c r="S99" s="77">
        <v>0</v>
      </c>
      <c r="T99" s="77">
        <f t="shared" si="63"/>
        <v>0</v>
      </c>
      <c r="U99" s="77">
        <f t="shared" si="64"/>
        <v>0</v>
      </c>
    </row>
    <row r="100" spans="1:21" ht="18.75" hidden="1" x14ac:dyDescent="0.25">
      <c r="A100" s="257"/>
      <c r="B100" s="269"/>
      <c r="C100" s="269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4">
        <f ca="1">IFERROR(__xludf.DUMMYFUNCTION("IMPORTRANGE(""https://docs.google.com/spreadsheets/d/1-uDff_7J0KD5mKrp0Vvzr7lt3OU09vwQwhkpOPPYv2Y/edit?usp=sharing"",""งบพรบ!AW58"")"),0)</f>
        <v>0</v>
      </c>
      <c r="M100" s="74">
        <f ca="1">IFERROR(__xludf.DUMMYFUNCTION("IMPORTRANGE(""https://docs.google.com/spreadsheets/d/1-uDff_7J0KD5mKrp0Vvzr7lt3OU09vwQwhkpOPPYv2Y/edit?usp=sharing"",""งบพรบ!BB58"")"),0)</f>
        <v>0</v>
      </c>
      <c r="N100" s="74">
        <f ca="1">IFERROR(__xludf.DUMMYFUNCTION("IMPORTRANGE(""https://docs.google.com/spreadsheets/d/1-uDff_7J0KD5mKrp0Vvzr7lt3OU09vwQwhkpOPPYv2Y/edit?usp=sharing"",""งบพรบ!BD58"")"),0)</f>
        <v>0</v>
      </c>
      <c r="O100" s="74">
        <f t="shared" ca="1" si="60"/>
        <v>0</v>
      </c>
      <c r="P100" s="74">
        <f t="shared" ca="1" si="61"/>
        <v>0</v>
      </c>
      <c r="Q100" s="73">
        <f ca="1">IFERROR(__xludf.DUMMYFUNCTION("IMPORTRANGE(""https://docs.google.com/spreadsheets/d/1ItG2mGa2ceCfYo0BwxsXqNm01IGEUdYcSSLTEv9YCik/edit?usp=sharing"",""เบิกจ่ายกองทุน!AD58"")"),0)</f>
        <v>0</v>
      </c>
      <c r="R100" s="74">
        <f ca="1">IFERROR(__xludf.DUMMYFUNCTION("IMPORTRANGE(""https://docs.google.com/spreadsheets/d/1ItG2mGa2ceCfYo0BwxsXqNm01IGEUdYcSSLTEv9YCik/edit?usp=sharing"",""เบิกจ่ายกองทุน!AE58"")"),0)</f>
        <v>0</v>
      </c>
      <c r="S100" s="74">
        <f ca="1">IFERROR(__xludf.DUMMYFUNCTION("IMPORTRANGE(""https://docs.google.com/spreadsheets/d/1ItG2mGa2ceCfYo0BwxsXqNm01IGEUdYcSSLTEv9YCik/edit?usp=sharing"",""เบิกจ่ายกองทุน!AF58"")"),0)</f>
        <v>0</v>
      </c>
      <c r="T100" s="74">
        <f t="shared" ca="1" si="63"/>
        <v>0</v>
      </c>
      <c r="U100" s="74">
        <f t="shared" ca="1" si="64"/>
        <v>0</v>
      </c>
    </row>
    <row r="101" spans="1:21" ht="18.75" hidden="1" x14ac:dyDescent="0.25">
      <c r="A101" s="257"/>
      <c r="B101" s="269"/>
      <c r="C101" s="269"/>
      <c r="D101" s="967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4">
        <f t="shared" ref="L101:N101" ca="1" si="69">L102+L103</f>
        <v>0</v>
      </c>
      <c r="M101" s="74">
        <f t="shared" ca="1" si="69"/>
        <v>0</v>
      </c>
      <c r="N101" s="74">
        <f t="shared" ca="1" si="69"/>
        <v>0</v>
      </c>
      <c r="O101" s="74">
        <f t="shared" ca="1" si="60"/>
        <v>0</v>
      </c>
      <c r="P101" s="74">
        <f t="shared" ca="1" si="61"/>
        <v>0</v>
      </c>
      <c r="Q101" s="73">
        <f t="shared" ref="Q101:S101" si="70">Q102+Q103</f>
        <v>0</v>
      </c>
      <c r="R101" s="74">
        <f t="shared" si="70"/>
        <v>0</v>
      </c>
      <c r="S101" s="74">
        <f t="shared" si="70"/>
        <v>0</v>
      </c>
      <c r="T101" s="74">
        <f t="shared" si="63"/>
        <v>0</v>
      </c>
      <c r="U101" s="74">
        <f t="shared" si="64"/>
        <v>0</v>
      </c>
    </row>
    <row r="102" spans="1:21" ht="18.75" hidden="1" x14ac:dyDescent="0.25">
      <c r="A102" s="257"/>
      <c r="B102" s="269"/>
      <c r="C102" s="269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7">
        <v>0</v>
      </c>
      <c r="M102" s="77">
        <v>0</v>
      </c>
      <c r="N102" s="77">
        <v>0</v>
      </c>
      <c r="O102" s="77">
        <f t="shared" si="60"/>
        <v>0</v>
      </c>
      <c r="P102" s="77">
        <f t="shared" si="61"/>
        <v>0</v>
      </c>
      <c r="Q102" s="76">
        <v>0</v>
      </c>
      <c r="R102" s="77">
        <v>0</v>
      </c>
      <c r="S102" s="77">
        <v>0</v>
      </c>
      <c r="T102" s="77">
        <f t="shared" si="63"/>
        <v>0</v>
      </c>
      <c r="U102" s="77">
        <f t="shared" si="64"/>
        <v>0</v>
      </c>
    </row>
    <row r="103" spans="1:21" ht="18.75" hidden="1" x14ac:dyDescent="0.25">
      <c r="A103" s="257"/>
      <c r="B103" s="269"/>
      <c r="C103" s="269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4">
        <f ca="1">IFERROR(__xludf.DUMMYFUNCTION("IMPORTRANGE(""https://docs.google.com/spreadsheets/d/1-uDff_7J0KD5mKrp0Vvzr7lt3OU09vwQwhkpOPPYv2Y/edit?usp=sharing"",""งบพรบ!AZ58"")"),0)</f>
        <v>0</v>
      </c>
      <c r="M103" s="74">
        <f ca="1">IFERROR(__xludf.DUMMYFUNCTION("IMPORTRANGE(""https://docs.google.com/spreadsheets/d/1-uDff_7J0KD5mKrp0Vvzr7lt3OU09vwQwhkpOPPYv2Y/edit?usp=sharing"",""งบพรบ!BC58"")"),0)</f>
        <v>0</v>
      </c>
      <c r="N103" s="74">
        <f ca="1">IFERROR(__xludf.DUMMYFUNCTION("IMPORTRANGE(""https://docs.google.com/spreadsheets/d/1-uDff_7J0KD5mKrp0Vvzr7lt3OU09vwQwhkpOPPYv2Y/edit?usp=sharing"",""งบพรบ!BE58"")"),0)</f>
        <v>0</v>
      </c>
      <c r="O103" s="74">
        <f t="shared" ca="1" si="60"/>
        <v>0</v>
      </c>
      <c r="P103" s="74">
        <f t="shared" ca="1" si="61"/>
        <v>0</v>
      </c>
      <c r="Q103" s="73">
        <v>0</v>
      </c>
      <c r="R103" s="74">
        <v>0</v>
      </c>
      <c r="S103" s="74">
        <v>0</v>
      </c>
      <c r="T103" s="74">
        <f t="shared" si="63"/>
        <v>0</v>
      </c>
      <c r="U103" s="74">
        <f t="shared" si="64"/>
        <v>0</v>
      </c>
    </row>
    <row r="104" spans="1:21" ht="19.5" hidden="1" x14ac:dyDescent="0.3">
      <c r="A104" s="276"/>
      <c r="B104" s="277"/>
      <c r="C104" s="621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7"/>
      <c r="M104" s="87"/>
      <c r="N104" s="87"/>
      <c r="O104" s="229"/>
      <c r="P104" s="229"/>
      <c r="Q104" s="86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30"/>
      <c r="M105" s="30"/>
      <c r="N105" s="30"/>
      <c r="O105" s="30"/>
      <c r="P105" s="30"/>
      <c r="Q105" s="29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30"/>
      <c r="M106" s="30"/>
      <c r="N106" s="30"/>
      <c r="O106" s="30"/>
      <c r="P106" s="30"/>
      <c r="Q106" s="29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30"/>
      <c r="M107" s="30"/>
      <c r="N107" s="30"/>
      <c r="O107" s="30"/>
      <c r="P107" s="30"/>
      <c r="Q107" s="29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7"/>
      <c r="M108" s="87"/>
      <c r="N108" s="87"/>
      <c r="O108" s="229"/>
      <c r="P108" s="229"/>
      <c r="Q108" s="86"/>
      <c r="R108" s="87"/>
      <c r="S108" s="87"/>
      <c r="T108" s="229"/>
      <c r="U108" s="229"/>
    </row>
    <row r="109" spans="1:21" ht="18.75" hidden="1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IFERROR(__xludf.DUMMYFUNCTION("IMPORTRANGE(""https://docs.google.com/spreadsheets/d/1eHaY18a8A9IcSdp1K8H6x8fbOy06t2VsZHhMHf-1x7Y/edit?usp=sharing"",""แผน!N58"")"),0)</f>
        <v>0</v>
      </c>
      <c r="J109" s="294">
        <v>0</v>
      </c>
      <c r="K109" s="74">
        <f t="shared" ref="K109:K110" ca="1" si="71">IF(I109&gt;0,J109*100/I109,0)</f>
        <v>0</v>
      </c>
      <c r="L109" s="87"/>
      <c r="M109" s="87"/>
      <c r="N109" s="87"/>
      <c r="O109" s="229"/>
      <c r="P109" s="229"/>
      <c r="Q109" s="86"/>
      <c r="R109" s="87"/>
      <c r="S109" s="87"/>
      <c r="T109" s="229"/>
      <c r="U109" s="229"/>
    </row>
    <row r="110" spans="1:21" ht="18.75" hidden="1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IFERROR(__xludf.DUMMYFUNCTION("IMPORTRANGE(""https://docs.google.com/spreadsheets/d/1eHaY18a8A9IcSdp1K8H6x8fbOy06t2VsZHhMHf-1x7Y/edit?usp=sharing"",""แผน!O58"")"),0)</f>
        <v>0</v>
      </c>
      <c r="J110" s="294">
        <v>0</v>
      </c>
      <c r="K110" s="74">
        <f t="shared" ca="1" si="71"/>
        <v>0</v>
      </c>
      <c r="L110" s="87"/>
      <c r="M110" s="87"/>
      <c r="N110" s="87"/>
      <c r="O110" s="229"/>
      <c r="P110" s="229"/>
      <c r="Q110" s="86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30"/>
      <c r="M111" s="30"/>
      <c r="N111" s="30"/>
      <c r="O111" s="30"/>
      <c r="P111" s="30"/>
      <c r="Q111" s="29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30"/>
      <c r="M112" s="30"/>
      <c r="N112" s="30"/>
      <c r="O112" s="30"/>
      <c r="P112" s="30"/>
      <c r="Q112" s="29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4"/>
      <c r="E113" s="285"/>
      <c r="F113" s="285"/>
      <c r="G113" s="286"/>
      <c r="H113" s="286"/>
      <c r="I113" s="287"/>
      <c r="J113" s="287"/>
      <c r="K113" s="30"/>
      <c r="L113" s="30"/>
      <c r="M113" s="30"/>
      <c r="N113" s="30"/>
      <c r="O113" s="30"/>
      <c r="P113" s="30"/>
      <c r="Q113" s="29"/>
      <c r="R113" s="30"/>
      <c r="S113" s="30"/>
      <c r="T113" s="30"/>
      <c r="U113" s="30"/>
    </row>
    <row r="114" spans="1:21" ht="12.75" hidden="1" x14ac:dyDescent="0.2">
      <c r="A114" s="283"/>
      <c r="B114" s="284"/>
      <c r="C114" s="284"/>
      <c r="D114" s="284"/>
      <c r="E114" s="285"/>
      <c r="F114" s="285"/>
      <c r="G114" s="286"/>
      <c r="H114" s="286"/>
      <c r="I114" s="287">
        <v>0</v>
      </c>
      <c r="J114" s="287">
        <v>0</v>
      </c>
      <c r="K114" s="30"/>
      <c r="L114" s="30"/>
      <c r="M114" s="30"/>
      <c r="N114" s="30"/>
      <c r="O114" s="30"/>
      <c r="P114" s="30"/>
      <c r="Q114" s="29"/>
      <c r="R114" s="30"/>
      <c r="S114" s="30"/>
      <c r="T114" s="30"/>
      <c r="U114" s="30"/>
    </row>
    <row r="115" spans="1:21" ht="18.75" hidden="1" x14ac:dyDescent="0.25">
      <c r="A115" s="276"/>
      <c r="B115" s="277"/>
      <c r="C115" s="277"/>
      <c r="D115" s="295" t="s">
        <v>50</v>
      </c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IFERROR(__xludf.DUMMYFUNCTION("IMPORTRANGE(""https://docs.google.com/spreadsheets/d/1eHaY18a8A9IcSdp1K8H6x8fbOy06t2VsZHhMHf-1x7Y/edit?usp=sharing"",""แผน!R58"")"),0)</f>
        <v>0</v>
      </c>
      <c r="J115" s="294">
        <v>0</v>
      </c>
      <c r="K115" s="74">
        <f ca="1">IF(I115&gt;0,J115*100/I115,0)</f>
        <v>0</v>
      </c>
      <c r="L115" s="87"/>
      <c r="M115" s="87"/>
      <c r="N115" s="87"/>
      <c r="O115" s="229"/>
      <c r="P115" s="229"/>
      <c r="Q115" s="86"/>
      <c r="R115" s="87"/>
      <c r="S115" s="87"/>
      <c r="T115" s="229"/>
      <c r="U115" s="229"/>
    </row>
    <row r="116" spans="1:21" ht="19.5" x14ac:dyDescent="0.3">
      <c r="A116" s="1099" t="s">
        <v>51</v>
      </c>
      <c r="B116" s="691"/>
      <c r="C116" s="692"/>
      <c r="D116" s="691"/>
      <c r="E116" s="691"/>
      <c r="F116" s="691"/>
      <c r="G116" s="691"/>
      <c r="H116" s="693"/>
      <c r="I116" s="694"/>
      <c r="J116" s="694"/>
      <c r="K116" s="695"/>
      <c r="L116" s="200"/>
      <c r="M116" s="200"/>
      <c r="N116" s="200"/>
      <c r="O116" s="200"/>
      <c r="P116" s="200"/>
      <c r="Q116" s="199"/>
      <c r="R116" s="200"/>
      <c r="S116" s="200"/>
      <c r="T116" s="200"/>
      <c r="U116" s="200"/>
    </row>
    <row r="117" spans="1:21" ht="19.5" x14ac:dyDescent="0.3">
      <c r="A117" s="250"/>
      <c r="B117" s="251" t="s">
        <v>331</v>
      </c>
      <c r="C117" s="304"/>
      <c r="D117" s="253"/>
      <c r="E117" s="252"/>
      <c r="F117" s="252"/>
      <c r="G117" s="252"/>
      <c r="H117" s="253"/>
      <c r="I117" s="900">
        <f t="shared" ref="I117:J117" ca="1" si="72">I128</f>
        <v>20</v>
      </c>
      <c r="J117" s="901">
        <f t="shared" si="72"/>
        <v>20</v>
      </c>
      <c r="K117" s="902">
        <f ca="1">IF(I117&gt;0,J117*100/I117,0)</f>
        <v>100</v>
      </c>
      <c r="L117" s="208"/>
      <c r="M117" s="208"/>
      <c r="N117" s="208"/>
      <c r="O117" s="208"/>
      <c r="P117" s="208"/>
      <c r="Q117" s="207"/>
      <c r="R117" s="208"/>
      <c r="S117" s="208"/>
      <c r="T117" s="208"/>
      <c r="U117" s="208"/>
    </row>
    <row r="118" spans="1:21" ht="19.5" x14ac:dyDescent="0.3">
      <c r="A118" s="257"/>
      <c r="B118" s="258"/>
      <c r="C118" s="259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264">
        <f t="shared" ref="L118:N118" ca="1" si="73">L119+L120</f>
        <v>0</v>
      </c>
      <c r="M118" s="264">
        <f t="shared" ca="1" si="73"/>
        <v>0</v>
      </c>
      <c r="N118" s="264">
        <f t="shared" ca="1" si="73"/>
        <v>0</v>
      </c>
      <c r="O118" s="264">
        <f t="shared" ref="O118:O126" ca="1" si="74">IF(L118&gt;0,N118*100/L118,0)</f>
        <v>0</v>
      </c>
      <c r="P118" s="264">
        <f t="shared" ref="P118:P126" ca="1" si="75">IF(M118&gt;0,N118*100/M118,0)</f>
        <v>0</v>
      </c>
      <c r="Q118" s="1257">
        <f t="shared" ref="Q118:S118" ca="1" si="76">Q119+Q120</f>
        <v>211520</v>
      </c>
      <c r="R118" s="264">
        <f t="shared" ca="1" si="76"/>
        <v>211520</v>
      </c>
      <c r="S118" s="264">
        <f t="shared" ca="1" si="76"/>
        <v>0</v>
      </c>
      <c r="T118" s="264">
        <f t="shared" ref="T118:T126" ca="1" si="77">IF(Q118&gt;0,S118*100/Q118,0)</f>
        <v>0</v>
      </c>
      <c r="U118" s="264">
        <f t="shared" ref="U118:U126" ca="1" si="78">IF(R118&gt;0,S118*100/R118,0)</f>
        <v>0</v>
      </c>
    </row>
    <row r="119" spans="1:21" ht="18.75" hidden="1" x14ac:dyDescent="0.25">
      <c r="A119" s="257"/>
      <c r="B119" s="258"/>
      <c r="C119" s="258"/>
      <c r="D119" s="258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7">
        <f t="shared" ref="L119:N120" si="79">L122+L125</f>
        <v>0</v>
      </c>
      <c r="M119" s="77">
        <f t="shared" si="79"/>
        <v>0</v>
      </c>
      <c r="N119" s="77">
        <f t="shared" si="79"/>
        <v>0</v>
      </c>
      <c r="O119" s="77">
        <f t="shared" si="74"/>
        <v>0</v>
      </c>
      <c r="P119" s="77">
        <f t="shared" si="75"/>
        <v>0</v>
      </c>
      <c r="Q119" s="76">
        <f t="shared" ref="Q119:S120" si="80">Q122+Q125</f>
        <v>0</v>
      </c>
      <c r="R119" s="77">
        <f t="shared" si="80"/>
        <v>0</v>
      </c>
      <c r="S119" s="77">
        <f t="shared" si="80"/>
        <v>0</v>
      </c>
      <c r="T119" s="77">
        <f t="shared" si="77"/>
        <v>0</v>
      </c>
      <c r="U119" s="77">
        <f t="shared" si="78"/>
        <v>0</v>
      </c>
    </row>
    <row r="120" spans="1:21" ht="18.75" hidden="1" x14ac:dyDescent="0.25">
      <c r="A120" s="257"/>
      <c r="B120" s="258"/>
      <c r="C120" s="258"/>
      <c r="D120" s="258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4">
        <f t="shared" ca="1" si="79"/>
        <v>0</v>
      </c>
      <c r="M120" s="74">
        <f t="shared" ca="1" si="79"/>
        <v>0</v>
      </c>
      <c r="N120" s="74">
        <f t="shared" ca="1" si="79"/>
        <v>0</v>
      </c>
      <c r="O120" s="74">
        <f t="shared" ca="1" si="74"/>
        <v>0</v>
      </c>
      <c r="P120" s="74">
        <f t="shared" ca="1" si="75"/>
        <v>0</v>
      </c>
      <c r="Q120" s="73">
        <f t="shared" ca="1" si="80"/>
        <v>211520</v>
      </c>
      <c r="R120" s="74">
        <f t="shared" ca="1" si="80"/>
        <v>211520</v>
      </c>
      <c r="S120" s="74">
        <f t="shared" ca="1" si="80"/>
        <v>0</v>
      </c>
      <c r="T120" s="74">
        <f t="shared" ca="1" si="77"/>
        <v>0</v>
      </c>
      <c r="U120" s="74">
        <f t="shared" ca="1" si="78"/>
        <v>0</v>
      </c>
    </row>
    <row r="121" spans="1:21" ht="18.75" x14ac:dyDescent="0.25">
      <c r="A121" s="257"/>
      <c r="B121" s="258"/>
      <c r="C121" s="306"/>
      <c r="D121" s="270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4">
        <f t="shared" ref="L121:N121" ca="1" si="81">L122+L123</f>
        <v>0</v>
      </c>
      <c r="M121" s="74">
        <f t="shared" ca="1" si="81"/>
        <v>0</v>
      </c>
      <c r="N121" s="74">
        <f t="shared" ca="1" si="81"/>
        <v>0</v>
      </c>
      <c r="O121" s="74">
        <f t="shared" ca="1" si="74"/>
        <v>0</v>
      </c>
      <c r="P121" s="74">
        <f t="shared" ca="1" si="75"/>
        <v>0</v>
      </c>
      <c r="Q121" s="73">
        <f t="shared" ref="Q121:S121" ca="1" si="82">Q122+Q123</f>
        <v>211520</v>
      </c>
      <c r="R121" s="74">
        <f t="shared" ca="1" si="82"/>
        <v>211520</v>
      </c>
      <c r="S121" s="74">
        <f t="shared" ca="1" si="82"/>
        <v>0</v>
      </c>
      <c r="T121" s="74">
        <f t="shared" ca="1" si="77"/>
        <v>0</v>
      </c>
      <c r="U121" s="74">
        <f t="shared" ca="1" si="78"/>
        <v>0</v>
      </c>
    </row>
    <row r="122" spans="1:21" ht="18.75" hidden="1" x14ac:dyDescent="0.25">
      <c r="A122" s="257"/>
      <c r="B122" s="258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7">
        <v>0</v>
      </c>
      <c r="M122" s="77">
        <v>0</v>
      </c>
      <c r="N122" s="77">
        <v>0</v>
      </c>
      <c r="O122" s="77">
        <f t="shared" si="74"/>
        <v>0</v>
      </c>
      <c r="P122" s="77">
        <f t="shared" si="75"/>
        <v>0</v>
      </c>
      <c r="Q122" s="76">
        <v>0</v>
      </c>
      <c r="R122" s="77">
        <v>0</v>
      </c>
      <c r="S122" s="77">
        <v>0</v>
      </c>
      <c r="T122" s="77">
        <f t="shared" si="77"/>
        <v>0</v>
      </c>
      <c r="U122" s="77">
        <f t="shared" si="78"/>
        <v>0</v>
      </c>
    </row>
    <row r="123" spans="1:21" ht="18.75" hidden="1" x14ac:dyDescent="0.25">
      <c r="A123" s="257"/>
      <c r="B123" s="258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4">
        <f ca="1">IFERROR(__xludf.DUMMYFUNCTION("IMPORTRANGE(""https://docs.google.com/spreadsheets/d/1-uDff_7J0KD5mKrp0Vvzr7lt3OU09vwQwhkpOPPYv2Y/edit?usp=sharing"",""งบพรบ!BG58"")"),0)</f>
        <v>0</v>
      </c>
      <c r="M123" s="74">
        <f ca="1">IFERROR(__xludf.DUMMYFUNCTION("IMPORTRANGE(""https://docs.google.com/spreadsheets/d/1-uDff_7J0KD5mKrp0Vvzr7lt3OU09vwQwhkpOPPYv2Y/edit?usp=sharing"",""งบพรบ!BL58"")"),0)</f>
        <v>0</v>
      </c>
      <c r="N123" s="74">
        <f ca="1">IFERROR(__xludf.DUMMYFUNCTION("IMPORTRANGE(""https://docs.google.com/spreadsheets/d/1-uDff_7J0KD5mKrp0Vvzr7lt3OU09vwQwhkpOPPYv2Y/edit?usp=sharing"",""งบพรบ!BN58"")"),0)</f>
        <v>0</v>
      </c>
      <c r="O123" s="74">
        <f t="shared" ca="1" si="74"/>
        <v>0</v>
      </c>
      <c r="P123" s="74">
        <f t="shared" ca="1" si="75"/>
        <v>0</v>
      </c>
      <c r="Q123" s="73">
        <f ca="1">IFERROR(__xludf.DUMMYFUNCTION("IMPORTRANGE(""https://docs.google.com/spreadsheets/d/1ItG2mGa2ceCfYo0BwxsXqNm01IGEUdYcSSLTEv9YCik/edit?usp=sharing"",""เบิกจ่ายกองทุน!R58"")"),211520)</f>
        <v>211520</v>
      </c>
      <c r="R123" s="74">
        <f ca="1">IFERROR(__xludf.DUMMYFUNCTION("IMPORTRANGE(""https://docs.google.com/spreadsheets/d/1ItG2mGa2ceCfYo0BwxsXqNm01IGEUdYcSSLTEv9YCik/edit?usp=sharing"",""เบิกจ่ายกองทุน!S58"")"),211520)</f>
        <v>211520</v>
      </c>
      <c r="S123" s="74">
        <f ca="1">IFERROR(__xludf.DUMMYFUNCTION("IMPORTRANGE(""https://docs.google.com/spreadsheets/d/1ItG2mGa2ceCfYo0BwxsXqNm01IGEUdYcSSLTEv9YCik/edit?usp=sharing"",""เบิกจ่ายกองทุน!T58"")"),0)</f>
        <v>0</v>
      </c>
      <c r="T123" s="74">
        <f t="shared" ca="1" si="77"/>
        <v>0</v>
      </c>
      <c r="U123" s="74">
        <f t="shared" ca="1" si="78"/>
        <v>0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4">
        <f t="shared" ref="L124:N124" ca="1" si="83">L125+L126</f>
        <v>0</v>
      </c>
      <c r="M124" s="74">
        <f t="shared" ca="1" si="83"/>
        <v>0</v>
      </c>
      <c r="N124" s="74">
        <f t="shared" ca="1" si="83"/>
        <v>0</v>
      </c>
      <c r="O124" s="74">
        <f t="shared" ca="1" si="74"/>
        <v>0</v>
      </c>
      <c r="P124" s="74">
        <f t="shared" ca="1" si="75"/>
        <v>0</v>
      </c>
      <c r="Q124" s="73">
        <f t="shared" ref="Q124:S124" si="84">Q125+Q126</f>
        <v>0</v>
      </c>
      <c r="R124" s="74">
        <f t="shared" si="84"/>
        <v>0</v>
      </c>
      <c r="S124" s="74">
        <f t="shared" si="84"/>
        <v>0</v>
      </c>
      <c r="T124" s="74">
        <f t="shared" si="77"/>
        <v>0</v>
      </c>
      <c r="U124" s="74">
        <f t="shared" si="78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7">
        <v>0</v>
      </c>
      <c r="M125" s="77">
        <v>0</v>
      </c>
      <c r="N125" s="77">
        <v>0</v>
      </c>
      <c r="O125" s="77">
        <f t="shared" si="74"/>
        <v>0</v>
      </c>
      <c r="P125" s="77">
        <f t="shared" si="75"/>
        <v>0</v>
      </c>
      <c r="Q125" s="76">
        <v>0</v>
      </c>
      <c r="R125" s="77">
        <v>0</v>
      </c>
      <c r="S125" s="77">
        <v>0</v>
      </c>
      <c r="T125" s="77">
        <f t="shared" si="77"/>
        <v>0</v>
      </c>
      <c r="U125" s="77">
        <f t="shared" si="78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4">
        <f ca="1">IFERROR(__xludf.DUMMYFUNCTION("IMPORTRANGE(""https://docs.google.com/spreadsheets/d/1-uDff_7J0KD5mKrp0Vvzr7lt3OU09vwQwhkpOPPYv2Y/edit?usp=sharing"",""งบพรบ!BJ58"")"),0)</f>
        <v>0</v>
      </c>
      <c r="M126" s="74">
        <f ca="1">IFERROR(__xludf.DUMMYFUNCTION("IMPORTRANGE(""https://docs.google.com/spreadsheets/d/1-uDff_7J0KD5mKrp0Vvzr7lt3OU09vwQwhkpOPPYv2Y/edit?usp=sharing"",""งบพรบ!BM58"")"),0)</f>
        <v>0</v>
      </c>
      <c r="N126" s="74">
        <f ca="1">IFERROR(__xludf.DUMMYFUNCTION("IMPORTRANGE(""https://docs.google.com/spreadsheets/d/1-uDff_7J0KD5mKrp0Vvzr7lt3OU09vwQwhkpOPPYv2Y/edit?usp=sharing"",""งบพรบ!BO58"")"),0)</f>
        <v>0</v>
      </c>
      <c r="O126" s="74">
        <f t="shared" ca="1" si="74"/>
        <v>0</v>
      </c>
      <c r="P126" s="74">
        <f t="shared" ca="1" si="75"/>
        <v>0</v>
      </c>
      <c r="Q126" s="73">
        <v>0</v>
      </c>
      <c r="R126" s="74">
        <v>0</v>
      </c>
      <c r="S126" s="74">
        <v>0</v>
      </c>
      <c r="T126" s="74">
        <f t="shared" si="77"/>
        <v>0</v>
      </c>
      <c r="U126" s="74">
        <f t="shared" si="78"/>
        <v>0</v>
      </c>
    </row>
    <row r="127" spans="1:21" ht="19.5" x14ac:dyDescent="0.3">
      <c r="A127" s="890"/>
      <c r="B127" s="891"/>
      <c r="C127" s="905" t="s">
        <v>18</v>
      </c>
      <c r="D127" s="1108" t="s">
        <v>38</v>
      </c>
      <c r="E127" s="1109"/>
      <c r="F127" s="1109"/>
      <c r="G127" s="1110"/>
      <c r="H127" s="1111"/>
      <c r="I127" s="846"/>
      <c r="J127" s="846"/>
      <c r="K127" s="450"/>
      <c r="L127" s="450"/>
      <c r="M127" s="450"/>
      <c r="N127" s="450"/>
      <c r="O127" s="450"/>
      <c r="P127" s="450"/>
      <c r="Q127" s="86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IFERROR(__xludf.DUMMYFUNCTION("IMPORTRANGE(""https://docs.google.com/spreadsheets/d/1eHaY18a8A9IcSdp1K8H6x8fbOy06t2VsZHhMHf-1x7Y/edit?usp=sharing"",""แผน!FF58"")"),20)</f>
        <v>20</v>
      </c>
      <c r="J128" s="294">
        <v>20</v>
      </c>
      <c r="K128" s="74">
        <f t="shared" ref="K128:K131" ca="1" si="85">IF(I128&gt;0,J128*100/I128,0)</f>
        <v>100</v>
      </c>
      <c r="L128" s="87"/>
      <c r="M128" s="87"/>
      <c r="N128" s="87"/>
      <c r="O128" s="87"/>
      <c r="P128" s="87"/>
      <c r="Q128" s="86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IFERROR(__xludf.DUMMYFUNCTION("IMPORTRANGE(""https://docs.google.com/spreadsheets/d/1eHaY18a8A9IcSdp1K8H6x8fbOy06t2VsZHhMHf-1x7Y/edit?usp=sharing"",""แผน!FG58"")"),0)</f>
        <v>0</v>
      </c>
      <c r="J129" s="294">
        <v>2</v>
      </c>
      <c r="K129" s="74">
        <f t="shared" ca="1" si="85"/>
        <v>0</v>
      </c>
      <c r="L129" s="87"/>
      <c r="M129" s="87"/>
      <c r="N129" s="87"/>
      <c r="O129" s="87"/>
      <c r="P129" s="87"/>
      <c r="Q129" s="86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74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IFERROR(__xludf.DUMMYFUNCTION("IMPORTRANGE(""https://docs.google.com/spreadsheets/d/1eHaY18a8A9IcSdp1K8H6x8fbOy06t2VsZHhMHf-1x7Y/edit?usp=sharing"",""แผน!FH58"")"),20)</f>
        <v>20</v>
      </c>
      <c r="J130" s="294">
        <v>20</v>
      </c>
      <c r="K130" s="74">
        <f t="shared" ca="1" si="85"/>
        <v>100</v>
      </c>
      <c r="L130" s="87"/>
      <c r="M130" s="87"/>
      <c r="N130" s="87"/>
      <c r="O130" s="87"/>
      <c r="P130" s="87"/>
      <c r="Q130" s="86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77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IFERROR(__xludf.DUMMYFUNCTION("IMPORTRANGE(""https://docs.google.com/spreadsheets/d/1eHaY18a8A9IcSdp1K8H6x8fbOy06t2VsZHhMHf-1x7Y/edit?usp=sharing"",""แผน!FI58"")"),0)</f>
        <v>0</v>
      </c>
      <c r="J131" s="294">
        <v>2</v>
      </c>
      <c r="K131" s="74">
        <f t="shared" ca="1" si="85"/>
        <v>0</v>
      </c>
      <c r="L131" s="87"/>
      <c r="M131" s="87"/>
      <c r="N131" s="87"/>
      <c r="O131" s="87"/>
      <c r="P131" s="87"/>
      <c r="Q131" s="86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708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7"/>
      <c r="M132" s="87"/>
      <c r="N132" s="87"/>
      <c r="O132" s="87"/>
      <c r="P132" s="87"/>
      <c r="Q132" s="86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708" t="s">
        <v>57</v>
      </c>
      <c r="E133" s="296"/>
      <c r="F133" s="296"/>
      <c r="G133" s="282"/>
      <c r="H133" s="312"/>
      <c r="I133" s="263"/>
      <c r="J133" s="263"/>
      <c r="K133" s="87"/>
      <c r="L133" s="87"/>
      <c r="M133" s="87"/>
      <c r="N133" s="87"/>
      <c r="O133" s="87"/>
      <c r="P133" s="87"/>
      <c r="Q133" s="86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30"/>
      <c r="M134" s="30"/>
      <c r="N134" s="30"/>
      <c r="O134" s="30"/>
      <c r="P134" s="30"/>
      <c r="Q134" s="29"/>
      <c r="R134" s="30"/>
      <c r="S134" s="30"/>
      <c r="T134" s="30"/>
      <c r="U134" s="30"/>
    </row>
    <row r="135" spans="1:21" ht="19.5" hidden="1" x14ac:dyDescent="0.3">
      <c r="A135" s="1099" t="s">
        <v>58</v>
      </c>
      <c r="B135" s="691"/>
      <c r="C135" s="692"/>
      <c r="D135" s="691"/>
      <c r="E135" s="691"/>
      <c r="F135" s="691"/>
      <c r="G135" s="691"/>
      <c r="H135" s="693"/>
      <c r="I135" s="694"/>
      <c r="J135" s="694"/>
      <c r="K135" s="695"/>
      <c r="L135" s="200"/>
      <c r="M135" s="200"/>
      <c r="N135" s="200"/>
      <c r="O135" s="200"/>
      <c r="P135" s="200"/>
      <c r="Q135" s="199"/>
      <c r="R135" s="200"/>
      <c r="S135" s="200"/>
      <c r="T135" s="200"/>
      <c r="U135" s="200"/>
    </row>
    <row r="136" spans="1:21" ht="19.5" hidden="1" x14ac:dyDescent="0.3">
      <c r="A136" s="250"/>
      <c r="B136" s="251" t="s">
        <v>59</v>
      </c>
      <c r="C136" s="304"/>
      <c r="D136" s="253"/>
      <c r="E136" s="252"/>
      <c r="F136" s="252"/>
      <c r="G136" s="252"/>
      <c r="H136" s="253"/>
      <c r="I136" s="698"/>
      <c r="J136" s="699"/>
      <c r="K136" s="208"/>
      <c r="L136" s="208"/>
      <c r="M136" s="208"/>
      <c r="N136" s="208"/>
      <c r="O136" s="208"/>
      <c r="P136" s="208"/>
      <c r="Q136" s="207"/>
      <c r="R136" s="208"/>
      <c r="S136" s="208"/>
      <c r="T136" s="208"/>
      <c r="U136" s="208"/>
    </row>
    <row r="137" spans="1:21" ht="19.5" hidden="1" x14ac:dyDescent="0.3">
      <c r="A137" s="250"/>
      <c r="B137" s="252"/>
      <c r="C137" s="1112" t="s">
        <v>60</v>
      </c>
      <c r="D137" s="253"/>
      <c r="E137" s="252"/>
      <c r="F137" s="252"/>
      <c r="G137" s="254"/>
      <c r="H137" s="255" t="s">
        <v>61</v>
      </c>
      <c r="I137" s="256">
        <f t="shared" ref="I137:J137" ca="1" si="86">I155</f>
        <v>0</v>
      </c>
      <c r="J137" s="256">
        <f t="shared" si="86"/>
        <v>0</v>
      </c>
      <c r="K137" s="59">
        <f t="shared" ref="K137:K139" ca="1" si="87">IF(I137&gt;0,J137*100/I137,0)</f>
        <v>0</v>
      </c>
      <c r="L137" s="208"/>
      <c r="M137" s="208"/>
      <c r="N137" s="208"/>
      <c r="O137" s="208"/>
      <c r="P137" s="208"/>
      <c r="Q137" s="207"/>
      <c r="R137" s="208"/>
      <c r="S137" s="208"/>
      <c r="T137" s="208"/>
      <c r="U137" s="208"/>
    </row>
    <row r="138" spans="1:21" ht="19.5" hidden="1" x14ac:dyDescent="0.3">
      <c r="A138" s="250"/>
      <c r="B138" s="252"/>
      <c r="C138" s="1112" t="s">
        <v>62</v>
      </c>
      <c r="D138" s="253"/>
      <c r="E138" s="252"/>
      <c r="F138" s="252"/>
      <c r="G138" s="254"/>
      <c r="H138" s="255" t="s">
        <v>35</v>
      </c>
      <c r="I138" s="256">
        <f t="shared" ref="I138:J139" ca="1" si="88">I153</f>
        <v>0</v>
      </c>
      <c r="J138" s="256">
        <f t="shared" si="88"/>
        <v>0</v>
      </c>
      <c r="K138" s="59">
        <f t="shared" ca="1" si="87"/>
        <v>0</v>
      </c>
      <c r="L138" s="208"/>
      <c r="M138" s="208"/>
      <c r="N138" s="208"/>
      <c r="O138" s="208"/>
      <c r="P138" s="208"/>
      <c r="Q138" s="207"/>
      <c r="R138" s="208"/>
      <c r="S138" s="208"/>
      <c r="T138" s="208"/>
      <c r="U138" s="208"/>
    </row>
    <row r="139" spans="1:21" ht="19.5" hidden="1" x14ac:dyDescent="0.3">
      <c r="A139" s="250"/>
      <c r="B139" s="252"/>
      <c r="C139" s="304"/>
      <c r="D139" s="253"/>
      <c r="E139" s="252"/>
      <c r="F139" s="252"/>
      <c r="G139" s="254"/>
      <c r="H139" s="255" t="s">
        <v>54</v>
      </c>
      <c r="I139" s="256">
        <f t="shared" ca="1" si="88"/>
        <v>0</v>
      </c>
      <c r="J139" s="256">
        <f t="shared" si="88"/>
        <v>0</v>
      </c>
      <c r="K139" s="59">
        <f t="shared" ca="1" si="87"/>
        <v>0</v>
      </c>
      <c r="L139" s="208"/>
      <c r="M139" s="208"/>
      <c r="N139" s="208"/>
      <c r="O139" s="208"/>
      <c r="P139" s="208"/>
      <c r="Q139" s="207"/>
      <c r="R139" s="208"/>
      <c r="S139" s="208"/>
      <c r="T139" s="208"/>
      <c r="U139" s="208"/>
    </row>
    <row r="140" spans="1:21" ht="19.5" hidden="1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264">
        <f t="shared" ref="L140:N140" ca="1" si="89">L141+L142</f>
        <v>0</v>
      </c>
      <c r="M140" s="264">
        <f t="shared" ca="1" si="89"/>
        <v>0</v>
      </c>
      <c r="N140" s="264">
        <f t="shared" ca="1" si="89"/>
        <v>0</v>
      </c>
      <c r="O140" s="264">
        <f t="shared" ref="O140:O148" ca="1" si="90">IF(L140&gt;0,N140*100/L140,0)</f>
        <v>0</v>
      </c>
      <c r="P140" s="264">
        <f t="shared" ref="P140:P148" ca="1" si="91">IF(M140&gt;0,N140*100/M140,0)</f>
        <v>0</v>
      </c>
      <c r="Q140" s="1257">
        <f t="shared" ref="Q140:S140" ca="1" si="92">Q141+Q142</f>
        <v>0</v>
      </c>
      <c r="R140" s="264">
        <f t="shared" ca="1" si="92"/>
        <v>0</v>
      </c>
      <c r="S140" s="264">
        <f t="shared" ca="1" si="92"/>
        <v>0</v>
      </c>
      <c r="T140" s="264">
        <f t="shared" ref="T140:T148" ca="1" si="93">IF(Q140&gt;0,S140*100/Q140,0)</f>
        <v>0</v>
      </c>
      <c r="U140" s="264">
        <f t="shared" ref="U140:U148" ca="1" si="94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7">
        <f t="shared" ref="L141:N142" si="95">L144+L147</f>
        <v>0</v>
      </c>
      <c r="M141" s="77">
        <f t="shared" si="95"/>
        <v>0</v>
      </c>
      <c r="N141" s="77">
        <f t="shared" si="95"/>
        <v>0</v>
      </c>
      <c r="O141" s="77">
        <f t="shared" si="90"/>
        <v>0</v>
      </c>
      <c r="P141" s="77">
        <f t="shared" si="91"/>
        <v>0</v>
      </c>
      <c r="Q141" s="76">
        <f t="shared" ref="Q141:S142" si="96">Q144+Q147</f>
        <v>0</v>
      </c>
      <c r="R141" s="77">
        <f t="shared" si="96"/>
        <v>0</v>
      </c>
      <c r="S141" s="77">
        <f t="shared" si="96"/>
        <v>0</v>
      </c>
      <c r="T141" s="77">
        <f t="shared" si="93"/>
        <v>0</v>
      </c>
      <c r="U141" s="77">
        <f t="shared" si="94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4">
        <f t="shared" ca="1" si="95"/>
        <v>0</v>
      </c>
      <c r="M142" s="74">
        <f t="shared" ca="1" si="95"/>
        <v>0</v>
      </c>
      <c r="N142" s="74">
        <f t="shared" ca="1" si="95"/>
        <v>0</v>
      </c>
      <c r="O142" s="74">
        <f t="shared" ca="1" si="90"/>
        <v>0</v>
      </c>
      <c r="P142" s="74">
        <f t="shared" ca="1" si="91"/>
        <v>0</v>
      </c>
      <c r="Q142" s="73">
        <f t="shared" ca="1" si="96"/>
        <v>0</v>
      </c>
      <c r="R142" s="74">
        <f t="shared" ca="1" si="96"/>
        <v>0</v>
      </c>
      <c r="S142" s="74">
        <f t="shared" ca="1" si="96"/>
        <v>0</v>
      </c>
      <c r="T142" s="74">
        <f t="shared" ca="1" si="93"/>
        <v>0</v>
      </c>
      <c r="U142" s="74">
        <f t="shared" ca="1" si="94"/>
        <v>0</v>
      </c>
    </row>
    <row r="143" spans="1:21" ht="18.75" hidden="1" x14ac:dyDescent="0.25">
      <c r="A143" s="257"/>
      <c r="B143" s="269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4">
        <f t="shared" ref="L143:N143" ca="1" si="97">L144+L145</f>
        <v>0</v>
      </c>
      <c r="M143" s="74">
        <f t="shared" ca="1" si="97"/>
        <v>0</v>
      </c>
      <c r="N143" s="74">
        <f t="shared" ca="1" si="97"/>
        <v>0</v>
      </c>
      <c r="O143" s="74">
        <f t="shared" ca="1" si="90"/>
        <v>0</v>
      </c>
      <c r="P143" s="74">
        <f t="shared" ca="1" si="91"/>
        <v>0</v>
      </c>
      <c r="Q143" s="73">
        <f t="shared" ref="Q143:S143" ca="1" si="98">Q144+Q145</f>
        <v>0</v>
      </c>
      <c r="R143" s="74">
        <f t="shared" ca="1" si="98"/>
        <v>0</v>
      </c>
      <c r="S143" s="74">
        <f t="shared" ca="1" si="98"/>
        <v>0</v>
      </c>
      <c r="T143" s="74">
        <f t="shared" ca="1" si="93"/>
        <v>0</v>
      </c>
      <c r="U143" s="74">
        <f t="shared" ca="1" si="94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7">
        <v>0</v>
      </c>
      <c r="M144" s="77">
        <v>0</v>
      </c>
      <c r="N144" s="77">
        <v>0</v>
      </c>
      <c r="O144" s="77">
        <f t="shared" si="90"/>
        <v>0</v>
      </c>
      <c r="P144" s="77">
        <f t="shared" si="91"/>
        <v>0</v>
      </c>
      <c r="Q144" s="76">
        <v>0</v>
      </c>
      <c r="R144" s="77">
        <v>0</v>
      </c>
      <c r="S144" s="77">
        <v>0</v>
      </c>
      <c r="T144" s="77">
        <f t="shared" si="93"/>
        <v>0</v>
      </c>
      <c r="U144" s="77">
        <f t="shared" si="94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4">
        <f ca="1">IFERROR(__xludf.DUMMYFUNCTION("IMPORTRANGE(""https://docs.google.com/spreadsheets/d/1-uDff_7J0KD5mKrp0Vvzr7lt3OU09vwQwhkpOPPYv2Y/edit?usp=sharing"",""งบพรบ!BQ58"")"),0)</f>
        <v>0</v>
      </c>
      <c r="M145" s="74">
        <f ca="1">IFERROR(__xludf.DUMMYFUNCTION("IMPORTRANGE(""https://docs.google.com/spreadsheets/d/1-uDff_7J0KD5mKrp0Vvzr7lt3OU09vwQwhkpOPPYv2Y/edit?usp=sharing"",""งบพรบ!BV58"")"),0)</f>
        <v>0</v>
      </c>
      <c r="N145" s="74">
        <f ca="1">IFERROR(__xludf.DUMMYFUNCTION("IMPORTRANGE(""https://docs.google.com/spreadsheets/d/1-uDff_7J0KD5mKrp0Vvzr7lt3OU09vwQwhkpOPPYv2Y/edit?usp=sharing"",""งบพรบ!BX58"")"),0)</f>
        <v>0</v>
      </c>
      <c r="O145" s="74">
        <f t="shared" ca="1" si="90"/>
        <v>0</v>
      </c>
      <c r="P145" s="74">
        <f t="shared" ca="1" si="91"/>
        <v>0</v>
      </c>
      <c r="Q145" s="73">
        <f ca="1">IFERROR(__xludf.DUMMYFUNCTION("IMPORTRANGE(""https://docs.google.com/spreadsheets/d/1ItG2mGa2ceCfYo0BwxsXqNm01IGEUdYcSSLTEv9YCik/edit?usp=sharing"",""เบิกจ่ายกองทุน!BB58"")"),0)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IFERROR(__xludf.DUMMYFUNCTION("IMPORTRANGE(""https://docs.google.com/spreadsheets/d/1ItG2mGa2ceCfYo0BwxsXqNm01IGEUdYcSSLTEv9YCik/edit?usp=sharing"",""เบิกจ่ายกองทุน!BC58"")"),0)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IFERROR(__xludf.DUMMYFUNCTION("IMPORTRANGE(""https://docs.google.com/spreadsheets/d/1ItG2mGa2ceCfYo0BwxsXqNm01IGEUdYcSSLTEv9YCik/edit?usp=sharing"",""เบิกจ่ายกองทุน!BD58"")"),0)</f>
        <v>0</v>
      </c>
      <c r="T145" s="74">
        <f t="shared" ca="1" si="93"/>
        <v>0</v>
      </c>
      <c r="U145" s="74">
        <f t="shared" ca="1" si="94"/>
        <v>0</v>
      </c>
    </row>
    <row r="146" spans="1:21" ht="18.75" hidden="1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4">
        <f t="shared" ref="L146:N146" ca="1" si="99">L147+L148</f>
        <v>0</v>
      </c>
      <c r="M146" s="74">
        <f t="shared" ca="1" si="99"/>
        <v>0</v>
      </c>
      <c r="N146" s="74">
        <f t="shared" ca="1" si="99"/>
        <v>0</v>
      </c>
      <c r="O146" s="74">
        <f t="shared" ca="1" si="90"/>
        <v>0</v>
      </c>
      <c r="P146" s="74">
        <f t="shared" ca="1" si="91"/>
        <v>0</v>
      </c>
      <c r="Q146" s="73">
        <f t="shared" ref="Q146:S146" si="100">Q147+Q148</f>
        <v>0</v>
      </c>
      <c r="R146" s="74">
        <f t="shared" si="100"/>
        <v>0</v>
      </c>
      <c r="S146" s="74">
        <f t="shared" si="100"/>
        <v>0</v>
      </c>
      <c r="T146" s="74">
        <f t="shared" si="93"/>
        <v>0</v>
      </c>
      <c r="U146" s="74">
        <f t="shared" si="94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7">
        <v>0</v>
      </c>
      <c r="M147" s="77">
        <v>0</v>
      </c>
      <c r="N147" s="77">
        <v>0</v>
      </c>
      <c r="O147" s="77">
        <f t="shared" si="90"/>
        <v>0</v>
      </c>
      <c r="P147" s="77">
        <f t="shared" si="91"/>
        <v>0</v>
      </c>
      <c r="Q147" s="76">
        <v>0</v>
      </c>
      <c r="R147" s="77">
        <v>0</v>
      </c>
      <c r="S147" s="77">
        <v>0</v>
      </c>
      <c r="T147" s="77">
        <f t="shared" si="93"/>
        <v>0</v>
      </c>
      <c r="U147" s="77">
        <f t="shared" si="94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4">
        <f ca="1">IFERROR(__xludf.DUMMYFUNCTION("IMPORTRANGE(""https://docs.google.com/spreadsheets/d/1-uDff_7J0KD5mKrp0Vvzr7lt3OU09vwQwhkpOPPYv2Y/edit?usp=sharing"",""งบพรบ!BT58"")"),0)</f>
        <v>0</v>
      </c>
      <c r="M148" s="74">
        <f ca="1">IFERROR(__xludf.DUMMYFUNCTION("IMPORTRANGE(""https://docs.google.com/spreadsheets/d/1-uDff_7J0KD5mKrp0Vvzr7lt3OU09vwQwhkpOPPYv2Y/edit?usp=sharing"",""งบพรบ!BW58"")"),0)</f>
        <v>0</v>
      </c>
      <c r="N148" s="74">
        <f ca="1">IFERROR(__xludf.DUMMYFUNCTION("IMPORTRANGE(""https://docs.google.com/spreadsheets/d/1-uDff_7J0KD5mKrp0Vvzr7lt3OU09vwQwhkpOPPYv2Y/edit?usp=sharing"",""งบพรบ!BY58"")"),0)</f>
        <v>0</v>
      </c>
      <c r="O148" s="74">
        <f t="shared" ca="1" si="90"/>
        <v>0</v>
      </c>
      <c r="P148" s="74">
        <f t="shared" ca="1" si="91"/>
        <v>0</v>
      </c>
      <c r="Q148" s="73">
        <v>0</v>
      </c>
      <c r="R148" s="74">
        <v>0</v>
      </c>
      <c r="S148" s="74">
        <v>0</v>
      </c>
      <c r="T148" s="74">
        <f t="shared" si="93"/>
        <v>0</v>
      </c>
      <c r="U148" s="74">
        <f t="shared" si="94"/>
        <v>0</v>
      </c>
    </row>
    <row r="149" spans="1:21" ht="19.5" hidden="1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7"/>
      <c r="M149" s="87"/>
      <c r="N149" s="87"/>
      <c r="O149" s="87"/>
      <c r="P149" s="87"/>
      <c r="Q149" s="86"/>
      <c r="R149" s="87"/>
      <c r="S149" s="87"/>
      <c r="T149" s="87"/>
      <c r="U149" s="87"/>
    </row>
    <row r="150" spans="1:21" ht="18.75" hidden="1" x14ac:dyDescent="0.25">
      <c r="A150" s="257"/>
      <c r="B150" s="258"/>
      <c r="C150" s="306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7"/>
      <c r="M150" s="87"/>
      <c r="N150" s="87"/>
      <c r="O150" s="87"/>
      <c r="P150" s="87"/>
      <c r="Q150" s="86"/>
      <c r="R150" s="87"/>
      <c r="S150" s="87"/>
      <c r="T150" s="87"/>
      <c r="U150" s="87"/>
    </row>
    <row r="151" spans="1:21" ht="19.5" hidden="1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IFERROR(__xludf.DUMMYFUNCTION("IMPORTRANGE(""https://docs.google.com/spreadsheets/d/1eHaY18a8A9IcSdp1K8H6x8fbOy06t2VsZHhMHf-1x7Y/edit?usp=sharing"",""แผน!U58"")"),0)</f>
        <v>0</v>
      </c>
      <c r="J151" s="294">
        <v>0</v>
      </c>
      <c r="K151" s="74">
        <f t="shared" ref="K151:K155" ca="1" si="101">IF(I151&gt;0,J151*100/I151,0)</f>
        <v>0</v>
      </c>
      <c r="L151" s="87"/>
      <c r="M151" s="87"/>
      <c r="N151" s="87"/>
      <c r="O151" s="87"/>
      <c r="P151" s="87"/>
      <c r="Q151" s="86"/>
      <c r="R151" s="87"/>
      <c r="S151" s="87"/>
      <c r="T151" s="87"/>
      <c r="U151" s="87"/>
    </row>
    <row r="152" spans="1:21" ht="18.75" hidden="1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IFERROR(__xludf.DUMMYFUNCTION("IMPORTRANGE(""https://docs.google.com/spreadsheets/d/1eHaY18a8A9IcSdp1K8H6x8fbOy06t2VsZHhMHf-1x7Y/edit?usp=sharing"",""แผน!V58"")"),0)</f>
        <v>0</v>
      </c>
      <c r="J152" s="294">
        <v>0</v>
      </c>
      <c r="K152" s="74">
        <f t="shared" ca="1" si="101"/>
        <v>0</v>
      </c>
      <c r="L152" s="87"/>
      <c r="M152" s="87"/>
      <c r="N152" s="87"/>
      <c r="O152" s="87"/>
      <c r="P152" s="87"/>
      <c r="Q152" s="86"/>
      <c r="R152" s="87"/>
      <c r="S152" s="87"/>
      <c r="T152" s="87"/>
      <c r="U152" s="87"/>
    </row>
    <row r="153" spans="1:21" ht="19.5" hidden="1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IFERROR(__xludf.DUMMYFUNCTION("IMPORTRANGE(""https://docs.google.com/spreadsheets/d/1eHaY18a8A9IcSdp1K8H6x8fbOy06t2VsZHhMHf-1x7Y/edit?usp=sharing"",""แผน!W58"")"),0)</f>
        <v>0</v>
      </c>
      <c r="J153" s="294">
        <v>0</v>
      </c>
      <c r="K153" s="74">
        <f t="shared" ca="1" si="101"/>
        <v>0</v>
      </c>
      <c r="L153" s="87"/>
      <c r="M153" s="87"/>
      <c r="N153" s="87"/>
      <c r="O153" s="87"/>
      <c r="P153" s="87"/>
      <c r="Q153" s="86"/>
      <c r="R153" s="87"/>
      <c r="S153" s="87"/>
      <c r="T153" s="87"/>
      <c r="U153" s="87"/>
    </row>
    <row r="154" spans="1:21" ht="18.75" hidden="1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IFERROR(__xludf.DUMMYFUNCTION("IMPORTRANGE(""https://docs.google.com/spreadsheets/d/1eHaY18a8A9IcSdp1K8H6x8fbOy06t2VsZHhMHf-1x7Y/edit?usp=sharing"",""แผน!X58"")"),0)</f>
        <v>0</v>
      </c>
      <c r="J154" s="294">
        <v>0</v>
      </c>
      <c r="K154" s="74">
        <f t="shared" ca="1" si="101"/>
        <v>0</v>
      </c>
      <c r="L154" s="87"/>
      <c r="M154" s="87"/>
      <c r="N154" s="87"/>
      <c r="O154" s="87"/>
      <c r="P154" s="87"/>
      <c r="Q154" s="86"/>
      <c r="R154" s="87"/>
      <c r="S154" s="87"/>
      <c r="T154" s="87"/>
      <c r="U154" s="87"/>
    </row>
    <row r="155" spans="1:21" ht="18.75" hidden="1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IFERROR(__xludf.DUMMYFUNCTION("IMPORTRANGE(""https://docs.google.com/spreadsheets/d/1eHaY18a8A9IcSdp1K8H6x8fbOy06t2VsZHhMHf-1x7Y/edit?usp=sharing"",""แผน!Y58"")"),0)</f>
        <v>0</v>
      </c>
      <c r="J155" s="294">
        <v>0</v>
      </c>
      <c r="K155" s="74">
        <f t="shared" ca="1" si="101"/>
        <v>0</v>
      </c>
      <c r="L155" s="87"/>
      <c r="M155" s="87"/>
      <c r="N155" s="87"/>
      <c r="O155" s="87"/>
      <c r="P155" s="87"/>
      <c r="Q155" s="86"/>
      <c r="R155" s="87"/>
      <c r="S155" s="87"/>
      <c r="T155" s="87"/>
      <c r="U155" s="87"/>
    </row>
    <row r="156" spans="1:21" ht="19.5" hidden="1" x14ac:dyDescent="0.3">
      <c r="A156" s="1099" t="s">
        <v>67</v>
      </c>
      <c r="B156" s="691"/>
      <c r="C156" s="692"/>
      <c r="D156" s="691"/>
      <c r="E156" s="691"/>
      <c r="F156" s="691"/>
      <c r="G156" s="691"/>
      <c r="H156" s="693"/>
      <c r="I156" s="694"/>
      <c r="J156" s="694"/>
      <c r="K156" s="695"/>
      <c r="L156" s="200"/>
      <c r="M156" s="200"/>
      <c r="N156" s="200"/>
      <c r="O156" s="200"/>
      <c r="P156" s="200"/>
      <c r="Q156" s="199"/>
      <c r="R156" s="200"/>
      <c r="S156" s="200"/>
      <c r="T156" s="200"/>
      <c r="U156" s="200"/>
    </row>
    <row r="157" spans="1:21" ht="19.5" hidden="1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2">I170</f>
        <v>0</v>
      </c>
      <c r="J157" s="256">
        <f t="shared" si="102"/>
        <v>0</v>
      </c>
      <c r="K157" s="59">
        <f ca="1">IF(I157&gt;0,J157*100/I157,0)</f>
        <v>0</v>
      </c>
      <c r="L157" s="208"/>
      <c r="M157" s="208"/>
      <c r="N157" s="208"/>
      <c r="O157" s="208"/>
      <c r="P157" s="208"/>
      <c r="Q157" s="207"/>
      <c r="R157" s="208"/>
      <c r="S157" s="208"/>
      <c r="T157" s="208"/>
      <c r="U157" s="208"/>
    </row>
    <row r="158" spans="1:21" ht="19.5" hidden="1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264">
        <f t="shared" ref="L158:N158" ca="1" si="103">L159+L160</f>
        <v>0</v>
      </c>
      <c r="M158" s="264">
        <f t="shared" ca="1" si="103"/>
        <v>0</v>
      </c>
      <c r="N158" s="264">
        <f t="shared" ca="1" si="103"/>
        <v>0</v>
      </c>
      <c r="O158" s="264">
        <f t="shared" ref="O158:O166" ca="1" si="104">IF(L158&gt;0,N158*100/L158,0)</f>
        <v>0</v>
      </c>
      <c r="P158" s="264">
        <f t="shared" ref="P158:P166" ca="1" si="105">IF(M158&gt;0,N158*100/M158,0)</f>
        <v>0</v>
      </c>
      <c r="Q158" s="1257">
        <f t="shared" ref="Q158:S158" ca="1" si="106">Q159+Q160</f>
        <v>0</v>
      </c>
      <c r="R158" s="264">
        <f t="shared" ca="1" si="106"/>
        <v>0</v>
      </c>
      <c r="S158" s="264">
        <f t="shared" ca="1" si="106"/>
        <v>0</v>
      </c>
      <c r="T158" s="264">
        <f t="shared" ref="T158:T166" ca="1" si="107">IF(Q158&gt;0,S158*100/Q158,0)</f>
        <v>0</v>
      </c>
      <c r="U158" s="264">
        <f t="shared" ref="U158:U166" ca="1" si="108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7">
        <f t="shared" ref="L159:N160" si="109">L162+L165</f>
        <v>0</v>
      </c>
      <c r="M159" s="77">
        <f t="shared" si="109"/>
        <v>0</v>
      </c>
      <c r="N159" s="77">
        <f t="shared" si="109"/>
        <v>0</v>
      </c>
      <c r="O159" s="77">
        <f t="shared" si="104"/>
        <v>0</v>
      </c>
      <c r="P159" s="77">
        <f t="shared" si="105"/>
        <v>0</v>
      </c>
      <c r="Q159" s="76">
        <f t="shared" ref="Q159:S160" si="110">Q162+Q165</f>
        <v>0</v>
      </c>
      <c r="R159" s="77">
        <f t="shared" si="110"/>
        <v>0</v>
      </c>
      <c r="S159" s="77">
        <f t="shared" si="110"/>
        <v>0</v>
      </c>
      <c r="T159" s="77">
        <f t="shared" si="107"/>
        <v>0</v>
      </c>
      <c r="U159" s="77">
        <f t="shared" si="108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4">
        <f t="shared" ca="1" si="109"/>
        <v>0</v>
      </c>
      <c r="M160" s="74">
        <f t="shared" ca="1" si="109"/>
        <v>0</v>
      </c>
      <c r="N160" s="74">
        <f t="shared" ca="1" si="109"/>
        <v>0</v>
      </c>
      <c r="O160" s="74">
        <f t="shared" ca="1" si="104"/>
        <v>0</v>
      </c>
      <c r="P160" s="74">
        <f t="shared" ca="1" si="105"/>
        <v>0</v>
      </c>
      <c r="Q160" s="73">
        <f t="shared" ca="1" si="110"/>
        <v>0</v>
      </c>
      <c r="R160" s="74">
        <f t="shared" ca="1" si="110"/>
        <v>0</v>
      </c>
      <c r="S160" s="74">
        <f t="shared" ca="1" si="110"/>
        <v>0</v>
      </c>
      <c r="T160" s="74">
        <f t="shared" ca="1" si="107"/>
        <v>0</v>
      </c>
      <c r="U160" s="74">
        <f t="shared" ca="1" si="108"/>
        <v>0</v>
      </c>
    </row>
    <row r="161" spans="1:21" ht="18.75" hidden="1" x14ac:dyDescent="0.25">
      <c r="A161" s="257"/>
      <c r="B161" s="269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4">
        <f t="shared" ref="L161:N161" ca="1" si="111">L162+L163</f>
        <v>0</v>
      </c>
      <c r="M161" s="74">
        <f t="shared" ca="1" si="111"/>
        <v>0</v>
      </c>
      <c r="N161" s="74">
        <f t="shared" ca="1" si="111"/>
        <v>0</v>
      </c>
      <c r="O161" s="74">
        <f t="shared" ca="1" si="104"/>
        <v>0</v>
      </c>
      <c r="P161" s="74">
        <f t="shared" ca="1" si="105"/>
        <v>0</v>
      </c>
      <c r="Q161" s="73">
        <f t="shared" ref="Q161:S161" ca="1" si="112">Q162+Q163</f>
        <v>0</v>
      </c>
      <c r="R161" s="74">
        <f t="shared" ca="1" si="112"/>
        <v>0</v>
      </c>
      <c r="S161" s="74">
        <f t="shared" ca="1" si="112"/>
        <v>0</v>
      </c>
      <c r="T161" s="74">
        <f t="shared" ca="1" si="107"/>
        <v>0</v>
      </c>
      <c r="U161" s="74">
        <f t="shared" ca="1" si="108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7">
        <v>0</v>
      </c>
      <c r="M162" s="77">
        <v>0</v>
      </c>
      <c r="N162" s="77">
        <v>0</v>
      </c>
      <c r="O162" s="77">
        <f t="shared" si="104"/>
        <v>0</v>
      </c>
      <c r="P162" s="77">
        <f t="shared" si="105"/>
        <v>0</v>
      </c>
      <c r="Q162" s="76">
        <v>0</v>
      </c>
      <c r="R162" s="77">
        <v>0</v>
      </c>
      <c r="S162" s="77">
        <v>0</v>
      </c>
      <c r="T162" s="77">
        <f t="shared" si="107"/>
        <v>0</v>
      </c>
      <c r="U162" s="77">
        <f t="shared" si="108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4">
        <f ca="1">IFERROR(__xludf.DUMMYFUNCTION("IMPORTRANGE(""https://docs.google.com/spreadsheets/d/1-uDff_7J0KD5mKrp0Vvzr7lt3OU09vwQwhkpOPPYv2Y/edit?usp=sharing"",""งบพรบ!CA58"")"),0)</f>
        <v>0</v>
      </c>
      <c r="M163" s="74">
        <f ca="1">IFERROR(__xludf.DUMMYFUNCTION("IMPORTRANGE(""https://docs.google.com/spreadsheets/d/1-uDff_7J0KD5mKrp0Vvzr7lt3OU09vwQwhkpOPPYv2Y/edit?usp=sharing"",""งบพรบ!CF58"")"),0)</f>
        <v>0</v>
      </c>
      <c r="N163" s="74">
        <f ca="1">IFERROR(__xludf.DUMMYFUNCTION("IMPORTRANGE(""https://docs.google.com/spreadsheets/d/1-uDff_7J0KD5mKrp0Vvzr7lt3OU09vwQwhkpOPPYv2Y/edit?usp=sharing"",""งบพรบ!CH58"")"),0)</f>
        <v>0</v>
      </c>
      <c r="O163" s="74">
        <f t="shared" ca="1" si="104"/>
        <v>0</v>
      </c>
      <c r="P163" s="74">
        <f t="shared" ca="1" si="105"/>
        <v>0</v>
      </c>
      <c r="Q163" s="73">
        <f ca="1">IFERROR(__xludf.DUMMYFUNCTION("IMPORTRANGE(""https://docs.google.com/spreadsheets/d/1ItG2mGa2ceCfYo0BwxsXqNm01IGEUdYcSSLTEv9YCik/edit?usp=sharing"",""เบิกจ่ายกองทุน!AG58"")"),0)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IFERROR(__xludf.DUMMYFUNCTION("IMPORTRANGE(""https://docs.google.com/spreadsheets/d/1ItG2mGa2ceCfYo0BwxsXqNm01IGEUdYcSSLTEv9YCik/edit?usp=sharing"",""เบิกจ่ายกองทุน!AH58"")"),0)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IFERROR(__xludf.DUMMYFUNCTION("IMPORTRANGE(""https://docs.google.com/spreadsheets/d/1ItG2mGa2ceCfYo0BwxsXqNm01IGEUdYcSSLTEv9YCik/edit?usp=sharing"",""เบิกจ่ายกองทุน!AI58"")"),0)</f>
        <v>0</v>
      </c>
      <c r="T163" s="74">
        <f t="shared" ca="1" si="107"/>
        <v>0</v>
      </c>
      <c r="U163" s="74">
        <f t="shared" ca="1" si="108"/>
        <v>0</v>
      </c>
    </row>
    <row r="164" spans="1:21" ht="18.75" hidden="1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4">
        <f t="shared" ref="L164:N164" ca="1" si="113">L165+L166</f>
        <v>0</v>
      </c>
      <c r="M164" s="74">
        <f t="shared" ca="1" si="113"/>
        <v>0</v>
      </c>
      <c r="N164" s="74">
        <f t="shared" ca="1" si="113"/>
        <v>0</v>
      </c>
      <c r="O164" s="74">
        <f t="shared" ca="1" si="104"/>
        <v>0</v>
      </c>
      <c r="P164" s="74">
        <f t="shared" ca="1" si="105"/>
        <v>0</v>
      </c>
      <c r="Q164" s="73">
        <f t="shared" ref="Q164:S164" si="114">Q165+Q166</f>
        <v>0</v>
      </c>
      <c r="R164" s="74">
        <f t="shared" si="114"/>
        <v>0</v>
      </c>
      <c r="S164" s="74">
        <f t="shared" si="114"/>
        <v>0</v>
      </c>
      <c r="T164" s="74">
        <f t="shared" si="107"/>
        <v>0</v>
      </c>
      <c r="U164" s="74">
        <f t="shared" si="108"/>
        <v>0</v>
      </c>
    </row>
    <row r="165" spans="1:21" ht="18.75" hidden="1" x14ac:dyDescent="0.25">
      <c r="A165" s="257"/>
      <c r="B165" s="269"/>
      <c r="C165" s="269"/>
      <c r="D165" s="269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7">
        <v>0</v>
      </c>
      <c r="M165" s="77">
        <v>0</v>
      </c>
      <c r="N165" s="77">
        <v>0</v>
      </c>
      <c r="O165" s="77">
        <f t="shared" si="104"/>
        <v>0</v>
      </c>
      <c r="P165" s="77">
        <f t="shared" si="105"/>
        <v>0</v>
      </c>
      <c r="Q165" s="76">
        <v>0</v>
      </c>
      <c r="R165" s="77">
        <v>0</v>
      </c>
      <c r="S165" s="77">
        <v>0</v>
      </c>
      <c r="T165" s="77">
        <f t="shared" si="107"/>
        <v>0</v>
      </c>
      <c r="U165" s="77">
        <f t="shared" si="108"/>
        <v>0</v>
      </c>
    </row>
    <row r="166" spans="1:21" ht="18.75" hidden="1" x14ac:dyDescent="0.25">
      <c r="A166" s="257"/>
      <c r="B166" s="269"/>
      <c r="C166" s="269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4">
        <f ca="1">IFERROR(__xludf.DUMMYFUNCTION("IMPORTRANGE(""https://docs.google.com/spreadsheets/d/1-uDff_7J0KD5mKrp0Vvzr7lt3OU09vwQwhkpOPPYv2Y/edit?usp=sharing"",""งบพรบ!CD58"")"),0)</f>
        <v>0</v>
      </c>
      <c r="M166" s="74">
        <f ca="1">IFERROR(__xludf.DUMMYFUNCTION("IMPORTRANGE(""https://docs.google.com/spreadsheets/d/1-uDff_7J0KD5mKrp0Vvzr7lt3OU09vwQwhkpOPPYv2Y/edit?usp=sharing"",""งบพรบ!CG58"")"),0)</f>
        <v>0</v>
      </c>
      <c r="N166" s="74">
        <f ca="1">IFERROR(__xludf.DUMMYFUNCTION("IMPORTRANGE(""https://docs.google.com/spreadsheets/d/1-uDff_7J0KD5mKrp0Vvzr7lt3OU09vwQwhkpOPPYv2Y/edit?usp=sharing"",""งบพรบ!CI58"")"),0)</f>
        <v>0</v>
      </c>
      <c r="O166" s="74">
        <f t="shared" ca="1" si="104"/>
        <v>0</v>
      </c>
      <c r="P166" s="74">
        <f t="shared" ca="1" si="105"/>
        <v>0</v>
      </c>
      <c r="Q166" s="73">
        <v>0</v>
      </c>
      <c r="R166" s="74">
        <v>0</v>
      </c>
      <c r="S166" s="74">
        <v>0</v>
      </c>
      <c r="T166" s="74">
        <f t="shared" si="107"/>
        <v>0</v>
      </c>
      <c r="U166" s="74">
        <f t="shared" si="108"/>
        <v>0</v>
      </c>
    </row>
    <row r="167" spans="1:21" ht="19.5" hidden="1" x14ac:dyDescent="0.3">
      <c r="A167" s="276"/>
      <c r="B167" s="277"/>
      <c r="C167" s="621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7"/>
      <c r="M167" s="87"/>
      <c r="N167" s="87"/>
      <c r="O167" s="87"/>
      <c r="P167" s="87"/>
      <c r="Q167" s="86"/>
      <c r="R167" s="87"/>
      <c r="S167" s="87"/>
      <c r="T167" s="87"/>
      <c r="U167" s="87"/>
    </row>
    <row r="168" spans="1:21" ht="18.75" hidden="1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IFERROR(__xludf.DUMMYFUNCTION("IMPORTRANGE(""https://docs.google.com/spreadsheets/d/1eHaY18a8A9IcSdp1K8H6x8fbOy06t2VsZHhMHf-1x7Y/edit?usp=sharing"",""แผน!Z58"")"),0)</f>
        <v>0</v>
      </c>
      <c r="J168" s="294">
        <v>0</v>
      </c>
      <c r="K168" s="74">
        <f t="shared" ref="K168:K170" ca="1" si="115">IF(I168&gt;0,J168*100/I168,0)</f>
        <v>0</v>
      </c>
      <c r="L168" s="87"/>
      <c r="M168" s="87"/>
      <c r="N168" s="87"/>
      <c r="O168" s="87"/>
      <c r="P168" s="87"/>
      <c r="Q168" s="86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IFERROR(__xludf.DUMMYFUNCTION("IMPORTRANGE(""https://docs.google.com/spreadsheets/d/1eHaY18a8A9IcSdp1K8H6x8fbOy06t2VsZHhMHf-1x7Y/edit?usp=sharing"",""แผน!Z58"")"),0)</f>
        <v>0</v>
      </c>
      <c r="J169" s="910">
        <v>0</v>
      </c>
      <c r="K169" s="77">
        <f t="shared" ca="1" si="115"/>
        <v>0</v>
      </c>
      <c r="L169" s="87"/>
      <c r="M169" s="87"/>
      <c r="N169" s="87"/>
      <c r="O169" s="87"/>
      <c r="P169" s="87"/>
      <c r="Q169" s="86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IFERROR(__xludf.DUMMYFUNCTION("IMPORTRANGE(""https://docs.google.com/spreadsheets/d/1eHaY18a8A9IcSdp1K8H6x8fbOy06t2VsZHhMHf-1x7Y/edit?usp=sharing"",""แผน!Z58"")"),0)</f>
        <v>0</v>
      </c>
      <c r="J170" s="999">
        <v>0</v>
      </c>
      <c r="K170" s="1000">
        <f t="shared" ca="1" si="115"/>
        <v>0</v>
      </c>
      <c r="L170" s="98"/>
      <c r="M170" s="98"/>
      <c r="N170" s="98"/>
      <c r="O170" s="98"/>
      <c r="P170" s="98"/>
      <c r="Q170" s="97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5"/>
      <c r="I171" s="1117"/>
      <c r="J171" s="1117"/>
      <c r="K171" s="358"/>
      <c r="L171" s="358"/>
      <c r="M171" s="358"/>
      <c r="N171" s="358"/>
      <c r="O171" s="358"/>
      <c r="P171" s="359"/>
      <c r="Q171" s="357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121"/>
      <c r="I172" s="1122"/>
      <c r="J172" s="1122"/>
      <c r="K172" s="367"/>
      <c r="L172" s="367"/>
      <c r="M172" s="367"/>
      <c r="N172" s="367"/>
      <c r="O172" s="367"/>
      <c r="P172" s="367"/>
      <c r="Q172" s="366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125" t="s">
        <v>35</v>
      </c>
      <c r="I173" s="1126">
        <f t="shared" ref="I173:J173" ca="1" si="116">I184+I185</f>
        <v>7</v>
      </c>
      <c r="J173" s="1126">
        <f t="shared" si="116"/>
        <v>7</v>
      </c>
      <c r="K173" s="1127">
        <f ca="1">IF(I173&gt;0,J173*100/I173,0)</f>
        <v>100</v>
      </c>
      <c r="L173" s="376"/>
      <c r="M173" s="376"/>
      <c r="N173" s="376"/>
      <c r="O173" s="376"/>
      <c r="P173" s="376"/>
      <c r="Q173" s="375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264">
        <f t="shared" ref="L174:N174" ca="1" si="117">L175+L176</f>
        <v>19590</v>
      </c>
      <c r="M174" s="264">
        <f t="shared" ca="1" si="117"/>
        <v>30980</v>
      </c>
      <c r="N174" s="264">
        <f t="shared" ca="1" si="117"/>
        <v>30980</v>
      </c>
      <c r="O174" s="264">
        <f t="shared" ref="O174:O182" ca="1" si="118">IF(L174&gt;0,N174*100/L174,0)</f>
        <v>158.14190913731497</v>
      </c>
      <c r="P174" s="264">
        <f t="shared" ref="P174:P182" ca="1" si="119">IF(M174&gt;0,N174*100/M174,0)</f>
        <v>100</v>
      </c>
      <c r="Q174" s="1257">
        <f t="shared" ref="Q174:S174" ca="1" si="120">Q175+Q176</f>
        <v>0</v>
      </c>
      <c r="R174" s="264">
        <f t="shared" ca="1" si="120"/>
        <v>0</v>
      </c>
      <c r="S174" s="264">
        <f t="shared" ca="1" si="120"/>
        <v>0</v>
      </c>
      <c r="T174" s="264">
        <f t="shared" ref="T174:T182" ca="1" si="121">IF(Q174&gt;0,S174*100/Q174,0)</f>
        <v>0</v>
      </c>
      <c r="U174" s="264">
        <f t="shared" ref="U174:U182" ca="1" si="122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7">
        <f t="shared" ref="L175:N176" si="123">L178+L181</f>
        <v>0</v>
      </c>
      <c r="M175" s="77">
        <f t="shared" si="123"/>
        <v>0</v>
      </c>
      <c r="N175" s="77">
        <f t="shared" si="123"/>
        <v>0</v>
      </c>
      <c r="O175" s="77">
        <f t="shared" si="118"/>
        <v>0</v>
      </c>
      <c r="P175" s="77">
        <f t="shared" si="119"/>
        <v>0</v>
      </c>
      <c r="Q175" s="76">
        <f t="shared" ref="Q175:S176" si="124">Q178+Q181</f>
        <v>0</v>
      </c>
      <c r="R175" s="77">
        <f t="shared" si="124"/>
        <v>0</v>
      </c>
      <c r="S175" s="77">
        <f t="shared" si="124"/>
        <v>0</v>
      </c>
      <c r="T175" s="77">
        <f t="shared" si="121"/>
        <v>0</v>
      </c>
      <c r="U175" s="77">
        <f t="shared" si="122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4">
        <f t="shared" ca="1" si="123"/>
        <v>19590</v>
      </c>
      <c r="M176" s="74">
        <f t="shared" ca="1" si="123"/>
        <v>30980</v>
      </c>
      <c r="N176" s="74">
        <f t="shared" ca="1" si="123"/>
        <v>30980</v>
      </c>
      <c r="O176" s="74">
        <f t="shared" ca="1" si="118"/>
        <v>158.14190913731497</v>
      </c>
      <c r="P176" s="74">
        <f t="shared" ca="1" si="119"/>
        <v>100</v>
      </c>
      <c r="Q176" s="73">
        <f t="shared" ca="1" si="124"/>
        <v>0</v>
      </c>
      <c r="R176" s="74">
        <f t="shared" ca="1" si="124"/>
        <v>0</v>
      </c>
      <c r="S176" s="74">
        <f t="shared" ca="1" si="124"/>
        <v>0</v>
      </c>
      <c r="T176" s="74">
        <f t="shared" ca="1" si="121"/>
        <v>0</v>
      </c>
      <c r="U176" s="74">
        <f t="shared" ca="1" si="122"/>
        <v>0</v>
      </c>
    </row>
    <row r="177" spans="1:21" ht="18.75" x14ac:dyDescent="0.25">
      <c r="A177" s="257"/>
      <c r="B177" s="269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4">
        <f t="shared" ref="L177:N177" ca="1" si="125">L178+L179</f>
        <v>19590</v>
      </c>
      <c r="M177" s="74">
        <f t="shared" ca="1" si="125"/>
        <v>30980</v>
      </c>
      <c r="N177" s="74">
        <f t="shared" ca="1" si="125"/>
        <v>30980</v>
      </c>
      <c r="O177" s="74">
        <f t="shared" ca="1" si="118"/>
        <v>158.14190913731497</v>
      </c>
      <c r="P177" s="74">
        <f t="shared" ca="1" si="119"/>
        <v>100</v>
      </c>
      <c r="Q177" s="73">
        <f t="shared" ref="Q177:S177" ca="1" si="126">Q178+Q179</f>
        <v>0</v>
      </c>
      <c r="R177" s="74">
        <f t="shared" ca="1" si="126"/>
        <v>0</v>
      </c>
      <c r="S177" s="74">
        <f t="shared" ca="1" si="126"/>
        <v>0</v>
      </c>
      <c r="T177" s="74">
        <f t="shared" ca="1" si="121"/>
        <v>0</v>
      </c>
      <c r="U177" s="74">
        <f t="shared" ca="1" si="122"/>
        <v>0</v>
      </c>
    </row>
    <row r="178" spans="1:21" ht="18.75" hidden="1" x14ac:dyDescent="0.25">
      <c r="A178" s="257"/>
      <c r="B178" s="258"/>
      <c r="C178" s="269"/>
      <c r="D178" s="269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7">
        <v>0</v>
      </c>
      <c r="M178" s="77">
        <v>0</v>
      </c>
      <c r="N178" s="77">
        <v>0</v>
      </c>
      <c r="O178" s="77">
        <f t="shared" si="118"/>
        <v>0</v>
      </c>
      <c r="P178" s="77">
        <f t="shared" si="119"/>
        <v>0</v>
      </c>
      <c r="Q178" s="76">
        <v>0</v>
      </c>
      <c r="R178" s="77">
        <v>0</v>
      </c>
      <c r="S178" s="77">
        <v>0</v>
      </c>
      <c r="T178" s="77">
        <f t="shared" si="121"/>
        <v>0</v>
      </c>
      <c r="U178" s="77">
        <f t="shared" si="122"/>
        <v>0</v>
      </c>
    </row>
    <row r="179" spans="1:21" ht="18.75" hidden="1" x14ac:dyDescent="0.25">
      <c r="A179" s="257"/>
      <c r="B179" s="269"/>
      <c r="C179" s="269"/>
      <c r="D179" s="269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4">
        <f ca="1">IFERROR(__xludf.DUMMYFUNCTION("IMPORTRANGE(""https://docs.google.com/spreadsheets/d/1-uDff_7J0KD5mKrp0Vvzr7lt3OU09vwQwhkpOPPYv2Y/edit?usp=sharing"",""งบพรบ!CK58"")"),19590)</f>
        <v>19590</v>
      </c>
      <c r="M179" s="74">
        <f ca="1">IFERROR(__xludf.DUMMYFUNCTION("IMPORTRANGE(""https://docs.google.com/spreadsheets/d/1-uDff_7J0KD5mKrp0Vvzr7lt3OU09vwQwhkpOPPYv2Y/edit?usp=sharing"",""งบพรบ!CP58"")"),30980)</f>
        <v>30980</v>
      </c>
      <c r="N179" s="74">
        <f ca="1">IFERROR(__xludf.DUMMYFUNCTION("IMPORTRANGE(""https://docs.google.com/spreadsheets/d/1-uDff_7J0KD5mKrp0Vvzr7lt3OU09vwQwhkpOPPYv2Y/edit?usp=sharing"",""งบพรบ!CR58"")"),30980)</f>
        <v>30980</v>
      </c>
      <c r="O179" s="74">
        <f t="shared" ca="1" si="118"/>
        <v>158.14190913731497</v>
      </c>
      <c r="P179" s="74">
        <f t="shared" ca="1" si="119"/>
        <v>100</v>
      </c>
      <c r="Q179" s="73">
        <f ca="1">IFERROR(__xludf.DUMMYFUNCTION("IMPORTRANGE(""https://docs.google.com/spreadsheets/d/1ItG2mGa2ceCfYo0BwxsXqNm01IGEUdYcSSLTEv9YCik/edit?usp=sharing"",""เบิกจ่ายกองทุน!BE58"")"),0)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IFERROR(__xludf.DUMMYFUNCTION("IMPORTRANGE(""https://docs.google.com/spreadsheets/d/1ItG2mGa2ceCfYo0BwxsXqNm01IGEUdYcSSLTEv9YCik/edit?usp=sharing"",""เบิกจ่ายกองทุน!BF58"")"),0)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IFERROR(__xludf.DUMMYFUNCTION("IMPORTRANGE(""https://docs.google.com/spreadsheets/d/1ItG2mGa2ceCfYo0BwxsXqNm01IGEUdYcSSLTEv9YCik/edit?usp=sharing"",""เบิกจ่ายกองทุน!BG58"")"),0)</f>
        <v>0</v>
      </c>
      <c r="T179" s="74">
        <f t="shared" ca="1" si="121"/>
        <v>0</v>
      </c>
      <c r="U179" s="74">
        <f t="shared" ca="1" si="122"/>
        <v>0</v>
      </c>
    </row>
    <row r="180" spans="1:21" ht="18.75" x14ac:dyDescent="0.25">
      <c r="A180" s="257"/>
      <c r="B180" s="258"/>
      <c r="C180" s="269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4">
        <f t="shared" ref="L180:N180" ca="1" si="127">L181+L182</f>
        <v>0</v>
      </c>
      <c r="M180" s="74">
        <f t="shared" ca="1" si="127"/>
        <v>0</v>
      </c>
      <c r="N180" s="74">
        <f t="shared" ca="1" si="127"/>
        <v>0</v>
      </c>
      <c r="O180" s="74">
        <f t="shared" ca="1" si="118"/>
        <v>0</v>
      </c>
      <c r="P180" s="74">
        <f t="shared" ca="1" si="119"/>
        <v>0</v>
      </c>
      <c r="Q180" s="73">
        <f t="shared" ref="Q180:S180" si="128">Q181+Q182</f>
        <v>0</v>
      </c>
      <c r="R180" s="74">
        <f t="shared" si="128"/>
        <v>0</v>
      </c>
      <c r="S180" s="74">
        <f t="shared" si="128"/>
        <v>0</v>
      </c>
      <c r="T180" s="74">
        <f t="shared" si="121"/>
        <v>0</v>
      </c>
      <c r="U180" s="74">
        <f t="shared" si="122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7">
        <v>0</v>
      </c>
      <c r="M181" s="77">
        <v>0</v>
      </c>
      <c r="N181" s="77">
        <v>0</v>
      </c>
      <c r="O181" s="77">
        <f t="shared" si="118"/>
        <v>0</v>
      </c>
      <c r="P181" s="77">
        <f t="shared" si="119"/>
        <v>0</v>
      </c>
      <c r="Q181" s="76">
        <v>0</v>
      </c>
      <c r="R181" s="77">
        <v>0</v>
      </c>
      <c r="S181" s="77">
        <v>0</v>
      </c>
      <c r="T181" s="77">
        <f t="shared" si="121"/>
        <v>0</v>
      </c>
      <c r="U181" s="77">
        <f t="shared" si="122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4">
        <f ca="1">IFERROR(__xludf.DUMMYFUNCTION("IMPORTRANGE(""https://docs.google.com/spreadsheets/d/1-uDff_7J0KD5mKrp0Vvzr7lt3OU09vwQwhkpOPPYv2Y/edit?usp=sharing"",""งบพรบ!CN58"")"),0)</f>
        <v>0</v>
      </c>
      <c r="M182" s="74">
        <f ca="1">IFERROR(__xludf.DUMMYFUNCTION("IMPORTRANGE(""https://docs.google.com/spreadsheets/d/1-uDff_7J0KD5mKrp0Vvzr7lt3OU09vwQwhkpOPPYv2Y/edit?usp=sharing"",""งบพรบ!CQ58"")"),0)</f>
        <v>0</v>
      </c>
      <c r="N182" s="74">
        <f ca="1">IFERROR(__xludf.DUMMYFUNCTION("IMPORTRANGE(""https://docs.google.com/spreadsheets/d/1-uDff_7J0KD5mKrp0Vvzr7lt3OU09vwQwhkpOPPYv2Y/edit?usp=sharing"",""งบพรบ!CS58"")"),0)</f>
        <v>0</v>
      </c>
      <c r="O182" s="74">
        <f t="shared" ca="1" si="118"/>
        <v>0</v>
      </c>
      <c r="P182" s="74">
        <f t="shared" ca="1" si="119"/>
        <v>0</v>
      </c>
      <c r="Q182" s="73">
        <v>0</v>
      </c>
      <c r="R182" s="74">
        <v>0</v>
      </c>
      <c r="S182" s="74">
        <v>0</v>
      </c>
      <c r="T182" s="74">
        <f t="shared" si="121"/>
        <v>0</v>
      </c>
      <c r="U182" s="74">
        <f t="shared" si="122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7"/>
      <c r="M183" s="87"/>
      <c r="N183" s="87"/>
      <c r="O183" s="87"/>
      <c r="P183" s="87"/>
      <c r="Q183" s="86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307" t="s">
        <v>35</v>
      </c>
      <c r="I184" s="293">
        <f ca="1">IFERROR(__xludf.DUMMYFUNCTION("IMPORTRANGE(""https://docs.google.com/spreadsheets/d/1eHaY18a8A9IcSdp1K8H6x8fbOy06t2VsZHhMHf-1x7Y/edit?usp=sharing"",""แผน!AA58"")"),7)</f>
        <v>7</v>
      </c>
      <c r="J184" s="294">
        <v>7</v>
      </c>
      <c r="K184" s="74">
        <f t="shared" ref="K184:K186" ca="1" si="129">IF(I184&gt;0,J184*100/I184,0)</f>
        <v>100</v>
      </c>
      <c r="L184" s="87"/>
      <c r="M184" s="87"/>
      <c r="N184" s="87"/>
      <c r="O184" s="87"/>
      <c r="P184" s="87"/>
      <c r="Q184" s="86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308" t="s">
        <v>35</v>
      </c>
      <c r="I185" s="592">
        <v>0</v>
      </c>
      <c r="J185" s="592">
        <v>0</v>
      </c>
      <c r="K185" s="77">
        <f t="shared" si="129"/>
        <v>0</v>
      </c>
      <c r="L185" s="87"/>
      <c r="M185" s="87"/>
      <c r="N185" s="87"/>
      <c r="O185" s="87"/>
      <c r="P185" s="87"/>
      <c r="Q185" s="86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125" t="s">
        <v>35</v>
      </c>
      <c r="I186" s="1126">
        <f t="shared" ref="I186:J186" ca="1" si="130">I231+I232</f>
        <v>0</v>
      </c>
      <c r="J186" s="1126">
        <f t="shared" si="130"/>
        <v>0</v>
      </c>
      <c r="K186" s="1127">
        <f t="shared" ca="1" si="129"/>
        <v>0</v>
      </c>
      <c r="L186" s="376"/>
      <c r="M186" s="376"/>
      <c r="N186" s="376"/>
      <c r="O186" s="376"/>
      <c r="P186" s="376"/>
      <c r="Q186" s="375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264">
        <f t="shared" ref="L187:N187" ca="1" si="131">L188+L189</f>
        <v>111200</v>
      </c>
      <c r="M187" s="264">
        <f t="shared" ca="1" si="131"/>
        <v>111200</v>
      </c>
      <c r="N187" s="264">
        <f t="shared" ca="1" si="131"/>
        <v>74089</v>
      </c>
      <c r="O187" s="264">
        <f t="shared" ref="O187:O195" ca="1" si="132">IF(L187&gt;0,N187*100/L187,0)</f>
        <v>66.626798561151077</v>
      </c>
      <c r="P187" s="264">
        <f t="shared" ref="P187:P195" ca="1" si="133">IF(M187&gt;0,N187*100/M187,0)</f>
        <v>66.626798561151077</v>
      </c>
      <c r="Q187" s="1257">
        <f t="shared" ref="Q187:S187" ca="1" si="134">Q188+Q189</f>
        <v>47700</v>
      </c>
      <c r="R187" s="264">
        <f t="shared" ca="1" si="134"/>
        <v>47700</v>
      </c>
      <c r="S187" s="264">
        <f t="shared" ca="1" si="134"/>
        <v>0</v>
      </c>
      <c r="T187" s="264">
        <f t="shared" ref="T187:T195" ca="1" si="135">IF(Q187&gt;0,S187*100/Q187,0)</f>
        <v>0</v>
      </c>
      <c r="U187" s="264">
        <f t="shared" ref="U187:U195" ca="1" si="136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7">
        <f t="shared" ref="L188:N189" si="137">L191+L194</f>
        <v>0</v>
      </c>
      <c r="M188" s="77">
        <f t="shared" si="137"/>
        <v>0</v>
      </c>
      <c r="N188" s="77">
        <f t="shared" si="137"/>
        <v>0</v>
      </c>
      <c r="O188" s="77">
        <f t="shared" si="132"/>
        <v>0</v>
      </c>
      <c r="P188" s="77">
        <f t="shared" si="133"/>
        <v>0</v>
      </c>
      <c r="Q188" s="76">
        <f t="shared" ref="Q188:S189" si="138">Q191+Q194</f>
        <v>0</v>
      </c>
      <c r="R188" s="77">
        <f t="shared" si="138"/>
        <v>0</v>
      </c>
      <c r="S188" s="77">
        <f t="shared" si="138"/>
        <v>0</v>
      </c>
      <c r="T188" s="77">
        <f t="shared" si="135"/>
        <v>0</v>
      </c>
      <c r="U188" s="77">
        <f t="shared" si="136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4">
        <f t="shared" ca="1" si="137"/>
        <v>111200</v>
      </c>
      <c r="M189" s="74">
        <f t="shared" ca="1" si="137"/>
        <v>111200</v>
      </c>
      <c r="N189" s="74">
        <f t="shared" ca="1" si="137"/>
        <v>74089</v>
      </c>
      <c r="O189" s="74">
        <f t="shared" ca="1" si="132"/>
        <v>66.626798561151077</v>
      </c>
      <c r="P189" s="74">
        <f t="shared" ca="1" si="133"/>
        <v>66.626798561151077</v>
      </c>
      <c r="Q189" s="73">
        <f t="shared" ca="1" si="138"/>
        <v>47700</v>
      </c>
      <c r="R189" s="74">
        <f t="shared" ca="1" si="138"/>
        <v>47700</v>
      </c>
      <c r="S189" s="74">
        <f t="shared" ca="1" si="138"/>
        <v>0</v>
      </c>
      <c r="T189" s="74">
        <f t="shared" ca="1" si="135"/>
        <v>0</v>
      </c>
      <c r="U189" s="74">
        <f t="shared" ca="1" si="136"/>
        <v>0</v>
      </c>
    </row>
    <row r="190" spans="1:21" ht="18.75" x14ac:dyDescent="0.25">
      <c r="A190" s="257"/>
      <c r="B190" s="269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4">
        <f t="shared" ref="L190:N190" ca="1" si="139">L191+L192</f>
        <v>111200</v>
      </c>
      <c r="M190" s="74">
        <f t="shared" ca="1" si="139"/>
        <v>111200</v>
      </c>
      <c r="N190" s="74">
        <f t="shared" ca="1" si="139"/>
        <v>74089</v>
      </c>
      <c r="O190" s="74">
        <f t="shared" ca="1" si="132"/>
        <v>66.626798561151077</v>
      </c>
      <c r="P190" s="74">
        <f t="shared" ca="1" si="133"/>
        <v>66.626798561151077</v>
      </c>
      <c r="Q190" s="73">
        <f t="shared" ref="Q190:S190" ca="1" si="140">Q191+Q192</f>
        <v>47700</v>
      </c>
      <c r="R190" s="74">
        <f t="shared" ca="1" si="140"/>
        <v>47700</v>
      </c>
      <c r="S190" s="74">
        <f t="shared" ca="1" si="140"/>
        <v>0</v>
      </c>
      <c r="T190" s="74">
        <f t="shared" ca="1" si="135"/>
        <v>0</v>
      </c>
      <c r="U190" s="74">
        <f t="shared" ca="1" si="136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7">
        <v>0</v>
      </c>
      <c r="M191" s="77">
        <v>0</v>
      </c>
      <c r="N191" s="77">
        <v>0</v>
      </c>
      <c r="O191" s="77">
        <f t="shared" si="132"/>
        <v>0</v>
      </c>
      <c r="P191" s="77">
        <f t="shared" si="133"/>
        <v>0</v>
      </c>
      <c r="Q191" s="76">
        <v>0</v>
      </c>
      <c r="R191" s="77">
        <v>0</v>
      </c>
      <c r="S191" s="77">
        <v>0</v>
      </c>
      <c r="T191" s="77">
        <f t="shared" si="135"/>
        <v>0</v>
      </c>
      <c r="U191" s="77">
        <f t="shared" si="136"/>
        <v>0</v>
      </c>
    </row>
    <row r="192" spans="1:21" ht="18.75" hidden="1" x14ac:dyDescent="0.25">
      <c r="A192" s="257"/>
      <c r="B192" s="269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4">
        <f ca="1">IFERROR(__xludf.DUMMYFUNCTION("IMPORTRANGE(""https://docs.google.com/spreadsheets/d/1-uDff_7J0KD5mKrp0Vvzr7lt3OU09vwQwhkpOPPYv2Y/edit?usp=sharing"",""งบพรบ!CU58"")"),111200)</f>
        <v>111200</v>
      </c>
      <c r="M192" s="74">
        <f ca="1">IFERROR(__xludf.DUMMYFUNCTION("IMPORTRANGE(""https://docs.google.com/spreadsheets/d/1-uDff_7J0KD5mKrp0Vvzr7lt3OU09vwQwhkpOPPYv2Y/edit?usp=sharing"",""งบพรบ!CZ58"")"),111200)</f>
        <v>111200</v>
      </c>
      <c r="N192" s="74">
        <f ca="1">IFERROR(__xludf.DUMMYFUNCTION("IMPORTRANGE(""https://docs.google.com/spreadsheets/d/1-uDff_7J0KD5mKrp0Vvzr7lt3OU09vwQwhkpOPPYv2Y/edit?usp=sharing"",""งบพรบ!DB58"")"),74089)</f>
        <v>74089</v>
      </c>
      <c r="O192" s="74">
        <f t="shared" ca="1" si="132"/>
        <v>66.626798561151077</v>
      </c>
      <c r="P192" s="74">
        <f t="shared" ca="1" si="133"/>
        <v>66.626798561151077</v>
      </c>
      <c r="Q192" s="73">
        <f ca="1">IFERROR(__xludf.DUMMYFUNCTION("IMPORTRANGE(""https://docs.google.com/spreadsheets/d/1ItG2mGa2ceCfYo0BwxsXqNm01IGEUdYcSSLTEv9YCik/edit?usp=sharing"",""เบิกจ่ายกองทุน!AV58"")"),47700)</f>
        <v>47700</v>
      </c>
      <c r="R192" s="74">
        <f ca="1">IFERROR(__xludf.DUMMYFUNCTION("IMPORTRANGE(""https://docs.google.com/spreadsheets/d/1ItG2mGa2ceCfYo0BwxsXqNm01IGEUdYcSSLTEv9YCik/edit?usp=sharing"",""เบิกจ่ายกองทุน!AW58"")"),47700)</f>
        <v>47700</v>
      </c>
      <c r="S192" s="74">
        <f ca="1">IFERROR(__xludf.DUMMYFUNCTION("IMPORTRANGE(""https://docs.google.com/spreadsheets/d/1ItG2mGa2ceCfYo0BwxsXqNm01IGEUdYcSSLTEv9YCik/edit?usp=sharing"",""เบิกจ่ายกองทุน!AX58"")"),0)</f>
        <v>0</v>
      </c>
      <c r="T192" s="74">
        <f t="shared" ca="1" si="135"/>
        <v>0</v>
      </c>
      <c r="U192" s="74">
        <f t="shared" ca="1" si="136"/>
        <v>0</v>
      </c>
    </row>
    <row r="193" spans="1:21" ht="18.75" x14ac:dyDescent="0.25">
      <c r="A193" s="257"/>
      <c r="B193" s="269"/>
      <c r="C193" s="269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4">
        <f t="shared" ref="L193:N193" ca="1" si="141">L194+L195</f>
        <v>0</v>
      </c>
      <c r="M193" s="74">
        <f t="shared" ca="1" si="141"/>
        <v>0</v>
      </c>
      <c r="N193" s="74">
        <f t="shared" ca="1" si="141"/>
        <v>0</v>
      </c>
      <c r="O193" s="74">
        <f t="shared" ca="1" si="132"/>
        <v>0</v>
      </c>
      <c r="P193" s="74">
        <f t="shared" ca="1" si="133"/>
        <v>0</v>
      </c>
      <c r="Q193" s="73">
        <f t="shared" ref="Q193:S193" si="142">Q194+Q195</f>
        <v>0</v>
      </c>
      <c r="R193" s="74">
        <f t="shared" si="142"/>
        <v>0</v>
      </c>
      <c r="S193" s="74">
        <f t="shared" si="142"/>
        <v>0</v>
      </c>
      <c r="T193" s="74">
        <f t="shared" si="135"/>
        <v>0</v>
      </c>
      <c r="U193" s="74">
        <f t="shared" si="136"/>
        <v>0</v>
      </c>
    </row>
    <row r="194" spans="1:21" ht="18.75" hidden="1" x14ac:dyDescent="0.25">
      <c r="A194" s="257"/>
      <c r="B194" s="269"/>
      <c r="C194" s="269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7">
        <v>0</v>
      </c>
      <c r="M194" s="77">
        <v>0</v>
      </c>
      <c r="N194" s="77">
        <v>0</v>
      </c>
      <c r="O194" s="77">
        <f t="shared" si="132"/>
        <v>0</v>
      </c>
      <c r="P194" s="77">
        <f t="shared" si="133"/>
        <v>0</v>
      </c>
      <c r="Q194" s="76">
        <v>0</v>
      </c>
      <c r="R194" s="77">
        <v>0</v>
      </c>
      <c r="S194" s="77">
        <v>0</v>
      </c>
      <c r="T194" s="77">
        <f t="shared" si="135"/>
        <v>0</v>
      </c>
      <c r="U194" s="77">
        <f t="shared" si="136"/>
        <v>0</v>
      </c>
    </row>
    <row r="195" spans="1:21" ht="18.75" hidden="1" x14ac:dyDescent="0.25">
      <c r="A195" s="257"/>
      <c r="B195" s="269"/>
      <c r="C195" s="269"/>
      <c r="D195" s="269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4">
        <f ca="1">IFERROR(__xludf.DUMMYFUNCTION("IMPORTRANGE(""https://docs.google.com/spreadsheets/d/1-uDff_7J0KD5mKrp0Vvzr7lt3OU09vwQwhkpOPPYv2Y/edit?usp=sharing"",""งบพรบ!CX58"")"),0)</f>
        <v>0</v>
      </c>
      <c r="M195" s="74">
        <f ca="1">IFERROR(__xludf.DUMMYFUNCTION("IMPORTRANGE(""https://docs.google.com/spreadsheets/d/1-uDff_7J0KD5mKrp0Vvzr7lt3OU09vwQwhkpOPPYv2Y/edit?usp=sharing"",""งบพรบ!DA58"")"),0)</f>
        <v>0</v>
      </c>
      <c r="N195" s="74">
        <f ca="1">IFERROR(__xludf.DUMMYFUNCTION("IMPORTRANGE(""https://docs.google.com/spreadsheets/d/1-uDff_7J0KD5mKrp0Vvzr7lt3OU09vwQwhkpOPPYv2Y/edit?usp=sharing"",""งบพรบ!DC58"")"),0)</f>
        <v>0</v>
      </c>
      <c r="O195" s="74">
        <f t="shared" ca="1" si="132"/>
        <v>0</v>
      </c>
      <c r="P195" s="74">
        <f t="shared" ca="1" si="133"/>
        <v>0</v>
      </c>
      <c r="Q195" s="73">
        <v>0</v>
      </c>
      <c r="R195" s="74">
        <v>0</v>
      </c>
      <c r="S195" s="74">
        <v>0</v>
      </c>
      <c r="T195" s="74">
        <f t="shared" si="135"/>
        <v>0</v>
      </c>
      <c r="U195" s="74">
        <f t="shared" si="136"/>
        <v>0</v>
      </c>
    </row>
    <row r="196" spans="1:21" ht="19.5" x14ac:dyDescent="0.3">
      <c r="A196" s="553"/>
      <c r="B196" s="555"/>
      <c r="C196" s="1128" t="s">
        <v>78</v>
      </c>
      <c r="D196" s="555"/>
      <c r="E196" s="554"/>
      <c r="F196" s="554"/>
      <c r="G196" s="557"/>
      <c r="H196" s="558" t="s">
        <v>79</v>
      </c>
      <c r="I196" s="559">
        <f t="shared" ref="I196:J196" ca="1" si="143">I199</f>
        <v>4</v>
      </c>
      <c r="J196" s="559">
        <f t="shared" si="143"/>
        <v>1</v>
      </c>
      <c r="K196" s="560">
        <f ca="1">IF(I196&gt;0,J196*100/I196,0)</f>
        <v>25</v>
      </c>
      <c r="L196" s="392"/>
      <c r="M196" s="392"/>
      <c r="N196" s="392"/>
      <c r="O196" s="392"/>
      <c r="P196" s="392"/>
      <c r="Q196" s="391"/>
      <c r="R196" s="392"/>
      <c r="S196" s="392"/>
      <c r="T196" s="392"/>
      <c r="U196" s="392"/>
    </row>
    <row r="197" spans="1:21" ht="19.5" x14ac:dyDescent="0.3">
      <c r="A197" s="257"/>
      <c r="B197" s="269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264">
        <f ca="1">IFERROR(__xludf.DUMMYFUNCTION("IMPORTRANGE(""https://docs.google.com/spreadsheets/d/1eHaY18a8A9IcSdp1K8H6x8fbOy06t2VsZHhMHf-1x7Y/edit?usp=sharing"",""แผน!AB58"")"),6000)</f>
        <v>6000</v>
      </c>
      <c r="M197" s="87"/>
      <c r="N197" s="923">
        <v>3000</v>
      </c>
      <c r="O197" s="264">
        <f ca="1">IF(L197&gt;0,N197*100/L197,0)</f>
        <v>50</v>
      </c>
      <c r="P197" s="264">
        <f>IF(M197&gt;0,N197*100/M197,0)</f>
        <v>0</v>
      </c>
      <c r="Q197" s="86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310"/>
      <c r="I198" s="263"/>
      <c r="J198" s="263"/>
      <c r="K198" s="87"/>
      <c r="L198" s="87"/>
      <c r="M198" s="87"/>
      <c r="N198" s="87"/>
      <c r="O198" s="87"/>
      <c r="P198" s="87"/>
      <c r="Q198" s="86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75" t="s">
        <v>79</v>
      </c>
      <c r="I199" s="293">
        <f ca="1">IFERROR(__xludf.DUMMYFUNCTION("IMPORTRANGE(""https://docs.google.com/spreadsheets/d/1eHaY18a8A9IcSdp1K8H6x8fbOy06t2VsZHhMHf-1x7Y/edit?usp=sharing"",""แผน!AE58"")"),4)</f>
        <v>4</v>
      </c>
      <c r="J199" s="294">
        <v>1</v>
      </c>
      <c r="K199" s="74">
        <f ca="1">IF(I199&gt;0,J199*100/I199,0)</f>
        <v>25</v>
      </c>
      <c r="L199" s="87"/>
      <c r="M199" s="87"/>
      <c r="N199" s="87"/>
      <c r="O199" s="87"/>
      <c r="P199" s="87"/>
      <c r="Q199" s="86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39</v>
      </c>
      <c r="K200" s="87"/>
      <c r="L200" s="87"/>
      <c r="M200" s="87"/>
      <c r="N200" s="87"/>
      <c r="O200" s="87"/>
      <c r="P200" s="87"/>
      <c r="Q200" s="86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39</v>
      </c>
      <c r="K201" s="87"/>
      <c r="L201" s="87"/>
      <c r="M201" s="87"/>
      <c r="N201" s="87"/>
      <c r="O201" s="87"/>
      <c r="P201" s="87"/>
      <c r="Q201" s="86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7"/>
      <c r="M202" s="87"/>
      <c r="N202" s="87"/>
      <c r="O202" s="87"/>
      <c r="P202" s="87"/>
      <c r="Q202" s="86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4">I210</f>
        <v>1</v>
      </c>
      <c r="J203" s="559">
        <f t="shared" si="144"/>
        <v>1</v>
      </c>
      <c r="K203" s="560">
        <f ca="1">IF(I203&gt;0,J203*100/I203,0)</f>
        <v>100</v>
      </c>
      <c r="L203" s="392"/>
      <c r="M203" s="392"/>
      <c r="N203" s="392"/>
      <c r="O203" s="392"/>
      <c r="P203" s="392"/>
      <c r="Q203" s="391"/>
      <c r="R203" s="392"/>
      <c r="S203" s="392"/>
      <c r="T203" s="392"/>
      <c r="U203" s="392"/>
    </row>
    <row r="204" spans="1:21" ht="19.5" x14ac:dyDescent="0.3">
      <c r="A204" s="257"/>
      <c r="B204" s="269"/>
      <c r="C204" s="621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264">
        <f ca="1">L205+L206+L207+L208</f>
        <v>13000</v>
      </c>
      <c r="M204" s="87"/>
      <c r="N204" s="264">
        <f>N205+N206+N207+N208</f>
        <v>8000</v>
      </c>
      <c r="O204" s="264">
        <f ca="1">IF(L204&gt;0,N204*100/L204,0)</f>
        <v>61.53846153846154</v>
      </c>
      <c r="P204" s="264">
        <f>IF(M204&gt;0,N204*100/M204,0)</f>
        <v>0</v>
      </c>
      <c r="Q204" s="86"/>
      <c r="R204" s="87"/>
      <c r="S204" s="87"/>
      <c r="T204" s="87"/>
      <c r="U204" s="87"/>
    </row>
    <row r="205" spans="1:21" ht="18.75" x14ac:dyDescent="0.25">
      <c r="A205" s="257"/>
      <c r="B205" s="269"/>
      <c r="C205" s="269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74">
        <f ca="1">IFERROR(__xludf.DUMMYFUNCTION("IMPORTRANGE(""https://docs.google.com/spreadsheets/d/1eHaY18a8A9IcSdp1K8H6x8fbOy06t2VsZHhMHf-1x7Y/edit?usp=sharing"",""แผน!AG58"")"),1000)</f>
        <v>1000</v>
      </c>
      <c r="M205" s="87"/>
      <c r="N205" s="924">
        <v>0</v>
      </c>
      <c r="O205" s="229"/>
      <c r="P205" s="87"/>
      <c r="Q205" s="86"/>
      <c r="R205" s="87"/>
      <c r="S205" s="87"/>
      <c r="T205" s="229"/>
      <c r="U205" s="87"/>
    </row>
    <row r="206" spans="1:21" ht="18.75" x14ac:dyDescent="0.25">
      <c r="A206" s="550"/>
      <c r="B206" s="269"/>
      <c r="C206" s="269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74">
        <f ca="1">IFERROR(__xludf.DUMMYFUNCTION("IMPORTRANGE(""https://docs.google.com/spreadsheets/d/1eHaY18a8A9IcSdp1K8H6x8fbOy06t2VsZHhMHf-1x7Y/edit?usp=sharing"",""แผน!AH58"")"),0)</f>
        <v>0</v>
      </c>
      <c r="M206" s="87"/>
      <c r="N206" s="924">
        <v>0</v>
      </c>
      <c r="O206" s="229"/>
      <c r="P206" s="87"/>
      <c r="Q206" s="86"/>
      <c r="R206" s="87"/>
      <c r="S206" s="87"/>
      <c r="T206" s="229"/>
      <c r="U206" s="87"/>
    </row>
    <row r="207" spans="1:21" ht="18.75" x14ac:dyDescent="0.25">
      <c r="A207" s="550"/>
      <c r="B207" s="269"/>
      <c r="C207" s="269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74">
        <f ca="1">IFERROR(__xludf.DUMMYFUNCTION("IMPORTRANGE(""https://docs.google.com/spreadsheets/d/1eHaY18a8A9IcSdp1K8H6x8fbOy06t2VsZHhMHf-1x7Y/edit?usp=sharing"",""แผน!AI58"")"),8000)</f>
        <v>8000</v>
      </c>
      <c r="M207" s="87"/>
      <c r="N207" s="924">
        <v>8000</v>
      </c>
      <c r="O207" s="229"/>
      <c r="P207" s="87"/>
      <c r="Q207" s="86"/>
      <c r="R207" s="87"/>
      <c r="S207" s="87"/>
      <c r="T207" s="229"/>
      <c r="U207" s="87"/>
    </row>
    <row r="208" spans="1:21" ht="18.75" x14ac:dyDescent="0.25">
      <c r="A208" s="550"/>
      <c r="B208" s="269"/>
      <c r="C208" s="269"/>
      <c r="D208" s="267" t="s">
        <v>89</v>
      </c>
      <c r="E208" s="258"/>
      <c r="F208" s="258"/>
      <c r="G208" s="261"/>
      <c r="H208" s="292" t="s">
        <v>14</v>
      </c>
      <c r="I208" s="263"/>
      <c r="J208" s="263"/>
      <c r="K208" s="87"/>
      <c r="L208" s="74">
        <f ca="1">IFERROR(__xludf.DUMMYFUNCTION("IMPORTRANGE(""https://docs.google.com/spreadsheets/d/1eHaY18a8A9IcSdp1K8H6x8fbOy06t2VsZHhMHf-1x7Y/edit?usp=sharing"",""แผน!AJ58"")"),4000)</f>
        <v>4000</v>
      </c>
      <c r="M208" s="87"/>
      <c r="N208" s="924">
        <v>0</v>
      </c>
      <c r="O208" s="229"/>
      <c r="P208" s="87"/>
      <c r="Q208" s="86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310"/>
      <c r="I209" s="272"/>
      <c r="J209" s="272"/>
      <c r="K209" s="229"/>
      <c r="L209" s="229"/>
      <c r="M209" s="229"/>
      <c r="N209" s="229"/>
      <c r="O209" s="229"/>
      <c r="P209" s="229"/>
      <c r="Q209" s="228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2" t="s">
        <v>85</v>
      </c>
      <c r="I210" s="293">
        <f ca="1">IFERROR(__xludf.DUMMYFUNCTION("IMPORTRANGE(""https://docs.google.com/spreadsheets/d/1eHaY18a8A9IcSdp1K8H6x8fbOy06t2VsZHhMHf-1x7Y/edit?usp=sharing"",""แผน!AK58"")"),1)</f>
        <v>1</v>
      </c>
      <c r="J210" s="294">
        <v>1</v>
      </c>
      <c r="K210" s="768">
        <f ca="1">IF(I210&gt;0,J210*100/I210,0)</f>
        <v>100</v>
      </c>
      <c r="L210" s="87"/>
      <c r="M210" s="87"/>
      <c r="N210" s="87"/>
      <c r="O210" s="87"/>
      <c r="P210" s="87"/>
      <c r="Q210" s="86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310"/>
      <c r="I211" s="263"/>
      <c r="J211" s="263"/>
      <c r="K211" s="229"/>
      <c r="L211" s="87"/>
      <c r="M211" s="87"/>
      <c r="N211" s="87"/>
      <c r="O211" s="87"/>
      <c r="P211" s="87"/>
      <c r="Q211" s="86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2" t="s">
        <v>85</v>
      </c>
      <c r="I212" s="293">
        <f ca="1">IFERROR(__xludf.DUMMYFUNCTION("IMPORTRANGE(""https://docs.google.com/spreadsheets/d/1eHaY18a8A9IcSdp1K8H6x8fbOy06t2VsZHhMHf-1x7Y/edit?usp=sharing"",""แผน!JX58"")"),1)</f>
        <v>1</v>
      </c>
      <c r="J212" s="294">
        <v>0</v>
      </c>
      <c r="K212" s="768">
        <f t="shared" ref="K212:K214" ca="1" si="145">IF(I212&gt;0,J212*100/I212,0)</f>
        <v>0</v>
      </c>
      <c r="L212" s="87"/>
      <c r="M212" s="87"/>
      <c r="N212" s="87"/>
      <c r="O212" s="87"/>
      <c r="P212" s="87"/>
      <c r="Q212" s="86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IFERROR(__xludf.DUMMYFUNCTION("IMPORTRANGE(""https://docs.google.com/spreadsheets/d/1eHaY18a8A9IcSdp1K8H6x8fbOy06t2VsZHhMHf-1x7Y/edit?usp=sharing"",""แผน!JY58"")"),0)</f>
        <v>0</v>
      </c>
      <c r="J213" s="294">
        <v>0</v>
      </c>
      <c r="K213" s="768">
        <f t="shared" ca="1" si="145"/>
        <v>0</v>
      </c>
      <c r="L213" s="87"/>
      <c r="M213" s="87"/>
      <c r="N213" s="87"/>
      <c r="O213" s="87"/>
      <c r="P213" s="87"/>
      <c r="Q213" s="86"/>
      <c r="R213" s="87"/>
      <c r="S213" s="87"/>
      <c r="T213" s="87"/>
      <c r="U213" s="87"/>
    </row>
    <row r="214" spans="1:21" ht="19.5" x14ac:dyDescent="0.3">
      <c r="A214" s="553"/>
      <c r="B214" s="555"/>
      <c r="C214" s="1128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6">I221</f>
        <v>1</v>
      </c>
      <c r="J214" s="559">
        <f t="shared" si="146"/>
        <v>1</v>
      </c>
      <c r="K214" s="560">
        <f t="shared" ca="1" si="145"/>
        <v>100</v>
      </c>
      <c r="L214" s="392"/>
      <c r="M214" s="392"/>
      <c r="N214" s="392"/>
      <c r="O214" s="392"/>
      <c r="P214" s="392"/>
      <c r="Q214" s="391"/>
      <c r="R214" s="392"/>
      <c r="S214" s="392"/>
      <c r="T214" s="392"/>
      <c r="U214" s="392"/>
    </row>
    <row r="215" spans="1:21" ht="19.5" x14ac:dyDescent="0.3">
      <c r="A215" s="257"/>
      <c r="B215" s="269"/>
      <c r="C215" s="621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264">
        <f ca="1">L216+L217+L218</f>
        <v>14000</v>
      </c>
      <c r="M215" s="87"/>
      <c r="N215" s="264">
        <f>N216+N217+N218</f>
        <v>8240</v>
      </c>
      <c r="O215" s="264">
        <f ca="1">IF(L215&gt;0,N215*100/L215,0)</f>
        <v>58.857142857142854</v>
      </c>
      <c r="P215" s="264">
        <f>IF(M215&gt;0,N215*100/M215,0)</f>
        <v>0</v>
      </c>
      <c r="Q215" s="86"/>
      <c r="R215" s="87"/>
      <c r="S215" s="87"/>
      <c r="T215" s="87"/>
      <c r="U215" s="87"/>
    </row>
    <row r="216" spans="1:21" ht="18.75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4">
        <f ca="1">IFERROR(__xludf.DUMMYFUNCTION("IMPORTRANGE(""https://docs.google.com/spreadsheets/d/1eHaY18a8A9IcSdp1K8H6x8fbOy06t2VsZHhMHf-1x7Y/edit?usp=sharing"",""แผน!AM58"")"),1000)</f>
        <v>1000</v>
      </c>
      <c r="M216" s="87"/>
      <c r="N216" s="924">
        <v>240</v>
      </c>
      <c r="O216" s="229"/>
      <c r="P216" s="87"/>
      <c r="Q216" s="86"/>
      <c r="R216" s="87"/>
      <c r="S216" s="87"/>
      <c r="T216" s="229"/>
      <c r="U216" s="87"/>
    </row>
    <row r="217" spans="1:21" ht="18.75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4">
        <f ca="1">IFERROR(__xludf.DUMMYFUNCTION("IMPORTRANGE(""https://docs.google.com/spreadsheets/d/1eHaY18a8A9IcSdp1K8H6x8fbOy06t2VsZHhMHf-1x7Y/edit?usp=sharing"",""แผน!AN58"")"),5000)</f>
        <v>5000</v>
      </c>
      <c r="M217" s="87"/>
      <c r="N217" s="924">
        <v>0</v>
      </c>
      <c r="O217" s="229"/>
      <c r="P217" s="87"/>
      <c r="Q217" s="86"/>
      <c r="R217" s="87"/>
      <c r="S217" s="87"/>
      <c r="T217" s="229"/>
      <c r="U217" s="87"/>
    </row>
    <row r="218" spans="1:21" ht="18.75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4">
        <f ca="1">IFERROR(__xludf.DUMMYFUNCTION("IMPORTRANGE(""https://docs.google.com/spreadsheets/d/1eHaY18a8A9IcSdp1K8H6x8fbOy06t2VsZHhMHf-1x7Y/edit?usp=sharing"",""แผน!AO58"")"),8000)</f>
        <v>8000</v>
      </c>
      <c r="M218" s="87"/>
      <c r="N218" s="924">
        <v>8000</v>
      </c>
      <c r="O218" s="229"/>
      <c r="P218" s="87"/>
      <c r="Q218" s="86"/>
      <c r="R218" s="87"/>
      <c r="S218" s="87"/>
      <c r="T218" s="229"/>
      <c r="U218" s="87"/>
    </row>
    <row r="219" spans="1:21" ht="19.5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310"/>
      <c r="I219" s="272"/>
      <c r="J219" s="263"/>
      <c r="K219" s="87"/>
      <c r="L219" s="87"/>
      <c r="M219" s="87"/>
      <c r="N219" s="87"/>
      <c r="O219" s="229"/>
      <c r="P219" s="229"/>
      <c r="Q219" s="86"/>
      <c r="R219" s="87"/>
      <c r="S219" s="87"/>
      <c r="T219" s="229"/>
      <c r="U219" s="229"/>
    </row>
    <row r="220" spans="1:21" ht="18.75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2" t="s">
        <v>85</v>
      </c>
      <c r="I220" s="293">
        <f ca="1">IFERROR(__xludf.DUMMYFUNCTION("IMPORTRANGE(""https://docs.google.com/spreadsheets/d/1eHaY18a8A9IcSdp1K8H6x8fbOy06t2VsZHhMHf-1x7Y/edit?usp=sharing"",""แผน!AP58"")"),1)</f>
        <v>1</v>
      </c>
      <c r="J220" s="294">
        <v>0</v>
      </c>
      <c r="K220" s="74">
        <f t="shared" ref="K220:K222" ca="1" si="147">IF(I220&gt;0,J220*100/I220,0)</f>
        <v>0</v>
      </c>
      <c r="L220" s="87"/>
      <c r="M220" s="87"/>
      <c r="N220" s="87"/>
      <c r="O220" s="87"/>
      <c r="P220" s="87"/>
      <c r="Q220" s="86"/>
      <c r="R220" s="87"/>
      <c r="S220" s="87"/>
      <c r="T220" s="87"/>
      <c r="U220" s="87"/>
    </row>
    <row r="221" spans="1:21" ht="18.75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IFERROR(__xludf.DUMMYFUNCTION("IMPORTRANGE(""https://docs.google.com/spreadsheets/d/1eHaY18a8A9IcSdp1K8H6x8fbOy06t2VsZHhMHf-1x7Y/edit?usp=sharing"",""แผน!AP58"")"),1)</f>
        <v>1</v>
      </c>
      <c r="J221" s="294">
        <v>1</v>
      </c>
      <c r="K221" s="74">
        <f t="shared" ca="1" si="147"/>
        <v>100</v>
      </c>
      <c r="L221" s="87"/>
      <c r="M221" s="87"/>
      <c r="N221" s="87"/>
      <c r="O221" s="87"/>
      <c r="P221" s="87"/>
      <c r="Q221" s="86"/>
      <c r="R221" s="87"/>
      <c r="S221" s="87"/>
      <c r="T221" s="87"/>
      <c r="U221" s="87"/>
    </row>
    <row r="222" spans="1:21" ht="19.5" x14ac:dyDescent="0.3">
      <c r="A222" s="553"/>
      <c r="B222" s="555"/>
      <c r="C222" s="1128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8">I230</f>
        <v>3200</v>
      </c>
      <c r="J222" s="559">
        <f t="shared" si="148"/>
        <v>0</v>
      </c>
      <c r="K222" s="560">
        <f t="shared" ca="1" si="147"/>
        <v>0</v>
      </c>
      <c r="L222" s="392"/>
      <c r="M222" s="392"/>
      <c r="N222" s="392"/>
      <c r="O222" s="392"/>
      <c r="P222" s="392"/>
      <c r="Q222" s="391"/>
      <c r="R222" s="392"/>
      <c r="S222" s="392"/>
      <c r="T222" s="392"/>
      <c r="U222" s="392"/>
    </row>
    <row r="223" spans="1:21" ht="19.5" x14ac:dyDescent="0.3">
      <c r="A223" s="257"/>
      <c r="B223" s="269"/>
      <c r="C223" s="621" t="s">
        <v>18</v>
      </c>
      <c r="D223" s="96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264">
        <f ca="1">L224+L225+L226</f>
        <v>4500</v>
      </c>
      <c r="M223" s="87"/>
      <c r="N223" s="264">
        <f>N224+N225+N226</f>
        <v>0</v>
      </c>
      <c r="O223" s="264">
        <f ca="1">IF(L223&gt;0,N223*100/L223,0)</f>
        <v>0</v>
      </c>
      <c r="P223" s="264">
        <f>IF(M223&gt;0,N223*100/M223,0)</f>
        <v>0</v>
      </c>
      <c r="Q223" s="86"/>
      <c r="R223" s="87"/>
      <c r="S223" s="87"/>
      <c r="T223" s="87"/>
      <c r="U223" s="87"/>
    </row>
    <row r="224" spans="1:21" ht="18.75" x14ac:dyDescent="0.25">
      <c r="A224" s="257"/>
      <c r="B224" s="269"/>
      <c r="C224" s="269"/>
      <c r="D224" s="1134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4">
        <f ca="1">IFERROR(__xludf.DUMMYFUNCTION("IMPORTRANGE(""https://docs.google.com/spreadsheets/d/1eHaY18a8A9IcSdp1K8H6x8fbOy06t2VsZHhMHf-1x7Y/edit?usp=sharing"",""แผน!AR58"")"),3000)</f>
        <v>3000</v>
      </c>
      <c r="M224" s="87"/>
      <c r="N224" s="924">
        <v>0</v>
      </c>
      <c r="O224" s="229"/>
      <c r="P224" s="87"/>
      <c r="Q224" s="86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4">
        <f ca="1">IFERROR(__xludf.DUMMYFUNCTION("IMPORTRANGE(""https://docs.google.com/spreadsheets/d/1eHaY18a8A9IcSdp1K8H6x8fbOy06t2VsZHhMHf-1x7Y/edit?usp=sharing"",""แผน!AS58"")"),1500)</f>
        <v>1500</v>
      </c>
      <c r="M225" s="87"/>
      <c r="N225" s="924">
        <v>0</v>
      </c>
      <c r="O225" s="229"/>
      <c r="P225" s="87"/>
      <c r="Q225" s="86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4">
        <f ca="1">IFERROR(__xludf.DUMMYFUNCTION("IMPORTRANGE(""https://docs.google.com/spreadsheets/d/1eHaY18a8A9IcSdp1K8H6x8fbOy06t2VsZHhMHf-1x7Y/edit?usp=sharing"",""แผน!AT58"")"),0)</f>
        <v>0</v>
      </c>
      <c r="M226" s="87"/>
      <c r="N226" s="924">
        <v>0</v>
      </c>
      <c r="O226" s="229"/>
      <c r="P226" s="87"/>
      <c r="Q226" s="86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310"/>
      <c r="I227" s="272"/>
      <c r="J227" s="272"/>
      <c r="K227" s="229"/>
      <c r="L227" s="229"/>
      <c r="M227" s="229"/>
      <c r="N227" s="229"/>
      <c r="O227" s="229"/>
      <c r="P227" s="229"/>
      <c r="Q227" s="228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310"/>
      <c r="I228" s="263"/>
      <c r="J228" s="263"/>
      <c r="K228" s="229"/>
      <c r="L228" s="229"/>
      <c r="M228" s="229"/>
      <c r="N228" s="229"/>
      <c r="O228" s="229"/>
      <c r="P228" s="229"/>
      <c r="Q228" s="228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75" t="s">
        <v>99</v>
      </c>
      <c r="I229" s="293">
        <f ca="1">IFERROR(__xludf.DUMMYFUNCTION("IMPORTRANGE(""https://docs.google.com/spreadsheets/d/1eHaY18a8A9IcSdp1K8H6x8fbOy06t2VsZHhMHf-1x7Y/edit?usp=sharing"",""แผน!AV58"")"),3200)</f>
        <v>3200</v>
      </c>
      <c r="J229" s="294">
        <v>0</v>
      </c>
      <c r="K229" s="768">
        <f t="shared" ref="K229:K232" ca="1" si="149">IF(I229&gt;0,J229*100/I229,0)</f>
        <v>0</v>
      </c>
      <c r="L229" s="229"/>
      <c r="M229" s="229"/>
      <c r="N229" s="229"/>
      <c r="O229" s="229"/>
      <c r="P229" s="229"/>
      <c r="Q229" s="228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75" t="s">
        <v>99</v>
      </c>
      <c r="I230" s="293">
        <f ca="1">IFERROR(__xludf.DUMMYFUNCTION("IMPORTRANGE(""https://docs.google.com/spreadsheets/d/1eHaY18a8A9IcSdp1K8H6x8fbOy06t2VsZHhMHf-1x7Y/edit?usp=sharing"",""แผน!AV58"")"),3200)</f>
        <v>3200</v>
      </c>
      <c r="J230" s="294">
        <v>0</v>
      </c>
      <c r="K230" s="768">
        <f t="shared" ca="1" si="149"/>
        <v>0</v>
      </c>
      <c r="L230" s="87"/>
      <c r="M230" s="87"/>
      <c r="N230" s="87"/>
      <c r="O230" s="87"/>
      <c r="P230" s="87"/>
      <c r="Q230" s="86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75" t="s">
        <v>35</v>
      </c>
      <c r="I231" s="293">
        <f ca="1">IFERROR(__xludf.DUMMYFUNCTION("IMPORTRANGE(""https://docs.google.com/spreadsheets/d/1eHaY18a8A9IcSdp1K8H6x8fbOy06t2VsZHhMHf-1x7Y/edit?usp=sharing"",""แผน!AU58"")"),0)</f>
        <v>0</v>
      </c>
      <c r="J231" s="294">
        <v>0</v>
      </c>
      <c r="K231" s="768">
        <f t="shared" ca="1" si="149"/>
        <v>0</v>
      </c>
      <c r="L231" s="87"/>
      <c r="M231" s="87"/>
      <c r="N231" s="87"/>
      <c r="O231" s="87"/>
      <c r="P231" s="87"/>
      <c r="Q231" s="86"/>
      <c r="R231" s="87"/>
      <c r="S231" s="87"/>
      <c r="T231" s="87"/>
      <c r="U231" s="87"/>
    </row>
    <row r="232" spans="1:21" ht="19.5" hidden="1" x14ac:dyDescent="0.3">
      <c r="A232" s="553"/>
      <c r="B232" s="555"/>
      <c r="C232" s="1128" t="s">
        <v>105</v>
      </c>
      <c r="D232" s="554"/>
      <c r="E232" s="554"/>
      <c r="F232" s="554"/>
      <c r="G232" s="557"/>
      <c r="H232" s="558" t="s">
        <v>35</v>
      </c>
      <c r="I232" s="559">
        <f t="shared" ref="I232:J232" ca="1" si="150">I243+I254</f>
        <v>0</v>
      </c>
      <c r="J232" s="559">
        <f t="shared" si="150"/>
        <v>0</v>
      </c>
      <c r="K232" s="560">
        <f t="shared" ca="1" si="149"/>
        <v>0</v>
      </c>
      <c r="L232" s="392"/>
      <c r="M232" s="392"/>
      <c r="N232" s="392"/>
      <c r="O232" s="392"/>
      <c r="P232" s="392"/>
      <c r="Q232" s="391"/>
      <c r="R232" s="392"/>
      <c r="S232" s="392"/>
      <c r="T232" s="392"/>
      <c r="U232" s="392"/>
    </row>
    <row r="233" spans="1:21" ht="19.5" hidden="1" x14ac:dyDescent="0.3">
      <c r="A233" s="257"/>
      <c r="B233" s="269"/>
      <c r="C233" s="621" t="s">
        <v>18</v>
      </c>
      <c r="D233" s="260" t="s">
        <v>19</v>
      </c>
      <c r="E233" s="258"/>
      <c r="F233" s="258"/>
      <c r="G233" s="261"/>
      <c r="H233" s="633" t="s">
        <v>14</v>
      </c>
      <c r="I233" s="272"/>
      <c r="J233" s="272"/>
      <c r="K233" s="229"/>
      <c r="L233" s="264">
        <f t="shared" ref="L233:L237" ca="1" si="151">L244+L255</f>
        <v>0</v>
      </c>
      <c r="M233" s="87"/>
      <c r="N233" s="264">
        <f t="shared" ref="N233:N237" si="152">N244+N255</f>
        <v>0</v>
      </c>
      <c r="O233" s="87"/>
      <c r="P233" s="87"/>
      <c r="Q233" s="86"/>
      <c r="R233" s="87"/>
      <c r="S233" s="87"/>
      <c r="T233" s="87"/>
      <c r="U233" s="87"/>
    </row>
    <row r="234" spans="1:21" ht="18.75" hidden="1" x14ac:dyDescent="0.25">
      <c r="A234" s="257"/>
      <c r="B234" s="269"/>
      <c r="C234" s="269"/>
      <c r="D234" s="749" t="s">
        <v>86</v>
      </c>
      <c r="E234" s="258"/>
      <c r="F234" s="258"/>
      <c r="G234" s="261"/>
      <c r="H234" s="271" t="s">
        <v>14</v>
      </c>
      <c r="I234" s="272"/>
      <c r="J234" s="272"/>
      <c r="K234" s="229"/>
      <c r="L234" s="74">
        <f t="shared" ca="1" si="151"/>
        <v>0</v>
      </c>
      <c r="M234" s="87"/>
      <c r="N234" s="74">
        <f t="shared" si="152"/>
        <v>0</v>
      </c>
      <c r="O234" s="87"/>
      <c r="P234" s="87"/>
      <c r="Q234" s="86"/>
      <c r="R234" s="87"/>
      <c r="S234" s="87"/>
      <c r="T234" s="87"/>
      <c r="U234" s="87"/>
    </row>
    <row r="235" spans="1:21" ht="18.75" hidden="1" x14ac:dyDescent="0.25">
      <c r="A235" s="550"/>
      <c r="B235" s="269"/>
      <c r="C235" s="269"/>
      <c r="D235" s="749" t="s">
        <v>88</v>
      </c>
      <c r="E235" s="258"/>
      <c r="F235" s="258"/>
      <c r="G235" s="261"/>
      <c r="H235" s="271" t="s">
        <v>14</v>
      </c>
      <c r="I235" s="263"/>
      <c r="J235" s="263"/>
      <c r="K235" s="87"/>
      <c r="L235" s="74">
        <f t="shared" ca="1" si="151"/>
        <v>0</v>
      </c>
      <c r="M235" s="87"/>
      <c r="N235" s="74">
        <f t="shared" si="152"/>
        <v>0</v>
      </c>
      <c r="O235" s="87"/>
      <c r="P235" s="87"/>
      <c r="Q235" s="86"/>
      <c r="R235" s="87"/>
      <c r="S235" s="87"/>
      <c r="T235" s="87"/>
      <c r="U235" s="87"/>
    </row>
    <row r="236" spans="1:21" ht="18.75" hidden="1" x14ac:dyDescent="0.25">
      <c r="A236" s="550"/>
      <c r="B236" s="269"/>
      <c r="C236" s="269"/>
      <c r="D236" s="749" t="s">
        <v>106</v>
      </c>
      <c r="E236" s="258"/>
      <c r="F236" s="258"/>
      <c r="G236" s="261"/>
      <c r="H236" s="271" t="s">
        <v>14</v>
      </c>
      <c r="I236" s="263"/>
      <c r="J236" s="263"/>
      <c r="K236" s="87"/>
      <c r="L236" s="74">
        <f t="shared" ca="1" si="151"/>
        <v>0</v>
      </c>
      <c r="M236" s="87"/>
      <c r="N236" s="74">
        <f t="shared" si="152"/>
        <v>0</v>
      </c>
      <c r="O236" s="87"/>
      <c r="P236" s="87"/>
      <c r="Q236" s="86"/>
      <c r="R236" s="87"/>
      <c r="S236" s="87"/>
      <c r="T236" s="87"/>
      <c r="U236" s="87"/>
    </row>
    <row r="237" spans="1:21" ht="18.75" hidden="1" x14ac:dyDescent="0.25">
      <c r="A237" s="550"/>
      <c r="B237" s="269"/>
      <c r="C237" s="269"/>
      <c r="D237" s="267" t="s">
        <v>107</v>
      </c>
      <c r="E237" s="258"/>
      <c r="F237" s="258"/>
      <c r="G237" s="261"/>
      <c r="H237" s="271" t="s">
        <v>14</v>
      </c>
      <c r="I237" s="263"/>
      <c r="J237" s="263"/>
      <c r="K237" s="87"/>
      <c r="L237" s="74">
        <f t="shared" ca="1" si="151"/>
        <v>0</v>
      </c>
      <c r="M237" s="87"/>
      <c r="N237" s="74">
        <f t="shared" si="152"/>
        <v>0</v>
      </c>
      <c r="O237" s="87"/>
      <c r="P237" s="87"/>
      <c r="Q237" s="86"/>
      <c r="R237" s="87"/>
      <c r="S237" s="87"/>
      <c r="T237" s="87"/>
      <c r="U237" s="87"/>
    </row>
    <row r="238" spans="1:21" ht="19.5" hidden="1" x14ac:dyDescent="0.3">
      <c r="A238" s="276"/>
      <c r="B238" s="277"/>
      <c r="C238" s="621" t="s">
        <v>18</v>
      </c>
      <c r="D238" s="1019" t="s">
        <v>38</v>
      </c>
      <c r="E238" s="280"/>
      <c r="F238" s="280"/>
      <c r="G238" s="281"/>
      <c r="H238" s="310"/>
      <c r="I238" s="272"/>
      <c r="J238" s="263"/>
      <c r="K238" s="87"/>
      <c r="L238" s="87"/>
      <c r="M238" s="87"/>
      <c r="N238" s="87"/>
      <c r="O238" s="229"/>
      <c r="P238" s="229"/>
      <c r="Q238" s="86"/>
      <c r="R238" s="87"/>
      <c r="S238" s="87"/>
      <c r="T238" s="229"/>
      <c r="U238" s="229"/>
    </row>
    <row r="239" spans="1:21" ht="18.75" hidden="1" x14ac:dyDescent="0.25">
      <c r="A239" s="276"/>
      <c r="B239" s="277"/>
      <c r="C239" s="277"/>
      <c r="D239" s="295" t="s">
        <v>108</v>
      </c>
      <c r="E239" s="296"/>
      <c r="F239" s="296"/>
      <c r="G239" s="282"/>
      <c r="H239" s="275" t="s">
        <v>35</v>
      </c>
      <c r="I239" s="293">
        <f t="shared" ref="I239:J239" ca="1" si="153">I250+I261</f>
        <v>0</v>
      </c>
      <c r="J239" s="293">
        <f t="shared" si="153"/>
        <v>0</v>
      </c>
      <c r="K239" s="74">
        <f ca="1">IF(I239&gt;0,J239*100/I239,0)</f>
        <v>0</v>
      </c>
      <c r="L239" s="87"/>
      <c r="M239" s="87"/>
      <c r="N239" s="87"/>
      <c r="O239" s="87"/>
      <c r="P239" s="87"/>
      <c r="Q239" s="86"/>
      <c r="R239" s="87"/>
      <c r="S239" s="87"/>
      <c r="T239" s="87"/>
      <c r="U239" s="87"/>
    </row>
    <row r="240" spans="1:21" ht="18.75" hidden="1" x14ac:dyDescent="0.25">
      <c r="A240" s="276"/>
      <c r="B240" s="277"/>
      <c r="C240" s="277"/>
      <c r="D240" s="1103" t="s">
        <v>43</v>
      </c>
      <c r="E240" s="296"/>
      <c r="F240" s="296"/>
      <c r="G240" s="282"/>
      <c r="H240" s="310"/>
      <c r="I240" s="263"/>
      <c r="J240" s="263"/>
      <c r="K240" s="87"/>
      <c r="L240" s="87"/>
      <c r="M240" s="87"/>
      <c r="N240" s="87"/>
      <c r="O240" s="229"/>
      <c r="P240" s="229"/>
      <c r="Q240" s="86"/>
      <c r="R240" s="87"/>
      <c r="S240" s="87"/>
      <c r="T240" s="229"/>
      <c r="U240" s="229"/>
    </row>
    <row r="241" spans="1:21" ht="18.75" hidden="1" x14ac:dyDescent="0.25">
      <c r="A241" s="276"/>
      <c r="B241" s="277"/>
      <c r="C241" s="277"/>
      <c r="D241" s="277"/>
      <c r="E241" s="767" t="s">
        <v>109</v>
      </c>
      <c r="F241" s="296"/>
      <c r="G241" s="282"/>
      <c r="H241" s="275" t="s">
        <v>35</v>
      </c>
      <c r="I241" s="293">
        <f t="shared" ref="I241:J242" si="154">I252+I263</f>
        <v>0</v>
      </c>
      <c r="J241" s="293">
        <f t="shared" si="154"/>
        <v>0</v>
      </c>
      <c r="K241" s="74">
        <f t="shared" ref="K241:K243" si="155">IF(I241&gt;0,J241*100/I241,0)</f>
        <v>0</v>
      </c>
      <c r="L241" s="87"/>
      <c r="M241" s="87"/>
      <c r="N241" s="87"/>
      <c r="O241" s="87"/>
      <c r="P241" s="87"/>
      <c r="Q241" s="86"/>
      <c r="R241" s="87"/>
      <c r="S241" s="87"/>
      <c r="T241" s="87"/>
      <c r="U241" s="87"/>
    </row>
    <row r="242" spans="1:21" ht="18.75" hidden="1" x14ac:dyDescent="0.25">
      <c r="A242" s="276"/>
      <c r="B242" s="277"/>
      <c r="C242" s="277"/>
      <c r="D242" s="277"/>
      <c r="E242" s="767" t="s">
        <v>110</v>
      </c>
      <c r="F242" s="296"/>
      <c r="G242" s="282"/>
      <c r="H242" s="275" t="s">
        <v>61</v>
      </c>
      <c r="I242" s="293">
        <f t="shared" si="154"/>
        <v>0</v>
      </c>
      <c r="J242" s="293">
        <f t="shared" si="154"/>
        <v>0</v>
      </c>
      <c r="K242" s="74">
        <f t="shared" si="155"/>
        <v>0</v>
      </c>
      <c r="L242" s="87"/>
      <c r="M242" s="87"/>
      <c r="N242" s="87"/>
      <c r="O242" s="87"/>
      <c r="P242" s="87"/>
      <c r="Q242" s="86"/>
      <c r="R242" s="87"/>
      <c r="S242" s="87"/>
      <c r="T242" s="87"/>
      <c r="U242" s="87"/>
    </row>
    <row r="243" spans="1:21" ht="19.5" hidden="1" x14ac:dyDescent="0.3">
      <c r="A243" s="553"/>
      <c r="B243" s="555"/>
      <c r="C243" s="1135" t="s">
        <v>111</v>
      </c>
      <c r="D243" s="554"/>
      <c r="E243" s="554"/>
      <c r="F243" s="554"/>
      <c r="G243" s="557"/>
      <c r="H243" s="930" t="s">
        <v>35</v>
      </c>
      <c r="I243" s="931">
        <f t="shared" ref="I243:J243" ca="1" si="156">I250</f>
        <v>0</v>
      </c>
      <c r="J243" s="931">
        <f t="shared" si="156"/>
        <v>0</v>
      </c>
      <c r="K243" s="932">
        <f t="shared" ca="1" si="155"/>
        <v>0</v>
      </c>
      <c r="L243" s="392"/>
      <c r="M243" s="392"/>
      <c r="N243" s="392"/>
      <c r="O243" s="392"/>
      <c r="P243" s="392"/>
      <c r="Q243" s="391"/>
      <c r="R243" s="392"/>
      <c r="S243" s="392"/>
      <c r="T243" s="392"/>
      <c r="U243" s="392"/>
    </row>
    <row r="244" spans="1:21" ht="19.5" hidden="1" x14ac:dyDescent="0.3">
      <c r="A244" s="257"/>
      <c r="B244" s="269"/>
      <c r="C244" s="939" t="s">
        <v>18</v>
      </c>
      <c r="D244" s="934" t="s">
        <v>19</v>
      </c>
      <c r="E244" s="258"/>
      <c r="F244" s="258"/>
      <c r="G244" s="261"/>
      <c r="H244" s="703" t="s">
        <v>14</v>
      </c>
      <c r="I244" s="272"/>
      <c r="J244" s="272"/>
      <c r="K244" s="229"/>
      <c r="L244" s="1258">
        <f ca="1">L245+L246+L247+L248</f>
        <v>0</v>
      </c>
      <c r="M244" s="87"/>
      <c r="N244" s="1258">
        <f>N245+N246+N247+N248</f>
        <v>0</v>
      </c>
      <c r="O244" s="1258">
        <f ca="1">IF(L244&gt;0,N244*100/L244,0)</f>
        <v>0</v>
      </c>
      <c r="P244" s="1258">
        <f>IF(M244&gt;0,N244*100/M244,0)</f>
        <v>0</v>
      </c>
      <c r="Q244" s="86"/>
      <c r="R244" s="87"/>
      <c r="S244" s="87"/>
      <c r="T244" s="87"/>
      <c r="U244" s="87"/>
    </row>
    <row r="245" spans="1:21" ht="18.75" hidden="1" x14ac:dyDescent="0.25">
      <c r="A245" s="257"/>
      <c r="B245" s="269"/>
      <c r="C245" s="269"/>
      <c r="D245" s="775" t="s">
        <v>86</v>
      </c>
      <c r="E245" s="258"/>
      <c r="F245" s="258"/>
      <c r="G245" s="261"/>
      <c r="H245" s="273" t="s">
        <v>14</v>
      </c>
      <c r="I245" s="272"/>
      <c r="J245" s="272"/>
      <c r="K245" s="229"/>
      <c r="L245" s="77">
        <f ca="1">IFERROR(__xludf.DUMMYFUNCTION("IMPORTRANGE(""https://docs.google.com/spreadsheets/d/1eHaY18a8A9IcSdp1K8H6x8fbOy06t2VsZHhMHf-1x7Y/edit?usp=sharing"",""แผน!AX58"")"),0)</f>
        <v>0</v>
      </c>
      <c r="M245" s="87"/>
      <c r="N245" s="1263">
        <v>0</v>
      </c>
      <c r="O245" s="87"/>
      <c r="P245" s="87"/>
      <c r="Q245" s="86"/>
      <c r="R245" s="87"/>
      <c r="S245" s="87"/>
      <c r="T245" s="87"/>
      <c r="U245" s="87"/>
    </row>
    <row r="246" spans="1:21" ht="18.75" hidden="1" x14ac:dyDescent="0.25">
      <c r="A246" s="550"/>
      <c r="B246" s="269"/>
      <c r="C246" s="269"/>
      <c r="D246" s="775" t="s">
        <v>88</v>
      </c>
      <c r="E246" s="258"/>
      <c r="F246" s="258"/>
      <c r="G246" s="261"/>
      <c r="H246" s="273" t="s">
        <v>14</v>
      </c>
      <c r="I246" s="263"/>
      <c r="J246" s="263"/>
      <c r="K246" s="87"/>
      <c r="L246" s="77">
        <f ca="1">IFERROR(__xludf.DUMMYFUNCTION("IMPORTRANGE(""https://docs.google.com/spreadsheets/d/1eHaY18a8A9IcSdp1K8H6x8fbOy06t2VsZHhMHf-1x7Y/edit?usp=sharing"",""แผน!AY58"")"),0)</f>
        <v>0</v>
      </c>
      <c r="M246" s="87"/>
      <c r="N246" s="1263">
        <v>0</v>
      </c>
      <c r="O246" s="87"/>
      <c r="P246" s="87"/>
      <c r="Q246" s="86"/>
      <c r="R246" s="87"/>
      <c r="S246" s="87"/>
      <c r="T246" s="87"/>
      <c r="U246" s="87"/>
    </row>
    <row r="247" spans="1:21" ht="18.75" hidden="1" x14ac:dyDescent="0.25">
      <c r="A247" s="550"/>
      <c r="B247" s="269"/>
      <c r="C247" s="269"/>
      <c r="D247" s="775" t="s">
        <v>106</v>
      </c>
      <c r="E247" s="258"/>
      <c r="F247" s="258"/>
      <c r="G247" s="261"/>
      <c r="H247" s="273" t="s">
        <v>14</v>
      </c>
      <c r="I247" s="263"/>
      <c r="J247" s="263"/>
      <c r="K247" s="87"/>
      <c r="L247" s="77">
        <f ca="1">IFERROR(__xludf.DUMMYFUNCTION("IMPORTRANGE(""https://docs.google.com/spreadsheets/d/1eHaY18a8A9IcSdp1K8H6x8fbOy06t2VsZHhMHf-1x7Y/edit?usp=sharing"",""แผน!AZ58"")"),0)</f>
        <v>0</v>
      </c>
      <c r="M247" s="87"/>
      <c r="N247" s="1263">
        <v>0</v>
      </c>
      <c r="O247" s="87"/>
      <c r="P247" s="87"/>
      <c r="Q247" s="86"/>
      <c r="R247" s="87"/>
      <c r="S247" s="87"/>
      <c r="T247" s="87"/>
      <c r="U247" s="87"/>
    </row>
    <row r="248" spans="1:21" ht="18.75" hidden="1" x14ac:dyDescent="0.25">
      <c r="A248" s="550"/>
      <c r="B248" s="269"/>
      <c r="C248" s="269"/>
      <c r="D248" s="265" t="s">
        <v>107</v>
      </c>
      <c r="E248" s="258"/>
      <c r="F248" s="258"/>
      <c r="G248" s="261"/>
      <c r="H248" s="273" t="s">
        <v>14</v>
      </c>
      <c r="I248" s="263"/>
      <c r="J248" s="263"/>
      <c r="K248" s="87"/>
      <c r="L248" s="77">
        <f ca="1">IFERROR(__xludf.DUMMYFUNCTION("IMPORTRANGE(""https://docs.google.com/spreadsheets/d/1eHaY18a8A9IcSdp1K8H6x8fbOy06t2VsZHhMHf-1x7Y/edit?usp=sharing"",""แผน!BA58"")"),0)</f>
        <v>0</v>
      </c>
      <c r="M248" s="87"/>
      <c r="N248" s="1263">
        <v>0</v>
      </c>
      <c r="O248" s="87"/>
      <c r="P248" s="87"/>
      <c r="Q248" s="86"/>
      <c r="R248" s="87"/>
      <c r="S248" s="87"/>
      <c r="T248" s="87"/>
      <c r="U248" s="87"/>
    </row>
    <row r="249" spans="1:21" ht="19.5" hidden="1" x14ac:dyDescent="0.3">
      <c r="A249" s="276"/>
      <c r="B249" s="277"/>
      <c r="C249" s="939" t="s">
        <v>18</v>
      </c>
      <c r="D249" s="940" t="s">
        <v>38</v>
      </c>
      <c r="E249" s="280"/>
      <c r="F249" s="280"/>
      <c r="G249" s="281"/>
      <c r="H249" s="310"/>
      <c r="I249" s="272"/>
      <c r="J249" s="263"/>
      <c r="K249" s="87"/>
      <c r="L249" s="87"/>
      <c r="M249" s="87"/>
      <c r="N249" s="87"/>
      <c r="O249" s="229"/>
      <c r="P249" s="229"/>
      <c r="Q249" s="86"/>
      <c r="R249" s="87"/>
      <c r="S249" s="87"/>
      <c r="T249" s="229"/>
      <c r="U249" s="229"/>
    </row>
    <row r="250" spans="1:21" ht="18.75" hidden="1" x14ac:dyDescent="0.25">
      <c r="A250" s="276"/>
      <c r="B250" s="277"/>
      <c r="C250" s="277"/>
      <c r="D250" s="311" t="s">
        <v>108</v>
      </c>
      <c r="E250" s="296"/>
      <c r="F250" s="296"/>
      <c r="G250" s="282"/>
      <c r="H250" s="706" t="s">
        <v>35</v>
      </c>
      <c r="I250" s="592">
        <f ca="1">IFERROR(__xludf.DUMMYFUNCTION("IMPORTRANGE(""https://docs.google.com/spreadsheets/d/1eHaY18a8A9IcSdp1K8H6x8fbOy06t2VsZHhMHf-1x7Y/edit?usp=sharing"",""แผน!BG58"")"),0)</f>
        <v>0</v>
      </c>
      <c r="J250" s="910">
        <v>0</v>
      </c>
      <c r="K250" s="77">
        <f ca="1">IF(I250&gt;0,J250*100/I250,0)</f>
        <v>0</v>
      </c>
      <c r="L250" s="87"/>
      <c r="M250" s="87"/>
      <c r="N250" s="87"/>
      <c r="O250" s="87"/>
      <c r="P250" s="87"/>
      <c r="Q250" s="86"/>
      <c r="R250" s="87"/>
      <c r="S250" s="87"/>
      <c r="T250" s="87"/>
      <c r="U250" s="87"/>
    </row>
    <row r="251" spans="1:21" ht="18.75" hidden="1" x14ac:dyDescent="0.25">
      <c r="A251" s="276"/>
      <c r="B251" s="277"/>
      <c r="C251" s="277"/>
      <c r="D251" s="946" t="s">
        <v>43</v>
      </c>
      <c r="E251" s="296"/>
      <c r="F251" s="296"/>
      <c r="G251" s="282"/>
      <c r="H251" s="310"/>
      <c r="I251" s="263"/>
      <c r="J251" s="263"/>
      <c r="K251" s="87"/>
      <c r="L251" s="87"/>
      <c r="M251" s="87"/>
      <c r="N251" s="87"/>
      <c r="O251" s="229"/>
      <c r="P251" s="229"/>
      <c r="Q251" s="86"/>
      <c r="R251" s="87"/>
      <c r="S251" s="87"/>
      <c r="T251" s="229"/>
      <c r="U251" s="229"/>
    </row>
    <row r="252" spans="1:21" ht="18.75" hidden="1" x14ac:dyDescent="0.25">
      <c r="A252" s="276"/>
      <c r="B252" s="277"/>
      <c r="C252" s="277"/>
      <c r="D252" s="277"/>
      <c r="E252" s="947" t="s">
        <v>109</v>
      </c>
      <c r="F252" s="296"/>
      <c r="G252" s="282"/>
      <c r="H252" s="706" t="s">
        <v>35</v>
      </c>
      <c r="I252" s="592">
        <v>0</v>
      </c>
      <c r="J252" s="910">
        <v>0</v>
      </c>
      <c r="K252" s="77">
        <f t="shared" ref="K252:K254" si="157">IF(I252&gt;0,J252*100/I252,0)</f>
        <v>0</v>
      </c>
      <c r="L252" s="87"/>
      <c r="M252" s="87"/>
      <c r="N252" s="87"/>
      <c r="O252" s="87"/>
      <c r="P252" s="87"/>
      <c r="Q252" s="86"/>
      <c r="R252" s="87"/>
      <c r="S252" s="87"/>
      <c r="T252" s="87"/>
      <c r="U252" s="87"/>
    </row>
    <row r="253" spans="1:21" ht="18.75" hidden="1" x14ac:dyDescent="0.25">
      <c r="A253" s="276"/>
      <c r="B253" s="277"/>
      <c r="C253" s="277"/>
      <c r="D253" s="277"/>
      <c r="E253" s="947" t="s">
        <v>110</v>
      </c>
      <c r="F253" s="296"/>
      <c r="G253" s="282"/>
      <c r="H253" s="706" t="s">
        <v>61</v>
      </c>
      <c r="I253" s="592">
        <v>0</v>
      </c>
      <c r="J253" s="910">
        <v>0</v>
      </c>
      <c r="K253" s="77">
        <f t="shared" si="157"/>
        <v>0</v>
      </c>
      <c r="L253" s="87"/>
      <c r="M253" s="87"/>
      <c r="N253" s="87"/>
      <c r="O253" s="87"/>
      <c r="P253" s="87"/>
      <c r="Q253" s="86"/>
      <c r="R253" s="87"/>
      <c r="S253" s="87"/>
      <c r="T253" s="87"/>
      <c r="U253" s="87"/>
    </row>
    <row r="254" spans="1:21" ht="19.5" hidden="1" x14ac:dyDescent="0.3">
      <c r="A254" s="553"/>
      <c r="B254" s="555"/>
      <c r="C254" s="1135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8">I261</f>
        <v>0</v>
      </c>
      <c r="J254" s="931">
        <f t="shared" si="158"/>
        <v>0</v>
      </c>
      <c r="K254" s="932">
        <f t="shared" ca="1" si="157"/>
        <v>0</v>
      </c>
      <c r="L254" s="392"/>
      <c r="M254" s="392"/>
      <c r="N254" s="392"/>
      <c r="O254" s="392"/>
      <c r="P254" s="392"/>
      <c r="Q254" s="391"/>
      <c r="R254" s="392"/>
      <c r="S254" s="392"/>
      <c r="T254" s="392"/>
      <c r="U254" s="392"/>
    </row>
    <row r="255" spans="1:21" ht="19.5" hidden="1" x14ac:dyDescent="0.3">
      <c r="A255" s="257"/>
      <c r="B255" s="269"/>
      <c r="C255" s="939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1258">
        <f ca="1">L256+L257+L258+L259</f>
        <v>0</v>
      </c>
      <c r="M255" s="87"/>
      <c r="N255" s="1258">
        <f>N256+N257+N258+N259</f>
        <v>0</v>
      </c>
      <c r="O255" s="1258">
        <f ca="1">IF(L255&gt;0,N255*100/L255,0)</f>
        <v>0</v>
      </c>
      <c r="P255" s="1258">
        <f>IF(M255&gt;0,N255*100/M255,0)</f>
        <v>0</v>
      </c>
      <c r="Q255" s="86"/>
      <c r="R255" s="87"/>
      <c r="S255" s="87"/>
      <c r="T255" s="87"/>
      <c r="U255" s="87"/>
    </row>
    <row r="256" spans="1:21" ht="18.75" hidden="1" x14ac:dyDescent="0.25">
      <c r="A256" s="257"/>
      <c r="B256" s="269"/>
      <c r="C256" s="269"/>
      <c r="D256" s="775" t="s">
        <v>86</v>
      </c>
      <c r="E256" s="258"/>
      <c r="F256" s="258"/>
      <c r="G256" s="261"/>
      <c r="H256" s="273" t="s">
        <v>14</v>
      </c>
      <c r="I256" s="272"/>
      <c r="J256" s="272"/>
      <c r="K256" s="229"/>
      <c r="L256" s="77">
        <f ca="1">IFERROR(__xludf.DUMMYFUNCTION("IMPORTRANGE(""https://docs.google.com/spreadsheets/d/1eHaY18a8A9IcSdp1K8H6x8fbOy06t2VsZHhMHf-1x7Y/edit?usp=sharing"",""แผน!BB58"")"),0)</f>
        <v>0</v>
      </c>
      <c r="M256" s="87"/>
      <c r="N256" s="1263">
        <v>0</v>
      </c>
      <c r="O256" s="87"/>
      <c r="P256" s="87"/>
      <c r="Q256" s="86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775" t="s">
        <v>88</v>
      </c>
      <c r="E257" s="258"/>
      <c r="F257" s="258"/>
      <c r="G257" s="261"/>
      <c r="H257" s="273" t="s">
        <v>14</v>
      </c>
      <c r="I257" s="263"/>
      <c r="J257" s="263"/>
      <c r="K257" s="87"/>
      <c r="L257" s="77">
        <f ca="1">IFERROR(__xludf.DUMMYFUNCTION("IMPORTRANGE(""https://docs.google.com/spreadsheets/d/1eHaY18a8A9IcSdp1K8H6x8fbOy06t2VsZHhMHf-1x7Y/edit?usp=sharing"",""แผน!BC58"")"),0)</f>
        <v>0</v>
      </c>
      <c r="M257" s="87"/>
      <c r="N257" s="1263">
        <v>0</v>
      </c>
      <c r="O257" s="87"/>
      <c r="P257" s="87"/>
      <c r="Q257" s="86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775" t="s">
        <v>106</v>
      </c>
      <c r="E258" s="258"/>
      <c r="F258" s="258"/>
      <c r="G258" s="261"/>
      <c r="H258" s="273" t="s">
        <v>14</v>
      </c>
      <c r="I258" s="263"/>
      <c r="J258" s="263"/>
      <c r="K258" s="87"/>
      <c r="L258" s="77">
        <f ca="1">IFERROR(__xludf.DUMMYFUNCTION("IMPORTRANGE(""https://docs.google.com/spreadsheets/d/1eHaY18a8A9IcSdp1K8H6x8fbOy06t2VsZHhMHf-1x7Y/edit?usp=sharing"",""แผน!BD58"")"),0)</f>
        <v>0</v>
      </c>
      <c r="M258" s="87"/>
      <c r="N258" s="1263">
        <v>0</v>
      </c>
      <c r="O258" s="87"/>
      <c r="P258" s="87"/>
      <c r="Q258" s="86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5" t="s">
        <v>107</v>
      </c>
      <c r="E259" s="258"/>
      <c r="F259" s="258"/>
      <c r="G259" s="261"/>
      <c r="H259" s="273" t="s">
        <v>14</v>
      </c>
      <c r="I259" s="263"/>
      <c r="J259" s="263"/>
      <c r="K259" s="87"/>
      <c r="L259" s="77">
        <f ca="1">IFERROR(__xludf.DUMMYFUNCTION("IMPORTRANGE(""https://docs.google.com/spreadsheets/d/1eHaY18a8A9IcSdp1K8H6x8fbOy06t2VsZHhMHf-1x7Y/edit?usp=sharing"",""แผน!BE58"")"),0)</f>
        <v>0</v>
      </c>
      <c r="M259" s="87"/>
      <c r="N259" s="1263">
        <v>0</v>
      </c>
      <c r="O259" s="87"/>
      <c r="P259" s="87"/>
      <c r="Q259" s="86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7"/>
      <c r="M260" s="87"/>
      <c r="N260" s="87"/>
      <c r="O260" s="229"/>
      <c r="P260" s="229"/>
      <c r="Q260" s="86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706" t="s">
        <v>35</v>
      </c>
      <c r="I261" s="592">
        <f ca="1">IFERROR(__xludf.DUMMYFUNCTION("IMPORTRANGE(""https://docs.google.com/spreadsheets/d/1eHaY18a8A9IcSdp1K8H6x8fbOy06t2VsZHhMHf-1x7Y/edit?usp=sharing"",""แผน!BH58"")"),0)</f>
        <v>0</v>
      </c>
      <c r="J261" s="910">
        <v>0</v>
      </c>
      <c r="K261" s="77">
        <f ca="1">IF(I261&gt;0,J261*100/I261,0)</f>
        <v>0</v>
      </c>
      <c r="L261" s="87"/>
      <c r="M261" s="87"/>
      <c r="N261" s="87"/>
      <c r="O261" s="87"/>
      <c r="P261" s="87"/>
      <c r="Q261" s="86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310"/>
      <c r="I262" s="263"/>
      <c r="J262" s="263"/>
      <c r="K262" s="87"/>
      <c r="L262" s="87"/>
      <c r="M262" s="87"/>
      <c r="N262" s="87"/>
      <c r="O262" s="229"/>
      <c r="P262" s="229"/>
      <c r="Q262" s="86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706" t="s">
        <v>35</v>
      </c>
      <c r="I263" s="263"/>
      <c r="J263" s="910">
        <v>0</v>
      </c>
      <c r="K263" s="77">
        <f t="shared" ref="K263:K264" si="159">IF(I263&gt;0,J263*100/I263,0)</f>
        <v>0</v>
      </c>
      <c r="L263" s="87"/>
      <c r="M263" s="87"/>
      <c r="N263" s="87"/>
      <c r="O263" s="87"/>
      <c r="P263" s="87"/>
      <c r="Q263" s="86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706" t="s">
        <v>61</v>
      </c>
      <c r="I264" s="263"/>
      <c r="J264" s="910">
        <v>0</v>
      </c>
      <c r="K264" s="77">
        <f t="shared" si="159"/>
        <v>0</v>
      </c>
      <c r="L264" s="87"/>
      <c r="M264" s="87"/>
      <c r="N264" s="87"/>
      <c r="O264" s="87"/>
      <c r="P264" s="87"/>
      <c r="Q264" s="86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1138"/>
      <c r="I265" s="364"/>
      <c r="J265" s="364"/>
      <c r="K265" s="365"/>
      <c r="L265" s="365"/>
      <c r="M265" s="365"/>
      <c r="N265" s="365"/>
      <c r="O265" s="365"/>
      <c r="P265" s="365"/>
      <c r="Q265" s="1230"/>
      <c r="R265" s="365"/>
      <c r="S265" s="365"/>
      <c r="T265" s="365"/>
      <c r="U265" s="365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1139" t="s">
        <v>35</v>
      </c>
      <c r="I266" s="1140">
        <f t="shared" ref="I266:J266" ca="1" si="160">I277</f>
        <v>22</v>
      </c>
      <c r="J266" s="1140">
        <f t="shared" si="160"/>
        <v>0</v>
      </c>
      <c r="K266" s="373">
        <f ca="1">IF(I266&gt;0,J266*100/I266,0)</f>
        <v>0</v>
      </c>
      <c r="L266" s="374"/>
      <c r="M266" s="374"/>
      <c r="N266" s="374"/>
      <c r="O266" s="374"/>
      <c r="P266" s="374"/>
      <c r="Q266" s="1231"/>
      <c r="R266" s="374"/>
      <c r="S266" s="374"/>
      <c r="T266" s="374"/>
      <c r="U266" s="374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213">
        <f t="shared" ref="L267:N267" ca="1" si="161">L268+L269</f>
        <v>0</v>
      </c>
      <c r="M267" s="213">
        <f t="shared" ca="1" si="161"/>
        <v>5000</v>
      </c>
      <c r="N267" s="213">
        <f t="shared" ca="1" si="161"/>
        <v>0</v>
      </c>
      <c r="O267" s="213">
        <f t="shared" ref="O267:O275" ca="1" si="162">IF(L267&gt;0,N267*100/L267,0)</f>
        <v>0</v>
      </c>
      <c r="P267" s="213">
        <f t="shared" ref="P267:P275" ca="1" si="163">IF(M267&gt;0,N267*100/M267,0)</f>
        <v>0</v>
      </c>
      <c r="Q267" s="1262">
        <f t="shared" ref="Q267:S267" ca="1" si="164">Q268+Q269</f>
        <v>50660</v>
      </c>
      <c r="R267" s="213">
        <f t="shared" ca="1" si="164"/>
        <v>50660</v>
      </c>
      <c r="S267" s="213">
        <f t="shared" ca="1" si="164"/>
        <v>0</v>
      </c>
      <c r="T267" s="213">
        <f t="shared" ref="T267:T275" ca="1" si="165">IF(Q267&gt;0,S267*100/Q267,0)</f>
        <v>0</v>
      </c>
      <c r="U267" s="213">
        <f t="shared" ref="U267:U275" ca="1" si="166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77">
        <f t="shared" ref="L268:N269" si="167">L271+L274</f>
        <v>0</v>
      </c>
      <c r="M268" s="77">
        <f t="shared" si="167"/>
        <v>0</v>
      </c>
      <c r="N268" s="77">
        <f t="shared" si="167"/>
        <v>0</v>
      </c>
      <c r="O268" s="77">
        <f t="shared" si="162"/>
        <v>0</v>
      </c>
      <c r="P268" s="77">
        <f t="shared" si="163"/>
        <v>0</v>
      </c>
      <c r="Q268" s="76">
        <f t="shared" ref="Q268:S269" si="168">Q271+Q274</f>
        <v>0</v>
      </c>
      <c r="R268" s="77">
        <f t="shared" si="168"/>
        <v>0</v>
      </c>
      <c r="S268" s="77">
        <f t="shared" si="168"/>
        <v>0</v>
      </c>
      <c r="T268" s="77">
        <f t="shared" si="165"/>
        <v>0</v>
      </c>
      <c r="U268" s="77">
        <f t="shared" si="166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399">
        <f t="shared" ca="1" si="167"/>
        <v>0</v>
      </c>
      <c r="M269" s="399">
        <f t="shared" ca="1" si="167"/>
        <v>5000</v>
      </c>
      <c r="N269" s="399">
        <f t="shared" ca="1" si="167"/>
        <v>0</v>
      </c>
      <c r="O269" s="399">
        <f t="shared" ca="1" si="162"/>
        <v>0</v>
      </c>
      <c r="P269" s="399">
        <f t="shared" ca="1" si="163"/>
        <v>0</v>
      </c>
      <c r="Q269" s="1261">
        <f t="shared" ca="1" si="168"/>
        <v>50660</v>
      </c>
      <c r="R269" s="399">
        <f t="shared" ca="1" si="168"/>
        <v>50660</v>
      </c>
      <c r="S269" s="399">
        <f t="shared" ca="1" si="168"/>
        <v>0</v>
      </c>
      <c r="T269" s="399">
        <f t="shared" ca="1" si="165"/>
        <v>0</v>
      </c>
      <c r="U269" s="399">
        <f t="shared" ca="1" si="166"/>
        <v>0</v>
      </c>
    </row>
    <row r="270" spans="1:21" ht="18.75" x14ac:dyDescent="0.25">
      <c r="A270" s="209"/>
      <c r="B270" s="381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399">
        <f t="shared" ref="L270:N270" ca="1" si="169">L271+L272</f>
        <v>0</v>
      </c>
      <c r="M270" s="399">
        <f t="shared" ca="1" si="169"/>
        <v>5000</v>
      </c>
      <c r="N270" s="399">
        <f t="shared" ca="1" si="169"/>
        <v>0</v>
      </c>
      <c r="O270" s="399">
        <f t="shared" ca="1" si="162"/>
        <v>0</v>
      </c>
      <c r="P270" s="399">
        <f t="shared" ca="1" si="163"/>
        <v>0</v>
      </c>
      <c r="Q270" s="1261">
        <f t="shared" ref="Q270:S270" ca="1" si="170">Q271+Q272</f>
        <v>50660</v>
      </c>
      <c r="R270" s="399">
        <f t="shared" ca="1" si="170"/>
        <v>50660</v>
      </c>
      <c r="S270" s="399">
        <f t="shared" ca="1" si="170"/>
        <v>0</v>
      </c>
      <c r="T270" s="399">
        <f t="shared" ca="1" si="165"/>
        <v>0</v>
      </c>
      <c r="U270" s="399">
        <f t="shared" ca="1" si="166"/>
        <v>0</v>
      </c>
    </row>
    <row r="271" spans="1:21" ht="18.75" hidden="1" x14ac:dyDescent="0.25">
      <c r="A271" s="880"/>
      <c r="B271" s="920"/>
      <c r="C271" s="920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7">
        <v>0</v>
      </c>
      <c r="M271" s="77">
        <v>0</v>
      </c>
      <c r="N271" s="77">
        <v>0</v>
      </c>
      <c r="O271" s="77">
        <f t="shared" si="162"/>
        <v>0</v>
      </c>
      <c r="P271" s="77">
        <f t="shared" si="163"/>
        <v>0</v>
      </c>
      <c r="Q271" s="76">
        <v>0</v>
      </c>
      <c r="R271" s="77">
        <v>0</v>
      </c>
      <c r="S271" s="77">
        <v>0</v>
      </c>
      <c r="T271" s="77">
        <f t="shared" si="165"/>
        <v>0</v>
      </c>
      <c r="U271" s="77">
        <f t="shared" si="166"/>
        <v>0</v>
      </c>
    </row>
    <row r="272" spans="1:21" ht="18.75" hidden="1" x14ac:dyDescent="0.25">
      <c r="A272" s="209"/>
      <c r="B272" s="381"/>
      <c r="C272" s="381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399">
        <f ca="1">IFERROR(__xludf.DUMMYFUNCTION("IMPORTRANGE(""https://docs.google.com/spreadsheets/d/1-uDff_7J0KD5mKrp0Vvzr7lt3OU09vwQwhkpOPPYv2Y/edit?usp=sharing"",""งบพรบ!DE58"")"),0)</f>
        <v>0</v>
      </c>
      <c r="M272" s="399">
        <f ca="1">IFERROR(__xludf.DUMMYFUNCTION("IMPORTRANGE(""https://docs.google.com/spreadsheets/d/1-uDff_7J0KD5mKrp0Vvzr7lt3OU09vwQwhkpOPPYv2Y/edit?usp=sharing"",""งบพรบ!DJ58"")"),5000)</f>
        <v>5000</v>
      </c>
      <c r="N272" s="399">
        <f ca="1">IFERROR(__xludf.DUMMYFUNCTION("IMPORTRANGE(""https://docs.google.com/spreadsheets/d/1-uDff_7J0KD5mKrp0Vvzr7lt3OU09vwQwhkpOPPYv2Y/edit?usp=sharing"",""งบพรบ!DL58"")"),0)</f>
        <v>0</v>
      </c>
      <c r="O272" s="399">
        <f t="shared" ca="1" si="162"/>
        <v>0</v>
      </c>
      <c r="P272" s="399">
        <f t="shared" ca="1" si="163"/>
        <v>0</v>
      </c>
      <c r="Q272" s="1261">
        <f ca="1">IFERROR(__xludf.DUMMYFUNCTION("IMPORTRANGE(""https://docs.google.com/spreadsheets/d/1ItG2mGa2ceCfYo0BwxsXqNm01IGEUdYcSSLTEv9YCik/edit?usp=sharing"",""เบิกจ่ายกองทุน!AJ58"")"),50660)</f>
        <v>50660</v>
      </c>
      <c r="R272" s="399">
        <f ca="1">IFERROR(__xludf.DUMMYFUNCTION("IMPORTRANGE(""https://docs.google.com/spreadsheets/d/1ItG2mGa2ceCfYo0BwxsXqNm01IGEUdYcSSLTEv9YCik/edit?usp=sharing"",""เบิกจ่ายกองทุน!AK58"")"),50660)</f>
        <v>50660</v>
      </c>
      <c r="S272" s="399">
        <f ca="1">IFERROR(__xludf.DUMMYFUNCTION("IMPORTRANGE(""https://docs.google.com/spreadsheets/d/1ItG2mGa2ceCfYo0BwxsXqNm01IGEUdYcSSLTEv9YCik/edit?usp=sharing"",""เบิกจ่ายกองทุน!AL58"")"),0)</f>
        <v>0</v>
      </c>
      <c r="T272" s="399">
        <f t="shared" ca="1" si="165"/>
        <v>0</v>
      </c>
      <c r="U272" s="399">
        <f t="shared" ca="1" si="166"/>
        <v>0</v>
      </c>
    </row>
    <row r="273" spans="1:21" ht="18.75" x14ac:dyDescent="0.25">
      <c r="A273" s="209"/>
      <c r="B273" s="381"/>
      <c r="C273" s="381"/>
      <c r="D273" s="1141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399">
        <f t="shared" ref="L273:N273" ca="1" si="171">L274+L275</f>
        <v>0</v>
      </c>
      <c r="M273" s="399">
        <f t="shared" ca="1" si="171"/>
        <v>0</v>
      </c>
      <c r="N273" s="399">
        <f t="shared" ca="1" si="171"/>
        <v>0</v>
      </c>
      <c r="O273" s="399">
        <f t="shared" ca="1" si="162"/>
        <v>0</v>
      </c>
      <c r="P273" s="399">
        <f t="shared" ca="1" si="163"/>
        <v>0</v>
      </c>
      <c r="Q273" s="1261">
        <f t="shared" ref="Q273:S273" si="172">Q274+Q275</f>
        <v>0</v>
      </c>
      <c r="R273" s="399">
        <f t="shared" si="172"/>
        <v>0</v>
      </c>
      <c r="S273" s="399">
        <f t="shared" si="172"/>
        <v>0</v>
      </c>
      <c r="T273" s="399">
        <f t="shared" si="165"/>
        <v>0</v>
      </c>
      <c r="U273" s="399">
        <f t="shared" si="166"/>
        <v>0</v>
      </c>
    </row>
    <row r="274" spans="1:21" ht="18.75" hidden="1" x14ac:dyDescent="0.25">
      <c r="A274" s="880"/>
      <c r="B274" s="838"/>
      <c r="C274" s="920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7">
        <v>0</v>
      </c>
      <c r="M274" s="77">
        <v>0</v>
      </c>
      <c r="N274" s="77">
        <v>0</v>
      </c>
      <c r="O274" s="77">
        <f t="shared" si="162"/>
        <v>0</v>
      </c>
      <c r="P274" s="77">
        <f t="shared" si="163"/>
        <v>0</v>
      </c>
      <c r="Q274" s="76">
        <v>0</v>
      </c>
      <c r="R274" s="77">
        <v>0</v>
      </c>
      <c r="S274" s="77">
        <v>0</v>
      </c>
      <c r="T274" s="77">
        <f t="shared" si="165"/>
        <v>0</v>
      </c>
      <c r="U274" s="77">
        <f t="shared" si="166"/>
        <v>0</v>
      </c>
    </row>
    <row r="275" spans="1:21" ht="18.75" hidden="1" x14ac:dyDescent="0.25">
      <c r="A275" s="209"/>
      <c r="B275" s="67"/>
      <c r="C275" s="67"/>
      <c r="D275" s="381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399">
        <f ca="1">IFERROR(__xludf.DUMMYFUNCTION("IMPORTRANGE(""https://docs.google.com/spreadsheets/d/1-uDff_7J0KD5mKrp0Vvzr7lt3OU09vwQwhkpOPPYv2Y/edit?usp=sharing"",""งบพรบ!DH58"")"),0)</f>
        <v>0</v>
      </c>
      <c r="M275" s="399">
        <f ca="1">IFERROR(__xludf.DUMMYFUNCTION("IMPORTRANGE(""https://docs.google.com/spreadsheets/d/1-uDff_7J0KD5mKrp0Vvzr7lt3OU09vwQwhkpOPPYv2Y/edit?usp=sharing"",""งบพรบ!DK58"")"),0)</f>
        <v>0</v>
      </c>
      <c r="N275" s="399">
        <f ca="1">IFERROR(__xludf.DUMMYFUNCTION("IMPORTRANGE(""https://docs.google.com/spreadsheets/d/1-uDff_7J0KD5mKrp0Vvzr7lt3OU09vwQwhkpOPPYv2Y/edit?usp=sharing"",""งบพรบ!DM58"")"),0)</f>
        <v>0</v>
      </c>
      <c r="O275" s="399">
        <f t="shared" ca="1" si="162"/>
        <v>0</v>
      </c>
      <c r="P275" s="399">
        <f t="shared" ca="1" si="163"/>
        <v>0</v>
      </c>
      <c r="Q275" s="1261">
        <v>0</v>
      </c>
      <c r="R275" s="399">
        <v>0</v>
      </c>
      <c r="S275" s="399">
        <v>0</v>
      </c>
      <c r="T275" s="399">
        <f t="shared" si="165"/>
        <v>0</v>
      </c>
      <c r="U275" s="399">
        <f t="shared" si="166"/>
        <v>0</v>
      </c>
    </row>
    <row r="276" spans="1:21" ht="19.5" x14ac:dyDescent="0.3">
      <c r="A276" s="222"/>
      <c r="B276" s="223"/>
      <c r="C276" s="440" t="s">
        <v>18</v>
      </c>
      <c r="D276" s="1142" t="s">
        <v>38</v>
      </c>
      <c r="E276" s="225"/>
      <c r="F276" s="225"/>
      <c r="G276" s="226"/>
      <c r="H276" s="227"/>
      <c r="I276" s="219"/>
      <c r="J276" s="219"/>
      <c r="K276" s="220"/>
      <c r="L276" s="220"/>
      <c r="M276" s="220"/>
      <c r="N276" s="220"/>
      <c r="O276" s="220"/>
      <c r="P276" s="220"/>
      <c r="Q276" s="1235"/>
      <c r="R276" s="220"/>
      <c r="S276" s="220"/>
      <c r="T276" s="220"/>
      <c r="U276" s="220"/>
    </row>
    <row r="277" spans="1:21" ht="18.75" x14ac:dyDescent="0.25">
      <c r="A277" s="949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IFERROR(__xludf.DUMMYFUNCTION("IMPORTRANGE(""https://docs.google.com/spreadsheets/d/1eHaY18a8A9IcSdp1K8H6x8fbOy06t2VsZHhMHf-1x7Y/edit?usp=sharing"",""แผน!EC58"")"),22)</f>
        <v>22</v>
      </c>
      <c r="J277" s="908">
        <v>0</v>
      </c>
      <c r="K277" s="85">
        <f ca="1">IF(I277&gt;0,J277*100/I277,0)</f>
        <v>0</v>
      </c>
      <c r="L277" s="84"/>
      <c r="M277" s="84"/>
      <c r="N277" s="84"/>
      <c r="O277" s="84"/>
      <c r="P277" s="84"/>
      <c r="Q277" s="540"/>
      <c r="R277" s="72"/>
      <c r="S277" s="72"/>
      <c r="T277" s="72"/>
      <c r="U277" s="72"/>
    </row>
    <row r="278" spans="1:21" ht="18.75" hidden="1" x14ac:dyDescent="0.25">
      <c r="A278" s="1236"/>
      <c r="B278" s="996"/>
      <c r="C278" s="996"/>
      <c r="D278" s="1145" t="s">
        <v>116</v>
      </c>
      <c r="E278" s="1237"/>
      <c r="F278" s="1237"/>
      <c r="G278" s="1238"/>
      <c r="H278" s="1146" t="s">
        <v>35</v>
      </c>
      <c r="I278" s="779">
        <v>0</v>
      </c>
      <c r="J278" s="779">
        <v>0</v>
      </c>
      <c r="K278" s="1147">
        <v>0</v>
      </c>
      <c r="L278" s="1240"/>
      <c r="M278" s="1240"/>
      <c r="N278" s="1240"/>
      <c r="O278" s="1240"/>
      <c r="P278" s="1240"/>
      <c r="Q278" s="1239"/>
      <c r="R278" s="1240"/>
      <c r="S278" s="1240"/>
      <c r="T278" s="1240"/>
      <c r="U278" s="124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49"/>
      <c r="I279" s="1151"/>
      <c r="J279" s="1151"/>
      <c r="K279" s="469"/>
      <c r="L279" s="469"/>
      <c r="M279" s="469"/>
      <c r="N279" s="469"/>
      <c r="O279" s="469"/>
      <c r="P279" s="470"/>
      <c r="Q279" s="468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4"/>
      <c r="I280" s="1155"/>
      <c r="J280" s="1156"/>
      <c r="K280" s="478"/>
      <c r="L280" s="478"/>
      <c r="M280" s="478"/>
      <c r="N280" s="478"/>
      <c r="O280" s="478"/>
      <c r="P280" s="478"/>
      <c r="Q280" s="477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162" t="s">
        <v>35</v>
      </c>
      <c r="I281" s="1163">
        <f t="shared" ref="I281:J281" ca="1" si="173">I294</f>
        <v>0</v>
      </c>
      <c r="J281" s="1163">
        <f t="shared" si="173"/>
        <v>0</v>
      </c>
      <c r="K281" s="1164">
        <f t="shared" ref="K281:K282" ca="1" si="174">IF(I281&gt;0,J281*100/I281,0)</f>
        <v>0</v>
      </c>
      <c r="L281" s="489"/>
      <c r="M281" s="489"/>
      <c r="N281" s="489"/>
      <c r="O281" s="489"/>
      <c r="P281" s="489"/>
      <c r="Q281" s="488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162" t="s">
        <v>46</v>
      </c>
      <c r="I282" s="1163">
        <f t="shared" ref="I282:J282" ca="1" si="175">I293</f>
        <v>0</v>
      </c>
      <c r="J282" s="1163">
        <f t="shared" si="175"/>
        <v>0</v>
      </c>
      <c r="K282" s="1164">
        <f t="shared" ca="1" si="174"/>
        <v>0</v>
      </c>
      <c r="L282" s="489"/>
      <c r="M282" s="489"/>
      <c r="N282" s="489"/>
      <c r="O282" s="489"/>
      <c r="P282" s="489"/>
      <c r="Q282" s="488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264">
        <f t="shared" ref="L283:N283" ca="1" si="176">L284+L285</f>
        <v>0</v>
      </c>
      <c r="M283" s="264">
        <f t="shared" ca="1" si="176"/>
        <v>0</v>
      </c>
      <c r="N283" s="264">
        <f t="shared" ca="1" si="176"/>
        <v>0</v>
      </c>
      <c r="O283" s="264">
        <f t="shared" ref="O283:O291" ca="1" si="177">IF(L283&gt;0,N283*100/L283,0)</f>
        <v>0</v>
      </c>
      <c r="P283" s="264">
        <f t="shared" ref="P283:P291" ca="1" si="178">IF(M283&gt;0,N283*100/M283,0)</f>
        <v>0</v>
      </c>
      <c r="Q283" s="1257">
        <f t="shared" ref="Q283:S283" si="179">Q284+Q285</f>
        <v>0</v>
      </c>
      <c r="R283" s="264">
        <f t="shared" si="179"/>
        <v>0</v>
      </c>
      <c r="S283" s="264">
        <f t="shared" si="179"/>
        <v>0</v>
      </c>
      <c r="T283" s="264">
        <f t="shared" ref="T283:T291" si="180">IF(Q283&gt;0,S283*100/Q283,0)</f>
        <v>0</v>
      </c>
      <c r="U283" s="264">
        <f t="shared" ref="U283:U291" si="181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7">
        <f t="shared" ref="L284:N285" si="182">L287+L290</f>
        <v>0</v>
      </c>
      <c r="M284" s="77">
        <f t="shared" si="182"/>
        <v>0</v>
      </c>
      <c r="N284" s="77">
        <f t="shared" si="182"/>
        <v>0</v>
      </c>
      <c r="O284" s="77">
        <f t="shared" si="177"/>
        <v>0</v>
      </c>
      <c r="P284" s="77">
        <f t="shared" si="178"/>
        <v>0</v>
      </c>
      <c r="Q284" s="76">
        <f t="shared" ref="Q284:S285" si="183">Q287+Q290</f>
        <v>0</v>
      </c>
      <c r="R284" s="77">
        <f t="shared" si="183"/>
        <v>0</v>
      </c>
      <c r="S284" s="77">
        <f t="shared" si="183"/>
        <v>0</v>
      </c>
      <c r="T284" s="77">
        <f t="shared" si="180"/>
        <v>0</v>
      </c>
      <c r="U284" s="77">
        <f t="shared" si="181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4">
        <f t="shared" ca="1" si="182"/>
        <v>0</v>
      </c>
      <c r="M285" s="74">
        <f t="shared" ca="1" si="182"/>
        <v>0</v>
      </c>
      <c r="N285" s="74">
        <f t="shared" ca="1" si="182"/>
        <v>0</v>
      </c>
      <c r="O285" s="74">
        <f t="shared" ca="1" si="177"/>
        <v>0</v>
      </c>
      <c r="P285" s="74">
        <f t="shared" ca="1" si="178"/>
        <v>0</v>
      </c>
      <c r="Q285" s="73">
        <f t="shared" si="183"/>
        <v>0</v>
      </c>
      <c r="R285" s="74">
        <f t="shared" si="183"/>
        <v>0</v>
      </c>
      <c r="S285" s="74">
        <f t="shared" si="183"/>
        <v>0</v>
      </c>
      <c r="T285" s="74">
        <f t="shared" si="180"/>
        <v>0</v>
      </c>
      <c r="U285" s="74">
        <f t="shared" si="181"/>
        <v>0</v>
      </c>
    </row>
    <row r="286" spans="1:21" ht="18.75" hidden="1" x14ac:dyDescent="0.25">
      <c r="A286" s="257"/>
      <c r="B286" s="269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4">
        <f t="shared" ref="L286:N286" ca="1" si="184">L287+L288</f>
        <v>0</v>
      </c>
      <c r="M286" s="74">
        <f t="shared" ca="1" si="184"/>
        <v>0</v>
      </c>
      <c r="N286" s="74">
        <f t="shared" ca="1" si="184"/>
        <v>0</v>
      </c>
      <c r="O286" s="74">
        <f t="shared" ca="1" si="177"/>
        <v>0</v>
      </c>
      <c r="P286" s="74">
        <f t="shared" ca="1" si="178"/>
        <v>0</v>
      </c>
      <c r="Q286" s="73">
        <f t="shared" ref="Q286:S286" si="185">Q287+Q288</f>
        <v>0</v>
      </c>
      <c r="R286" s="74">
        <f t="shared" si="185"/>
        <v>0</v>
      </c>
      <c r="S286" s="74">
        <f t="shared" si="185"/>
        <v>0</v>
      </c>
      <c r="T286" s="74">
        <f t="shared" si="180"/>
        <v>0</v>
      </c>
      <c r="U286" s="74">
        <f t="shared" si="181"/>
        <v>0</v>
      </c>
    </row>
    <row r="287" spans="1:21" ht="18.75" hidden="1" x14ac:dyDescent="0.25">
      <c r="A287" s="257"/>
      <c r="B287" s="269"/>
      <c r="C287" s="269"/>
      <c r="D287" s="258"/>
      <c r="E287" s="775" t="s">
        <v>36</v>
      </c>
      <c r="F287" s="258"/>
      <c r="G287" s="261"/>
      <c r="H287" s="273" t="s">
        <v>14</v>
      </c>
      <c r="I287" s="272"/>
      <c r="J287" s="272"/>
      <c r="K287" s="229"/>
      <c r="L287" s="77">
        <v>0</v>
      </c>
      <c r="M287" s="77">
        <v>0</v>
      </c>
      <c r="N287" s="77">
        <v>0</v>
      </c>
      <c r="O287" s="77">
        <f t="shared" si="177"/>
        <v>0</v>
      </c>
      <c r="P287" s="77">
        <f t="shared" si="178"/>
        <v>0</v>
      </c>
      <c r="Q287" s="76">
        <v>0</v>
      </c>
      <c r="R287" s="77">
        <v>0</v>
      </c>
      <c r="S287" s="77">
        <v>0</v>
      </c>
      <c r="T287" s="77">
        <f t="shared" si="180"/>
        <v>0</v>
      </c>
      <c r="U287" s="77">
        <f t="shared" si="181"/>
        <v>0</v>
      </c>
    </row>
    <row r="288" spans="1:21" ht="18.75" hidden="1" x14ac:dyDescent="0.25">
      <c r="A288" s="257"/>
      <c r="B288" s="269"/>
      <c r="C288" s="269"/>
      <c r="D288" s="258"/>
      <c r="E288" s="749" t="s">
        <v>37</v>
      </c>
      <c r="F288" s="258"/>
      <c r="G288" s="261"/>
      <c r="H288" s="271" t="s">
        <v>14</v>
      </c>
      <c r="I288" s="272"/>
      <c r="J288" s="272"/>
      <c r="K288" s="229"/>
      <c r="L288" s="74">
        <f ca="1">IFERROR(__xludf.DUMMYFUNCTION("IMPORTRANGE(""https://docs.google.com/spreadsheets/d/1-uDff_7J0KD5mKrp0Vvzr7lt3OU09vwQwhkpOPPYv2Y/edit?usp=sharing"",""งบพรบ!DO58"")"),0)</f>
        <v>0</v>
      </c>
      <c r="M288" s="74">
        <f ca="1">IFERROR(__xludf.DUMMYFUNCTION("IMPORTRANGE(""https://docs.google.com/spreadsheets/d/1-uDff_7J0KD5mKrp0Vvzr7lt3OU09vwQwhkpOPPYv2Y/edit?usp=sharing"",""งบพรบ!DT58"")"),0)</f>
        <v>0</v>
      </c>
      <c r="N288" s="74">
        <f ca="1">IFERROR(__xludf.DUMMYFUNCTION("IMPORTRANGE(""https://docs.google.com/spreadsheets/d/1-uDff_7J0KD5mKrp0Vvzr7lt3OU09vwQwhkpOPPYv2Y/edit?usp=sharing"",""งบพรบ!DV58"")"),0)</f>
        <v>0</v>
      </c>
      <c r="O288" s="74">
        <f t="shared" ca="1" si="177"/>
        <v>0</v>
      </c>
      <c r="P288" s="74">
        <f t="shared" ca="1" si="178"/>
        <v>0</v>
      </c>
      <c r="Q288" s="73">
        <v>0</v>
      </c>
      <c r="R288" s="74">
        <v>0</v>
      </c>
      <c r="S288" s="74">
        <v>0</v>
      </c>
      <c r="T288" s="77">
        <f t="shared" si="180"/>
        <v>0</v>
      </c>
      <c r="U288" s="77">
        <f t="shared" si="181"/>
        <v>0</v>
      </c>
    </row>
    <row r="289" spans="1:21" ht="18.75" hidden="1" x14ac:dyDescent="0.25">
      <c r="A289" s="257"/>
      <c r="B289" s="269"/>
      <c r="C289" s="269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4">
        <f t="shared" ref="L289:N289" ca="1" si="186">L290+L291</f>
        <v>0</v>
      </c>
      <c r="M289" s="74">
        <f t="shared" ca="1" si="186"/>
        <v>0</v>
      </c>
      <c r="N289" s="74">
        <f t="shared" ca="1" si="186"/>
        <v>0</v>
      </c>
      <c r="O289" s="74">
        <f t="shared" ca="1" si="177"/>
        <v>0</v>
      </c>
      <c r="P289" s="74">
        <f t="shared" ca="1" si="178"/>
        <v>0</v>
      </c>
      <c r="Q289" s="73">
        <f t="shared" ref="Q289:S289" si="187">Q290+Q291</f>
        <v>0</v>
      </c>
      <c r="R289" s="74">
        <f t="shared" si="187"/>
        <v>0</v>
      </c>
      <c r="S289" s="74">
        <f t="shared" si="187"/>
        <v>0</v>
      </c>
      <c r="T289" s="74">
        <f t="shared" si="180"/>
        <v>0</v>
      </c>
      <c r="U289" s="74">
        <f t="shared" si="181"/>
        <v>0</v>
      </c>
    </row>
    <row r="290" spans="1:21" ht="18.75" hidden="1" x14ac:dyDescent="0.25">
      <c r="A290" s="257"/>
      <c r="B290" s="269"/>
      <c r="C290" s="269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7">
        <v>0</v>
      </c>
      <c r="M290" s="77">
        <v>0</v>
      </c>
      <c r="N290" s="77">
        <v>0</v>
      </c>
      <c r="O290" s="77">
        <f t="shared" si="177"/>
        <v>0</v>
      </c>
      <c r="P290" s="77">
        <f t="shared" si="178"/>
        <v>0</v>
      </c>
      <c r="Q290" s="76">
        <v>0</v>
      </c>
      <c r="R290" s="77">
        <v>0</v>
      </c>
      <c r="S290" s="77">
        <v>0</v>
      </c>
      <c r="T290" s="77">
        <f t="shared" si="180"/>
        <v>0</v>
      </c>
      <c r="U290" s="77">
        <f t="shared" si="181"/>
        <v>0</v>
      </c>
    </row>
    <row r="291" spans="1:21" ht="18.75" hidden="1" x14ac:dyDescent="0.25">
      <c r="A291" s="257"/>
      <c r="B291" s="269"/>
      <c r="C291" s="269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4">
        <f ca="1">IFERROR(__xludf.DUMMYFUNCTION("IMPORTRANGE(""https://docs.google.com/spreadsheets/d/1-uDff_7J0KD5mKrp0Vvzr7lt3OU09vwQwhkpOPPYv2Y/edit?usp=sharing"",""งบพรบ!DR58"")"),0)</f>
        <v>0</v>
      </c>
      <c r="M291" s="74">
        <f ca="1">IFERROR(__xludf.DUMMYFUNCTION("IMPORTRANGE(""https://docs.google.com/spreadsheets/d/1-uDff_7J0KD5mKrp0Vvzr7lt3OU09vwQwhkpOPPYv2Y/edit?usp=sharing"",""งบพรบ!DU58"")"),0)</f>
        <v>0</v>
      </c>
      <c r="N291" s="74">
        <f ca="1">IFERROR(__xludf.DUMMYFUNCTION("IMPORTRANGE(""https://docs.google.com/spreadsheets/d/1-uDff_7J0KD5mKrp0Vvzr7lt3OU09vwQwhkpOPPYv2Y/edit?usp=sharing"",""งบพรบ!DW58"")"),0)</f>
        <v>0</v>
      </c>
      <c r="O291" s="74">
        <f t="shared" ca="1" si="177"/>
        <v>0</v>
      </c>
      <c r="P291" s="74">
        <f t="shared" ca="1" si="178"/>
        <v>0</v>
      </c>
      <c r="Q291" s="73">
        <v>0</v>
      </c>
      <c r="R291" s="74">
        <v>0</v>
      </c>
      <c r="S291" s="74">
        <v>0</v>
      </c>
      <c r="T291" s="74">
        <f t="shared" si="180"/>
        <v>0</v>
      </c>
      <c r="U291" s="74">
        <f t="shared" si="181"/>
        <v>0</v>
      </c>
    </row>
    <row r="292" spans="1:21" ht="19.5" hidden="1" x14ac:dyDescent="0.3">
      <c r="A292" s="276"/>
      <c r="B292" s="277"/>
      <c r="C292" s="621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9"/>
      <c r="M292" s="229"/>
      <c r="N292" s="229"/>
      <c r="O292" s="229"/>
      <c r="P292" s="229"/>
      <c r="Q292" s="228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IFERROR(__xludf.DUMMYFUNCTION("IMPORTRANGE(""https://docs.google.com/spreadsheets/d/1eHaY18a8A9IcSdp1K8H6x8fbOy06t2VsZHhMHf-1x7Y/edit?usp=sharing"",""แผน!EE58"")"),0)</f>
        <v>0</v>
      </c>
      <c r="J293" s="294">
        <v>0</v>
      </c>
      <c r="K293" s="768">
        <f t="shared" ref="K293:K294" ca="1" si="188">IF(I293&gt;0,J293*100/I293,0)</f>
        <v>0</v>
      </c>
      <c r="L293" s="229"/>
      <c r="M293" s="229"/>
      <c r="N293" s="229"/>
      <c r="O293" s="229"/>
      <c r="P293" s="229"/>
      <c r="Q293" s="228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IFERROR(__xludf.DUMMYFUNCTION("IMPORTRANGE(""https://docs.google.com/spreadsheets/d/1eHaY18a8A9IcSdp1K8H6x8fbOy06t2VsZHhMHf-1x7Y/edit?usp=sharing"",""แผน!ED58"")"),0)</f>
        <v>0</v>
      </c>
      <c r="J294" s="622">
        <f>J297</f>
        <v>0</v>
      </c>
      <c r="K294" s="1105">
        <f t="shared" ca="1" si="188"/>
        <v>0</v>
      </c>
      <c r="L294" s="229"/>
      <c r="M294" s="229"/>
      <c r="N294" s="229"/>
      <c r="O294" s="229"/>
      <c r="P294" s="229"/>
      <c r="Q294" s="228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77"/>
      <c r="E295" s="288" t="s">
        <v>325</v>
      </c>
      <c r="F295" s="296"/>
      <c r="G295" s="282"/>
      <c r="H295" s="282"/>
      <c r="I295" s="272"/>
      <c r="J295" s="263"/>
      <c r="K295" s="229"/>
      <c r="L295" s="229"/>
      <c r="M295" s="229"/>
      <c r="N295" s="229"/>
      <c r="O295" s="229"/>
      <c r="P295" s="229"/>
      <c r="Q295" s="228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IFERROR(__xludf.DUMMYFUNCTION("IMPORTRANGE(""https://docs.google.com/spreadsheets/d/1eHaY18a8A9IcSdp1K8H6x8fbOy06t2VsZHhMHf-1x7Y/edit?usp=sharing"",""แผน!ED58"")"),0)</f>
        <v>0</v>
      </c>
      <c r="J296" s="294">
        <v>0</v>
      </c>
      <c r="K296" s="768">
        <f t="shared" ref="K296:K297" ca="1" si="189">IF(I296&gt;0,J296*100/I296,0)</f>
        <v>0</v>
      </c>
      <c r="L296" s="229"/>
      <c r="M296" s="229"/>
      <c r="N296" s="229"/>
      <c r="O296" s="229"/>
      <c r="P296" s="229"/>
      <c r="Q296" s="228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IFERROR(__xludf.DUMMYFUNCTION("IMPORTRANGE(""https://docs.google.com/spreadsheets/d/1eHaY18a8A9IcSdp1K8H6x8fbOy06t2VsZHhMHf-1x7Y/edit?usp=sharing"",""แผน!ED58"")"),0)</f>
        <v>0</v>
      </c>
      <c r="J297" s="294">
        <v>0</v>
      </c>
      <c r="K297" s="768">
        <f t="shared" ca="1" si="189"/>
        <v>0</v>
      </c>
      <c r="L297" s="229"/>
      <c r="M297" s="229"/>
      <c r="N297" s="229"/>
      <c r="O297" s="229"/>
      <c r="P297" s="229"/>
      <c r="Q297" s="228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313"/>
      <c r="I298" s="287"/>
      <c r="J298" s="287"/>
      <c r="K298" s="30"/>
      <c r="L298" s="30"/>
      <c r="M298" s="30"/>
      <c r="N298" s="30"/>
      <c r="O298" s="30"/>
      <c r="P298" s="30"/>
      <c r="Q298" s="29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313"/>
      <c r="I299" s="287"/>
      <c r="J299" s="287"/>
      <c r="K299" s="30"/>
      <c r="L299" s="30"/>
      <c r="M299" s="30"/>
      <c r="N299" s="30"/>
      <c r="O299" s="30"/>
      <c r="P299" s="30"/>
      <c r="Q299" s="29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168"/>
      <c r="I300" s="1042"/>
      <c r="J300" s="1042"/>
      <c r="K300" s="19"/>
      <c r="L300" s="19"/>
      <c r="M300" s="19"/>
      <c r="N300" s="19"/>
      <c r="O300" s="19"/>
      <c r="P300" s="19"/>
      <c r="Q300" s="18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0"/>
      <c r="I301" s="1172"/>
      <c r="J301" s="1172"/>
      <c r="K301" s="511"/>
      <c r="L301" s="511"/>
      <c r="M301" s="511"/>
      <c r="N301" s="511"/>
      <c r="O301" s="511"/>
      <c r="P301" s="512"/>
      <c r="Q301" s="510"/>
      <c r="R301" s="511"/>
      <c r="S301" s="511"/>
      <c r="T301" s="511"/>
      <c r="U301" s="512"/>
    </row>
    <row r="302" spans="1:21" ht="19.5" hidden="1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7"/>
      <c r="I302" s="1178"/>
      <c r="J302" s="1178"/>
      <c r="K302" s="520"/>
      <c r="L302" s="520"/>
      <c r="M302" s="520"/>
      <c r="N302" s="520"/>
      <c r="O302" s="520"/>
      <c r="P302" s="520"/>
      <c r="Q302" s="519"/>
      <c r="R302" s="520"/>
      <c r="S302" s="520"/>
      <c r="T302" s="520"/>
      <c r="U302" s="520"/>
    </row>
    <row r="303" spans="1:21" ht="19.5" hidden="1" x14ac:dyDescent="0.3">
      <c r="A303" s="1179"/>
      <c r="B303" s="1180" t="s">
        <v>127</v>
      </c>
      <c r="C303" s="607"/>
      <c r="D303" s="607"/>
      <c r="E303" s="607"/>
      <c r="F303" s="607"/>
      <c r="G303" s="608"/>
      <c r="H303" s="609" t="s">
        <v>35</v>
      </c>
      <c r="I303" s="617">
        <f t="shared" ref="I303:J303" ca="1" si="190">I315</f>
        <v>0</v>
      </c>
      <c r="J303" s="617">
        <f t="shared" si="190"/>
        <v>0</v>
      </c>
      <c r="K303" s="611">
        <f ca="1">IF(I303&gt;0,J303*100/I303,0)</f>
        <v>0</v>
      </c>
      <c r="L303" s="530"/>
      <c r="M303" s="530"/>
      <c r="N303" s="530"/>
      <c r="O303" s="530"/>
      <c r="P303" s="530"/>
      <c r="Q303" s="529"/>
      <c r="R303" s="530"/>
      <c r="S303" s="530"/>
      <c r="T303" s="530"/>
      <c r="U303" s="530"/>
    </row>
    <row r="304" spans="1:21" ht="19.5" hidden="1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264">
        <f t="shared" ref="L304:N304" ca="1" si="191">L305+L306</f>
        <v>0</v>
      </c>
      <c r="M304" s="264">
        <f t="shared" ca="1" si="191"/>
        <v>0</v>
      </c>
      <c r="N304" s="264">
        <f t="shared" ca="1" si="191"/>
        <v>0</v>
      </c>
      <c r="O304" s="264">
        <f t="shared" ref="O304:O312" ca="1" si="192">IF(L304&gt;0,N304*100/L304,0)</f>
        <v>0</v>
      </c>
      <c r="P304" s="264">
        <f t="shared" ref="P304:P312" ca="1" si="193">IF(M304&gt;0,N304*100/M304,0)</f>
        <v>0</v>
      </c>
      <c r="Q304" s="1257">
        <f t="shared" ref="Q304:S304" ca="1" si="194">Q305+Q306</f>
        <v>0</v>
      </c>
      <c r="R304" s="264">
        <f t="shared" ca="1" si="194"/>
        <v>0</v>
      </c>
      <c r="S304" s="264">
        <f t="shared" ca="1" si="194"/>
        <v>0</v>
      </c>
      <c r="T304" s="264">
        <f t="shared" ref="T304:T312" ca="1" si="195">IF(Q304&gt;0,S304*100/Q304,0)</f>
        <v>0</v>
      </c>
      <c r="U304" s="264">
        <f t="shared" ref="U304:U312" ca="1" si="196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7">
        <f t="shared" ref="L305:N306" si="197">L308+L311</f>
        <v>0</v>
      </c>
      <c r="M305" s="77">
        <f t="shared" si="197"/>
        <v>0</v>
      </c>
      <c r="N305" s="77">
        <f t="shared" si="197"/>
        <v>0</v>
      </c>
      <c r="O305" s="77">
        <f t="shared" si="192"/>
        <v>0</v>
      </c>
      <c r="P305" s="77">
        <f t="shared" si="193"/>
        <v>0</v>
      </c>
      <c r="Q305" s="76">
        <f t="shared" ref="Q305:S306" si="198">Q308+Q311</f>
        <v>0</v>
      </c>
      <c r="R305" s="77">
        <f t="shared" si="198"/>
        <v>0</v>
      </c>
      <c r="S305" s="77">
        <f t="shared" si="198"/>
        <v>0</v>
      </c>
      <c r="T305" s="77">
        <f t="shared" si="195"/>
        <v>0</v>
      </c>
      <c r="U305" s="77">
        <f t="shared" si="196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4">
        <f t="shared" ca="1" si="197"/>
        <v>0</v>
      </c>
      <c r="M306" s="74">
        <f t="shared" ca="1" si="197"/>
        <v>0</v>
      </c>
      <c r="N306" s="74">
        <f t="shared" ca="1" si="197"/>
        <v>0</v>
      </c>
      <c r="O306" s="74">
        <f t="shared" ca="1" si="192"/>
        <v>0</v>
      </c>
      <c r="P306" s="74">
        <f t="shared" ca="1" si="193"/>
        <v>0</v>
      </c>
      <c r="Q306" s="73">
        <f t="shared" ca="1" si="198"/>
        <v>0</v>
      </c>
      <c r="R306" s="74">
        <f t="shared" ca="1" si="198"/>
        <v>0</v>
      </c>
      <c r="S306" s="74">
        <f t="shared" ca="1" si="198"/>
        <v>0</v>
      </c>
      <c r="T306" s="74">
        <f t="shared" ca="1" si="195"/>
        <v>0</v>
      </c>
      <c r="U306" s="74">
        <f t="shared" ca="1" si="196"/>
        <v>0</v>
      </c>
    </row>
    <row r="307" spans="1:21" ht="18.75" hidden="1" x14ac:dyDescent="0.25">
      <c r="A307" s="257"/>
      <c r="B307" s="269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4">
        <f t="shared" ref="L307:N307" ca="1" si="199">L308+L309</f>
        <v>0</v>
      </c>
      <c r="M307" s="74">
        <f t="shared" ca="1" si="199"/>
        <v>0</v>
      </c>
      <c r="N307" s="74">
        <f t="shared" ca="1" si="199"/>
        <v>0</v>
      </c>
      <c r="O307" s="74">
        <f t="shared" ca="1" si="192"/>
        <v>0</v>
      </c>
      <c r="P307" s="74">
        <f t="shared" ca="1" si="193"/>
        <v>0</v>
      </c>
      <c r="Q307" s="73">
        <f t="shared" ref="Q307:S307" ca="1" si="200">Q308+Q309</f>
        <v>0</v>
      </c>
      <c r="R307" s="74">
        <f t="shared" ca="1" si="200"/>
        <v>0</v>
      </c>
      <c r="S307" s="74">
        <f t="shared" ca="1" si="200"/>
        <v>0</v>
      </c>
      <c r="T307" s="74">
        <f t="shared" ca="1" si="195"/>
        <v>0</v>
      </c>
      <c r="U307" s="74">
        <f t="shared" ca="1" si="196"/>
        <v>0</v>
      </c>
    </row>
    <row r="308" spans="1:21" ht="18.75" hidden="1" x14ac:dyDescent="0.25">
      <c r="A308" s="257"/>
      <c r="B308" s="269"/>
      <c r="C308" s="269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7">
        <v>0</v>
      </c>
      <c r="M308" s="77">
        <v>0</v>
      </c>
      <c r="N308" s="77">
        <v>0</v>
      </c>
      <c r="O308" s="77">
        <f t="shared" si="192"/>
        <v>0</v>
      </c>
      <c r="P308" s="77">
        <f t="shared" si="193"/>
        <v>0</v>
      </c>
      <c r="Q308" s="76">
        <v>0</v>
      </c>
      <c r="R308" s="77">
        <v>0</v>
      </c>
      <c r="S308" s="77">
        <v>0</v>
      </c>
      <c r="T308" s="77">
        <f t="shared" si="195"/>
        <v>0</v>
      </c>
      <c r="U308" s="77">
        <f t="shared" si="196"/>
        <v>0</v>
      </c>
    </row>
    <row r="309" spans="1:21" ht="18.75" hidden="1" x14ac:dyDescent="0.25">
      <c r="A309" s="257"/>
      <c r="B309" s="269"/>
      <c r="C309" s="269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4">
        <f ca="1">IFERROR(__xludf.DUMMYFUNCTION("IMPORTRANGE(""https://docs.google.com/spreadsheets/d/1-uDff_7J0KD5mKrp0Vvzr7lt3OU09vwQwhkpOPPYv2Y/edit?usp=sharing"",""งบพรบ!DY58"")"),0)</f>
        <v>0</v>
      </c>
      <c r="M309" s="74">
        <f ca="1">IFERROR(__xludf.DUMMYFUNCTION("IMPORTRANGE(""https://docs.google.com/spreadsheets/d/1-uDff_7J0KD5mKrp0Vvzr7lt3OU09vwQwhkpOPPYv2Y/edit?usp=sharing"",""งบพรบ!ED58"")"),0)</f>
        <v>0</v>
      </c>
      <c r="N309" s="74">
        <f ca="1">IFERROR(__xludf.DUMMYFUNCTION("IMPORTRANGE(""https://docs.google.com/spreadsheets/d/1-uDff_7J0KD5mKrp0Vvzr7lt3OU09vwQwhkpOPPYv2Y/edit?usp=sharing"",""งบพรบ!EF58"")"),0)</f>
        <v>0</v>
      </c>
      <c r="O309" s="74">
        <f t="shared" ca="1" si="192"/>
        <v>0</v>
      </c>
      <c r="P309" s="74">
        <f t="shared" ca="1" si="193"/>
        <v>0</v>
      </c>
      <c r="Q309" s="73">
        <f ca="1">IFERROR(__xludf.DUMMYFUNCTION("IMPORTRANGE(""https://docs.google.com/spreadsheets/d/1ItG2mGa2ceCfYo0BwxsXqNm01IGEUdYcSSLTEv9YCik/edit?usp=sharing"",""เบิกจ่ายกองทุน!AP58"")"),0)</f>
        <v>0</v>
      </c>
      <c r="R309" s="74">
        <f ca="1">IFERROR(__xludf.DUMMYFUNCTION("IMPORTRANGE(""https://docs.google.com/spreadsheets/d/1ItG2mGa2ceCfYo0BwxsXqNm01IGEUdYcSSLTEv9YCik/edit?usp=sharing"",""เบิกจ่ายกองทุน!AQ58"")"),0)</f>
        <v>0</v>
      </c>
      <c r="S309" s="74">
        <f ca="1">IFERROR(__xludf.DUMMYFUNCTION("IMPORTRANGE(""https://docs.google.com/spreadsheets/d/1ItG2mGa2ceCfYo0BwxsXqNm01IGEUdYcSSLTEv9YCik/edit?usp=sharing"",""เบิกจ่ายกองทุน!AR58"")"),0)</f>
        <v>0</v>
      </c>
      <c r="T309" s="74">
        <f t="shared" ca="1" si="195"/>
        <v>0</v>
      </c>
      <c r="U309" s="74">
        <f t="shared" ca="1" si="196"/>
        <v>0</v>
      </c>
    </row>
    <row r="310" spans="1:21" ht="18.75" hidden="1" x14ac:dyDescent="0.25">
      <c r="A310" s="257"/>
      <c r="B310" s="269"/>
      <c r="C310" s="269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4">
        <f t="shared" ref="L310:N310" ca="1" si="201">L311+L312</f>
        <v>0</v>
      </c>
      <c r="M310" s="74">
        <f t="shared" ca="1" si="201"/>
        <v>0</v>
      </c>
      <c r="N310" s="74">
        <f t="shared" ca="1" si="201"/>
        <v>0</v>
      </c>
      <c r="O310" s="74">
        <f t="shared" ca="1" si="192"/>
        <v>0</v>
      </c>
      <c r="P310" s="74">
        <f t="shared" ca="1" si="193"/>
        <v>0</v>
      </c>
      <c r="Q310" s="73">
        <f t="shared" ref="Q310:S310" si="202">Q311+Q312</f>
        <v>0</v>
      </c>
      <c r="R310" s="74">
        <f t="shared" si="202"/>
        <v>0</v>
      </c>
      <c r="S310" s="74">
        <f t="shared" si="202"/>
        <v>0</v>
      </c>
      <c r="T310" s="74">
        <f t="shared" si="195"/>
        <v>0</v>
      </c>
      <c r="U310" s="74">
        <f t="shared" si="196"/>
        <v>0</v>
      </c>
    </row>
    <row r="311" spans="1:21" ht="18.75" hidden="1" x14ac:dyDescent="0.25">
      <c r="A311" s="257"/>
      <c r="B311" s="269"/>
      <c r="C311" s="269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7">
        <v>0</v>
      </c>
      <c r="M311" s="77">
        <v>0</v>
      </c>
      <c r="N311" s="77">
        <v>0</v>
      </c>
      <c r="O311" s="77">
        <f t="shared" si="192"/>
        <v>0</v>
      </c>
      <c r="P311" s="77">
        <f t="shared" si="193"/>
        <v>0</v>
      </c>
      <c r="Q311" s="76">
        <v>0</v>
      </c>
      <c r="R311" s="77">
        <v>0</v>
      </c>
      <c r="S311" s="77">
        <v>0</v>
      </c>
      <c r="T311" s="77">
        <f t="shared" si="195"/>
        <v>0</v>
      </c>
      <c r="U311" s="77">
        <f t="shared" si="196"/>
        <v>0</v>
      </c>
    </row>
    <row r="312" spans="1:21" ht="18.75" hidden="1" x14ac:dyDescent="0.25">
      <c r="A312" s="257"/>
      <c r="B312" s="269"/>
      <c r="C312" s="269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4">
        <f ca="1">IFERROR(__xludf.DUMMYFUNCTION("IMPORTRANGE(""https://docs.google.com/spreadsheets/d/1-uDff_7J0KD5mKrp0Vvzr7lt3OU09vwQwhkpOPPYv2Y/edit?usp=sharing"",""งบพรบ!EB58"")"),0)</f>
        <v>0</v>
      </c>
      <c r="M312" s="74">
        <f ca="1">IFERROR(__xludf.DUMMYFUNCTION("IMPORTRANGE(""https://docs.google.com/spreadsheets/d/1-uDff_7J0KD5mKrp0Vvzr7lt3OU09vwQwhkpOPPYv2Y/edit?usp=sharing"",""งบพรบ!EE58"")"),0)</f>
        <v>0</v>
      </c>
      <c r="N312" s="74">
        <f ca="1">IFERROR(__xludf.DUMMYFUNCTION("IMPORTRANGE(""https://docs.google.com/spreadsheets/d/1-uDff_7J0KD5mKrp0Vvzr7lt3OU09vwQwhkpOPPYv2Y/edit?usp=sharing"",""งบพรบ!EG58"")"),0)</f>
        <v>0</v>
      </c>
      <c r="O312" s="74">
        <f t="shared" ca="1" si="192"/>
        <v>0</v>
      </c>
      <c r="P312" s="74">
        <f t="shared" ca="1" si="193"/>
        <v>0</v>
      </c>
      <c r="Q312" s="73">
        <v>0</v>
      </c>
      <c r="R312" s="74">
        <v>0</v>
      </c>
      <c r="S312" s="74">
        <v>0</v>
      </c>
      <c r="T312" s="74">
        <f t="shared" si="195"/>
        <v>0</v>
      </c>
      <c r="U312" s="74">
        <f t="shared" si="196"/>
        <v>0</v>
      </c>
    </row>
    <row r="313" spans="1:21" ht="19.5" hidden="1" x14ac:dyDescent="0.3">
      <c r="A313" s="276"/>
      <c r="B313" s="277"/>
      <c r="C313" s="621" t="s">
        <v>18</v>
      </c>
      <c r="D313" s="1019" t="s">
        <v>38</v>
      </c>
      <c r="E313" s="783"/>
      <c r="F313" s="783"/>
      <c r="G313" s="1181"/>
      <c r="H313" s="282"/>
      <c r="I313" s="263"/>
      <c r="J313" s="263"/>
      <c r="K313" s="87"/>
      <c r="L313" s="87"/>
      <c r="M313" s="87"/>
      <c r="N313" s="87"/>
      <c r="O313" s="87"/>
      <c r="P313" s="87"/>
      <c r="Q313" s="86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1"/>
      <c r="E314" s="285"/>
      <c r="F314" s="285"/>
      <c r="G314" s="286"/>
      <c r="H314" s="286"/>
      <c r="I314" s="287"/>
      <c r="J314" s="1252"/>
      <c r="K314" s="30"/>
      <c r="L314" s="30"/>
      <c r="M314" s="30"/>
      <c r="N314" s="30"/>
      <c r="O314" s="30"/>
      <c r="P314" s="30"/>
      <c r="Q314" s="29"/>
      <c r="R314" s="30"/>
      <c r="S314" s="30"/>
      <c r="T314" s="30"/>
      <c r="U314" s="30"/>
    </row>
    <row r="315" spans="1:21" ht="18.75" hidden="1" x14ac:dyDescent="0.25">
      <c r="A315" s="276"/>
      <c r="B315" s="277"/>
      <c r="C315" s="277"/>
      <c r="D315" s="295" t="s">
        <v>121</v>
      </c>
      <c r="E315" s="296"/>
      <c r="F315" s="296"/>
      <c r="G315" s="282"/>
      <c r="H315" s="275" t="s">
        <v>35</v>
      </c>
      <c r="I315" s="293">
        <f ca="1">IFERROR(__xludf.DUMMYFUNCTION("IMPORTRANGE(""https://docs.google.com/spreadsheets/d/1eHaY18a8A9IcSdp1K8H6x8fbOy06t2VsZHhMHf-1x7Y/edit?usp=sharing"",""แผน!EF58"")"),0)</f>
        <v>0</v>
      </c>
      <c r="J315" s="294">
        <v>0</v>
      </c>
      <c r="K315" s="74">
        <f ca="1">IF(I315&gt;0,J315*100/I315,0)</f>
        <v>0</v>
      </c>
      <c r="L315" s="87"/>
      <c r="M315" s="87"/>
      <c r="N315" s="87"/>
      <c r="O315" s="87"/>
      <c r="P315" s="87"/>
      <c r="Q315" s="86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254"/>
      <c r="I316" s="1252"/>
      <c r="J316" s="1252"/>
      <c r="K316" s="1255"/>
      <c r="L316" s="30"/>
      <c r="M316" s="30"/>
      <c r="N316" s="30"/>
      <c r="O316" s="30"/>
      <c r="P316" s="30"/>
      <c r="Q316" s="29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254"/>
      <c r="I317" s="1252"/>
      <c r="J317" s="1252"/>
      <c r="K317" s="1255"/>
      <c r="L317" s="30"/>
      <c r="M317" s="30"/>
      <c r="N317" s="30"/>
      <c r="O317" s="30"/>
      <c r="P317" s="30"/>
      <c r="Q317" s="29"/>
      <c r="R317" s="30"/>
      <c r="S317" s="30"/>
      <c r="T317" s="30"/>
      <c r="U317" s="30"/>
    </row>
    <row r="318" spans="1:21" ht="18.75" hidden="1" x14ac:dyDescent="0.25">
      <c r="A318" s="283"/>
      <c r="B318" s="284"/>
      <c r="C318" s="284"/>
      <c r="D318" s="812"/>
      <c r="E318" s="285"/>
      <c r="F318" s="285"/>
      <c r="G318" s="286"/>
      <c r="H318" s="1256"/>
      <c r="I318" s="887"/>
      <c r="J318" s="887"/>
      <c r="K318" s="888"/>
      <c r="L318" s="30"/>
      <c r="M318" s="30"/>
      <c r="N318" s="30"/>
      <c r="O318" s="30"/>
      <c r="P318" s="30"/>
      <c r="Q318" s="29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4"/>
      <c r="I319" s="1178"/>
      <c r="J319" s="1178"/>
      <c r="K319" s="520"/>
      <c r="L319" s="520"/>
      <c r="M319" s="520"/>
      <c r="N319" s="520"/>
      <c r="O319" s="520"/>
      <c r="P319" s="520"/>
      <c r="Q319" s="519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609" t="s">
        <v>133</v>
      </c>
      <c r="I320" s="617">
        <f t="shared" ref="I320:J320" ca="1" si="203">I331</f>
        <v>0</v>
      </c>
      <c r="J320" s="617">
        <f t="shared" si="203"/>
        <v>0</v>
      </c>
      <c r="K320" s="611">
        <f ca="1">IF(I320&gt;0,J320*100/I320,0)</f>
        <v>0</v>
      </c>
      <c r="L320" s="530"/>
      <c r="M320" s="530"/>
      <c r="N320" s="530"/>
      <c r="O320" s="530"/>
      <c r="P320" s="530"/>
      <c r="Q320" s="529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264">
        <f t="shared" ref="L321:N321" ca="1" si="204">L322+L323</f>
        <v>0</v>
      </c>
      <c r="M321" s="264">
        <f t="shared" ca="1" si="204"/>
        <v>0</v>
      </c>
      <c r="N321" s="264">
        <f t="shared" ca="1" si="204"/>
        <v>0</v>
      </c>
      <c r="O321" s="264">
        <f t="shared" ref="O321:O329" ca="1" si="205">IF(L321&gt;0,N321*100/L321,0)</f>
        <v>0</v>
      </c>
      <c r="P321" s="264">
        <f t="shared" ref="P321:P329" ca="1" si="206">IF(M321&gt;0,N321*100/M321,0)</f>
        <v>0</v>
      </c>
      <c r="Q321" s="1257">
        <f t="shared" ref="Q321:S321" si="207">Q322+Q323</f>
        <v>0</v>
      </c>
      <c r="R321" s="264">
        <f t="shared" si="207"/>
        <v>0</v>
      </c>
      <c r="S321" s="264">
        <f t="shared" si="207"/>
        <v>0</v>
      </c>
      <c r="T321" s="264">
        <f t="shared" ref="T321:T329" si="208">IF(Q321&gt;0,S321*100/Q321,0)</f>
        <v>0</v>
      </c>
      <c r="U321" s="264">
        <f t="shared" ref="U321:U329" si="209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7">
        <f t="shared" ref="L322:N323" si="210">L325+L328</f>
        <v>0</v>
      </c>
      <c r="M322" s="77">
        <f t="shared" si="210"/>
        <v>0</v>
      </c>
      <c r="N322" s="77">
        <f t="shared" si="210"/>
        <v>0</v>
      </c>
      <c r="O322" s="77">
        <f t="shared" si="205"/>
        <v>0</v>
      </c>
      <c r="P322" s="77">
        <f t="shared" si="206"/>
        <v>0</v>
      </c>
      <c r="Q322" s="76">
        <f t="shared" ref="Q322:S323" si="211">Q325+Q328</f>
        <v>0</v>
      </c>
      <c r="R322" s="77">
        <f t="shared" si="211"/>
        <v>0</v>
      </c>
      <c r="S322" s="77">
        <f t="shared" si="211"/>
        <v>0</v>
      </c>
      <c r="T322" s="77">
        <f t="shared" si="208"/>
        <v>0</v>
      </c>
      <c r="U322" s="77">
        <f t="shared" si="209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4">
        <f t="shared" ca="1" si="210"/>
        <v>0</v>
      </c>
      <c r="M323" s="74">
        <f t="shared" ca="1" si="210"/>
        <v>0</v>
      </c>
      <c r="N323" s="74">
        <f t="shared" ca="1" si="210"/>
        <v>0</v>
      </c>
      <c r="O323" s="74">
        <f t="shared" ca="1" si="205"/>
        <v>0</v>
      </c>
      <c r="P323" s="74">
        <f t="shared" ca="1" si="206"/>
        <v>0</v>
      </c>
      <c r="Q323" s="73">
        <f t="shared" si="211"/>
        <v>0</v>
      </c>
      <c r="R323" s="74">
        <f t="shared" si="211"/>
        <v>0</v>
      </c>
      <c r="S323" s="74">
        <f t="shared" si="211"/>
        <v>0</v>
      </c>
      <c r="T323" s="74">
        <f t="shared" si="208"/>
        <v>0</v>
      </c>
      <c r="U323" s="74">
        <f t="shared" si="209"/>
        <v>0</v>
      </c>
    </row>
    <row r="324" spans="1:21" ht="18.75" hidden="1" x14ac:dyDescent="0.25">
      <c r="A324" s="257"/>
      <c r="B324" s="269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4">
        <f t="shared" ref="L324:N324" ca="1" si="212">L325+L326</f>
        <v>0</v>
      </c>
      <c r="M324" s="74">
        <f t="shared" ca="1" si="212"/>
        <v>0</v>
      </c>
      <c r="N324" s="74">
        <f t="shared" ca="1" si="212"/>
        <v>0</v>
      </c>
      <c r="O324" s="74">
        <f t="shared" ca="1" si="205"/>
        <v>0</v>
      </c>
      <c r="P324" s="74">
        <f t="shared" ca="1" si="206"/>
        <v>0</v>
      </c>
      <c r="Q324" s="73">
        <f t="shared" ref="Q324:S324" si="213">Q325+Q326</f>
        <v>0</v>
      </c>
      <c r="R324" s="74">
        <f t="shared" si="213"/>
        <v>0</v>
      </c>
      <c r="S324" s="74">
        <f t="shared" si="213"/>
        <v>0</v>
      </c>
      <c r="T324" s="74">
        <f t="shared" si="208"/>
        <v>0</v>
      </c>
      <c r="U324" s="74">
        <f t="shared" si="209"/>
        <v>0</v>
      </c>
    </row>
    <row r="325" spans="1:21" ht="18.75" hidden="1" x14ac:dyDescent="0.25">
      <c r="A325" s="257"/>
      <c r="B325" s="269"/>
      <c r="C325" s="269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7">
        <v>0</v>
      </c>
      <c r="M325" s="77">
        <v>0</v>
      </c>
      <c r="N325" s="77">
        <v>0</v>
      </c>
      <c r="O325" s="77">
        <f t="shared" si="205"/>
        <v>0</v>
      </c>
      <c r="P325" s="77">
        <f t="shared" si="206"/>
        <v>0</v>
      </c>
      <c r="Q325" s="76">
        <v>0</v>
      </c>
      <c r="R325" s="77">
        <v>0</v>
      </c>
      <c r="S325" s="77">
        <v>0</v>
      </c>
      <c r="T325" s="77">
        <f t="shared" si="208"/>
        <v>0</v>
      </c>
      <c r="U325" s="77">
        <f t="shared" si="209"/>
        <v>0</v>
      </c>
    </row>
    <row r="326" spans="1:21" ht="18.75" hidden="1" x14ac:dyDescent="0.25">
      <c r="A326" s="257"/>
      <c r="B326" s="269"/>
      <c r="C326" s="269"/>
      <c r="D326" s="258"/>
      <c r="E326" s="749" t="s">
        <v>37</v>
      </c>
      <c r="F326" s="269"/>
      <c r="G326" s="312"/>
      <c r="H326" s="271" t="s">
        <v>14</v>
      </c>
      <c r="I326" s="272"/>
      <c r="J326" s="272"/>
      <c r="K326" s="229"/>
      <c r="L326" s="74">
        <f ca="1">IFERROR(__xludf.DUMMYFUNCTION("IMPORTRANGE(""https://docs.google.com/spreadsheets/d/1-uDff_7J0KD5mKrp0Vvzr7lt3OU09vwQwhkpOPPYv2Y/edit?usp=sharing"",""งบพรบ!EI58"")"),0)</f>
        <v>0</v>
      </c>
      <c r="M326" s="74">
        <f ca="1">IFERROR(__xludf.DUMMYFUNCTION("IMPORTRANGE(""https://docs.google.com/spreadsheets/d/1-uDff_7J0KD5mKrp0Vvzr7lt3OU09vwQwhkpOPPYv2Y/edit?usp=sharing"",""งบพรบ!EN58"")"),0)</f>
        <v>0</v>
      </c>
      <c r="N326" s="74">
        <f ca="1">IFERROR(__xludf.DUMMYFUNCTION("IMPORTRANGE(""https://docs.google.com/spreadsheets/d/1-uDff_7J0KD5mKrp0Vvzr7lt3OU09vwQwhkpOPPYv2Y/edit?usp=sharing"",""งบพรบ!EP58"")"),0)</f>
        <v>0</v>
      </c>
      <c r="O326" s="74">
        <f t="shared" ca="1" si="205"/>
        <v>0</v>
      </c>
      <c r="P326" s="74">
        <f t="shared" ca="1" si="206"/>
        <v>0</v>
      </c>
      <c r="Q326" s="73">
        <v>0</v>
      </c>
      <c r="R326" s="74">
        <v>0</v>
      </c>
      <c r="S326" s="74">
        <v>0</v>
      </c>
      <c r="T326" s="74">
        <f t="shared" si="208"/>
        <v>0</v>
      </c>
      <c r="U326" s="74">
        <f t="shared" si="209"/>
        <v>0</v>
      </c>
    </row>
    <row r="327" spans="1:21" ht="18.75" hidden="1" x14ac:dyDescent="0.25">
      <c r="A327" s="257"/>
      <c r="B327" s="258"/>
      <c r="C327" s="269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4">
        <f t="shared" ref="L327:N327" ca="1" si="214">L328+L329</f>
        <v>0</v>
      </c>
      <c r="M327" s="74">
        <f t="shared" ca="1" si="214"/>
        <v>0</v>
      </c>
      <c r="N327" s="74">
        <f t="shared" ca="1" si="214"/>
        <v>0</v>
      </c>
      <c r="O327" s="74">
        <f t="shared" ca="1" si="205"/>
        <v>0</v>
      </c>
      <c r="P327" s="74">
        <f t="shared" ca="1" si="206"/>
        <v>0</v>
      </c>
      <c r="Q327" s="73">
        <f t="shared" ref="Q327:S327" si="215">Q328+Q329</f>
        <v>0</v>
      </c>
      <c r="R327" s="74">
        <f t="shared" si="215"/>
        <v>0</v>
      </c>
      <c r="S327" s="74">
        <f t="shared" si="215"/>
        <v>0</v>
      </c>
      <c r="T327" s="74">
        <f t="shared" si="208"/>
        <v>0</v>
      </c>
      <c r="U327" s="74">
        <f t="shared" si="209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7">
        <v>0</v>
      </c>
      <c r="M328" s="77">
        <v>0</v>
      </c>
      <c r="N328" s="77">
        <v>0</v>
      </c>
      <c r="O328" s="77">
        <f t="shared" si="205"/>
        <v>0</v>
      </c>
      <c r="P328" s="77">
        <f t="shared" si="206"/>
        <v>0</v>
      </c>
      <c r="Q328" s="76">
        <v>0</v>
      </c>
      <c r="R328" s="77">
        <v>0</v>
      </c>
      <c r="S328" s="77">
        <v>0</v>
      </c>
      <c r="T328" s="77">
        <f t="shared" si="208"/>
        <v>0</v>
      </c>
      <c r="U328" s="77">
        <f t="shared" si="209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4">
        <f ca="1">IFERROR(__xludf.DUMMYFUNCTION("IMPORTRANGE(""https://docs.google.com/spreadsheets/d/1-uDff_7J0KD5mKrp0Vvzr7lt3OU09vwQwhkpOPPYv2Y/edit?usp=sharing"",""งบพรบ!EL58"")"),0)</f>
        <v>0</v>
      </c>
      <c r="M329" s="74">
        <f ca="1">IFERROR(__xludf.DUMMYFUNCTION("IMPORTRANGE(""https://docs.google.com/spreadsheets/d/1-uDff_7J0KD5mKrp0Vvzr7lt3OU09vwQwhkpOPPYv2Y/edit?usp=sharing"",""งบพรบ!EO58"")"),0)</f>
        <v>0</v>
      </c>
      <c r="N329" s="74">
        <f ca="1">IFERROR(__xludf.DUMMYFUNCTION("IMPORTRANGE(""https://docs.google.com/spreadsheets/d/1-uDff_7J0KD5mKrp0Vvzr7lt3OU09vwQwhkpOPPYv2Y/edit?usp=sharing"",""งบพรบ!EQ58"")"),0)</f>
        <v>0</v>
      </c>
      <c r="O329" s="74">
        <f t="shared" ca="1" si="205"/>
        <v>0</v>
      </c>
      <c r="P329" s="74">
        <f t="shared" ca="1" si="206"/>
        <v>0</v>
      </c>
      <c r="Q329" s="73">
        <v>0</v>
      </c>
      <c r="R329" s="74">
        <v>0</v>
      </c>
      <c r="S329" s="74">
        <v>0</v>
      </c>
      <c r="T329" s="74">
        <f t="shared" si="208"/>
        <v>0</v>
      </c>
      <c r="U329" s="74">
        <f t="shared" si="209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310"/>
      <c r="I330" s="272"/>
      <c r="J330" s="263"/>
      <c r="K330" s="87"/>
      <c r="L330" s="87"/>
      <c r="M330" s="87"/>
      <c r="N330" s="87"/>
      <c r="O330" s="229"/>
      <c r="P330" s="229"/>
      <c r="Q330" s="86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68" t="s">
        <v>133</v>
      </c>
      <c r="I331" s="293">
        <f ca="1">IFERROR(__xludf.DUMMYFUNCTION("IMPORTRANGE(""https://docs.google.com/spreadsheets/d/1eHaY18a8A9IcSdp1K8H6x8fbOy06t2VsZHhMHf-1x7Y/edit?usp=sharing"",""แผน!EJ58"")"),0)</f>
        <v>0</v>
      </c>
      <c r="J331" s="294">
        <v>0</v>
      </c>
      <c r="K331" s="74">
        <f ca="1">IF(I331&gt;0,J331*100/I331,0)</f>
        <v>0</v>
      </c>
      <c r="L331" s="87"/>
      <c r="M331" s="87"/>
      <c r="N331" s="87"/>
      <c r="O331" s="229"/>
      <c r="P331" s="229"/>
      <c r="Q331" s="86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4"/>
      <c r="I332" s="1178"/>
      <c r="J332" s="1178"/>
      <c r="K332" s="520"/>
      <c r="L332" s="520"/>
      <c r="M332" s="520"/>
      <c r="N332" s="520"/>
      <c r="O332" s="520"/>
      <c r="P332" s="520"/>
      <c r="Q332" s="519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609" t="s">
        <v>35</v>
      </c>
      <c r="I333" s="534">
        <f ca="1">I345</f>
        <v>400</v>
      </c>
      <c r="J333" s="535">
        <f ca="1">J345+J348+J349+J350+J354</f>
        <v>4956</v>
      </c>
      <c r="K333" s="536">
        <f ca="1">IF(I333&gt;0,J333*100/I333,0)</f>
        <v>1239</v>
      </c>
      <c r="L333" s="530"/>
      <c r="M333" s="530"/>
      <c r="N333" s="530"/>
      <c r="O333" s="530"/>
      <c r="P333" s="530"/>
      <c r="Q333" s="529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264">
        <f t="shared" ref="L334:N334" ca="1" si="216">L335+L336</f>
        <v>216600</v>
      </c>
      <c r="M334" s="264">
        <f t="shared" ca="1" si="216"/>
        <v>221600</v>
      </c>
      <c r="N334" s="264">
        <f t="shared" ca="1" si="216"/>
        <v>102693</v>
      </c>
      <c r="O334" s="264">
        <f t="shared" ref="O334:O342" ca="1" si="217">IF(L334&gt;0,N334*100/L334,0)</f>
        <v>47.411357340720222</v>
      </c>
      <c r="P334" s="264">
        <f t="shared" ref="P334:P342" ca="1" si="218">IF(M334&gt;0,N334*100/M334,0)</f>
        <v>46.341606498194949</v>
      </c>
      <c r="Q334" s="1257">
        <f t="shared" ref="Q334:S334" si="219">Q335+Q336</f>
        <v>0</v>
      </c>
      <c r="R334" s="264">
        <f t="shared" si="219"/>
        <v>0</v>
      </c>
      <c r="S334" s="264">
        <f t="shared" si="219"/>
        <v>0</v>
      </c>
      <c r="T334" s="264">
        <f t="shared" ref="T334:T342" si="220">IF(Q334&gt;0,S334*100/Q334,0)</f>
        <v>0</v>
      </c>
      <c r="U334" s="264">
        <f t="shared" ref="U334:U342" si="221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7">
        <f t="shared" ref="L335:N336" si="222">L338+L341</f>
        <v>0</v>
      </c>
      <c r="M335" s="77">
        <f t="shared" si="222"/>
        <v>0</v>
      </c>
      <c r="N335" s="77">
        <f t="shared" si="222"/>
        <v>0</v>
      </c>
      <c r="O335" s="77">
        <f t="shared" si="217"/>
        <v>0</v>
      </c>
      <c r="P335" s="77">
        <f t="shared" si="218"/>
        <v>0</v>
      </c>
      <c r="Q335" s="76">
        <f t="shared" ref="Q335:S336" si="223">Q338+Q341</f>
        <v>0</v>
      </c>
      <c r="R335" s="77">
        <f t="shared" si="223"/>
        <v>0</v>
      </c>
      <c r="S335" s="77">
        <f t="shared" si="223"/>
        <v>0</v>
      </c>
      <c r="T335" s="77">
        <f t="shared" si="220"/>
        <v>0</v>
      </c>
      <c r="U335" s="77">
        <f t="shared" si="221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4">
        <f t="shared" ca="1" si="222"/>
        <v>216600</v>
      </c>
      <c r="M336" s="74">
        <f t="shared" ca="1" si="222"/>
        <v>221600</v>
      </c>
      <c r="N336" s="74">
        <f t="shared" ca="1" si="222"/>
        <v>102693</v>
      </c>
      <c r="O336" s="74">
        <f t="shared" ca="1" si="217"/>
        <v>47.411357340720222</v>
      </c>
      <c r="P336" s="74">
        <f t="shared" ca="1" si="218"/>
        <v>46.341606498194949</v>
      </c>
      <c r="Q336" s="73">
        <f t="shared" si="223"/>
        <v>0</v>
      </c>
      <c r="R336" s="74">
        <f t="shared" si="223"/>
        <v>0</v>
      </c>
      <c r="S336" s="74">
        <f t="shared" si="223"/>
        <v>0</v>
      </c>
      <c r="T336" s="74">
        <f t="shared" si="220"/>
        <v>0</v>
      </c>
      <c r="U336" s="74">
        <f t="shared" si="221"/>
        <v>0</v>
      </c>
    </row>
    <row r="337" spans="1:21" ht="18.75" x14ac:dyDescent="0.25">
      <c r="A337" s="257"/>
      <c r="B337" s="269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4">
        <f t="shared" ref="L337:N337" ca="1" si="224">L338+L339</f>
        <v>216600</v>
      </c>
      <c r="M337" s="74">
        <f t="shared" ca="1" si="224"/>
        <v>221600</v>
      </c>
      <c r="N337" s="74">
        <f t="shared" ca="1" si="224"/>
        <v>102693</v>
      </c>
      <c r="O337" s="74">
        <f t="shared" ca="1" si="217"/>
        <v>47.411357340720222</v>
      </c>
      <c r="P337" s="74">
        <f t="shared" ca="1" si="218"/>
        <v>46.341606498194949</v>
      </c>
      <c r="Q337" s="73">
        <f t="shared" ref="Q337:S337" si="225">Q338+Q339</f>
        <v>0</v>
      </c>
      <c r="R337" s="74">
        <f t="shared" si="225"/>
        <v>0</v>
      </c>
      <c r="S337" s="74">
        <f t="shared" si="225"/>
        <v>0</v>
      </c>
      <c r="T337" s="74">
        <f t="shared" si="220"/>
        <v>0</v>
      </c>
      <c r="U337" s="74">
        <f t="shared" si="221"/>
        <v>0</v>
      </c>
    </row>
    <row r="338" spans="1:21" ht="18.75" hidden="1" x14ac:dyDescent="0.25">
      <c r="A338" s="257"/>
      <c r="B338" s="258"/>
      <c r="C338" s="269"/>
      <c r="D338" s="258"/>
      <c r="E338" s="775" t="s">
        <v>36</v>
      </c>
      <c r="F338" s="258"/>
      <c r="G338" s="261"/>
      <c r="H338" s="273" t="s">
        <v>14</v>
      </c>
      <c r="I338" s="272"/>
      <c r="J338" s="272"/>
      <c r="K338" s="229"/>
      <c r="L338" s="77">
        <v>0</v>
      </c>
      <c r="M338" s="77">
        <v>0</v>
      </c>
      <c r="N338" s="77">
        <v>0</v>
      </c>
      <c r="O338" s="77">
        <f t="shared" si="217"/>
        <v>0</v>
      </c>
      <c r="P338" s="77">
        <f t="shared" si="218"/>
        <v>0</v>
      </c>
      <c r="Q338" s="76">
        <v>0</v>
      </c>
      <c r="R338" s="77">
        <v>0</v>
      </c>
      <c r="S338" s="77">
        <v>0</v>
      </c>
      <c r="T338" s="77">
        <f t="shared" si="220"/>
        <v>0</v>
      </c>
      <c r="U338" s="77">
        <f t="shared" si="221"/>
        <v>0</v>
      </c>
    </row>
    <row r="339" spans="1:21" ht="18.75" hidden="1" x14ac:dyDescent="0.25">
      <c r="A339" s="257"/>
      <c r="B339" s="258"/>
      <c r="C339" s="269"/>
      <c r="D339" s="258"/>
      <c r="E339" s="749" t="s">
        <v>37</v>
      </c>
      <c r="F339" s="258"/>
      <c r="G339" s="261"/>
      <c r="H339" s="271" t="s">
        <v>14</v>
      </c>
      <c r="I339" s="272"/>
      <c r="J339" s="272"/>
      <c r="K339" s="229"/>
      <c r="L339" s="74">
        <f ca="1">IFERROR(__xludf.DUMMYFUNCTION("IMPORTRANGE(""https://docs.google.com/spreadsheets/d/1-uDff_7J0KD5mKrp0Vvzr7lt3OU09vwQwhkpOPPYv2Y/edit?usp=sharing"",""งบพรบ!ES58"")"),216600)</f>
        <v>216600</v>
      </c>
      <c r="M339" s="74">
        <f ca="1">IFERROR(__xludf.DUMMYFUNCTION("IMPORTRANGE(""https://docs.google.com/spreadsheets/d/1-uDff_7J0KD5mKrp0Vvzr7lt3OU09vwQwhkpOPPYv2Y/edit?usp=sharing"",""งบพรบ!EX58"")"),221600)</f>
        <v>221600</v>
      </c>
      <c r="N339" s="74">
        <f ca="1">IFERROR(__xludf.DUMMYFUNCTION("IMPORTRANGE(""https://docs.google.com/spreadsheets/d/1-uDff_7J0KD5mKrp0Vvzr7lt3OU09vwQwhkpOPPYv2Y/edit?usp=sharing"",""งบพรบ!EZ58"")"),102693)</f>
        <v>102693</v>
      </c>
      <c r="O339" s="74">
        <f t="shared" ca="1" si="217"/>
        <v>47.411357340720222</v>
      </c>
      <c r="P339" s="74">
        <f t="shared" ca="1" si="218"/>
        <v>46.341606498194949</v>
      </c>
      <c r="Q339" s="73">
        <v>0</v>
      </c>
      <c r="R339" s="74">
        <v>0</v>
      </c>
      <c r="S339" s="74">
        <v>0</v>
      </c>
      <c r="T339" s="74">
        <f t="shared" si="220"/>
        <v>0</v>
      </c>
      <c r="U339" s="74">
        <f t="shared" si="221"/>
        <v>0</v>
      </c>
    </row>
    <row r="340" spans="1:21" ht="18.75" x14ac:dyDescent="0.25">
      <c r="A340" s="257"/>
      <c r="B340" s="258"/>
      <c r="C340" s="269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4">
        <f t="shared" ref="L340:N340" ca="1" si="226">L341+L342</f>
        <v>0</v>
      </c>
      <c r="M340" s="74">
        <f t="shared" ca="1" si="226"/>
        <v>0</v>
      </c>
      <c r="N340" s="74">
        <f t="shared" ca="1" si="226"/>
        <v>0</v>
      </c>
      <c r="O340" s="74">
        <f t="shared" ca="1" si="217"/>
        <v>0</v>
      </c>
      <c r="P340" s="74">
        <f t="shared" ca="1" si="218"/>
        <v>0</v>
      </c>
      <c r="Q340" s="73">
        <f t="shared" ref="Q340:S340" si="227">Q341+Q342</f>
        <v>0</v>
      </c>
      <c r="R340" s="74">
        <f t="shared" si="227"/>
        <v>0</v>
      </c>
      <c r="S340" s="74">
        <f t="shared" si="227"/>
        <v>0</v>
      </c>
      <c r="T340" s="74">
        <f t="shared" si="220"/>
        <v>0</v>
      </c>
      <c r="U340" s="74">
        <f t="shared" si="221"/>
        <v>0</v>
      </c>
    </row>
    <row r="341" spans="1:21" ht="18.75" hidden="1" x14ac:dyDescent="0.25">
      <c r="A341" s="257"/>
      <c r="B341" s="258"/>
      <c r="C341" s="269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7">
        <v>0</v>
      </c>
      <c r="M341" s="77">
        <v>0</v>
      </c>
      <c r="N341" s="77">
        <v>0</v>
      </c>
      <c r="O341" s="77">
        <f t="shared" si="217"/>
        <v>0</v>
      </c>
      <c r="P341" s="77">
        <f t="shared" si="218"/>
        <v>0</v>
      </c>
      <c r="Q341" s="76">
        <v>0</v>
      </c>
      <c r="R341" s="77">
        <v>0</v>
      </c>
      <c r="S341" s="77">
        <v>0</v>
      </c>
      <c r="T341" s="77">
        <f t="shared" si="220"/>
        <v>0</v>
      </c>
      <c r="U341" s="77">
        <f t="shared" si="221"/>
        <v>0</v>
      </c>
    </row>
    <row r="342" spans="1:21" ht="18.75" hidden="1" x14ac:dyDescent="0.25">
      <c r="A342" s="257"/>
      <c r="B342" s="258"/>
      <c r="C342" s="269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4">
        <f ca="1">IFERROR(__xludf.DUMMYFUNCTION("IMPORTRANGE(""https://docs.google.com/spreadsheets/d/1-uDff_7J0KD5mKrp0Vvzr7lt3OU09vwQwhkpOPPYv2Y/edit?usp=sharing"",""งบพรบ!EV58"")"),0)</f>
        <v>0</v>
      </c>
      <c r="M342" s="74">
        <f ca="1">IFERROR(__xludf.DUMMYFUNCTION("IMPORTRANGE(""https://docs.google.com/spreadsheets/d/1-uDff_7J0KD5mKrp0Vvzr7lt3OU09vwQwhkpOPPYv2Y/edit?usp=sharing"",""งบพรบ!EY58"")"),0)</f>
        <v>0</v>
      </c>
      <c r="N342" s="74">
        <f ca="1">IFERROR(__xludf.DUMMYFUNCTION("IMPORTRANGE(""https://docs.google.com/spreadsheets/d/1-uDff_7J0KD5mKrp0Vvzr7lt3OU09vwQwhkpOPPYv2Y/edit?usp=sharing"",""งบพรบ!FA58"")"),0)</f>
        <v>0</v>
      </c>
      <c r="O342" s="74">
        <f t="shared" ca="1" si="217"/>
        <v>0</v>
      </c>
      <c r="P342" s="74">
        <f t="shared" ca="1" si="218"/>
        <v>0</v>
      </c>
      <c r="Q342" s="73">
        <v>0</v>
      </c>
      <c r="R342" s="74">
        <v>0</v>
      </c>
      <c r="S342" s="74">
        <v>0</v>
      </c>
      <c r="T342" s="74">
        <f t="shared" si="220"/>
        <v>0</v>
      </c>
      <c r="U342" s="74">
        <f t="shared" si="221"/>
        <v>0</v>
      </c>
    </row>
    <row r="343" spans="1:21" ht="19.5" x14ac:dyDescent="0.3">
      <c r="A343" s="276"/>
      <c r="B343" s="277"/>
      <c r="C343" s="621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7"/>
      <c r="M343" s="87"/>
      <c r="N343" s="87"/>
      <c r="O343" s="229"/>
      <c r="P343" s="229"/>
      <c r="Q343" s="86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634</v>
      </c>
      <c r="K344" s="548">
        <v>0</v>
      </c>
      <c r="L344" s="1260"/>
      <c r="M344" s="1260"/>
      <c r="N344" s="1260"/>
      <c r="O344" s="1260"/>
      <c r="P344" s="1260"/>
      <c r="Q344" s="391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307" t="s">
        <v>35</v>
      </c>
      <c r="I345" s="293">
        <f ca="1">IFERROR(__xludf.DUMMYFUNCTION("IMPORTRANGE(""https://docs.google.com/spreadsheets/d/1eHaY18a8A9IcSdp1K8H6x8fbOy06t2VsZHhMHf-1x7Y/edit?usp=sharing"",""แผน!EK58"")"),400)</f>
        <v>400</v>
      </c>
      <c r="J345" s="293">
        <f ca="1">IFERROR(__xludf.DUMMYFUNCTION("IMPORTRANGE(""https://docs.google.com/spreadsheets/d/1awYsYK3VOup2i3Pq_Yjnu8DRu_mYwSBnCR2QPthd0rU/edit?usp=sharing"",""ศูนย์ยกเว้นโฉนด!D58"")"),628)</f>
        <v>628</v>
      </c>
      <c r="K345" s="74">
        <f ca="1">IF(I345&gt;0,J345*100/I345,0)</f>
        <v>157</v>
      </c>
      <c r="L345" s="87"/>
      <c r="M345" s="87"/>
      <c r="N345" s="87"/>
      <c r="O345" s="87"/>
      <c r="P345" s="87"/>
      <c r="Q345" s="86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7"/>
      <c r="M346" s="87"/>
      <c r="N346" s="87"/>
      <c r="O346" s="87"/>
      <c r="P346" s="87"/>
      <c r="Q346" s="86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IFERROR(__xludf.DUMMYFUNCTION("IMPORTRANGE(""https://docs.google.com/spreadsheets/d/1eHaY18a8A9IcSdp1K8H6x8fbOy06t2VsZHhMHf-1x7Y/edit?usp=sharing"",""แผน!EL58"")"),1)</f>
        <v>1</v>
      </c>
      <c r="J347" s="293">
        <f ca="1">IFERROR(__xludf.DUMMYFUNCTION("IMPORTRANGE(""https://docs.google.com/spreadsheets/d/1awYsYK3VOup2i3Pq_Yjnu8DRu_mYwSBnCR2QPthd0rU/edit?usp=sharing"",""ศูนย์รวม!E58"")"),0)</f>
        <v>0</v>
      </c>
      <c r="K347" s="74">
        <f ca="1">IF(I347&gt;0,J347*100/I347,0)</f>
        <v>0</v>
      </c>
      <c r="L347" s="87"/>
      <c r="M347" s="87"/>
      <c r="N347" s="87"/>
      <c r="O347" s="87"/>
      <c r="P347" s="87"/>
      <c r="Q347" s="86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IFERROR(__xludf.DUMMYFUNCTION("IMPORTRANGE(""https://docs.google.com/spreadsheets/d/1awYsYK3VOup2i3Pq_Yjnu8DRu_mYwSBnCR2QPthd0rU/edit?usp=sharing"",""ศูนย์ยกเว้นโฉนด!F58"")"),0)</f>
        <v>0</v>
      </c>
      <c r="K348" s="87"/>
      <c r="L348" s="87"/>
      <c r="M348" s="87"/>
      <c r="N348" s="87"/>
      <c r="O348" s="87"/>
      <c r="P348" s="87"/>
      <c r="Q348" s="86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IFERROR(__xludf.DUMMYFUNCTION("IMPORTRANGE(""https://docs.google.com/spreadsheets/d/1awYsYK3VOup2i3Pq_Yjnu8DRu_mYwSBnCR2QPthd0rU/edit?usp=sharing"",""ศูนย์ยกเว้นโฉนด!G58"")"),6)</f>
        <v>6</v>
      </c>
      <c r="K349" s="87"/>
      <c r="L349" s="87"/>
      <c r="M349" s="87"/>
      <c r="N349" s="87"/>
      <c r="O349" s="87"/>
      <c r="P349" s="87"/>
      <c r="Q349" s="86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IFERROR(__xludf.DUMMYFUNCTION("IMPORTRANGE(""https://docs.google.com/spreadsheets/d/1awYsYK3VOup2i3Pq_Yjnu8DRu_mYwSBnCR2QPthd0rU/edit?usp=sharing"",""ศูนย์ยกเว้นโฉนด!H58"")"),0)</f>
        <v>0</v>
      </c>
      <c r="K350" s="87"/>
      <c r="L350" s="87"/>
      <c r="M350" s="87"/>
      <c r="N350" s="87"/>
      <c r="O350" s="87"/>
      <c r="P350" s="87"/>
      <c r="Q350" s="86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7"/>
      <c r="M351" s="87"/>
      <c r="N351" s="87"/>
      <c r="O351" s="87"/>
      <c r="P351" s="87"/>
      <c r="Q351" s="86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1188" t="s">
        <v>35</v>
      </c>
      <c r="I352" s="559">
        <v>0</v>
      </c>
      <c r="J352" s="559">
        <f ca="1">J353+J354</f>
        <v>4337</v>
      </c>
      <c r="K352" s="560">
        <v>0</v>
      </c>
      <c r="L352" s="392"/>
      <c r="M352" s="392"/>
      <c r="N352" s="392"/>
      <c r="O352" s="392"/>
      <c r="P352" s="392"/>
      <c r="Q352" s="391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IFERROR(__xludf.DUMMYFUNCTION("IMPORTRANGE(""https://docs.google.com/spreadsheets/d/1awYsYK3VOup2i3Pq_Yjnu8DRu_mYwSBnCR2QPthd0rU/edit?usp=sharing"",""โฉนดM3!G58"")"),15)</f>
        <v>15</v>
      </c>
      <c r="K353" s="87"/>
      <c r="L353" s="87"/>
      <c r="M353" s="87"/>
      <c r="N353" s="87"/>
      <c r="O353" s="87"/>
      <c r="P353" s="87"/>
      <c r="Q353" s="86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IFERROR(__xludf.DUMMYFUNCTION("IMPORTRANGE(""https://docs.google.com/spreadsheets/d/1awYsYK3VOup2i3Pq_Yjnu8DRu_mYwSBnCR2QPthd0rU/edit?usp=sharing"",""โฉนดM3!H58"")"),4322)</f>
        <v>4322</v>
      </c>
      <c r="K354" s="87"/>
      <c r="L354" s="87"/>
      <c r="M354" s="87"/>
      <c r="N354" s="87"/>
      <c r="O354" s="87"/>
      <c r="P354" s="87"/>
      <c r="Q354" s="86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7"/>
      <c r="M355" s="87"/>
      <c r="N355" s="87"/>
      <c r="O355" s="87"/>
      <c r="P355" s="87"/>
      <c r="Q355" s="86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15"/>
      <c r="I356" s="1189"/>
      <c r="J356" s="1189"/>
      <c r="K356" s="530"/>
      <c r="L356" s="530"/>
      <c r="M356" s="530"/>
      <c r="N356" s="530"/>
      <c r="O356" s="530"/>
      <c r="P356" s="530"/>
      <c r="Q356" s="529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264">
        <f t="shared" ref="L357:N357" ca="1" si="228">L358+L359</f>
        <v>335210</v>
      </c>
      <c r="M357" s="264">
        <f t="shared" ca="1" si="228"/>
        <v>335210</v>
      </c>
      <c r="N357" s="264">
        <f t="shared" ca="1" si="228"/>
        <v>123530</v>
      </c>
      <c r="O357" s="264">
        <f t="shared" ref="O357:O365" ca="1" si="229">IF(L357&gt;0,N357*100/L357,0)</f>
        <v>36.851525909131588</v>
      </c>
      <c r="P357" s="264">
        <f t="shared" ref="P357:P365" ca="1" si="230">IF(M357&gt;0,N357*100/M357,0)</f>
        <v>36.851525909131588</v>
      </c>
      <c r="Q357" s="1257">
        <f t="shared" ref="Q357:S357" si="231">Q358+Q359</f>
        <v>0</v>
      </c>
      <c r="R357" s="264">
        <f t="shared" si="231"/>
        <v>0</v>
      </c>
      <c r="S357" s="264">
        <f t="shared" si="231"/>
        <v>0</v>
      </c>
      <c r="T357" s="264">
        <f t="shared" ref="T357:T365" si="232">IF(Q357&gt;0,S357*100/Q357,0)</f>
        <v>0</v>
      </c>
      <c r="U357" s="264">
        <f t="shared" ref="U357:U365" si="233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7">
        <f t="shared" ref="L358:N359" si="234">L361+L364</f>
        <v>0</v>
      </c>
      <c r="M358" s="77">
        <f t="shared" si="234"/>
        <v>0</v>
      </c>
      <c r="N358" s="77">
        <f t="shared" si="234"/>
        <v>0</v>
      </c>
      <c r="O358" s="77">
        <f t="shared" si="229"/>
        <v>0</v>
      </c>
      <c r="P358" s="77">
        <f t="shared" si="230"/>
        <v>0</v>
      </c>
      <c r="Q358" s="76">
        <f t="shared" ref="Q358:S359" si="235">Q361+Q364</f>
        <v>0</v>
      </c>
      <c r="R358" s="77">
        <f t="shared" si="235"/>
        <v>0</v>
      </c>
      <c r="S358" s="77">
        <f t="shared" si="235"/>
        <v>0</v>
      </c>
      <c r="T358" s="77">
        <f t="shared" si="232"/>
        <v>0</v>
      </c>
      <c r="U358" s="77">
        <f t="shared" si="233"/>
        <v>0</v>
      </c>
    </row>
    <row r="359" spans="1:21" ht="18.75" hidden="1" x14ac:dyDescent="0.25">
      <c r="A359" s="257"/>
      <c r="B359" s="269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4">
        <f t="shared" ca="1" si="234"/>
        <v>335210</v>
      </c>
      <c r="M359" s="74">
        <f t="shared" ca="1" si="234"/>
        <v>335210</v>
      </c>
      <c r="N359" s="74">
        <f t="shared" ca="1" si="234"/>
        <v>123530</v>
      </c>
      <c r="O359" s="74">
        <f t="shared" ca="1" si="229"/>
        <v>36.851525909131588</v>
      </c>
      <c r="P359" s="74">
        <f t="shared" ca="1" si="230"/>
        <v>36.851525909131588</v>
      </c>
      <c r="Q359" s="73">
        <f t="shared" si="235"/>
        <v>0</v>
      </c>
      <c r="R359" s="74">
        <f t="shared" si="235"/>
        <v>0</v>
      </c>
      <c r="S359" s="74">
        <f t="shared" si="235"/>
        <v>0</v>
      </c>
      <c r="T359" s="74">
        <f t="shared" si="232"/>
        <v>0</v>
      </c>
      <c r="U359" s="74">
        <f t="shared" si="233"/>
        <v>0</v>
      </c>
    </row>
    <row r="360" spans="1:21" ht="18.75" x14ac:dyDescent="0.25">
      <c r="A360" s="257"/>
      <c r="B360" s="269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4">
        <f t="shared" ref="L360:N360" ca="1" si="236">L361+L362</f>
        <v>335210</v>
      </c>
      <c r="M360" s="74">
        <f t="shared" ca="1" si="236"/>
        <v>335210</v>
      </c>
      <c r="N360" s="74">
        <f t="shared" ca="1" si="236"/>
        <v>123530</v>
      </c>
      <c r="O360" s="74">
        <f t="shared" ca="1" si="229"/>
        <v>36.851525909131588</v>
      </c>
      <c r="P360" s="74">
        <f t="shared" ca="1" si="230"/>
        <v>36.851525909131588</v>
      </c>
      <c r="Q360" s="73">
        <f t="shared" ref="Q360:S360" si="237">Q361+Q362</f>
        <v>0</v>
      </c>
      <c r="R360" s="74">
        <f t="shared" si="237"/>
        <v>0</v>
      </c>
      <c r="S360" s="74">
        <f t="shared" si="237"/>
        <v>0</v>
      </c>
      <c r="T360" s="74">
        <f t="shared" si="232"/>
        <v>0</v>
      </c>
      <c r="U360" s="74">
        <f t="shared" si="233"/>
        <v>0</v>
      </c>
    </row>
    <row r="361" spans="1:21" ht="18.75" hidden="1" x14ac:dyDescent="0.25">
      <c r="A361" s="257"/>
      <c r="B361" s="258"/>
      <c r="C361" s="269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7">
        <v>0</v>
      </c>
      <c r="M361" s="77">
        <v>0</v>
      </c>
      <c r="N361" s="77">
        <v>0</v>
      </c>
      <c r="O361" s="77">
        <f t="shared" si="229"/>
        <v>0</v>
      </c>
      <c r="P361" s="77">
        <f t="shared" si="230"/>
        <v>0</v>
      </c>
      <c r="Q361" s="76">
        <v>0</v>
      </c>
      <c r="R361" s="77">
        <v>0</v>
      </c>
      <c r="S361" s="77">
        <v>0</v>
      </c>
      <c r="T361" s="77">
        <f t="shared" si="232"/>
        <v>0</v>
      </c>
      <c r="U361" s="77">
        <f t="shared" si="233"/>
        <v>0</v>
      </c>
    </row>
    <row r="362" spans="1:21" ht="18.75" hidden="1" x14ac:dyDescent="0.25">
      <c r="A362" s="257"/>
      <c r="B362" s="258"/>
      <c r="C362" s="269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4">
        <f ca="1">IFERROR(__xludf.DUMMYFUNCTION("IMPORTRANGE(""https://docs.google.com/spreadsheets/d/1-uDff_7J0KD5mKrp0Vvzr7lt3OU09vwQwhkpOPPYv2Y/edit?usp=sharing"",""งบพรบ!FC58"")"),335210)</f>
        <v>335210</v>
      </c>
      <c r="M362" s="74">
        <f ca="1">IFERROR(__xludf.DUMMYFUNCTION("IMPORTRANGE(""https://docs.google.com/spreadsheets/d/1-uDff_7J0KD5mKrp0Vvzr7lt3OU09vwQwhkpOPPYv2Y/edit?usp=sharing"",""งบพรบ!FH58"")"),335210)</f>
        <v>335210</v>
      </c>
      <c r="N362" s="74">
        <f ca="1">IFERROR(__xludf.DUMMYFUNCTION("IMPORTRANGE(""https://docs.google.com/spreadsheets/d/1-uDff_7J0KD5mKrp0Vvzr7lt3OU09vwQwhkpOPPYv2Y/edit?usp=sharing"",""งบพรบ!FJ58"")"),123530)</f>
        <v>123530</v>
      </c>
      <c r="O362" s="74">
        <f t="shared" ca="1" si="229"/>
        <v>36.851525909131588</v>
      </c>
      <c r="P362" s="74">
        <f t="shared" ca="1" si="230"/>
        <v>36.851525909131588</v>
      </c>
      <c r="Q362" s="73">
        <v>0</v>
      </c>
      <c r="R362" s="74">
        <v>0</v>
      </c>
      <c r="S362" s="74">
        <v>0</v>
      </c>
      <c r="T362" s="74">
        <f t="shared" si="232"/>
        <v>0</v>
      </c>
      <c r="U362" s="74">
        <f t="shared" si="233"/>
        <v>0</v>
      </c>
    </row>
    <row r="363" spans="1:21" ht="18.75" x14ac:dyDescent="0.25">
      <c r="A363" s="257"/>
      <c r="B363" s="258"/>
      <c r="C363" s="269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4">
        <f t="shared" ref="L363:N363" ca="1" si="238">L364+L365</f>
        <v>0</v>
      </c>
      <c r="M363" s="74">
        <f t="shared" ca="1" si="238"/>
        <v>0</v>
      </c>
      <c r="N363" s="74">
        <f t="shared" ca="1" si="238"/>
        <v>0</v>
      </c>
      <c r="O363" s="74">
        <f t="shared" ca="1" si="229"/>
        <v>0</v>
      </c>
      <c r="P363" s="74">
        <f t="shared" ca="1" si="230"/>
        <v>0</v>
      </c>
      <c r="Q363" s="73">
        <f t="shared" ref="Q363:S363" si="239">Q364+Q365</f>
        <v>0</v>
      </c>
      <c r="R363" s="74">
        <f t="shared" si="239"/>
        <v>0</v>
      </c>
      <c r="S363" s="74">
        <f t="shared" si="239"/>
        <v>0</v>
      </c>
      <c r="T363" s="74">
        <f t="shared" si="232"/>
        <v>0</v>
      </c>
      <c r="U363" s="74">
        <f t="shared" si="233"/>
        <v>0</v>
      </c>
    </row>
    <row r="364" spans="1:21" ht="18.75" hidden="1" x14ac:dyDescent="0.25">
      <c r="A364" s="257"/>
      <c r="B364" s="258"/>
      <c r="C364" s="269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7">
        <v>0</v>
      </c>
      <c r="M364" s="77">
        <v>0</v>
      </c>
      <c r="N364" s="77">
        <v>0</v>
      </c>
      <c r="O364" s="77">
        <f t="shared" si="229"/>
        <v>0</v>
      </c>
      <c r="P364" s="77">
        <f t="shared" si="230"/>
        <v>0</v>
      </c>
      <c r="Q364" s="76">
        <v>0</v>
      </c>
      <c r="R364" s="77">
        <v>0</v>
      </c>
      <c r="S364" s="77">
        <v>0</v>
      </c>
      <c r="T364" s="77">
        <f t="shared" si="232"/>
        <v>0</v>
      </c>
      <c r="U364" s="77">
        <f t="shared" si="233"/>
        <v>0</v>
      </c>
    </row>
    <row r="365" spans="1:21" ht="18.75" hidden="1" x14ac:dyDescent="0.25">
      <c r="A365" s="257"/>
      <c r="B365" s="258"/>
      <c r="C365" s="269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4">
        <f ca="1">IFERROR(__xludf.DUMMYFUNCTION("IMPORTRANGE(""https://docs.google.com/spreadsheets/d/1-uDff_7J0KD5mKrp0Vvzr7lt3OU09vwQwhkpOPPYv2Y/edit?usp=sharing"",""งบพรบ!FF58"")"),0)</f>
        <v>0</v>
      </c>
      <c r="M365" s="74">
        <f ca="1">IFERROR(__xludf.DUMMYFUNCTION("IMPORTRANGE(""https://docs.google.com/spreadsheets/d/1-uDff_7J0KD5mKrp0Vvzr7lt3OU09vwQwhkpOPPYv2Y/edit?usp=sharing"",""งบพรบ!FI58"")"),0)</f>
        <v>0</v>
      </c>
      <c r="N365" s="74">
        <f ca="1">IFERROR(__xludf.DUMMYFUNCTION("IMPORTRANGE(""https://docs.google.com/spreadsheets/d/1-uDff_7J0KD5mKrp0Vvzr7lt3OU09vwQwhkpOPPYv2Y/edit?usp=sharing"",""งบพรบ!FK58"")"),0)</f>
        <v>0</v>
      </c>
      <c r="O365" s="74">
        <f t="shared" ca="1" si="229"/>
        <v>0</v>
      </c>
      <c r="P365" s="74">
        <f t="shared" ca="1" si="230"/>
        <v>0</v>
      </c>
      <c r="Q365" s="73">
        <v>0</v>
      </c>
      <c r="R365" s="74">
        <v>0</v>
      </c>
      <c r="S365" s="74">
        <v>0</v>
      </c>
      <c r="T365" s="74">
        <f t="shared" si="232"/>
        <v>0</v>
      </c>
      <c r="U365" s="74">
        <f t="shared" si="233"/>
        <v>0</v>
      </c>
    </row>
    <row r="366" spans="1:21" ht="19.5" x14ac:dyDescent="0.3">
      <c r="A366" s="553"/>
      <c r="B366" s="555"/>
      <c r="C366" s="555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0">I372</f>
        <v>135</v>
      </c>
      <c r="J366" s="559">
        <f t="shared" ca="1" si="240"/>
        <v>133</v>
      </c>
      <c r="K366" s="560">
        <f ca="1">IF(I366&gt;0,J366*100/I366,0)</f>
        <v>98.518518518518519</v>
      </c>
      <c r="L366" s="392"/>
      <c r="M366" s="392"/>
      <c r="N366" s="392"/>
      <c r="O366" s="392"/>
      <c r="P366" s="392"/>
      <c r="Q366" s="391"/>
      <c r="R366" s="392"/>
      <c r="S366" s="392"/>
      <c r="T366" s="392"/>
      <c r="U366" s="392"/>
    </row>
    <row r="367" spans="1:21" ht="19.5" x14ac:dyDescent="0.3">
      <c r="A367" s="276"/>
      <c r="B367" s="277"/>
      <c r="C367" s="621" t="s">
        <v>18</v>
      </c>
      <c r="D367" s="968" t="s">
        <v>38</v>
      </c>
      <c r="E367" s="280"/>
      <c r="F367" s="280"/>
      <c r="G367" s="281"/>
      <c r="H367" s="282"/>
      <c r="I367" s="263"/>
      <c r="J367" s="263"/>
      <c r="K367" s="87"/>
      <c r="L367" s="229"/>
      <c r="M367" s="229"/>
      <c r="N367" s="229"/>
      <c r="O367" s="229"/>
      <c r="P367" s="229"/>
      <c r="Q367" s="228"/>
      <c r="R367" s="229"/>
      <c r="S367" s="229"/>
      <c r="T367" s="229"/>
      <c r="U367" s="229"/>
    </row>
    <row r="368" spans="1:21" ht="18.75" x14ac:dyDescent="0.25">
      <c r="A368" s="276"/>
      <c r="B368" s="277"/>
      <c r="C368" s="277"/>
      <c r="D368" s="296"/>
      <c r="E368" s="1103" t="s">
        <v>150</v>
      </c>
      <c r="F368" s="277"/>
      <c r="G368" s="310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IFERROR(__xludf.DUMMYFUNCTION("IMPORTRANGE(""https://docs.google.com/spreadsheets/d/1tdoBKaGub7dwA3U6UFTqxio9LNnvDCQjHKmttSEBsFQ/edit?usp=sharing"",""จัดที่ดิน!AB58"")"),15)</f>
        <v>15</v>
      </c>
      <c r="K368" s="74">
        <f t="shared" ref="K368:K373" si="241">IF(I368&gt;0,J368*100/I368,0)</f>
        <v>0</v>
      </c>
      <c r="L368" s="229"/>
      <c r="M368" s="229"/>
      <c r="N368" s="229"/>
      <c r="O368" s="229"/>
      <c r="P368" s="229"/>
      <c r="Q368" s="228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IFERROR(__xludf.DUMMYFUNCTION("IMPORTRANGE(""https://docs.google.com/spreadsheets/d/1eHaY18a8A9IcSdp1K8H6x8fbOy06t2VsZHhMHf-1x7Y/edit?usp=sharing"",""แผน!EW58"")"),1315)</f>
        <v>1315</v>
      </c>
      <c r="J369" s="1190">
        <f ca="1">IFERROR(__xludf.DUMMYFUNCTION("IMPORTRANGE(""https://docs.google.com/spreadsheets/d/1tdoBKaGub7dwA3U6UFTqxio9LNnvDCQjHKmttSEBsFQ/edit?usp=sharing"",""จัดที่ดิน!AC58"")"),353.38)</f>
        <v>353.38</v>
      </c>
      <c r="K369" s="74">
        <f t="shared" ca="1" si="241"/>
        <v>26.873003802281367</v>
      </c>
      <c r="L369" s="229"/>
      <c r="M369" s="229"/>
      <c r="N369" s="229"/>
      <c r="O369" s="229"/>
      <c r="P369" s="229"/>
      <c r="Q369" s="228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75" t="s">
        <v>35</v>
      </c>
      <c r="I370" s="293">
        <f ca="1">IFERROR(__xludf.DUMMYFUNCTION("IMPORTRANGE(""https://docs.google.com/spreadsheets/d/1eHaY18a8A9IcSdp1K8H6x8fbOy06t2VsZHhMHf-1x7Y/edit?usp=sharing"",""แผน!EX58"")"),191)</f>
        <v>191</v>
      </c>
      <c r="J370" s="293">
        <f ca="1">IFERROR(__xludf.DUMMYFUNCTION("IMPORTRANGE(""https://docs.google.com/spreadsheets/d/1tdoBKaGub7dwA3U6UFTqxio9LNnvDCQjHKmttSEBsFQ/edit?usp=sharing"",""จัดที่ดิน!AD58"")"),137)</f>
        <v>137</v>
      </c>
      <c r="K370" s="74">
        <f t="shared" ca="1" si="241"/>
        <v>71.727748691099478</v>
      </c>
      <c r="L370" s="229"/>
      <c r="M370" s="229"/>
      <c r="N370" s="229"/>
      <c r="O370" s="229"/>
      <c r="P370" s="229"/>
      <c r="Q370" s="228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75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IFERROR(__xludf.DUMMYFUNCTION("IMPORTRANGE(""https://docs.google.com/spreadsheets/d/1tdoBKaGub7dwA3U6UFTqxio9LNnvDCQjHKmttSEBsFQ/edit?usp=sharing"",""จัดที่ดิน!AE58"")"),2544.34)</f>
        <v>2544.34</v>
      </c>
      <c r="K371" s="74">
        <f t="shared" si="241"/>
        <v>0</v>
      </c>
      <c r="L371" s="229"/>
      <c r="M371" s="229"/>
      <c r="N371" s="229"/>
      <c r="O371" s="229"/>
      <c r="P371" s="229"/>
      <c r="Q371" s="228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75" t="s">
        <v>35</v>
      </c>
      <c r="I372" s="293">
        <f ca="1">IFERROR(__xludf.DUMMYFUNCTION("IMPORTRANGE(""https://docs.google.com/spreadsheets/d/1eHaY18a8A9IcSdp1K8H6x8fbOy06t2VsZHhMHf-1x7Y/edit?usp=sharing"",""แผน!EY58"")"),135)</f>
        <v>135</v>
      </c>
      <c r="J372" s="293">
        <f ca="1">IFERROR(__xludf.DUMMYFUNCTION("IMPORTRANGE(""https://docs.google.com/spreadsheets/d/1tdoBKaGub7dwA3U6UFTqxio9LNnvDCQjHKmttSEBsFQ/edit?usp=sharing"",""จัดที่ดิน!AF58"")"),133)</f>
        <v>133</v>
      </c>
      <c r="K372" s="74">
        <f t="shared" ca="1" si="241"/>
        <v>98.518518518518519</v>
      </c>
      <c r="L372" s="229"/>
      <c r="M372" s="229"/>
      <c r="N372" s="229"/>
      <c r="O372" s="229"/>
      <c r="P372" s="229"/>
      <c r="Q372" s="228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75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IFERROR(__xludf.DUMMYFUNCTION("IMPORTRANGE(""https://docs.google.com/spreadsheets/d/1tdoBKaGub7dwA3U6UFTqxio9LNnvDCQjHKmttSEBsFQ/edit?usp=sharing"",""จัดที่ดิน!AG58"")"),2405.99)</f>
        <v>2405.9899999999998</v>
      </c>
      <c r="K373" s="74">
        <f t="shared" si="241"/>
        <v>0</v>
      </c>
      <c r="L373" s="229"/>
      <c r="M373" s="229"/>
      <c r="N373" s="229"/>
      <c r="O373" s="229"/>
      <c r="P373" s="229"/>
      <c r="Q373" s="228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29"/>
      <c r="I374" s="631"/>
      <c r="J374" s="631"/>
      <c r="K374" s="98"/>
      <c r="L374" s="98"/>
      <c r="M374" s="98"/>
      <c r="N374" s="98"/>
      <c r="O374" s="98"/>
      <c r="P374" s="98"/>
      <c r="Q374" s="97"/>
      <c r="R374" s="98"/>
      <c r="S374" s="98"/>
      <c r="T374" s="98"/>
      <c r="U374" s="98"/>
    </row>
    <row r="375" spans="1:21" ht="19.5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2">I387+I389</f>
        <v>1000</v>
      </c>
      <c r="J375" s="585">
        <f t="shared" ca="1" si="242"/>
        <v>0</v>
      </c>
      <c r="K375" s="586">
        <f ca="1">IF(I375&gt;0,J375*100/I375,0)</f>
        <v>0</v>
      </c>
      <c r="L375" s="587"/>
      <c r="M375" s="587"/>
      <c r="N375" s="587"/>
      <c r="O375" s="587"/>
      <c r="P375" s="587"/>
      <c r="Q375" s="529"/>
      <c r="R375" s="530"/>
      <c r="S375" s="530"/>
      <c r="T375" s="530"/>
      <c r="U375" s="530"/>
    </row>
    <row r="376" spans="1:21" ht="19.5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264">
        <f t="shared" ref="L376:N376" si="243">L377+L378</f>
        <v>0</v>
      </c>
      <c r="M376" s="264">
        <f t="shared" si="243"/>
        <v>0</v>
      </c>
      <c r="N376" s="264">
        <f t="shared" si="243"/>
        <v>0</v>
      </c>
      <c r="O376" s="264">
        <f t="shared" ref="O376:O384" si="244">IF(L376&gt;0,N376*100/L376,0)</f>
        <v>0</v>
      </c>
      <c r="P376" s="264">
        <f t="shared" ref="P376:P384" si="245">IF(M376&gt;0,N376*100/M376,0)</f>
        <v>0</v>
      </c>
      <c r="Q376" s="1257">
        <f t="shared" ref="Q376:S376" ca="1" si="246">Q377+Q378</f>
        <v>62500</v>
      </c>
      <c r="R376" s="264">
        <f t="shared" ca="1" si="246"/>
        <v>0</v>
      </c>
      <c r="S376" s="264">
        <f t="shared" ca="1" si="246"/>
        <v>0</v>
      </c>
      <c r="T376" s="264">
        <f t="shared" ref="T376:T384" ca="1" si="247">IF(Q376&gt;0,S376*100/Q376,0)</f>
        <v>0</v>
      </c>
      <c r="U376" s="264">
        <f t="shared" ref="U376:U384" ca="1" si="248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7">
        <f t="shared" ref="L377:N378" si="249">L380+L383</f>
        <v>0</v>
      </c>
      <c r="M377" s="77">
        <f t="shared" si="249"/>
        <v>0</v>
      </c>
      <c r="N377" s="77">
        <f t="shared" si="249"/>
        <v>0</v>
      </c>
      <c r="O377" s="77">
        <f t="shared" si="244"/>
        <v>0</v>
      </c>
      <c r="P377" s="77">
        <f t="shared" si="245"/>
        <v>0</v>
      </c>
      <c r="Q377" s="76">
        <f t="shared" ref="Q377:S378" si="250">Q380+Q383</f>
        <v>0</v>
      </c>
      <c r="R377" s="77">
        <f t="shared" si="250"/>
        <v>0</v>
      </c>
      <c r="S377" s="77">
        <f t="shared" si="250"/>
        <v>0</v>
      </c>
      <c r="T377" s="77">
        <f t="shared" si="247"/>
        <v>0</v>
      </c>
      <c r="U377" s="77">
        <f t="shared" si="248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4">
        <f t="shared" si="249"/>
        <v>0</v>
      </c>
      <c r="M378" s="74">
        <f t="shared" si="249"/>
        <v>0</v>
      </c>
      <c r="N378" s="74">
        <f t="shared" si="249"/>
        <v>0</v>
      </c>
      <c r="O378" s="74">
        <f t="shared" si="244"/>
        <v>0</v>
      </c>
      <c r="P378" s="74">
        <f t="shared" si="245"/>
        <v>0</v>
      </c>
      <c r="Q378" s="73">
        <f t="shared" ca="1" si="250"/>
        <v>62500</v>
      </c>
      <c r="R378" s="74">
        <f t="shared" ca="1" si="250"/>
        <v>0</v>
      </c>
      <c r="S378" s="74">
        <f t="shared" ca="1" si="250"/>
        <v>0</v>
      </c>
      <c r="T378" s="74">
        <f t="shared" ca="1" si="247"/>
        <v>0</v>
      </c>
      <c r="U378" s="74">
        <f t="shared" ca="1" si="248"/>
        <v>0</v>
      </c>
    </row>
    <row r="379" spans="1:21" ht="18.75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4">
        <f t="shared" ref="L379:N379" si="251">L380+L381</f>
        <v>0</v>
      </c>
      <c r="M379" s="74">
        <f t="shared" si="251"/>
        <v>0</v>
      </c>
      <c r="N379" s="74">
        <f t="shared" si="251"/>
        <v>0</v>
      </c>
      <c r="O379" s="74">
        <f t="shared" si="244"/>
        <v>0</v>
      </c>
      <c r="P379" s="74">
        <f t="shared" si="245"/>
        <v>0</v>
      </c>
      <c r="Q379" s="73">
        <f t="shared" ref="Q379:S379" ca="1" si="252">Q380+Q381</f>
        <v>62500</v>
      </c>
      <c r="R379" s="74">
        <f t="shared" ca="1" si="252"/>
        <v>0</v>
      </c>
      <c r="S379" s="74">
        <f t="shared" ca="1" si="252"/>
        <v>0</v>
      </c>
      <c r="T379" s="74">
        <f t="shared" ca="1" si="247"/>
        <v>0</v>
      </c>
      <c r="U379" s="74">
        <f t="shared" ca="1" si="248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7">
        <v>0</v>
      </c>
      <c r="M380" s="77">
        <v>0</v>
      </c>
      <c r="N380" s="77">
        <v>0</v>
      </c>
      <c r="O380" s="77">
        <f t="shared" si="244"/>
        <v>0</v>
      </c>
      <c r="P380" s="77">
        <f t="shared" si="245"/>
        <v>0</v>
      </c>
      <c r="Q380" s="76">
        <v>0</v>
      </c>
      <c r="R380" s="77">
        <v>0</v>
      </c>
      <c r="S380" s="77">
        <v>0</v>
      </c>
      <c r="T380" s="77">
        <f t="shared" si="247"/>
        <v>0</v>
      </c>
      <c r="U380" s="77">
        <f t="shared" si="248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4">
        <v>0</v>
      </c>
      <c r="M381" s="74">
        <v>0</v>
      </c>
      <c r="N381" s="74">
        <v>0</v>
      </c>
      <c r="O381" s="74">
        <f t="shared" si="244"/>
        <v>0</v>
      </c>
      <c r="P381" s="74">
        <f t="shared" si="245"/>
        <v>0</v>
      </c>
      <c r="Q381" s="73">
        <f ca="1">IFERROR(__xludf.DUMMYFUNCTION("IMPORTRANGE(""https://docs.google.com/spreadsheets/d/1ItG2mGa2ceCfYo0BwxsXqNm01IGEUdYcSSLTEv9YCik/edit?usp=sharing"",""เบิกจ่ายกองทุน!AY58"")"),62500)</f>
        <v>62500</v>
      </c>
      <c r="R381" s="74">
        <f ca="1">IFERROR(__xludf.DUMMYFUNCTION("IMPORTRANGE(""https://docs.google.com/spreadsheets/d/1ItG2mGa2ceCfYo0BwxsXqNm01IGEUdYcSSLTEv9YCik/edit?usp=sharing"",""เบิกจ่ายกองทุน!AZ58"")"),0)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IFERROR(__xludf.DUMMYFUNCTION("IMPORTRANGE(""https://docs.google.com/spreadsheets/d/1ItG2mGa2ceCfYo0BwxsXqNm01IGEUdYcSSLTEv9YCik/edit?usp=sharing"",""เบิกจ่ายกองทุน!BA58"")"),0)</f>
        <v>0</v>
      </c>
      <c r="T381" s="74">
        <f t="shared" ca="1" si="247"/>
        <v>0</v>
      </c>
      <c r="U381" s="74">
        <f t="shared" ca="1" si="248"/>
        <v>0</v>
      </c>
    </row>
    <row r="382" spans="1:21" ht="18.75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4">
        <f t="shared" ref="L382:N382" si="253">L383+L384</f>
        <v>0</v>
      </c>
      <c r="M382" s="74">
        <f t="shared" si="253"/>
        <v>0</v>
      </c>
      <c r="N382" s="74">
        <f t="shared" si="253"/>
        <v>0</v>
      </c>
      <c r="O382" s="74">
        <f t="shared" si="244"/>
        <v>0</v>
      </c>
      <c r="P382" s="74">
        <f t="shared" si="245"/>
        <v>0</v>
      </c>
      <c r="Q382" s="73">
        <f t="shared" ref="Q382:S382" si="254">Q383+Q384</f>
        <v>0</v>
      </c>
      <c r="R382" s="74">
        <f t="shared" si="254"/>
        <v>0</v>
      </c>
      <c r="S382" s="74">
        <f t="shared" si="254"/>
        <v>0</v>
      </c>
      <c r="T382" s="74">
        <f t="shared" si="247"/>
        <v>0</v>
      </c>
      <c r="U382" s="74">
        <f t="shared" si="248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7">
        <v>0</v>
      </c>
      <c r="M383" s="77">
        <v>0</v>
      </c>
      <c r="N383" s="77">
        <v>0</v>
      </c>
      <c r="O383" s="77">
        <f t="shared" si="244"/>
        <v>0</v>
      </c>
      <c r="P383" s="77">
        <f t="shared" si="245"/>
        <v>0</v>
      </c>
      <c r="Q383" s="76">
        <v>0</v>
      </c>
      <c r="R383" s="77">
        <v>0</v>
      </c>
      <c r="S383" s="77">
        <v>0</v>
      </c>
      <c r="T383" s="77">
        <f t="shared" si="247"/>
        <v>0</v>
      </c>
      <c r="U383" s="77">
        <f t="shared" si="248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4">
        <v>0</v>
      </c>
      <c r="M384" s="74">
        <v>0</v>
      </c>
      <c r="N384" s="74">
        <v>0</v>
      </c>
      <c r="O384" s="74">
        <f t="shared" si="244"/>
        <v>0</v>
      </c>
      <c r="P384" s="74">
        <f t="shared" si="245"/>
        <v>0</v>
      </c>
      <c r="Q384" s="73">
        <v>0</v>
      </c>
      <c r="R384" s="74">
        <v>0</v>
      </c>
      <c r="S384" s="74">
        <v>0</v>
      </c>
      <c r="T384" s="74">
        <f t="shared" si="247"/>
        <v>0</v>
      </c>
      <c r="U384" s="74">
        <f t="shared" si="248"/>
        <v>0</v>
      </c>
    </row>
    <row r="385" spans="1:21" ht="19.5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7"/>
      <c r="M385" s="87"/>
      <c r="N385" s="87"/>
      <c r="O385" s="229"/>
      <c r="P385" s="229"/>
      <c r="Q385" s="86"/>
      <c r="R385" s="87"/>
      <c r="S385" s="87"/>
      <c r="T385" s="229"/>
      <c r="U385" s="229"/>
    </row>
    <row r="386" spans="1:21" ht="18.75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v>0</v>
      </c>
      <c r="J386" s="293">
        <f ca="1">IFERROR(__xludf.DUMMYFUNCTION("IMPORTRANGE(""https://docs.google.com/spreadsheets/d/1w5rwWK1o49a35cNtocGL0gxDwhFSTZUQu90BiH9_zqM/edit?usp=sharing"",""RTK!H58"")"),0)</f>
        <v>0</v>
      </c>
      <c r="K386" s="74">
        <f t="shared" ref="K386:K389" si="255">IF(I386&gt;0,J386*100/I386,0)</f>
        <v>0</v>
      </c>
      <c r="L386" s="87"/>
      <c r="M386" s="87"/>
      <c r="N386" s="87"/>
      <c r="O386" s="87"/>
      <c r="P386" s="87"/>
      <c r="Q386" s="86"/>
      <c r="R386" s="87"/>
      <c r="S386" s="87"/>
      <c r="T386" s="87"/>
      <c r="U386" s="87"/>
    </row>
    <row r="387" spans="1:21" ht="18.75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IFERROR(__xludf.DUMMYFUNCTION("IMPORTRANGE(""https://docs.google.com/spreadsheets/d/1w5rwWK1o49a35cNtocGL0gxDwhFSTZUQu90BiH9_zqM/edit?usp=sharing"",""RTK!G58"")"),1000)</f>
        <v>1000</v>
      </c>
      <c r="J387" s="293">
        <f ca="1">IFERROR(__xludf.DUMMYFUNCTION("IMPORTRANGE(""https://docs.google.com/spreadsheets/d/1w5rwWK1o49a35cNtocGL0gxDwhFSTZUQu90BiH9_zqM/edit?usp=sharing"",""RTK!I58"")"),0)</f>
        <v>0</v>
      </c>
      <c r="K387" s="74">
        <f t="shared" ca="1" si="255"/>
        <v>0</v>
      </c>
      <c r="L387" s="87"/>
      <c r="M387" s="87"/>
      <c r="N387" s="87"/>
      <c r="O387" s="87"/>
      <c r="P387" s="87"/>
      <c r="Q387" s="86"/>
      <c r="R387" s="87"/>
      <c r="S387" s="87"/>
      <c r="T387" s="87"/>
      <c r="U387" s="87"/>
    </row>
    <row r="388" spans="1:21" ht="18.75" x14ac:dyDescent="0.25">
      <c r="A388" s="381"/>
      <c r="B388" s="381"/>
      <c r="C388" s="381"/>
      <c r="D388" s="381"/>
      <c r="E388" s="379" t="s">
        <v>155</v>
      </c>
      <c r="F388" s="381"/>
      <c r="G388" s="1033"/>
      <c r="H388" s="216" t="s">
        <v>34</v>
      </c>
      <c r="I388" s="321">
        <v>0</v>
      </c>
      <c r="J388" s="321">
        <f ca="1">IFERROR(__xludf.DUMMYFUNCTION("IMPORTRANGE(""https://docs.google.com/spreadsheets/d/1w5rwWK1o49a35cNtocGL0gxDwhFSTZUQu90BiH9_zqM/edit?usp=sharing"",""RTK!L58"")"),0)</f>
        <v>0</v>
      </c>
      <c r="K388" s="399">
        <f t="shared" si="255"/>
        <v>0</v>
      </c>
      <c r="L388" s="72"/>
      <c r="M388" s="72"/>
      <c r="N388" s="72"/>
      <c r="O388" s="72"/>
      <c r="P388" s="72"/>
      <c r="Q388" s="540"/>
      <c r="R388" s="72"/>
      <c r="S388" s="72"/>
      <c r="T388" s="72"/>
      <c r="U388" s="72"/>
    </row>
    <row r="389" spans="1:21" ht="18.75" x14ac:dyDescent="0.25">
      <c r="A389" s="381"/>
      <c r="B389" s="381"/>
      <c r="C389" s="381"/>
      <c r="D389" s="381"/>
      <c r="E389" s="381"/>
      <c r="F389" s="381"/>
      <c r="G389" s="1033"/>
      <c r="H389" s="216" t="s">
        <v>46</v>
      </c>
      <c r="I389" s="321">
        <f ca="1">IFERROR(__xludf.DUMMYFUNCTION("IMPORTRANGE(""https://docs.google.com/spreadsheets/d/1w5rwWK1o49a35cNtocGL0gxDwhFSTZUQu90BiH9_zqM/edit?usp=sharing"",""RTK!K58"")"),0)</f>
        <v>0</v>
      </c>
      <c r="J389" s="321">
        <f ca="1">IFERROR(__xludf.DUMMYFUNCTION("IMPORTRANGE(""https://docs.google.com/spreadsheets/d/1w5rwWK1o49a35cNtocGL0gxDwhFSTZUQu90BiH9_zqM/edit?usp=sharing"",""RTK!M58"")"),0)</f>
        <v>0</v>
      </c>
      <c r="K389" s="399">
        <f t="shared" ca="1" si="255"/>
        <v>0</v>
      </c>
      <c r="L389" s="72"/>
      <c r="M389" s="72"/>
      <c r="N389" s="72"/>
      <c r="O389" s="72"/>
      <c r="P389" s="72"/>
      <c r="Q389" s="540"/>
      <c r="R389" s="72"/>
      <c r="S389" s="72"/>
      <c r="T389" s="72"/>
      <c r="U389" s="72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6"/>
      <c r="M390" s="596"/>
      <c r="N390" s="596"/>
      <c r="O390" s="596"/>
      <c r="P390" s="596"/>
      <c r="Q390" s="597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1"/>
      <c r="M391" s="601"/>
      <c r="N391" s="601"/>
      <c r="O391" s="601"/>
      <c r="P391" s="601"/>
      <c r="Q391" s="602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6">I403</f>
        <v>0</v>
      </c>
      <c r="J392" s="1189">
        <f t="shared" si="256"/>
        <v>0</v>
      </c>
      <c r="K392" s="611">
        <f>IF(I392&gt;0,J392*100/I392,0)</f>
        <v>0</v>
      </c>
      <c r="L392" s="530"/>
      <c r="M392" s="530"/>
      <c r="N392" s="530"/>
      <c r="O392" s="530"/>
      <c r="P392" s="530"/>
      <c r="Q392" s="529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264">
        <f t="shared" ref="L393:N393" si="257">L394+L395</f>
        <v>0</v>
      </c>
      <c r="M393" s="264">
        <f t="shared" si="257"/>
        <v>0</v>
      </c>
      <c r="N393" s="264">
        <f t="shared" si="257"/>
        <v>0</v>
      </c>
      <c r="O393" s="264">
        <f t="shared" ref="O393:O401" si="258">IF(L393&gt;0,N393*100/L393,0)</f>
        <v>0</v>
      </c>
      <c r="P393" s="264">
        <f t="shared" ref="P393:P401" si="259">IF(M393&gt;0,N393*100/M393,0)</f>
        <v>0</v>
      </c>
      <c r="Q393" s="1257">
        <f t="shared" ref="Q393:S393" si="260">Q394+Q395</f>
        <v>0</v>
      </c>
      <c r="R393" s="264">
        <f t="shared" si="260"/>
        <v>0</v>
      </c>
      <c r="S393" s="264">
        <f t="shared" si="260"/>
        <v>0</v>
      </c>
      <c r="T393" s="264">
        <f t="shared" ref="T393:T401" si="261">IF(Q393&gt;0,S393*100/Q393,0)</f>
        <v>0</v>
      </c>
      <c r="U393" s="264">
        <f t="shared" ref="U393:U401" si="262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7">
        <f t="shared" ref="L394:N395" si="263">L397+L400</f>
        <v>0</v>
      </c>
      <c r="M394" s="77">
        <f t="shared" si="263"/>
        <v>0</v>
      </c>
      <c r="N394" s="77">
        <f t="shared" si="263"/>
        <v>0</v>
      </c>
      <c r="O394" s="77">
        <f t="shared" si="258"/>
        <v>0</v>
      </c>
      <c r="P394" s="77">
        <f t="shared" si="259"/>
        <v>0</v>
      </c>
      <c r="Q394" s="76">
        <f t="shared" ref="Q394:S395" si="264">Q397+Q400</f>
        <v>0</v>
      </c>
      <c r="R394" s="77">
        <f t="shared" si="264"/>
        <v>0</v>
      </c>
      <c r="S394" s="77">
        <f t="shared" si="264"/>
        <v>0</v>
      </c>
      <c r="T394" s="77">
        <f t="shared" si="261"/>
        <v>0</v>
      </c>
      <c r="U394" s="77">
        <f t="shared" si="262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4">
        <f t="shared" si="263"/>
        <v>0</v>
      </c>
      <c r="M395" s="74">
        <f t="shared" si="263"/>
        <v>0</v>
      </c>
      <c r="N395" s="74">
        <f t="shared" si="263"/>
        <v>0</v>
      </c>
      <c r="O395" s="74">
        <f t="shared" si="258"/>
        <v>0</v>
      </c>
      <c r="P395" s="74">
        <f t="shared" si="259"/>
        <v>0</v>
      </c>
      <c r="Q395" s="73">
        <f t="shared" si="264"/>
        <v>0</v>
      </c>
      <c r="R395" s="74">
        <f t="shared" si="264"/>
        <v>0</v>
      </c>
      <c r="S395" s="74">
        <f t="shared" si="264"/>
        <v>0</v>
      </c>
      <c r="T395" s="74">
        <f t="shared" si="261"/>
        <v>0</v>
      </c>
      <c r="U395" s="74">
        <f t="shared" si="262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4">
        <f t="shared" ref="L396:N396" si="265">L397+L398</f>
        <v>0</v>
      </c>
      <c r="M396" s="74">
        <f t="shared" si="265"/>
        <v>0</v>
      </c>
      <c r="N396" s="74">
        <f t="shared" si="265"/>
        <v>0</v>
      </c>
      <c r="O396" s="74">
        <f t="shared" si="258"/>
        <v>0</v>
      </c>
      <c r="P396" s="74">
        <f t="shared" si="259"/>
        <v>0</v>
      </c>
      <c r="Q396" s="73">
        <f t="shared" ref="Q396:S396" si="266">Q397+Q398</f>
        <v>0</v>
      </c>
      <c r="R396" s="74">
        <f t="shared" si="266"/>
        <v>0</v>
      </c>
      <c r="S396" s="74">
        <f t="shared" si="266"/>
        <v>0</v>
      </c>
      <c r="T396" s="74">
        <f t="shared" si="261"/>
        <v>0</v>
      </c>
      <c r="U396" s="74">
        <f t="shared" si="262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7">
        <v>0</v>
      </c>
      <c r="M397" s="77">
        <v>0</v>
      </c>
      <c r="N397" s="77">
        <v>0</v>
      </c>
      <c r="O397" s="77">
        <f t="shared" si="258"/>
        <v>0</v>
      </c>
      <c r="P397" s="77">
        <f t="shared" si="259"/>
        <v>0</v>
      </c>
      <c r="Q397" s="76">
        <v>0</v>
      </c>
      <c r="R397" s="77">
        <v>0</v>
      </c>
      <c r="S397" s="77">
        <v>0</v>
      </c>
      <c r="T397" s="77">
        <f t="shared" si="261"/>
        <v>0</v>
      </c>
      <c r="U397" s="77">
        <f t="shared" si="262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4">
        <v>0</v>
      </c>
      <c r="M398" s="74">
        <v>0</v>
      </c>
      <c r="N398" s="74">
        <v>0</v>
      </c>
      <c r="O398" s="74">
        <f t="shared" si="258"/>
        <v>0</v>
      </c>
      <c r="P398" s="74">
        <f t="shared" si="259"/>
        <v>0</v>
      </c>
      <c r="Q398" s="73">
        <v>0</v>
      </c>
      <c r="R398" s="74">
        <v>0</v>
      </c>
      <c r="S398" s="74">
        <v>0</v>
      </c>
      <c r="T398" s="74">
        <f t="shared" si="261"/>
        <v>0</v>
      </c>
      <c r="U398" s="74">
        <f t="shared" si="262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4">
        <f t="shared" ref="L399:N399" si="267">L400+L401</f>
        <v>0</v>
      </c>
      <c r="M399" s="74">
        <f t="shared" si="267"/>
        <v>0</v>
      </c>
      <c r="N399" s="74">
        <f t="shared" si="267"/>
        <v>0</v>
      </c>
      <c r="O399" s="74">
        <f t="shared" si="258"/>
        <v>0</v>
      </c>
      <c r="P399" s="74">
        <f t="shared" si="259"/>
        <v>0</v>
      </c>
      <c r="Q399" s="73">
        <f t="shared" ref="Q399:S399" si="268">Q400+Q401</f>
        <v>0</v>
      </c>
      <c r="R399" s="74">
        <f t="shared" si="268"/>
        <v>0</v>
      </c>
      <c r="S399" s="74">
        <f t="shared" si="268"/>
        <v>0</v>
      </c>
      <c r="T399" s="74">
        <f t="shared" si="261"/>
        <v>0</v>
      </c>
      <c r="U399" s="74">
        <f t="shared" si="262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7">
        <v>0</v>
      </c>
      <c r="M400" s="77">
        <v>0</v>
      </c>
      <c r="N400" s="77">
        <v>0</v>
      </c>
      <c r="O400" s="77">
        <f t="shared" si="258"/>
        <v>0</v>
      </c>
      <c r="P400" s="77">
        <f t="shared" si="259"/>
        <v>0</v>
      </c>
      <c r="Q400" s="76">
        <v>0</v>
      </c>
      <c r="R400" s="77">
        <v>0</v>
      </c>
      <c r="S400" s="77">
        <v>0</v>
      </c>
      <c r="T400" s="77">
        <f t="shared" si="261"/>
        <v>0</v>
      </c>
      <c r="U400" s="77">
        <f t="shared" si="262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4">
        <v>0</v>
      </c>
      <c r="M401" s="74">
        <v>0</v>
      </c>
      <c r="N401" s="74">
        <v>0</v>
      </c>
      <c r="O401" s="74">
        <f t="shared" si="258"/>
        <v>0</v>
      </c>
      <c r="P401" s="74">
        <f t="shared" si="259"/>
        <v>0</v>
      </c>
      <c r="Q401" s="73">
        <v>0</v>
      </c>
      <c r="R401" s="74">
        <v>0</v>
      </c>
      <c r="S401" s="74">
        <v>0</v>
      </c>
      <c r="T401" s="74">
        <f t="shared" si="261"/>
        <v>0</v>
      </c>
      <c r="U401" s="74">
        <f t="shared" si="262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7"/>
      <c r="M402" s="87"/>
      <c r="N402" s="87"/>
      <c r="O402" s="229"/>
      <c r="P402" s="229"/>
      <c r="Q402" s="86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6"/>
      <c r="M403" s="596"/>
      <c r="N403" s="596"/>
      <c r="O403" s="596"/>
      <c r="P403" s="596"/>
      <c r="Q403" s="597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6"/>
      <c r="M404" s="596"/>
      <c r="N404" s="596"/>
      <c r="O404" s="596"/>
      <c r="P404" s="596"/>
      <c r="Q404" s="597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6"/>
      <c r="M405" s="596"/>
      <c r="N405" s="596"/>
      <c r="O405" s="596"/>
      <c r="P405" s="596"/>
      <c r="Q405" s="597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6"/>
      <c r="M406" s="596"/>
      <c r="N406" s="596"/>
      <c r="O406" s="596"/>
      <c r="P406" s="596"/>
      <c r="Q406" s="597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6"/>
      <c r="M407" s="596"/>
      <c r="N407" s="596"/>
      <c r="O407" s="596"/>
      <c r="P407" s="596"/>
      <c r="Q407" s="597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6"/>
      <c r="M408" s="596"/>
      <c r="N408" s="596"/>
      <c r="O408" s="596"/>
      <c r="P408" s="596"/>
      <c r="Q408" s="597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6"/>
      <c r="M409" s="596"/>
      <c r="N409" s="596"/>
      <c r="O409" s="596"/>
      <c r="P409" s="596"/>
      <c r="Q409" s="597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6"/>
      <c r="M410" s="596"/>
      <c r="N410" s="596"/>
      <c r="O410" s="596"/>
      <c r="P410" s="596"/>
      <c r="Q410" s="597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6"/>
      <c r="M411" s="596"/>
      <c r="N411" s="596"/>
      <c r="O411" s="596"/>
      <c r="P411" s="596"/>
      <c r="Q411" s="597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1"/>
      <c r="M412" s="601"/>
      <c r="N412" s="601"/>
      <c r="O412" s="601"/>
      <c r="P412" s="601"/>
      <c r="Q412" s="602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69">I424</f>
        <v>0</v>
      </c>
      <c r="J413" s="617">
        <f t="shared" si="269"/>
        <v>0</v>
      </c>
      <c r="K413" s="611">
        <f ca="1">IF(I413&gt;0,J413*100/I413,0)</f>
        <v>0</v>
      </c>
      <c r="L413" s="530"/>
      <c r="M413" s="530"/>
      <c r="N413" s="530"/>
      <c r="O413" s="530"/>
      <c r="P413" s="530"/>
      <c r="Q413" s="529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264">
        <f t="shared" ref="L414:N414" si="270">L415+L416</f>
        <v>0</v>
      </c>
      <c r="M414" s="264">
        <f t="shared" si="270"/>
        <v>0</v>
      </c>
      <c r="N414" s="264">
        <f t="shared" si="270"/>
        <v>0</v>
      </c>
      <c r="O414" s="264">
        <f t="shared" ref="O414:O422" si="271">IF(L414&gt;0,N414*100/L414,0)</f>
        <v>0</v>
      </c>
      <c r="P414" s="264">
        <f t="shared" ref="P414:P422" si="272">IF(M414&gt;0,N414*100/M414,0)</f>
        <v>0</v>
      </c>
      <c r="Q414" s="1257">
        <f t="shared" ref="Q414:S414" ca="1" si="273">Q415+Q416</f>
        <v>0</v>
      </c>
      <c r="R414" s="264">
        <f t="shared" ca="1" si="273"/>
        <v>0</v>
      </c>
      <c r="S414" s="264">
        <f t="shared" ca="1" si="273"/>
        <v>0</v>
      </c>
      <c r="T414" s="264">
        <f t="shared" ref="T414:T422" ca="1" si="274">IF(Q414&gt;0,S414*100/Q414,0)</f>
        <v>0</v>
      </c>
      <c r="U414" s="264">
        <f t="shared" ref="U414:U422" ca="1" si="275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7">
        <f t="shared" ref="L415:N416" si="276">L418+L421</f>
        <v>0</v>
      </c>
      <c r="M415" s="77">
        <f t="shared" si="276"/>
        <v>0</v>
      </c>
      <c r="N415" s="77">
        <f t="shared" si="276"/>
        <v>0</v>
      </c>
      <c r="O415" s="77">
        <f t="shared" si="271"/>
        <v>0</v>
      </c>
      <c r="P415" s="77">
        <f t="shared" si="272"/>
        <v>0</v>
      </c>
      <c r="Q415" s="76">
        <f t="shared" ref="Q415:S416" si="277">Q418+Q421</f>
        <v>0</v>
      </c>
      <c r="R415" s="77">
        <f t="shared" si="277"/>
        <v>0</v>
      </c>
      <c r="S415" s="77">
        <f t="shared" si="277"/>
        <v>0</v>
      </c>
      <c r="T415" s="77">
        <f t="shared" si="274"/>
        <v>0</v>
      </c>
      <c r="U415" s="77">
        <f t="shared" si="275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4">
        <f t="shared" si="276"/>
        <v>0</v>
      </c>
      <c r="M416" s="74">
        <f t="shared" si="276"/>
        <v>0</v>
      </c>
      <c r="N416" s="74">
        <f t="shared" si="276"/>
        <v>0</v>
      </c>
      <c r="O416" s="74">
        <f t="shared" si="271"/>
        <v>0</v>
      </c>
      <c r="P416" s="74">
        <f t="shared" si="272"/>
        <v>0</v>
      </c>
      <c r="Q416" s="73">
        <f t="shared" ca="1" si="277"/>
        <v>0</v>
      </c>
      <c r="R416" s="74">
        <f t="shared" ca="1" si="277"/>
        <v>0</v>
      </c>
      <c r="S416" s="74">
        <f t="shared" ca="1" si="277"/>
        <v>0</v>
      </c>
      <c r="T416" s="74">
        <f t="shared" ca="1" si="274"/>
        <v>0</v>
      </c>
      <c r="U416" s="74">
        <f t="shared" ca="1" si="275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4">
        <f t="shared" ref="L417:N417" si="278">L418+L419</f>
        <v>0</v>
      </c>
      <c r="M417" s="74">
        <f t="shared" si="278"/>
        <v>0</v>
      </c>
      <c r="N417" s="74">
        <f t="shared" si="278"/>
        <v>0</v>
      </c>
      <c r="O417" s="74">
        <f t="shared" si="271"/>
        <v>0</v>
      </c>
      <c r="P417" s="74">
        <f t="shared" si="272"/>
        <v>0</v>
      </c>
      <c r="Q417" s="73">
        <f t="shared" ref="Q417:S417" ca="1" si="279">Q418+Q419</f>
        <v>0</v>
      </c>
      <c r="R417" s="74">
        <f t="shared" ca="1" si="279"/>
        <v>0</v>
      </c>
      <c r="S417" s="74">
        <f t="shared" ca="1" si="279"/>
        <v>0</v>
      </c>
      <c r="T417" s="74">
        <f t="shared" ca="1" si="274"/>
        <v>0</v>
      </c>
      <c r="U417" s="74">
        <f t="shared" ca="1" si="275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7">
        <v>0</v>
      </c>
      <c r="M418" s="77">
        <v>0</v>
      </c>
      <c r="N418" s="77">
        <v>0</v>
      </c>
      <c r="O418" s="77">
        <f t="shared" si="271"/>
        <v>0</v>
      </c>
      <c r="P418" s="77">
        <f t="shared" si="272"/>
        <v>0</v>
      </c>
      <c r="Q418" s="76">
        <v>0</v>
      </c>
      <c r="R418" s="77">
        <v>0</v>
      </c>
      <c r="S418" s="77">
        <v>0</v>
      </c>
      <c r="T418" s="77">
        <f t="shared" si="274"/>
        <v>0</v>
      </c>
      <c r="U418" s="77">
        <f t="shared" si="275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4">
        <v>0</v>
      </c>
      <c r="M419" s="74">
        <v>0</v>
      </c>
      <c r="N419" s="74">
        <v>0</v>
      </c>
      <c r="O419" s="74">
        <f t="shared" si="271"/>
        <v>0</v>
      </c>
      <c r="P419" s="74">
        <f t="shared" si="272"/>
        <v>0</v>
      </c>
      <c r="Q419" s="73">
        <f ca="1">IFERROR(__xludf.DUMMYFUNCTION("IMPORTRANGE(""https://docs.google.com/spreadsheets/d/1ItG2mGa2ceCfYo0BwxsXqNm01IGEUdYcSSLTEv9YCik/edit?usp=sharing"",""เบิกจ่ายกองทุน!BH58"")"),0)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IFERROR(__xludf.DUMMYFUNCTION("IMPORTRANGE(""https://docs.google.com/spreadsheets/d/1ItG2mGa2ceCfYo0BwxsXqNm01IGEUdYcSSLTEv9YCik/edit?usp=sharing"",""เบิกจ่ายกองทุน!BI58"")"),0)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IFERROR(__xludf.DUMMYFUNCTION("IMPORTRANGE(""https://docs.google.com/spreadsheets/d/1ItG2mGa2ceCfYo0BwxsXqNm01IGEUdYcSSLTEv9YCik/edit?usp=sharing"",""เบิกจ่ายกองทุน!BJ58"")"),0)</f>
        <v>0</v>
      </c>
      <c r="T419" s="74">
        <f t="shared" ca="1" si="274"/>
        <v>0</v>
      </c>
      <c r="U419" s="74">
        <f t="shared" ca="1" si="275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4">
        <f t="shared" ref="L420:N420" si="280">L421+L422</f>
        <v>0</v>
      </c>
      <c r="M420" s="74">
        <f t="shared" si="280"/>
        <v>0</v>
      </c>
      <c r="N420" s="74">
        <f t="shared" si="280"/>
        <v>0</v>
      </c>
      <c r="O420" s="74">
        <f t="shared" si="271"/>
        <v>0</v>
      </c>
      <c r="P420" s="74">
        <f t="shared" si="272"/>
        <v>0</v>
      </c>
      <c r="Q420" s="73">
        <f t="shared" ref="Q420:S420" si="281">Q421+Q422</f>
        <v>0</v>
      </c>
      <c r="R420" s="74">
        <f t="shared" si="281"/>
        <v>0</v>
      </c>
      <c r="S420" s="74">
        <f t="shared" si="281"/>
        <v>0</v>
      </c>
      <c r="T420" s="74">
        <f t="shared" si="274"/>
        <v>0</v>
      </c>
      <c r="U420" s="74">
        <f t="shared" si="275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7">
        <v>0</v>
      </c>
      <c r="M421" s="77">
        <v>0</v>
      </c>
      <c r="N421" s="77">
        <v>0</v>
      </c>
      <c r="O421" s="77">
        <f t="shared" si="271"/>
        <v>0</v>
      </c>
      <c r="P421" s="77">
        <f t="shared" si="272"/>
        <v>0</v>
      </c>
      <c r="Q421" s="76">
        <v>0</v>
      </c>
      <c r="R421" s="77">
        <v>0</v>
      </c>
      <c r="S421" s="77">
        <v>0</v>
      </c>
      <c r="T421" s="77">
        <f t="shared" si="274"/>
        <v>0</v>
      </c>
      <c r="U421" s="77">
        <f t="shared" si="275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4">
        <v>0</v>
      </c>
      <c r="M422" s="74">
        <v>0</v>
      </c>
      <c r="N422" s="74">
        <v>0</v>
      </c>
      <c r="O422" s="74">
        <f t="shared" si="271"/>
        <v>0</v>
      </c>
      <c r="P422" s="74">
        <f t="shared" si="272"/>
        <v>0</v>
      </c>
      <c r="Q422" s="73">
        <v>0</v>
      </c>
      <c r="R422" s="74">
        <v>0</v>
      </c>
      <c r="S422" s="74">
        <v>0</v>
      </c>
      <c r="T422" s="74">
        <f t="shared" si="274"/>
        <v>0</v>
      </c>
      <c r="U422" s="74">
        <f t="shared" si="275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7"/>
      <c r="M423" s="87"/>
      <c r="N423" s="87"/>
      <c r="O423" s="87"/>
      <c r="P423" s="87"/>
      <c r="Q423" s="86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2">I441</f>
        <v>0</v>
      </c>
      <c r="J424" s="622">
        <f t="shared" si="282"/>
        <v>0</v>
      </c>
      <c r="K424" s="264">
        <f t="shared" ref="K424:K426" ca="1" si="283">IF(I424&gt;0,J424*100/I424,0)</f>
        <v>0</v>
      </c>
      <c r="L424" s="87"/>
      <c r="M424" s="87"/>
      <c r="N424" s="87"/>
      <c r="O424" s="87"/>
      <c r="P424" s="87"/>
      <c r="Q424" s="86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IFERROR(__xludf.DUMMYFUNCTION("IMPORTRANGE(""https://docs.google.com/spreadsheets/d/1eHaY18a8A9IcSdp1K8H6x8fbOy06t2VsZHhMHf-1x7Y/edit?usp=sharing"",""แผน!HJ58"")"),0)</f>
        <v>0</v>
      </c>
      <c r="J425" s="622">
        <f t="shared" ref="J425:J426" si="284">J427+J429+J431</f>
        <v>0</v>
      </c>
      <c r="K425" s="264">
        <f t="shared" ca="1" si="283"/>
        <v>0</v>
      </c>
      <c r="L425" s="87"/>
      <c r="M425" s="87"/>
      <c r="N425" s="87"/>
      <c r="O425" s="87"/>
      <c r="P425" s="87"/>
      <c r="Q425" s="86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IFERROR(__xludf.DUMMYFUNCTION("IMPORTRANGE(""https://docs.google.com/spreadsheets/d/1eHaY18a8A9IcSdp1K8H6x8fbOy06t2VsZHhMHf-1x7Y/edit?usp=sharing"",""แผน!HK58"")"),0)</f>
        <v>0</v>
      </c>
      <c r="J426" s="622">
        <f t="shared" si="284"/>
        <v>0</v>
      </c>
      <c r="K426" s="264">
        <f t="shared" ca="1" si="283"/>
        <v>0</v>
      </c>
      <c r="L426" s="87"/>
      <c r="M426" s="87"/>
      <c r="N426" s="87"/>
      <c r="O426" s="87"/>
      <c r="P426" s="87"/>
      <c r="Q426" s="86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7"/>
      <c r="M427" s="87"/>
      <c r="N427" s="87"/>
      <c r="O427" s="87"/>
      <c r="P427" s="87"/>
      <c r="Q427" s="86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7"/>
      <c r="M428" s="87"/>
      <c r="N428" s="87"/>
      <c r="O428" s="87"/>
      <c r="P428" s="87"/>
      <c r="Q428" s="86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7"/>
      <c r="M429" s="87"/>
      <c r="N429" s="87"/>
      <c r="O429" s="87"/>
      <c r="P429" s="87"/>
      <c r="Q429" s="86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7"/>
      <c r="M430" s="87"/>
      <c r="N430" s="87"/>
      <c r="O430" s="87"/>
      <c r="P430" s="87"/>
      <c r="Q430" s="86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7"/>
      <c r="M431" s="87"/>
      <c r="N431" s="87"/>
      <c r="O431" s="87"/>
      <c r="P431" s="87"/>
      <c r="Q431" s="86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7"/>
      <c r="M432" s="87"/>
      <c r="N432" s="87"/>
      <c r="O432" s="87"/>
      <c r="P432" s="87"/>
      <c r="Q432" s="86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IFERROR(__xludf.DUMMYFUNCTION("IMPORTRANGE(""https://docs.google.com/spreadsheets/d/1eHaY18a8A9IcSdp1K8H6x8fbOy06t2VsZHhMHf-1x7Y/edit?usp=sharing"",""แผน!HJ58"")"),0)</f>
        <v>0</v>
      </c>
      <c r="J433" s="622">
        <f t="shared" ref="J433:J434" si="285">J435+J437+J439</f>
        <v>0</v>
      </c>
      <c r="K433" s="264">
        <f t="shared" ref="K433:K434" ca="1" si="286">IF(I433&gt;0,J433*100/I433,0)</f>
        <v>0</v>
      </c>
      <c r="L433" s="87"/>
      <c r="M433" s="87"/>
      <c r="N433" s="87"/>
      <c r="O433" s="87"/>
      <c r="P433" s="87"/>
      <c r="Q433" s="86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IFERROR(__xludf.DUMMYFUNCTION("IMPORTRANGE(""https://docs.google.com/spreadsheets/d/1eHaY18a8A9IcSdp1K8H6x8fbOy06t2VsZHhMHf-1x7Y/edit?usp=sharing"",""แผน!HK58"")"),0)</f>
        <v>0</v>
      </c>
      <c r="J434" s="622">
        <f t="shared" si="285"/>
        <v>0</v>
      </c>
      <c r="K434" s="264">
        <f t="shared" ca="1" si="286"/>
        <v>0</v>
      </c>
      <c r="L434" s="87"/>
      <c r="M434" s="87"/>
      <c r="N434" s="87"/>
      <c r="O434" s="87"/>
      <c r="P434" s="87"/>
      <c r="Q434" s="86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7"/>
      <c r="M435" s="87"/>
      <c r="N435" s="87"/>
      <c r="O435" s="87"/>
      <c r="P435" s="87"/>
      <c r="Q435" s="86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7"/>
      <c r="M436" s="87"/>
      <c r="N436" s="87"/>
      <c r="O436" s="87"/>
      <c r="P436" s="87"/>
      <c r="Q436" s="86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7"/>
      <c r="M437" s="87"/>
      <c r="N437" s="87"/>
      <c r="O437" s="87"/>
      <c r="P437" s="87"/>
      <c r="Q437" s="86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7"/>
      <c r="M438" s="87"/>
      <c r="N438" s="87"/>
      <c r="O438" s="87"/>
      <c r="P438" s="87"/>
      <c r="Q438" s="86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7"/>
      <c r="M439" s="87"/>
      <c r="N439" s="87"/>
      <c r="O439" s="87"/>
      <c r="P439" s="87"/>
      <c r="Q439" s="86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7"/>
      <c r="M440" s="87"/>
      <c r="N440" s="87"/>
      <c r="O440" s="87"/>
      <c r="P440" s="87"/>
      <c r="Q440" s="86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IFERROR(__xludf.DUMMYFUNCTION("IMPORTRANGE(""https://docs.google.com/spreadsheets/d/1eHaY18a8A9IcSdp1K8H6x8fbOy06t2VsZHhMHf-1x7Y/edit?usp=sharing"",""แผน!HJ58"")"),0)</f>
        <v>0</v>
      </c>
      <c r="J441" s="622">
        <f t="shared" ref="J441:J442" si="287">J443+J445+J447+J453+J455</f>
        <v>0</v>
      </c>
      <c r="K441" s="264">
        <f t="shared" ref="K441:K442" ca="1" si="288">IF(I441&gt;0,J441*100/I441,0)</f>
        <v>0</v>
      </c>
      <c r="L441" s="87"/>
      <c r="M441" s="87"/>
      <c r="N441" s="87"/>
      <c r="O441" s="87"/>
      <c r="P441" s="87"/>
      <c r="Q441" s="86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IFERROR(__xludf.DUMMYFUNCTION("IMPORTRANGE(""https://docs.google.com/spreadsheets/d/1eHaY18a8A9IcSdp1K8H6x8fbOy06t2VsZHhMHf-1x7Y/edit?usp=sharing"",""แผน!HK58"")"),0)</f>
        <v>0</v>
      </c>
      <c r="J442" s="622">
        <f t="shared" si="287"/>
        <v>0</v>
      </c>
      <c r="K442" s="264">
        <f t="shared" ca="1" si="288"/>
        <v>0</v>
      </c>
      <c r="L442" s="87"/>
      <c r="M442" s="87"/>
      <c r="N442" s="87"/>
      <c r="O442" s="87"/>
      <c r="P442" s="87"/>
      <c r="Q442" s="86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7"/>
      <c r="M443" s="87"/>
      <c r="N443" s="87"/>
      <c r="O443" s="87"/>
      <c r="P443" s="87"/>
      <c r="Q443" s="86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7"/>
      <c r="M444" s="87"/>
      <c r="N444" s="87"/>
      <c r="O444" s="87"/>
      <c r="P444" s="87"/>
      <c r="Q444" s="86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7"/>
      <c r="M445" s="87"/>
      <c r="N445" s="87"/>
      <c r="O445" s="87"/>
      <c r="P445" s="87"/>
      <c r="Q445" s="86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7"/>
      <c r="M446" s="87"/>
      <c r="N446" s="87"/>
      <c r="O446" s="87"/>
      <c r="P446" s="87"/>
      <c r="Q446" s="86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89">J449+J451</f>
        <v>0</v>
      </c>
      <c r="K447" s="87"/>
      <c r="L447" s="87"/>
      <c r="M447" s="87"/>
      <c r="N447" s="87"/>
      <c r="O447" s="87"/>
      <c r="P447" s="87"/>
      <c r="Q447" s="86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89"/>
        <v>0</v>
      </c>
      <c r="K448" s="87"/>
      <c r="L448" s="87"/>
      <c r="M448" s="87"/>
      <c r="N448" s="87"/>
      <c r="O448" s="87"/>
      <c r="P448" s="87"/>
      <c r="Q448" s="86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7"/>
      <c r="M449" s="87"/>
      <c r="N449" s="87"/>
      <c r="O449" s="87"/>
      <c r="P449" s="87"/>
      <c r="Q449" s="86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7"/>
      <c r="M450" s="87"/>
      <c r="N450" s="87"/>
      <c r="O450" s="87"/>
      <c r="P450" s="87"/>
      <c r="Q450" s="86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7"/>
      <c r="M451" s="87"/>
      <c r="N451" s="87"/>
      <c r="O451" s="87"/>
      <c r="P451" s="87"/>
      <c r="Q451" s="86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7"/>
      <c r="M452" s="87"/>
      <c r="N452" s="87"/>
      <c r="O452" s="87"/>
      <c r="P452" s="87"/>
      <c r="Q452" s="86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7"/>
      <c r="M453" s="87"/>
      <c r="N453" s="87"/>
      <c r="O453" s="87"/>
      <c r="P453" s="87"/>
      <c r="Q453" s="86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7"/>
      <c r="M454" s="87"/>
      <c r="N454" s="87"/>
      <c r="O454" s="87"/>
      <c r="P454" s="87"/>
      <c r="Q454" s="86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7"/>
      <c r="M455" s="87"/>
      <c r="N455" s="87"/>
      <c r="O455" s="87"/>
      <c r="P455" s="87"/>
      <c r="Q455" s="86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7"/>
      <c r="M456" s="87"/>
      <c r="N456" s="87"/>
      <c r="O456" s="87"/>
      <c r="P456" s="87"/>
      <c r="Q456" s="86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0">I458</f>
        <v>0</v>
      </c>
      <c r="J457" s="622">
        <f t="shared" si="290"/>
        <v>0</v>
      </c>
      <c r="K457" s="264">
        <f t="shared" ref="K457:K459" ca="1" si="291">IF(I457&gt;0,J457*100/I457,0)</f>
        <v>0</v>
      </c>
      <c r="L457" s="87"/>
      <c r="M457" s="87"/>
      <c r="N457" s="87"/>
      <c r="O457" s="87"/>
      <c r="P457" s="87"/>
      <c r="Q457" s="86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IFERROR(__xludf.DUMMYFUNCTION("IMPORTRANGE(""https://docs.google.com/spreadsheets/d/1eHaY18a8A9IcSdp1K8H6x8fbOy06t2VsZHhMHf-1x7Y/edit?usp=sharing"",""แผน!HL58"")"),0)</f>
        <v>0</v>
      </c>
      <c r="J458" s="622">
        <f t="shared" ref="J458:J459" si="292">J460+J468+J474</f>
        <v>0</v>
      </c>
      <c r="K458" s="264">
        <f t="shared" ca="1" si="291"/>
        <v>0</v>
      </c>
      <c r="L458" s="87"/>
      <c r="M458" s="87"/>
      <c r="N458" s="87"/>
      <c r="O458" s="87"/>
      <c r="P458" s="87"/>
      <c r="Q458" s="86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IFERROR(__xludf.DUMMYFUNCTION("IMPORTRANGE(""https://docs.google.com/spreadsheets/d/1eHaY18a8A9IcSdp1K8H6x8fbOy06t2VsZHhMHf-1x7Y/edit?usp=sharing"",""แผน!HM58"")"),0)</f>
        <v>0</v>
      </c>
      <c r="J459" s="622">
        <f t="shared" si="292"/>
        <v>0</v>
      </c>
      <c r="K459" s="264">
        <f t="shared" ca="1" si="291"/>
        <v>0</v>
      </c>
      <c r="L459" s="87"/>
      <c r="M459" s="87"/>
      <c r="N459" s="87"/>
      <c r="O459" s="87"/>
      <c r="P459" s="87"/>
      <c r="Q459" s="86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3">J462+J464</f>
        <v>0</v>
      </c>
      <c r="K460" s="87"/>
      <c r="L460" s="87"/>
      <c r="M460" s="87"/>
      <c r="N460" s="87"/>
      <c r="O460" s="87"/>
      <c r="P460" s="87"/>
      <c r="Q460" s="86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3"/>
        <v>0</v>
      </c>
      <c r="K461" s="87"/>
      <c r="L461" s="87"/>
      <c r="M461" s="87"/>
      <c r="N461" s="87"/>
      <c r="O461" s="87"/>
      <c r="P461" s="87"/>
      <c r="Q461" s="86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7"/>
      <c r="M462" s="87"/>
      <c r="N462" s="87"/>
      <c r="O462" s="87"/>
      <c r="P462" s="87"/>
      <c r="Q462" s="86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7"/>
      <c r="M463" s="87"/>
      <c r="N463" s="87"/>
      <c r="O463" s="87"/>
      <c r="P463" s="87"/>
      <c r="Q463" s="86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7"/>
      <c r="M464" s="87"/>
      <c r="N464" s="87"/>
      <c r="O464" s="87"/>
      <c r="P464" s="87"/>
      <c r="Q464" s="86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7"/>
      <c r="M465" s="87"/>
      <c r="N465" s="87"/>
      <c r="O465" s="87"/>
      <c r="P465" s="87"/>
      <c r="Q465" s="86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7"/>
      <c r="M466" s="87"/>
      <c r="N466" s="87"/>
      <c r="O466" s="87"/>
      <c r="P466" s="87"/>
      <c r="Q466" s="86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7"/>
      <c r="M467" s="87"/>
      <c r="N467" s="87"/>
      <c r="O467" s="87"/>
      <c r="P467" s="87"/>
      <c r="Q467" s="86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4">J470+J472</f>
        <v>0</v>
      </c>
      <c r="K468" s="87"/>
      <c r="L468" s="87"/>
      <c r="M468" s="87"/>
      <c r="N468" s="87"/>
      <c r="O468" s="87"/>
      <c r="P468" s="87"/>
      <c r="Q468" s="86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4"/>
        <v>0</v>
      </c>
      <c r="K469" s="87"/>
      <c r="L469" s="87"/>
      <c r="M469" s="87"/>
      <c r="N469" s="87"/>
      <c r="O469" s="87"/>
      <c r="P469" s="87"/>
      <c r="Q469" s="86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7"/>
      <c r="M470" s="87"/>
      <c r="N470" s="87"/>
      <c r="O470" s="87"/>
      <c r="P470" s="87"/>
      <c r="Q470" s="86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7"/>
      <c r="M471" s="87"/>
      <c r="N471" s="87"/>
      <c r="O471" s="87"/>
      <c r="P471" s="87"/>
      <c r="Q471" s="86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7"/>
      <c r="M472" s="87"/>
      <c r="N472" s="87"/>
      <c r="O472" s="87"/>
      <c r="P472" s="87"/>
      <c r="Q472" s="86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7"/>
      <c r="M473" s="87"/>
      <c r="N473" s="87"/>
      <c r="O473" s="87"/>
      <c r="P473" s="87"/>
      <c r="Q473" s="86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7"/>
      <c r="M474" s="87"/>
      <c r="N474" s="87"/>
      <c r="O474" s="87"/>
      <c r="P474" s="87"/>
      <c r="Q474" s="86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7"/>
      <c r="M475" s="87"/>
      <c r="N475" s="87"/>
      <c r="O475" s="87"/>
      <c r="P475" s="87"/>
      <c r="Q475" s="86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5">IF(I476&gt;0,J476*100/I476,0)</f>
        <v>0</v>
      </c>
      <c r="L476" s="87"/>
      <c r="M476" s="87"/>
      <c r="N476" s="87"/>
      <c r="O476" s="87"/>
      <c r="P476" s="87"/>
      <c r="Q476" s="86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6">J479+J481</f>
        <v>0</v>
      </c>
      <c r="K477" s="264">
        <f t="shared" si="295"/>
        <v>0</v>
      </c>
      <c r="L477" s="87"/>
      <c r="M477" s="87"/>
      <c r="N477" s="87"/>
      <c r="O477" s="87"/>
      <c r="P477" s="87"/>
      <c r="Q477" s="86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6"/>
        <v>0</v>
      </c>
      <c r="K478" s="264">
        <f t="shared" si="295"/>
        <v>0</v>
      </c>
      <c r="L478" s="87"/>
      <c r="M478" s="87"/>
      <c r="N478" s="87"/>
      <c r="O478" s="87"/>
      <c r="P478" s="87"/>
      <c r="Q478" s="86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7"/>
      <c r="M479" s="87"/>
      <c r="N479" s="87"/>
      <c r="O479" s="87"/>
      <c r="P479" s="87"/>
      <c r="Q479" s="86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7"/>
      <c r="M480" s="87"/>
      <c r="N480" s="87"/>
      <c r="O480" s="87"/>
      <c r="P480" s="87"/>
      <c r="Q480" s="86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7"/>
      <c r="M481" s="87"/>
      <c r="N481" s="87"/>
      <c r="O481" s="87"/>
      <c r="P481" s="87"/>
      <c r="Q481" s="86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7"/>
      <c r="M482" s="87"/>
      <c r="N482" s="87"/>
      <c r="O482" s="87"/>
      <c r="P482" s="87"/>
      <c r="Q482" s="86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IFERROR(__xludf.DUMMYFUNCTION("IMPORTRANGE(""https://docs.google.com/spreadsheets/d/1eHaY18a8A9IcSdp1K8H6x8fbOy06t2VsZHhMHf-1x7Y/edit?usp=sharing"",""แผน!HN58"")"),0)</f>
        <v>0</v>
      </c>
      <c r="K483" s="87"/>
      <c r="L483" s="87"/>
      <c r="M483" s="87"/>
      <c r="N483" s="87"/>
      <c r="O483" s="87"/>
      <c r="P483" s="87"/>
      <c r="Q483" s="86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IFERROR(__xludf.DUMMYFUNCTION("IMPORTRANGE(""https://docs.google.com/spreadsheets/d/1eHaY18a8A9IcSdp1K8H6x8fbOy06t2VsZHhMHf-1x7Y/edit?usp=sharing"",""แผน!HO58"")"),0)</f>
        <v>0</v>
      </c>
      <c r="K484" s="87"/>
      <c r="L484" s="87"/>
      <c r="M484" s="87"/>
      <c r="N484" s="87"/>
      <c r="O484" s="87"/>
      <c r="P484" s="87"/>
      <c r="Q484" s="86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7">J481</f>
        <v>0</v>
      </c>
      <c r="J485" s="622">
        <f t="shared" ref="J485:J486" si="298">J487+J489+J491</f>
        <v>0</v>
      </c>
      <c r="K485" s="264">
        <f t="shared" ref="K485:K486" si="299">IF(I485&gt;0,J485*100/I485,0)</f>
        <v>0</v>
      </c>
      <c r="L485" s="87"/>
      <c r="M485" s="87"/>
      <c r="N485" s="87"/>
      <c r="O485" s="87"/>
      <c r="P485" s="87"/>
      <c r="Q485" s="86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7"/>
        <v>0</v>
      </c>
      <c r="J486" s="622">
        <f t="shared" si="298"/>
        <v>0</v>
      </c>
      <c r="K486" s="264">
        <f t="shared" si="299"/>
        <v>0</v>
      </c>
      <c r="L486" s="87"/>
      <c r="M486" s="87"/>
      <c r="N486" s="87"/>
      <c r="O486" s="87"/>
      <c r="P486" s="87"/>
      <c r="Q486" s="86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7"/>
      <c r="M487" s="87"/>
      <c r="N487" s="87"/>
      <c r="O487" s="87"/>
      <c r="P487" s="87"/>
      <c r="Q487" s="86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7"/>
      <c r="M488" s="87"/>
      <c r="N488" s="87"/>
      <c r="O488" s="87"/>
      <c r="P488" s="87"/>
      <c r="Q488" s="86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7"/>
      <c r="M489" s="87"/>
      <c r="N489" s="87"/>
      <c r="O489" s="87"/>
      <c r="P489" s="87"/>
      <c r="Q489" s="86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7"/>
      <c r="M490" s="87"/>
      <c r="N490" s="87"/>
      <c r="O490" s="87"/>
      <c r="P490" s="87"/>
      <c r="Q490" s="86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7"/>
      <c r="M491" s="87"/>
      <c r="N491" s="87"/>
      <c r="O491" s="87"/>
      <c r="P491" s="87"/>
      <c r="Q491" s="86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8"/>
      <c r="M492" s="98"/>
      <c r="N492" s="98"/>
      <c r="O492" s="98"/>
      <c r="P492" s="98"/>
      <c r="Q492" s="97"/>
      <c r="R492" s="98"/>
      <c r="S492" s="98"/>
      <c r="T492" s="98"/>
      <c r="U492" s="98"/>
    </row>
    <row r="493" spans="1:21" ht="19.5" hidden="1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0">I504</f>
        <v>0</v>
      </c>
      <c r="J493" s="617">
        <f t="shared" ca="1" si="300"/>
        <v>0</v>
      </c>
      <c r="K493" s="611">
        <f ca="1">IF(I493&gt;0,J493*100/I493,0)</f>
        <v>0</v>
      </c>
      <c r="L493" s="530"/>
      <c r="M493" s="530"/>
      <c r="N493" s="530"/>
      <c r="O493" s="530"/>
      <c r="P493" s="530"/>
      <c r="Q493" s="529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264">
        <f t="shared" ref="L494:N494" si="301">L495+L496</f>
        <v>0</v>
      </c>
      <c r="M494" s="264">
        <f t="shared" si="301"/>
        <v>0</v>
      </c>
      <c r="N494" s="264">
        <f t="shared" si="301"/>
        <v>0</v>
      </c>
      <c r="O494" s="264">
        <f t="shared" ref="O494:O502" si="302">IF(L494&gt;0,N494*100/L494,0)</f>
        <v>0</v>
      </c>
      <c r="P494" s="264">
        <f t="shared" ref="P494:P502" si="303">IF(M494&gt;0,N494*100/M494,0)</f>
        <v>0</v>
      </c>
      <c r="Q494" s="1257">
        <f t="shared" ref="Q494:S494" ca="1" si="304">Q495+Q496</f>
        <v>0</v>
      </c>
      <c r="R494" s="264">
        <f t="shared" ca="1" si="304"/>
        <v>0</v>
      </c>
      <c r="S494" s="264">
        <f t="shared" ca="1" si="304"/>
        <v>0</v>
      </c>
      <c r="T494" s="264">
        <f t="shared" ref="T494:T502" ca="1" si="305">IF(Q494&gt;0,S494*100/Q494,0)</f>
        <v>0</v>
      </c>
      <c r="U494" s="264">
        <f t="shared" ref="U494:U502" ca="1" si="306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7">
        <f t="shared" ref="L495:N496" si="307">L498+L501</f>
        <v>0</v>
      </c>
      <c r="M495" s="77">
        <f t="shared" si="307"/>
        <v>0</v>
      </c>
      <c r="N495" s="77">
        <f t="shared" si="307"/>
        <v>0</v>
      </c>
      <c r="O495" s="77">
        <f t="shared" si="302"/>
        <v>0</v>
      </c>
      <c r="P495" s="77">
        <f t="shared" si="303"/>
        <v>0</v>
      </c>
      <c r="Q495" s="76">
        <f t="shared" ref="Q495:S496" si="308">Q498+Q501</f>
        <v>0</v>
      </c>
      <c r="R495" s="77">
        <f t="shared" si="308"/>
        <v>0</v>
      </c>
      <c r="S495" s="77">
        <f t="shared" si="308"/>
        <v>0</v>
      </c>
      <c r="T495" s="77">
        <f t="shared" si="305"/>
        <v>0</v>
      </c>
      <c r="U495" s="77">
        <f t="shared" si="306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4">
        <f t="shared" si="307"/>
        <v>0</v>
      </c>
      <c r="M496" s="74">
        <f t="shared" si="307"/>
        <v>0</v>
      </c>
      <c r="N496" s="74">
        <f t="shared" si="307"/>
        <v>0</v>
      </c>
      <c r="O496" s="74">
        <f t="shared" si="302"/>
        <v>0</v>
      </c>
      <c r="P496" s="74">
        <f t="shared" si="303"/>
        <v>0</v>
      </c>
      <c r="Q496" s="73">
        <f t="shared" ca="1" si="308"/>
        <v>0</v>
      </c>
      <c r="R496" s="74">
        <f t="shared" ca="1" si="308"/>
        <v>0</v>
      </c>
      <c r="S496" s="74">
        <f t="shared" ca="1" si="308"/>
        <v>0</v>
      </c>
      <c r="T496" s="74">
        <f t="shared" ca="1" si="305"/>
        <v>0</v>
      </c>
      <c r="U496" s="74">
        <f t="shared" ca="1" si="306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4">
        <f t="shared" ref="L497:N497" si="309">L498+L499</f>
        <v>0</v>
      </c>
      <c r="M497" s="74">
        <f t="shared" si="309"/>
        <v>0</v>
      </c>
      <c r="N497" s="74">
        <f t="shared" si="309"/>
        <v>0</v>
      </c>
      <c r="O497" s="74">
        <f t="shared" si="302"/>
        <v>0</v>
      </c>
      <c r="P497" s="74">
        <f t="shared" si="303"/>
        <v>0</v>
      </c>
      <c r="Q497" s="73">
        <f t="shared" ref="Q497:S497" ca="1" si="310">Q498+Q499</f>
        <v>0</v>
      </c>
      <c r="R497" s="74">
        <f t="shared" ca="1" si="310"/>
        <v>0</v>
      </c>
      <c r="S497" s="74">
        <f t="shared" ca="1" si="310"/>
        <v>0</v>
      </c>
      <c r="T497" s="74">
        <f t="shared" ca="1" si="305"/>
        <v>0</v>
      </c>
      <c r="U497" s="74">
        <f t="shared" ca="1" si="306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7">
        <v>0</v>
      </c>
      <c r="M498" s="77">
        <v>0</v>
      </c>
      <c r="N498" s="77">
        <v>0</v>
      </c>
      <c r="O498" s="77">
        <f t="shared" si="302"/>
        <v>0</v>
      </c>
      <c r="P498" s="77">
        <f t="shared" si="303"/>
        <v>0</v>
      </c>
      <c r="Q498" s="76">
        <v>0</v>
      </c>
      <c r="R498" s="77">
        <v>0</v>
      </c>
      <c r="S498" s="77">
        <v>0</v>
      </c>
      <c r="T498" s="77">
        <f t="shared" si="305"/>
        <v>0</v>
      </c>
      <c r="U498" s="77">
        <f t="shared" si="306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4">
        <v>0</v>
      </c>
      <c r="M499" s="74">
        <v>0</v>
      </c>
      <c r="N499" s="74">
        <v>0</v>
      </c>
      <c r="O499" s="74">
        <f t="shared" si="302"/>
        <v>0</v>
      </c>
      <c r="P499" s="74">
        <f t="shared" si="303"/>
        <v>0</v>
      </c>
      <c r="Q499" s="73">
        <f ca="1">IFERROR(__xludf.DUMMYFUNCTION("IMPORTRANGE(""https://docs.google.com/spreadsheets/d/1ItG2mGa2ceCfYo0BwxsXqNm01IGEUdYcSSLTEv9YCik/edit?usp=sharing"",""เบิกจ่ายกองทุน!X58"")"),0)</f>
        <v>0</v>
      </c>
      <c r="R499" s="74">
        <f ca="1">IFERROR(__xludf.DUMMYFUNCTION("IMPORTRANGE(""https://docs.google.com/spreadsheets/d/1ItG2mGa2ceCfYo0BwxsXqNm01IGEUdYcSSLTEv9YCik/edit?usp=sharing"",""เบิกจ่ายกองทุน!Y58"")"),0)</f>
        <v>0</v>
      </c>
      <c r="S499" s="74">
        <f ca="1">IFERROR(__xludf.DUMMYFUNCTION("IMPORTRANGE(""https://docs.google.com/spreadsheets/d/1ItG2mGa2ceCfYo0BwxsXqNm01IGEUdYcSSLTEv9YCik/edit?usp=sharing"",""เบิกจ่ายกองทุน!Z58"")"),0)</f>
        <v>0</v>
      </c>
      <c r="T499" s="74">
        <f t="shared" ca="1" si="305"/>
        <v>0</v>
      </c>
      <c r="U499" s="74">
        <f t="shared" ca="1" si="306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4">
        <f t="shared" ref="L500:N500" si="311">L501+L502</f>
        <v>0</v>
      </c>
      <c r="M500" s="74">
        <f t="shared" si="311"/>
        <v>0</v>
      </c>
      <c r="N500" s="74">
        <f t="shared" si="311"/>
        <v>0</v>
      </c>
      <c r="O500" s="74">
        <f t="shared" si="302"/>
        <v>0</v>
      </c>
      <c r="P500" s="74">
        <f t="shared" si="303"/>
        <v>0</v>
      </c>
      <c r="Q500" s="73">
        <f t="shared" ref="Q500:S500" si="312">Q501+Q502</f>
        <v>0</v>
      </c>
      <c r="R500" s="74">
        <f t="shared" si="312"/>
        <v>0</v>
      </c>
      <c r="S500" s="74">
        <f t="shared" si="312"/>
        <v>0</v>
      </c>
      <c r="T500" s="74">
        <f t="shared" si="305"/>
        <v>0</v>
      </c>
      <c r="U500" s="74">
        <f t="shared" si="306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7">
        <v>0</v>
      </c>
      <c r="M501" s="77">
        <v>0</v>
      </c>
      <c r="N501" s="77">
        <v>0</v>
      </c>
      <c r="O501" s="77">
        <f t="shared" si="302"/>
        <v>0</v>
      </c>
      <c r="P501" s="77">
        <f t="shared" si="303"/>
        <v>0</v>
      </c>
      <c r="Q501" s="76">
        <v>0</v>
      </c>
      <c r="R501" s="77">
        <v>0</v>
      </c>
      <c r="S501" s="77">
        <v>0</v>
      </c>
      <c r="T501" s="77">
        <f t="shared" si="305"/>
        <v>0</v>
      </c>
      <c r="U501" s="77">
        <f t="shared" si="306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4">
        <v>0</v>
      </c>
      <c r="M502" s="74">
        <v>0</v>
      </c>
      <c r="N502" s="74">
        <v>0</v>
      </c>
      <c r="O502" s="74">
        <f t="shared" si="302"/>
        <v>0</v>
      </c>
      <c r="P502" s="74">
        <f t="shared" si="303"/>
        <v>0</v>
      </c>
      <c r="Q502" s="73">
        <v>0</v>
      </c>
      <c r="R502" s="74">
        <v>0</v>
      </c>
      <c r="S502" s="74">
        <v>0</v>
      </c>
      <c r="T502" s="74">
        <f t="shared" si="305"/>
        <v>0</v>
      </c>
      <c r="U502" s="74">
        <f t="shared" si="306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9"/>
      <c r="M503" s="229"/>
      <c r="N503" s="229"/>
      <c r="O503" s="229"/>
      <c r="P503" s="229"/>
      <c r="Q503" s="228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IFERROR(__xludf.DUMMYFUNCTION("IMPORTRANGE(""https://docs.google.com/spreadsheets/d/1eHaY18a8A9IcSdp1K8H6x8fbOy06t2VsZHhMHf-1x7Y/edit?usp=sharing"",""แผน!GX58"")"),0)</f>
        <v>0</v>
      </c>
      <c r="J504" s="622">
        <f ca="1">IF(AND(J505=I505,J506=I506,J507=I507,J508=I508),I504,0)</f>
        <v>0</v>
      </c>
      <c r="K504" s="264">
        <f t="shared" ref="K504:K510" ca="1" si="313">IF(I504&gt;0,J504*100/I504,0)</f>
        <v>0</v>
      </c>
      <c r="L504" s="87"/>
      <c r="M504" s="87"/>
      <c r="N504" s="87"/>
      <c r="O504" s="87"/>
      <c r="P504" s="87"/>
      <c r="Q504" s="86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IFERROR(__xludf.DUMMYFUNCTION("IMPORTRANGE(""https://docs.google.com/spreadsheets/d/1eHaY18a8A9IcSdp1K8H6x8fbOy06t2VsZHhMHf-1x7Y/edit?usp=sharing"",""แผน!GY58"")"),0)</f>
        <v>0</v>
      </c>
      <c r="J505" s="294">
        <v>0</v>
      </c>
      <c r="K505" s="74">
        <f t="shared" ca="1" si="313"/>
        <v>0</v>
      </c>
      <c r="L505" s="87"/>
      <c r="M505" s="87"/>
      <c r="N505" s="87"/>
      <c r="O505" s="87"/>
      <c r="P505" s="87"/>
      <c r="Q505" s="86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IFERROR(__xludf.DUMMYFUNCTION("IMPORTRANGE(""https://docs.google.com/spreadsheets/d/1eHaY18a8A9IcSdp1K8H6x8fbOy06t2VsZHhMHf-1x7Y/edit?usp=sharing"",""แผน!GZ58"")"),0)</f>
        <v>0</v>
      </c>
      <c r="J506" s="294">
        <v>0</v>
      </c>
      <c r="K506" s="74">
        <f t="shared" ca="1" si="313"/>
        <v>0</v>
      </c>
      <c r="L506" s="87"/>
      <c r="M506" s="87"/>
      <c r="N506" s="87"/>
      <c r="O506" s="87"/>
      <c r="P506" s="87"/>
      <c r="Q506" s="86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IFERROR(__xludf.DUMMYFUNCTION("IMPORTRANGE(""https://docs.google.com/spreadsheets/d/1eHaY18a8A9IcSdp1K8H6x8fbOy06t2VsZHhMHf-1x7Y/edit?usp=sharing"",""แผน!HA58"")"),0)</f>
        <v>0</v>
      </c>
      <c r="J507" s="294">
        <v>0</v>
      </c>
      <c r="K507" s="74">
        <f t="shared" ca="1" si="313"/>
        <v>0</v>
      </c>
      <c r="L507" s="87"/>
      <c r="M507" s="87"/>
      <c r="N507" s="87"/>
      <c r="O507" s="87"/>
      <c r="P507" s="87"/>
      <c r="Q507" s="86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IFERROR(__xludf.DUMMYFUNCTION("IMPORTRANGE(""https://docs.google.com/spreadsheets/d/1eHaY18a8A9IcSdp1K8H6x8fbOy06t2VsZHhMHf-1x7Y/edit?usp=sharing"",""แผน!HB58"")"),0)</f>
        <v>0</v>
      </c>
      <c r="J508" s="294">
        <v>0</v>
      </c>
      <c r="K508" s="74">
        <f t="shared" ca="1" si="313"/>
        <v>0</v>
      </c>
      <c r="L508" s="87"/>
      <c r="M508" s="87"/>
      <c r="N508" s="87"/>
      <c r="O508" s="87"/>
      <c r="P508" s="87"/>
      <c r="Q508" s="86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3"/>
        <v>0</v>
      </c>
      <c r="L509" s="87"/>
      <c r="M509" s="87"/>
      <c r="N509" s="87"/>
      <c r="O509" s="87"/>
      <c r="P509" s="87"/>
      <c r="Q509" s="86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IFERROR(__xludf.DUMMYFUNCTION("IMPORTRANGE(""https://docs.google.com/spreadsheets/d/1eHaY18a8A9IcSdp1K8H6x8fbOy06t2VsZHhMHf-1x7Y/edit?usp=sharing"",""แผน!HC58"")"),0)</f>
        <v>0</v>
      </c>
      <c r="J510" s="761">
        <v>0</v>
      </c>
      <c r="K510" s="182">
        <f t="shared" ca="1" si="313"/>
        <v>0</v>
      </c>
      <c r="L510" s="98"/>
      <c r="M510" s="98"/>
      <c r="N510" s="98"/>
      <c r="O510" s="98"/>
      <c r="P510" s="98"/>
      <c r="Q510" s="97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8"/>
      <c r="I511" s="1200"/>
      <c r="J511" s="1200"/>
      <c r="K511" s="1201"/>
      <c r="L511" s="1201"/>
      <c r="M511" s="1201"/>
      <c r="N511" s="1201"/>
      <c r="O511" s="1201"/>
      <c r="P511" s="1259"/>
      <c r="Q511" s="644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204"/>
      <c r="I512" s="1205"/>
      <c r="J512" s="1205"/>
      <c r="K512" s="1206"/>
      <c r="L512" s="1206"/>
      <c r="M512" s="1206"/>
      <c r="N512" s="1206"/>
      <c r="O512" s="1206"/>
      <c r="P512" s="1206"/>
      <c r="Q512" s="652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1001" t="s">
        <v>61</v>
      </c>
      <c r="I513" s="988">
        <f t="shared" ref="I513:J513" si="314">I525</f>
        <v>0</v>
      </c>
      <c r="J513" s="988">
        <f t="shared" si="314"/>
        <v>0</v>
      </c>
      <c r="K513" s="989">
        <f>IF(I513&gt;0,J513*100/I513,0)</f>
        <v>0</v>
      </c>
      <c r="L513" s="664"/>
      <c r="M513" s="664"/>
      <c r="N513" s="664"/>
      <c r="O513" s="664"/>
      <c r="P513" s="664"/>
      <c r="Q513" s="663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8">
        <f t="shared" ref="L514:N514" ca="1" si="315">L515+L516</f>
        <v>0</v>
      </c>
      <c r="M514" s="1258">
        <f t="shared" ca="1" si="315"/>
        <v>0</v>
      </c>
      <c r="N514" s="1258">
        <f t="shared" ca="1" si="315"/>
        <v>0</v>
      </c>
      <c r="O514" s="1258">
        <f t="shared" ref="O514:O522" ca="1" si="316">IF(L514&gt;0,N514*100/L514,0)</f>
        <v>0</v>
      </c>
      <c r="P514" s="1258">
        <f t="shared" ref="P514:P522" ca="1" si="317">IF(M514&gt;0,N514*100/M514,0)</f>
        <v>0</v>
      </c>
      <c r="Q514" s="1257">
        <f t="shared" ref="Q514:S514" si="318">Q515+Q516</f>
        <v>0</v>
      </c>
      <c r="R514" s="264">
        <f t="shared" si="318"/>
        <v>0</v>
      </c>
      <c r="S514" s="264">
        <f t="shared" si="318"/>
        <v>0</v>
      </c>
      <c r="T514" s="264">
        <f t="shared" ref="T514:T522" si="319">IF(Q514&gt;0,S514*100/Q514,0)</f>
        <v>0</v>
      </c>
      <c r="U514" s="264">
        <f t="shared" ref="U514:U522" si="320">IF(R514&gt;0,S514*100/R514,0)</f>
        <v>0</v>
      </c>
    </row>
    <row r="515" spans="1:21" ht="18.75" hidden="1" x14ac:dyDescent="0.25">
      <c r="A515" s="257"/>
      <c r="B515" s="269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7">
        <f t="shared" ref="L515:N516" si="321">L518+L521</f>
        <v>0</v>
      </c>
      <c r="M515" s="77">
        <f t="shared" si="321"/>
        <v>0</v>
      </c>
      <c r="N515" s="77">
        <f t="shared" si="321"/>
        <v>0</v>
      </c>
      <c r="O515" s="77">
        <f t="shared" si="316"/>
        <v>0</v>
      </c>
      <c r="P515" s="77">
        <f t="shared" si="317"/>
        <v>0</v>
      </c>
      <c r="Q515" s="76">
        <f t="shared" ref="Q515:S516" si="322">Q518+Q521</f>
        <v>0</v>
      </c>
      <c r="R515" s="77">
        <f t="shared" si="322"/>
        <v>0</v>
      </c>
      <c r="S515" s="77">
        <f t="shared" si="322"/>
        <v>0</v>
      </c>
      <c r="T515" s="77">
        <f t="shared" si="319"/>
        <v>0</v>
      </c>
      <c r="U515" s="77">
        <f t="shared" si="320"/>
        <v>0</v>
      </c>
    </row>
    <row r="516" spans="1:21" ht="18.75" hidden="1" x14ac:dyDescent="0.25">
      <c r="A516" s="257"/>
      <c r="B516" s="258"/>
      <c r="C516" s="269"/>
      <c r="D516" s="258"/>
      <c r="E516" s="775" t="s">
        <v>21</v>
      </c>
      <c r="F516" s="258"/>
      <c r="G516" s="261"/>
      <c r="H516" s="266" t="s">
        <v>14</v>
      </c>
      <c r="I516" s="263"/>
      <c r="J516" s="263"/>
      <c r="K516" s="87"/>
      <c r="L516" s="77">
        <f t="shared" ca="1" si="321"/>
        <v>0</v>
      </c>
      <c r="M516" s="77">
        <f t="shared" ca="1" si="321"/>
        <v>0</v>
      </c>
      <c r="N516" s="77">
        <f t="shared" ca="1" si="321"/>
        <v>0</v>
      </c>
      <c r="O516" s="77">
        <f t="shared" ca="1" si="316"/>
        <v>0</v>
      </c>
      <c r="P516" s="77">
        <f t="shared" ca="1" si="317"/>
        <v>0</v>
      </c>
      <c r="Q516" s="73">
        <f t="shared" si="322"/>
        <v>0</v>
      </c>
      <c r="R516" s="74">
        <f t="shared" si="322"/>
        <v>0</v>
      </c>
      <c r="S516" s="74">
        <f t="shared" si="322"/>
        <v>0</v>
      </c>
      <c r="T516" s="74">
        <f t="shared" si="319"/>
        <v>0</v>
      </c>
      <c r="U516" s="74">
        <f t="shared" si="320"/>
        <v>0</v>
      </c>
    </row>
    <row r="517" spans="1:21" ht="18.75" hidden="1" x14ac:dyDescent="0.25">
      <c r="A517" s="257"/>
      <c r="B517" s="258"/>
      <c r="C517" s="269"/>
      <c r="D517" s="991" t="s">
        <v>22</v>
      </c>
      <c r="E517" s="269"/>
      <c r="F517" s="258"/>
      <c r="G517" s="261"/>
      <c r="H517" s="273" t="s">
        <v>14</v>
      </c>
      <c r="I517" s="272"/>
      <c r="J517" s="272"/>
      <c r="K517" s="229"/>
      <c r="L517" s="77">
        <f t="shared" ref="L517:N517" ca="1" si="323">L518+L519</f>
        <v>0</v>
      </c>
      <c r="M517" s="77">
        <f t="shared" ca="1" si="323"/>
        <v>0</v>
      </c>
      <c r="N517" s="77">
        <f t="shared" ca="1" si="323"/>
        <v>0</v>
      </c>
      <c r="O517" s="77">
        <f t="shared" ca="1" si="316"/>
        <v>0</v>
      </c>
      <c r="P517" s="77">
        <f t="shared" ca="1" si="317"/>
        <v>0</v>
      </c>
      <c r="Q517" s="73">
        <f t="shared" ref="Q517:S517" si="324">Q518+Q519</f>
        <v>0</v>
      </c>
      <c r="R517" s="74">
        <f t="shared" si="324"/>
        <v>0</v>
      </c>
      <c r="S517" s="74">
        <f t="shared" si="324"/>
        <v>0</v>
      </c>
      <c r="T517" s="74">
        <f t="shared" si="319"/>
        <v>0</v>
      </c>
      <c r="U517" s="74">
        <f t="shared" si="320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7">
        <v>0</v>
      </c>
      <c r="M518" s="77">
        <v>0</v>
      </c>
      <c r="N518" s="77">
        <v>0</v>
      </c>
      <c r="O518" s="77">
        <f t="shared" si="316"/>
        <v>0</v>
      </c>
      <c r="P518" s="77">
        <f t="shared" si="317"/>
        <v>0</v>
      </c>
      <c r="Q518" s="76">
        <v>0</v>
      </c>
      <c r="R518" s="77">
        <v>0</v>
      </c>
      <c r="S518" s="77">
        <v>0</v>
      </c>
      <c r="T518" s="77">
        <f t="shared" si="319"/>
        <v>0</v>
      </c>
      <c r="U518" s="77">
        <f t="shared" si="320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7">
        <f ca="1">IFERROR(__xludf.DUMMYFUNCTION("IMPORTRANGE(""https://docs.google.com/spreadsheets/d/1-uDff_7J0KD5mKrp0Vvzr7lt3OU09vwQwhkpOPPYv2Y/edit?usp=sharing"",""งบพรบ!FM58"")"),0)</f>
        <v>0</v>
      </c>
      <c r="M519" s="77">
        <f ca="1">IFERROR(__xludf.DUMMYFUNCTION("IMPORTRANGE(""https://docs.google.com/spreadsheets/d/1-uDff_7J0KD5mKrp0Vvzr7lt3OU09vwQwhkpOPPYv2Y/edit?usp=sharing"",""งบพรบ!FR58"")"),0)</f>
        <v>0</v>
      </c>
      <c r="N519" s="77">
        <f ca="1">IFERROR(__xludf.DUMMYFUNCTION("IMPORTRANGE(""https://docs.google.com/spreadsheets/d/1-uDff_7J0KD5mKrp0Vvzr7lt3OU09vwQwhkpOPPYv2Y/edit?usp=sharing"",""งบพรบ!FT58"")"),0)</f>
        <v>0</v>
      </c>
      <c r="O519" s="77">
        <f t="shared" ca="1" si="316"/>
        <v>0</v>
      </c>
      <c r="P519" s="77">
        <f t="shared" ca="1" si="317"/>
        <v>0</v>
      </c>
      <c r="Q519" s="73">
        <v>0</v>
      </c>
      <c r="R519" s="74">
        <v>0</v>
      </c>
      <c r="S519" s="74">
        <v>0</v>
      </c>
      <c r="T519" s="74">
        <f t="shared" si="319"/>
        <v>0</v>
      </c>
      <c r="U519" s="74">
        <f t="shared" si="320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7">
        <f t="shared" ref="L520:N520" ca="1" si="325">L521+L522</f>
        <v>0</v>
      </c>
      <c r="M520" s="77">
        <f t="shared" ca="1" si="325"/>
        <v>0</v>
      </c>
      <c r="N520" s="77">
        <f t="shared" ca="1" si="325"/>
        <v>0</v>
      </c>
      <c r="O520" s="77">
        <f t="shared" ca="1" si="316"/>
        <v>0</v>
      </c>
      <c r="P520" s="77">
        <f t="shared" ca="1" si="317"/>
        <v>0</v>
      </c>
      <c r="Q520" s="73">
        <f t="shared" ref="Q520:S520" si="326">Q521+Q522</f>
        <v>0</v>
      </c>
      <c r="R520" s="74">
        <f t="shared" si="326"/>
        <v>0</v>
      </c>
      <c r="S520" s="74">
        <f t="shared" si="326"/>
        <v>0</v>
      </c>
      <c r="T520" s="74">
        <f t="shared" si="319"/>
        <v>0</v>
      </c>
      <c r="U520" s="74">
        <f t="shared" si="320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7">
        <v>0</v>
      </c>
      <c r="M521" s="77">
        <v>0</v>
      </c>
      <c r="N521" s="77">
        <v>0</v>
      </c>
      <c r="O521" s="77">
        <f t="shared" si="316"/>
        <v>0</v>
      </c>
      <c r="P521" s="77">
        <f t="shared" si="317"/>
        <v>0</v>
      </c>
      <c r="Q521" s="76">
        <v>0</v>
      </c>
      <c r="R521" s="77">
        <v>0</v>
      </c>
      <c r="S521" s="77">
        <v>0</v>
      </c>
      <c r="T521" s="77">
        <f t="shared" si="319"/>
        <v>0</v>
      </c>
      <c r="U521" s="77">
        <f t="shared" si="320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7">
        <f ca="1">IFERROR(__xludf.DUMMYFUNCTION("IMPORTRANGE(""https://docs.google.com/spreadsheets/d/1-uDff_7J0KD5mKrp0Vvzr7lt3OU09vwQwhkpOPPYv2Y/edit?usp=sharing"",""งบพรบ!FP58"")"),0)</f>
        <v>0</v>
      </c>
      <c r="M522" s="77">
        <f ca="1">IFERROR(__xludf.DUMMYFUNCTION("IMPORTRANGE(""https://docs.google.com/spreadsheets/d/1-uDff_7J0KD5mKrp0Vvzr7lt3OU09vwQwhkpOPPYv2Y/edit?usp=sharing"",""งบพรบ!FS58"")"),0)</f>
        <v>0</v>
      </c>
      <c r="N522" s="77">
        <f ca="1">IFERROR(__xludf.DUMMYFUNCTION("IMPORTRANGE(""https://docs.google.com/spreadsheets/d/1-uDff_7J0KD5mKrp0Vvzr7lt3OU09vwQwhkpOPPYv2Y/edit?usp=sharing"",""งบพรบ!FU58"")"),0)</f>
        <v>0</v>
      </c>
      <c r="O522" s="77">
        <f t="shared" ca="1" si="316"/>
        <v>0</v>
      </c>
      <c r="P522" s="77">
        <f t="shared" ca="1" si="317"/>
        <v>0</v>
      </c>
      <c r="Q522" s="73">
        <v>0</v>
      </c>
      <c r="R522" s="74">
        <v>0</v>
      </c>
      <c r="S522" s="74">
        <v>0</v>
      </c>
      <c r="T522" s="74">
        <f t="shared" si="319"/>
        <v>0</v>
      </c>
      <c r="U522" s="74">
        <f t="shared" si="320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7"/>
      <c r="M523" s="87"/>
      <c r="N523" s="87"/>
      <c r="O523" s="229"/>
      <c r="P523" s="229"/>
      <c r="Q523" s="86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7">IF(I524&gt;0,J524*100/I524,0)</f>
        <v>0</v>
      </c>
      <c r="L524" s="87"/>
      <c r="M524" s="87"/>
      <c r="N524" s="87"/>
      <c r="O524" s="87"/>
      <c r="P524" s="87"/>
      <c r="Q524" s="86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7"/>
        <v>0</v>
      </c>
      <c r="L525" s="98"/>
      <c r="M525" s="98"/>
      <c r="N525" s="98"/>
      <c r="O525" s="98"/>
      <c r="P525" s="98"/>
      <c r="Q525" s="86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677"/>
      <c r="M526" s="677"/>
      <c r="N526" s="677"/>
      <c r="O526" s="677"/>
      <c r="P526" s="677"/>
      <c r="Q526" s="597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6"/>
      <c r="M527" s="596"/>
      <c r="N527" s="596"/>
      <c r="O527" s="596"/>
      <c r="P527" s="596"/>
      <c r="Q527" s="597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6"/>
      <c r="M528" s="596"/>
      <c r="N528" s="596"/>
      <c r="O528" s="596"/>
      <c r="P528" s="596"/>
      <c r="Q528" s="597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6"/>
      <c r="M529" s="596"/>
      <c r="N529" s="596"/>
      <c r="O529" s="596"/>
      <c r="P529" s="596"/>
      <c r="Q529" s="597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6"/>
      <c r="M530" s="596"/>
      <c r="N530" s="596"/>
      <c r="O530" s="596"/>
      <c r="P530" s="596"/>
      <c r="Q530" s="597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6"/>
      <c r="M531" s="596"/>
      <c r="N531" s="596"/>
      <c r="O531" s="596"/>
      <c r="P531" s="596"/>
      <c r="Q531" s="597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6"/>
      <c r="M532" s="596"/>
      <c r="N532" s="596"/>
      <c r="O532" s="596"/>
      <c r="P532" s="596"/>
      <c r="Q532" s="597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1"/>
      <c r="M533" s="601"/>
      <c r="N533" s="601"/>
      <c r="O533" s="601"/>
      <c r="P533" s="601"/>
      <c r="Q533" s="602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8">I546</f>
        <v>0</v>
      </c>
      <c r="J534" s="1002">
        <f t="shared" si="328"/>
        <v>0</v>
      </c>
      <c r="K534" s="688">
        <f>IF(I534&gt;0,J534*100/I534,0)</f>
        <v>0</v>
      </c>
      <c r="L534" s="664"/>
      <c r="M534" s="664"/>
      <c r="N534" s="664"/>
      <c r="O534" s="664"/>
      <c r="P534" s="664"/>
      <c r="Q534" s="663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264">
        <f t="shared" ref="L535:N535" si="329">L536+L537</f>
        <v>0</v>
      </c>
      <c r="M535" s="264">
        <f t="shared" si="329"/>
        <v>0</v>
      </c>
      <c r="N535" s="264">
        <f t="shared" si="329"/>
        <v>0</v>
      </c>
      <c r="O535" s="264">
        <f t="shared" ref="O535:O543" si="330">IF(L535&gt;0,N535*100/L535,0)</f>
        <v>0</v>
      </c>
      <c r="P535" s="264">
        <f t="shared" ref="P535:P543" si="331">IF(M535&gt;0,N535*100/M535,0)</f>
        <v>0</v>
      </c>
      <c r="Q535" s="1257">
        <f t="shared" ref="Q535:S535" si="332">Q536+Q537</f>
        <v>0</v>
      </c>
      <c r="R535" s="264">
        <f t="shared" si="332"/>
        <v>0</v>
      </c>
      <c r="S535" s="264">
        <f t="shared" si="332"/>
        <v>0</v>
      </c>
      <c r="T535" s="264">
        <f t="shared" ref="T535:T543" si="333">IF(Q535&gt;0,S535*100/Q535,0)</f>
        <v>0</v>
      </c>
      <c r="U535" s="264">
        <f t="shared" ref="U535:U543" si="334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7">
        <f t="shared" ref="L536:N537" si="335">L539+L542</f>
        <v>0</v>
      </c>
      <c r="M536" s="77">
        <f t="shared" si="335"/>
        <v>0</v>
      </c>
      <c r="N536" s="77">
        <f t="shared" si="335"/>
        <v>0</v>
      </c>
      <c r="O536" s="77">
        <f t="shared" si="330"/>
        <v>0</v>
      </c>
      <c r="P536" s="77">
        <f t="shared" si="331"/>
        <v>0</v>
      </c>
      <c r="Q536" s="76">
        <f t="shared" ref="Q536:S537" si="336">Q539+Q542</f>
        <v>0</v>
      </c>
      <c r="R536" s="77">
        <f t="shared" si="336"/>
        <v>0</v>
      </c>
      <c r="S536" s="77">
        <f t="shared" si="336"/>
        <v>0</v>
      </c>
      <c r="T536" s="77">
        <f t="shared" si="333"/>
        <v>0</v>
      </c>
      <c r="U536" s="77">
        <f t="shared" si="334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4">
        <f t="shared" si="335"/>
        <v>0</v>
      </c>
      <c r="M537" s="74">
        <f t="shared" si="335"/>
        <v>0</v>
      </c>
      <c r="N537" s="74">
        <f t="shared" si="335"/>
        <v>0</v>
      </c>
      <c r="O537" s="74">
        <f t="shared" si="330"/>
        <v>0</v>
      </c>
      <c r="P537" s="74">
        <f t="shared" si="331"/>
        <v>0</v>
      </c>
      <c r="Q537" s="73">
        <f t="shared" si="336"/>
        <v>0</v>
      </c>
      <c r="R537" s="74">
        <f t="shared" si="336"/>
        <v>0</v>
      </c>
      <c r="S537" s="74">
        <f t="shared" si="336"/>
        <v>0</v>
      </c>
      <c r="T537" s="74">
        <f t="shared" si="333"/>
        <v>0</v>
      </c>
      <c r="U537" s="74">
        <f t="shared" si="334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4">
        <f t="shared" ref="L538:N538" si="337">L539+L540</f>
        <v>0</v>
      </c>
      <c r="M538" s="74">
        <f t="shared" si="337"/>
        <v>0</v>
      </c>
      <c r="N538" s="74">
        <f t="shared" si="337"/>
        <v>0</v>
      </c>
      <c r="O538" s="74">
        <f t="shared" si="330"/>
        <v>0</v>
      </c>
      <c r="P538" s="74">
        <f t="shared" si="331"/>
        <v>0</v>
      </c>
      <c r="Q538" s="73">
        <f t="shared" ref="Q538:S538" si="338">Q539+Q540</f>
        <v>0</v>
      </c>
      <c r="R538" s="74">
        <f t="shared" si="338"/>
        <v>0</v>
      </c>
      <c r="S538" s="74">
        <f t="shared" si="338"/>
        <v>0</v>
      </c>
      <c r="T538" s="74">
        <f t="shared" si="333"/>
        <v>0</v>
      </c>
      <c r="U538" s="74">
        <f t="shared" si="334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7">
        <v>0</v>
      </c>
      <c r="M539" s="77">
        <v>0</v>
      </c>
      <c r="N539" s="77">
        <v>0</v>
      </c>
      <c r="O539" s="77">
        <f t="shared" si="330"/>
        <v>0</v>
      </c>
      <c r="P539" s="77">
        <f t="shared" si="331"/>
        <v>0</v>
      </c>
      <c r="Q539" s="76">
        <v>0</v>
      </c>
      <c r="R539" s="77">
        <v>0</v>
      </c>
      <c r="S539" s="77">
        <v>0</v>
      </c>
      <c r="T539" s="77">
        <f t="shared" si="333"/>
        <v>0</v>
      </c>
      <c r="U539" s="77">
        <f t="shared" si="334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4">
        <v>0</v>
      </c>
      <c r="M540" s="74">
        <v>0</v>
      </c>
      <c r="N540" s="74">
        <v>0</v>
      </c>
      <c r="O540" s="74">
        <f t="shared" si="330"/>
        <v>0</v>
      </c>
      <c r="P540" s="74">
        <f t="shared" si="331"/>
        <v>0</v>
      </c>
      <c r="Q540" s="73">
        <v>0</v>
      </c>
      <c r="R540" s="74">
        <v>0</v>
      </c>
      <c r="S540" s="74">
        <v>0</v>
      </c>
      <c r="T540" s="74">
        <f t="shared" si="333"/>
        <v>0</v>
      </c>
      <c r="U540" s="74">
        <f t="shared" si="334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4">
        <f t="shared" ref="L541:N541" si="339">L542+L543</f>
        <v>0</v>
      </c>
      <c r="M541" s="74">
        <f t="shared" si="339"/>
        <v>0</v>
      </c>
      <c r="N541" s="74">
        <f t="shared" si="339"/>
        <v>0</v>
      </c>
      <c r="O541" s="74">
        <f t="shared" si="330"/>
        <v>0</v>
      </c>
      <c r="P541" s="74">
        <f t="shared" si="331"/>
        <v>0</v>
      </c>
      <c r="Q541" s="73">
        <f t="shared" ref="Q541:S541" si="340">Q542+Q543</f>
        <v>0</v>
      </c>
      <c r="R541" s="74">
        <f t="shared" si="340"/>
        <v>0</v>
      </c>
      <c r="S541" s="74">
        <f t="shared" si="340"/>
        <v>0</v>
      </c>
      <c r="T541" s="74">
        <f t="shared" si="333"/>
        <v>0</v>
      </c>
      <c r="U541" s="74">
        <f t="shared" si="334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7">
        <v>0</v>
      </c>
      <c r="M542" s="77">
        <v>0</v>
      </c>
      <c r="N542" s="77">
        <v>0</v>
      </c>
      <c r="O542" s="77">
        <f t="shared" si="330"/>
        <v>0</v>
      </c>
      <c r="P542" s="77">
        <f t="shared" si="331"/>
        <v>0</v>
      </c>
      <c r="Q542" s="76">
        <v>0</v>
      </c>
      <c r="R542" s="77">
        <v>0</v>
      </c>
      <c r="S542" s="77">
        <v>0</v>
      </c>
      <c r="T542" s="77">
        <f t="shared" si="333"/>
        <v>0</v>
      </c>
      <c r="U542" s="77">
        <f t="shared" si="334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4">
        <v>0</v>
      </c>
      <c r="M543" s="74">
        <v>0</v>
      </c>
      <c r="N543" s="74">
        <v>0</v>
      </c>
      <c r="O543" s="74">
        <f t="shared" si="330"/>
        <v>0</v>
      </c>
      <c r="P543" s="74">
        <f t="shared" si="331"/>
        <v>0</v>
      </c>
      <c r="Q543" s="73">
        <v>0</v>
      </c>
      <c r="R543" s="74">
        <v>0</v>
      </c>
      <c r="S543" s="74">
        <v>0</v>
      </c>
      <c r="T543" s="74">
        <f t="shared" si="333"/>
        <v>0</v>
      </c>
      <c r="U543" s="74">
        <f t="shared" si="334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7"/>
      <c r="M544" s="87"/>
      <c r="N544" s="87"/>
      <c r="O544" s="229"/>
      <c r="P544" s="229"/>
      <c r="Q544" s="86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6"/>
      <c r="M545" s="596"/>
      <c r="N545" s="596"/>
      <c r="O545" s="596"/>
      <c r="P545" s="596"/>
      <c r="Q545" s="597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6"/>
      <c r="M546" s="596"/>
      <c r="N546" s="596"/>
      <c r="O546" s="596"/>
      <c r="P546" s="596"/>
      <c r="Q546" s="597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6"/>
      <c r="M547" s="596"/>
      <c r="N547" s="596"/>
      <c r="O547" s="596"/>
      <c r="P547" s="596"/>
      <c r="Q547" s="597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6"/>
      <c r="M548" s="596"/>
      <c r="N548" s="596"/>
      <c r="O548" s="596"/>
      <c r="P548" s="596"/>
      <c r="Q548" s="597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6"/>
      <c r="M549" s="596"/>
      <c r="N549" s="596"/>
      <c r="O549" s="596"/>
      <c r="P549" s="596"/>
      <c r="Q549" s="597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6"/>
      <c r="M550" s="596"/>
      <c r="N550" s="596"/>
      <c r="O550" s="596"/>
      <c r="P550" s="596"/>
      <c r="Q550" s="597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6"/>
      <c r="M551" s="596"/>
      <c r="N551" s="596"/>
      <c r="O551" s="596"/>
      <c r="P551" s="596"/>
      <c r="Q551" s="597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6"/>
      <c r="M552" s="596"/>
      <c r="N552" s="596"/>
      <c r="O552" s="596"/>
      <c r="P552" s="596"/>
      <c r="Q552" s="597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6"/>
      <c r="M553" s="596"/>
      <c r="N553" s="596"/>
      <c r="O553" s="596"/>
      <c r="P553" s="596"/>
      <c r="Q553" s="597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1"/>
      <c r="M554" s="601"/>
      <c r="N554" s="601"/>
      <c r="O554" s="601"/>
      <c r="P554" s="601"/>
      <c r="Q554" s="602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1">I567</f>
        <v>0</v>
      </c>
      <c r="J555" s="1002">
        <f t="shared" si="341"/>
        <v>0</v>
      </c>
      <c r="K555" s="688">
        <f>IF(I555&gt;0,J555*100/I555,0)</f>
        <v>0</v>
      </c>
      <c r="L555" s="664"/>
      <c r="M555" s="664"/>
      <c r="N555" s="664"/>
      <c r="O555" s="664"/>
      <c r="P555" s="664"/>
      <c r="Q555" s="663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264">
        <f t="shared" ref="L556:N556" si="342">L557+L558</f>
        <v>0</v>
      </c>
      <c r="M556" s="264">
        <f t="shared" si="342"/>
        <v>0</v>
      </c>
      <c r="N556" s="264">
        <f t="shared" si="342"/>
        <v>0</v>
      </c>
      <c r="O556" s="264">
        <f t="shared" ref="O556:O564" si="343">IF(L556&gt;0,N556*100/L556,0)</f>
        <v>0</v>
      </c>
      <c r="P556" s="264">
        <f t="shared" ref="P556:P564" si="344">IF(M556&gt;0,N556*100/M556,0)</f>
        <v>0</v>
      </c>
      <c r="Q556" s="1257">
        <f t="shared" ref="Q556:S556" si="345">Q557+Q558</f>
        <v>0</v>
      </c>
      <c r="R556" s="264">
        <f t="shared" si="345"/>
        <v>0</v>
      </c>
      <c r="S556" s="264">
        <f t="shared" si="345"/>
        <v>0</v>
      </c>
      <c r="T556" s="264">
        <f t="shared" ref="T556:T564" si="346">IF(Q556&gt;0,S556*100/Q556,0)</f>
        <v>0</v>
      </c>
      <c r="U556" s="264">
        <f t="shared" ref="U556:U564" si="347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7">
        <f t="shared" ref="L557:N558" si="348">L560+L563</f>
        <v>0</v>
      </c>
      <c r="M557" s="77">
        <f t="shared" si="348"/>
        <v>0</v>
      </c>
      <c r="N557" s="77">
        <f t="shared" si="348"/>
        <v>0</v>
      </c>
      <c r="O557" s="77">
        <f t="shared" si="343"/>
        <v>0</v>
      </c>
      <c r="P557" s="77">
        <f t="shared" si="344"/>
        <v>0</v>
      </c>
      <c r="Q557" s="76">
        <f t="shared" ref="Q557:S558" si="349">Q560+Q563</f>
        <v>0</v>
      </c>
      <c r="R557" s="77">
        <f t="shared" si="349"/>
        <v>0</v>
      </c>
      <c r="S557" s="77">
        <f t="shared" si="349"/>
        <v>0</v>
      </c>
      <c r="T557" s="77">
        <f t="shared" si="346"/>
        <v>0</v>
      </c>
      <c r="U557" s="77">
        <f t="shared" si="347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4">
        <f t="shared" si="348"/>
        <v>0</v>
      </c>
      <c r="M558" s="74">
        <f t="shared" si="348"/>
        <v>0</v>
      </c>
      <c r="N558" s="74">
        <f t="shared" si="348"/>
        <v>0</v>
      </c>
      <c r="O558" s="74">
        <f t="shared" si="343"/>
        <v>0</v>
      </c>
      <c r="P558" s="74">
        <f t="shared" si="344"/>
        <v>0</v>
      </c>
      <c r="Q558" s="73">
        <f t="shared" si="349"/>
        <v>0</v>
      </c>
      <c r="R558" s="74">
        <f t="shared" si="349"/>
        <v>0</v>
      </c>
      <c r="S558" s="74">
        <f t="shared" si="349"/>
        <v>0</v>
      </c>
      <c r="T558" s="74">
        <f t="shared" si="346"/>
        <v>0</v>
      </c>
      <c r="U558" s="74">
        <f t="shared" si="347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4">
        <f t="shared" ref="L559:N559" si="350">L560+L561</f>
        <v>0</v>
      </c>
      <c r="M559" s="74">
        <f t="shared" si="350"/>
        <v>0</v>
      </c>
      <c r="N559" s="74">
        <f t="shared" si="350"/>
        <v>0</v>
      </c>
      <c r="O559" s="74">
        <f t="shared" si="343"/>
        <v>0</v>
      </c>
      <c r="P559" s="74">
        <f t="shared" si="344"/>
        <v>0</v>
      </c>
      <c r="Q559" s="73">
        <f t="shared" ref="Q559:S559" si="351">Q560+Q561</f>
        <v>0</v>
      </c>
      <c r="R559" s="74">
        <f t="shared" si="351"/>
        <v>0</v>
      </c>
      <c r="S559" s="74">
        <f t="shared" si="351"/>
        <v>0</v>
      </c>
      <c r="T559" s="74">
        <f t="shared" si="346"/>
        <v>0</v>
      </c>
      <c r="U559" s="74">
        <f t="shared" si="347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7">
        <v>0</v>
      </c>
      <c r="M560" s="77">
        <v>0</v>
      </c>
      <c r="N560" s="77">
        <v>0</v>
      </c>
      <c r="O560" s="77">
        <f t="shared" si="343"/>
        <v>0</v>
      </c>
      <c r="P560" s="77">
        <f t="shared" si="344"/>
        <v>0</v>
      </c>
      <c r="Q560" s="76">
        <v>0</v>
      </c>
      <c r="R560" s="77">
        <v>0</v>
      </c>
      <c r="S560" s="77">
        <v>0</v>
      </c>
      <c r="T560" s="77">
        <f t="shared" si="346"/>
        <v>0</v>
      </c>
      <c r="U560" s="77">
        <f t="shared" si="347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4">
        <v>0</v>
      </c>
      <c r="M561" s="74">
        <v>0</v>
      </c>
      <c r="N561" s="74">
        <v>0</v>
      </c>
      <c r="O561" s="74">
        <f t="shared" si="343"/>
        <v>0</v>
      </c>
      <c r="P561" s="74">
        <f t="shared" si="344"/>
        <v>0</v>
      </c>
      <c r="Q561" s="73">
        <v>0</v>
      </c>
      <c r="R561" s="74">
        <v>0</v>
      </c>
      <c r="S561" s="74">
        <v>0</v>
      </c>
      <c r="T561" s="74">
        <f t="shared" si="346"/>
        <v>0</v>
      </c>
      <c r="U561" s="74">
        <f t="shared" si="347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4">
        <f t="shared" ref="L562:N562" si="352">L563+L564</f>
        <v>0</v>
      </c>
      <c r="M562" s="74">
        <f t="shared" si="352"/>
        <v>0</v>
      </c>
      <c r="N562" s="74">
        <f t="shared" si="352"/>
        <v>0</v>
      </c>
      <c r="O562" s="74">
        <f t="shared" si="343"/>
        <v>0</v>
      </c>
      <c r="P562" s="74">
        <f t="shared" si="344"/>
        <v>0</v>
      </c>
      <c r="Q562" s="73">
        <f t="shared" ref="Q562:S562" si="353">Q563+Q564</f>
        <v>0</v>
      </c>
      <c r="R562" s="74">
        <f t="shared" si="353"/>
        <v>0</v>
      </c>
      <c r="S562" s="74">
        <f t="shared" si="353"/>
        <v>0</v>
      </c>
      <c r="T562" s="74">
        <f t="shared" si="346"/>
        <v>0</v>
      </c>
      <c r="U562" s="74">
        <f t="shared" si="347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7">
        <v>0</v>
      </c>
      <c r="M563" s="77">
        <v>0</v>
      </c>
      <c r="N563" s="77">
        <v>0</v>
      </c>
      <c r="O563" s="77">
        <f t="shared" si="343"/>
        <v>0</v>
      </c>
      <c r="P563" s="77">
        <f t="shared" si="344"/>
        <v>0</v>
      </c>
      <c r="Q563" s="76">
        <v>0</v>
      </c>
      <c r="R563" s="77">
        <v>0</v>
      </c>
      <c r="S563" s="77">
        <v>0</v>
      </c>
      <c r="T563" s="77">
        <f t="shared" si="346"/>
        <v>0</v>
      </c>
      <c r="U563" s="77">
        <f t="shared" si="347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4">
        <v>0</v>
      </c>
      <c r="M564" s="74">
        <v>0</v>
      </c>
      <c r="N564" s="74">
        <v>0</v>
      </c>
      <c r="O564" s="74">
        <f t="shared" si="343"/>
        <v>0</v>
      </c>
      <c r="P564" s="74">
        <f t="shared" si="344"/>
        <v>0</v>
      </c>
      <c r="Q564" s="73">
        <v>0</v>
      </c>
      <c r="R564" s="74">
        <v>0</v>
      </c>
      <c r="S564" s="74">
        <v>0</v>
      </c>
      <c r="T564" s="74">
        <f t="shared" si="346"/>
        <v>0</v>
      </c>
      <c r="U564" s="74">
        <f t="shared" si="347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7"/>
      <c r="M565" s="87"/>
      <c r="N565" s="87"/>
      <c r="O565" s="229"/>
      <c r="P565" s="229"/>
      <c r="Q565" s="86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6"/>
      <c r="M566" s="596"/>
      <c r="N566" s="596"/>
      <c r="O566" s="596"/>
      <c r="P566" s="596"/>
      <c r="Q566" s="597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6"/>
      <c r="M567" s="596"/>
      <c r="N567" s="596"/>
      <c r="O567" s="596"/>
      <c r="P567" s="596"/>
      <c r="Q567" s="597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6"/>
      <c r="M568" s="596"/>
      <c r="N568" s="596"/>
      <c r="O568" s="596"/>
      <c r="P568" s="596"/>
      <c r="Q568" s="597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6"/>
      <c r="M569" s="596"/>
      <c r="N569" s="596"/>
      <c r="O569" s="596"/>
      <c r="P569" s="596"/>
      <c r="Q569" s="597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6"/>
      <c r="M570" s="596"/>
      <c r="N570" s="596"/>
      <c r="O570" s="596"/>
      <c r="P570" s="596"/>
      <c r="Q570" s="597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6"/>
      <c r="M571" s="596"/>
      <c r="N571" s="596"/>
      <c r="O571" s="596"/>
      <c r="P571" s="596"/>
      <c r="Q571" s="597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6"/>
      <c r="M572" s="596"/>
      <c r="N572" s="596"/>
      <c r="O572" s="596"/>
      <c r="P572" s="596"/>
      <c r="Q572" s="597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6"/>
      <c r="M573" s="596"/>
      <c r="N573" s="596"/>
      <c r="O573" s="596"/>
      <c r="P573" s="596"/>
      <c r="Q573" s="597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6"/>
      <c r="M574" s="596"/>
      <c r="N574" s="596"/>
      <c r="O574" s="596"/>
      <c r="P574" s="596"/>
      <c r="Q574" s="597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1"/>
      <c r="M575" s="601"/>
      <c r="N575" s="601"/>
      <c r="O575" s="601"/>
      <c r="P575" s="601"/>
      <c r="Q575" s="602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4">I588</f>
        <v>0</v>
      </c>
      <c r="J576" s="1002">
        <f t="shared" si="354"/>
        <v>0</v>
      </c>
      <c r="K576" s="688">
        <f>IF(I576&gt;0,J576*100/I576,0)</f>
        <v>0</v>
      </c>
      <c r="L576" s="664"/>
      <c r="M576" s="664"/>
      <c r="N576" s="664"/>
      <c r="O576" s="664"/>
      <c r="P576" s="664"/>
      <c r="Q576" s="663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264">
        <f t="shared" ref="L577:N577" si="355">L578+L579</f>
        <v>0</v>
      </c>
      <c r="M577" s="264">
        <f t="shared" si="355"/>
        <v>0</v>
      </c>
      <c r="N577" s="264">
        <f t="shared" si="355"/>
        <v>0</v>
      </c>
      <c r="O577" s="264">
        <f t="shared" ref="O577:O585" si="356">IF(L577&gt;0,N577*100/L577,0)</f>
        <v>0</v>
      </c>
      <c r="P577" s="264">
        <f t="shared" ref="P577:P585" si="357">IF(M577&gt;0,N577*100/M577,0)</f>
        <v>0</v>
      </c>
      <c r="Q577" s="1257">
        <f t="shared" ref="Q577:S577" si="358">Q578+Q579</f>
        <v>0</v>
      </c>
      <c r="R577" s="264">
        <f t="shared" si="358"/>
        <v>0</v>
      </c>
      <c r="S577" s="264">
        <f t="shared" si="358"/>
        <v>0</v>
      </c>
      <c r="T577" s="264">
        <f t="shared" ref="T577:T585" si="359">IF(Q577&gt;0,S577*100/Q577,0)</f>
        <v>0</v>
      </c>
      <c r="U577" s="264">
        <f t="shared" ref="U577:U585" si="360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7">
        <f t="shared" ref="L578:N579" si="361">L581+L584</f>
        <v>0</v>
      </c>
      <c r="M578" s="77">
        <f t="shared" si="361"/>
        <v>0</v>
      </c>
      <c r="N578" s="77">
        <f t="shared" si="361"/>
        <v>0</v>
      </c>
      <c r="O578" s="77">
        <f t="shared" si="356"/>
        <v>0</v>
      </c>
      <c r="P578" s="77">
        <f t="shared" si="357"/>
        <v>0</v>
      </c>
      <c r="Q578" s="76">
        <f t="shared" ref="Q578:S579" si="362">Q581+Q584</f>
        <v>0</v>
      </c>
      <c r="R578" s="77">
        <f t="shared" si="362"/>
        <v>0</v>
      </c>
      <c r="S578" s="77">
        <f t="shared" si="362"/>
        <v>0</v>
      </c>
      <c r="T578" s="77">
        <f t="shared" si="359"/>
        <v>0</v>
      </c>
      <c r="U578" s="77">
        <f t="shared" si="360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4">
        <f t="shared" si="361"/>
        <v>0</v>
      </c>
      <c r="M579" s="74">
        <f t="shared" si="361"/>
        <v>0</v>
      </c>
      <c r="N579" s="74">
        <f t="shared" si="361"/>
        <v>0</v>
      </c>
      <c r="O579" s="74">
        <f t="shared" si="356"/>
        <v>0</v>
      </c>
      <c r="P579" s="74">
        <f t="shared" si="357"/>
        <v>0</v>
      </c>
      <c r="Q579" s="73">
        <f t="shared" si="362"/>
        <v>0</v>
      </c>
      <c r="R579" s="74">
        <f t="shared" si="362"/>
        <v>0</v>
      </c>
      <c r="S579" s="74">
        <f t="shared" si="362"/>
        <v>0</v>
      </c>
      <c r="T579" s="74">
        <f t="shared" si="359"/>
        <v>0</v>
      </c>
      <c r="U579" s="74">
        <f t="shared" si="360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4">
        <f t="shared" ref="L580:N580" si="363">L581+L582</f>
        <v>0</v>
      </c>
      <c r="M580" s="74">
        <f t="shared" si="363"/>
        <v>0</v>
      </c>
      <c r="N580" s="74">
        <f t="shared" si="363"/>
        <v>0</v>
      </c>
      <c r="O580" s="74">
        <f t="shared" si="356"/>
        <v>0</v>
      </c>
      <c r="P580" s="74">
        <f t="shared" si="357"/>
        <v>0</v>
      </c>
      <c r="Q580" s="73">
        <f t="shared" ref="Q580:S580" si="364">Q581+Q582</f>
        <v>0</v>
      </c>
      <c r="R580" s="74">
        <f t="shared" si="364"/>
        <v>0</v>
      </c>
      <c r="S580" s="74">
        <f t="shared" si="364"/>
        <v>0</v>
      </c>
      <c r="T580" s="74">
        <f t="shared" si="359"/>
        <v>0</v>
      </c>
      <c r="U580" s="74">
        <f t="shared" si="360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7">
        <v>0</v>
      </c>
      <c r="M581" s="77">
        <v>0</v>
      </c>
      <c r="N581" s="77">
        <v>0</v>
      </c>
      <c r="O581" s="77">
        <f t="shared" si="356"/>
        <v>0</v>
      </c>
      <c r="P581" s="77">
        <f t="shared" si="357"/>
        <v>0</v>
      </c>
      <c r="Q581" s="76">
        <v>0</v>
      </c>
      <c r="R581" s="77">
        <v>0</v>
      </c>
      <c r="S581" s="77">
        <v>0</v>
      </c>
      <c r="T581" s="77">
        <f t="shared" si="359"/>
        <v>0</v>
      </c>
      <c r="U581" s="77">
        <f t="shared" si="360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4">
        <v>0</v>
      </c>
      <c r="M582" s="74">
        <v>0</v>
      </c>
      <c r="N582" s="74">
        <v>0</v>
      </c>
      <c r="O582" s="74">
        <f t="shared" si="356"/>
        <v>0</v>
      </c>
      <c r="P582" s="74">
        <f t="shared" si="357"/>
        <v>0</v>
      </c>
      <c r="Q582" s="73">
        <v>0</v>
      </c>
      <c r="R582" s="74">
        <v>0</v>
      </c>
      <c r="S582" s="74">
        <v>0</v>
      </c>
      <c r="T582" s="74">
        <f t="shared" si="359"/>
        <v>0</v>
      </c>
      <c r="U582" s="74">
        <f t="shared" si="360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4">
        <f t="shared" ref="L583:N583" si="365">L584+L585</f>
        <v>0</v>
      </c>
      <c r="M583" s="74">
        <f t="shared" si="365"/>
        <v>0</v>
      </c>
      <c r="N583" s="74">
        <f t="shared" si="365"/>
        <v>0</v>
      </c>
      <c r="O583" s="74">
        <f t="shared" si="356"/>
        <v>0</v>
      </c>
      <c r="P583" s="74">
        <f t="shared" si="357"/>
        <v>0</v>
      </c>
      <c r="Q583" s="73">
        <f t="shared" ref="Q583:S583" si="366">Q584+Q585</f>
        <v>0</v>
      </c>
      <c r="R583" s="74">
        <f t="shared" si="366"/>
        <v>0</v>
      </c>
      <c r="S583" s="74">
        <f t="shared" si="366"/>
        <v>0</v>
      </c>
      <c r="T583" s="74">
        <f t="shared" si="359"/>
        <v>0</v>
      </c>
      <c r="U583" s="74">
        <f t="shared" si="360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7">
        <v>0</v>
      </c>
      <c r="M584" s="77">
        <v>0</v>
      </c>
      <c r="N584" s="77">
        <v>0</v>
      </c>
      <c r="O584" s="77">
        <f t="shared" si="356"/>
        <v>0</v>
      </c>
      <c r="P584" s="77">
        <f t="shared" si="357"/>
        <v>0</v>
      </c>
      <c r="Q584" s="76">
        <v>0</v>
      </c>
      <c r="R584" s="77">
        <v>0</v>
      </c>
      <c r="S584" s="77">
        <v>0</v>
      </c>
      <c r="T584" s="77">
        <f t="shared" si="359"/>
        <v>0</v>
      </c>
      <c r="U584" s="77">
        <f t="shared" si="360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4">
        <v>0</v>
      </c>
      <c r="M585" s="74">
        <v>0</v>
      </c>
      <c r="N585" s="74">
        <v>0</v>
      </c>
      <c r="O585" s="74">
        <f t="shared" si="356"/>
        <v>0</v>
      </c>
      <c r="P585" s="74">
        <f t="shared" si="357"/>
        <v>0</v>
      </c>
      <c r="Q585" s="73">
        <v>0</v>
      </c>
      <c r="R585" s="74">
        <v>0</v>
      </c>
      <c r="S585" s="74">
        <v>0</v>
      </c>
      <c r="T585" s="74">
        <f t="shared" si="359"/>
        <v>0</v>
      </c>
      <c r="U585" s="74">
        <f t="shared" si="360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7"/>
      <c r="M586" s="87"/>
      <c r="N586" s="87"/>
      <c r="O586" s="229"/>
      <c r="P586" s="229"/>
      <c r="Q586" s="86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6"/>
      <c r="M587" s="596"/>
      <c r="N587" s="596"/>
      <c r="O587" s="596"/>
      <c r="P587" s="596"/>
      <c r="Q587" s="597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6"/>
      <c r="M588" s="596"/>
      <c r="N588" s="596"/>
      <c r="O588" s="596"/>
      <c r="P588" s="596"/>
      <c r="Q588" s="597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6"/>
      <c r="M589" s="596"/>
      <c r="N589" s="596"/>
      <c r="O589" s="596"/>
      <c r="P589" s="596"/>
      <c r="Q589" s="597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6"/>
      <c r="M590" s="596"/>
      <c r="N590" s="596"/>
      <c r="O590" s="596"/>
      <c r="P590" s="596"/>
      <c r="Q590" s="597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6"/>
      <c r="M591" s="596"/>
      <c r="N591" s="596"/>
      <c r="O591" s="596"/>
      <c r="P591" s="596"/>
      <c r="Q591" s="597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6"/>
      <c r="M592" s="596"/>
      <c r="N592" s="596"/>
      <c r="O592" s="596"/>
      <c r="P592" s="596"/>
      <c r="Q592" s="597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6"/>
      <c r="M593" s="596"/>
      <c r="N593" s="596"/>
      <c r="O593" s="596"/>
      <c r="P593" s="596"/>
      <c r="Q593" s="597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6"/>
      <c r="M594" s="596"/>
      <c r="N594" s="596"/>
      <c r="O594" s="596"/>
      <c r="P594" s="596"/>
      <c r="Q594" s="597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6"/>
      <c r="M595" s="596"/>
      <c r="N595" s="596"/>
      <c r="O595" s="596"/>
      <c r="P595" s="596"/>
      <c r="Q595" s="597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1"/>
      <c r="M596" s="601"/>
      <c r="N596" s="601"/>
      <c r="O596" s="601"/>
      <c r="P596" s="601"/>
      <c r="Q596" s="602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199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8"/>
      <c r="M598" s="208"/>
      <c r="N598" s="208"/>
      <c r="O598" s="208"/>
      <c r="P598" s="208"/>
      <c r="Q598" s="207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8"/>
      <c r="M599" s="208"/>
      <c r="N599" s="208"/>
      <c r="O599" s="208"/>
      <c r="P599" s="208"/>
      <c r="Q599" s="207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264">
        <f t="shared" ref="L600:N600" si="367">L601+L602</f>
        <v>0</v>
      </c>
      <c r="M600" s="264">
        <f t="shared" si="367"/>
        <v>0</v>
      </c>
      <c r="N600" s="264">
        <f t="shared" si="367"/>
        <v>0</v>
      </c>
      <c r="O600" s="264">
        <f t="shared" ref="O600:O608" si="368">IF(L600&gt;0,N600*100/L600,0)</f>
        <v>0</v>
      </c>
      <c r="P600" s="264">
        <f t="shared" ref="P600:P608" si="369">IF(M600&gt;0,N600*100/M600,0)</f>
        <v>0</v>
      </c>
      <c r="Q600" s="1257">
        <f t="shared" ref="Q600:S600" si="370">Q601+Q602</f>
        <v>0</v>
      </c>
      <c r="R600" s="264">
        <f t="shared" si="370"/>
        <v>0</v>
      </c>
      <c r="S600" s="264">
        <f t="shared" si="370"/>
        <v>0</v>
      </c>
      <c r="T600" s="264">
        <f t="shared" ref="T600:T608" si="371">IF(Q600&gt;0,S600*100/Q600,0)</f>
        <v>0</v>
      </c>
      <c r="U600" s="264">
        <f t="shared" ref="U600:U608" si="372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7">
        <f t="shared" ref="L601:N602" si="373">L604+L607</f>
        <v>0</v>
      </c>
      <c r="M601" s="77">
        <f t="shared" si="373"/>
        <v>0</v>
      </c>
      <c r="N601" s="77">
        <f t="shared" si="373"/>
        <v>0</v>
      </c>
      <c r="O601" s="77">
        <f t="shared" si="368"/>
        <v>0</v>
      </c>
      <c r="P601" s="77">
        <f t="shared" si="369"/>
        <v>0</v>
      </c>
      <c r="Q601" s="76">
        <f t="shared" ref="Q601:S602" si="374">Q604+Q607</f>
        <v>0</v>
      </c>
      <c r="R601" s="77">
        <f t="shared" si="374"/>
        <v>0</v>
      </c>
      <c r="S601" s="77">
        <f t="shared" si="374"/>
        <v>0</v>
      </c>
      <c r="T601" s="77">
        <f t="shared" si="371"/>
        <v>0</v>
      </c>
      <c r="U601" s="77">
        <f t="shared" si="372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4">
        <f t="shared" si="373"/>
        <v>0</v>
      </c>
      <c r="M602" s="74">
        <f t="shared" si="373"/>
        <v>0</v>
      </c>
      <c r="N602" s="74">
        <f t="shared" si="373"/>
        <v>0</v>
      </c>
      <c r="O602" s="74">
        <f t="shared" si="368"/>
        <v>0</v>
      </c>
      <c r="P602" s="74">
        <f t="shared" si="369"/>
        <v>0</v>
      </c>
      <c r="Q602" s="73">
        <f t="shared" si="374"/>
        <v>0</v>
      </c>
      <c r="R602" s="74">
        <f t="shared" si="374"/>
        <v>0</v>
      </c>
      <c r="S602" s="74">
        <f t="shared" si="374"/>
        <v>0</v>
      </c>
      <c r="T602" s="74">
        <f t="shared" si="371"/>
        <v>0</v>
      </c>
      <c r="U602" s="74">
        <f t="shared" si="372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4">
        <f t="shared" ref="L603:N603" si="375">L604+L605</f>
        <v>0</v>
      </c>
      <c r="M603" s="74">
        <f t="shared" si="375"/>
        <v>0</v>
      </c>
      <c r="N603" s="74">
        <f t="shared" si="375"/>
        <v>0</v>
      </c>
      <c r="O603" s="74">
        <f t="shared" si="368"/>
        <v>0</v>
      </c>
      <c r="P603" s="74">
        <f t="shared" si="369"/>
        <v>0</v>
      </c>
      <c r="Q603" s="73">
        <f t="shared" ref="Q603:S603" si="376">Q604+Q605</f>
        <v>0</v>
      </c>
      <c r="R603" s="74">
        <f t="shared" si="376"/>
        <v>0</v>
      </c>
      <c r="S603" s="74">
        <f t="shared" si="376"/>
        <v>0</v>
      </c>
      <c r="T603" s="74">
        <f t="shared" si="371"/>
        <v>0</v>
      </c>
      <c r="U603" s="74">
        <f t="shared" si="372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7">
        <v>0</v>
      </c>
      <c r="M604" s="77">
        <v>0</v>
      </c>
      <c r="N604" s="77">
        <v>0</v>
      </c>
      <c r="O604" s="77">
        <f t="shared" si="368"/>
        <v>0</v>
      </c>
      <c r="P604" s="77">
        <f t="shared" si="369"/>
        <v>0</v>
      </c>
      <c r="Q604" s="76">
        <v>0</v>
      </c>
      <c r="R604" s="77">
        <v>0</v>
      </c>
      <c r="S604" s="77">
        <v>0</v>
      </c>
      <c r="T604" s="77">
        <f t="shared" si="371"/>
        <v>0</v>
      </c>
      <c r="U604" s="77">
        <f t="shared" si="372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4">
        <v>0</v>
      </c>
      <c r="M605" s="74">
        <v>0</v>
      </c>
      <c r="N605" s="74">
        <v>0</v>
      </c>
      <c r="O605" s="74">
        <f t="shared" si="368"/>
        <v>0</v>
      </c>
      <c r="P605" s="74">
        <f t="shared" si="369"/>
        <v>0</v>
      </c>
      <c r="Q605" s="73">
        <v>0</v>
      </c>
      <c r="R605" s="74">
        <v>0</v>
      </c>
      <c r="S605" s="74">
        <v>0</v>
      </c>
      <c r="T605" s="74">
        <f t="shared" si="371"/>
        <v>0</v>
      </c>
      <c r="U605" s="74">
        <f t="shared" si="372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4">
        <f t="shared" ref="L606:N606" si="377">L607+L608</f>
        <v>0</v>
      </c>
      <c r="M606" s="74">
        <f t="shared" si="377"/>
        <v>0</v>
      </c>
      <c r="N606" s="74">
        <f t="shared" si="377"/>
        <v>0</v>
      </c>
      <c r="O606" s="74">
        <f t="shared" si="368"/>
        <v>0</v>
      </c>
      <c r="P606" s="74">
        <f t="shared" si="369"/>
        <v>0</v>
      </c>
      <c r="Q606" s="73">
        <f t="shared" ref="Q606:S606" si="378">Q607+Q608</f>
        <v>0</v>
      </c>
      <c r="R606" s="74">
        <f t="shared" si="378"/>
        <v>0</v>
      </c>
      <c r="S606" s="74">
        <f t="shared" si="378"/>
        <v>0</v>
      </c>
      <c r="T606" s="74">
        <f t="shared" si="371"/>
        <v>0</v>
      </c>
      <c r="U606" s="74">
        <f t="shared" si="372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7">
        <v>0</v>
      </c>
      <c r="M607" s="77">
        <v>0</v>
      </c>
      <c r="N607" s="77">
        <v>0</v>
      </c>
      <c r="O607" s="77">
        <f t="shared" si="368"/>
        <v>0</v>
      </c>
      <c r="P607" s="77">
        <f t="shared" si="369"/>
        <v>0</v>
      </c>
      <c r="Q607" s="76">
        <v>0</v>
      </c>
      <c r="R607" s="77">
        <v>0</v>
      </c>
      <c r="S607" s="77">
        <v>0</v>
      </c>
      <c r="T607" s="77">
        <f t="shared" si="371"/>
        <v>0</v>
      </c>
      <c r="U607" s="77">
        <f t="shared" si="372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4">
        <v>0</v>
      </c>
      <c r="M608" s="74">
        <v>0</v>
      </c>
      <c r="N608" s="74">
        <v>0</v>
      </c>
      <c r="O608" s="74">
        <f t="shared" si="368"/>
        <v>0</v>
      </c>
      <c r="P608" s="74">
        <f t="shared" si="369"/>
        <v>0</v>
      </c>
      <c r="Q608" s="73">
        <v>0</v>
      </c>
      <c r="R608" s="74">
        <v>0</v>
      </c>
      <c r="S608" s="74">
        <v>0</v>
      </c>
      <c r="T608" s="74">
        <f t="shared" si="371"/>
        <v>0</v>
      </c>
      <c r="U608" s="74">
        <f t="shared" si="372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7"/>
      <c r="M609" s="87"/>
      <c r="N609" s="87"/>
      <c r="O609" s="87"/>
      <c r="P609" s="87"/>
      <c r="Q609" s="86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7"/>
      <c r="M610" s="87"/>
      <c r="N610" s="87"/>
      <c r="O610" s="87"/>
      <c r="P610" s="87"/>
      <c r="Q610" s="86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7"/>
      <c r="M611" s="87"/>
      <c r="N611" s="87"/>
      <c r="O611" s="87"/>
      <c r="P611" s="87"/>
      <c r="Q611" s="86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7"/>
      <c r="M612" s="87"/>
      <c r="N612" s="87"/>
      <c r="O612" s="87"/>
      <c r="P612" s="87"/>
      <c r="Q612" s="86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7"/>
      <c r="M613" s="717"/>
      <c r="N613" s="717"/>
      <c r="O613" s="717"/>
      <c r="P613" s="717"/>
      <c r="Q613" s="718"/>
      <c r="R613" s="717"/>
      <c r="S613" s="717"/>
      <c r="T613" s="717"/>
      <c r="U613" s="717"/>
    </row>
    <row r="614" spans="1:21" ht="19.5" hidden="1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5"/>
      <c r="M614" s="725"/>
      <c r="N614" s="725"/>
      <c r="O614" s="725"/>
      <c r="P614" s="725"/>
      <c r="Q614" s="726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3"/>
      <c r="M615" s="733"/>
      <c r="N615" s="733"/>
      <c r="O615" s="733"/>
      <c r="P615" s="733"/>
      <c r="Q615" s="734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1245">
        <f t="shared" ref="I616:J616" ca="1" si="379">I627</f>
        <v>0</v>
      </c>
      <c r="J616" s="1245">
        <f t="shared" si="379"/>
        <v>0</v>
      </c>
      <c r="K616" s="741">
        <f ca="1">IF(I616&gt;0,J616*100/I616,0)</f>
        <v>0</v>
      </c>
      <c r="L616" s="742"/>
      <c r="M616" s="742"/>
      <c r="N616" s="742"/>
      <c r="O616" s="742"/>
      <c r="P616" s="742"/>
      <c r="Q616" s="743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264">
        <f t="shared" ref="L617:N617" si="380">L618+L619</f>
        <v>0</v>
      </c>
      <c r="M617" s="264">
        <f t="shared" si="380"/>
        <v>0</v>
      </c>
      <c r="N617" s="264">
        <f t="shared" si="380"/>
        <v>0</v>
      </c>
      <c r="O617" s="264">
        <f t="shared" ref="O617:O625" si="381">IF(L617&gt;0,N617*100/L617,0)</f>
        <v>0</v>
      </c>
      <c r="P617" s="264">
        <f t="shared" ref="P617:P625" si="382">IF(M617&gt;0,N617*100/M617,0)</f>
        <v>0</v>
      </c>
      <c r="Q617" s="1257">
        <f t="shared" ref="Q617:S617" ca="1" si="383">Q618+Q619</f>
        <v>1775</v>
      </c>
      <c r="R617" s="264">
        <f t="shared" ca="1" si="383"/>
        <v>1775</v>
      </c>
      <c r="S617" s="264">
        <f t="shared" ca="1" si="383"/>
        <v>0</v>
      </c>
      <c r="T617" s="264">
        <f t="shared" ref="T617:T625" ca="1" si="384">IF(Q617&gt;0,S617*100/Q617,0)</f>
        <v>0</v>
      </c>
      <c r="U617" s="264">
        <f t="shared" ref="U617:U625" ca="1" si="385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7">
        <f t="shared" ref="L618:N619" si="386">L621+L624</f>
        <v>0</v>
      </c>
      <c r="M618" s="77">
        <f t="shared" si="386"/>
        <v>0</v>
      </c>
      <c r="N618" s="77">
        <f t="shared" si="386"/>
        <v>0</v>
      </c>
      <c r="O618" s="77">
        <f t="shared" si="381"/>
        <v>0</v>
      </c>
      <c r="P618" s="77">
        <f t="shared" si="382"/>
        <v>0</v>
      </c>
      <c r="Q618" s="76">
        <f t="shared" ref="Q618:S619" si="387">Q621+Q624</f>
        <v>0</v>
      </c>
      <c r="R618" s="77">
        <f t="shared" si="387"/>
        <v>0</v>
      </c>
      <c r="S618" s="77">
        <f t="shared" si="387"/>
        <v>0</v>
      </c>
      <c r="T618" s="77">
        <f t="shared" si="384"/>
        <v>0</v>
      </c>
      <c r="U618" s="77">
        <f t="shared" si="385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4">
        <f t="shared" si="386"/>
        <v>0</v>
      </c>
      <c r="M619" s="74">
        <f t="shared" si="386"/>
        <v>0</v>
      </c>
      <c r="N619" s="74">
        <f t="shared" si="386"/>
        <v>0</v>
      </c>
      <c r="O619" s="74">
        <f t="shared" si="381"/>
        <v>0</v>
      </c>
      <c r="P619" s="74">
        <f t="shared" si="382"/>
        <v>0</v>
      </c>
      <c r="Q619" s="73">
        <f t="shared" ca="1" si="387"/>
        <v>1775</v>
      </c>
      <c r="R619" s="74">
        <f t="shared" ca="1" si="387"/>
        <v>1775</v>
      </c>
      <c r="S619" s="74">
        <f t="shared" ca="1" si="387"/>
        <v>0</v>
      </c>
      <c r="T619" s="74">
        <f t="shared" ca="1" si="384"/>
        <v>0</v>
      </c>
      <c r="U619" s="74">
        <f t="shared" ca="1" si="385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4">
        <f t="shared" ref="L620:N620" si="388">L621+L622</f>
        <v>0</v>
      </c>
      <c r="M620" s="74">
        <f t="shared" si="388"/>
        <v>0</v>
      </c>
      <c r="N620" s="74">
        <f t="shared" si="388"/>
        <v>0</v>
      </c>
      <c r="O620" s="74">
        <f t="shared" si="381"/>
        <v>0</v>
      </c>
      <c r="P620" s="74">
        <f t="shared" si="382"/>
        <v>0</v>
      </c>
      <c r="Q620" s="73">
        <f t="shared" ref="Q620:S620" ca="1" si="389">Q621+Q622</f>
        <v>1775</v>
      </c>
      <c r="R620" s="74">
        <f t="shared" ca="1" si="389"/>
        <v>1775</v>
      </c>
      <c r="S620" s="74">
        <f t="shared" ca="1" si="389"/>
        <v>0</v>
      </c>
      <c r="T620" s="74">
        <f t="shared" ca="1" si="384"/>
        <v>0</v>
      </c>
      <c r="U620" s="74">
        <f t="shared" ca="1" si="385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7">
        <v>0</v>
      </c>
      <c r="M621" s="77">
        <v>0</v>
      </c>
      <c r="N621" s="77">
        <v>0</v>
      </c>
      <c r="O621" s="77">
        <f t="shared" si="381"/>
        <v>0</v>
      </c>
      <c r="P621" s="77">
        <f t="shared" si="382"/>
        <v>0</v>
      </c>
      <c r="Q621" s="76">
        <v>0</v>
      </c>
      <c r="R621" s="77">
        <v>0</v>
      </c>
      <c r="S621" s="77">
        <v>0</v>
      </c>
      <c r="T621" s="77">
        <f t="shared" si="384"/>
        <v>0</v>
      </c>
      <c r="U621" s="77">
        <f t="shared" si="385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4">
        <v>0</v>
      </c>
      <c r="M622" s="74">
        <v>0</v>
      </c>
      <c r="N622" s="74">
        <v>0</v>
      </c>
      <c r="O622" s="74">
        <f t="shared" si="381"/>
        <v>0</v>
      </c>
      <c r="P622" s="74">
        <f t="shared" si="382"/>
        <v>0</v>
      </c>
      <c r="Q622" s="73">
        <f ca="1">IFERROR(__xludf.DUMMYFUNCTION("IMPORTRANGE(""https://docs.google.com/spreadsheets/d/1ItG2mGa2ceCfYo0BwxsXqNm01IGEUdYcSSLTEv9YCik/edit?usp=sharing"",""เบิกจ่ายกองทุน!F58"")"),1775)</f>
        <v>1775</v>
      </c>
      <c r="R622" s="74">
        <f ca="1">IFERROR(__xludf.DUMMYFUNCTION("IMPORTRANGE(""https://docs.google.com/spreadsheets/d/1ItG2mGa2ceCfYo0BwxsXqNm01IGEUdYcSSLTEv9YCik/edit?usp=sharing"",""เบิกจ่ายกองทุน!G58"")"),1775)</f>
        <v>1775</v>
      </c>
      <c r="S622" s="74">
        <f ca="1">IFERROR(__xludf.DUMMYFUNCTION("IMPORTRANGE(""https://docs.google.com/spreadsheets/d/1ItG2mGa2ceCfYo0BwxsXqNm01IGEUdYcSSLTEv9YCik/edit?usp=sharing"",""เบิกจ่ายกองทุน!H58"")"),0)</f>
        <v>0</v>
      </c>
      <c r="T622" s="74">
        <f t="shared" ca="1" si="384"/>
        <v>0</v>
      </c>
      <c r="U622" s="74">
        <f t="shared" ca="1" si="385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4">
        <f t="shared" ref="L623:N623" si="390">L624+L625</f>
        <v>0</v>
      </c>
      <c r="M623" s="74">
        <f t="shared" si="390"/>
        <v>0</v>
      </c>
      <c r="N623" s="74">
        <f t="shared" si="390"/>
        <v>0</v>
      </c>
      <c r="O623" s="74">
        <f t="shared" si="381"/>
        <v>0</v>
      </c>
      <c r="P623" s="74">
        <f t="shared" si="382"/>
        <v>0</v>
      </c>
      <c r="Q623" s="73">
        <f t="shared" ref="Q623:S623" si="391">Q624+Q625</f>
        <v>0</v>
      </c>
      <c r="R623" s="74">
        <f t="shared" si="391"/>
        <v>0</v>
      </c>
      <c r="S623" s="74">
        <f t="shared" si="391"/>
        <v>0</v>
      </c>
      <c r="T623" s="74">
        <f t="shared" si="384"/>
        <v>0</v>
      </c>
      <c r="U623" s="74">
        <f t="shared" si="385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7">
        <v>0</v>
      </c>
      <c r="M624" s="77">
        <v>0</v>
      </c>
      <c r="N624" s="77">
        <v>0</v>
      </c>
      <c r="O624" s="77">
        <f t="shared" si="381"/>
        <v>0</v>
      </c>
      <c r="P624" s="77">
        <f t="shared" si="382"/>
        <v>0</v>
      </c>
      <c r="Q624" s="76">
        <v>0</v>
      </c>
      <c r="R624" s="77">
        <v>0</v>
      </c>
      <c r="S624" s="77">
        <v>0</v>
      </c>
      <c r="T624" s="77">
        <f t="shared" si="384"/>
        <v>0</v>
      </c>
      <c r="U624" s="77">
        <f t="shared" si="385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4">
        <v>0</v>
      </c>
      <c r="M625" s="74">
        <v>0</v>
      </c>
      <c r="N625" s="74">
        <v>0</v>
      </c>
      <c r="O625" s="74">
        <f t="shared" si="381"/>
        <v>0</v>
      </c>
      <c r="P625" s="74">
        <f t="shared" si="382"/>
        <v>0</v>
      </c>
      <c r="Q625" s="73">
        <v>0</v>
      </c>
      <c r="R625" s="74">
        <v>0</v>
      </c>
      <c r="S625" s="74">
        <v>0</v>
      </c>
      <c r="T625" s="74">
        <f t="shared" si="384"/>
        <v>0</v>
      </c>
      <c r="U625" s="74">
        <f t="shared" si="385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9"/>
      <c r="M626" s="229"/>
      <c r="N626" s="229"/>
      <c r="O626" s="229"/>
      <c r="P626" s="229"/>
      <c r="Q626" s="228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IFERROR(__xludf.DUMMYFUNCTION("IMPORTRANGE(""https://docs.google.com/spreadsheets/d/1eHaY18a8A9IcSdp1K8H6x8fbOy06t2VsZHhMHf-1x7Y/edit?usp=sharing"",""แผน!ID58"")"),0)</f>
        <v>0</v>
      </c>
      <c r="J627" s="622">
        <f>J633</f>
        <v>0</v>
      </c>
      <c r="K627" s="264">
        <f ca="1">IF(I627&gt;0,J627*100/I627,0)</f>
        <v>0</v>
      </c>
      <c r="L627" s="229"/>
      <c r="M627" s="229"/>
      <c r="N627" s="229"/>
      <c r="O627" s="229"/>
      <c r="P627" s="229"/>
      <c r="Q627" s="228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IFERROR(__xludf.DUMMYFUNCTION("IMPORTRANGE(""https://docs.google.com/spreadsheets/d/1eHaY18a8A9IcSdp1K8H6x8fbOy06t2VsZHhMHf-1x7Y/edit?usp=sharing"",""แผน!IC58"")"),1)</f>
        <v>1</v>
      </c>
      <c r="J628" s="294">
        <v>1</v>
      </c>
      <c r="K628" s="74">
        <f t="shared" ref="K628:K629" ca="1" si="392">IF(I628&gt;0,(J628*100)/I628,0)</f>
        <v>100</v>
      </c>
      <c r="L628" s="229"/>
      <c r="M628" s="229"/>
      <c r="N628" s="229"/>
      <c r="O628" s="229"/>
      <c r="P628" s="229"/>
      <c r="Q628" s="228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IFERROR(__xludf.DUMMYFUNCTION("IMPORTRANGE(""https://docs.google.com/spreadsheets/d/1eHaY18a8A9IcSdp1K8H6x8fbOy06t2VsZHhMHf-1x7Y/edit?usp=sharing"",""แผน!IC58"")"),1)</f>
        <v>1</v>
      </c>
      <c r="J629" s="294">
        <v>1</v>
      </c>
      <c r="K629" s="74">
        <f t="shared" ca="1" si="392"/>
        <v>100</v>
      </c>
      <c r="L629" s="229"/>
      <c r="M629" s="229"/>
      <c r="N629" s="229"/>
      <c r="O629" s="229"/>
      <c r="P629" s="229"/>
      <c r="Q629" s="228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0</v>
      </c>
      <c r="K630" s="74">
        <f t="shared" ref="K630:K632" ca="1" si="393">IF(I$627&gt;0,J630*100/I$627,0)</f>
        <v>0</v>
      </c>
      <c r="L630" s="229"/>
      <c r="M630" s="229"/>
      <c r="N630" s="229"/>
      <c r="O630" s="229"/>
      <c r="P630" s="229"/>
      <c r="Q630" s="228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t="shared" ca="1" si="393"/>
        <v>0</v>
      </c>
      <c r="L631" s="229"/>
      <c r="M631" s="229"/>
      <c r="N631" s="229"/>
      <c r="O631" s="229"/>
      <c r="P631" s="229"/>
      <c r="Q631" s="228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t="shared" ca="1" si="393"/>
        <v>0</v>
      </c>
      <c r="L632" s="229"/>
      <c r="M632" s="229"/>
      <c r="N632" s="229"/>
      <c r="O632" s="229"/>
      <c r="P632" s="229"/>
      <c r="Q632" s="228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9"/>
      <c r="M633" s="229"/>
      <c r="N633" s="229"/>
      <c r="O633" s="229"/>
      <c r="P633" s="229"/>
      <c r="Q633" s="228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9"/>
      <c r="M634" s="229"/>
      <c r="N634" s="229"/>
      <c r="O634" s="229"/>
      <c r="P634" s="229"/>
      <c r="Q634" s="228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9"/>
      <c r="M635" s="229"/>
      <c r="N635" s="229"/>
      <c r="O635" s="229"/>
      <c r="P635" s="229"/>
      <c r="Q635" s="228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IFERROR(__xludf.DUMMYFUNCTION("IMPORTRANGE(""https://docs.google.com/spreadsheets/d/1eHaY18a8A9IcSdp1K8H6x8fbOy06t2VsZHhMHf-1x7Y/edit?usp=sharing"",""แผน!IE58"")"),0)</f>
        <v>0</v>
      </c>
      <c r="J636" s="622">
        <f>J637</f>
        <v>0</v>
      </c>
      <c r="K636" s="264">
        <f ca="1">IF(I636&gt;0,J636*100/I636,0)</f>
        <v>0</v>
      </c>
      <c r="L636" s="229"/>
      <c r="M636" s="229"/>
      <c r="N636" s="229"/>
      <c r="O636" s="229"/>
      <c r="P636" s="229"/>
      <c r="Q636" s="228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9"/>
      <c r="M637" s="229"/>
      <c r="N637" s="229"/>
      <c r="O637" s="229"/>
      <c r="P637" s="229"/>
      <c r="Q637" s="228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9"/>
      <c r="M638" s="229"/>
      <c r="N638" s="229"/>
      <c r="O638" s="229"/>
      <c r="P638" s="229"/>
      <c r="Q638" s="228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9"/>
      <c r="M639" s="229"/>
      <c r="N639" s="229"/>
      <c r="O639" s="229"/>
      <c r="P639" s="229"/>
      <c r="Q639" s="228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9"/>
      <c r="M640" s="229"/>
      <c r="N640" s="229"/>
      <c r="O640" s="229"/>
      <c r="P640" s="229"/>
      <c r="Q640" s="228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9"/>
      <c r="M641" s="229"/>
      <c r="N641" s="229"/>
      <c r="O641" s="229"/>
      <c r="P641" s="229"/>
      <c r="Q641" s="228"/>
      <c r="R641" s="229"/>
      <c r="S641" s="229"/>
      <c r="T641" s="229"/>
      <c r="U641" s="229"/>
    </row>
    <row r="642" spans="1:21" ht="19.5" hidden="1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2"/>
      <c r="M642" s="742"/>
      <c r="N642" s="742"/>
      <c r="O642" s="742"/>
      <c r="P642" s="742"/>
      <c r="Q642" s="743"/>
      <c r="R642" s="742"/>
      <c r="S642" s="742"/>
      <c r="T642" s="742"/>
      <c r="U642" s="742"/>
    </row>
    <row r="643" spans="1:21" ht="19.5" hidden="1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264">
        <f t="shared" ref="L643:N643" si="394">L644+L645</f>
        <v>0</v>
      </c>
      <c r="M643" s="264">
        <f t="shared" si="394"/>
        <v>0</v>
      </c>
      <c r="N643" s="264">
        <f t="shared" si="394"/>
        <v>0</v>
      </c>
      <c r="O643" s="264">
        <f t="shared" ref="O643:O651" si="395">IF(L643&gt;0,N643*100/L643,0)</f>
        <v>0</v>
      </c>
      <c r="P643" s="264">
        <f t="shared" ref="P643:P651" si="396">IF(M643&gt;0,N643*100/M643,0)</f>
        <v>0</v>
      </c>
      <c r="Q643" s="1257">
        <f t="shared" ref="Q643:S643" ca="1" si="397">Q644+Q645</f>
        <v>0</v>
      </c>
      <c r="R643" s="264">
        <f t="shared" ca="1" si="397"/>
        <v>0</v>
      </c>
      <c r="S643" s="264">
        <f t="shared" ca="1" si="397"/>
        <v>0</v>
      </c>
      <c r="T643" s="264">
        <f t="shared" ref="T643:T651" ca="1" si="398">IF(Q643&gt;0,S643*100/Q643,0)</f>
        <v>0</v>
      </c>
      <c r="U643" s="264">
        <f t="shared" ref="U643:U651" ca="1" si="399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7">
        <f t="shared" ref="L644:N645" si="400">L647+L650</f>
        <v>0</v>
      </c>
      <c r="M644" s="77">
        <f t="shared" si="400"/>
        <v>0</v>
      </c>
      <c r="N644" s="77">
        <f t="shared" si="400"/>
        <v>0</v>
      </c>
      <c r="O644" s="77">
        <f t="shared" si="395"/>
        <v>0</v>
      </c>
      <c r="P644" s="77">
        <f t="shared" si="396"/>
        <v>0</v>
      </c>
      <c r="Q644" s="76">
        <f t="shared" ref="Q644:S645" si="401">Q647+Q650</f>
        <v>0</v>
      </c>
      <c r="R644" s="77">
        <f t="shared" si="401"/>
        <v>0</v>
      </c>
      <c r="S644" s="77">
        <f t="shared" si="401"/>
        <v>0</v>
      </c>
      <c r="T644" s="77">
        <f t="shared" si="398"/>
        <v>0</v>
      </c>
      <c r="U644" s="77">
        <f t="shared" si="399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4">
        <f t="shared" si="400"/>
        <v>0</v>
      </c>
      <c r="M645" s="74">
        <f t="shared" si="400"/>
        <v>0</v>
      </c>
      <c r="N645" s="74">
        <f t="shared" si="400"/>
        <v>0</v>
      </c>
      <c r="O645" s="74">
        <f t="shared" si="395"/>
        <v>0</v>
      </c>
      <c r="P645" s="74">
        <f t="shared" si="396"/>
        <v>0</v>
      </c>
      <c r="Q645" s="73">
        <f t="shared" ca="1" si="401"/>
        <v>0</v>
      </c>
      <c r="R645" s="74">
        <f t="shared" ca="1" si="401"/>
        <v>0</v>
      </c>
      <c r="S645" s="74">
        <f t="shared" ca="1" si="401"/>
        <v>0</v>
      </c>
      <c r="T645" s="74">
        <f t="shared" ca="1" si="398"/>
        <v>0</v>
      </c>
      <c r="U645" s="74">
        <f t="shared" ca="1" si="399"/>
        <v>0</v>
      </c>
    </row>
    <row r="646" spans="1:21" ht="18.75" hidden="1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4">
        <f t="shared" ref="L646:N646" si="402">L647+L648</f>
        <v>0</v>
      </c>
      <c r="M646" s="74">
        <f t="shared" si="402"/>
        <v>0</v>
      </c>
      <c r="N646" s="74">
        <f t="shared" si="402"/>
        <v>0</v>
      </c>
      <c r="O646" s="74">
        <f t="shared" si="395"/>
        <v>0</v>
      </c>
      <c r="P646" s="74">
        <f t="shared" si="396"/>
        <v>0</v>
      </c>
      <c r="Q646" s="73">
        <f t="shared" ref="Q646:S646" ca="1" si="403">Q647+Q648</f>
        <v>0</v>
      </c>
      <c r="R646" s="74">
        <f t="shared" ca="1" si="403"/>
        <v>0</v>
      </c>
      <c r="S646" s="74">
        <f t="shared" ca="1" si="403"/>
        <v>0</v>
      </c>
      <c r="T646" s="74">
        <f t="shared" ca="1" si="398"/>
        <v>0</v>
      </c>
      <c r="U646" s="74">
        <f t="shared" ca="1" si="399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7">
        <v>0</v>
      </c>
      <c r="M647" s="77">
        <v>0</v>
      </c>
      <c r="N647" s="77">
        <v>0</v>
      </c>
      <c r="O647" s="77">
        <f t="shared" si="395"/>
        <v>0</v>
      </c>
      <c r="P647" s="77">
        <f t="shared" si="396"/>
        <v>0</v>
      </c>
      <c r="Q647" s="76">
        <v>0</v>
      </c>
      <c r="R647" s="77">
        <v>0</v>
      </c>
      <c r="S647" s="77">
        <v>0</v>
      </c>
      <c r="T647" s="77">
        <f t="shared" si="398"/>
        <v>0</v>
      </c>
      <c r="U647" s="77">
        <f t="shared" si="399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4">
        <v>0</v>
      </c>
      <c r="M648" s="74">
        <v>0</v>
      </c>
      <c r="N648" s="74">
        <v>0</v>
      </c>
      <c r="O648" s="74">
        <f t="shared" si="395"/>
        <v>0</v>
      </c>
      <c r="P648" s="74">
        <f t="shared" si="396"/>
        <v>0</v>
      </c>
      <c r="Q648" s="73">
        <f ca="1">IFERROR(__xludf.DUMMYFUNCTION("IMPORTRANGE(""https://docs.google.com/spreadsheets/d/1ItG2mGa2ceCfYo0BwxsXqNm01IGEUdYcSSLTEv9YCik/edit?usp=sharing"",""เบิกจ่ายกองทุน!I58"")"),0)</f>
        <v>0</v>
      </c>
      <c r="R648" s="74">
        <f ca="1">IFERROR(__xludf.DUMMYFUNCTION("IMPORTRANGE(""https://docs.google.com/spreadsheets/d/1ItG2mGa2ceCfYo0BwxsXqNm01IGEUdYcSSLTEv9YCik/edit?usp=sharing"",""เบิกจ่ายกองทุน!J58"")"),0)</f>
        <v>0</v>
      </c>
      <c r="S648" s="74">
        <f ca="1">IFERROR(__xludf.DUMMYFUNCTION("IMPORTRANGE(""https://docs.google.com/spreadsheets/d/1ItG2mGa2ceCfYo0BwxsXqNm01IGEUdYcSSLTEv9YCik/edit?usp=sharing"",""เบิกจ่ายกองทุน!K58"")"),0)</f>
        <v>0</v>
      </c>
      <c r="T648" s="74">
        <f t="shared" ca="1" si="398"/>
        <v>0</v>
      </c>
      <c r="U648" s="74">
        <f t="shared" ca="1" si="399"/>
        <v>0</v>
      </c>
    </row>
    <row r="649" spans="1:21" ht="18.75" hidden="1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4">
        <f t="shared" ref="L649:N649" si="404">L650+L651</f>
        <v>0</v>
      </c>
      <c r="M649" s="74">
        <f t="shared" si="404"/>
        <v>0</v>
      </c>
      <c r="N649" s="74">
        <f t="shared" si="404"/>
        <v>0</v>
      </c>
      <c r="O649" s="74">
        <f t="shared" si="395"/>
        <v>0</v>
      </c>
      <c r="P649" s="74">
        <f t="shared" si="396"/>
        <v>0</v>
      </c>
      <c r="Q649" s="73">
        <f t="shared" ref="Q649:S649" si="405">Q650+Q651</f>
        <v>0</v>
      </c>
      <c r="R649" s="74">
        <f t="shared" si="405"/>
        <v>0</v>
      </c>
      <c r="S649" s="74">
        <f t="shared" si="405"/>
        <v>0</v>
      </c>
      <c r="T649" s="74">
        <f t="shared" si="398"/>
        <v>0</v>
      </c>
      <c r="U649" s="74">
        <f t="shared" si="399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7">
        <v>0</v>
      </c>
      <c r="M650" s="77">
        <v>0</v>
      </c>
      <c r="N650" s="77">
        <v>0</v>
      </c>
      <c r="O650" s="77">
        <f t="shared" si="395"/>
        <v>0</v>
      </c>
      <c r="P650" s="77">
        <f t="shared" si="396"/>
        <v>0</v>
      </c>
      <c r="Q650" s="76">
        <v>0</v>
      </c>
      <c r="R650" s="77">
        <v>0</v>
      </c>
      <c r="S650" s="77">
        <v>0</v>
      </c>
      <c r="T650" s="77">
        <f t="shared" si="398"/>
        <v>0</v>
      </c>
      <c r="U650" s="77">
        <f t="shared" si="399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4">
        <v>0</v>
      </c>
      <c r="M651" s="74">
        <v>0</v>
      </c>
      <c r="N651" s="74">
        <v>0</v>
      </c>
      <c r="O651" s="74">
        <f t="shared" si="395"/>
        <v>0</v>
      </c>
      <c r="P651" s="74">
        <f t="shared" si="396"/>
        <v>0</v>
      </c>
      <c r="Q651" s="73">
        <v>0</v>
      </c>
      <c r="R651" s="74">
        <v>0</v>
      </c>
      <c r="S651" s="74">
        <v>0</v>
      </c>
      <c r="T651" s="74">
        <f t="shared" si="398"/>
        <v>0</v>
      </c>
      <c r="U651" s="74">
        <f t="shared" si="399"/>
        <v>0</v>
      </c>
    </row>
    <row r="652" spans="1:21" ht="19.5" hidden="1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9"/>
      <c r="M652" s="229"/>
      <c r="N652" s="229"/>
      <c r="O652" s="229"/>
      <c r="P652" s="229"/>
      <c r="Q652" s="86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IFERROR(__xludf.DUMMYFUNCTION("IMPORTRANGE(""https://docs.google.com/spreadsheets/d/1eHaY18a8A9IcSdp1K8H6x8fbOy06t2VsZHhMHf-1x7Y/edit?usp=sharing"",""แผน!IF58"")"),0)</f>
        <v>0</v>
      </c>
      <c r="J653" s="293">
        <f ca="1">IFERROR(__xludf.DUMMYFUNCTION("IMPORTRANGE(""https://docs.google.com/spreadsheets/d/1tdoBKaGub7dwA3U6UFTqxio9LNnvDCQjHKmttSEBsFQ/edit?usp=sharing"",""จัดที่ดิน!AU58"")"),0)</f>
        <v>0</v>
      </c>
      <c r="K653" s="74">
        <f t="shared" ref="K653:K655" ca="1" si="406">IF(I653&gt;0,J653*100/I653,0)</f>
        <v>0</v>
      </c>
      <c r="L653" s="87"/>
      <c r="M653" s="87"/>
      <c r="N653" s="752"/>
      <c r="O653" s="87"/>
      <c r="P653" s="87"/>
      <c r="Q653" s="86"/>
      <c r="R653" s="87"/>
      <c r="S653" s="752"/>
      <c r="T653" s="87"/>
      <c r="U653" s="87"/>
    </row>
    <row r="654" spans="1:21" ht="18.75" hidden="1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IFERROR(__xludf.DUMMYFUNCTION("IMPORTRANGE(""https://docs.google.com/spreadsheets/d/1eHaY18a8A9IcSdp1K8H6x8fbOy06t2VsZHhMHf-1x7Y/edit?usp=sharing"",""แผน!IG58"")"),0)</f>
        <v>0</v>
      </c>
      <c r="J654" s="293">
        <f ca="1">IFERROR(__xludf.DUMMYFUNCTION("IMPORTRANGE(""https://docs.google.com/spreadsheets/d/1tdoBKaGub7dwA3U6UFTqxio9LNnvDCQjHKmttSEBsFQ/edit?usp=sharing"",""จัดที่ดิน!AW58"")"),0)</f>
        <v>0</v>
      </c>
      <c r="K654" s="74">
        <f t="shared" ca="1" si="406"/>
        <v>0</v>
      </c>
      <c r="L654" s="87"/>
      <c r="M654" s="87"/>
      <c r="N654" s="752"/>
      <c r="O654" s="87"/>
      <c r="P654" s="87"/>
      <c r="Q654" s="86"/>
      <c r="R654" s="87"/>
      <c r="S654" s="752"/>
      <c r="T654" s="87"/>
      <c r="U654" s="87"/>
    </row>
    <row r="655" spans="1:21" ht="19.5" hidden="1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IFERROR(__xludf.DUMMYFUNCTION("IMPORTRANGE(""https://docs.google.com/spreadsheets/d/1eHaY18a8A9IcSdp1K8H6x8fbOy06t2VsZHhMHf-1x7Y/edit?usp=sharing"",""แผน!IH58"")"),0)</f>
        <v>0</v>
      </c>
      <c r="J655" s="622">
        <f>J658+J661</f>
        <v>0</v>
      </c>
      <c r="K655" s="264">
        <f t="shared" ca="1" si="406"/>
        <v>0</v>
      </c>
      <c r="L655" s="87"/>
      <c r="M655" s="87"/>
      <c r="N655" s="752"/>
      <c r="O655" s="87"/>
      <c r="P655" s="87"/>
      <c r="Q655" s="86"/>
      <c r="R655" s="87"/>
      <c r="S655" s="752"/>
      <c r="T655" s="87"/>
      <c r="U655" s="87"/>
    </row>
    <row r="656" spans="1:21" ht="18.75" hidden="1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7"/>
      <c r="M656" s="87"/>
      <c r="N656" s="752"/>
      <c r="O656" s="87"/>
      <c r="P656" s="87"/>
      <c r="Q656" s="86"/>
      <c r="R656" s="87"/>
      <c r="S656" s="752"/>
      <c r="T656" s="87"/>
      <c r="U656" s="87"/>
    </row>
    <row r="657" spans="1:21" ht="18.75" hidden="1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7"/>
      <c r="M657" s="87"/>
      <c r="N657" s="752"/>
      <c r="O657" s="87"/>
      <c r="P657" s="87"/>
      <c r="Q657" s="86"/>
      <c r="R657" s="87"/>
      <c r="S657" s="752"/>
      <c r="T657" s="87"/>
      <c r="U657" s="87"/>
    </row>
    <row r="658" spans="1:21" ht="18.75" hidden="1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IFERROR(__xludf.DUMMYFUNCTION("IMPORTRANGE(""https://docs.google.com/spreadsheets/d/1eHaY18a8A9IcSdp1K8H6x8fbOy06t2VsZHhMHf-1x7Y/edit?usp=sharing"",""แผน!II58"")"),0)</f>
        <v>0</v>
      </c>
      <c r="J658" s="294">
        <v>0</v>
      </c>
      <c r="K658" s="87"/>
      <c r="L658" s="87"/>
      <c r="M658" s="87"/>
      <c r="N658" s="752"/>
      <c r="O658" s="87"/>
      <c r="P658" s="87"/>
      <c r="Q658" s="86"/>
      <c r="R658" s="87"/>
      <c r="S658" s="752"/>
      <c r="T658" s="87"/>
      <c r="U658" s="87"/>
    </row>
    <row r="659" spans="1:21" ht="18.75" hidden="1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7"/>
      <c r="M659" s="87"/>
      <c r="N659" s="752"/>
      <c r="O659" s="87"/>
      <c r="P659" s="87"/>
      <c r="Q659" s="86"/>
      <c r="R659" s="87"/>
      <c r="S659" s="752"/>
      <c r="T659" s="87"/>
      <c r="U659" s="87"/>
    </row>
    <row r="660" spans="1:21" ht="18.75" hidden="1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7"/>
      <c r="M660" s="87"/>
      <c r="N660" s="752"/>
      <c r="O660" s="87"/>
      <c r="P660" s="87"/>
      <c r="Q660" s="86"/>
      <c r="R660" s="87"/>
      <c r="S660" s="752"/>
      <c r="T660" s="87"/>
      <c r="U660" s="87"/>
    </row>
    <row r="661" spans="1:21" ht="18.75" hidden="1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IFERROR(__xludf.DUMMYFUNCTION("IMPORTRANGE(""https://docs.google.com/spreadsheets/d/1eHaY18a8A9IcSdp1K8H6x8fbOy06t2VsZHhMHf-1x7Y/edit?usp=sharing"",""แผน!IJ58"")"),0)</f>
        <v>0</v>
      </c>
      <c r="J661" s="294">
        <v>0</v>
      </c>
      <c r="K661" s="87"/>
      <c r="L661" s="87"/>
      <c r="M661" s="87"/>
      <c r="N661" s="752"/>
      <c r="O661" s="87"/>
      <c r="P661" s="87"/>
      <c r="Q661" s="86"/>
      <c r="R661" s="87"/>
      <c r="S661" s="752"/>
      <c r="T661" s="87"/>
      <c r="U661" s="87"/>
    </row>
    <row r="662" spans="1:21" ht="19.5" hidden="1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IFERROR(__xludf.DUMMYFUNCTION("IMPORTRANGE(""https://docs.google.com/spreadsheets/d/1eHaY18a8A9IcSdp1K8H6x8fbOy06t2VsZHhMHf-1x7Y/edit?usp=sharing"",""แผน!IK58"")"),0)</f>
        <v>0</v>
      </c>
      <c r="J662" s="622">
        <f>J668+J671</f>
        <v>0</v>
      </c>
      <c r="K662" s="264">
        <f ca="1">IF(I662&gt;0,J662*100/I662,0)</f>
        <v>0</v>
      </c>
      <c r="L662" s="87"/>
      <c r="M662" s="87"/>
      <c r="N662" s="752"/>
      <c r="O662" s="87"/>
      <c r="P662" s="87"/>
      <c r="Q662" s="86"/>
      <c r="R662" s="87"/>
      <c r="S662" s="752"/>
      <c r="T662" s="87"/>
      <c r="U662" s="87"/>
    </row>
    <row r="663" spans="1:21" ht="18.75" hidden="1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2"/>
      <c r="M663" s="87"/>
      <c r="N663" s="752"/>
      <c r="O663" s="87"/>
      <c r="P663" s="87"/>
      <c r="Q663" s="754"/>
      <c r="R663" s="87"/>
      <c r="S663" s="752"/>
      <c r="T663" s="87"/>
      <c r="U663" s="87"/>
    </row>
    <row r="664" spans="1:21" ht="18.75" hidden="1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2"/>
      <c r="M664" s="87"/>
      <c r="N664" s="752"/>
      <c r="O664" s="87"/>
      <c r="P664" s="87"/>
      <c r="Q664" s="754"/>
      <c r="R664" s="87"/>
      <c r="S664" s="752"/>
      <c r="T664" s="87"/>
      <c r="U664" s="87"/>
    </row>
    <row r="665" spans="1:21" ht="18.75" hidden="1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2"/>
      <c r="M665" s="87"/>
      <c r="N665" s="752"/>
      <c r="O665" s="87"/>
      <c r="P665" s="87"/>
      <c r="Q665" s="754"/>
      <c r="R665" s="87"/>
      <c r="S665" s="752"/>
      <c r="T665" s="87"/>
      <c r="U665" s="87"/>
    </row>
    <row r="666" spans="1:21" ht="18.75" hidden="1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2"/>
      <c r="M666" s="87"/>
      <c r="N666" s="752"/>
      <c r="O666" s="87"/>
      <c r="P666" s="87"/>
      <c r="Q666" s="754"/>
      <c r="R666" s="87"/>
      <c r="S666" s="752"/>
      <c r="T666" s="87"/>
      <c r="U666" s="87"/>
    </row>
    <row r="667" spans="1:21" ht="18.75" hidden="1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2"/>
      <c r="M667" s="87"/>
      <c r="N667" s="752"/>
      <c r="O667" s="87"/>
      <c r="P667" s="87"/>
      <c r="Q667" s="754"/>
      <c r="R667" s="87"/>
      <c r="S667" s="752"/>
      <c r="T667" s="87"/>
      <c r="U667" s="87"/>
    </row>
    <row r="668" spans="1:21" ht="18.75" hidden="1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2"/>
      <c r="M668" s="87"/>
      <c r="N668" s="752"/>
      <c r="O668" s="87"/>
      <c r="P668" s="87"/>
      <c r="Q668" s="754"/>
      <c r="R668" s="87"/>
      <c r="S668" s="752"/>
      <c r="T668" s="87"/>
      <c r="U668" s="87"/>
    </row>
    <row r="669" spans="1:21" ht="18.75" hidden="1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2"/>
      <c r="M669" s="87"/>
      <c r="N669" s="752"/>
      <c r="O669" s="87"/>
      <c r="P669" s="87"/>
      <c r="Q669" s="754"/>
      <c r="R669" s="87"/>
      <c r="S669" s="752"/>
      <c r="T669" s="87"/>
      <c r="U669" s="87"/>
    </row>
    <row r="670" spans="1:21" ht="18.75" hidden="1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2"/>
      <c r="M670" s="87"/>
      <c r="N670" s="752"/>
      <c r="O670" s="87"/>
      <c r="P670" s="87"/>
      <c r="Q670" s="754"/>
      <c r="R670" s="87"/>
      <c r="S670" s="752"/>
      <c r="T670" s="87"/>
      <c r="U670" s="87"/>
    </row>
    <row r="671" spans="1:21" ht="18.75" hidden="1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2"/>
      <c r="M671" s="87"/>
      <c r="N671" s="752"/>
      <c r="O671" s="87"/>
      <c r="P671" s="87"/>
      <c r="Q671" s="754"/>
      <c r="R671" s="87"/>
      <c r="S671" s="752"/>
      <c r="T671" s="87"/>
      <c r="U671" s="87"/>
    </row>
    <row r="672" spans="1:21" ht="18.75" hidden="1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IFERROR(__xludf.DUMMYFUNCTION("IMPORTRANGE(""https://docs.google.com/spreadsheets/d/1tdoBKaGub7dwA3U6UFTqxio9LNnvDCQjHKmttSEBsFQ/edit?usp=sharing"",""จัดที่ดิน!AY58"")"),0)</f>
        <v>0</v>
      </c>
      <c r="K672" s="87"/>
      <c r="L672" s="87"/>
      <c r="M672" s="87"/>
      <c r="N672" s="752"/>
      <c r="O672" s="87"/>
      <c r="P672" s="87"/>
      <c r="Q672" s="86"/>
      <c r="R672" s="87"/>
      <c r="S672" s="752"/>
      <c r="T672" s="87"/>
      <c r="U672" s="87"/>
    </row>
    <row r="673" spans="1:21" ht="18.75" hidden="1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IFERROR(__xludf.DUMMYFUNCTION("IMPORTRANGE(""https://docs.google.com/spreadsheets/d/1tdoBKaGub7dwA3U6UFTqxio9LNnvDCQjHKmttSEBsFQ/edit?usp=sharing"",""จัดที่ดิน!AZ58"")"),0)</f>
        <v>0</v>
      </c>
      <c r="K673" s="87"/>
      <c r="L673" s="752"/>
      <c r="M673" s="87"/>
      <c r="N673" s="752"/>
      <c r="O673" s="87"/>
      <c r="P673" s="87"/>
      <c r="Q673" s="754"/>
      <c r="R673" s="87"/>
      <c r="S673" s="752"/>
      <c r="T673" s="87"/>
      <c r="U673" s="87"/>
    </row>
    <row r="674" spans="1:21" ht="18.75" hidden="1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IFERROR(__xludf.DUMMYFUNCTION("IMPORTRANGE(""https://docs.google.com/spreadsheets/d/1eHaY18a8A9IcSdp1K8H6x8fbOy06t2VsZHhMHf-1x7Y/edit?usp=sharing"",""แผน!IL58"")"),0)</f>
        <v>0</v>
      </c>
      <c r="J674" s="293">
        <f ca="1">IFERROR(__xludf.DUMMYFUNCTION("IMPORTRANGE(""https://docs.google.com/spreadsheets/d/1tdoBKaGub7dwA3U6UFTqxio9LNnvDCQjHKmttSEBsFQ/edit?usp=sharing"",""จัดที่ดิน!BA58"")"),0)</f>
        <v>0</v>
      </c>
      <c r="K674" s="74">
        <f t="shared" ref="K674:K677" ca="1" si="407">IF(I674&gt;0,J674*100/I674,0)</f>
        <v>0</v>
      </c>
      <c r="L674" s="752"/>
      <c r="M674" s="87"/>
      <c r="N674" s="752"/>
      <c r="O674" s="87"/>
      <c r="P674" s="87"/>
      <c r="Q674" s="754"/>
      <c r="R674" s="87"/>
      <c r="S674" s="752"/>
      <c r="T674" s="87"/>
      <c r="U674" s="87"/>
    </row>
    <row r="675" spans="1:21" ht="19.5" hidden="1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IFERROR(__xludf.DUMMYFUNCTION("IMPORTRANGE(""https://docs.google.com/spreadsheets/d/1eHaY18a8A9IcSdp1K8H6x8fbOy06t2VsZHhMHf-1x7Y/edit?usp=sharing"",""แผน!IM58"")"),0)</f>
        <v>0</v>
      </c>
      <c r="J675" s="622">
        <f ca="1">J677+J680</f>
        <v>0</v>
      </c>
      <c r="K675" s="264">
        <f t="shared" ca="1" si="407"/>
        <v>0</v>
      </c>
      <c r="L675" s="752"/>
      <c r="M675" s="87"/>
      <c r="N675" s="752"/>
      <c r="O675" s="87"/>
      <c r="P675" s="87"/>
      <c r="Q675" s="754"/>
      <c r="R675" s="87"/>
      <c r="S675" s="752"/>
      <c r="T675" s="87"/>
      <c r="U675" s="87"/>
    </row>
    <row r="676" spans="1:21" ht="19.5" hidden="1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IFERROR(__xludf.DUMMYFUNCTION("IMPORTRANGE(""https://docs.google.com/spreadsheets/d/1eHaY18a8A9IcSdp1K8H6x8fbOy06t2VsZHhMHf-1x7Y/edit?usp=sharing"",""แผน!IN58"")"),0)</f>
        <v>0</v>
      </c>
      <c r="J676" s="622">
        <f ca="1">J679+J682</f>
        <v>0</v>
      </c>
      <c r="K676" s="264">
        <f t="shared" ca="1" si="407"/>
        <v>0</v>
      </c>
      <c r="L676" s="87"/>
      <c r="M676" s="87"/>
      <c r="N676" s="752"/>
      <c r="O676" s="87"/>
      <c r="P676" s="87"/>
      <c r="Q676" s="86"/>
      <c r="R676" s="87"/>
      <c r="S676" s="752"/>
      <c r="T676" s="87"/>
      <c r="U676" s="87"/>
    </row>
    <row r="677" spans="1:21" ht="18.75" hidden="1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IFERROR(__xludf.DUMMYFUNCTION("IMPORTRANGE(""https://docs.google.com/spreadsheets/d/1eHaY18a8A9IcSdp1K8H6x8fbOy06t2VsZHhMHf-1x7Y/edit?usp=sharing"",""แผน!IO58"")"),0)</f>
        <v>0</v>
      </c>
      <c r="J677" s="293">
        <f ca="1">IFERROR(__xludf.DUMMYFUNCTION("IMPORTRANGE(""https://docs.google.com/spreadsheets/d/1tdoBKaGub7dwA3U6UFTqxio9LNnvDCQjHKmttSEBsFQ/edit?usp=sharing"",""จัดที่ดิน!BF58"")"),0)</f>
        <v>0</v>
      </c>
      <c r="K677" s="74">
        <f t="shared" ca="1" si="407"/>
        <v>0</v>
      </c>
      <c r="L677" s="87"/>
      <c r="M677" s="87"/>
      <c r="N677" s="752"/>
      <c r="O677" s="87"/>
      <c r="P677" s="87"/>
      <c r="Q677" s="86"/>
      <c r="R677" s="87"/>
      <c r="S677" s="752"/>
      <c r="T677" s="87"/>
      <c r="U677" s="87"/>
    </row>
    <row r="678" spans="1:21" ht="18.75" hidden="1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IFERROR(__xludf.DUMMYFUNCTION("IMPORTRANGE(""https://docs.google.com/spreadsheets/d/1tdoBKaGub7dwA3U6UFTqxio9LNnvDCQjHKmttSEBsFQ/edit?usp=sharing"",""จัดที่ดิน!BG58"")"),0)</f>
        <v>0</v>
      </c>
      <c r="K678" s="87"/>
      <c r="L678" s="752"/>
      <c r="M678" s="87"/>
      <c r="N678" s="752"/>
      <c r="O678" s="87"/>
      <c r="P678" s="87"/>
      <c r="Q678" s="754"/>
      <c r="R678" s="87"/>
      <c r="S678" s="752"/>
      <c r="T678" s="87"/>
      <c r="U678" s="87"/>
    </row>
    <row r="679" spans="1:21" ht="18.75" hidden="1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IFERROR(__xludf.DUMMYFUNCTION("IMPORTRANGE(""https://docs.google.com/spreadsheets/d/1eHaY18a8A9IcSdp1K8H6x8fbOy06t2VsZHhMHf-1x7Y/edit?usp=sharing"",""แผน!IP58"")"),0)</f>
        <v>0</v>
      </c>
      <c r="J679" s="293">
        <f ca="1">IFERROR(__xludf.DUMMYFUNCTION("IMPORTRANGE(""https://docs.google.com/spreadsheets/d/1tdoBKaGub7dwA3U6UFTqxio9LNnvDCQjHKmttSEBsFQ/edit?usp=sharing"",""จัดที่ดิน!BH58"")"),0)</f>
        <v>0</v>
      </c>
      <c r="K679" s="74">
        <f t="shared" ref="K679:K680" ca="1" si="408">IF(I679&gt;0,J679*100/I679,0)</f>
        <v>0</v>
      </c>
      <c r="L679" s="752"/>
      <c r="M679" s="87"/>
      <c r="N679" s="752"/>
      <c r="O679" s="87"/>
      <c r="P679" s="87"/>
      <c r="Q679" s="754"/>
      <c r="R679" s="87"/>
      <c r="S679" s="752"/>
      <c r="T679" s="87"/>
      <c r="U679" s="87"/>
    </row>
    <row r="680" spans="1:21" ht="18.75" hidden="1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IFERROR(__xludf.DUMMYFUNCTION("IMPORTRANGE(""https://docs.google.com/spreadsheets/d/1eHaY18a8A9IcSdp1K8H6x8fbOy06t2VsZHhMHf-1x7Y/edit?usp=sharing"",""แผน!IQ58"")"),0)</f>
        <v>0</v>
      </c>
      <c r="J680" s="293">
        <f ca="1">IFERROR(__xludf.DUMMYFUNCTION("IMPORTRANGE(""https://docs.google.com/spreadsheets/d/1tdoBKaGub7dwA3U6UFTqxio9LNnvDCQjHKmttSEBsFQ/edit?usp=sharing"",""จัดที่ดิน!BK58"")"),0)</f>
        <v>0</v>
      </c>
      <c r="K680" s="74">
        <f t="shared" ca="1" si="408"/>
        <v>0</v>
      </c>
      <c r="L680" s="87"/>
      <c r="M680" s="87"/>
      <c r="N680" s="752"/>
      <c r="O680" s="87"/>
      <c r="P680" s="87"/>
      <c r="Q680" s="86"/>
      <c r="R680" s="87"/>
      <c r="S680" s="752"/>
      <c r="T680" s="87"/>
      <c r="U680" s="87"/>
    </row>
    <row r="681" spans="1:21" ht="18.75" hidden="1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IFERROR(__xludf.DUMMYFUNCTION("IMPORTRANGE(""https://docs.google.com/spreadsheets/d/1tdoBKaGub7dwA3U6UFTqxio9LNnvDCQjHKmttSEBsFQ/edit?usp=sharing"",""จัดที่ดิน!BL58"")"),0)</f>
        <v>0</v>
      </c>
      <c r="K681" s="87"/>
      <c r="L681" s="752"/>
      <c r="M681" s="87"/>
      <c r="N681" s="752"/>
      <c r="O681" s="87"/>
      <c r="P681" s="87"/>
      <c r="Q681" s="754"/>
      <c r="R681" s="87"/>
      <c r="S681" s="752"/>
      <c r="T681" s="87"/>
      <c r="U681" s="87"/>
    </row>
    <row r="682" spans="1:21" ht="18.75" hidden="1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IFERROR(__xludf.DUMMYFUNCTION("IMPORTRANGE(""https://docs.google.com/spreadsheets/d/1eHaY18a8A9IcSdp1K8H6x8fbOy06t2VsZHhMHf-1x7Y/edit?usp=sharing"",""แผน!IR58"")"),0)</f>
        <v>0</v>
      </c>
      <c r="J682" s="293">
        <f ca="1">IFERROR(__xludf.DUMMYFUNCTION("IMPORTRANGE(""https://docs.google.com/spreadsheets/d/1tdoBKaGub7dwA3U6UFTqxio9LNnvDCQjHKmttSEBsFQ/edit?usp=sharing"",""จัดที่ดิน!BM58"")"),0)</f>
        <v>0</v>
      </c>
      <c r="K682" s="74">
        <f t="shared" ref="K682:K683" ca="1" si="409">IF(I682&gt;0,J682*100/I682,0)</f>
        <v>0</v>
      </c>
      <c r="L682" s="752"/>
      <c r="M682" s="87"/>
      <c r="N682" s="752"/>
      <c r="O682" s="87"/>
      <c r="P682" s="87"/>
      <c r="Q682" s="754"/>
      <c r="R682" s="87"/>
      <c r="S682" s="752"/>
      <c r="T682" s="87"/>
      <c r="U682" s="87"/>
    </row>
    <row r="683" spans="1:21" ht="19.5" hidden="1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IFERROR(__xludf.DUMMYFUNCTION("IMPORTRANGE(""https://docs.google.com/spreadsheets/d/1eHaY18a8A9IcSdp1K8H6x8fbOy06t2VsZHhMHf-1x7Y/edit?usp=sharing"",""แผน!IS58"")"),0)</f>
        <v>0</v>
      </c>
      <c r="J683" s="622">
        <f>J686+J689</f>
        <v>0</v>
      </c>
      <c r="K683" s="264">
        <f t="shared" ca="1" si="409"/>
        <v>0</v>
      </c>
      <c r="L683" s="87"/>
      <c r="M683" s="87"/>
      <c r="N683" s="752"/>
      <c r="O683" s="87"/>
      <c r="P683" s="87"/>
      <c r="Q683" s="86"/>
      <c r="R683" s="87"/>
      <c r="S683" s="752"/>
      <c r="T683" s="87"/>
      <c r="U683" s="87"/>
    </row>
    <row r="684" spans="1:21" ht="18.75" hidden="1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2"/>
      <c r="M684" s="87"/>
      <c r="N684" s="752"/>
      <c r="O684" s="87"/>
      <c r="P684" s="87"/>
      <c r="Q684" s="754"/>
      <c r="R684" s="87"/>
      <c r="S684" s="752"/>
      <c r="T684" s="87"/>
      <c r="U684" s="87"/>
    </row>
    <row r="685" spans="1:21" ht="18.75" hidden="1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2"/>
      <c r="M685" s="87"/>
      <c r="N685" s="752"/>
      <c r="O685" s="87"/>
      <c r="P685" s="87"/>
      <c r="Q685" s="754"/>
      <c r="R685" s="87"/>
      <c r="S685" s="752"/>
      <c r="T685" s="87"/>
      <c r="U685" s="87"/>
    </row>
    <row r="686" spans="1:21" ht="18.75" hidden="1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2"/>
      <c r="M686" s="87"/>
      <c r="N686" s="752"/>
      <c r="O686" s="87"/>
      <c r="P686" s="87"/>
      <c r="Q686" s="754"/>
      <c r="R686" s="87"/>
      <c r="S686" s="752"/>
      <c r="T686" s="87"/>
      <c r="U686" s="87"/>
    </row>
    <row r="687" spans="1:21" ht="18.75" hidden="1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2"/>
      <c r="M687" s="87"/>
      <c r="N687" s="752"/>
      <c r="O687" s="87"/>
      <c r="P687" s="87"/>
      <c r="Q687" s="754"/>
      <c r="R687" s="87"/>
      <c r="S687" s="752"/>
      <c r="T687" s="87"/>
      <c r="U687" s="87"/>
    </row>
    <row r="688" spans="1:21" ht="18.75" hidden="1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2"/>
      <c r="M688" s="87"/>
      <c r="N688" s="752"/>
      <c r="O688" s="87"/>
      <c r="P688" s="87"/>
      <c r="Q688" s="754"/>
      <c r="R688" s="87"/>
      <c r="S688" s="752"/>
      <c r="T688" s="87"/>
      <c r="U688" s="87"/>
    </row>
    <row r="689" spans="1:21" ht="19.5" hidden="1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2"/>
      <c r="M689" s="98"/>
      <c r="N689" s="762"/>
      <c r="O689" s="98"/>
      <c r="P689" s="98"/>
      <c r="Q689" s="763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64" t="s">
        <v>35</v>
      </c>
      <c r="I690" s="765">
        <f t="shared" ref="I690:J690" ca="1" si="410">I708</f>
        <v>0</v>
      </c>
      <c r="J690" s="765">
        <f t="shared" ca="1" si="410"/>
        <v>0</v>
      </c>
      <c r="K690" s="766">
        <f ca="1">IF(I690&gt;0,J690*100/I690,0)</f>
        <v>0</v>
      </c>
      <c r="L690" s="733"/>
      <c r="M690" s="733"/>
      <c r="N690" s="733"/>
      <c r="O690" s="733"/>
      <c r="P690" s="733"/>
      <c r="Q690" s="734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264">
        <f t="shared" ref="L691:N691" si="411">L692+L693</f>
        <v>0</v>
      </c>
      <c r="M691" s="264">
        <f t="shared" si="411"/>
        <v>0</v>
      </c>
      <c r="N691" s="264">
        <f t="shared" si="411"/>
        <v>0</v>
      </c>
      <c r="O691" s="264">
        <f t="shared" ref="O691:O699" si="412">IF(L691&gt;0,N691*100/L691,0)</f>
        <v>0</v>
      </c>
      <c r="P691" s="264">
        <f t="shared" ref="P691:P699" si="413">IF(M691&gt;0,N691*100/M691,0)</f>
        <v>0</v>
      </c>
      <c r="Q691" s="1257">
        <f t="shared" ref="Q691:S691" ca="1" si="414">Q692+Q693</f>
        <v>60530</v>
      </c>
      <c r="R691" s="264">
        <f t="shared" ca="1" si="414"/>
        <v>60530</v>
      </c>
      <c r="S691" s="264">
        <f t="shared" ca="1" si="414"/>
        <v>0</v>
      </c>
      <c r="T691" s="264">
        <f t="shared" ref="T691:T699" ca="1" si="415">IF(Q691&gt;0,S691*100/Q691,0)</f>
        <v>0</v>
      </c>
      <c r="U691" s="264">
        <f t="shared" ref="U691:U699" ca="1" si="416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7">
        <f t="shared" ref="L692:N693" si="417">L695+L698</f>
        <v>0</v>
      </c>
      <c r="M692" s="77">
        <f t="shared" si="417"/>
        <v>0</v>
      </c>
      <c r="N692" s="77">
        <f t="shared" si="417"/>
        <v>0</v>
      </c>
      <c r="O692" s="77">
        <f t="shared" si="412"/>
        <v>0</v>
      </c>
      <c r="P692" s="77">
        <f t="shared" si="413"/>
        <v>0</v>
      </c>
      <c r="Q692" s="76">
        <f t="shared" ref="Q692:S693" si="418">Q695+Q698</f>
        <v>0</v>
      </c>
      <c r="R692" s="77">
        <f t="shared" si="418"/>
        <v>0</v>
      </c>
      <c r="S692" s="77">
        <f t="shared" si="418"/>
        <v>0</v>
      </c>
      <c r="T692" s="77">
        <f t="shared" si="415"/>
        <v>0</v>
      </c>
      <c r="U692" s="77">
        <f t="shared" si="416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4">
        <f t="shared" si="417"/>
        <v>0</v>
      </c>
      <c r="M693" s="74">
        <f t="shared" si="417"/>
        <v>0</v>
      </c>
      <c r="N693" s="74">
        <f t="shared" si="417"/>
        <v>0</v>
      </c>
      <c r="O693" s="74">
        <f t="shared" si="412"/>
        <v>0</v>
      </c>
      <c r="P693" s="74">
        <f t="shared" si="413"/>
        <v>0</v>
      </c>
      <c r="Q693" s="73">
        <f t="shared" ca="1" si="418"/>
        <v>60530</v>
      </c>
      <c r="R693" s="74">
        <f t="shared" ca="1" si="418"/>
        <v>60530</v>
      </c>
      <c r="S693" s="74">
        <f t="shared" ca="1" si="418"/>
        <v>0</v>
      </c>
      <c r="T693" s="74">
        <f t="shared" ca="1" si="415"/>
        <v>0</v>
      </c>
      <c r="U693" s="74">
        <f t="shared" ca="1" si="416"/>
        <v>0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4">
        <f t="shared" ref="L694:N694" si="419">L695+L696</f>
        <v>0</v>
      </c>
      <c r="M694" s="74">
        <f t="shared" si="419"/>
        <v>0</v>
      </c>
      <c r="N694" s="74">
        <f t="shared" si="419"/>
        <v>0</v>
      </c>
      <c r="O694" s="74">
        <f t="shared" si="412"/>
        <v>0</v>
      </c>
      <c r="P694" s="74">
        <f t="shared" si="413"/>
        <v>0</v>
      </c>
      <c r="Q694" s="73">
        <f t="shared" ref="Q694:S694" ca="1" si="420">Q695+Q696</f>
        <v>60530</v>
      </c>
      <c r="R694" s="74">
        <f t="shared" ca="1" si="420"/>
        <v>60530</v>
      </c>
      <c r="S694" s="74">
        <f t="shared" ca="1" si="420"/>
        <v>0</v>
      </c>
      <c r="T694" s="74">
        <f t="shared" ca="1" si="415"/>
        <v>0</v>
      </c>
      <c r="U694" s="74">
        <f t="shared" ca="1" si="416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7">
        <v>0</v>
      </c>
      <c r="M695" s="77">
        <v>0</v>
      </c>
      <c r="N695" s="77">
        <v>0</v>
      </c>
      <c r="O695" s="77">
        <f t="shared" si="412"/>
        <v>0</v>
      </c>
      <c r="P695" s="77">
        <f t="shared" si="413"/>
        <v>0</v>
      </c>
      <c r="Q695" s="76">
        <v>0</v>
      </c>
      <c r="R695" s="77">
        <v>0</v>
      </c>
      <c r="S695" s="77">
        <v>0</v>
      </c>
      <c r="T695" s="77">
        <f t="shared" si="415"/>
        <v>0</v>
      </c>
      <c r="U695" s="77">
        <f t="shared" si="416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4">
        <v>0</v>
      </c>
      <c r="M696" s="74">
        <v>0</v>
      </c>
      <c r="N696" s="74">
        <v>0</v>
      </c>
      <c r="O696" s="74">
        <f t="shared" si="412"/>
        <v>0</v>
      </c>
      <c r="P696" s="74">
        <f t="shared" si="413"/>
        <v>0</v>
      </c>
      <c r="Q696" s="73">
        <f ca="1">IFERROR(__xludf.DUMMYFUNCTION("IMPORTRANGE(""https://docs.google.com/spreadsheets/d/1ItG2mGa2ceCfYo0BwxsXqNm01IGEUdYcSSLTEv9YCik/edit?usp=sharing"",""เบิกจ่ายกองทุน!L58"")"),60530)</f>
        <v>60530</v>
      </c>
      <c r="R696" s="74">
        <f ca="1">IFERROR(__xludf.DUMMYFUNCTION("IMPORTRANGE(""https://docs.google.com/spreadsheets/d/1ItG2mGa2ceCfYo0BwxsXqNm01IGEUdYcSSLTEv9YCik/edit?usp=sharing"",""เบิกจ่ายกองทุน!M58"")"),60530)</f>
        <v>60530</v>
      </c>
      <c r="S696" s="74">
        <f ca="1">IFERROR(__xludf.DUMMYFUNCTION("IMPORTRANGE(""https://docs.google.com/spreadsheets/d/1ItG2mGa2ceCfYo0BwxsXqNm01IGEUdYcSSLTEv9YCik/edit?usp=sharing"",""เบิกจ่ายกองทุน!N58"")"),0)</f>
        <v>0</v>
      </c>
      <c r="T696" s="74">
        <f t="shared" ca="1" si="415"/>
        <v>0</v>
      </c>
      <c r="U696" s="74">
        <f t="shared" ca="1" si="416"/>
        <v>0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4">
        <f t="shared" ref="L697:N697" si="421">L698+L699</f>
        <v>0</v>
      </c>
      <c r="M697" s="74">
        <f t="shared" si="421"/>
        <v>0</v>
      </c>
      <c r="N697" s="74">
        <f t="shared" si="421"/>
        <v>0</v>
      </c>
      <c r="O697" s="74">
        <f t="shared" si="412"/>
        <v>0</v>
      </c>
      <c r="P697" s="74">
        <f t="shared" si="413"/>
        <v>0</v>
      </c>
      <c r="Q697" s="73">
        <f t="shared" ref="Q697:S697" si="422">Q698+Q699</f>
        <v>0</v>
      </c>
      <c r="R697" s="74">
        <f t="shared" si="422"/>
        <v>0</v>
      </c>
      <c r="S697" s="74">
        <f t="shared" si="422"/>
        <v>0</v>
      </c>
      <c r="T697" s="74">
        <f t="shared" si="415"/>
        <v>0</v>
      </c>
      <c r="U697" s="74">
        <f t="shared" si="416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7">
        <v>0</v>
      </c>
      <c r="M698" s="77">
        <v>0</v>
      </c>
      <c r="N698" s="77">
        <v>0</v>
      </c>
      <c r="O698" s="77">
        <f t="shared" si="412"/>
        <v>0</v>
      </c>
      <c r="P698" s="77">
        <f t="shared" si="413"/>
        <v>0</v>
      </c>
      <c r="Q698" s="76">
        <v>0</v>
      </c>
      <c r="R698" s="77">
        <v>0</v>
      </c>
      <c r="S698" s="77">
        <v>0</v>
      </c>
      <c r="T698" s="77">
        <f t="shared" si="415"/>
        <v>0</v>
      </c>
      <c r="U698" s="77">
        <f t="shared" si="416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4">
        <v>0</v>
      </c>
      <c r="M699" s="74">
        <v>0</v>
      </c>
      <c r="N699" s="74">
        <v>0</v>
      </c>
      <c r="O699" s="74">
        <f t="shared" si="412"/>
        <v>0</v>
      </c>
      <c r="P699" s="74">
        <f t="shared" si="413"/>
        <v>0</v>
      </c>
      <c r="Q699" s="73">
        <v>0</v>
      </c>
      <c r="R699" s="74">
        <v>0</v>
      </c>
      <c r="S699" s="74">
        <v>0</v>
      </c>
      <c r="T699" s="74">
        <f t="shared" si="415"/>
        <v>0</v>
      </c>
      <c r="U699" s="74">
        <f t="shared" si="416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7"/>
      <c r="M700" s="87"/>
      <c r="N700" s="87"/>
      <c r="O700" s="87"/>
      <c r="P700" s="87"/>
      <c r="Q700" s="86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IFERROR(__xludf.DUMMYFUNCTION("IMPORTRANGE(""https://docs.google.com/spreadsheets/d/1eHaY18a8A9IcSdp1K8H6x8fbOy06t2VsZHhMHf-1x7Y/edit?usp=sharing"",""แผน!LC58"")"),0)</f>
        <v>0</v>
      </c>
      <c r="J701" s="294">
        <v>0</v>
      </c>
      <c r="K701" s="768">
        <f t="shared" ref="K701:K711" ca="1" si="423">IF(I701&gt;0,J701*100/I701,0)</f>
        <v>0</v>
      </c>
      <c r="L701" s="229"/>
      <c r="M701" s="229"/>
      <c r="N701" s="87"/>
      <c r="O701" s="229"/>
      <c r="P701" s="229"/>
      <c r="Q701" s="228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t="shared" ref="I702:J702" ca="1" si="424">I704+I706</f>
        <v>4</v>
      </c>
      <c r="J702" s="622">
        <f t="shared" ca="1" si="424"/>
        <v>0</v>
      </c>
      <c r="K702" s="264">
        <f t="shared" ca="1" si="423"/>
        <v>0</v>
      </c>
      <c r="L702" s="229"/>
      <c r="M702" s="229"/>
      <c r="N702" s="229"/>
      <c r="O702" s="229"/>
      <c r="P702" s="229"/>
      <c r="Q702" s="228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0</v>
      </c>
      <c r="K703" s="264">
        <f t="shared" si="423"/>
        <v>0</v>
      </c>
      <c r="L703" s="229"/>
      <c r="M703" s="229"/>
      <c r="N703" s="229"/>
      <c r="O703" s="229"/>
      <c r="P703" s="229"/>
      <c r="Q703" s="228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IFERROR(__xludf.DUMMYFUNCTION("IMPORTRANGE(""https://docs.google.com/spreadsheets/d/1eHaY18a8A9IcSdp1K8H6x8fbOy06t2VsZHhMHf-1x7Y/edit?usp=sharing"",""แผน!LJ58"")"),0)</f>
        <v>0</v>
      </c>
      <c r="J704" s="293">
        <f ca="1">IFERROR(__xludf.DUMMYFUNCTION("IMPORTRANGE(""https://docs.google.com/spreadsheets/d/1tdoBKaGub7dwA3U6UFTqxio9LNnvDCQjHKmttSEBsFQ/edit?usp=sharing"",""จัดที่ดิน!AP58"")"),0)</f>
        <v>0</v>
      </c>
      <c r="K704" s="74">
        <f t="shared" ca="1" si="423"/>
        <v>0</v>
      </c>
      <c r="L704" s="229"/>
      <c r="M704" s="229"/>
      <c r="N704" s="229"/>
      <c r="O704" s="229"/>
      <c r="P704" s="229"/>
      <c r="Q704" s="228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IFERROR(__xludf.DUMMYFUNCTION("IMPORTRANGE(""https://docs.google.com/spreadsheets/d/1tdoBKaGub7dwA3U6UFTqxio9LNnvDCQjHKmttSEBsFQ/edit?usp=sharing"",""จัดที่ดิน!AQ58"")"),0)</f>
        <v>0</v>
      </c>
      <c r="K705" s="74">
        <f t="shared" si="423"/>
        <v>0</v>
      </c>
      <c r="L705" s="229"/>
      <c r="M705" s="229"/>
      <c r="N705" s="229"/>
      <c r="O705" s="229"/>
      <c r="P705" s="229"/>
      <c r="Q705" s="228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IFERROR(__xludf.DUMMYFUNCTION("IMPORTRANGE(""https://docs.google.com/spreadsheets/d/1eHaY18a8A9IcSdp1K8H6x8fbOy06t2VsZHhMHf-1x7Y/edit?usp=sharing"",""แผน!LK58"")"),4)</f>
        <v>4</v>
      </c>
      <c r="J706" s="293">
        <f ca="1">IFERROR(__xludf.DUMMYFUNCTION("IMPORTRANGE(""https://docs.google.com/spreadsheets/d/1tdoBKaGub7dwA3U6UFTqxio9LNnvDCQjHKmttSEBsFQ/edit?usp=sharing"",""จัดที่ดิน!AR58"")"),0)</f>
        <v>0</v>
      </c>
      <c r="K706" s="768">
        <f t="shared" ca="1" si="423"/>
        <v>0</v>
      </c>
      <c r="L706" s="229"/>
      <c r="M706" s="229"/>
      <c r="N706" s="229"/>
      <c r="O706" s="229"/>
      <c r="P706" s="229"/>
      <c r="Q706" s="228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IFERROR(__xludf.DUMMYFUNCTION("IMPORTRANGE(""https://docs.google.com/spreadsheets/d/1tdoBKaGub7dwA3U6UFTqxio9LNnvDCQjHKmttSEBsFQ/edit?usp=sharing"",""จัดที่ดิน!AS58"")"),0)</f>
        <v>0</v>
      </c>
      <c r="K707" s="74">
        <f t="shared" si="423"/>
        <v>0</v>
      </c>
      <c r="L707" s="229"/>
      <c r="M707" s="229"/>
      <c r="N707" s="229"/>
      <c r="O707" s="229"/>
      <c r="P707" s="229"/>
      <c r="Q707" s="228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IFERROR(__xludf.DUMMYFUNCTION("IMPORTRANGE(""https://docs.google.com/spreadsheets/d/1eHaY18a8A9IcSdp1K8H6x8fbOy06t2VsZHhMHf-1x7Y/edit?usp=sharing"",""แผน!LJ58"")"),0)</f>
        <v>0</v>
      </c>
      <c r="J708" s="293">
        <f ca="1">IFERROR(__xludf.DUMMYFUNCTION("IMPORTRANGE(""https://docs.google.com/spreadsheets/d/1tdoBKaGub7dwA3U6UFTqxio9LNnvDCQjHKmttSEBsFQ/edit?usp=sharing"",""จัดที่ดิน!BN58"")"),0)</f>
        <v>0</v>
      </c>
      <c r="K708" s="74">
        <f t="shared" ca="1" si="423"/>
        <v>0</v>
      </c>
      <c r="L708" s="229"/>
      <c r="M708" s="229"/>
      <c r="N708" s="229"/>
      <c r="O708" s="229"/>
      <c r="P708" s="229"/>
      <c r="Q708" s="228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IFERROR(__xludf.DUMMYFUNCTION("IMPORTRANGE(""https://docs.google.com/spreadsheets/d/1tdoBKaGub7dwA3U6UFTqxio9LNnvDCQjHKmttSEBsFQ/edit?usp=sharing"",""จัดที่ดิน!BO58"")"),0)</f>
        <v>0</v>
      </c>
      <c r="K709" s="74">
        <f t="shared" si="423"/>
        <v>0</v>
      </c>
      <c r="L709" s="229"/>
      <c r="M709" s="229"/>
      <c r="N709" s="229"/>
      <c r="O709" s="229"/>
      <c r="P709" s="229"/>
      <c r="Q709" s="228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IFERROR(__xludf.DUMMYFUNCTION("IMPORTRANGE(""https://docs.google.com/spreadsheets/d/1eHaY18a8A9IcSdp1K8H6x8fbOy06t2VsZHhMHf-1x7Y/edit?usp=sharing"",""แผน!LK58"")"),4)</f>
        <v>4</v>
      </c>
      <c r="J710" s="293">
        <f ca="1">IFERROR(__xludf.DUMMYFUNCTION("IMPORTRANGE(""https://docs.google.com/spreadsheets/d/1tdoBKaGub7dwA3U6UFTqxio9LNnvDCQjHKmttSEBsFQ/edit?usp=sharing"",""จัดที่ดิน!BP58"")"),0)</f>
        <v>0</v>
      </c>
      <c r="K710" s="74">
        <f t="shared" ca="1" si="423"/>
        <v>0</v>
      </c>
      <c r="L710" s="87"/>
      <c r="M710" s="87"/>
      <c r="N710" s="87"/>
      <c r="O710" s="87"/>
      <c r="P710" s="87"/>
      <c r="Q710" s="86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IFERROR(__xludf.DUMMYFUNCTION("IMPORTRANGE(""https://docs.google.com/spreadsheets/d/1tdoBKaGub7dwA3U6UFTqxio9LNnvDCQjHKmttSEBsFQ/edit?usp=sharing"",""จัดที่ดิน!BQ58"")"),0)</f>
        <v>0</v>
      </c>
      <c r="K711" s="74">
        <f t="shared" si="423"/>
        <v>0</v>
      </c>
      <c r="L711" s="87"/>
      <c r="M711" s="87"/>
      <c r="N711" s="87"/>
      <c r="O711" s="87"/>
      <c r="P711" s="87"/>
      <c r="Q711" s="86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1"/>
      <c r="M712" s="601"/>
      <c r="N712" s="601"/>
      <c r="O712" s="601"/>
      <c r="P712" s="601"/>
      <c r="Q712" s="602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3"/>
      <c r="M713" s="733"/>
      <c r="N713" s="733"/>
      <c r="O713" s="733"/>
      <c r="P713" s="733"/>
      <c r="Q713" s="734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3"/>
      <c r="M714" s="733"/>
      <c r="N714" s="733"/>
      <c r="O714" s="733"/>
      <c r="P714" s="733"/>
      <c r="Q714" s="734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264">
        <f t="shared" ref="L715:N715" si="425">L716+L717</f>
        <v>0</v>
      </c>
      <c r="M715" s="264">
        <f t="shared" si="425"/>
        <v>0</v>
      </c>
      <c r="N715" s="264">
        <f t="shared" si="425"/>
        <v>0</v>
      </c>
      <c r="O715" s="264">
        <f t="shared" ref="O715:O723" si="426">IF(L715&gt;0,N715*100/L715,0)</f>
        <v>0</v>
      </c>
      <c r="P715" s="264">
        <f t="shared" ref="P715:P723" si="427">IF(M715&gt;0,N715*100/M715,0)</f>
        <v>0</v>
      </c>
      <c r="Q715" s="1257">
        <f t="shared" ref="Q715:S715" si="428">Q716+Q717</f>
        <v>0</v>
      </c>
      <c r="R715" s="264">
        <f t="shared" si="428"/>
        <v>0</v>
      </c>
      <c r="S715" s="264">
        <f t="shared" si="428"/>
        <v>0</v>
      </c>
      <c r="T715" s="264">
        <f t="shared" ref="T715:T723" si="429">IF(Q715&gt;0,S715*100/Q715,0)</f>
        <v>0</v>
      </c>
      <c r="U715" s="264">
        <f t="shared" ref="U715:U723" si="430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7">
        <f t="shared" ref="L716:N717" si="431">L719+L722</f>
        <v>0</v>
      </c>
      <c r="M716" s="77">
        <f t="shared" si="431"/>
        <v>0</v>
      </c>
      <c r="N716" s="77">
        <f t="shared" si="431"/>
        <v>0</v>
      </c>
      <c r="O716" s="77">
        <f t="shared" si="426"/>
        <v>0</v>
      </c>
      <c r="P716" s="77">
        <f t="shared" si="427"/>
        <v>0</v>
      </c>
      <c r="Q716" s="76">
        <f t="shared" ref="Q716:S717" si="432">Q719+Q722</f>
        <v>0</v>
      </c>
      <c r="R716" s="77">
        <f t="shared" si="432"/>
        <v>0</v>
      </c>
      <c r="S716" s="77">
        <f t="shared" si="432"/>
        <v>0</v>
      </c>
      <c r="T716" s="77">
        <f t="shared" si="429"/>
        <v>0</v>
      </c>
      <c r="U716" s="77">
        <f t="shared" si="430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4">
        <f t="shared" si="431"/>
        <v>0</v>
      </c>
      <c r="M717" s="74">
        <f t="shared" si="431"/>
        <v>0</v>
      </c>
      <c r="N717" s="74">
        <f t="shared" si="431"/>
        <v>0</v>
      </c>
      <c r="O717" s="74">
        <f t="shared" si="426"/>
        <v>0</v>
      </c>
      <c r="P717" s="74">
        <f t="shared" si="427"/>
        <v>0</v>
      </c>
      <c r="Q717" s="73">
        <f t="shared" si="432"/>
        <v>0</v>
      </c>
      <c r="R717" s="74">
        <f t="shared" si="432"/>
        <v>0</v>
      </c>
      <c r="S717" s="74">
        <f t="shared" si="432"/>
        <v>0</v>
      </c>
      <c r="T717" s="74">
        <f t="shared" si="429"/>
        <v>0</v>
      </c>
      <c r="U717" s="74">
        <f t="shared" si="430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4">
        <f t="shared" ref="L718:N718" si="433">L719+L720</f>
        <v>0</v>
      </c>
      <c r="M718" s="74">
        <f t="shared" si="433"/>
        <v>0</v>
      </c>
      <c r="N718" s="74">
        <f t="shared" si="433"/>
        <v>0</v>
      </c>
      <c r="O718" s="74">
        <f t="shared" si="426"/>
        <v>0</v>
      </c>
      <c r="P718" s="74">
        <f t="shared" si="427"/>
        <v>0</v>
      </c>
      <c r="Q718" s="73">
        <f t="shared" ref="Q718:S718" si="434">Q719+Q720</f>
        <v>0</v>
      </c>
      <c r="R718" s="74">
        <f t="shared" si="434"/>
        <v>0</v>
      </c>
      <c r="S718" s="74">
        <f t="shared" si="434"/>
        <v>0</v>
      </c>
      <c r="T718" s="74">
        <f t="shared" si="429"/>
        <v>0</v>
      </c>
      <c r="U718" s="74">
        <f t="shared" si="430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7">
        <v>0</v>
      </c>
      <c r="M719" s="77">
        <v>0</v>
      </c>
      <c r="N719" s="77">
        <v>0</v>
      </c>
      <c r="O719" s="77">
        <f t="shared" si="426"/>
        <v>0</v>
      </c>
      <c r="P719" s="77">
        <f t="shared" si="427"/>
        <v>0</v>
      </c>
      <c r="Q719" s="76">
        <v>0</v>
      </c>
      <c r="R719" s="77">
        <v>0</v>
      </c>
      <c r="S719" s="77">
        <v>0</v>
      </c>
      <c r="T719" s="77">
        <f t="shared" si="429"/>
        <v>0</v>
      </c>
      <c r="U719" s="77">
        <f t="shared" si="430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4">
        <v>0</v>
      </c>
      <c r="M720" s="74">
        <v>0</v>
      </c>
      <c r="N720" s="74">
        <v>0</v>
      </c>
      <c r="O720" s="74">
        <f t="shared" si="426"/>
        <v>0</v>
      </c>
      <c r="P720" s="74">
        <f t="shared" si="427"/>
        <v>0</v>
      </c>
      <c r="Q720" s="73">
        <v>0</v>
      </c>
      <c r="R720" s="74">
        <v>0</v>
      </c>
      <c r="S720" s="74">
        <v>0</v>
      </c>
      <c r="T720" s="74">
        <f t="shared" si="429"/>
        <v>0</v>
      </c>
      <c r="U720" s="74">
        <f t="shared" si="430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4">
        <f t="shared" ref="L721:N721" si="435">L722+L723</f>
        <v>0</v>
      </c>
      <c r="M721" s="74">
        <f t="shared" si="435"/>
        <v>0</v>
      </c>
      <c r="N721" s="74">
        <f t="shared" si="435"/>
        <v>0</v>
      </c>
      <c r="O721" s="74">
        <f t="shared" si="426"/>
        <v>0</v>
      </c>
      <c r="P721" s="74">
        <f t="shared" si="427"/>
        <v>0</v>
      </c>
      <c r="Q721" s="73">
        <f t="shared" ref="Q721:S721" si="436">Q722+Q723</f>
        <v>0</v>
      </c>
      <c r="R721" s="74">
        <f t="shared" si="436"/>
        <v>0</v>
      </c>
      <c r="S721" s="74">
        <f t="shared" si="436"/>
        <v>0</v>
      </c>
      <c r="T721" s="74">
        <f t="shared" si="429"/>
        <v>0</v>
      </c>
      <c r="U721" s="74">
        <f t="shared" si="430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7">
        <v>0</v>
      </c>
      <c r="M722" s="77">
        <v>0</v>
      </c>
      <c r="N722" s="77">
        <v>0</v>
      </c>
      <c r="O722" s="77">
        <f t="shared" si="426"/>
        <v>0</v>
      </c>
      <c r="P722" s="77">
        <f t="shared" si="427"/>
        <v>0</v>
      </c>
      <c r="Q722" s="76">
        <v>0</v>
      </c>
      <c r="R722" s="77">
        <v>0</v>
      </c>
      <c r="S722" s="77">
        <v>0</v>
      </c>
      <c r="T722" s="77">
        <f t="shared" si="429"/>
        <v>0</v>
      </c>
      <c r="U722" s="77">
        <f t="shared" si="430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4">
        <v>0</v>
      </c>
      <c r="M723" s="74">
        <v>0</v>
      </c>
      <c r="N723" s="74">
        <v>0</v>
      </c>
      <c r="O723" s="74">
        <f t="shared" si="426"/>
        <v>0</v>
      </c>
      <c r="P723" s="74">
        <f t="shared" si="427"/>
        <v>0</v>
      </c>
      <c r="Q723" s="73">
        <v>0</v>
      </c>
      <c r="R723" s="74">
        <v>0</v>
      </c>
      <c r="S723" s="74">
        <v>0</v>
      </c>
      <c r="T723" s="74">
        <f t="shared" si="429"/>
        <v>0</v>
      </c>
      <c r="U723" s="74">
        <f t="shared" si="430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9"/>
      <c r="M724" s="229"/>
      <c r="N724" s="229"/>
      <c r="O724" s="229"/>
      <c r="P724" s="229"/>
      <c r="Q724" s="228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7"/>
      <c r="M725" s="87"/>
      <c r="N725" s="87"/>
      <c r="O725" s="87"/>
      <c r="P725" s="87"/>
      <c r="Q725" s="86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8"/>
      <c r="M726" s="98"/>
      <c r="N726" s="98"/>
      <c r="O726" s="98"/>
      <c r="P726" s="98"/>
      <c r="Q726" s="97"/>
      <c r="R726" s="98"/>
      <c r="S726" s="98"/>
      <c r="T726" s="98"/>
      <c r="U726" s="98"/>
    </row>
    <row r="727" spans="1:21" ht="19.5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IFERROR(__xludf.DUMMYFUNCTION("IMPORTRANGE(""https://docs.google.com/spreadsheets/d/1eHaY18a8A9IcSdp1K8H6x8fbOy06t2VsZHhMHf-1x7Y/edit?usp=sharing"",""แผน!GA58"")"),21)</f>
        <v>21</v>
      </c>
      <c r="J727" s="781">
        <f>J743+J747+J750</f>
        <v>0</v>
      </c>
      <c r="K727" s="766">
        <f t="shared" ref="K727:K728" ca="1" si="437">IF(I727&gt;0,J727*100/I727,0)</f>
        <v>0</v>
      </c>
      <c r="L727" s="733"/>
      <c r="M727" s="733"/>
      <c r="N727" s="733"/>
      <c r="O727" s="733"/>
      <c r="P727" s="733"/>
      <c r="Q727" s="734"/>
      <c r="R727" s="733"/>
      <c r="S727" s="733"/>
      <c r="T727" s="733"/>
      <c r="U727" s="733"/>
    </row>
    <row r="728" spans="1:21" ht="19.5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IFERROR(__xludf.DUMMYFUNCTION("IMPORTRANGE(""https://docs.google.com/spreadsheets/d/1eHaY18a8A9IcSdp1K8H6x8fbOy06t2VsZHhMHf-1x7Y/edit?usp=sharing"",""แผน!FZ58"")"),200)</f>
        <v>200</v>
      </c>
      <c r="J728" s="781">
        <f>J753+J756</f>
        <v>0</v>
      </c>
      <c r="K728" s="766">
        <f t="shared" ca="1" si="437"/>
        <v>0</v>
      </c>
      <c r="L728" s="733"/>
      <c r="M728" s="733"/>
      <c r="N728" s="733"/>
      <c r="O728" s="733"/>
      <c r="P728" s="733"/>
      <c r="Q728" s="734"/>
      <c r="R728" s="733"/>
      <c r="S728" s="733"/>
      <c r="T728" s="733"/>
      <c r="U728" s="733"/>
    </row>
    <row r="729" spans="1:21" ht="19.5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264">
        <f t="shared" ref="L729:N729" si="438">L730+L731</f>
        <v>0</v>
      </c>
      <c r="M729" s="264">
        <f t="shared" si="438"/>
        <v>0</v>
      </c>
      <c r="N729" s="264">
        <f t="shared" si="438"/>
        <v>0</v>
      </c>
      <c r="O729" s="264">
        <f t="shared" ref="O729:O737" si="439">IF(L729&gt;0,N729*100/L729,0)</f>
        <v>0</v>
      </c>
      <c r="P729" s="264">
        <f t="shared" ref="P729:P737" si="440">IF(M729&gt;0,N729*100/M729,0)</f>
        <v>0</v>
      </c>
      <c r="Q729" s="1257">
        <f t="shared" ref="Q729:S729" ca="1" si="441">Q730+Q731</f>
        <v>175994</v>
      </c>
      <c r="R729" s="264">
        <f t="shared" ca="1" si="441"/>
        <v>175994</v>
      </c>
      <c r="S729" s="264">
        <f t="shared" ca="1" si="441"/>
        <v>0</v>
      </c>
      <c r="T729" s="264">
        <f t="shared" ref="T729:T737" ca="1" si="442">IF(Q729&gt;0,S729*100/Q729,0)</f>
        <v>0</v>
      </c>
      <c r="U729" s="264">
        <f t="shared" ref="U729:U737" ca="1" si="443">IF(R729&gt;0,S729*100/R729,0)</f>
        <v>0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7">
        <f t="shared" ref="L730:N731" si="444">L733+L736</f>
        <v>0</v>
      </c>
      <c r="M730" s="77">
        <f t="shared" si="444"/>
        <v>0</v>
      </c>
      <c r="N730" s="77">
        <f t="shared" si="444"/>
        <v>0</v>
      </c>
      <c r="O730" s="77">
        <f t="shared" si="439"/>
        <v>0</v>
      </c>
      <c r="P730" s="77">
        <f t="shared" si="440"/>
        <v>0</v>
      </c>
      <c r="Q730" s="76">
        <f t="shared" ref="Q730:S731" si="445">Q733+Q736</f>
        <v>0</v>
      </c>
      <c r="R730" s="77">
        <f t="shared" si="445"/>
        <v>0</v>
      </c>
      <c r="S730" s="77">
        <f t="shared" si="445"/>
        <v>0</v>
      </c>
      <c r="T730" s="77">
        <f t="shared" si="442"/>
        <v>0</v>
      </c>
      <c r="U730" s="77">
        <f t="shared" si="443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4">
        <f t="shared" si="444"/>
        <v>0</v>
      </c>
      <c r="M731" s="74">
        <f t="shared" si="444"/>
        <v>0</v>
      </c>
      <c r="N731" s="74">
        <f t="shared" si="444"/>
        <v>0</v>
      </c>
      <c r="O731" s="74">
        <f t="shared" si="439"/>
        <v>0</v>
      </c>
      <c r="P731" s="74">
        <f t="shared" si="440"/>
        <v>0</v>
      </c>
      <c r="Q731" s="73">
        <f t="shared" ca="1" si="445"/>
        <v>175994</v>
      </c>
      <c r="R731" s="74">
        <f t="shared" ca="1" si="445"/>
        <v>175994</v>
      </c>
      <c r="S731" s="74">
        <f t="shared" ca="1" si="445"/>
        <v>0</v>
      </c>
      <c r="T731" s="74">
        <f t="shared" ca="1" si="442"/>
        <v>0</v>
      </c>
      <c r="U731" s="74">
        <f t="shared" ca="1" si="443"/>
        <v>0</v>
      </c>
    </row>
    <row r="732" spans="1:21" ht="18.75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4">
        <f t="shared" ref="L732:N732" si="446">L733+L734</f>
        <v>0</v>
      </c>
      <c r="M732" s="74">
        <f t="shared" si="446"/>
        <v>0</v>
      </c>
      <c r="N732" s="74">
        <f t="shared" si="446"/>
        <v>0</v>
      </c>
      <c r="O732" s="74">
        <f t="shared" si="439"/>
        <v>0</v>
      </c>
      <c r="P732" s="74">
        <f t="shared" si="440"/>
        <v>0</v>
      </c>
      <c r="Q732" s="73">
        <f t="shared" ref="Q732:S732" ca="1" si="447">Q733+Q734</f>
        <v>175994</v>
      </c>
      <c r="R732" s="74">
        <f t="shared" ca="1" si="447"/>
        <v>175994</v>
      </c>
      <c r="S732" s="74">
        <f t="shared" ca="1" si="447"/>
        <v>0</v>
      </c>
      <c r="T732" s="74">
        <f t="shared" ca="1" si="442"/>
        <v>0</v>
      </c>
      <c r="U732" s="74">
        <f t="shared" ca="1" si="443"/>
        <v>0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7">
        <v>0</v>
      </c>
      <c r="M733" s="77">
        <v>0</v>
      </c>
      <c r="N733" s="77">
        <v>0</v>
      </c>
      <c r="O733" s="77">
        <f t="shared" si="439"/>
        <v>0</v>
      </c>
      <c r="P733" s="77">
        <f t="shared" si="440"/>
        <v>0</v>
      </c>
      <c r="Q733" s="76">
        <v>0</v>
      </c>
      <c r="R733" s="77">
        <v>0</v>
      </c>
      <c r="S733" s="77">
        <v>0</v>
      </c>
      <c r="T733" s="77">
        <f t="shared" si="442"/>
        <v>0</v>
      </c>
      <c r="U733" s="77">
        <f t="shared" si="443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4">
        <v>0</v>
      </c>
      <c r="M734" s="74">
        <v>0</v>
      </c>
      <c r="N734" s="74">
        <v>0</v>
      </c>
      <c r="O734" s="74">
        <f t="shared" si="439"/>
        <v>0</v>
      </c>
      <c r="P734" s="74">
        <f t="shared" si="440"/>
        <v>0</v>
      </c>
      <c r="Q734" s="73">
        <f ca="1">IFERROR(__xludf.DUMMYFUNCTION("IMPORTRANGE(""https://docs.google.com/spreadsheets/d/1ItG2mGa2ceCfYo0BwxsXqNm01IGEUdYcSSLTEv9YCik/edit?usp=sharing"",""เบิกจ่ายกองทุน!O58"")"),175994)</f>
        <v>175994</v>
      </c>
      <c r="R734" s="74">
        <f ca="1">IFERROR(__xludf.DUMMYFUNCTION("IMPORTRANGE(""https://docs.google.com/spreadsheets/d/1ItG2mGa2ceCfYo0BwxsXqNm01IGEUdYcSSLTEv9YCik/edit?usp=sharing"",""เบิกจ่ายกองทุน!P58"")"),175994)</f>
        <v>175994</v>
      </c>
      <c r="S734" s="74">
        <f ca="1">IFERROR(__xludf.DUMMYFUNCTION("IMPORTRANGE(""https://docs.google.com/spreadsheets/d/1ItG2mGa2ceCfYo0BwxsXqNm01IGEUdYcSSLTEv9YCik/edit?usp=sharing"",""เบิกจ่ายกองทุน!Q58"")"),0)</f>
        <v>0</v>
      </c>
      <c r="T734" s="74">
        <f t="shared" ca="1" si="442"/>
        <v>0</v>
      </c>
      <c r="U734" s="74">
        <f t="shared" ca="1" si="443"/>
        <v>0</v>
      </c>
    </row>
    <row r="735" spans="1:21" ht="18.75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4">
        <f t="shared" ref="L735:N735" si="448">L736+L737</f>
        <v>0</v>
      </c>
      <c r="M735" s="74">
        <f t="shared" si="448"/>
        <v>0</v>
      </c>
      <c r="N735" s="74">
        <f t="shared" si="448"/>
        <v>0</v>
      </c>
      <c r="O735" s="74">
        <f t="shared" si="439"/>
        <v>0</v>
      </c>
      <c r="P735" s="74">
        <f t="shared" si="440"/>
        <v>0</v>
      </c>
      <c r="Q735" s="73">
        <f t="shared" ref="Q735:S735" si="449">Q736+Q737</f>
        <v>0</v>
      </c>
      <c r="R735" s="74">
        <f t="shared" si="449"/>
        <v>0</v>
      </c>
      <c r="S735" s="74">
        <f t="shared" si="449"/>
        <v>0</v>
      </c>
      <c r="T735" s="74">
        <f t="shared" si="442"/>
        <v>0</v>
      </c>
      <c r="U735" s="74">
        <f t="shared" si="443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7">
        <v>0</v>
      </c>
      <c r="M736" s="77">
        <v>0</v>
      </c>
      <c r="N736" s="77">
        <v>0</v>
      </c>
      <c r="O736" s="77">
        <f t="shared" si="439"/>
        <v>0</v>
      </c>
      <c r="P736" s="77">
        <f t="shared" si="440"/>
        <v>0</v>
      </c>
      <c r="Q736" s="76">
        <v>0</v>
      </c>
      <c r="R736" s="77">
        <v>0</v>
      </c>
      <c r="S736" s="77">
        <v>0</v>
      </c>
      <c r="T736" s="77">
        <f t="shared" si="442"/>
        <v>0</v>
      </c>
      <c r="U736" s="77">
        <f t="shared" si="443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4">
        <v>0</v>
      </c>
      <c r="M737" s="74">
        <v>0</v>
      </c>
      <c r="N737" s="74">
        <v>0</v>
      </c>
      <c r="O737" s="74">
        <f t="shared" si="439"/>
        <v>0</v>
      </c>
      <c r="P737" s="74">
        <f t="shared" si="440"/>
        <v>0</v>
      </c>
      <c r="Q737" s="73">
        <v>0</v>
      </c>
      <c r="R737" s="74">
        <v>0</v>
      </c>
      <c r="S737" s="74">
        <v>0</v>
      </c>
      <c r="T737" s="74">
        <f t="shared" si="442"/>
        <v>0</v>
      </c>
      <c r="U737" s="74">
        <f t="shared" si="443"/>
        <v>0</v>
      </c>
    </row>
    <row r="738" spans="1:21" ht="19.5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7"/>
      <c r="M738" s="87"/>
      <c r="N738" s="87"/>
      <c r="O738" s="87"/>
      <c r="P738" s="87"/>
      <c r="Q738" s="86"/>
      <c r="R738" s="87"/>
      <c r="S738" s="87"/>
      <c r="T738" s="87"/>
      <c r="U738" s="87"/>
    </row>
    <row r="739" spans="1:21" ht="19.5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7"/>
      <c r="M739" s="87"/>
      <c r="N739" s="87"/>
      <c r="O739" s="87"/>
      <c r="P739" s="87"/>
      <c r="Q739" s="86"/>
      <c r="R739" s="87"/>
      <c r="S739" s="87"/>
      <c r="T739" s="87"/>
      <c r="U739" s="87"/>
    </row>
    <row r="740" spans="1:21" ht="18.75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7"/>
      <c r="M740" s="87"/>
      <c r="N740" s="87"/>
      <c r="O740" s="87"/>
      <c r="P740" s="87"/>
      <c r="Q740" s="86"/>
      <c r="R740" s="87"/>
      <c r="S740" s="87"/>
      <c r="T740" s="87"/>
      <c r="U740" s="87"/>
    </row>
    <row r="741" spans="1:21" ht="18.75" x14ac:dyDescent="0.25">
      <c r="A741" s="222"/>
      <c r="B741" s="223"/>
      <c r="C741" s="223"/>
      <c r="D741" s="223"/>
      <c r="E741" s="223"/>
      <c r="F741" s="1032" t="s">
        <v>271</v>
      </c>
      <c r="G741" s="227"/>
      <c r="H741" s="216" t="s">
        <v>46</v>
      </c>
      <c r="I741" s="321">
        <f ca="1">IFERROR(__xludf.DUMMYFUNCTION("IMPORTRANGE(""https://docs.google.com/spreadsheets/d/1eHaY18a8A9IcSdp1K8H6x8fbOy06t2VsZHhMHf-1x7Y/edit?usp=sharing"",""แผน!GB58"")"),160)</f>
        <v>160</v>
      </c>
      <c r="J741" s="884">
        <v>0</v>
      </c>
      <c r="K741" s="399">
        <f ca="1">IF(I741&gt;0,J741*100/I741,0)</f>
        <v>0</v>
      </c>
      <c r="L741" s="72"/>
      <c r="M741" s="72"/>
      <c r="N741" s="72"/>
      <c r="O741" s="72"/>
      <c r="P741" s="72"/>
      <c r="Q741" s="540"/>
      <c r="R741" s="72"/>
      <c r="S741" s="72"/>
      <c r="T741" s="72"/>
      <c r="U741" s="72"/>
    </row>
    <row r="742" spans="1:21" ht="18.75" x14ac:dyDescent="0.25">
      <c r="A742" s="222"/>
      <c r="B742" s="223"/>
      <c r="C742" s="223"/>
      <c r="D742" s="223"/>
      <c r="E742" s="223"/>
      <c r="F742" s="1032" t="s">
        <v>311</v>
      </c>
      <c r="G742" s="227"/>
      <c r="H742" s="216" t="s">
        <v>35</v>
      </c>
      <c r="I742" s="71"/>
      <c r="J742" s="884">
        <v>0</v>
      </c>
      <c r="K742" s="72"/>
      <c r="L742" s="72"/>
      <c r="M742" s="72"/>
      <c r="N742" s="72"/>
      <c r="O742" s="72"/>
      <c r="P742" s="72"/>
      <c r="Q742" s="540"/>
      <c r="R742" s="72"/>
      <c r="S742" s="72"/>
      <c r="T742" s="72"/>
      <c r="U742" s="72"/>
    </row>
    <row r="743" spans="1:21" ht="18.75" x14ac:dyDescent="0.25">
      <c r="A743" s="222"/>
      <c r="B743" s="223"/>
      <c r="C743" s="223"/>
      <c r="D743" s="223"/>
      <c r="E743" s="223"/>
      <c r="F743" s="1032" t="s">
        <v>312</v>
      </c>
      <c r="G743" s="227"/>
      <c r="H743" s="216" t="s">
        <v>35</v>
      </c>
      <c r="I743" s="321">
        <f ca="1">IFERROR(__xludf.DUMMYFUNCTION("IMPORTRANGE(""https://docs.google.com/spreadsheets/d/1eHaY18a8A9IcSdp1K8H6x8fbOy06t2VsZHhMHf-1x7Y/edit?usp=sharing"",""แผน!GC58"")"),16)</f>
        <v>16</v>
      </c>
      <c r="J743" s="884">
        <v>0</v>
      </c>
      <c r="K743" s="399">
        <f ca="1">IF(I743&gt;0,J743*100/I743,0)</f>
        <v>0</v>
      </c>
      <c r="L743" s="72"/>
      <c r="M743" s="72"/>
      <c r="N743" s="72"/>
      <c r="O743" s="72"/>
      <c r="P743" s="72"/>
      <c r="Q743" s="540"/>
      <c r="R743" s="72"/>
      <c r="S743" s="72"/>
      <c r="T743" s="72"/>
      <c r="U743" s="72"/>
    </row>
    <row r="744" spans="1:21" ht="18.75" x14ac:dyDescent="0.25">
      <c r="A744" s="222"/>
      <c r="B744" s="223"/>
      <c r="C744" s="223"/>
      <c r="D744" s="223"/>
      <c r="E744" s="1032" t="s">
        <v>274</v>
      </c>
      <c r="F744" s="223"/>
      <c r="G744" s="227"/>
      <c r="H744" s="1033"/>
      <c r="I744" s="71"/>
      <c r="J744" s="71"/>
      <c r="K744" s="72"/>
      <c r="L744" s="72"/>
      <c r="M744" s="72"/>
      <c r="N744" s="72"/>
      <c r="O744" s="72"/>
      <c r="P744" s="72"/>
      <c r="Q744" s="540"/>
      <c r="R744" s="72"/>
      <c r="S744" s="72"/>
      <c r="T744" s="72"/>
      <c r="U744" s="72"/>
    </row>
    <row r="745" spans="1:21" ht="18.75" x14ac:dyDescent="0.25">
      <c r="A745" s="222"/>
      <c r="B745" s="223"/>
      <c r="C745" s="223"/>
      <c r="D745" s="223"/>
      <c r="E745" s="223"/>
      <c r="F745" s="1032" t="s">
        <v>271</v>
      </c>
      <c r="G745" s="227"/>
      <c r="H745" s="216" t="s">
        <v>46</v>
      </c>
      <c r="I745" s="321">
        <f ca="1">IFERROR(__xludf.DUMMYFUNCTION("IMPORTRANGE(""https://docs.google.com/spreadsheets/d/1eHaY18a8A9IcSdp1K8H6x8fbOy06t2VsZHhMHf-1x7Y/edit?usp=sharing"",""แผน!GD58"")"),40)</f>
        <v>40</v>
      </c>
      <c r="J745" s="884">
        <v>0</v>
      </c>
      <c r="K745" s="399">
        <f ca="1">IF(I745&gt;0,J745*100/I745,0)</f>
        <v>0</v>
      </c>
      <c r="L745" s="72"/>
      <c r="M745" s="72"/>
      <c r="N745" s="72"/>
      <c r="O745" s="72"/>
      <c r="P745" s="72"/>
      <c r="Q745" s="540"/>
      <c r="R745" s="72"/>
      <c r="S745" s="72"/>
      <c r="T745" s="72"/>
      <c r="U745" s="72"/>
    </row>
    <row r="746" spans="1:21" ht="18.75" x14ac:dyDescent="0.25">
      <c r="A746" s="222"/>
      <c r="B746" s="223"/>
      <c r="C746" s="223"/>
      <c r="D746" s="223"/>
      <c r="E746" s="223"/>
      <c r="F746" s="1032" t="s">
        <v>313</v>
      </c>
      <c r="G746" s="227"/>
      <c r="H746" s="216" t="s">
        <v>35</v>
      </c>
      <c r="I746" s="71"/>
      <c r="J746" s="884">
        <v>0</v>
      </c>
      <c r="K746" s="72"/>
      <c r="L746" s="72"/>
      <c r="M746" s="72"/>
      <c r="N746" s="72"/>
      <c r="O746" s="72"/>
      <c r="P746" s="72"/>
      <c r="Q746" s="540"/>
      <c r="R746" s="72"/>
      <c r="S746" s="72"/>
      <c r="T746" s="72"/>
      <c r="U746" s="72"/>
    </row>
    <row r="747" spans="1:21" ht="18.75" x14ac:dyDescent="0.25">
      <c r="A747" s="222"/>
      <c r="B747" s="223"/>
      <c r="C747" s="223"/>
      <c r="D747" s="223"/>
      <c r="E747" s="223"/>
      <c r="F747" s="1032" t="s">
        <v>314</v>
      </c>
      <c r="G747" s="227"/>
      <c r="H747" s="216" t="s">
        <v>35</v>
      </c>
      <c r="I747" s="321">
        <f ca="1">IFERROR(__xludf.DUMMYFUNCTION("IMPORTRANGE(""https://docs.google.com/spreadsheets/d/1eHaY18a8A9IcSdp1K8H6x8fbOy06t2VsZHhMHf-1x7Y/edit?usp=sharing"",""แผน!GE58"")"),4)</f>
        <v>4</v>
      </c>
      <c r="J747" s="884">
        <v>0</v>
      </c>
      <c r="K747" s="399">
        <f ca="1">IF(I747&gt;0,J747*100/I747,0)</f>
        <v>0</v>
      </c>
      <c r="L747" s="72"/>
      <c r="M747" s="72"/>
      <c r="N747" s="72"/>
      <c r="O747" s="72"/>
      <c r="P747" s="72"/>
      <c r="Q747" s="540"/>
      <c r="R747" s="72"/>
      <c r="S747" s="72"/>
      <c r="T747" s="72"/>
      <c r="U747" s="72"/>
    </row>
    <row r="748" spans="1:21" ht="18.75" x14ac:dyDescent="0.25">
      <c r="A748" s="222"/>
      <c r="B748" s="223"/>
      <c r="C748" s="223"/>
      <c r="D748" s="223"/>
      <c r="E748" s="1032" t="s">
        <v>277</v>
      </c>
      <c r="F748" s="231"/>
      <c r="G748" s="227"/>
      <c r="H748" s="1033"/>
      <c r="I748" s="71"/>
      <c r="J748" s="71"/>
      <c r="K748" s="72"/>
      <c r="L748" s="72"/>
      <c r="M748" s="72"/>
      <c r="N748" s="72"/>
      <c r="O748" s="72"/>
      <c r="P748" s="72"/>
      <c r="Q748" s="540"/>
      <c r="R748" s="72"/>
      <c r="S748" s="72"/>
      <c r="T748" s="72"/>
      <c r="U748" s="72"/>
    </row>
    <row r="749" spans="1:21" ht="18.75" x14ac:dyDescent="0.25">
      <c r="A749" s="222"/>
      <c r="B749" s="223"/>
      <c r="C749" s="223"/>
      <c r="D749" s="223"/>
      <c r="E749" s="223"/>
      <c r="F749" s="1032" t="s">
        <v>315</v>
      </c>
      <c r="G749" s="227"/>
      <c r="H749" s="216" t="s">
        <v>35</v>
      </c>
      <c r="I749" s="71"/>
      <c r="J749" s="884">
        <v>0</v>
      </c>
      <c r="K749" s="72"/>
      <c r="L749" s="72"/>
      <c r="M749" s="72"/>
      <c r="N749" s="72"/>
      <c r="O749" s="72"/>
      <c r="P749" s="72"/>
      <c r="Q749" s="540"/>
      <c r="R749" s="72"/>
      <c r="S749" s="72"/>
      <c r="T749" s="72"/>
      <c r="U749" s="72"/>
    </row>
    <row r="750" spans="1:21" ht="18.75" x14ac:dyDescent="0.25">
      <c r="A750" s="222"/>
      <c r="B750" s="223"/>
      <c r="C750" s="223"/>
      <c r="D750" s="223"/>
      <c r="E750" s="223"/>
      <c r="F750" s="1032" t="s">
        <v>316</v>
      </c>
      <c r="G750" s="227"/>
      <c r="H750" s="216" t="s">
        <v>35</v>
      </c>
      <c r="I750" s="321">
        <f ca="1">IFERROR(__xludf.DUMMYFUNCTION("IMPORTRANGE(""https://docs.google.com/spreadsheets/d/1eHaY18a8A9IcSdp1K8H6x8fbOy06t2VsZHhMHf-1x7Y/edit?usp=sharing"",""แผน!GF58"")"),1)</f>
        <v>1</v>
      </c>
      <c r="J750" s="884">
        <v>0</v>
      </c>
      <c r="K750" s="399">
        <f ca="1">IF(I750&gt;0,J750*100/I750,0)</f>
        <v>0</v>
      </c>
      <c r="L750" s="72"/>
      <c r="M750" s="72"/>
      <c r="N750" s="72"/>
      <c r="O750" s="72"/>
      <c r="P750" s="72"/>
      <c r="Q750" s="540"/>
      <c r="R750" s="72"/>
      <c r="S750" s="72"/>
      <c r="T750" s="72"/>
      <c r="U750" s="72"/>
    </row>
    <row r="751" spans="1:21" ht="19.5" x14ac:dyDescent="0.3">
      <c r="A751" s="222"/>
      <c r="B751" s="223"/>
      <c r="C751" s="223"/>
      <c r="D751" s="1034" t="s">
        <v>50</v>
      </c>
      <c r="E751" s="223"/>
      <c r="F751" s="231"/>
      <c r="G751" s="227"/>
      <c r="H751" s="1033"/>
      <c r="I751" s="71"/>
      <c r="J751" s="71"/>
      <c r="K751" s="72"/>
      <c r="L751" s="72"/>
      <c r="M751" s="72"/>
      <c r="N751" s="72"/>
      <c r="O751" s="72"/>
      <c r="P751" s="72"/>
      <c r="Q751" s="540"/>
      <c r="R751" s="72"/>
      <c r="S751" s="72"/>
      <c r="T751" s="72"/>
      <c r="U751" s="72"/>
    </row>
    <row r="752" spans="1:21" ht="18.75" x14ac:dyDescent="0.25">
      <c r="A752" s="222"/>
      <c r="B752" s="223"/>
      <c r="C752" s="223"/>
      <c r="D752" s="223"/>
      <c r="E752" s="1032" t="s">
        <v>270</v>
      </c>
      <c r="F752" s="231"/>
      <c r="G752" s="227"/>
      <c r="H752" s="1033"/>
      <c r="I752" s="71"/>
      <c r="J752" s="71"/>
      <c r="K752" s="72"/>
      <c r="L752" s="72"/>
      <c r="M752" s="72"/>
      <c r="N752" s="72"/>
      <c r="O752" s="72"/>
      <c r="P752" s="72"/>
      <c r="Q752" s="540"/>
      <c r="R752" s="72"/>
      <c r="S752" s="72"/>
      <c r="T752" s="72"/>
      <c r="U752" s="72"/>
    </row>
    <row r="753" spans="1:21" ht="18.75" x14ac:dyDescent="0.25">
      <c r="A753" s="222"/>
      <c r="B753" s="223"/>
      <c r="C753" s="223"/>
      <c r="D753" s="223"/>
      <c r="E753" s="223"/>
      <c r="F753" s="395" t="s">
        <v>317</v>
      </c>
      <c r="G753" s="227"/>
      <c r="H753" s="216" t="s">
        <v>46</v>
      </c>
      <c r="I753" s="321">
        <f ca="1">IFERROR(__xludf.DUMMYFUNCTION("IMPORTRANGE(""https://docs.google.com/spreadsheets/d/1eHaY18a8A9IcSdp1K8H6x8fbOy06t2VsZHhMHf-1x7Y/edit?usp=sharing"",""แผน!GC58"")"),16)</f>
        <v>16</v>
      </c>
      <c r="J753" s="884">
        <v>0</v>
      </c>
      <c r="K753" s="399">
        <f ca="1">IF(I753&gt;0,J753*100/I753,0)</f>
        <v>0</v>
      </c>
      <c r="L753" s="72"/>
      <c r="M753" s="72"/>
      <c r="N753" s="72"/>
      <c r="O753" s="72"/>
      <c r="P753" s="72"/>
      <c r="Q753" s="540"/>
      <c r="R753" s="72"/>
      <c r="S753" s="72"/>
      <c r="T753" s="72"/>
      <c r="U753" s="72"/>
    </row>
    <row r="754" spans="1:21" ht="18.75" x14ac:dyDescent="0.25">
      <c r="A754" s="222"/>
      <c r="B754" s="223"/>
      <c r="C754" s="223"/>
      <c r="D754" s="223"/>
      <c r="E754" s="223"/>
      <c r="F754" s="395" t="s">
        <v>318</v>
      </c>
      <c r="G754" s="227"/>
      <c r="H754" s="216" t="s">
        <v>46</v>
      </c>
      <c r="I754" s="71"/>
      <c r="J754" s="884">
        <v>0</v>
      </c>
      <c r="K754" s="72"/>
      <c r="L754" s="72"/>
      <c r="M754" s="72"/>
      <c r="N754" s="72"/>
      <c r="O754" s="72"/>
      <c r="P754" s="72"/>
      <c r="Q754" s="540"/>
      <c r="R754" s="72"/>
      <c r="S754" s="72"/>
      <c r="T754" s="72"/>
      <c r="U754" s="72"/>
    </row>
    <row r="755" spans="1:21" ht="18.75" x14ac:dyDescent="0.25">
      <c r="A755" s="222"/>
      <c r="B755" s="223"/>
      <c r="C755" s="223"/>
      <c r="D755" s="223"/>
      <c r="E755" s="1032" t="s">
        <v>274</v>
      </c>
      <c r="F755" s="231"/>
      <c r="G755" s="227"/>
      <c r="H755" s="1033"/>
      <c r="I755" s="71"/>
      <c r="J755" s="71"/>
      <c r="K755" s="72"/>
      <c r="L755" s="72"/>
      <c r="M755" s="72"/>
      <c r="N755" s="72"/>
      <c r="O755" s="72"/>
      <c r="P755" s="72"/>
      <c r="Q755" s="540"/>
      <c r="R755" s="72"/>
      <c r="S755" s="72"/>
      <c r="T755" s="72"/>
      <c r="U755" s="72"/>
    </row>
    <row r="756" spans="1:21" ht="18.75" x14ac:dyDescent="0.25">
      <c r="A756" s="222"/>
      <c r="B756" s="223"/>
      <c r="C756" s="223"/>
      <c r="D756" s="223"/>
      <c r="E756" s="231"/>
      <c r="F756" s="395" t="s">
        <v>319</v>
      </c>
      <c r="G756" s="227"/>
      <c r="H756" s="216" t="s">
        <v>46</v>
      </c>
      <c r="I756" s="321">
        <f ca="1">IFERROR(__xludf.DUMMYFUNCTION("IMPORTRANGE(""https://docs.google.com/spreadsheets/d/1eHaY18a8A9IcSdp1K8H6x8fbOy06t2VsZHhMHf-1x7Y/edit?usp=sharing"",""แผน!GE58"")"),4)</f>
        <v>4</v>
      </c>
      <c r="J756" s="884">
        <v>0</v>
      </c>
      <c r="K756" s="399">
        <f ca="1">IF(I756&gt;0,J756*100/I756,0)</f>
        <v>0</v>
      </c>
      <c r="L756" s="72"/>
      <c r="M756" s="72"/>
      <c r="N756" s="72"/>
      <c r="O756" s="72"/>
      <c r="P756" s="72"/>
      <c r="Q756" s="540"/>
      <c r="R756" s="72"/>
      <c r="S756" s="72"/>
      <c r="T756" s="72"/>
      <c r="U756" s="72"/>
    </row>
    <row r="757" spans="1:21" ht="18.75" x14ac:dyDescent="0.25">
      <c r="A757" s="222"/>
      <c r="B757" s="223"/>
      <c r="C757" s="223"/>
      <c r="D757" s="223"/>
      <c r="E757" s="231"/>
      <c r="F757" s="395" t="s">
        <v>320</v>
      </c>
      <c r="G757" s="227"/>
      <c r="H757" s="216" t="s">
        <v>46</v>
      </c>
      <c r="I757" s="71"/>
      <c r="J757" s="884">
        <v>0</v>
      </c>
      <c r="K757" s="72"/>
      <c r="L757" s="72"/>
      <c r="M757" s="72"/>
      <c r="N757" s="72"/>
      <c r="O757" s="72"/>
      <c r="P757" s="72"/>
      <c r="Q757" s="540"/>
      <c r="R757" s="72"/>
      <c r="S757" s="72"/>
      <c r="T757" s="72"/>
      <c r="U757" s="72"/>
    </row>
    <row r="758" spans="1:21" ht="19.5" hidden="1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0">I772</f>
        <v>0</v>
      </c>
      <c r="J758" s="781">
        <f t="shared" si="450"/>
        <v>0</v>
      </c>
      <c r="K758" s="766">
        <f t="shared" ref="K758:K759" ca="1" si="451">IF(I758&gt;0,J758*100/I758,0)</f>
        <v>0</v>
      </c>
      <c r="L758" s="733"/>
      <c r="M758" s="733"/>
      <c r="N758" s="733"/>
      <c r="O758" s="733"/>
      <c r="P758" s="733"/>
      <c r="Q758" s="734"/>
      <c r="R758" s="733"/>
      <c r="S758" s="733"/>
      <c r="T758" s="733"/>
      <c r="U758" s="733"/>
    </row>
    <row r="759" spans="1:21" ht="19.5" hidden="1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2">I774</f>
        <v>0</v>
      </c>
      <c r="J759" s="781">
        <f t="shared" si="452"/>
        <v>0</v>
      </c>
      <c r="K759" s="766">
        <f t="shared" ca="1" si="451"/>
        <v>0</v>
      </c>
      <c r="L759" s="733"/>
      <c r="M759" s="733"/>
      <c r="N759" s="733"/>
      <c r="O759" s="733"/>
      <c r="P759" s="733"/>
      <c r="Q759" s="734"/>
      <c r="R759" s="733"/>
      <c r="S759" s="733"/>
      <c r="T759" s="733"/>
      <c r="U759" s="733"/>
    </row>
    <row r="760" spans="1:21" ht="19.5" hidden="1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264">
        <f t="shared" ref="L760:N760" si="453">L761+L762</f>
        <v>0</v>
      </c>
      <c r="M760" s="264">
        <f t="shared" si="453"/>
        <v>0</v>
      </c>
      <c r="N760" s="264">
        <f t="shared" si="453"/>
        <v>0</v>
      </c>
      <c r="O760" s="264">
        <f t="shared" ref="O760:O768" si="454">IF(L760&gt;0,N760*100/L760,0)</f>
        <v>0</v>
      </c>
      <c r="P760" s="264">
        <f t="shared" ref="P760:P768" si="455">IF(M760&gt;0,N760*100/M760,0)</f>
        <v>0</v>
      </c>
      <c r="Q760" s="1257">
        <f t="shared" ref="Q760:S760" ca="1" si="456">Q761+Q762</f>
        <v>0</v>
      </c>
      <c r="R760" s="264">
        <f t="shared" ca="1" si="456"/>
        <v>0</v>
      </c>
      <c r="S760" s="264">
        <f t="shared" ca="1" si="456"/>
        <v>0</v>
      </c>
      <c r="T760" s="264">
        <f t="shared" ref="T760:T768" ca="1" si="457">IF(Q760&gt;0,S760*100/Q760,0)</f>
        <v>0</v>
      </c>
      <c r="U760" s="264">
        <f t="shared" ref="U760:U768" ca="1" si="458">IF(R760&gt;0,S760*100/R760,0)</f>
        <v>0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7">
        <f t="shared" ref="L761:N762" si="459">L764+L767</f>
        <v>0</v>
      </c>
      <c r="M761" s="77">
        <f t="shared" si="459"/>
        <v>0</v>
      </c>
      <c r="N761" s="77">
        <f t="shared" si="459"/>
        <v>0</v>
      </c>
      <c r="O761" s="77">
        <f t="shared" si="454"/>
        <v>0</v>
      </c>
      <c r="P761" s="77">
        <f t="shared" si="455"/>
        <v>0</v>
      </c>
      <c r="Q761" s="76">
        <f t="shared" ref="Q761:S762" si="460">Q764+Q767</f>
        <v>0</v>
      </c>
      <c r="R761" s="77">
        <f t="shared" si="460"/>
        <v>0</v>
      </c>
      <c r="S761" s="77">
        <f t="shared" si="460"/>
        <v>0</v>
      </c>
      <c r="T761" s="77">
        <f t="shared" si="457"/>
        <v>0</v>
      </c>
      <c r="U761" s="77">
        <f t="shared" si="458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4">
        <f t="shared" si="459"/>
        <v>0</v>
      </c>
      <c r="M762" s="74">
        <f t="shared" si="459"/>
        <v>0</v>
      </c>
      <c r="N762" s="74">
        <f t="shared" si="459"/>
        <v>0</v>
      </c>
      <c r="O762" s="74">
        <f t="shared" si="454"/>
        <v>0</v>
      </c>
      <c r="P762" s="74">
        <f t="shared" si="455"/>
        <v>0</v>
      </c>
      <c r="Q762" s="73">
        <f t="shared" ca="1" si="460"/>
        <v>0</v>
      </c>
      <c r="R762" s="74">
        <f t="shared" ca="1" si="460"/>
        <v>0</v>
      </c>
      <c r="S762" s="74">
        <f t="shared" ca="1" si="460"/>
        <v>0</v>
      </c>
      <c r="T762" s="74">
        <f t="shared" ca="1" si="457"/>
        <v>0</v>
      </c>
      <c r="U762" s="74">
        <f t="shared" ca="1" si="458"/>
        <v>0</v>
      </c>
    </row>
    <row r="763" spans="1:21" ht="18.75" hidden="1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4">
        <f t="shared" ref="L763:N763" si="461">L764+L765</f>
        <v>0</v>
      </c>
      <c r="M763" s="74">
        <f t="shared" si="461"/>
        <v>0</v>
      </c>
      <c r="N763" s="74">
        <f t="shared" si="461"/>
        <v>0</v>
      </c>
      <c r="O763" s="74">
        <f t="shared" si="454"/>
        <v>0</v>
      </c>
      <c r="P763" s="74">
        <f t="shared" si="455"/>
        <v>0</v>
      </c>
      <c r="Q763" s="73">
        <f t="shared" ref="Q763:S763" ca="1" si="462">Q764+Q765</f>
        <v>0</v>
      </c>
      <c r="R763" s="74">
        <f t="shared" ca="1" si="462"/>
        <v>0</v>
      </c>
      <c r="S763" s="74">
        <f t="shared" ca="1" si="462"/>
        <v>0</v>
      </c>
      <c r="T763" s="74">
        <f t="shared" ca="1" si="457"/>
        <v>0</v>
      </c>
      <c r="U763" s="74">
        <f t="shared" ca="1" si="458"/>
        <v>0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7">
        <v>0</v>
      </c>
      <c r="M764" s="77">
        <v>0</v>
      </c>
      <c r="N764" s="77">
        <v>0</v>
      </c>
      <c r="O764" s="77">
        <f t="shared" si="454"/>
        <v>0</v>
      </c>
      <c r="P764" s="77">
        <f t="shared" si="455"/>
        <v>0</v>
      </c>
      <c r="Q764" s="76">
        <v>0</v>
      </c>
      <c r="R764" s="77">
        <v>0</v>
      </c>
      <c r="S764" s="77">
        <v>0</v>
      </c>
      <c r="T764" s="77">
        <f t="shared" si="457"/>
        <v>0</v>
      </c>
      <c r="U764" s="77">
        <f t="shared" si="458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4">
        <v>0</v>
      </c>
      <c r="M765" s="74">
        <v>0</v>
      </c>
      <c r="N765" s="74">
        <v>0</v>
      </c>
      <c r="O765" s="74">
        <f t="shared" si="454"/>
        <v>0</v>
      </c>
      <c r="P765" s="74">
        <f t="shared" si="455"/>
        <v>0</v>
      </c>
      <c r="Q765" s="73">
        <f ca="1">IFERROR(__xludf.DUMMYFUNCTION("IMPORTRANGE(""https://docs.google.com/spreadsheets/d/1ItG2mGa2ceCfYo0BwxsXqNm01IGEUdYcSSLTEv9YCik/edit?usp=sharing"",""เบิกจ่ายกองทุน!U58"")"),0)</f>
        <v>0</v>
      </c>
      <c r="R765" s="74">
        <f ca="1">IFERROR(__xludf.DUMMYFUNCTION("IMPORTRANGE(""https://docs.google.com/spreadsheets/d/1ItG2mGa2ceCfYo0BwxsXqNm01IGEUdYcSSLTEv9YCik/edit?usp=sharing"",""เบิกจ่ายกองทุน!V58"")"),0)</f>
        <v>0</v>
      </c>
      <c r="S765" s="74">
        <f ca="1">IFERROR(__xludf.DUMMYFUNCTION("IMPORTRANGE(""https://docs.google.com/spreadsheets/d/1ItG2mGa2ceCfYo0BwxsXqNm01IGEUdYcSSLTEv9YCik/edit?usp=sharing"",""เบิกจ่ายกองทุน!W58"")"),0)</f>
        <v>0</v>
      </c>
      <c r="T765" s="74">
        <f t="shared" ca="1" si="457"/>
        <v>0</v>
      </c>
      <c r="U765" s="74">
        <f t="shared" ca="1" si="458"/>
        <v>0</v>
      </c>
    </row>
    <row r="766" spans="1:21" ht="18.75" hidden="1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4">
        <f t="shared" ref="L766:N766" si="463">L767+L768</f>
        <v>0</v>
      </c>
      <c r="M766" s="74">
        <f t="shared" si="463"/>
        <v>0</v>
      </c>
      <c r="N766" s="74">
        <f t="shared" si="463"/>
        <v>0</v>
      </c>
      <c r="O766" s="74">
        <f t="shared" si="454"/>
        <v>0</v>
      </c>
      <c r="P766" s="74">
        <f t="shared" si="455"/>
        <v>0</v>
      </c>
      <c r="Q766" s="73">
        <f t="shared" ref="Q766:S766" si="464">Q767+Q768</f>
        <v>0</v>
      </c>
      <c r="R766" s="74">
        <f t="shared" si="464"/>
        <v>0</v>
      </c>
      <c r="S766" s="74">
        <f t="shared" si="464"/>
        <v>0</v>
      </c>
      <c r="T766" s="74">
        <f t="shared" si="457"/>
        <v>0</v>
      </c>
      <c r="U766" s="74">
        <f t="shared" si="458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7">
        <v>0</v>
      </c>
      <c r="M767" s="77">
        <v>0</v>
      </c>
      <c r="N767" s="77">
        <v>0</v>
      </c>
      <c r="O767" s="77">
        <f t="shared" si="454"/>
        <v>0</v>
      </c>
      <c r="P767" s="77">
        <f t="shared" si="455"/>
        <v>0</v>
      </c>
      <c r="Q767" s="76">
        <v>0</v>
      </c>
      <c r="R767" s="77">
        <v>0</v>
      </c>
      <c r="S767" s="77">
        <v>0</v>
      </c>
      <c r="T767" s="77">
        <f t="shared" si="457"/>
        <v>0</v>
      </c>
      <c r="U767" s="77">
        <f t="shared" si="458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4">
        <v>0</v>
      </c>
      <c r="M768" s="74">
        <v>0</v>
      </c>
      <c r="N768" s="74">
        <v>0</v>
      </c>
      <c r="O768" s="74">
        <f t="shared" si="454"/>
        <v>0</v>
      </c>
      <c r="P768" s="74">
        <f t="shared" si="455"/>
        <v>0</v>
      </c>
      <c r="Q768" s="73">
        <v>0</v>
      </c>
      <c r="R768" s="74">
        <v>0</v>
      </c>
      <c r="S768" s="74">
        <v>0</v>
      </c>
      <c r="T768" s="74">
        <f t="shared" si="457"/>
        <v>0</v>
      </c>
      <c r="U768" s="74">
        <f t="shared" si="458"/>
        <v>0</v>
      </c>
    </row>
    <row r="769" spans="1:21" ht="19.5" hidden="1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7"/>
      <c r="M769" s="87"/>
      <c r="N769" s="87"/>
      <c r="O769" s="87"/>
      <c r="P769" s="87"/>
      <c r="Q769" s="86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IFERROR(__xludf.DUMMYFUNCTION("IMPORTRANGE(""https://docs.google.com/spreadsheets/d/1eHaY18a8A9IcSdp1K8H6x8fbOy06t2VsZHhMHf-1x7Y/edit?usp=sharing"",""แผน!FI58"")"),0)</f>
        <v>0</v>
      </c>
      <c r="J770" s="592">
        <v>0</v>
      </c>
      <c r="K770" s="77">
        <f ca="1">IF(I770&gt;0,J770*100/I770,0)</f>
        <v>0</v>
      </c>
      <c r="L770" s="87"/>
      <c r="M770" s="87"/>
      <c r="N770" s="87"/>
      <c r="O770" s="87"/>
      <c r="P770" s="87"/>
      <c r="Q770" s="86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7"/>
      <c r="M771" s="87"/>
      <c r="N771" s="87"/>
      <c r="O771" s="87"/>
      <c r="P771" s="87"/>
      <c r="Q771" s="86"/>
      <c r="R771" s="87"/>
      <c r="S771" s="87"/>
      <c r="T771" s="87"/>
      <c r="U771" s="87"/>
    </row>
    <row r="772" spans="1:21" ht="18.75" hidden="1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IFERROR(__xludf.DUMMYFUNCTION("IMPORTRANGE(""https://docs.google.com/spreadsheets/d/1eHaY18a8A9IcSdp1K8H6x8fbOy06t2VsZHhMHf-1x7Y/edit?usp=sharing"",""แผน!FQ58"")"),0)</f>
        <v>0</v>
      </c>
      <c r="J772" s="294">
        <v>0</v>
      </c>
      <c r="K772" s="74">
        <f ca="1">IF(I772&gt;0,J772*100/I772,0)</f>
        <v>0</v>
      </c>
      <c r="L772" s="87"/>
      <c r="M772" s="87"/>
      <c r="N772" s="87"/>
      <c r="O772" s="87"/>
      <c r="P772" s="87"/>
      <c r="Q772" s="86"/>
      <c r="R772" s="87"/>
      <c r="S772" s="87"/>
      <c r="T772" s="87"/>
      <c r="U772" s="87"/>
    </row>
    <row r="773" spans="1:21" ht="18.75" hidden="1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7"/>
      <c r="M773" s="87"/>
      <c r="N773" s="87"/>
      <c r="O773" s="87"/>
      <c r="P773" s="87"/>
      <c r="Q773" s="86"/>
      <c r="R773" s="87"/>
      <c r="S773" s="87"/>
      <c r="T773" s="87"/>
      <c r="U773" s="87"/>
    </row>
    <row r="774" spans="1:21" ht="18.75" hidden="1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IFERROR(__xludf.DUMMYFUNCTION("IMPORTRANGE(""https://docs.google.com/spreadsheets/d/1eHaY18a8A9IcSdp1K8H6x8fbOy06t2VsZHhMHf-1x7Y/edit?usp=sharing"",""แผน!FR58"")"),0)</f>
        <v>0</v>
      </c>
      <c r="J774" s="294">
        <v>0</v>
      </c>
      <c r="K774" s="74">
        <f ca="1">IF(I774&gt;0,J774*100/I774,0)</f>
        <v>0</v>
      </c>
      <c r="L774" s="87"/>
      <c r="M774" s="87"/>
      <c r="N774" s="87"/>
      <c r="O774" s="87"/>
      <c r="P774" s="87"/>
      <c r="Q774" s="86"/>
      <c r="R774" s="87"/>
      <c r="S774" s="87"/>
      <c r="T774" s="87"/>
      <c r="U774" s="87"/>
    </row>
    <row r="775" spans="1:21" ht="18.75" hidden="1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IFERROR(__xludf.DUMMYFUNCTION("IMPORTRANGE(""https://docs.google.com/spreadsheets/d/1eHaY18a8A9IcSdp1K8H6x8fbOy06t2VsZHhMHf-1x7Y/edit?usp=sharing"",""แผน!FS58"")"),0)</f>
        <v>0</v>
      </c>
      <c r="J775" s="294">
        <v>0</v>
      </c>
      <c r="K775" s="87"/>
      <c r="L775" s="87"/>
      <c r="M775" s="87"/>
      <c r="N775" s="87"/>
      <c r="O775" s="87"/>
      <c r="P775" s="87"/>
      <c r="Q775" s="86"/>
      <c r="R775" s="87"/>
      <c r="S775" s="87"/>
      <c r="T775" s="87"/>
      <c r="U775" s="87"/>
    </row>
    <row r="776" spans="1:21" ht="18.75" hidden="1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IFERROR(__xludf.DUMMYFUNCTION("IMPORTRANGE(""https://docs.google.com/spreadsheets/d/1eHaY18a8A9IcSdp1K8H6x8fbOy06t2VsZHhMHf-1x7Y/edit?usp=sharing"",""แผน!FT58"")"),0)</f>
        <v>0</v>
      </c>
      <c r="J776" s="761">
        <v>0</v>
      </c>
      <c r="K776" s="98"/>
      <c r="L776" s="98"/>
      <c r="M776" s="98"/>
      <c r="N776" s="98"/>
      <c r="O776" s="98"/>
      <c r="P776" s="98"/>
      <c r="Q776" s="97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IFERROR(__xludf.DUMMYFUNCTION("IMPORTRANGE(""https://docs.google.com/spreadsheets/d/10OvvATaaLtwErnr3qtWFcTmtbfpFEt5Bsqel9sXx0uE/edit?usp=sharing"",""งานกองทุน!D58"")"),3330000)</f>
        <v>3330000</v>
      </c>
      <c r="J778" s="293">
        <f ca="1">IFERROR(__xludf.DUMMYFUNCTION("IMPORTRANGE(""https://docs.google.com/spreadsheets/d/10OvvATaaLtwErnr3qtWFcTmtbfpFEt5Bsqel9sXx0uE/edit?usp=sharing"",""งานกองทุน!F58"")"),340000)</f>
        <v>340000</v>
      </c>
      <c r="K778" s="74">
        <f t="shared" ref="K778:K785" ca="1" si="465">IF(I778&gt;0,J778*100/I778,0)</f>
        <v>10.21021021021021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IFERROR(__xludf.DUMMYFUNCTION("IMPORTRANGE(""https://docs.google.com/spreadsheets/d/10OvvATaaLtwErnr3qtWFcTmtbfpFEt5Bsqel9sXx0uE/edit?usp=sharing"",""งานกองทุน!C58"")"),124)</f>
        <v>124</v>
      </c>
      <c r="J779" s="293">
        <f ca="1">IFERROR(__xludf.DUMMYFUNCTION("IMPORTRANGE(""https://docs.google.com/spreadsheets/d/10OvvATaaLtwErnr3qtWFcTmtbfpFEt5Bsqel9sXx0uE/edit?usp=sharing"",""งานกองทุน!E58"")"),17)</f>
        <v>17</v>
      </c>
      <c r="K779" s="74">
        <f t="shared" ca="1" si="465"/>
        <v>13.709677419354838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IFERROR(__xludf.DUMMYFUNCTION("IMPORTRANGE(""https://docs.google.com/spreadsheets/d/10OvvATaaLtwErnr3qtWFcTmtbfpFEt5Bsqel9sXx0uE/edit?usp=sharing"",""งานกองทุน!I58"")"),849467.39)</f>
        <v>849467.39</v>
      </c>
      <c r="J780" s="293">
        <f ca="1">IFERROR(__xludf.DUMMYFUNCTION("IMPORTRANGE(""https://docs.google.com/spreadsheets/d/10OvvATaaLtwErnr3qtWFcTmtbfpFEt5Bsqel9sXx0uE/edit?usp=sharing"",""งานกองทุน!K58"")"),48223.6)</f>
        <v>48223.6</v>
      </c>
      <c r="K780" s="74">
        <f t="shared" ca="1" si="465"/>
        <v>5.6769218651230391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IFERROR(__xludf.DUMMYFUNCTION("IMPORTRANGE(""https://docs.google.com/spreadsheets/d/10OvvATaaLtwErnr3qtWFcTmtbfpFEt5Bsqel9sXx0uE/edit?usp=sharing"",""งานกองทุน!H58"")"),33)</f>
        <v>33</v>
      </c>
      <c r="J781" s="293">
        <f ca="1">IFERROR(__xludf.DUMMYFUNCTION("IMPORTRANGE(""https://docs.google.com/spreadsheets/d/10OvvATaaLtwErnr3qtWFcTmtbfpFEt5Bsqel9sXx0uE/edit?usp=sharing"",""งานกองทุน!J58"")"),9)</f>
        <v>9</v>
      </c>
      <c r="K781" s="74">
        <f t="shared" ca="1" si="465"/>
        <v>27.272727272727273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IFERROR(__xludf.DUMMYFUNCTION("IMPORTRANGE(""https://docs.google.com/spreadsheets/d/10OvvATaaLtwErnr3qtWFcTmtbfpFEt5Bsqel9sXx0uE/edit?usp=sharing"",""งานกองทุน!N58"")"),0)</f>
        <v>0</v>
      </c>
      <c r="J782" s="293">
        <f ca="1">IFERROR(__xludf.DUMMYFUNCTION("IMPORTRANGE(""https://docs.google.com/spreadsheets/d/10OvvATaaLtwErnr3qtWFcTmtbfpFEt5Bsqel9sXx0uE/edit?usp=sharing"",""งานกองทุน!P58"")"),0)</f>
        <v>0</v>
      </c>
      <c r="K782" s="74">
        <f t="shared" ca="1" si="465"/>
        <v>0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IFERROR(__xludf.DUMMYFUNCTION("IMPORTRANGE(""https://docs.google.com/spreadsheets/d/10OvvATaaLtwErnr3qtWFcTmtbfpFEt5Bsqel9sXx0uE/edit?usp=sharing"",""งานกองทุน!M58"")"),0)</f>
        <v>0</v>
      </c>
      <c r="J783" s="293">
        <f ca="1">IFERROR(__xludf.DUMMYFUNCTION("IMPORTRANGE(""https://docs.google.com/spreadsheets/d/10OvvATaaLtwErnr3qtWFcTmtbfpFEt5Bsqel9sXx0uE/edit?usp=sharing"",""งานกองทุน!O58"")"),0)</f>
        <v>0</v>
      </c>
      <c r="K783" s="74">
        <f t="shared" ca="1" si="465"/>
        <v>0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IFERROR(__xludf.DUMMYFUNCTION("IMPORTRANGE(""https://docs.google.com/spreadsheets/d/10OvvATaaLtwErnr3qtWFcTmtbfpFEt5Bsqel9sXx0uE/edit?usp=sharing"",""งานกองทุน!S58"")"),4088000)</f>
        <v>4088000</v>
      </c>
      <c r="J784" s="293">
        <f ca="1">IFERROR(__xludf.DUMMYFUNCTION("IMPORTRANGE(""https://docs.google.com/spreadsheets/d/10OvvATaaLtwErnr3qtWFcTmtbfpFEt5Bsqel9sXx0uE/edit?usp=sharing"",""งานกองทุน!U58"")"),200000)</f>
        <v>200000</v>
      </c>
      <c r="K784" s="74">
        <f t="shared" ca="1" si="465"/>
        <v>4.8923679060665366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IFERROR(__xludf.DUMMYFUNCTION("IMPORTRANGE(""https://docs.google.com/spreadsheets/d/10OvvATaaLtwErnr3qtWFcTmtbfpFEt5Bsqel9sXx0uE/edit?usp=sharing"",""งานกองทุน!R58"")"),146)</f>
        <v>146</v>
      </c>
      <c r="J785" s="786">
        <f ca="1">IFERROR(__xludf.DUMMYFUNCTION("IMPORTRANGE(""https://docs.google.com/spreadsheets/d/10OvvATaaLtwErnr3qtWFcTmtbfpFEt5Bsqel9sXx0uE/edit?usp=sharing"",""งานกองทุน!T58"")"),8)</f>
        <v>8</v>
      </c>
      <c r="K785" s="182">
        <f t="shared" ca="1" si="465"/>
        <v>5.4794520547945202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6620B-2FF5-4B27-B282-40BC1F34E46D}">
  <sheetPr codeName="Sheet8"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3" width="21.28515625" bestFit="1" customWidth="1"/>
    <col min="14" max="14" width="18.7109375" bestFit="1" customWidth="1"/>
    <col min="15" max="15" width="10.85546875" bestFit="1" customWidth="1"/>
    <col min="16" max="16" width="12" bestFit="1" customWidth="1"/>
    <col min="17" max="18" width="18.710937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342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4" t="s">
        <v>4</v>
      </c>
      <c r="B6" s="1385"/>
      <c r="C6" s="1385"/>
      <c r="D6" s="1385"/>
      <c r="E6" s="1385"/>
      <c r="F6" s="1385"/>
      <c r="G6" s="1386"/>
      <c r="H6" s="1037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8">
        <f t="shared" ref="L19:N19" ca="1" si="0">L20+L21</f>
        <v>1533840</v>
      </c>
      <c r="M19" s="59">
        <f t="shared" ca="1" si="0"/>
        <v>1615856</v>
      </c>
      <c r="N19" s="59">
        <f t="shared" ca="1" si="0"/>
        <v>911160.72</v>
      </c>
      <c r="O19" s="59">
        <f t="shared" ref="O19:O27" ca="1" si="1">IF(L19&gt;0,N19*100/L19,0)</f>
        <v>59.403896103896102</v>
      </c>
      <c r="P19" s="59">
        <f t="shared" ref="P19:P27" ca="1" si="2">IF(M19&gt;0,N19*100/M19,0)</f>
        <v>56.388732659345884</v>
      </c>
      <c r="Q19" s="59">
        <f t="shared" ref="Q19:S19" ca="1" si="3">Q20+Q21</f>
        <v>639591.24</v>
      </c>
      <c r="R19" s="59">
        <f t="shared" ca="1" si="3"/>
        <v>639591</v>
      </c>
      <c r="S19" s="59">
        <f t="shared" ca="1" si="3"/>
        <v>0</v>
      </c>
      <c r="T19" s="59">
        <f t="shared" ref="T19:T27" ca="1" si="4">IF(Q19&gt;0,S19*100/Q19,0)</f>
        <v>0</v>
      </c>
      <c r="U19" s="59">
        <f t="shared" ref="U19:U27" ca="1" si="5">IF(R19&gt;0,S19*100/R19,0)</f>
        <v>0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2">
        <f t="shared" ref="L20:N21" si="6">L23+L26</f>
        <v>0</v>
      </c>
      <c r="M20" s="63">
        <f t="shared" si="6"/>
        <v>0</v>
      </c>
      <c r="N20" s="63">
        <f t="shared" si="6"/>
        <v>0</v>
      </c>
      <c r="O20" s="63">
        <f t="shared" si="1"/>
        <v>0</v>
      </c>
      <c r="P20" s="63">
        <f t="shared" si="2"/>
        <v>0</v>
      </c>
      <c r="Q20" s="63">
        <f t="shared" ref="Q20:S21" si="7">Q23+Q26</f>
        <v>0</v>
      </c>
      <c r="R20" s="63">
        <f t="shared" si="7"/>
        <v>0</v>
      </c>
      <c r="S20" s="63">
        <f t="shared" si="7"/>
        <v>0</v>
      </c>
      <c r="T20" s="63">
        <f t="shared" si="4"/>
        <v>0</v>
      </c>
      <c r="U20" s="6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4">
        <f t="shared" ca="1" si="6"/>
        <v>1533840</v>
      </c>
      <c r="M21" s="65">
        <f t="shared" ca="1" si="6"/>
        <v>1615856</v>
      </c>
      <c r="N21" s="65">
        <f t="shared" ca="1" si="6"/>
        <v>911160.72</v>
      </c>
      <c r="O21" s="65">
        <f t="shared" ca="1" si="1"/>
        <v>59.403896103896102</v>
      </c>
      <c r="P21" s="65">
        <f t="shared" ca="1" si="2"/>
        <v>56.388732659345884</v>
      </c>
      <c r="Q21" s="65">
        <f t="shared" ca="1" si="7"/>
        <v>639591.24</v>
      </c>
      <c r="R21" s="65">
        <f t="shared" ca="1" si="7"/>
        <v>639591</v>
      </c>
      <c r="S21" s="65">
        <f t="shared" ca="1" si="7"/>
        <v>0</v>
      </c>
      <c r="T21" s="65">
        <f t="shared" ca="1" si="4"/>
        <v>0</v>
      </c>
      <c r="U21" s="65">
        <f t="shared" ca="1" si="5"/>
        <v>0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3">
        <f t="shared" ref="L22:N22" ca="1" si="8">L23+L24</f>
        <v>1533840</v>
      </c>
      <c r="M22" s="74">
        <f t="shared" ca="1" si="8"/>
        <v>1615856</v>
      </c>
      <c r="N22" s="74">
        <f t="shared" ca="1" si="8"/>
        <v>911160.72</v>
      </c>
      <c r="O22" s="74">
        <f t="shared" ca="1" si="1"/>
        <v>59.403896103896102</v>
      </c>
      <c r="P22" s="74">
        <f t="shared" ca="1" si="2"/>
        <v>56.388732659345884</v>
      </c>
      <c r="Q22" s="74">
        <f t="shared" ref="Q22:S22" ca="1" si="9">Q23+Q24</f>
        <v>639591.24</v>
      </c>
      <c r="R22" s="74">
        <f t="shared" ca="1" si="9"/>
        <v>639591</v>
      </c>
      <c r="S22" s="74">
        <f t="shared" ca="1" si="9"/>
        <v>0</v>
      </c>
      <c r="T22" s="74">
        <f t="shared" ca="1" si="4"/>
        <v>0</v>
      </c>
      <c r="U22" s="74">
        <f t="shared" ca="1" si="5"/>
        <v>0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6">
        <f t="shared" ref="L23:N24" si="10">L49+L64+L77+L99+L130+L144+L162+L191+L178+L271+L287+L308+L325+L338+L361+L518</f>
        <v>0</v>
      </c>
      <c r="M23" s="77">
        <f t="shared" si="10"/>
        <v>0</v>
      </c>
      <c r="N23" s="77">
        <f t="shared" si="10"/>
        <v>0</v>
      </c>
      <c r="O23" s="77">
        <f t="shared" si="1"/>
        <v>0</v>
      </c>
      <c r="P23" s="77">
        <f t="shared" si="2"/>
        <v>0</v>
      </c>
      <c r="Q23" s="77">
        <f t="shared" ref="Q23:S24" si="11">Q77+Q99+Q122+Q144+Q162+Q178+Q191+Q271+Q287+Q308+Q338+Q380+Q397+Q418+Q498+Q604+Q621+Q647+Q695+Q719+Q733+Q764</f>
        <v>0</v>
      </c>
      <c r="R23" s="77">
        <f t="shared" si="11"/>
        <v>0</v>
      </c>
      <c r="S23" s="77">
        <f t="shared" si="11"/>
        <v>0</v>
      </c>
      <c r="T23" s="77">
        <f t="shared" si="4"/>
        <v>0</v>
      </c>
      <c r="U23" s="77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3">
        <f t="shared" ca="1" si="10"/>
        <v>1533840</v>
      </c>
      <c r="M24" s="74">
        <f t="shared" ca="1" si="10"/>
        <v>1615856</v>
      </c>
      <c r="N24" s="74">
        <f t="shared" ca="1" si="10"/>
        <v>911160.72</v>
      </c>
      <c r="O24" s="74">
        <f t="shared" ca="1" si="1"/>
        <v>59.403896103896102</v>
      </c>
      <c r="P24" s="74">
        <f t="shared" ca="1" si="2"/>
        <v>56.388732659345884</v>
      </c>
      <c r="Q24" s="74">
        <f t="shared" ca="1" si="11"/>
        <v>639591.24</v>
      </c>
      <c r="R24" s="74">
        <f t="shared" ca="1" si="11"/>
        <v>639591</v>
      </c>
      <c r="S24" s="74">
        <f t="shared" ca="1" si="11"/>
        <v>0</v>
      </c>
      <c r="T24" s="74">
        <f t="shared" ca="1" si="4"/>
        <v>0</v>
      </c>
      <c r="U24" s="74">
        <f t="shared" ca="1" si="5"/>
        <v>0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3">
        <f t="shared" ref="L25:N25" ca="1" si="12">L26+L27</f>
        <v>0</v>
      </c>
      <c r="M25" s="74">
        <f t="shared" ca="1" si="12"/>
        <v>0</v>
      </c>
      <c r="N25" s="74">
        <f t="shared" ca="1" si="12"/>
        <v>0</v>
      </c>
      <c r="O25" s="74">
        <f t="shared" ca="1" si="1"/>
        <v>0</v>
      </c>
      <c r="P25" s="74">
        <f t="shared" ca="1" si="2"/>
        <v>0</v>
      </c>
      <c r="Q25" s="74">
        <f t="shared" ref="Q25:S25" si="13">Q26+Q27</f>
        <v>0</v>
      </c>
      <c r="R25" s="74">
        <f t="shared" si="13"/>
        <v>0</v>
      </c>
      <c r="S25" s="74">
        <f t="shared" si="13"/>
        <v>0</v>
      </c>
      <c r="T25" s="74">
        <f t="shared" si="4"/>
        <v>0</v>
      </c>
      <c r="U25" s="74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6">
        <f t="shared" ref="L26:N27" si="14">L52+L67+L80+L102+L133+L147+L165+L194+L181+L274+L290+L311+L328+L341+L364+L521</f>
        <v>0</v>
      </c>
      <c r="M26" s="77">
        <f t="shared" si="14"/>
        <v>0</v>
      </c>
      <c r="N26" s="77">
        <f t="shared" si="14"/>
        <v>0</v>
      </c>
      <c r="O26" s="77">
        <f t="shared" si="1"/>
        <v>0</v>
      </c>
      <c r="P26" s="77">
        <f t="shared" si="2"/>
        <v>0</v>
      </c>
      <c r="Q26" s="77">
        <f t="shared" ref="Q26:S27" si="15">Q80+Q102+Q125+Q147+Q165+Q181+Q194+Q274+Q290+Q311+Q341+Q383+Q400+Q421+Q501+Q607+Q624+Q650+Q698+Q722+Q736+Q767</f>
        <v>0</v>
      </c>
      <c r="R26" s="77">
        <f t="shared" si="15"/>
        <v>0</v>
      </c>
      <c r="S26" s="77">
        <f t="shared" si="15"/>
        <v>0</v>
      </c>
      <c r="T26" s="77">
        <f t="shared" si="4"/>
        <v>0</v>
      </c>
      <c r="U26" s="77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3">
        <f t="shared" ca="1" si="14"/>
        <v>0</v>
      </c>
      <c r="M27" s="74">
        <f t="shared" ca="1" si="14"/>
        <v>0</v>
      </c>
      <c r="N27" s="74">
        <f t="shared" ca="1" si="14"/>
        <v>0</v>
      </c>
      <c r="O27" s="74">
        <f t="shared" ca="1" si="1"/>
        <v>0</v>
      </c>
      <c r="P27" s="74">
        <f t="shared" ca="1" si="2"/>
        <v>0</v>
      </c>
      <c r="Q27" s="77">
        <f t="shared" si="15"/>
        <v>0</v>
      </c>
      <c r="R27" s="77">
        <f t="shared" si="15"/>
        <v>0</v>
      </c>
      <c r="S27" s="77">
        <f t="shared" si="15"/>
        <v>0</v>
      </c>
      <c r="T27" s="74">
        <f t="shared" si="4"/>
        <v>0</v>
      </c>
      <c r="U27" s="74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81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80">
        <f t="shared" ref="L41:N41" ca="1" si="16">L45+L60+L73+L95+L126+L140+L158+L174+L187+L267+L283+L304+L321+L334+L357</f>
        <v>1533840</v>
      </c>
      <c r="M41" s="1279">
        <f t="shared" ca="1" si="16"/>
        <v>1615856</v>
      </c>
      <c r="N41" s="1279">
        <f t="shared" ca="1" si="16"/>
        <v>911160.72</v>
      </c>
      <c r="O41" s="1279">
        <f ca="1">IF(L41&gt;0,N41*100/L41,0)</f>
        <v>59.403896103896102</v>
      </c>
      <c r="P41" s="1279">
        <f ca="1">IF(M41&gt;0,N41*100/M41,0)</f>
        <v>56.388732659345884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6">
        <f t="shared" ref="L45:N45" ca="1" si="17">L46+L47</f>
        <v>213450</v>
      </c>
      <c r="M45" s="1275">
        <f t="shared" ca="1" si="17"/>
        <v>220926</v>
      </c>
      <c r="N45" s="1275">
        <f t="shared" ca="1" si="17"/>
        <v>151976</v>
      </c>
      <c r="O45" s="1275">
        <f t="shared" ref="O45:O53" ca="1" si="18">IF(L45&gt;0,N45*100/L45,0)</f>
        <v>71.199812602483021</v>
      </c>
      <c r="P45" s="1275">
        <f t="shared" ref="P45:P53" ca="1" si="19">IF(M45&gt;0,N45*100/M45,0)</f>
        <v>68.790454722395737</v>
      </c>
      <c r="Q45" s="1275">
        <f t="shared" ref="Q45:S45" si="20">Q46+Q47</f>
        <v>0</v>
      </c>
      <c r="R45" s="1275">
        <f t="shared" si="20"/>
        <v>0</v>
      </c>
      <c r="S45" s="1275">
        <f t="shared" si="20"/>
        <v>0</v>
      </c>
      <c r="T45" s="1275">
        <f t="shared" ref="T45:T53" si="21">IF(Q45&gt;0,S45*100/Q45,0)</f>
        <v>0</v>
      </c>
      <c r="U45" s="1275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4">
        <f t="shared" ref="L46:N47" si="23">L49+L52</f>
        <v>0</v>
      </c>
      <c r="M46" s="1273">
        <f t="shared" si="23"/>
        <v>0</v>
      </c>
      <c r="N46" s="1273">
        <f t="shared" si="23"/>
        <v>0</v>
      </c>
      <c r="O46" s="1273">
        <f t="shared" si="18"/>
        <v>0</v>
      </c>
      <c r="P46" s="1273">
        <f t="shared" si="19"/>
        <v>0</v>
      </c>
      <c r="Q46" s="1273">
        <f t="shared" ref="Q46:S47" si="24">Q49+Q52</f>
        <v>0</v>
      </c>
      <c r="R46" s="1273">
        <f t="shared" si="24"/>
        <v>0</v>
      </c>
      <c r="S46" s="1273">
        <f t="shared" si="24"/>
        <v>0</v>
      </c>
      <c r="T46" s="1273">
        <f t="shared" si="21"/>
        <v>0</v>
      </c>
      <c r="U46" s="1273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2">
        <f t="shared" ca="1" si="23"/>
        <v>213450</v>
      </c>
      <c r="M47" s="1271">
        <f t="shared" ca="1" si="23"/>
        <v>220926</v>
      </c>
      <c r="N47" s="1271">
        <f t="shared" ca="1" si="23"/>
        <v>151976</v>
      </c>
      <c r="O47" s="1271">
        <f t="shared" ca="1" si="18"/>
        <v>71.199812602483021</v>
      </c>
      <c r="P47" s="1271">
        <f t="shared" ca="1" si="19"/>
        <v>68.790454722395737</v>
      </c>
      <c r="Q47" s="1271">
        <f t="shared" si="24"/>
        <v>0</v>
      </c>
      <c r="R47" s="1271">
        <f t="shared" si="24"/>
        <v>0</v>
      </c>
      <c r="S47" s="1271">
        <f t="shared" si="24"/>
        <v>0</v>
      </c>
      <c r="T47" s="1271">
        <f t="shared" si="21"/>
        <v>0</v>
      </c>
      <c r="U47" s="1271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3">
        <f t="shared" ref="L48:N48" ca="1" si="25">L49+L50</f>
        <v>213450</v>
      </c>
      <c r="M48" s="74">
        <f t="shared" ca="1" si="25"/>
        <v>220926</v>
      </c>
      <c r="N48" s="74">
        <f t="shared" ca="1" si="25"/>
        <v>151976</v>
      </c>
      <c r="O48" s="74">
        <f t="shared" ca="1" si="18"/>
        <v>71.199812602483021</v>
      </c>
      <c r="P48" s="74">
        <f t="shared" ca="1" si="19"/>
        <v>68.790454722395737</v>
      </c>
      <c r="Q48" s="74">
        <f t="shared" ref="Q48:S48" si="26">Q49+Q50</f>
        <v>0</v>
      </c>
      <c r="R48" s="74">
        <f t="shared" si="26"/>
        <v>0</v>
      </c>
      <c r="S48" s="74">
        <f t="shared" si="26"/>
        <v>0</v>
      </c>
      <c r="T48" s="74">
        <f t="shared" si="21"/>
        <v>0</v>
      </c>
      <c r="U48" s="74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77">
        <f t="shared" si="18"/>
        <v>0</v>
      </c>
      <c r="P49" s="77">
        <f t="shared" si="19"/>
        <v>0</v>
      </c>
      <c r="Q49" s="77">
        <v>0</v>
      </c>
      <c r="R49" s="77">
        <v>0</v>
      </c>
      <c r="S49" s="77">
        <v>0</v>
      </c>
      <c r="T49" s="77">
        <f t="shared" si="21"/>
        <v>0</v>
      </c>
      <c r="U49" s="77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3">
        <f ca="1">IFERROR(__xludf.DUMMYFUNCTION("IMPORTRANGE(""https://docs.google.com/spreadsheets/d/1-uDff_7J0KD5mKrp0Vvzr7lt3OU09vwQwhkpOPPYv2Y/edit?usp=sharing"",""งบพรบ!P59"")"),213450)</f>
        <v>213450</v>
      </c>
      <c r="M50" s="74">
        <f ca="1">IFERROR(__xludf.DUMMYFUNCTION("IMPORTRANGE(""https://docs.google.com/spreadsheets/d/1-uDff_7J0KD5mKrp0Vvzr7lt3OU09vwQwhkpOPPYv2Y/edit?usp=sharing"",""งบพรบ!V59"")"),220926)</f>
        <v>220926</v>
      </c>
      <c r="N50" s="74">
        <f ca="1">IFERROR(__xludf.DUMMYFUNCTION("IMPORTRANGE(""https://docs.google.com/spreadsheets/d/1-uDff_7J0KD5mKrp0Vvzr7lt3OU09vwQwhkpOPPYv2Y/edit?usp=sharing"",""งบพรบ!Y59"")"),151976)</f>
        <v>151976</v>
      </c>
      <c r="O50" s="74">
        <f t="shared" ca="1" si="18"/>
        <v>71.199812602483021</v>
      </c>
      <c r="P50" s="74">
        <f t="shared" ca="1" si="19"/>
        <v>68.790454722395737</v>
      </c>
      <c r="Q50" s="74">
        <v>0</v>
      </c>
      <c r="R50" s="74">
        <v>0</v>
      </c>
      <c r="S50" s="74">
        <v>0</v>
      </c>
      <c r="T50" s="74">
        <f t="shared" si="21"/>
        <v>0</v>
      </c>
      <c r="U50" s="74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3">
        <f t="shared" ref="L51:N51" ca="1" si="27">L52+L53</f>
        <v>0</v>
      </c>
      <c r="M51" s="74">
        <f t="shared" ca="1" si="27"/>
        <v>0</v>
      </c>
      <c r="N51" s="74">
        <f t="shared" ca="1" si="27"/>
        <v>0</v>
      </c>
      <c r="O51" s="74">
        <f t="shared" ca="1" si="18"/>
        <v>0</v>
      </c>
      <c r="P51" s="74">
        <f t="shared" ca="1" si="19"/>
        <v>0</v>
      </c>
      <c r="Q51" s="74">
        <f t="shared" ref="Q51:S51" si="28">Q52+Q53</f>
        <v>0</v>
      </c>
      <c r="R51" s="74">
        <f t="shared" si="28"/>
        <v>0</v>
      </c>
      <c r="S51" s="74">
        <f t="shared" si="28"/>
        <v>0</v>
      </c>
      <c r="T51" s="74">
        <f t="shared" si="21"/>
        <v>0</v>
      </c>
      <c r="U51" s="74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77">
        <f t="shared" si="18"/>
        <v>0</v>
      </c>
      <c r="P52" s="77">
        <f t="shared" si="19"/>
        <v>0</v>
      </c>
      <c r="Q52" s="77">
        <v>0</v>
      </c>
      <c r="R52" s="77">
        <v>0</v>
      </c>
      <c r="S52" s="77">
        <v>0</v>
      </c>
      <c r="T52" s="77">
        <f t="shared" si="21"/>
        <v>0</v>
      </c>
      <c r="U52" s="77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3">
        <f ca="1">IFERROR(__xludf.DUMMYFUNCTION("IMPORTRANGE(""https://docs.google.com/spreadsheets/d/1-uDff_7J0KD5mKrp0Vvzr7lt3OU09vwQwhkpOPPYv2Y/edit?usp=sharing"",""งบพรบ!S59"")"),0)</f>
        <v>0</v>
      </c>
      <c r="M53" s="74">
        <f ca="1">IFERROR(__xludf.DUMMYFUNCTION("IMPORTRANGE(""https://docs.google.com/spreadsheets/d/1-uDff_7J0KD5mKrp0Vvzr7lt3OU09vwQwhkpOPPYv2Y/edit?usp=sharing"",""งบพรบ!W59"")"),0)</f>
        <v>0</v>
      </c>
      <c r="N53" s="74">
        <f ca="1">IFERROR(__xludf.DUMMYFUNCTION("IMPORTRANGE(""https://docs.google.com/spreadsheets/d/1-uDff_7J0KD5mKrp0Vvzr7lt3OU09vwQwhkpOPPYv2Y/edit?usp=sharing"",""งบพรบ!Z59"")"),0)</f>
        <v>0</v>
      </c>
      <c r="O53" s="74">
        <f t="shared" ca="1" si="18"/>
        <v>0</v>
      </c>
      <c r="P53" s="74">
        <f t="shared" ca="1" si="19"/>
        <v>0</v>
      </c>
      <c r="Q53" s="74">
        <v>0</v>
      </c>
      <c r="R53" s="74">
        <v>0</v>
      </c>
      <c r="S53" s="74">
        <v>0</v>
      </c>
      <c r="T53" s="74">
        <f t="shared" si="21"/>
        <v>0</v>
      </c>
      <c r="U53" s="74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9">
        <f t="shared" ref="L60:N60" ca="1" si="29">L61+L62</f>
        <v>439000</v>
      </c>
      <c r="M60" s="1268">
        <f t="shared" ca="1" si="29"/>
        <v>498540</v>
      </c>
      <c r="N60" s="1268">
        <f t="shared" ca="1" si="29"/>
        <v>365795.72</v>
      </c>
      <c r="O60" s="1268">
        <f t="shared" ref="O60:O68" ca="1" si="30">IF(L60&gt;0,N60*100/L60,0)</f>
        <v>83.324765375854213</v>
      </c>
      <c r="P60" s="1268">
        <f t="shared" ref="P60:P68" ca="1" si="31">IF(M60&gt;0,N60*100/M60,0)</f>
        <v>73.373394311389262</v>
      </c>
      <c r="Q60" s="1268">
        <f t="shared" ref="Q60:S60" si="32">Q61+Q62</f>
        <v>0</v>
      </c>
      <c r="R60" s="1268">
        <f t="shared" si="32"/>
        <v>0</v>
      </c>
      <c r="S60" s="1268">
        <f t="shared" si="32"/>
        <v>0</v>
      </c>
      <c r="T60" s="1268">
        <f t="shared" ref="T60:T68" si="33">IF(Q60&gt;0,S60*100/Q60,0)</f>
        <v>0</v>
      </c>
      <c r="U60" s="1268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7">
        <f t="shared" ref="L61:N62" si="35">L64+L67</f>
        <v>0</v>
      </c>
      <c r="M61" s="1266">
        <f t="shared" si="35"/>
        <v>0</v>
      </c>
      <c r="N61" s="1266">
        <f t="shared" si="35"/>
        <v>0</v>
      </c>
      <c r="O61" s="1266">
        <f t="shared" si="30"/>
        <v>0</v>
      </c>
      <c r="P61" s="1266">
        <f t="shared" si="31"/>
        <v>0</v>
      </c>
      <c r="Q61" s="1266">
        <f t="shared" ref="Q61:S62" si="36">Q64+Q67</f>
        <v>0</v>
      </c>
      <c r="R61" s="1266">
        <f t="shared" si="36"/>
        <v>0</v>
      </c>
      <c r="S61" s="1266">
        <f t="shared" si="36"/>
        <v>0</v>
      </c>
      <c r="T61" s="1266">
        <f t="shared" si="33"/>
        <v>0</v>
      </c>
      <c r="U61" s="1266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5">
        <f t="shared" ca="1" si="35"/>
        <v>439000</v>
      </c>
      <c r="M62" s="1264">
        <f t="shared" ca="1" si="35"/>
        <v>498540</v>
      </c>
      <c r="N62" s="1264">
        <f t="shared" ca="1" si="35"/>
        <v>365795.72</v>
      </c>
      <c r="O62" s="1264">
        <f t="shared" ca="1" si="30"/>
        <v>83.324765375854213</v>
      </c>
      <c r="P62" s="1264">
        <f t="shared" ca="1" si="31"/>
        <v>73.373394311389262</v>
      </c>
      <c r="Q62" s="1264">
        <f t="shared" si="36"/>
        <v>0</v>
      </c>
      <c r="R62" s="1264">
        <f t="shared" si="36"/>
        <v>0</v>
      </c>
      <c r="S62" s="1264">
        <f t="shared" si="36"/>
        <v>0</v>
      </c>
      <c r="T62" s="1264">
        <f t="shared" si="33"/>
        <v>0</v>
      </c>
      <c r="U62" s="1264">
        <f t="shared" si="34"/>
        <v>0</v>
      </c>
    </row>
    <row r="63" spans="1:21" ht="18.75" x14ac:dyDescent="0.25">
      <c r="A63" s="550"/>
      <c r="B63" s="269"/>
      <c r="C63" s="269"/>
      <c r="D63" s="967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3">
        <f t="shared" ref="L63:N63" ca="1" si="37">L64+L65</f>
        <v>439000</v>
      </c>
      <c r="M63" s="74">
        <f t="shared" ca="1" si="37"/>
        <v>498540</v>
      </c>
      <c r="N63" s="74">
        <f t="shared" ca="1" si="37"/>
        <v>365795.72</v>
      </c>
      <c r="O63" s="74">
        <f t="shared" ca="1" si="30"/>
        <v>83.324765375854213</v>
      </c>
      <c r="P63" s="74">
        <f t="shared" ca="1" si="31"/>
        <v>73.373394311389262</v>
      </c>
      <c r="Q63" s="74">
        <f t="shared" ref="Q63:S63" si="38">Q64+Q65</f>
        <v>0</v>
      </c>
      <c r="R63" s="74">
        <f t="shared" si="38"/>
        <v>0</v>
      </c>
      <c r="S63" s="74">
        <f t="shared" si="38"/>
        <v>0</v>
      </c>
      <c r="T63" s="74">
        <f t="shared" si="33"/>
        <v>0</v>
      </c>
      <c r="U63" s="74">
        <f t="shared" si="34"/>
        <v>0</v>
      </c>
    </row>
    <row r="64" spans="1:21" ht="18.75" hidden="1" x14ac:dyDescent="0.25">
      <c r="A64" s="550"/>
      <c r="B64" s="258"/>
      <c r="C64" s="269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77">
        <f t="shared" si="30"/>
        <v>0</v>
      </c>
      <c r="P64" s="77">
        <f t="shared" si="31"/>
        <v>0</v>
      </c>
      <c r="Q64" s="77">
        <v>0</v>
      </c>
      <c r="R64" s="77">
        <v>0</v>
      </c>
      <c r="S64" s="77">
        <v>0</v>
      </c>
      <c r="T64" s="77">
        <f t="shared" si="33"/>
        <v>0</v>
      </c>
      <c r="U64" s="77">
        <f t="shared" si="34"/>
        <v>0</v>
      </c>
    </row>
    <row r="65" spans="1:21" ht="18.75" hidden="1" x14ac:dyDescent="0.25">
      <c r="A65" s="257"/>
      <c r="B65" s="258"/>
      <c r="C65" s="258"/>
      <c r="D65" s="269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3">
        <f ca="1">IFERROR(__xludf.DUMMYFUNCTION("IMPORTRANGE(""https://docs.google.com/spreadsheets/d/1-uDff_7J0KD5mKrp0Vvzr7lt3OU09vwQwhkpOPPYv2Y/edit?usp=sharing"",""งบพรบ!AC59"")"),439000)</f>
        <v>439000</v>
      </c>
      <c r="M65" s="74">
        <f ca="1">IFERROR(__xludf.DUMMYFUNCTION("IMPORTRANGE(""https://docs.google.com/spreadsheets/d/1-uDff_7J0KD5mKrp0Vvzr7lt3OU09vwQwhkpOPPYv2Y/edit?usp=sharing"",""งบพรบ!AH59"")"),498540)</f>
        <v>498540</v>
      </c>
      <c r="N65" s="74">
        <f ca="1">IFERROR(__xludf.DUMMYFUNCTION("IMPORTRANGE(""https://docs.google.com/spreadsheets/d/1-uDff_7J0KD5mKrp0Vvzr7lt3OU09vwQwhkpOPPYv2Y/edit?usp=sharing"",""งบพรบ!AJ59"")"),365795.72)</f>
        <v>365795.72</v>
      </c>
      <c r="O65" s="74">
        <f t="shared" ca="1" si="30"/>
        <v>83.324765375854213</v>
      </c>
      <c r="P65" s="74">
        <f t="shared" ca="1" si="31"/>
        <v>73.373394311389262</v>
      </c>
      <c r="Q65" s="74">
        <v>0</v>
      </c>
      <c r="R65" s="74">
        <v>0</v>
      </c>
      <c r="S65" s="74">
        <v>0</v>
      </c>
      <c r="T65" s="74">
        <f t="shared" si="33"/>
        <v>0</v>
      </c>
      <c r="U65" s="74">
        <f t="shared" si="34"/>
        <v>0</v>
      </c>
    </row>
    <row r="66" spans="1:21" ht="18.75" x14ac:dyDescent="0.25">
      <c r="A66" s="257"/>
      <c r="B66" s="258"/>
      <c r="C66" s="258"/>
      <c r="D66" s="967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3">
        <f t="shared" ref="L66:N66" ca="1" si="39">L67+L68</f>
        <v>0</v>
      </c>
      <c r="M66" s="74">
        <f t="shared" ca="1" si="39"/>
        <v>0</v>
      </c>
      <c r="N66" s="74">
        <f t="shared" ca="1" si="39"/>
        <v>0</v>
      </c>
      <c r="O66" s="74">
        <f t="shared" ca="1" si="30"/>
        <v>0</v>
      </c>
      <c r="P66" s="74">
        <f t="shared" ca="1" si="31"/>
        <v>0</v>
      </c>
      <c r="Q66" s="74">
        <f t="shared" ref="Q66:S66" si="40">Q67+Q68</f>
        <v>0</v>
      </c>
      <c r="R66" s="74">
        <f t="shared" si="40"/>
        <v>0</v>
      </c>
      <c r="S66" s="74">
        <f t="shared" si="40"/>
        <v>0</v>
      </c>
      <c r="T66" s="74">
        <f t="shared" si="33"/>
        <v>0</v>
      </c>
      <c r="U66" s="74">
        <f t="shared" si="34"/>
        <v>0</v>
      </c>
    </row>
    <row r="67" spans="1:21" ht="18.75" hidden="1" x14ac:dyDescent="0.25">
      <c r="A67" s="257"/>
      <c r="B67" s="258"/>
      <c r="C67" s="258"/>
      <c r="D67" s="258"/>
      <c r="E67" s="265" t="s">
        <v>20</v>
      </c>
      <c r="F67" s="258"/>
      <c r="G67" s="261"/>
      <c r="H67" s="266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77">
        <f t="shared" si="30"/>
        <v>0</v>
      </c>
      <c r="P67" s="77">
        <f t="shared" si="31"/>
        <v>0</v>
      </c>
      <c r="Q67" s="77">
        <v>0</v>
      </c>
      <c r="R67" s="77">
        <v>0</v>
      </c>
      <c r="S67" s="77">
        <v>0</v>
      </c>
      <c r="T67" s="77">
        <f t="shared" si="33"/>
        <v>0</v>
      </c>
      <c r="U67" s="77">
        <f t="shared" si="34"/>
        <v>0</v>
      </c>
    </row>
    <row r="68" spans="1:21" ht="18.75" hidden="1" x14ac:dyDescent="0.25">
      <c r="A68" s="1094"/>
      <c r="B68" s="636"/>
      <c r="C68" s="636"/>
      <c r="D68" s="636"/>
      <c r="E68" s="849" t="s">
        <v>21</v>
      </c>
      <c r="F68" s="636"/>
      <c r="G68" s="637"/>
      <c r="H68" s="630" t="s">
        <v>14</v>
      </c>
      <c r="I68" s="631"/>
      <c r="J68" s="631"/>
      <c r="K68" s="98"/>
      <c r="L68" s="181">
        <f ca="1">IFERROR(__xludf.DUMMYFUNCTION("IMPORTRANGE(""https://docs.google.com/spreadsheets/d/1-uDff_7J0KD5mKrp0Vvzr7lt3OU09vwQwhkpOPPYv2Y/edit?usp=sharing"",""งบพรบ!AF59"")"),0)</f>
        <v>0</v>
      </c>
      <c r="M68" s="182">
        <f ca="1">IFERROR(__xludf.DUMMYFUNCTION("IMPORTRANGE(""https://docs.google.com/spreadsheets/d/1-uDff_7J0KD5mKrp0Vvzr7lt3OU09vwQwhkpOPPYv2Y/edit?usp=sharing"",""งบพรบ!AI59"")"),0)</f>
        <v>0</v>
      </c>
      <c r="N68" s="182">
        <f ca="1">IFERROR(__xludf.DUMMYFUNCTION("IMPORTRANGE(""https://docs.google.com/spreadsheets/d/1-uDff_7J0KD5mKrp0Vvzr7lt3OU09vwQwhkpOPPYv2Y/edit?usp=sharing"",""งบพรบ!AK59"")"),0)</f>
        <v>0</v>
      </c>
      <c r="O68" s="182">
        <f t="shared" ca="1" si="30"/>
        <v>0</v>
      </c>
      <c r="P68" s="182">
        <f t="shared" ca="1" si="31"/>
        <v>0</v>
      </c>
      <c r="Q68" s="182">
        <v>0</v>
      </c>
      <c r="R68" s="182">
        <v>0</v>
      </c>
      <c r="S68" s="182">
        <v>0</v>
      </c>
      <c r="T68" s="182">
        <f t="shared" si="33"/>
        <v>0</v>
      </c>
      <c r="U68" s="182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6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hidden="1" x14ac:dyDescent="0.3">
      <c r="A70" s="1099" t="s">
        <v>32</v>
      </c>
      <c r="B70" s="691"/>
      <c r="C70" s="693"/>
      <c r="D70" s="691"/>
      <c r="E70" s="691"/>
      <c r="F70" s="691"/>
      <c r="G70" s="1100"/>
      <c r="H70" s="1101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39" hidden="1" x14ac:dyDescent="0.3">
      <c r="A71" s="250"/>
      <c r="B71" s="251" t="s">
        <v>33</v>
      </c>
      <c r="C71" s="252"/>
      <c r="D71" s="253"/>
      <c r="E71" s="252"/>
      <c r="F71" s="252"/>
      <c r="G71" s="254"/>
      <c r="H71" s="255" t="s">
        <v>34</v>
      </c>
      <c r="I71" s="256">
        <f t="shared" ref="I71:J72" ca="1" si="41">I83</f>
        <v>0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hidden="1" x14ac:dyDescent="0.3">
      <c r="A72" s="250"/>
      <c r="B72" s="252"/>
      <c r="C72" s="252"/>
      <c r="D72" s="253"/>
      <c r="E72" s="252"/>
      <c r="F72" s="252"/>
      <c r="G72" s="254"/>
      <c r="H72" s="255" t="s">
        <v>35</v>
      </c>
      <c r="I72" s="256">
        <f t="shared" ca="1" si="41"/>
        <v>0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hidden="1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1257">
        <f t="shared" ref="L73:N73" ca="1" si="43">L74+L75</f>
        <v>0</v>
      </c>
      <c r="M73" s="264">
        <f t="shared" ca="1" si="43"/>
        <v>0</v>
      </c>
      <c r="N73" s="264">
        <f t="shared" ca="1" si="43"/>
        <v>0</v>
      </c>
      <c r="O73" s="264">
        <f t="shared" ref="O73:O81" ca="1" si="44">IF(L73&gt;0,N73*100/L73,0)</f>
        <v>0</v>
      </c>
      <c r="P73" s="264">
        <f t="shared" ref="P73:P81" ca="1" si="45">IF(M73&gt;0,N73*100/M73,0)</f>
        <v>0</v>
      </c>
      <c r="Q73" s="264">
        <f t="shared" ref="Q73:S73" ca="1" si="46">Q74+Q75</f>
        <v>0</v>
      </c>
      <c r="R73" s="264">
        <f t="shared" ca="1" si="46"/>
        <v>0</v>
      </c>
      <c r="S73" s="264">
        <f t="shared" ca="1" si="46"/>
        <v>0</v>
      </c>
      <c r="T73" s="264">
        <f t="shared" ref="T73:T81" ca="1" si="47">IF(Q73&gt;0,S73*100/Q73,0)</f>
        <v>0</v>
      </c>
      <c r="U73" s="264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6">
        <f t="shared" ref="L74:N75" si="49">L77+L80</f>
        <v>0</v>
      </c>
      <c r="M74" s="77">
        <f t="shared" si="49"/>
        <v>0</v>
      </c>
      <c r="N74" s="77">
        <f t="shared" si="49"/>
        <v>0</v>
      </c>
      <c r="O74" s="77">
        <f t="shared" si="44"/>
        <v>0</v>
      </c>
      <c r="P74" s="77">
        <f t="shared" si="45"/>
        <v>0</v>
      </c>
      <c r="Q74" s="77">
        <f t="shared" ref="Q74:S75" si="50">Q77+Q80</f>
        <v>0</v>
      </c>
      <c r="R74" s="77">
        <f t="shared" si="50"/>
        <v>0</v>
      </c>
      <c r="S74" s="77">
        <f t="shared" si="50"/>
        <v>0</v>
      </c>
      <c r="T74" s="77">
        <f t="shared" si="47"/>
        <v>0</v>
      </c>
      <c r="U74" s="77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3">
        <f t="shared" ca="1" si="49"/>
        <v>0</v>
      </c>
      <c r="M75" s="74">
        <f t="shared" ca="1" si="49"/>
        <v>0</v>
      </c>
      <c r="N75" s="74">
        <f t="shared" ca="1" si="49"/>
        <v>0</v>
      </c>
      <c r="O75" s="74">
        <f t="shared" ca="1" si="44"/>
        <v>0</v>
      </c>
      <c r="P75" s="74">
        <f t="shared" ca="1" si="45"/>
        <v>0</v>
      </c>
      <c r="Q75" s="74">
        <f t="shared" ca="1" si="50"/>
        <v>0</v>
      </c>
      <c r="R75" s="74">
        <f t="shared" ca="1" si="50"/>
        <v>0</v>
      </c>
      <c r="S75" s="74">
        <f t="shared" ca="1" si="50"/>
        <v>0</v>
      </c>
      <c r="T75" s="74">
        <f t="shared" ca="1" si="47"/>
        <v>0</v>
      </c>
      <c r="U75" s="74">
        <f t="shared" ca="1" si="48"/>
        <v>0</v>
      </c>
    </row>
    <row r="76" spans="1:21" ht="18.75" hidden="1" x14ac:dyDescent="0.25">
      <c r="A76" s="257"/>
      <c r="B76" s="269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3">
        <f t="shared" ref="L76:N76" ca="1" si="51">L77+L78</f>
        <v>0</v>
      </c>
      <c r="M76" s="74">
        <f t="shared" ca="1" si="51"/>
        <v>0</v>
      </c>
      <c r="N76" s="74">
        <f t="shared" ca="1" si="51"/>
        <v>0</v>
      </c>
      <c r="O76" s="74">
        <f t="shared" ca="1" si="44"/>
        <v>0</v>
      </c>
      <c r="P76" s="74">
        <f t="shared" ca="1" si="45"/>
        <v>0</v>
      </c>
      <c r="Q76" s="74">
        <f t="shared" ref="Q76:S76" ca="1" si="52">Q77+Q78</f>
        <v>0</v>
      </c>
      <c r="R76" s="74">
        <f t="shared" ca="1" si="52"/>
        <v>0</v>
      </c>
      <c r="S76" s="74">
        <f t="shared" ca="1" si="52"/>
        <v>0</v>
      </c>
      <c r="T76" s="74">
        <f t="shared" ca="1" si="47"/>
        <v>0</v>
      </c>
      <c r="U76" s="74">
        <f t="shared" ca="1" si="48"/>
        <v>0</v>
      </c>
    </row>
    <row r="77" spans="1:21" ht="18.75" hidden="1" x14ac:dyDescent="0.25">
      <c r="A77" s="257"/>
      <c r="B77" s="269"/>
      <c r="C77" s="269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77">
        <f t="shared" si="44"/>
        <v>0</v>
      </c>
      <c r="P77" s="77">
        <f t="shared" si="45"/>
        <v>0</v>
      </c>
      <c r="Q77" s="77">
        <v>0</v>
      </c>
      <c r="R77" s="77">
        <v>0</v>
      </c>
      <c r="S77" s="77">
        <v>0</v>
      </c>
      <c r="T77" s="77">
        <f t="shared" si="47"/>
        <v>0</v>
      </c>
      <c r="U77" s="77">
        <f t="shared" si="48"/>
        <v>0</v>
      </c>
    </row>
    <row r="78" spans="1:21" ht="18.75" hidden="1" x14ac:dyDescent="0.25">
      <c r="A78" s="257"/>
      <c r="B78" s="269"/>
      <c r="C78" s="269"/>
      <c r="D78" s="269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3">
        <f ca="1">IFERROR(__xludf.DUMMYFUNCTION("IMPORTRANGE(""https://docs.google.com/spreadsheets/d/1-uDff_7J0KD5mKrp0Vvzr7lt3OU09vwQwhkpOPPYv2Y/edit?usp=sharing"",""งบพรบ!AM59"")"),0)</f>
        <v>0</v>
      </c>
      <c r="M78" s="74">
        <f ca="1">IFERROR(__xludf.DUMMYFUNCTION("IMPORTRANGE(""https://docs.google.com/spreadsheets/d/1-uDff_7J0KD5mKrp0Vvzr7lt3OU09vwQwhkpOPPYv2Y/edit?usp=sharing"",""งบพรบ!AR59"")"),0)</f>
        <v>0</v>
      </c>
      <c r="N78" s="74">
        <f ca="1">IFERROR(__xludf.DUMMYFUNCTION("IMPORTRANGE(""https://docs.google.com/spreadsheets/d/1-uDff_7J0KD5mKrp0Vvzr7lt3OU09vwQwhkpOPPYv2Y/edit?usp=sharing"",""งบพรบ!AT59"")"),0)</f>
        <v>0</v>
      </c>
      <c r="O78" s="74">
        <f t="shared" ca="1" si="44"/>
        <v>0</v>
      </c>
      <c r="P78" s="74">
        <f t="shared" ca="1" si="45"/>
        <v>0</v>
      </c>
      <c r="Q78" s="74">
        <f ca="1">IFERROR(__xludf.DUMMYFUNCTION("IMPORTRANGE(""https://docs.google.com/spreadsheets/d/1ItG2mGa2ceCfYo0BwxsXqNm01IGEUdYcSSLTEv9YCik/edit?usp=sharing"",""เบิกจ่ายกองทุน!AS59"")"),0)</f>
        <v>0</v>
      </c>
      <c r="R78" s="74">
        <f ca="1">IFERROR(__xludf.DUMMYFUNCTION("IMPORTRANGE(""https://docs.google.com/spreadsheets/d/1ItG2mGa2ceCfYo0BwxsXqNm01IGEUdYcSSLTEv9YCik/edit?usp=sharing"",""เบิกจ่ายกองทุน!AT59"")"),0)</f>
        <v>0</v>
      </c>
      <c r="S78" s="74">
        <f ca="1">IFERROR(__xludf.DUMMYFUNCTION("IMPORTRANGE(""https://docs.google.com/spreadsheets/d/1ItG2mGa2ceCfYo0BwxsXqNm01IGEUdYcSSLTEv9YCik/edit?usp=sharing"",""เบิกจ่ายกองทุน!AU59"")"),0)</f>
        <v>0</v>
      </c>
      <c r="T78" s="74">
        <f t="shared" ca="1" si="47"/>
        <v>0</v>
      </c>
      <c r="U78" s="74">
        <f t="shared" ca="1" si="48"/>
        <v>0</v>
      </c>
    </row>
    <row r="79" spans="1:21" ht="18.75" hidden="1" x14ac:dyDescent="0.25">
      <c r="A79" s="257"/>
      <c r="B79" s="269"/>
      <c r="C79" s="269"/>
      <c r="D79" s="967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3">
        <f t="shared" ref="L79:N79" ca="1" si="53">L80+L81</f>
        <v>0</v>
      </c>
      <c r="M79" s="74">
        <f t="shared" ca="1" si="53"/>
        <v>0</v>
      </c>
      <c r="N79" s="74">
        <f t="shared" ca="1" si="53"/>
        <v>0</v>
      </c>
      <c r="O79" s="74">
        <f t="shared" ca="1" si="44"/>
        <v>0</v>
      </c>
      <c r="P79" s="74">
        <f t="shared" ca="1" si="45"/>
        <v>0</v>
      </c>
      <c r="Q79" s="74">
        <f t="shared" ref="Q79:S79" si="54">Q80+Q81</f>
        <v>0</v>
      </c>
      <c r="R79" s="74">
        <f t="shared" si="54"/>
        <v>0</v>
      </c>
      <c r="S79" s="74">
        <f t="shared" si="54"/>
        <v>0</v>
      </c>
      <c r="T79" s="74">
        <f t="shared" si="47"/>
        <v>0</v>
      </c>
      <c r="U79" s="74">
        <f t="shared" si="48"/>
        <v>0</v>
      </c>
    </row>
    <row r="80" spans="1:21" ht="18.75" hidden="1" x14ac:dyDescent="0.25">
      <c r="A80" s="257"/>
      <c r="B80" s="269"/>
      <c r="C80" s="269"/>
      <c r="D80" s="269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77">
        <f t="shared" si="44"/>
        <v>0</v>
      </c>
      <c r="P80" s="77">
        <f t="shared" si="45"/>
        <v>0</v>
      </c>
      <c r="Q80" s="77">
        <v>0</v>
      </c>
      <c r="R80" s="74">
        <v>0</v>
      </c>
      <c r="S80" s="74">
        <v>0</v>
      </c>
      <c r="T80" s="77">
        <f t="shared" si="47"/>
        <v>0</v>
      </c>
      <c r="U80" s="77">
        <f t="shared" si="48"/>
        <v>0</v>
      </c>
    </row>
    <row r="81" spans="1:21" ht="18.75" hidden="1" x14ac:dyDescent="0.25">
      <c r="A81" s="257"/>
      <c r="B81" s="269"/>
      <c r="C81" s="269"/>
      <c r="D81" s="269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3">
        <f ca="1">IFERROR(__xludf.DUMMYFUNCTION("IMPORTRANGE(""https://docs.google.com/spreadsheets/d/1-uDff_7J0KD5mKrp0Vvzr7lt3OU09vwQwhkpOPPYv2Y/edit?usp=sharing"",""งบพรบ!AP59"")"),0)</f>
        <v>0</v>
      </c>
      <c r="M81" s="74">
        <f ca="1">IFERROR(__xludf.DUMMYFUNCTION("IMPORTRANGE(""https://docs.google.com/spreadsheets/d/1-uDff_7J0KD5mKrp0Vvzr7lt3OU09vwQwhkpOPPYv2Y/edit?usp=sharing"",""งบพรบ!AS59"")"),0)</f>
        <v>0</v>
      </c>
      <c r="N81" s="74">
        <f ca="1">IFERROR(__xludf.DUMMYFUNCTION("IMPORTRANGE(""https://docs.google.com/spreadsheets/d/1-uDff_7J0KD5mKrp0Vvzr7lt3OU09vwQwhkpOPPYv2Y/edit?usp=sharing"",""งบพรบ!AU59"")"),0)</f>
        <v>0</v>
      </c>
      <c r="O81" s="74">
        <f t="shared" ca="1" si="44"/>
        <v>0</v>
      </c>
      <c r="P81" s="74">
        <f t="shared" ca="1" si="45"/>
        <v>0</v>
      </c>
      <c r="Q81" s="74">
        <v>0</v>
      </c>
      <c r="R81" s="74">
        <v>0</v>
      </c>
      <c r="S81" s="74">
        <v>0</v>
      </c>
      <c r="T81" s="74">
        <f t="shared" si="47"/>
        <v>0</v>
      </c>
      <c r="U81" s="74">
        <f t="shared" si="48"/>
        <v>0</v>
      </c>
    </row>
    <row r="82" spans="1:21" ht="19.5" hidden="1" x14ac:dyDescent="0.3">
      <c r="A82" s="276"/>
      <c r="B82" s="277"/>
      <c r="C82" s="621" t="s">
        <v>18</v>
      </c>
      <c r="D82" s="968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hidden="1" x14ac:dyDescent="0.3">
      <c r="A83" s="276"/>
      <c r="B83" s="277"/>
      <c r="C83" s="277"/>
      <c r="D83" s="1103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0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hidden="1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0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hidden="1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IFERROR(__xludf.DUMMYFUNCTION("IMPORTRANGE(""https://docs.google.com/spreadsheets/d/1eHaY18a8A9IcSdp1K8H6x8fbOy06t2VsZHhMHf-1x7Y/edit?usp=sharing"",""แผน!H59"")"),0)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hidden="1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IFERROR(__xludf.DUMMYFUNCTION("IMPORTRANGE(""https://docs.google.com/spreadsheets/d/1eHaY18a8A9IcSdp1K8H6x8fbOy06t2VsZHhMHf-1x7Y/edit?usp=sharing"",""แผน!I59"")"),0)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hidden="1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IFERROR(__xludf.DUMMYFUNCTION("IMPORTRANGE(""https://docs.google.com/spreadsheets/d/1eHaY18a8A9IcSdp1K8H6x8fbOy06t2VsZHhMHf-1x7Y/edit?usp=sharing"",""แผน!F59"")"),0)</f>
        <v>0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hidden="1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IFERROR(__xludf.DUMMYFUNCTION("IMPORTRANGE(""https://docs.google.com/spreadsheets/d/1eHaY18a8A9IcSdp1K8H6x8fbOy06t2VsZHhMHf-1x7Y/edit?usp=sharing"",""แผน!G59"")"),0)</f>
        <v>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hidden="1" x14ac:dyDescent="0.25">
      <c r="A89" s="276"/>
      <c r="B89" s="277"/>
      <c r="C89" s="277"/>
      <c r="D89" s="277"/>
      <c r="E89" s="295" t="s">
        <v>42</v>
      </c>
      <c r="F89" s="296"/>
      <c r="G89" s="282"/>
      <c r="H89" s="275" t="s">
        <v>34</v>
      </c>
      <c r="I89" s="298">
        <f ca="1">IFERROR(__xludf.DUMMYFUNCTION("IMPORTRANGE(""https://docs.google.com/spreadsheets/d/1eHaY18a8A9IcSdp1K8H6x8fbOy06t2VsZHhMHf-1x7Y/edit?usp=sharing"",""แผน!D59"")"),0)</f>
        <v>0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hidden="1" x14ac:dyDescent="0.25">
      <c r="A90" s="276"/>
      <c r="B90" s="277"/>
      <c r="C90" s="277"/>
      <c r="D90" s="277"/>
      <c r="E90" s="296"/>
      <c r="F90" s="296"/>
      <c r="G90" s="282"/>
      <c r="H90" s="275" t="s">
        <v>35</v>
      </c>
      <c r="I90" s="298">
        <f ca="1">IFERROR(__xludf.DUMMYFUNCTION("IMPORTRANGE(""https://docs.google.com/spreadsheets/d/1eHaY18a8A9IcSdp1K8H6x8fbOy06t2VsZHhMHf-1x7Y/edit?usp=sharing"",""แผน!E59"")"),0)</f>
        <v>0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hidden="1" x14ac:dyDescent="0.25">
      <c r="A91" s="276"/>
      <c r="B91" s="277"/>
      <c r="C91" s="277"/>
      <c r="D91" s="767" t="s">
        <v>43</v>
      </c>
      <c r="E91" s="296"/>
      <c r="F91" s="296"/>
      <c r="G91" s="282"/>
      <c r="H91" s="271" t="s">
        <v>34</v>
      </c>
      <c r="I91" s="298">
        <f ca="1">IFERROR(__xludf.DUMMYFUNCTION("IMPORTRANGE(""https://docs.google.com/spreadsheets/d/1eHaY18a8A9IcSdp1K8H6x8fbOy06t2VsZHhMHf-1x7Y/edit?usp=sharing"",""แผน!J59"")"),0)</f>
        <v>0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hidden="1" x14ac:dyDescent="0.3">
      <c r="A92" s="1099" t="s">
        <v>44</v>
      </c>
      <c r="B92" s="691"/>
      <c r="C92" s="693"/>
      <c r="D92" s="691"/>
      <c r="E92" s="691"/>
      <c r="F92" s="691"/>
      <c r="G92" s="1100"/>
      <c r="H92" s="1101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hidden="1" x14ac:dyDescent="0.3">
      <c r="A93" s="250"/>
      <c r="B93" s="251" t="s">
        <v>45</v>
      </c>
      <c r="C93" s="252"/>
      <c r="D93" s="253"/>
      <c r="E93" s="252"/>
      <c r="F93" s="252"/>
      <c r="G93" s="254"/>
      <c r="H93" s="255" t="s">
        <v>46</v>
      </c>
      <c r="I93" s="256">
        <f t="shared" ref="I93:J94" ca="1" si="57">I109</f>
        <v>0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hidden="1" x14ac:dyDescent="0.3">
      <c r="A94" s="250"/>
      <c r="B94" s="252"/>
      <c r="C94" s="252"/>
      <c r="D94" s="253"/>
      <c r="E94" s="252"/>
      <c r="F94" s="252"/>
      <c r="G94" s="254"/>
      <c r="H94" s="255" t="s">
        <v>35</v>
      </c>
      <c r="I94" s="256">
        <f t="shared" ca="1" si="57"/>
        <v>0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hidden="1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1257">
        <f t="shared" ref="L95:N95" ca="1" si="59">L96+L97</f>
        <v>0</v>
      </c>
      <c r="M95" s="264">
        <f t="shared" ca="1" si="59"/>
        <v>0</v>
      </c>
      <c r="N95" s="264">
        <f t="shared" ca="1" si="59"/>
        <v>0</v>
      </c>
      <c r="O95" s="264">
        <f t="shared" ref="O95:O103" ca="1" si="60">IF(L95&gt;0,N95*100/L95,0)</f>
        <v>0</v>
      </c>
      <c r="P95" s="264">
        <f t="shared" ref="P95:P103" ca="1" si="61">IF(M95&gt;0,N95*100/M95,0)</f>
        <v>0</v>
      </c>
      <c r="Q95" s="264">
        <f t="shared" ref="Q95:S95" ca="1" si="62">Q96+Q97</f>
        <v>0</v>
      </c>
      <c r="R95" s="264">
        <f t="shared" ca="1" si="62"/>
        <v>0</v>
      </c>
      <c r="S95" s="264">
        <f t="shared" ca="1" si="62"/>
        <v>0</v>
      </c>
      <c r="T95" s="264">
        <f t="shared" ref="T95:T103" ca="1" si="63">IF(Q95&gt;0,S95*100/Q95,0)</f>
        <v>0</v>
      </c>
      <c r="U95" s="264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6">
        <f t="shared" ref="L96:N97" si="65">L99+L102</f>
        <v>0</v>
      </c>
      <c r="M96" s="77">
        <f t="shared" si="65"/>
        <v>0</v>
      </c>
      <c r="N96" s="77">
        <f t="shared" si="65"/>
        <v>0</v>
      </c>
      <c r="O96" s="77">
        <f t="shared" si="60"/>
        <v>0</v>
      </c>
      <c r="P96" s="77">
        <f t="shared" si="61"/>
        <v>0</v>
      </c>
      <c r="Q96" s="77">
        <f t="shared" ref="Q96:S97" si="66">Q99+Q102</f>
        <v>0</v>
      </c>
      <c r="R96" s="77">
        <f t="shared" si="66"/>
        <v>0</v>
      </c>
      <c r="S96" s="77">
        <f t="shared" si="66"/>
        <v>0</v>
      </c>
      <c r="T96" s="77">
        <f t="shared" si="63"/>
        <v>0</v>
      </c>
      <c r="U96" s="77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3">
        <f t="shared" ca="1" si="65"/>
        <v>0</v>
      </c>
      <c r="M97" s="74">
        <f t="shared" ca="1" si="65"/>
        <v>0</v>
      </c>
      <c r="N97" s="74">
        <f t="shared" ca="1" si="65"/>
        <v>0</v>
      </c>
      <c r="O97" s="74">
        <f t="shared" ca="1" si="60"/>
        <v>0</v>
      </c>
      <c r="P97" s="74">
        <f t="shared" ca="1" si="61"/>
        <v>0</v>
      </c>
      <c r="Q97" s="74">
        <f t="shared" ca="1" si="66"/>
        <v>0</v>
      </c>
      <c r="R97" s="74">
        <f t="shared" ca="1" si="66"/>
        <v>0</v>
      </c>
      <c r="S97" s="74">
        <f t="shared" ca="1" si="66"/>
        <v>0</v>
      </c>
      <c r="T97" s="74">
        <f t="shared" ca="1" si="63"/>
        <v>0</v>
      </c>
      <c r="U97" s="74">
        <f t="shared" ca="1" si="64"/>
        <v>0</v>
      </c>
    </row>
    <row r="98" spans="1:21" ht="18.75" hidden="1" x14ac:dyDescent="0.25">
      <c r="A98" s="257"/>
      <c r="B98" s="269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3">
        <f t="shared" ref="L98:N98" ca="1" si="67">L99+L100</f>
        <v>0</v>
      </c>
      <c r="M98" s="74">
        <f t="shared" ca="1" si="67"/>
        <v>0</v>
      </c>
      <c r="N98" s="74">
        <f t="shared" ca="1" si="67"/>
        <v>0</v>
      </c>
      <c r="O98" s="74">
        <f t="shared" ca="1" si="60"/>
        <v>0</v>
      </c>
      <c r="P98" s="74">
        <f t="shared" ca="1" si="61"/>
        <v>0</v>
      </c>
      <c r="Q98" s="74">
        <f t="shared" ref="Q98:S98" ca="1" si="68">Q99+Q100</f>
        <v>0</v>
      </c>
      <c r="R98" s="74">
        <f t="shared" ca="1" si="68"/>
        <v>0</v>
      </c>
      <c r="S98" s="74">
        <f t="shared" ca="1" si="68"/>
        <v>0</v>
      </c>
      <c r="T98" s="74">
        <f t="shared" ca="1" si="63"/>
        <v>0</v>
      </c>
      <c r="U98" s="74">
        <f t="shared" ca="1" si="64"/>
        <v>0</v>
      </c>
    </row>
    <row r="99" spans="1:21" ht="18.75" hidden="1" x14ac:dyDescent="0.25">
      <c r="A99" s="257"/>
      <c r="B99" s="269"/>
      <c r="C99" s="269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77">
        <f t="shared" si="60"/>
        <v>0</v>
      </c>
      <c r="P99" s="77">
        <f t="shared" si="61"/>
        <v>0</v>
      </c>
      <c r="Q99" s="77">
        <v>0</v>
      </c>
      <c r="R99" s="77">
        <v>0</v>
      </c>
      <c r="S99" s="77">
        <v>0</v>
      </c>
      <c r="T99" s="77">
        <f t="shared" si="63"/>
        <v>0</v>
      </c>
      <c r="U99" s="77">
        <f t="shared" si="64"/>
        <v>0</v>
      </c>
    </row>
    <row r="100" spans="1:21" ht="18.75" hidden="1" x14ac:dyDescent="0.25">
      <c r="A100" s="257"/>
      <c r="B100" s="269"/>
      <c r="C100" s="269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3">
        <f ca="1">IFERROR(__xludf.DUMMYFUNCTION("IMPORTRANGE(""https://docs.google.com/spreadsheets/d/1-uDff_7J0KD5mKrp0Vvzr7lt3OU09vwQwhkpOPPYv2Y/edit?usp=sharing"",""งบพรบ!AW59"")"),0)</f>
        <v>0</v>
      </c>
      <c r="M100" s="74">
        <f ca="1">IFERROR(__xludf.DUMMYFUNCTION("IMPORTRANGE(""https://docs.google.com/spreadsheets/d/1-uDff_7J0KD5mKrp0Vvzr7lt3OU09vwQwhkpOPPYv2Y/edit?usp=sharing"",""งบพรบ!BB59"")"),0)</f>
        <v>0</v>
      </c>
      <c r="N100" s="74">
        <f ca="1">IFERROR(__xludf.DUMMYFUNCTION("IMPORTRANGE(""https://docs.google.com/spreadsheets/d/1-uDff_7J0KD5mKrp0Vvzr7lt3OU09vwQwhkpOPPYv2Y/edit?usp=sharing"",""งบพรบ!BD59"")"),0)</f>
        <v>0</v>
      </c>
      <c r="O100" s="74">
        <f t="shared" ca="1" si="60"/>
        <v>0</v>
      </c>
      <c r="P100" s="74">
        <f t="shared" ca="1" si="61"/>
        <v>0</v>
      </c>
      <c r="Q100" s="74">
        <f ca="1">IFERROR(__xludf.DUMMYFUNCTION("IMPORTRANGE(""https://docs.google.com/spreadsheets/d/1ItG2mGa2ceCfYo0BwxsXqNm01IGEUdYcSSLTEv9YCik/edit?usp=sharing"",""เบิกจ่ายกองทุน!AD59"")"),0)</f>
        <v>0</v>
      </c>
      <c r="R100" s="74">
        <f ca="1">IFERROR(__xludf.DUMMYFUNCTION("IMPORTRANGE(""https://docs.google.com/spreadsheets/d/1ItG2mGa2ceCfYo0BwxsXqNm01IGEUdYcSSLTEv9YCik/edit?usp=sharing"",""เบิกจ่ายกองทุน!AE59"")"),0)</f>
        <v>0</v>
      </c>
      <c r="S100" s="74">
        <f ca="1">IFERROR(__xludf.DUMMYFUNCTION("IMPORTRANGE(""https://docs.google.com/spreadsheets/d/1ItG2mGa2ceCfYo0BwxsXqNm01IGEUdYcSSLTEv9YCik/edit?usp=sharing"",""เบิกจ่ายกองทุน!AF59"")"),0)</f>
        <v>0</v>
      </c>
      <c r="T100" s="74">
        <f t="shared" ca="1" si="63"/>
        <v>0</v>
      </c>
      <c r="U100" s="74">
        <f t="shared" ca="1" si="64"/>
        <v>0</v>
      </c>
    </row>
    <row r="101" spans="1:21" ht="18.75" hidden="1" x14ac:dyDescent="0.25">
      <c r="A101" s="257"/>
      <c r="B101" s="269"/>
      <c r="C101" s="269"/>
      <c r="D101" s="967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3">
        <f t="shared" ref="L101:N101" ca="1" si="69">L102+L103</f>
        <v>0</v>
      </c>
      <c r="M101" s="74">
        <f t="shared" ca="1" si="69"/>
        <v>0</v>
      </c>
      <c r="N101" s="74">
        <f t="shared" ca="1" si="69"/>
        <v>0</v>
      </c>
      <c r="O101" s="74">
        <f t="shared" ca="1" si="60"/>
        <v>0</v>
      </c>
      <c r="P101" s="74">
        <f t="shared" ca="1" si="61"/>
        <v>0</v>
      </c>
      <c r="Q101" s="74">
        <f t="shared" ref="Q101:S101" si="70">Q102+Q103</f>
        <v>0</v>
      </c>
      <c r="R101" s="74">
        <f t="shared" si="70"/>
        <v>0</v>
      </c>
      <c r="S101" s="74">
        <f t="shared" si="70"/>
        <v>0</v>
      </c>
      <c r="T101" s="74">
        <f t="shared" si="63"/>
        <v>0</v>
      </c>
      <c r="U101" s="74">
        <f t="shared" si="64"/>
        <v>0</v>
      </c>
    </row>
    <row r="102" spans="1:21" ht="18.75" hidden="1" x14ac:dyDescent="0.25">
      <c r="A102" s="257"/>
      <c r="B102" s="269"/>
      <c r="C102" s="269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77">
        <f t="shared" si="60"/>
        <v>0</v>
      </c>
      <c r="P102" s="77">
        <f t="shared" si="61"/>
        <v>0</v>
      </c>
      <c r="Q102" s="77">
        <v>0</v>
      </c>
      <c r="R102" s="77">
        <v>0</v>
      </c>
      <c r="S102" s="77">
        <v>0</v>
      </c>
      <c r="T102" s="77">
        <f t="shared" si="63"/>
        <v>0</v>
      </c>
      <c r="U102" s="77">
        <f t="shared" si="64"/>
        <v>0</v>
      </c>
    </row>
    <row r="103" spans="1:21" ht="18.75" hidden="1" x14ac:dyDescent="0.25">
      <c r="A103" s="257"/>
      <c r="B103" s="269"/>
      <c r="C103" s="269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3">
        <f ca="1">IFERROR(__xludf.DUMMYFUNCTION("IMPORTRANGE(""https://docs.google.com/spreadsheets/d/1-uDff_7J0KD5mKrp0Vvzr7lt3OU09vwQwhkpOPPYv2Y/edit?usp=sharing"",""งบพรบ!AZ59"")"),0)</f>
        <v>0</v>
      </c>
      <c r="M103" s="74">
        <f ca="1">IFERROR(__xludf.DUMMYFUNCTION("IMPORTRANGE(""https://docs.google.com/spreadsheets/d/1-uDff_7J0KD5mKrp0Vvzr7lt3OU09vwQwhkpOPPYv2Y/edit?usp=sharing"",""งบพรบ!BC59"")"),0)</f>
        <v>0</v>
      </c>
      <c r="N103" s="74">
        <f ca="1">IFERROR(__xludf.DUMMYFUNCTION("IMPORTRANGE(""https://docs.google.com/spreadsheets/d/1-uDff_7J0KD5mKrp0Vvzr7lt3OU09vwQwhkpOPPYv2Y/edit?usp=sharing"",""งบพรบ!BE59"")"),0)</f>
        <v>0</v>
      </c>
      <c r="O103" s="74">
        <f t="shared" ca="1" si="60"/>
        <v>0</v>
      </c>
      <c r="P103" s="74">
        <f t="shared" ca="1" si="61"/>
        <v>0</v>
      </c>
      <c r="Q103" s="74">
        <v>0</v>
      </c>
      <c r="R103" s="74">
        <v>0</v>
      </c>
      <c r="S103" s="74">
        <v>0</v>
      </c>
      <c r="T103" s="74">
        <f t="shared" si="63"/>
        <v>0</v>
      </c>
      <c r="U103" s="74">
        <f t="shared" si="64"/>
        <v>0</v>
      </c>
    </row>
    <row r="104" spans="1:21" ht="19.5" hidden="1" x14ac:dyDescent="0.3">
      <c r="A104" s="276"/>
      <c r="B104" s="277"/>
      <c r="C104" s="621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hidden="1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IFERROR(__xludf.DUMMYFUNCTION("IMPORTRANGE(""https://docs.google.com/spreadsheets/d/1eHaY18a8A9IcSdp1K8H6x8fbOy06t2VsZHhMHf-1x7Y/edit?usp=sharing"",""แผน!N59"")"),0)</f>
        <v>0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hidden="1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IFERROR(__xludf.DUMMYFUNCTION("IMPORTRANGE(""https://docs.google.com/spreadsheets/d/1eHaY18a8A9IcSdp1K8H6x8fbOy06t2VsZHhMHf-1x7Y/edit?usp=sharing"",""แผน!O59"")"),0)</f>
        <v>0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4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2.75" hidden="1" x14ac:dyDescent="0.2">
      <c r="A114" s="283"/>
      <c r="B114" s="284"/>
      <c r="C114" s="284"/>
      <c r="D114" s="284"/>
      <c r="E114" s="285"/>
      <c r="F114" s="285"/>
      <c r="G114" s="286"/>
      <c r="H114" s="286"/>
      <c r="I114" s="287">
        <v>0</v>
      </c>
      <c r="J114" s="287">
        <v>0</v>
      </c>
      <c r="K114" s="30"/>
      <c r="L114" s="29"/>
      <c r="M114" s="30"/>
      <c r="N114" s="30"/>
      <c r="O114" s="30"/>
      <c r="P114" s="30"/>
      <c r="Q114" s="30"/>
      <c r="R114" s="30"/>
      <c r="S114" s="30"/>
      <c r="T114" s="30"/>
      <c r="U114" s="30"/>
    </row>
    <row r="115" spans="1:21" ht="18.75" hidden="1" x14ac:dyDescent="0.25">
      <c r="A115" s="276"/>
      <c r="B115" s="277"/>
      <c r="C115" s="277"/>
      <c r="D115" s="295" t="s">
        <v>50</v>
      </c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IFERROR(__xludf.DUMMYFUNCTION("IMPORTRANGE(""https://docs.google.com/spreadsheets/d/1eHaY18a8A9IcSdp1K8H6x8fbOy06t2VsZHhMHf-1x7Y/edit?usp=sharing"",""แผน!R59"")"),0)</f>
        <v>0</v>
      </c>
      <c r="J115" s="294">
        <v>0</v>
      </c>
      <c r="K115" s="74">
        <f ca="1">IF(I115&gt;0,J115*100/I115,0)</f>
        <v>0</v>
      </c>
      <c r="L115" s="86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1099" t="s">
        <v>51</v>
      </c>
      <c r="B116" s="691"/>
      <c r="C116" s="692"/>
      <c r="D116" s="691"/>
      <c r="E116" s="691"/>
      <c r="F116" s="691"/>
      <c r="G116" s="691"/>
      <c r="H116" s="693"/>
      <c r="I116" s="694"/>
      <c r="J116" s="694"/>
      <c r="K116" s="695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50"/>
      <c r="B117" s="251" t="s">
        <v>52</v>
      </c>
      <c r="C117" s="304"/>
      <c r="D117" s="253"/>
      <c r="E117" s="252"/>
      <c r="F117" s="252"/>
      <c r="G117" s="252"/>
      <c r="H117" s="253"/>
      <c r="I117" s="900">
        <f t="shared" ref="I117:J117" ca="1" si="72">I128</f>
        <v>20</v>
      </c>
      <c r="J117" s="901">
        <f t="shared" si="72"/>
        <v>0</v>
      </c>
      <c r="K117" s="902">
        <f ca="1">IF(I117&gt;0,J117*100/I117,0)</f>
        <v>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58"/>
      <c r="C118" s="259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1257">
        <f t="shared" ref="L118:N118" ca="1" si="73">L119+L120</f>
        <v>0</v>
      </c>
      <c r="M118" s="264">
        <f t="shared" ca="1" si="73"/>
        <v>0</v>
      </c>
      <c r="N118" s="264">
        <f t="shared" ca="1" si="73"/>
        <v>0</v>
      </c>
      <c r="O118" s="264">
        <f t="shared" ref="O118:O126" ca="1" si="74">IF(L118&gt;0,N118*100/L118,0)</f>
        <v>0</v>
      </c>
      <c r="P118" s="264">
        <f t="shared" ref="P118:P126" ca="1" si="75">IF(M118&gt;0,N118*100/M118,0)</f>
        <v>0</v>
      </c>
      <c r="Q118" s="264">
        <f t="shared" ref="Q118:S118" ca="1" si="76">Q119+Q120</f>
        <v>209360</v>
      </c>
      <c r="R118" s="264">
        <f t="shared" ca="1" si="76"/>
        <v>209360</v>
      </c>
      <c r="S118" s="264">
        <f t="shared" ca="1" si="76"/>
        <v>0</v>
      </c>
      <c r="T118" s="264">
        <f t="shared" ref="T118:T126" ca="1" si="77">IF(Q118&gt;0,S118*100/Q118,0)</f>
        <v>0</v>
      </c>
      <c r="U118" s="264">
        <f t="shared" ref="U118:U126" ca="1" si="78">IF(R118&gt;0,S118*100/R118,0)</f>
        <v>0</v>
      </c>
    </row>
    <row r="119" spans="1:21" ht="18.75" hidden="1" x14ac:dyDescent="0.25">
      <c r="A119" s="257"/>
      <c r="B119" s="258"/>
      <c r="C119" s="258"/>
      <c r="D119" s="258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6">
        <f t="shared" ref="L119:N120" si="79">L122+L125</f>
        <v>0</v>
      </c>
      <c r="M119" s="77">
        <f t="shared" si="79"/>
        <v>0</v>
      </c>
      <c r="N119" s="77">
        <f t="shared" si="79"/>
        <v>0</v>
      </c>
      <c r="O119" s="77">
        <f t="shared" si="74"/>
        <v>0</v>
      </c>
      <c r="P119" s="77">
        <f t="shared" si="75"/>
        <v>0</v>
      </c>
      <c r="Q119" s="77">
        <f t="shared" ref="Q119:S120" si="80">Q122+Q125</f>
        <v>0</v>
      </c>
      <c r="R119" s="77">
        <f t="shared" si="80"/>
        <v>0</v>
      </c>
      <c r="S119" s="77">
        <f t="shared" si="80"/>
        <v>0</v>
      </c>
      <c r="T119" s="77">
        <f t="shared" si="77"/>
        <v>0</v>
      </c>
      <c r="U119" s="77">
        <f t="shared" si="78"/>
        <v>0</v>
      </c>
    </row>
    <row r="120" spans="1:21" ht="18.75" hidden="1" x14ac:dyDescent="0.25">
      <c r="A120" s="257"/>
      <c r="B120" s="258"/>
      <c r="C120" s="258"/>
      <c r="D120" s="258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3">
        <f t="shared" ca="1" si="79"/>
        <v>0</v>
      </c>
      <c r="M120" s="74">
        <f t="shared" ca="1" si="79"/>
        <v>0</v>
      </c>
      <c r="N120" s="74">
        <f t="shared" ca="1" si="79"/>
        <v>0</v>
      </c>
      <c r="O120" s="74">
        <f t="shared" ca="1" si="74"/>
        <v>0</v>
      </c>
      <c r="P120" s="74">
        <f t="shared" ca="1" si="75"/>
        <v>0</v>
      </c>
      <c r="Q120" s="74">
        <f t="shared" ca="1" si="80"/>
        <v>209360</v>
      </c>
      <c r="R120" s="74">
        <f t="shared" ca="1" si="80"/>
        <v>209360</v>
      </c>
      <c r="S120" s="74">
        <f t="shared" ca="1" si="80"/>
        <v>0</v>
      </c>
      <c r="T120" s="74">
        <f t="shared" ca="1" si="77"/>
        <v>0</v>
      </c>
      <c r="U120" s="74">
        <f t="shared" ca="1" si="78"/>
        <v>0</v>
      </c>
    </row>
    <row r="121" spans="1:21" ht="18.75" x14ac:dyDescent="0.25">
      <c r="A121" s="257"/>
      <c r="B121" s="258"/>
      <c r="C121" s="306"/>
      <c r="D121" s="270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3">
        <f t="shared" ref="L121:N121" ca="1" si="81">L122+L123</f>
        <v>0</v>
      </c>
      <c r="M121" s="74">
        <f t="shared" ca="1" si="81"/>
        <v>0</v>
      </c>
      <c r="N121" s="74">
        <f t="shared" ca="1" si="81"/>
        <v>0</v>
      </c>
      <c r="O121" s="74">
        <f t="shared" ca="1" si="74"/>
        <v>0</v>
      </c>
      <c r="P121" s="74">
        <f t="shared" ca="1" si="75"/>
        <v>0</v>
      </c>
      <c r="Q121" s="74">
        <f t="shared" ref="Q121:S121" ca="1" si="82">Q122+Q123</f>
        <v>209360</v>
      </c>
      <c r="R121" s="74">
        <f t="shared" ca="1" si="82"/>
        <v>209360</v>
      </c>
      <c r="S121" s="74">
        <f t="shared" ca="1" si="82"/>
        <v>0</v>
      </c>
      <c r="T121" s="74">
        <f t="shared" ca="1" si="77"/>
        <v>0</v>
      </c>
      <c r="U121" s="74">
        <f t="shared" ca="1" si="78"/>
        <v>0</v>
      </c>
    </row>
    <row r="122" spans="1:21" ht="18.75" hidden="1" x14ac:dyDescent="0.25">
      <c r="A122" s="257"/>
      <c r="B122" s="258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77">
        <f t="shared" si="74"/>
        <v>0</v>
      </c>
      <c r="P122" s="77">
        <f t="shared" si="75"/>
        <v>0</v>
      </c>
      <c r="Q122" s="77">
        <v>0</v>
      </c>
      <c r="R122" s="77">
        <v>0</v>
      </c>
      <c r="S122" s="77">
        <v>0</v>
      </c>
      <c r="T122" s="77">
        <f t="shared" si="77"/>
        <v>0</v>
      </c>
      <c r="U122" s="77">
        <f t="shared" si="78"/>
        <v>0</v>
      </c>
    </row>
    <row r="123" spans="1:21" ht="18.75" hidden="1" x14ac:dyDescent="0.25">
      <c r="A123" s="257"/>
      <c r="B123" s="258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3">
        <f ca="1">IFERROR(__xludf.DUMMYFUNCTION("IMPORTRANGE(""https://docs.google.com/spreadsheets/d/1-uDff_7J0KD5mKrp0Vvzr7lt3OU09vwQwhkpOPPYv2Y/edit?usp=sharing"",""งบพรบ!BG59"")"),0)</f>
        <v>0</v>
      </c>
      <c r="M123" s="74">
        <f ca="1">IFERROR(__xludf.DUMMYFUNCTION("IMPORTRANGE(""https://docs.google.com/spreadsheets/d/1-uDff_7J0KD5mKrp0Vvzr7lt3OU09vwQwhkpOPPYv2Y/edit?usp=sharing"",""งบพรบ!BL59"")"),0)</f>
        <v>0</v>
      </c>
      <c r="N123" s="74">
        <f ca="1">IFERROR(__xludf.DUMMYFUNCTION("IMPORTRANGE(""https://docs.google.com/spreadsheets/d/1-uDff_7J0KD5mKrp0Vvzr7lt3OU09vwQwhkpOPPYv2Y/edit?usp=sharing"",""งบพรบ!BN59"")"),0)</f>
        <v>0</v>
      </c>
      <c r="O123" s="74">
        <f t="shared" ca="1" si="74"/>
        <v>0</v>
      </c>
      <c r="P123" s="74">
        <f t="shared" ca="1" si="75"/>
        <v>0</v>
      </c>
      <c r="Q123" s="74">
        <f ca="1">IFERROR(__xludf.DUMMYFUNCTION("IMPORTRANGE(""https://docs.google.com/spreadsheets/d/1ItG2mGa2ceCfYo0BwxsXqNm01IGEUdYcSSLTEv9YCik/edit?usp=sharing"",""เบิกจ่ายกองทุน!R59"")"),209360)</f>
        <v>209360</v>
      </c>
      <c r="R123" s="74">
        <f ca="1">IFERROR(__xludf.DUMMYFUNCTION("IMPORTRANGE(""https://docs.google.com/spreadsheets/d/1ItG2mGa2ceCfYo0BwxsXqNm01IGEUdYcSSLTEv9YCik/edit?usp=sharing"",""เบิกจ่ายกองทุน!S59"")"),209360)</f>
        <v>209360</v>
      </c>
      <c r="S123" s="74">
        <f ca="1">IFERROR(__xludf.DUMMYFUNCTION("IMPORTRANGE(""https://docs.google.com/spreadsheets/d/1ItG2mGa2ceCfYo0BwxsXqNm01IGEUdYcSSLTEv9YCik/edit?usp=sharing"",""เบิกจ่ายกองทุน!T59"")"),0)</f>
        <v>0</v>
      </c>
      <c r="T123" s="74">
        <f t="shared" ca="1" si="77"/>
        <v>0</v>
      </c>
      <c r="U123" s="74">
        <f t="shared" ca="1" si="78"/>
        <v>0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3">
        <f t="shared" ref="L124:N124" ca="1" si="83">L125+L126</f>
        <v>0</v>
      </c>
      <c r="M124" s="74">
        <f t="shared" ca="1" si="83"/>
        <v>0</v>
      </c>
      <c r="N124" s="74">
        <f t="shared" ca="1" si="83"/>
        <v>0</v>
      </c>
      <c r="O124" s="74">
        <f t="shared" ca="1" si="74"/>
        <v>0</v>
      </c>
      <c r="P124" s="74">
        <f t="shared" ca="1" si="75"/>
        <v>0</v>
      </c>
      <c r="Q124" s="74">
        <f t="shared" ref="Q124:S124" si="84">Q125+Q126</f>
        <v>0</v>
      </c>
      <c r="R124" s="74">
        <f t="shared" si="84"/>
        <v>0</v>
      </c>
      <c r="S124" s="74">
        <f t="shared" si="84"/>
        <v>0</v>
      </c>
      <c r="T124" s="74">
        <f t="shared" si="77"/>
        <v>0</v>
      </c>
      <c r="U124" s="74">
        <f t="shared" si="78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77">
        <f t="shared" si="74"/>
        <v>0</v>
      </c>
      <c r="P125" s="77">
        <f t="shared" si="75"/>
        <v>0</v>
      </c>
      <c r="Q125" s="77">
        <v>0</v>
      </c>
      <c r="R125" s="77">
        <v>0</v>
      </c>
      <c r="S125" s="77">
        <v>0</v>
      </c>
      <c r="T125" s="77">
        <f t="shared" si="77"/>
        <v>0</v>
      </c>
      <c r="U125" s="77">
        <f t="shared" si="78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3">
        <f ca="1">IFERROR(__xludf.DUMMYFUNCTION("IMPORTRANGE(""https://docs.google.com/spreadsheets/d/1-uDff_7J0KD5mKrp0Vvzr7lt3OU09vwQwhkpOPPYv2Y/edit?usp=sharing"",""งบพรบ!BJ59"")"),0)</f>
        <v>0</v>
      </c>
      <c r="M126" s="74">
        <f ca="1">IFERROR(__xludf.DUMMYFUNCTION("IMPORTRANGE(""https://docs.google.com/spreadsheets/d/1-uDff_7J0KD5mKrp0Vvzr7lt3OU09vwQwhkpOPPYv2Y/edit?usp=sharing"",""งบพรบ!BM59"")"),0)</f>
        <v>0</v>
      </c>
      <c r="N126" s="74">
        <f ca="1">IFERROR(__xludf.DUMMYFUNCTION("IMPORTRANGE(""https://docs.google.com/spreadsheets/d/1-uDff_7J0KD5mKrp0Vvzr7lt3OU09vwQwhkpOPPYv2Y/edit?usp=sharing"",""งบพรบ!BO59"")"),0)</f>
        <v>0</v>
      </c>
      <c r="O126" s="74">
        <f t="shared" ca="1" si="74"/>
        <v>0</v>
      </c>
      <c r="P126" s="74">
        <f t="shared" ca="1" si="75"/>
        <v>0</v>
      </c>
      <c r="Q126" s="74">
        <v>0</v>
      </c>
      <c r="R126" s="74">
        <v>0</v>
      </c>
      <c r="S126" s="74">
        <v>0</v>
      </c>
      <c r="T126" s="74">
        <f t="shared" si="77"/>
        <v>0</v>
      </c>
      <c r="U126" s="74">
        <f t="shared" si="78"/>
        <v>0</v>
      </c>
    </row>
    <row r="127" spans="1:21" ht="19.5" x14ac:dyDescent="0.3">
      <c r="A127" s="890"/>
      <c r="B127" s="891"/>
      <c r="C127" s="905" t="s">
        <v>18</v>
      </c>
      <c r="D127" s="1108" t="s">
        <v>38</v>
      </c>
      <c r="E127" s="1109"/>
      <c r="F127" s="1109"/>
      <c r="G127" s="1110"/>
      <c r="H127" s="1111"/>
      <c r="I127" s="846"/>
      <c r="J127" s="846"/>
      <c r="K127" s="450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IFERROR(__xludf.DUMMYFUNCTION("IMPORTRANGE(""https://docs.google.com/spreadsheets/d/1eHaY18a8A9IcSdp1K8H6x8fbOy06t2VsZHhMHf-1x7Y/edit?usp=sharing"",""แผน!FF59"")"),20)</f>
        <v>20</v>
      </c>
      <c r="J128" s="294">
        <v>0</v>
      </c>
      <c r="K128" s="74">
        <f t="shared" ref="K128:K131" ca="1" si="85">IF(I128&gt;0,J128*100/I128,0)</f>
        <v>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IFERROR(__xludf.DUMMYFUNCTION("IMPORTRANGE(""https://docs.google.com/spreadsheets/d/1eHaY18a8A9IcSdp1K8H6x8fbOy06t2VsZHhMHf-1x7Y/edit?usp=sharing"",""แผน!FG59"")"),0)</f>
        <v>0</v>
      </c>
      <c r="J129" s="294">
        <v>0</v>
      </c>
      <c r="K129" s="74">
        <f t="shared" ca="1" si="85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74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IFERROR(__xludf.DUMMYFUNCTION("IMPORTRANGE(""https://docs.google.com/spreadsheets/d/1eHaY18a8A9IcSdp1K8H6x8fbOy06t2VsZHhMHf-1x7Y/edit?usp=sharing"",""แผน!FH59"")"),20)</f>
        <v>20</v>
      </c>
      <c r="J130" s="294">
        <v>0</v>
      </c>
      <c r="K130" s="74">
        <f t="shared" ca="1" si="85"/>
        <v>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77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IFERROR(__xludf.DUMMYFUNCTION("IMPORTRANGE(""https://docs.google.com/spreadsheets/d/1eHaY18a8A9IcSdp1K8H6x8fbOy06t2VsZHhMHf-1x7Y/edit?usp=sharing"",""แผน!FI59"")"),0)</f>
        <v>0</v>
      </c>
      <c r="J131" s="294">
        <v>0</v>
      </c>
      <c r="K131" s="74">
        <f t="shared" ca="1" si="85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708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708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hidden="1" x14ac:dyDescent="0.3">
      <c r="A135" s="1099" t="s">
        <v>58</v>
      </c>
      <c r="B135" s="691"/>
      <c r="C135" s="692"/>
      <c r="D135" s="691"/>
      <c r="E135" s="691"/>
      <c r="F135" s="691"/>
      <c r="G135" s="691"/>
      <c r="H135" s="693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hidden="1" x14ac:dyDescent="0.3">
      <c r="A136" s="250"/>
      <c r="B136" s="251" t="s">
        <v>59</v>
      </c>
      <c r="C136" s="304"/>
      <c r="D136" s="253"/>
      <c r="E136" s="252"/>
      <c r="F136" s="252"/>
      <c r="G136" s="252"/>
      <c r="H136" s="253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hidden="1" x14ac:dyDescent="0.3">
      <c r="A137" s="250"/>
      <c r="B137" s="252"/>
      <c r="C137" s="1112" t="s">
        <v>60</v>
      </c>
      <c r="D137" s="253"/>
      <c r="E137" s="252"/>
      <c r="F137" s="252"/>
      <c r="G137" s="254"/>
      <c r="H137" s="255" t="s">
        <v>61</v>
      </c>
      <c r="I137" s="256">
        <f t="shared" ref="I137:J137" ca="1" si="86">I155</f>
        <v>0</v>
      </c>
      <c r="J137" s="256">
        <f t="shared" si="86"/>
        <v>0</v>
      </c>
      <c r="K137" s="59">
        <f t="shared" ref="K137:K139" ca="1" si="87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hidden="1" x14ac:dyDescent="0.3">
      <c r="A138" s="250"/>
      <c r="B138" s="252"/>
      <c r="C138" s="1112" t="s">
        <v>62</v>
      </c>
      <c r="D138" s="253"/>
      <c r="E138" s="252"/>
      <c r="F138" s="252"/>
      <c r="G138" s="254"/>
      <c r="H138" s="255" t="s">
        <v>35</v>
      </c>
      <c r="I138" s="256">
        <f t="shared" ref="I138:J139" ca="1" si="88">I153</f>
        <v>0</v>
      </c>
      <c r="J138" s="256">
        <f t="shared" si="88"/>
        <v>0</v>
      </c>
      <c r="K138" s="59">
        <f t="shared" ca="1" si="87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hidden="1" x14ac:dyDescent="0.3">
      <c r="A139" s="250"/>
      <c r="B139" s="252"/>
      <c r="C139" s="304"/>
      <c r="D139" s="253"/>
      <c r="E139" s="252"/>
      <c r="F139" s="252"/>
      <c r="G139" s="254"/>
      <c r="H139" s="255" t="s">
        <v>54</v>
      </c>
      <c r="I139" s="256">
        <f t="shared" ca="1" si="88"/>
        <v>0</v>
      </c>
      <c r="J139" s="256">
        <f t="shared" si="88"/>
        <v>0</v>
      </c>
      <c r="K139" s="59">
        <f t="shared" ca="1" si="87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hidden="1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1257">
        <f t="shared" ref="L140:N140" ca="1" si="89">L141+L142</f>
        <v>0</v>
      </c>
      <c r="M140" s="264">
        <f t="shared" ca="1" si="89"/>
        <v>0</v>
      </c>
      <c r="N140" s="264">
        <f t="shared" ca="1" si="89"/>
        <v>0</v>
      </c>
      <c r="O140" s="264">
        <f t="shared" ref="O140:O148" ca="1" si="90">IF(L140&gt;0,N140*100/L140,0)</f>
        <v>0</v>
      </c>
      <c r="P140" s="264">
        <f t="shared" ref="P140:P148" ca="1" si="91">IF(M140&gt;0,N140*100/M140,0)</f>
        <v>0</v>
      </c>
      <c r="Q140" s="264">
        <f t="shared" ref="Q140:S140" ca="1" si="92">Q141+Q142</f>
        <v>0</v>
      </c>
      <c r="R140" s="264">
        <f t="shared" ca="1" si="92"/>
        <v>0</v>
      </c>
      <c r="S140" s="264">
        <f t="shared" ca="1" si="92"/>
        <v>0</v>
      </c>
      <c r="T140" s="264">
        <f t="shared" ref="T140:T148" ca="1" si="93">IF(Q140&gt;0,S140*100/Q140,0)</f>
        <v>0</v>
      </c>
      <c r="U140" s="264">
        <f t="shared" ref="U140:U148" ca="1" si="94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6">
        <f t="shared" ref="L141:N142" si="95">L144+L147</f>
        <v>0</v>
      </c>
      <c r="M141" s="77">
        <f t="shared" si="95"/>
        <v>0</v>
      </c>
      <c r="N141" s="77">
        <f t="shared" si="95"/>
        <v>0</v>
      </c>
      <c r="O141" s="77">
        <f t="shared" si="90"/>
        <v>0</v>
      </c>
      <c r="P141" s="77">
        <f t="shared" si="91"/>
        <v>0</v>
      </c>
      <c r="Q141" s="77">
        <f t="shared" ref="Q141:S142" si="96">Q144+Q147</f>
        <v>0</v>
      </c>
      <c r="R141" s="77">
        <f t="shared" si="96"/>
        <v>0</v>
      </c>
      <c r="S141" s="77">
        <f t="shared" si="96"/>
        <v>0</v>
      </c>
      <c r="T141" s="77">
        <f t="shared" si="93"/>
        <v>0</v>
      </c>
      <c r="U141" s="77">
        <f t="shared" si="94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3">
        <f t="shared" ca="1" si="95"/>
        <v>0</v>
      </c>
      <c r="M142" s="74">
        <f t="shared" ca="1" si="95"/>
        <v>0</v>
      </c>
      <c r="N142" s="74">
        <f t="shared" ca="1" si="95"/>
        <v>0</v>
      </c>
      <c r="O142" s="74">
        <f t="shared" ca="1" si="90"/>
        <v>0</v>
      </c>
      <c r="P142" s="74">
        <f t="shared" ca="1" si="91"/>
        <v>0</v>
      </c>
      <c r="Q142" s="74">
        <f t="shared" ca="1" si="96"/>
        <v>0</v>
      </c>
      <c r="R142" s="74">
        <f t="shared" ca="1" si="96"/>
        <v>0</v>
      </c>
      <c r="S142" s="74">
        <f t="shared" ca="1" si="96"/>
        <v>0</v>
      </c>
      <c r="T142" s="74">
        <f t="shared" ca="1" si="93"/>
        <v>0</v>
      </c>
      <c r="U142" s="74">
        <f t="shared" ca="1" si="94"/>
        <v>0</v>
      </c>
    </row>
    <row r="143" spans="1:21" ht="18.75" hidden="1" x14ac:dyDescent="0.25">
      <c r="A143" s="257"/>
      <c r="B143" s="269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3">
        <f t="shared" ref="L143:N143" ca="1" si="97">L144+L145</f>
        <v>0</v>
      </c>
      <c r="M143" s="74">
        <f t="shared" ca="1" si="97"/>
        <v>0</v>
      </c>
      <c r="N143" s="74">
        <f t="shared" ca="1" si="97"/>
        <v>0</v>
      </c>
      <c r="O143" s="74">
        <f t="shared" ca="1" si="90"/>
        <v>0</v>
      </c>
      <c r="P143" s="74">
        <f t="shared" ca="1" si="91"/>
        <v>0</v>
      </c>
      <c r="Q143" s="74">
        <f t="shared" ref="Q143:S143" ca="1" si="98">Q144+Q145</f>
        <v>0</v>
      </c>
      <c r="R143" s="74">
        <f t="shared" ca="1" si="98"/>
        <v>0</v>
      </c>
      <c r="S143" s="74">
        <f t="shared" ca="1" si="98"/>
        <v>0</v>
      </c>
      <c r="T143" s="74">
        <f t="shared" ca="1" si="93"/>
        <v>0</v>
      </c>
      <c r="U143" s="74">
        <f t="shared" ca="1" si="94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77">
        <f t="shared" si="90"/>
        <v>0</v>
      </c>
      <c r="P144" s="77">
        <f t="shared" si="91"/>
        <v>0</v>
      </c>
      <c r="Q144" s="77">
        <v>0</v>
      </c>
      <c r="R144" s="77">
        <v>0</v>
      </c>
      <c r="S144" s="77">
        <v>0</v>
      </c>
      <c r="T144" s="77">
        <f t="shared" si="93"/>
        <v>0</v>
      </c>
      <c r="U144" s="77">
        <f t="shared" si="94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3">
        <f ca="1">IFERROR(__xludf.DUMMYFUNCTION("IMPORTRANGE(""https://docs.google.com/spreadsheets/d/1-uDff_7J0KD5mKrp0Vvzr7lt3OU09vwQwhkpOPPYv2Y/edit?usp=sharing"",""งบพรบ!BQ59"")"),0)</f>
        <v>0</v>
      </c>
      <c r="M145" s="74">
        <f ca="1">IFERROR(__xludf.DUMMYFUNCTION("IMPORTRANGE(""https://docs.google.com/spreadsheets/d/1-uDff_7J0KD5mKrp0Vvzr7lt3OU09vwQwhkpOPPYv2Y/edit?usp=sharing"",""งบพรบ!BV59"")"),0)</f>
        <v>0</v>
      </c>
      <c r="N145" s="74">
        <f ca="1">IFERROR(__xludf.DUMMYFUNCTION("IMPORTRANGE(""https://docs.google.com/spreadsheets/d/1-uDff_7J0KD5mKrp0Vvzr7lt3OU09vwQwhkpOPPYv2Y/edit?usp=sharing"",""งบพรบ!BX59"")"),0)</f>
        <v>0</v>
      </c>
      <c r="O145" s="74">
        <f t="shared" ca="1" si="90"/>
        <v>0</v>
      </c>
      <c r="P145" s="74">
        <f t="shared" ca="1" si="91"/>
        <v>0</v>
      </c>
      <c r="Q145" s="74">
        <f ca="1">IFERROR(__xludf.DUMMYFUNCTION("IMPORTRANGE(""https://docs.google.com/spreadsheets/d/1ItG2mGa2ceCfYo0BwxsXqNm01IGEUdYcSSLTEv9YCik/edit?usp=sharing"",""เบิกจ่ายกองทุน!BB59"")"),0)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IFERROR(__xludf.DUMMYFUNCTION("IMPORTRANGE(""https://docs.google.com/spreadsheets/d/1ItG2mGa2ceCfYo0BwxsXqNm01IGEUdYcSSLTEv9YCik/edit?usp=sharing"",""เบิกจ่ายกองทุน!BC59"")"),0)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IFERROR(__xludf.DUMMYFUNCTION("IMPORTRANGE(""https://docs.google.com/spreadsheets/d/1ItG2mGa2ceCfYo0BwxsXqNm01IGEUdYcSSLTEv9YCik/edit?usp=sharing"",""เบิกจ่ายกองทุน!BD59"")"),0)</f>
        <v>0</v>
      </c>
      <c r="T145" s="74">
        <f t="shared" ca="1" si="93"/>
        <v>0</v>
      </c>
      <c r="U145" s="74">
        <f t="shared" ca="1" si="94"/>
        <v>0</v>
      </c>
    </row>
    <row r="146" spans="1:21" ht="18.75" hidden="1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3">
        <f t="shared" ref="L146:N146" ca="1" si="99">L147+L148</f>
        <v>0</v>
      </c>
      <c r="M146" s="74">
        <f t="shared" ca="1" si="99"/>
        <v>0</v>
      </c>
      <c r="N146" s="74">
        <f t="shared" ca="1" si="99"/>
        <v>0</v>
      </c>
      <c r="O146" s="74">
        <f t="shared" ca="1" si="90"/>
        <v>0</v>
      </c>
      <c r="P146" s="74">
        <f t="shared" ca="1" si="91"/>
        <v>0</v>
      </c>
      <c r="Q146" s="74">
        <f t="shared" ref="Q146:S146" si="100">Q147+Q148</f>
        <v>0</v>
      </c>
      <c r="R146" s="74">
        <f t="shared" si="100"/>
        <v>0</v>
      </c>
      <c r="S146" s="74">
        <f t="shared" si="100"/>
        <v>0</v>
      </c>
      <c r="T146" s="74">
        <f t="shared" si="93"/>
        <v>0</v>
      </c>
      <c r="U146" s="74">
        <f t="shared" si="94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77">
        <f t="shared" si="90"/>
        <v>0</v>
      </c>
      <c r="P147" s="77">
        <f t="shared" si="91"/>
        <v>0</v>
      </c>
      <c r="Q147" s="77">
        <v>0</v>
      </c>
      <c r="R147" s="77">
        <v>0</v>
      </c>
      <c r="S147" s="77">
        <v>0</v>
      </c>
      <c r="T147" s="77">
        <f t="shared" si="93"/>
        <v>0</v>
      </c>
      <c r="U147" s="77">
        <f t="shared" si="94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3">
        <f ca="1">IFERROR(__xludf.DUMMYFUNCTION("IMPORTRANGE(""https://docs.google.com/spreadsheets/d/1-uDff_7J0KD5mKrp0Vvzr7lt3OU09vwQwhkpOPPYv2Y/edit?usp=sharing"",""งบพรบ!BT59"")"),0)</f>
        <v>0</v>
      </c>
      <c r="M148" s="74">
        <f ca="1">IFERROR(__xludf.DUMMYFUNCTION("IMPORTRANGE(""https://docs.google.com/spreadsheets/d/1-uDff_7J0KD5mKrp0Vvzr7lt3OU09vwQwhkpOPPYv2Y/edit?usp=sharing"",""งบพรบ!BW59"")"),0)</f>
        <v>0</v>
      </c>
      <c r="N148" s="74">
        <f ca="1">IFERROR(__xludf.DUMMYFUNCTION("IMPORTRANGE(""https://docs.google.com/spreadsheets/d/1-uDff_7J0KD5mKrp0Vvzr7lt3OU09vwQwhkpOPPYv2Y/edit?usp=sharing"",""งบพรบ!BY59"")"),0)</f>
        <v>0</v>
      </c>
      <c r="O148" s="74">
        <f t="shared" ca="1" si="90"/>
        <v>0</v>
      </c>
      <c r="P148" s="74">
        <f t="shared" ca="1" si="91"/>
        <v>0</v>
      </c>
      <c r="Q148" s="74">
        <v>0</v>
      </c>
      <c r="R148" s="74">
        <v>0</v>
      </c>
      <c r="S148" s="74">
        <v>0</v>
      </c>
      <c r="T148" s="74">
        <f t="shared" si="93"/>
        <v>0</v>
      </c>
      <c r="U148" s="74">
        <f t="shared" si="94"/>
        <v>0</v>
      </c>
    </row>
    <row r="149" spans="1:21" ht="19.5" hidden="1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hidden="1" x14ac:dyDescent="0.25">
      <c r="A150" s="257"/>
      <c r="B150" s="258"/>
      <c r="C150" s="306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hidden="1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IFERROR(__xludf.DUMMYFUNCTION("IMPORTRANGE(""https://docs.google.com/spreadsheets/d/1eHaY18a8A9IcSdp1K8H6x8fbOy06t2VsZHhMHf-1x7Y/edit?usp=sharing"",""แผน!U59"")"),0)</f>
        <v>0</v>
      </c>
      <c r="J151" s="294">
        <v>0</v>
      </c>
      <c r="K151" s="74">
        <f t="shared" ref="K151:K155" ca="1" si="101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hidden="1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IFERROR(__xludf.DUMMYFUNCTION("IMPORTRANGE(""https://docs.google.com/spreadsheets/d/1eHaY18a8A9IcSdp1K8H6x8fbOy06t2VsZHhMHf-1x7Y/edit?usp=sharing"",""แผน!V59"")"),0)</f>
        <v>0</v>
      </c>
      <c r="J152" s="294">
        <v>0</v>
      </c>
      <c r="K152" s="74">
        <f t="shared" ca="1" si="101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hidden="1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IFERROR(__xludf.DUMMYFUNCTION("IMPORTRANGE(""https://docs.google.com/spreadsheets/d/1eHaY18a8A9IcSdp1K8H6x8fbOy06t2VsZHhMHf-1x7Y/edit?usp=sharing"",""แผน!W59"")"),0)</f>
        <v>0</v>
      </c>
      <c r="J153" s="294">
        <v>0</v>
      </c>
      <c r="K153" s="74">
        <f t="shared" ca="1" si="101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hidden="1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IFERROR(__xludf.DUMMYFUNCTION("IMPORTRANGE(""https://docs.google.com/spreadsheets/d/1eHaY18a8A9IcSdp1K8H6x8fbOy06t2VsZHhMHf-1x7Y/edit?usp=sharing"",""แผน!X59"")"),0)</f>
        <v>0</v>
      </c>
      <c r="J154" s="294">
        <v>0</v>
      </c>
      <c r="K154" s="74">
        <f t="shared" ca="1" si="101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hidden="1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IFERROR(__xludf.DUMMYFUNCTION("IMPORTRANGE(""https://docs.google.com/spreadsheets/d/1eHaY18a8A9IcSdp1K8H6x8fbOy06t2VsZHhMHf-1x7Y/edit?usp=sharing"",""แผน!Y59"")"),0)</f>
        <v>0</v>
      </c>
      <c r="J155" s="294">
        <v>0</v>
      </c>
      <c r="K155" s="74">
        <f t="shared" ca="1" si="101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hidden="1" x14ac:dyDescent="0.3">
      <c r="A156" s="1099" t="s">
        <v>67</v>
      </c>
      <c r="B156" s="691"/>
      <c r="C156" s="692"/>
      <c r="D156" s="691"/>
      <c r="E156" s="691"/>
      <c r="F156" s="691"/>
      <c r="G156" s="691"/>
      <c r="H156" s="693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hidden="1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2">I170</f>
        <v>0</v>
      </c>
      <c r="J157" s="256">
        <f t="shared" si="102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hidden="1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1257">
        <f t="shared" ref="L158:N158" ca="1" si="103">L159+L160</f>
        <v>0</v>
      </c>
      <c r="M158" s="264">
        <f t="shared" ca="1" si="103"/>
        <v>0</v>
      </c>
      <c r="N158" s="264">
        <f t="shared" ca="1" si="103"/>
        <v>0</v>
      </c>
      <c r="O158" s="264">
        <f t="shared" ref="O158:O166" ca="1" si="104">IF(L158&gt;0,N158*100/L158,0)</f>
        <v>0</v>
      </c>
      <c r="P158" s="264">
        <f t="shared" ref="P158:P166" ca="1" si="105">IF(M158&gt;0,N158*100/M158,0)</f>
        <v>0</v>
      </c>
      <c r="Q158" s="264">
        <f t="shared" ref="Q158:S158" ca="1" si="106">Q159+Q160</f>
        <v>0</v>
      </c>
      <c r="R158" s="264">
        <f t="shared" ca="1" si="106"/>
        <v>0</v>
      </c>
      <c r="S158" s="264">
        <f t="shared" ca="1" si="106"/>
        <v>0</v>
      </c>
      <c r="T158" s="264">
        <f t="shared" ref="T158:T166" ca="1" si="107">IF(Q158&gt;0,S158*100/Q158,0)</f>
        <v>0</v>
      </c>
      <c r="U158" s="264">
        <f t="shared" ref="U158:U166" ca="1" si="108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6">
        <f t="shared" ref="L159:N160" si="109">L162+L165</f>
        <v>0</v>
      </c>
      <c r="M159" s="77">
        <f t="shared" si="109"/>
        <v>0</v>
      </c>
      <c r="N159" s="77">
        <f t="shared" si="109"/>
        <v>0</v>
      </c>
      <c r="O159" s="77">
        <f t="shared" si="104"/>
        <v>0</v>
      </c>
      <c r="P159" s="77">
        <f t="shared" si="105"/>
        <v>0</v>
      </c>
      <c r="Q159" s="77">
        <f t="shared" ref="Q159:S160" si="110">Q162+Q165</f>
        <v>0</v>
      </c>
      <c r="R159" s="77">
        <f t="shared" si="110"/>
        <v>0</v>
      </c>
      <c r="S159" s="77">
        <f t="shared" si="110"/>
        <v>0</v>
      </c>
      <c r="T159" s="77">
        <f t="shared" si="107"/>
        <v>0</v>
      </c>
      <c r="U159" s="77">
        <f t="shared" si="108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3">
        <f t="shared" ca="1" si="109"/>
        <v>0</v>
      </c>
      <c r="M160" s="74">
        <f t="shared" ca="1" si="109"/>
        <v>0</v>
      </c>
      <c r="N160" s="74">
        <f t="shared" ca="1" si="109"/>
        <v>0</v>
      </c>
      <c r="O160" s="74">
        <f t="shared" ca="1" si="104"/>
        <v>0</v>
      </c>
      <c r="P160" s="74">
        <f t="shared" ca="1" si="105"/>
        <v>0</v>
      </c>
      <c r="Q160" s="74">
        <f t="shared" ca="1" si="110"/>
        <v>0</v>
      </c>
      <c r="R160" s="74">
        <f t="shared" ca="1" si="110"/>
        <v>0</v>
      </c>
      <c r="S160" s="74">
        <f t="shared" ca="1" si="110"/>
        <v>0</v>
      </c>
      <c r="T160" s="74">
        <f t="shared" ca="1" si="107"/>
        <v>0</v>
      </c>
      <c r="U160" s="74">
        <f t="shared" ca="1" si="108"/>
        <v>0</v>
      </c>
    </row>
    <row r="161" spans="1:21" ht="18.75" hidden="1" x14ac:dyDescent="0.25">
      <c r="A161" s="257"/>
      <c r="B161" s="269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3">
        <f t="shared" ref="L161:N161" ca="1" si="111">L162+L163</f>
        <v>0</v>
      </c>
      <c r="M161" s="74">
        <f t="shared" ca="1" si="111"/>
        <v>0</v>
      </c>
      <c r="N161" s="74">
        <f t="shared" ca="1" si="111"/>
        <v>0</v>
      </c>
      <c r="O161" s="74">
        <f t="shared" ca="1" si="104"/>
        <v>0</v>
      </c>
      <c r="P161" s="74">
        <f t="shared" ca="1" si="105"/>
        <v>0</v>
      </c>
      <c r="Q161" s="74">
        <f t="shared" ref="Q161:S161" ca="1" si="112">Q162+Q163</f>
        <v>0</v>
      </c>
      <c r="R161" s="74">
        <f t="shared" ca="1" si="112"/>
        <v>0</v>
      </c>
      <c r="S161" s="74">
        <f t="shared" ca="1" si="112"/>
        <v>0</v>
      </c>
      <c r="T161" s="74">
        <f t="shared" ca="1" si="107"/>
        <v>0</v>
      </c>
      <c r="U161" s="74">
        <f t="shared" ca="1" si="108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77">
        <f t="shared" si="104"/>
        <v>0</v>
      </c>
      <c r="P162" s="77">
        <f t="shared" si="105"/>
        <v>0</v>
      </c>
      <c r="Q162" s="77">
        <v>0</v>
      </c>
      <c r="R162" s="77">
        <v>0</v>
      </c>
      <c r="S162" s="77">
        <v>0</v>
      </c>
      <c r="T162" s="77">
        <f t="shared" si="107"/>
        <v>0</v>
      </c>
      <c r="U162" s="77">
        <f t="shared" si="108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3">
        <f ca="1">IFERROR(__xludf.DUMMYFUNCTION("IMPORTRANGE(""https://docs.google.com/spreadsheets/d/1-uDff_7J0KD5mKrp0Vvzr7lt3OU09vwQwhkpOPPYv2Y/edit?usp=sharing"",""งบพรบ!CA59"")"),0)</f>
        <v>0</v>
      </c>
      <c r="M163" s="74">
        <f ca="1">IFERROR(__xludf.DUMMYFUNCTION("IMPORTRANGE(""https://docs.google.com/spreadsheets/d/1-uDff_7J0KD5mKrp0Vvzr7lt3OU09vwQwhkpOPPYv2Y/edit?usp=sharing"",""งบพรบ!CF59"")"),0)</f>
        <v>0</v>
      </c>
      <c r="N163" s="74">
        <f ca="1">IFERROR(__xludf.DUMMYFUNCTION("IMPORTRANGE(""https://docs.google.com/spreadsheets/d/1-uDff_7J0KD5mKrp0Vvzr7lt3OU09vwQwhkpOPPYv2Y/edit?usp=sharing"",""งบพรบ!CH59"")"),0)</f>
        <v>0</v>
      </c>
      <c r="O163" s="74">
        <f t="shared" ca="1" si="104"/>
        <v>0</v>
      </c>
      <c r="P163" s="74">
        <f t="shared" ca="1" si="105"/>
        <v>0</v>
      </c>
      <c r="Q163" s="74">
        <f ca="1">IFERROR(__xludf.DUMMYFUNCTION("IMPORTRANGE(""https://docs.google.com/spreadsheets/d/1ItG2mGa2ceCfYo0BwxsXqNm01IGEUdYcSSLTEv9YCik/edit?usp=sharing"",""เบิกจ่ายกองทุน!AG59"")"),0)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IFERROR(__xludf.DUMMYFUNCTION("IMPORTRANGE(""https://docs.google.com/spreadsheets/d/1ItG2mGa2ceCfYo0BwxsXqNm01IGEUdYcSSLTEv9YCik/edit?usp=sharing"",""เบิกจ่ายกองทุน!AH59"")"),0)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IFERROR(__xludf.DUMMYFUNCTION("IMPORTRANGE(""https://docs.google.com/spreadsheets/d/1ItG2mGa2ceCfYo0BwxsXqNm01IGEUdYcSSLTEv9YCik/edit?usp=sharing"",""เบิกจ่ายกองทุน!AI59"")"),0)</f>
        <v>0</v>
      </c>
      <c r="T163" s="74">
        <f t="shared" ca="1" si="107"/>
        <v>0</v>
      </c>
      <c r="U163" s="74">
        <f t="shared" ca="1" si="108"/>
        <v>0</v>
      </c>
    </row>
    <row r="164" spans="1:21" ht="18.75" hidden="1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3">
        <f t="shared" ref="L164:N164" ca="1" si="113">L165+L166</f>
        <v>0</v>
      </c>
      <c r="M164" s="74">
        <f t="shared" ca="1" si="113"/>
        <v>0</v>
      </c>
      <c r="N164" s="74">
        <f t="shared" ca="1" si="113"/>
        <v>0</v>
      </c>
      <c r="O164" s="74">
        <f t="shared" ca="1" si="104"/>
        <v>0</v>
      </c>
      <c r="P164" s="74">
        <f t="shared" ca="1" si="105"/>
        <v>0</v>
      </c>
      <c r="Q164" s="74">
        <f t="shared" ref="Q164:S164" si="114">Q165+Q166</f>
        <v>0</v>
      </c>
      <c r="R164" s="74">
        <f t="shared" si="114"/>
        <v>0</v>
      </c>
      <c r="S164" s="74">
        <f t="shared" si="114"/>
        <v>0</v>
      </c>
      <c r="T164" s="74">
        <f t="shared" si="107"/>
        <v>0</v>
      </c>
      <c r="U164" s="74">
        <f t="shared" si="108"/>
        <v>0</v>
      </c>
    </row>
    <row r="165" spans="1:21" ht="18.75" hidden="1" x14ac:dyDescent="0.25">
      <c r="A165" s="257"/>
      <c r="B165" s="269"/>
      <c r="C165" s="269"/>
      <c r="D165" s="269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77">
        <f t="shared" si="104"/>
        <v>0</v>
      </c>
      <c r="P165" s="77">
        <f t="shared" si="105"/>
        <v>0</v>
      </c>
      <c r="Q165" s="77">
        <v>0</v>
      </c>
      <c r="R165" s="77">
        <v>0</v>
      </c>
      <c r="S165" s="77">
        <v>0</v>
      </c>
      <c r="T165" s="77">
        <f t="shared" si="107"/>
        <v>0</v>
      </c>
      <c r="U165" s="77">
        <f t="shared" si="108"/>
        <v>0</v>
      </c>
    </row>
    <row r="166" spans="1:21" ht="18.75" hidden="1" x14ac:dyDescent="0.25">
      <c r="A166" s="257"/>
      <c r="B166" s="269"/>
      <c r="C166" s="269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3">
        <f ca="1">IFERROR(__xludf.DUMMYFUNCTION("IMPORTRANGE(""https://docs.google.com/spreadsheets/d/1-uDff_7J0KD5mKrp0Vvzr7lt3OU09vwQwhkpOPPYv2Y/edit?usp=sharing"",""งบพรบ!CD59"")"),0)</f>
        <v>0</v>
      </c>
      <c r="M166" s="74">
        <f ca="1">IFERROR(__xludf.DUMMYFUNCTION("IMPORTRANGE(""https://docs.google.com/spreadsheets/d/1-uDff_7J0KD5mKrp0Vvzr7lt3OU09vwQwhkpOPPYv2Y/edit?usp=sharing"",""งบพรบ!CG59"")"),0)</f>
        <v>0</v>
      </c>
      <c r="N166" s="74">
        <f ca="1">IFERROR(__xludf.DUMMYFUNCTION("IMPORTRANGE(""https://docs.google.com/spreadsheets/d/1-uDff_7J0KD5mKrp0Vvzr7lt3OU09vwQwhkpOPPYv2Y/edit?usp=sharing"",""งบพรบ!CI59"")"),0)</f>
        <v>0</v>
      </c>
      <c r="O166" s="74">
        <f t="shared" ca="1" si="104"/>
        <v>0</v>
      </c>
      <c r="P166" s="74">
        <f t="shared" ca="1" si="105"/>
        <v>0</v>
      </c>
      <c r="Q166" s="74">
        <v>0</v>
      </c>
      <c r="R166" s="74">
        <v>0</v>
      </c>
      <c r="S166" s="74">
        <v>0</v>
      </c>
      <c r="T166" s="74">
        <f t="shared" si="107"/>
        <v>0</v>
      </c>
      <c r="U166" s="74">
        <f t="shared" si="108"/>
        <v>0</v>
      </c>
    </row>
    <row r="167" spans="1:21" ht="19.5" hidden="1" x14ac:dyDescent="0.3">
      <c r="A167" s="276"/>
      <c r="B167" s="277"/>
      <c r="C167" s="621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hidden="1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IFERROR(__xludf.DUMMYFUNCTION("IMPORTRANGE(""https://docs.google.com/spreadsheets/d/1eHaY18a8A9IcSdp1K8H6x8fbOy06t2VsZHhMHf-1x7Y/edit?usp=sharing"",""แผน!Z59"")"),0)</f>
        <v>0</v>
      </c>
      <c r="J168" s="294">
        <v>0</v>
      </c>
      <c r="K168" s="74">
        <f t="shared" ref="K168:K170" ca="1" si="115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IFERROR(__xludf.DUMMYFUNCTION("IMPORTRANGE(""https://docs.google.com/spreadsheets/d/1eHaY18a8A9IcSdp1K8H6x8fbOy06t2VsZHhMHf-1x7Y/edit?usp=sharing"",""แผน!Z59"")"),0)</f>
        <v>0</v>
      </c>
      <c r="J169" s="910">
        <v>0</v>
      </c>
      <c r="K169" s="77">
        <f t="shared" ca="1" si="115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IFERROR(__xludf.DUMMYFUNCTION("IMPORTRANGE(""https://docs.google.com/spreadsheets/d/1eHaY18a8A9IcSdp1K8H6x8fbOy06t2VsZHhMHf-1x7Y/edit?usp=sharing"",""แผน!Z59"")"),0)</f>
        <v>0</v>
      </c>
      <c r="J170" s="999">
        <v>0</v>
      </c>
      <c r="K170" s="1000">
        <f t="shared" ca="1" si="115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5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121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hidden="1" x14ac:dyDescent="0.3">
      <c r="A173" s="1123"/>
      <c r="B173" s="1124" t="s">
        <v>74</v>
      </c>
      <c r="C173" s="783"/>
      <c r="D173" s="280"/>
      <c r="E173" s="280"/>
      <c r="F173" s="280"/>
      <c r="G173" s="281"/>
      <c r="H173" s="1125" t="s">
        <v>35</v>
      </c>
      <c r="I173" s="1126">
        <f t="shared" ref="I173:J173" ca="1" si="116">I184+I185</f>
        <v>0</v>
      </c>
      <c r="J173" s="1126">
        <f t="shared" si="116"/>
        <v>0</v>
      </c>
      <c r="K173" s="1127">
        <f ca="1">IF(I173&gt;0,J173*100/I173,0)</f>
        <v>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hidden="1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1257">
        <f t="shared" ref="L174:N174" ca="1" si="117">L175+L176</f>
        <v>0</v>
      </c>
      <c r="M174" s="264">
        <f t="shared" ca="1" si="117"/>
        <v>10040</v>
      </c>
      <c r="N174" s="264">
        <f t="shared" ca="1" si="117"/>
        <v>0</v>
      </c>
      <c r="O174" s="264">
        <f t="shared" ref="O174:O182" ca="1" si="118">IF(L174&gt;0,N174*100/L174,0)</f>
        <v>0</v>
      </c>
      <c r="P174" s="264">
        <f t="shared" ref="P174:P182" ca="1" si="119">IF(M174&gt;0,N174*100/M174,0)</f>
        <v>0</v>
      </c>
      <c r="Q174" s="264">
        <f t="shared" ref="Q174:S174" ca="1" si="120">Q175+Q176</f>
        <v>0</v>
      </c>
      <c r="R174" s="264">
        <f t="shared" ca="1" si="120"/>
        <v>0</v>
      </c>
      <c r="S174" s="264">
        <f t="shared" ca="1" si="120"/>
        <v>0</v>
      </c>
      <c r="T174" s="264">
        <f t="shared" ref="T174:T182" ca="1" si="121">IF(Q174&gt;0,S174*100/Q174,0)</f>
        <v>0</v>
      </c>
      <c r="U174" s="264">
        <f t="shared" ref="U174:U182" ca="1" si="122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6">
        <f t="shared" ref="L175:N176" si="123">L178+L181</f>
        <v>0</v>
      </c>
      <c r="M175" s="77">
        <f t="shared" si="123"/>
        <v>0</v>
      </c>
      <c r="N175" s="77">
        <f t="shared" si="123"/>
        <v>0</v>
      </c>
      <c r="O175" s="77">
        <f t="shared" si="118"/>
        <v>0</v>
      </c>
      <c r="P175" s="77">
        <f t="shared" si="119"/>
        <v>0</v>
      </c>
      <c r="Q175" s="77">
        <f t="shared" ref="Q175:S176" si="124">Q178+Q181</f>
        <v>0</v>
      </c>
      <c r="R175" s="77">
        <f t="shared" si="124"/>
        <v>0</v>
      </c>
      <c r="S175" s="77">
        <f t="shared" si="124"/>
        <v>0</v>
      </c>
      <c r="T175" s="77">
        <f t="shared" si="121"/>
        <v>0</v>
      </c>
      <c r="U175" s="77">
        <f t="shared" si="122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3">
        <f t="shared" ca="1" si="123"/>
        <v>0</v>
      </c>
      <c r="M176" s="74">
        <f t="shared" ca="1" si="123"/>
        <v>10040</v>
      </c>
      <c r="N176" s="74">
        <f t="shared" ca="1" si="123"/>
        <v>0</v>
      </c>
      <c r="O176" s="74">
        <f t="shared" ca="1" si="118"/>
        <v>0</v>
      </c>
      <c r="P176" s="74">
        <f t="shared" ca="1" si="119"/>
        <v>0</v>
      </c>
      <c r="Q176" s="74">
        <f t="shared" ca="1" si="124"/>
        <v>0</v>
      </c>
      <c r="R176" s="74">
        <f t="shared" ca="1" si="124"/>
        <v>0</v>
      </c>
      <c r="S176" s="74">
        <f t="shared" ca="1" si="124"/>
        <v>0</v>
      </c>
      <c r="T176" s="74">
        <f t="shared" ca="1" si="121"/>
        <v>0</v>
      </c>
      <c r="U176" s="74">
        <f t="shared" ca="1" si="122"/>
        <v>0</v>
      </c>
    </row>
    <row r="177" spans="1:21" ht="18.75" hidden="1" x14ac:dyDescent="0.25">
      <c r="A177" s="257"/>
      <c r="B177" s="269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3">
        <f t="shared" ref="L177:N177" ca="1" si="125">L178+L179</f>
        <v>0</v>
      </c>
      <c r="M177" s="74">
        <f t="shared" ca="1" si="125"/>
        <v>10040</v>
      </c>
      <c r="N177" s="74">
        <f t="shared" ca="1" si="125"/>
        <v>0</v>
      </c>
      <c r="O177" s="74">
        <f t="shared" ca="1" si="118"/>
        <v>0</v>
      </c>
      <c r="P177" s="74">
        <f t="shared" ca="1" si="119"/>
        <v>0</v>
      </c>
      <c r="Q177" s="74">
        <f t="shared" ref="Q177:S177" ca="1" si="126">Q178+Q179</f>
        <v>0</v>
      </c>
      <c r="R177" s="74">
        <f t="shared" ca="1" si="126"/>
        <v>0</v>
      </c>
      <c r="S177" s="74">
        <f t="shared" ca="1" si="126"/>
        <v>0</v>
      </c>
      <c r="T177" s="74">
        <f t="shared" ca="1" si="121"/>
        <v>0</v>
      </c>
      <c r="U177" s="74">
        <f t="shared" ca="1" si="122"/>
        <v>0</v>
      </c>
    </row>
    <row r="178" spans="1:21" ht="18.75" hidden="1" x14ac:dyDescent="0.25">
      <c r="A178" s="257"/>
      <c r="B178" s="258"/>
      <c r="C178" s="269"/>
      <c r="D178" s="269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77">
        <f t="shared" si="118"/>
        <v>0</v>
      </c>
      <c r="P178" s="77">
        <f t="shared" si="119"/>
        <v>0</v>
      </c>
      <c r="Q178" s="77">
        <v>0</v>
      </c>
      <c r="R178" s="77">
        <v>0</v>
      </c>
      <c r="S178" s="77">
        <v>0</v>
      </c>
      <c r="T178" s="77">
        <f t="shared" si="121"/>
        <v>0</v>
      </c>
      <c r="U178" s="77">
        <f t="shared" si="122"/>
        <v>0</v>
      </c>
    </row>
    <row r="179" spans="1:21" ht="18.75" hidden="1" x14ac:dyDescent="0.25">
      <c r="A179" s="257"/>
      <c r="B179" s="269"/>
      <c r="C179" s="269"/>
      <c r="D179" s="269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3">
        <f ca="1">IFERROR(__xludf.DUMMYFUNCTION("IMPORTRANGE(""https://docs.google.com/spreadsheets/d/1-uDff_7J0KD5mKrp0Vvzr7lt3OU09vwQwhkpOPPYv2Y/edit?usp=sharing"",""งบพรบ!CK59"")"),0)</f>
        <v>0</v>
      </c>
      <c r="M179" s="74">
        <f ca="1">IFERROR(__xludf.DUMMYFUNCTION("IMPORTRANGE(""https://docs.google.com/spreadsheets/d/1-uDff_7J0KD5mKrp0Vvzr7lt3OU09vwQwhkpOPPYv2Y/edit?usp=sharing"",""งบพรบ!CP59"")"),10040)</f>
        <v>10040</v>
      </c>
      <c r="N179" s="74">
        <f ca="1">IFERROR(__xludf.DUMMYFUNCTION("IMPORTRANGE(""https://docs.google.com/spreadsheets/d/1-uDff_7J0KD5mKrp0Vvzr7lt3OU09vwQwhkpOPPYv2Y/edit?usp=sharing"",""งบพรบ!CR59"")"),0)</f>
        <v>0</v>
      </c>
      <c r="O179" s="74">
        <f t="shared" ca="1" si="118"/>
        <v>0</v>
      </c>
      <c r="P179" s="74">
        <f t="shared" ca="1" si="119"/>
        <v>0</v>
      </c>
      <c r="Q179" s="74">
        <f ca="1">IFERROR(__xludf.DUMMYFUNCTION("IMPORTRANGE(""https://docs.google.com/spreadsheets/d/1ItG2mGa2ceCfYo0BwxsXqNm01IGEUdYcSSLTEv9YCik/edit?usp=sharing"",""เบิกจ่ายกองทุน!BE59"")"),0)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IFERROR(__xludf.DUMMYFUNCTION("IMPORTRANGE(""https://docs.google.com/spreadsheets/d/1ItG2mGa2ceCfYo0BwxsXqNm01IGEUdYcSSLTEv9YCik/edit?usp=sharing"",""เบิกจ่ายกองทุน!BF59"")"),0)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IFERROR(__xludf.DUMMYFUNCTION("IMPORTRANGE(""https://docs.google.com/spreadsheets/d/1ItG2mGa2ceCfYo0BwxsXqNm01IGEUdYcSSLTEv9YCik/edit?usp=sharing"",""เบิกจ่ายกองทุน!BG59"")"),0)</f>
        <v>0</v>
      </c>
      <c r="T179" s="74">
        <f t="shared" ca="1" si="121"/>
        <v>0</v>
      </c>
      <c r="U179" s="74">
        <f t="shared" ca="1" si="122"/>
        <v>0</v>
      </c>
    </row>
    <row r="180" spans="1:21" ht="18.75" hidden="1" x14ac:dyDescent="0.25">
      <c r="A180" s="257"/>
      <c r="B180" s="258"/>
      <c r="C180" s="269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3">
        <f t="shared" ref="L180:N180" ca="1" si="127">L181+L182</f>
        <v>0</v>
      </c>
      <c r="M180" s="74">
        <f t="shared" ca="1" si="127"/>
        <v>0</v>
      </c>
      <c r="N180" s="74">
        <f t="shared" ca="1" si="127"/>
        <v>0</v>
      </c>
      <c r="O180" s="74">
        <f t="shared" ca="1" si="118"/>
        <v>0</v>
      </c>
      <c r="P180" s="74">
        <f t="shared" ca="1" si="119"/>
        <v>0</v>
      </c>
      <c r="Q180" s="74">
        <f t="shared" ref="Q180:S180" si="128">Q181+Q182</f>
        <v>0</v>
      </c>
      <c r="R180" s="74">
        <f t="shared" si="128"/>
        <v>0</v>
      </c>
      <c r="S180" s="74">
        <f t="shared" si="128"/>
        <v>0</v>
      </c>
      <c r="T180" s="74">
        <f t="shared" si="121"/>
        <v>0</v>
      </c>
      <c r="U180" s="74">
        <f t="shared" si="122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77">
        <f t="shared" si="118"/>
        <v>0</v>
      </c>
      <c r="P181" s="77">
        <f t="shared" si="119"/>
        <v>0</v>
      </c>
      <c r="Q181" s="77">
        <v>0</v>
      </c>
      <c r="R181" s="77">
        <v>0</v>
      </c>
      <c r="S181" s="77">
        <v>0</v>
      </c>
      <c r="T181" s="77">
        <f t="shared" si="121"/>
        <v>0</v>
      </c>
      <c r="U181" s="77">
        <f t="shared" si="122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3">
        <f ca="1">IFERROR(__xludf.DUMMYFUNCTION("IMPORTRANGE(""https://docs.google.com/spreadsheets/d/1-uDff_7J0KD5mKrp0Vvzr7lt3OU09vwQwhkpOPPYv2Y/edit?usp=sharing"",""งบพรบ!CN59"")"),0)</f>
        <v>0</v>
      </c>
      <c r="M182" s="74">
        <f ca="1">IFERROR(__xludf.DUMMYFUNCTION("IMPORTRANGE(""https://docs.google.com/spreadsheets/d/1-uDff_7J0KD5mKrp0Vvzr7lt3OU09vwQwhkpOPPYv2Y/edit?usp=sharing"",""งบพรบ!CQ59"")"),0)</f>
        <v>0</v>
      </c>
      <c r="N182" s="74">
        <f ca="1">IFERROR(__xludf.DUMMYFUNCTION("IMPORTRANGE(""https://docs.google.com/spreadsheets/d/1-uDff_7J0KD5mKrp0Vvzr7lt3OU09vwQwhkpOPPYv2Y/edit?usp=sharing"",""งบพรบ!CS59"")"),0)</f>
        <v>0</v>
      </c>
      <c r="O182" s="74">
        <f t="shared" ca="1" si="118"/>
        <v>0</v>
      </c>
      <c r="P182" s="74">
        <f t="shared" ca="1" si="119"/>
        <v>0</v>
      </c>
      <c r="Q182" s="74">
        <v>0</v>
      </c>
      <c r="R182" s="74">
        <v>0</v>
      </c>
      <c r="S182" s="74">
        <v>0</v>
      </c>
      <c r="T182" s="74">
        <f t="shared" si="121"/>
        <v>0</v>
      </c>
      <c r="U182" s="74">
        <f t="shared" si="122"/>
        <v>0</v>
      </c>
    </row>
    <row r="183" spans="1:21" ht="19.5" hidden="1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hidden="1" x14ac:dyDescent="0.25">
      <c r="A184" s="550"/>
      <c r="B184" s="258"/>
      <c r="C184" s="269"/>
      <c r="D184" s="749" t="s">
        <v>75</v>
      </c>
      <c r="E184" s="258"/>
      <c r="F184" s="258"/>
      <c r="G184" s="261"/>
      <c r="H184" s="307" t="s">
        <v>35</v>
      </c>
      <c r="I184" s="293">
        <f ca="1">IFERROR(__xludf.DUMMYFUNCTION("IMPORTRANGE(""https://docs.google.com/spreadsheets/d/1eHaY18a8A9IcSdp1K8H6x8fbOy06t2VsZHhMHf-1x7Y/edit?usp=sharing"",""แผน!AA59"")"),0)</f>
        <v>0</v>
      </c>
      <c r="J184" s="294">
        <v>0</v>
      </c>
      <c r="K184" s="74">
        <f t="shared" ref="K184:K186" ca="1" si="129">IF(I184&gt;0,J184*100/I184,0)</f>
        <v>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308" t="s">
        <v>35</v>
      </c>
      <c r="I185" s="592">
        <v>0</v>
      </c>
      <c r="J185" s="592">
        <v>0</v>
      </c>
      <c r="K185" s="77">
        <f t="shared" si="129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125" t="s">
        <v>35</v>
      </c>
      <c r="I186" s="1126">
        <f t="shared" ref="I186:J186" ca="1" si="130">I231+I232</f>
        <v>20</v>
      </c>
      <c r="J186" s="1126">
        <f t="shared" si="130"/>
        <v>0</v>
      </c>
      <c r="K186" s="1127">
        <f t="shared" ca="1" si="129"/>
        <v>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1257">
        <f t="shared" ref="L187:N187" ca="1" si="131">L188+L189</f>
        <v>234300</v>
      </c>
      <c r="M187" s="264">
        <f t="shared" ca="1" si="131"/>
        <v>229260</v>
      </c>
      <c r="N187" s="264">
        <f t="shared" ca="1" si="131"/>
        <v>93970</v>
      </c>
      <c r="O187" s="264">
        <f t="shared" ref="O187:O195" ca="1" si="132">IF(L187&gt;0,N187*100/L187,0)</f>
        <v>40.106700810926164</v>
      </c>
      <c r="P187" s="264">
        <f t="shared" ref="P187:P195" ca="1" si="133">IF(M187&gt;0,N187*100/M187,0)</f>
        <v>40.988397452673823</v>
      </c>
      <c r="Q187" s="264">
        <f t="shared" ref="Q187:S187" ca="1" si="134">Q188+Q189</f>
        <v>14000</v>
      </c>
      <c r="R187" s="264">
        <f t="shared" ca="1" si="134"/>
        <v>14000</v>
      </c>
      <c r="S187" s="264">
        <f t="shared" ca="1" si="134"/>
        <v>0</v>
      </c>
      <c r="T187" s="264">
        <f t="shared" ref="T187:T195" ca="1" si="135">IF(Q187&gt;0,S187*100/Q187,0)</f>
        <v>0</v>
      </c>
      <c r="U187" s="264">
        <f t="shared" ref="U187:U195" ca="1" si="136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6">
        <f t="shared" ref="L188:N189" si="137">L191+L194</f>
        <v>0</v>
      </c>
      <c r="M188" s="77">
        <f t="shared" si="137"/>
        <v>0</v>
      </c>
      <c r="N188" s="77">
        <f t="shared" si="137"/>
        <v>0</v>
      </c>
      <c r="O188" s="77">
        <f t="shared" si="132"/>
        <v>0</v>
      </c>
      <c r="P188" s="77">
        <f t="shared" si="133"/>
        <v>0</v>
      </c>
      <c r="Q188" s="77">
        <f t="shared" ref="Q188:S189" si="138">Q191+Q194</f>
        <v>0</v>
      </c>
      <c r="R188" s="77">
        <f t="shared" si="138"/>
        <v>0</v>
      </c>
      <c r="S188" s="77">
        <f t="shared" si="138"/>
        <v>0</v>
      </c>
      <c r="T188" s="77">
        <f t="shared" si="135"/>
        <v>0</v>
      </c>
      <c r="U188" s="77">
        <f t="shared" si="136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3">
        <f t="shared" ca="1" si="137"/>
        <v>234300</v>
      </c>
      <c r="M189" s="74">
        <f t="shared" ca="1" si="137"/>
        <v>229260</v>
      </c>
      <c r="N189" s="74">
        <f t="shared" ca="1" si="137"/>
        <v>93970</v>
      </c>
      <c r="O189" s="74">
        <f t="shared" ca="1" si="132"/>
        <v>40.106700810926164</v>
      </c>
      <c r="P189" s="74">
        <f t="shared" ca="1" si="133"/>
        <v>40.988397452673823</v>
      </c>
      <c r="Q189" s="74">
        <f t="shared" ca="1" si="138"/>
        <v>14000</v>
      </c>
      <c r="R189" s="74">
        <f t="shared" ca="1" si="138"/>
        <v>14000</v>
      </c>
      <c r="S189" s="74">
        <f t="shared" ca="1" si="138"/>
        <v>0</v>
      </c>
      <c r="T189" s="74">
        <f t="shared" ca="1" si="135"/>
        <v>0</v>
      </c>
      <c r="U189" s="74">
        <f t="shared" ca="1" si="136"/>
        <v>0</v>
      </c>
    </row>
    <row r="190" spans="1:21" ht="18.75" x14ac:dyDescent="0.25">
      <c r="A190" s="257"/>
      <c r="B190" s="269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3">
        <f t="shared" ref="L190:N190" ca="1" si="139">L191+L192</f>
        <v>234300</v>
      </c>
      <c r="M190" s="74">
        <f t="shared" ca="1" si="139"/>
        <v>229260</v>
      </c>
      <c r="N190" s="74">
        <f t="shared" ca="1" si="139"/>
        <v>93970</v>
      </c>
      <c r="O190" s="74">
        <f t="shared" ca="1" si="132"/>
        <v>40.106700810926164</v>
      </c>
      <c r="P190" s="74">
        <f t="shared" ca="1" si="133"/>
        <v>40.988397452673823</v>
      </c>
      <c r="Q190" s="74">
        <f t="shared" ref="Q190:S190" ca="1" si="140">Q191+Q192</f>
        <v>14000</v>
      </c>
      <c r="R190" s="74">
        <f t="shared" ca="1" si="140"/>
        <v>14000</v>
      </c>
      <c r="S190" s="74">
        <f t="shared" ca="1" si="140"/>
        <v>0</v>
      </c>
      <c r="T190" s="74">
        <f t="shared" ca="1" si="135"/>
        <v>0</v>
      </c>
      <c r="U190" s="74">
        <f t="shared" ca="1" si="136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77">
        <f t="shared" si="132"/>
        <v>0</v>
      </c>
      <c r="P191" s="77">
        <f t="shared" si="133"/>
        <v>0</v>
      </c>
      <c r="Q191" s="77">
        <v>0</v>
      </c>
      <c r="R191" s="77">
        <v>0</v>
      </c>
      <c r="S191" s="77">
        <v>0</v>
      </c>
      <c r="T191" s="77">
        <f t="shared" si="135"/>
        <v>0</v>
      </c>
      <c r="U191" s="77">
        <f t="shared" si="136"/>
        <v>0</v>
      </c>
    </row>
    <row r="192" spans="1:21" ht="18.75" hidden="1" x14ac:dyDescent="0.25">
      <c r="A192" s="257"/>
      <c r="B192" s="269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3">
        <f ca="1">IFERROR(__xludf.DUMMYFUNCTION("IMPORTRANGE(""https://docs.google.com/spreadsheets/d/1-uDff_7J0KD5mKrp0Vvzr7lt3OU09vwQwhkpOPPYv2Y/edit?usp=sharing"",""งบพรบ!CU59"")"),234300)</f>
        <v>234300</v>
      </c>
      <c r="M192" s="74">
        <f ca="1">IFERROR(__xludf.DUMMYFUNCTION("IMPORTRANGE(""https://docs.google.com/spreadsheets/d/1-uDff_7J0KD5mKrp0Vvzr7lt3OU09vwQwhkpOPPYv2Y/edit?usp=sharing"",""งบพรบ!CZ59"")"),229260)</f>
        <v>229260</v>
      </c>
      <c r="N192" s="74">
        <f ca="1">IFERROR(__xludf.DUMMYFUNCTION("IMPORTRANGE(""https://docs.google.com/spreadsheets/d/1-uDff_7J0KD5mKrp0Vvzr7lt3OU09vwQwhkpOPPYv2Y/edit?usp=sharing"",""งบพรบ!DB59"")"),93970)</f>
        <v>93970</v>
      </c>
      <c r="O192" s="74">
        <f t="shared" ca="1" si="132"/>
        <v>40.106700810926164</v>
      </c>
      <c r="P192" s="74">
        <f t="shared" ca="1" si="133"/>
        <v>40.988397452673823</v>
      </c>
      <c r="Q192" s="74">
        <f ca="1">IFERROR(__xludf.DUMMYFUNCTION("IMPORTRANGE(""https://docs.google.com/spreadsheets/d/1ItG2mGa2ceCfYo0BwxsXqNm01IGEUdYcSSLTEv9YCik/edit?usp=sharing"",""เบิกจ่ายกองทุน!AV59"")"),14000)</f>
        <v>14000</v>
      </c>
      <c r="R192" s="74">
        <f ca="1">IFERROR(__xludf.DUMMYFUNCTION("IMPORTRANGE(""https://docs.google.com/spreadsheets/d/1ItG2mGa2ceCfYo0BwxsXqNm01IGEUdYcSSLTEv9YCik/edit?usp=sharing"",""เบิกจ่ายกองทุน!AW59"")"),14000)</f>
        <v>14000</v>
      </c>
      <c r="S192" s="74">
        <f ca="1">IFERROR(__xludf.DUMMYFUNCTION("IMPORTRANGE(""https://docs.google.com/spreadsheets/d/1ItG2mGa2ceCfYo0BwxsXqNm01IGEUdYcSSLTEv9YCik/edit?usp=sharing"",""เบิกจ่ายกองทุน!AX59"")"),0)</f>
        <v>0</v>
      </c>
      <c r="T192" s="74">
        <f t="shared" ca="1" si="135"/>
        <v>0</v>
      </c>
      <c r="U192" s="74">
        <f t="shared" ca="1" si="136"/>
        <v>0</v>
      </c>
    </row>
    <row r="193" spans="1:21" ht="18.75" x14ac:dyDescent="0.25">
      <c r="A193" s="257"/>
      <c r="B193" s="269"/>
      <c r="C193" s="269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3">
        <f t="shared" ref="L193:N193" ca="1" si="141">L194+L195</f>
        <v>0</v>
      </c>
      <c r="M193" s="74">
        <f t="shared" ca="1" si="141"/>
        <v>0</v>
      </c>
      <c r="N193" s="74">
        <f t="shared" ca="1" si="141"/>
        <v>0</v>
      </c>
      <c r="O193" s="74">
        <f t="shared" ca="1" si="132"/>
        <v>0</v>
      </c>
      <c r="P193" s="74">
        <f t="shared" ca="1" si="133"/>
        <v>0</v>
      </c>
      <c r="Q193" s="74">
        <f t="shared" ref="Q193:S193" si="142">Q194+Q195</f>
        <v>0</v>
      </c>
      <c r="R193" s="74">
        <f t="shared" si="142"/>
        <v>0</v>
      </c>
      <c r="S193" s="74">
        <f t="shared" si="142"/>
        <v>0</v>
      </c>
      <c r="T193" s="74">
        <f t="shared" si="135"/>
        <v>0</v>
      </c>
      <c r="U193" s="74">
        <f t="shared" si="136"/>
        <v>0</v>
      </c>
    </row>
    <row r="194" spans="1:21" ht="18.75" hidden="1" x14ac:dyDescent="0.25">
      <c r="A194" s="257"/>
      <c r="B194" s="269"/>
      <c r="C194" s="269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77">
        <f t="shared" si="132"/>
        <v>0</v>
      </c>
      <c r="P194" s="77">
        <f t="shared" si="133"/>
        <v>0</v>
      </c>
      <c r="Q194" s="77">
        <v>0</v>
      </c>
      <c r="R194" s="77">
        <v>0</v>
      </c>
      <c r="S194" s="77">
        <v>0</v>
      </c>
      <c r="T194" s="77">
        <f t="shared" si="135"/>
        <v>0</v>
      </c>
      <c r="U194" s="77">
        <f t="shared" si="136"/>
        <v>0</v>
      </c>
    </row>
    <row r="195" spans="1:21" ht="18.75" hidden="1" x14ac:dyDescent="0.25">
      <c r="A195" s="257"/>
      <c r="B195" s="269"/>
      <c r="C195" s="269"/>
      <c r="D195" s="269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3">
        <f ca="1">IFERROR(__xludf.DUMMYFUNCTION("IMPORTRANGE(""https://docs.google.com/spreadsheets/d/1-uDff_7J0KD5mKrp0Vvzr7lt3OU09vwQwhkpOPPYv2Y/edit?usp=sharing"",""งบพรบ!CX59"")"),0)</f>
        <v>0</v>
      </c>
      <c r="M195" s="74">
        <f ca="1">IFERROR(__xludf.DUMMYFUNCTION("IMPORTRANGE(""https://docs.google.com/spreadsheets/d/1-uDff_7J0KD5mKrp0Vvzr7lt3OU09vwQwhkpOPPYv2Y/edit?usp=sharing"",""งบพรบ!DA59"")"),0)</f>
        <v>0</v>
      </c>
      <c r="N195" s="74">
        <f ca="1">IFERROR(__xludf.DUMMYFUNCTION("IMPORTRANGE(""https://docs.google.com/spreadsheets/d/1-uDff_7J0KD5mKrp0Vvzr7lt3OU09vwQwhkpOPPYv2Y/edit?usp=sharing"",""งบพรบ!DC59"")"),0)</f>
        <v>0</v>
      </c>
      <c r="O195" s="74">
        <f t="shared" ca="1" si="132"/>
        <v>0</v>
      </c>
      <c r="P195" s="74">
        <f t="shared" ca="1" si="133"/>
        <v>0</v>
      </c>
      <c r="Q195" s="74">
        <v>0</v>
      </c>
      <c r="R195" s="74">
        <v>0</v>
      </c>
      <c r="S195" s="74">
        <v>0</v>
      </c>
      <c r="T195" s="74">
        <f t="shared" si="135"/>
        <v>0</v>
      </c>
      <c r="U195" s="74">
        <f t="shared" si="136"/>
        <v>0</v>
      </c>
    </row>
    <row r="196" spans="1:21" ht="19.5" x14ac:dyDescent="0.3">
      <c r="A196" s="553"/>
      <c r="B196" s="555"/>
      <c r="C196" s="1128" t="s">
        <v>78</v>
      </c>
      <c r="D196" s="555"/>
      <c r="E196" s="554"/>
      <c r="F196" s="554"/>
      <c r="G196" s="557"/>
      <c r="H196" s="558" t="s">
        <v>79</v>
      </c>
      <c r="I196" s="559">
        <f t="shared" ref="I196:J196" ca="1" si="143">I199</f>
        <v>4</v>
      </c>
      <c r="J196" s="559">
        <f t="shared" si="143"/>
        <v>0</v>
      </c>
      <c r="K196" s="560">
        <f ca="1">IF(I196&gt;0,J196*100/I196,0)</f>
        <v>0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69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1257">
        <f ca="1">IFERROR(__xludf.DUMMYFUNCTION("IMPORTRANGE(""https://docs.google.com/spreadsheets/d/1eHaY18a8A9IcSdp1K8H6x8fbOy06t2VsZHhMHf-1x7Y/edit?usp=sharing"",""แผน!AB59"")"),6000)</f>
        <v>6000</v>
      </c>
      <c r="M197" s="87"/>
      <c r="N197" s="923">
        <v>0</v>
      </c>
      <c r="O197" s="264">
        <f ca="1">IF(L197&gt;0,N197*100/L197,0)</f>
        <v>0</v>
      </c>
      <c r="P197" s="264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310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75" t="s">
        <v>79</v>
      </c>
      <c r="I199" s="293">
        <f ca="1">IFERROR(__xludf.DUMMYFUNCTION("IMPORTRANGE(""https://docs.google.com/spreadsheets/d/1eHaY18a8A9IcSdp1K8H6x8fbOy06t2VsZHhMHf-1x7Y/edit?usp=sharing"",""แผน!AE59"")"),4)</f>
        <v>4</v>
      </c>
      <c r="J199" s="294">
        <v>0</v>
      </c>
      <c r="K199" s="74">
        <f ca="1">IF(I199&gt;0,J199*100/I199,0)</f>
        <v>0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0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0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4">I210</f>
        <v>1</v>
      </c>
      <c r="J203" s="559">
        <f t="shared" si="144"/>
        <v>0</v>
      </c>
      <c r="K203" s="560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69"/>
      <c r="C204" s="621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1257">
        <f ca="1">L205+L206+L207+L208</f>
        <v>13000</v>
      </c>
      <c r="M204" s="87"/>
      <c r="N204" s="264">
        <f>N205+N206+N207+N208</f>
        <v>0</v>
      </c>
      <c r="O204" s="264">
        <f ca="1">IF(L204&gt;0,N204*100/L204,0)</f>
        <v>0</v>
      </c>
      <c r="P204" s="264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69"/>
      <c r="D205" s="398" t="s">
        <v>299</v>
      </c>
      <c r="E205" s="258"/>
      <c r="F205" s="258"/>
      <c r="G205" s="261"/>
      <c r="H205" s="271" t="s">
        <v>14</v>
      </c>
      <c r="I205" s="272"/>
      <c r="J205" s="272"/>
      <c r="K205" s="229"/>
      <c r="L205" s="73">
        <f ca="1">IFERROR(__xludf.DUMMYFUNCTION("IMPORTRANGE(""https://docs.google.com/spreadsheets/d/1eHaY18a8A9IcSdp1K8H6x8fbOy06t2VsZHhMHf-1x7Y/edit?usp=sharing"",""แผน!AG59"")"),1000)</f>
        <v>1000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69"/>
      <c r="D206" s="267" t="s">
        <v>87</v>
      </c>
      <c r="E206" s="258"/>
      <c r="F206" s="258"/>
      <c r="G206" s="261"/>
      <c r="H206" s="292" t="s">
        <v>14</v>
      </c>
      <c r="I206" s="263"/>
      <c r="J206" s="263"/>
      <c r="K206" s="87"/>
      <c r="L206" s="73">
        <f ca="1">IFERROR(__xludf.DUMMYFUNCTION("IMPORTRANGE(""https://docs.google.com/spreadsheets/d/1eHaY18a8A9IcSdp1K8H6x8fbOy06t2VsZHhMHf-1x7Y/edit?usp=sharing"",""แผน!AH59"")"),0)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69"/>
      <c r="D207" s="267" t="s">
        <v>88</v>
      </c>
      <c r="E207" s="258"/>
      <c r="F207" s="258"/>
      <c r="G207" s="261"/>
      <c r="H207" s="292" t="s">
        <v>14</v>
      </c>
      <c r="I207" s="263"/>
      <c r="J207" s="263"/>
      <c r="K207" s="87"/>
      <c r="L207" s="73">
        <f ca="1">IFERROR(__xludf.DUMMYFUNCTION("IMPORTRANGE(""https://docs.google.com/spreadsheets/d/1eHaY18a8A9IcSdp1K8H6x8fbOy06t2VsZHhMHf-1x7Y/edit?usp=sharing"",""แผน!AI59"")"),8000)</f>
        <v>8000</v>
      </c>
      <c r="M207" s="87"/>
      <c r="N207" s="924">
        <v>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69"/>
      <c r="D208" s="267" t="s">
        <v>89</v>
      </c>
      <c r="E208" s="258"/>
      <c r="F208" s="258"/>
      <c r="G208" s="261"/>
      <c r="H208" s="292" t="s">
        <v>14</v>
      </c>
      <c r="I208" s="263"/>
      <c r="J208" s="263"/>
      <c r="K208" s="87"/>
      <c r="L208" s="73">
        <f ca="1">IFERROR(__xludf.DUMMYFUNCTION("IMPORTRANGE(""https://docs.google.com/spreadsheets/d/1eHaY18a8A9IcSdp1K8H6x8fbOy06t2VsZHhMHf-1x7Y/edit?usp=sharing"",""แผน!AJ59"")"),4000)</f>
        <v>4000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310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2" t="s">
        <v>85</v>
      </c>
      <c r="I210" s="293">
        <f ca="1">IFERROR(__xludf.DUMMYFUNCTION("IMPORTRANGE(""https://docs.google.com/spreadsheets/d/1eHaY18a8A9IcSdp1K8H6x8fbOy06t2VsZHhMHf-1x7Y/edit?usp=sharing"",""แผน!AK59"")"),1)</f>
        <v>1</v>
      </c>
      <c r="J210" s="294">
        <v>0</v>
      </c>
      <c r="K210" s="768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310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2" t="s">
        <v>85</v>
      </c>
      <c r="I212" s="293">
        <f ca="1">IFERROR(__xludf.DUMMYFUNCTION("IMPORTRANGE(""https://docs.google.com/spreadsheets/d/1eHaY18a8A9IcSdp1K8H6x8fbOy06t2VsZHhMHf-1x7Y/edit?usp=sharing"",""แผน!JX59"")"),1)</f>
        <v>1</v>
      </c>
      <c r="J212" s="294">
        <v>0</v>
      </c>
      <c r="K212" s="768">
        <f t="shared" ref="K212:K214" ca="1" si="145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IFERROR(__xludf.DUMMYFUNCTION("IMPORTRANGE(""https://docs.google.com/spreadsheets/d/1eHaY18a8A9IcSdp1K8H6x8fbOy06t2VsZHhMHf-1x7Y/edit?usp=sharing"",""แผน!JY59"")"),0)</f>
        <v>0</v>
      </c>
      <c r="J213" s="294">
        <v>0</v>
      </c>
      <c r="K213" s="768">
        <f t="shared" ca="1" si="145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x14ac:dyDescent="0.3">
      <c r="A214" s="553"/>
      <c r="B214" s="555"/>
      <c r="C214" s="1128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6">I221</f>
        <v>0</v>
      </c>
      <c r="J214" s="559">
        <f t="shared" si="146"/>
        <v>0</v>
      </c>
      <c r="K214" s="560">
        <f t="shared" ca="1" si="145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x14ac:dyDescent="0.3">
      <c r="A215" s="257"/>
      <c r="B215" s="269"/>
      <c r="C215" s="621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1257">
        <f ca="1">L216+L217+L218</f>
        <v>0</v>
      </c>
      <c r="M215" s="87"/>
      <c r="N215" s="264">
        <f>N216+N217+N218</f>
        <v>0</v>
      </c>
      <c r="O215" s="264">
        <f ca="1">IF(L215&gt;0,N215*100/L215,0)</f>
        <v>0</v>
      </c>
      <c r="P215" s="264">
        <f>IF(M215&gt;0,N215*100/M215,0)</f>
        <v>0</v>
      </c>
      <c r="Q215" s="87"/>
      <c r="R215" s="87"/>
      <c r="S215" s="87"/>
      <c r="T215" s="87"/>
      <c r="U215" s="87"/>
    </row>
    <row r="216" spans="1:21" ht="18.75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3">
        <f ca="1">IFERROR(__xludf.DUMMYFUNCTION("IMPORTRANGE(""https://docs.google.com/spreadsheets/d/1eHaY18a8A9IcSdp1K8H6x8fbOy06t2VsZHhMHf-1x7Y/edit?usp=sharing"",""แผน!AM59"")"),0)</f>
        <v>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3">
        <f ca="1">IFERROR(__xludf.DUMMYFUNCTION("IMPORTRANGE(""https://docs.google.com/spreadsheets/d/1eHaY18a8A9IcSdp1K8H6x8fbOy06t2VsZHhMHf-1x7Y/edit?usp=sharing"",""แผน!AN59"")"),0)</f>
        <v>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3">
        <f ca="1">IFERROR(__xludf.DUMMYFUNCTION("IMPORTRANGE(""https://docs.google.com/spreadsheets/d/1eHaY18a8A9IcSdp1K8H6x8fbOy06t2VsZHhMHf-1x7Y/edit?usp=sharing"",""แผน!AO59"")"),0)</f>
        <v>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310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2" t="s">
        <v>85</v>
      </c>
      <c r="I220" s="293">
        <f ca="1">IFERROR(__xludf.DUMMYFUNCTION("IMPORTRANGE(""https://docs.google.com/spreadsheets/d/1eHaY18a8A9IcSdp1K8H6x8fbOy06t2VsZHhMHf-1x7Y/edit?usp=sharing"",""แผน!AP59"")"),0)</f>
        <v>0</v>
      </c>
      <c r="J220" s="294">
        <v>0</v>
      </c>
      <c r="K220" s="74">
        <f t="shared" ref="K220:K222" ca="1" si="147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IFERROR(__xludf.DUMMYFUNCTION("IMPORTRANGE(""https://docs.google.com/spreadsheets/d/1eHaY18a8A9IcSdp1K8H6x8fbOy06t2VsZHhMHf-1x7Y/edit?usp=sharing"",""แผน!AP59"")"),0)</f>
        <v>0</v>
      </c>
      <c r="J221" s="294">
        <v>0</v>
      </c>
      <c r="K221" s="74">
        <f t="shared" ca="1" si="147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28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8">I230</f>
        <v>30000</v>
      </c>
      <c r="J222" s="559">
        <f t="shared" si="148"/>
        <v>0</v>
      </c>
      <c r="K222" s="560">
        <f t="shared" ca="1" si="147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69"/>
      <c r="C223" s="621" t="s">
        <v>18</v>
      </c>
      <c r="D223" s="96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1257">
        <f ca="1">L224+L225+L226</f>
        <v>6500</v>
      </c>
      <c r="M223" s="87"/>
      <c r="N223" s="264">
        <f>N224+N225+N226</f>
        <v>0</v>
      </c>
      <c r="O223" s="264">
        <f ca="1">IF(L223&gt;0,N223*100/L223,0)</f>
        <v>0</v>
      </c>
      <c r="P223" s="264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69"/>
      <c r="D224" s="1134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3">
        <f ca="1">IFERROR(__xludf.DUMMYFUNCTION("IMPORTRANGE(""https://docs.google.com/spreadsheets/d/1eHaY18a8A9IcSdp1K8H6x8fbOy06t2VsZHhMHf-1x7Y/edit?usp=sharing"",""แผน!AR59"")"),5000)</f>
        <v>5000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3">
        <f ca="1">IFERROR(__xludf.DUMMYFUNCTION("IMPORTRANGE(""https://docs.google.com/spreadsheets/d/1eHaY18a8A9IcSdp1K8H6x8fbOy06t2VsZHhMHf-1x7Y/edit?usp=sharing"",""แผน!AS59"")"),1500)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3">
        <f ca="1">IFERROR(__xludf.DUMMYFUNCTION("IMPORTRANGE(""https://docs.google.com/spreadsheets/d/1eHaY18a8A9IcSdp1K8H6x8fbOy06t2VsZHhMHf-1x7Y/edit?usp=sharing"",""แผน!AT59"")"),0)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310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310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75" t="s">
        <v>99</v>
      </c>
      <c r="I229" s="293">
        <f ca="1">IFERROR(__xludf.DUMMYFUNCTION("IMPORTRANGE(""https://docs.google.com/spreadsheets/d/1eHaY18a8A9IcSdp1K8H6x8fbOy06t2VsZHhMHf-1x7Y/edit?usp=sharing"",""แผน!AV59"")"),30000)</f>
        <v>30000</v>
      </c>
      <c r="J229" s="294">
        <v>0</v>
      </c>
      <c r="K229" s="768">
        <f t="shared" ref="K229:K232" ca="1" si="149">IF(I229&gt;0,J229*100/I229,0)</f>
        <v>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75" t="s">
        <v>99</v>
      </c>
      <c r="I230" s="293">
        <f ca="1">IFERROR(__xludf.DUMMYFUNCTION("IMPORTRANGE(""https://docs.google.com/spreadsheets/d/1eHaY18a8A9IcSdp1K8H6x8fbOy06t2VsZHhMHf-1x7Y/edit?usp=sharing"",""แผน!AV59"")"),30000)</f>
        <v>30000</v>
      </c>
      <c r="J230" s="294">
        <v>0</v>
      </c>
      <c r="K230" s="768">
        <f t="shared" ca="1" si="149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75" t="s">
        <v>35</v>
      </c>
      <c r="I231" s="293">
        <f ca="1">IFERROR(__xludf.DUMMYFUNCTION("IMPORTRANGE(""https://docs.google.com/spreadsheets/d/1eHaY18a8A9IcSdp1K8H6x8fbOy06t2VsZHhMHf-1x7Y/edit?usp=sharing"",""แผน!AU59"")"),0)</f>
        <v>0</v>
      </c>
      <c r="J231" s="294">
        <v>0</v>
      </c>
      <c r="K231" s="768">
        <f t="shared" ca="1" si="149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925"/>
      <c r="B232" s="926"/>
      <c r="C232" s="1135" t="s">
        <v>105</v>
      </c>
      <c r="D232" s="928"/>
      <c r="E232" s="928"/>
      <c r="F232" s="928"/>
      <c r="G232" s="929"/>
      <c r="H232" s="930" t="s">
        <v>35</v>
      </c>
      <c r="I232" s="931">
        <f t="shared" ref="I232:J232" ca="1" si="150">I243+I254</f>
        <v>20</v>
      </c>
      <c r="J232" s="931">
        <f t="shared" si="150"/>
        <v>0</v>
      </c>
      <c r="K232" s="932">
        <f t="shared" ca="1" si="149"/>
        <v>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880"/>
      <c r="B233" s="920"/>
      <c r="C233" s="939" t="s">
        <v>18</v>
      </c>
      <c r="D233" s="934" t="s">
        <v>19</v>
      </c>
      <c r="E233" s="838"/>
      <c r="F233" s="838"/>
      <c r="G233" s="839"/>
      <c r="H233" s="703" t="s">
        <v>14</v>
      </c>
      <c r="I233" s="881"/>
      <c r="J233" s="881"/>
      <c r="K233" s="882"/>
      <c r="L233" s="1281">
        <f t="shared" ref="L233:L237" ca="1" si="151">L244+L255</f>
        <v>41600</v>
      </c>
      <c r="M233" s="87"/>
      <c r="N233" s="1258">
        <f t="shared" ref="N233:N237" si="152">N244+N255</f>
        <v>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880"/>
      <c r="B234" s="920"/>
      <c r="C234" s="920"/>
      <c r="D234" s="1134" t="s">
        <v>299</v>
      </c>
      <c r="E234" s="838"/>
      <c r="F234" s="838"/>
      <c r="G234" s="839"/>
      <c r="H234" s="273" t="s">
        <v>14</v>
      </c>
      <c r="I234" s="881"/>
      <c r="J234" s="881"/>
      <c r="K234" s="882"/>
      <c r="L234" s="76">
        <f t="shared" ca="1" si="151"/>
        <v>8000</v>
      </c>
      <c r="M234" s="87"/>
      <c r="N234" s="77">
        <f t="shared" si="152"/>
        <v>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919"/>
      <c r="B235" s="920"/>
      <c r="C235" s="920"/>
      <c r="D235" s="749" t="s">
        <v>87</v>
      </c>
      <c r="E235" s="838"/>
      <c r="F235" s="838"/>
      <c r="G235" s="839"/>
      <c r="H235" s="273" t="s">
        <v>14</v>
      </c>
      <c r="I235" s="841"/>
      <c r="J235" s="841"/>
      <c r="K235" s="842"/>
      <c r="L235" s="76">
        <f t="shared" ca="1" si="151"/>
        <v>2000</v>
      </c>
      <c r="M235" s="87"/>
      <c r="N235" s="77">
        <f t="shared" si="152"/>
        <v>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919"/>
      <c r="B236" s="920"/>
      <c r="C236" s="920"/>
      <c r="D236" s="749" t="s">
        <v>88</v>
      </c>
      <c r="E236" s="838"/>
      <c r="F236" s="838"/>
      <c r="G236" s="839"/>
      <c r="H236" s="273" t="s">
        <v>14</v>
      </c>
      <c r="I236" s="841"/>
      <c r="J236" s="841"/>
      <c r="K236" s="842"/>
      <c r="L236" s="76">
        <f t="shared" ca="1" si="151"/>
        <v>12600</v>
      </c>
      <c r="M236" s="87"/>
      <c r="N236" s="77">
        <f t="shared" si="152"/>
        <v>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919"/>
      <c r="B237" s="920"/>
      <c r="C237" s="920"/>
      <c r="D237" s="267" t="s">
        <v>89</v>
      </c>
      <c r="E237" s="838"/>
      <c r="F237" s="838"/>
      <c r="G237" s="839"/>
      <c r="H237" s="273" t="s">
        <v>14</v>
      </c>
      <c r="I237" s="841"/>
      <c r="J237" s="841"/>
      <c r="K237" s="842"/>
      <c r="L237" s="76">
        <f t="shared" ca="1" si="151"/>
        <v>19000</v>
      </c>
      <c r="M237" s="87"/>
      <c r="N237" s="77">
        <f t="shared" si="152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937"/>
      <c r="B238" s="938"/>
      <c r="C238" s="939" t="s">
        <v>18</v>
      </c>
      <c r="D238" s="940" t="s">
        <v>38</v>
      </c>
      <c r="E238" s="941"/>
      <c r="F238" s="941"/>
      <c r="G238" s="942"/>
      <c r="H238" s="1136"/>
      <c r="I238" s="881"/>
      <c r="J238" s="841"/>
      <c r="K238" s="842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937"/>
      <c r="B239" s="938"/>
      <c r="C239" s="938"/>
      <c r="D239" s="311" t="s">
        <v>108</v>
      </c>
      <c r="E239" s="944"/>
      <c r="F239" s="944"/>
      <c r="G239" s="943"/>
      <c r="H239" s="706" t="s">
        <v>35</v>
      </c>
      <c r="I239" s="592">
        <f t="shared" ref="I239:J239" ca="1" si="153">I250+I261</f>
        <v>20</v>
      </c>
      <c r="J239" s="592">
        <f t="shared" si="153"/>
        <v>0</v>
      </c>
      <c r="K239" s="77">
        <f ca="1">IF(I239&gt;0,J239*100/I239,0)</f>
        <v>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937"/>
      <c r="B240" s="938"/>
      <c r="C240" s="938"/>
      <c r="D240" s="946" t="s">
        <v>43</v>
      </c>
      <c r="E240" s="944"/>
      <c r="F240" s="944"/>
      <c r="G240" s="943"/>
      <c r="H240" s="1136"/>
      <c r="I240" s="841"/>
      <c r="J240" s="841"/>
      <c r="K240" s="842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937"/>
      <c r="B241" s="938"/>
      <c r="C241" s="938"/>
      <c r="D241" s="938"/>
      <c r="E241" s="947" t="s">
        <v>109</v>
      </c>
      <c r="F241" s="944"/>
      <c r="G241" s="943"/>
      <c r="H241" s="706" t="s">
        <v>35</v>
      </c>
      <c r="I241" s="592">
        <f t="shared" ref="I241:J242" ca="1" si="154">I252+I263</f>
        <v>20</v>
      </c>
      <c r="J241" s="592">
        <f t="shared" si="154"/>
        <v>0</v>
      </c>
      <c r="K241" s="77">
        <f t="shared" ref="K241:K243" ca="1" si="155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937"/>
      <c r="B242" s="938"/>
      <c r="C242" s="938"/>
      <c r="D242" s="938"/>
      <c r="E242" s="947" t="s">
        <v>110</v>
      </c>
      <c r="F242" s="944"/>
      <c r="G242" s="943"/>
      <c r="H242" s="706" t="s">
        <v>61</v>
      </c>
      <c r="I242" s="592">
        <f t="shared" ca="1" si="154"/>
        <v>1</v>
      </c>
      <c r="J242" s="592">
        <f t="shared" si="154"/>
        <v>0</v>
      </c>
      <c r="K242" s="77">
        <f t="shared" ca="1" si="155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x14ac:dyDescent="0.3">
      <c r="A243" s="382"/>
      <c r="B243" s="383"/>
      <c r="C243" s="1137" t="s">
        <v>332</v>
      </c>
      <c r="D243" s="385"/>
      <c r="E243" s="385"/>
      <c r="F243" s="385"/>
      <c r="G243" s="386"/>
      <c r="H243" s="387" t="s">
        <v>35</v>
      </c>
      <c r="I243" s="388">
        <f t="shared" ref="I243:J243" ca="1" si="156">I250</f>
        <v>20</v>
      </c>
      <c r="J243" s="388">
        <f t="shared" si="156"/>
        <v>0</v>
      </c>
      <c r="K243" s="389">
        <f t="shared" ca="1" si="155"/>
        <v>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x14ac:dyDescent="0.3">
      <c r="A244" s="209"/>
      <c r="B244" s="381"/>
      <c r="C244" s="402" t="s">
        <v>18</v>
      </c>
      <c r="D244" s="879" t="s">
        <v>19</v>
      </c>
      <c r="E244" s="67"/>
      <c r="F244" s="67"/>
      <c r="G244" s="69"/>
      <c r="H244" s="394" t="s">
        <v>14</v>
      </c>
      <c r="I244" s="219"/>
      <c r="J244" s="219"/>
      <c r="K244" s="220"/>
      <c r="L244" s="1257">
        <f ca="1">L245+L246+L247+L248</f>
        <v>41600</v>
      </c>
      <c r="M244" s="87"/>
      <c r="N244" s="264">
        <f>N245+N246+N247+N248</f>
        <v>0</v>
      </c>
      <c r="O244" s="264">
        <f ca="1">IF(L244&gt;0,N244*100/L244,0)</f>
        <v>0</v>
      </c>
      <c r="P244" s="264">
        <f>IF(M244&gt;0,N244*100/M244,0)</f>
        <v>0</v>
      </c>
      <c r="Q244" s="87"/>
      <c r="R244" s="87"/>
      <c r="S244" s="87"/>
      <c r="T244" s="87"/>
      <c r="U244" s="87"/>
    </row>
    <row r="245" spans="1:21" ht="18.75" x14ac:dyDescent="0.25">
      <c r="A245" s="209"/>
      <c r="B245" s="381"/>
      <c r="C245" s="381"/>
      <c r="D245" s="1134" t="s">
        <v>299</v>
      </c>
      <c r="E245" s="67"/>
      <c r="F245" s="67"/>
      <c r="G245" s="69"/>
      <c r="H245" s="218" t="s">
        <v>14</v>
      </c>
      <c r="I245" s="219"/>
      <c r="J245" s="219"/>
      <c r="K245" s="220"/>
      <c r="L245" s="73">
        <f ca="1">IFERROR(__xludf.DUMMYFUNCTION("IMPORTRANGE(""https://docs.google.com/spreadsheets/d/1eHaY18a8A9IcSdp1K8H6x8fbOy06t2VsZHhMHf-1x7Y/edit?usp=sharing"",""แผน!AX59"")"),8000)</f>
        <v>8000</v>
      </c>
      <c r="M245" s="87"/>
      <c r="N245" s="924">
        <v>0</v>
      </c>
      <c r="O245" s="87"/>
      <c r="P245" s="87"/>
      <c r="Q245" s="87"/>
      <c r="R245" s="87"/>
      <c r="S245" s="87"/>
      <c r="T245" s="87"/>
      <c r="U245" s="87"/>
    </row>
    <row r="246" spans="1:21" ht="18.75" x14ac:dyDescent="0.25">
      <c r="A246" s="377"/>
      <c r="B246" s="381"/>
      <c r="C246" s="381"/>
      <c r="D246" s="749" t="s">
        <v>87</v>
      </c>
      <c r="E246" s="67"/>
      <c r="F246" s="67"/>
      <c r="G246" s="69"/>
      <c r="H246" s="218" t="s">
        <v>14</v>
      </c>
      <c r="I246" s="71"/>
      <c r="J246" s="71"/>
      <c r="K246" s="72"/>
      <c r="L246" s="73">
        <f ca="1">IFERROR(__xludf.DUMMYFUNCTION("IMPORTRANGE(""https://docs.google.com/spreadsheets/d/1eHaY18a8A9IcSdp1K8H6x8fbOy06t2VsZHhMHf-1x7Y/edit?usp=sharing"",""แผน!AY59"")"),2000)</f>
        <v>2000</v>
      </c>
      <c r="M246" s="87"/>
      <c r="N246" s="924">
        <v>0</v>
      </c>
      <c r="O246" s="87"/>
      <c r="P246" s="87"/>
      <c r="Q246" s="87"/>
      <c r="R246" s="87"/>
      <c r="S246" s="87"/>
      <c r="T246" s="87"/>
      <c r="U246" s="87"/>
    </row>
    <row r="247" spans="1:21" ht="18.75" x14ac:dyDescent="0.25">
      <c r="A247" s="377"/>
      <c r="B247" s="381"/>
      <c r="C247" s="381"/>
      <c r="D247" s="749" t="s">
        <v>88</v>
      </c>
      <c r="E247" s="67"/>
      <c r="F247" s="67"/>
      <c r="G247" s="69"/>
      <c r="H247" s="218" t="s">
        <v>14</v>
      </c>
      <c r="I247" s="71"/>
      <c r="J247" s="71"/>
      <c r="K247" s="72"/>
      <c r="L247" s="73">
        <f ca="1">IFERROR(__xludf.DUMMYFUNCTION("IMPORTRANGE(""https://docs.google.com/spreadsheets/d/1eHaY18a8A9IcSdp1K8H6x8fbOy06t2VsZHhMHf-1x7Y/edit?usp=sharing"",""แผน!AZ59"")"),12600)</f>
        <v>12600</v>
      </c>
      <c r="M247" s="87"/>
      <c r="N247" s="924">
        <v>0</v>
      </c>
      <c r="O247" s="87"/>
      <c r="P247" s="87"/>
      <c r="Q247" s="87"/>
      <c r="R247" s="87"/>
      <c r="S247" s="87"/>
      <c r="T247" s="87"/>
      <c r="U247" s="87"/>
    </row>
    <row r="248" spans="1:21" ht="18.75" x14ac:dyDescent="0.25">
      <c r="A248" s="377"/>
      <c r="B248" s="381"/>
      <c r="C248" s="381"/>
      <c r="D248" s="267" t="s">
        <v>89</v>
      </c>
      <c r="E248" s="67"/>
      <c r="F248" s="67"/>
      <c r="G248" s="69"/>
      <c r="H248" s="218" t="s">
        <v>14</v>
      </c>
      <c r="I248" s="71"/>
      <c r="J248" s="71"/>
      <c r="K248" s="72"/>
      <c r="L248" s="73">
        <f ca="1">IFERROR(__xludf.DUMMYFUNCTION("IMPORTRANGE(""https://docs.google.com/spreadsheets/d/1eHaY18a8A9IcSdp1K8H6x8fbOy06t2VsZHhMHf-1x7Y/edit?usp=sharing"",""แผน!BA59"")"),19000)</f>
        <v>19000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x14ac:dyDescent="0.3">
      <c r="A249" s="222"/>
      <c r="B249" s="223"/>
      <c r="C249" s="402" t="s">
        <v>18</v>
      </c>
      <c r="D249" s="883" t="s">
        <v>38</v>
      </c>
      <c r="E249" s="225"/>
      <c r="F249" s="225"/>
      <c r="G249" s="226"/>
      <c r="H249" s="320"/>
      <c r="I249" s="219"/>
      <c r="J249" s="71"/>
      <c r="K249" s="72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x14ac:dyDescent="0.25">
      <c r="A250" s="222"/>
      <c r="B250" s="223"/>
      <c r="C250" s="223"/>
      <c r="D250" s="395" t="s">
        <v>108</v>
      </c>
      <c r="E250" s="231"/>
      <c r="F250" s="231"/>
      <c r="G250" s="227"/>
      <c r="H250" s="221" t="s">
        <v>35</v>
      </c>
      <c r="I250" s="321">
        <f ca="1">IFERROR(__xludf.DUMMYFUNCTION("IMPORTRANGE(""https://docs.google.com/spreadsheets/d/1eHaY18a8A9IcSdp1K8H6x8fbOy06t2VsZHhMHf-1x7Y/edit?usp=sharing"",""แผน!BG59"")"),20)</f>
        <v>20</v>
      </c>
      <c r="J250" s="884">
        <v>0</v>
      </c>
      <c r="K250" s="399">
        <f ca="1">IF(I250&gt;0,J250*100/I250,0)</f>
        <v>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x14ac:dyDescent="0.25">
      <c r="A251" s="222"/>
      <c r="B251" s="223"/>
      <c r="C251" s="223"/>
      <c r="D251" s="412" t="s">
        <v>43</v>
      </c>
      <c r="E251" s="231"/>
      <c r="F251" s="231"/>
      <c r="G251" s="227"/>
      <c r="H251" s="320"/>
      <c r="I251" s="71"/>
      <c r="J251" s="71"/>
      <c r="K251" s="72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x14ac:dyDescent="0.25">
      <c r="A252" s="222"/>
      <c r="B252" s="223"/>
      <c r="C252" s="223"/>
      <c r="D252" s="223"/>
      <c r="E252" s="1228" t="s">
        <v>333</v>
      </c>
      <c r="F252" s="893"/>
      <c r="G252" s="894"/>
      <c r="H252" s="1229" t="s">
        <v>35</v>
      </c>
      <c r="I252" s="321">
        <f ca="1">IFERROR(__xludf.DUMMYFUNCTION("IMPORTRANGE(""https://docs.google.com/spreadsheets/d/1eHaY18a8A9IcSdp1K8H6x8fbOy06t2VsZHhMHf-1x7Y/edit?usp=sharing"",""แผน!KB59"")"),20)</f>
        <v>20</v>
      </c>
      <c r="J252" s="884">
        <v>0</v>
      </c>
      <c r="K252" s="399">
        <f t="shared" ref="K252:K254" ca="1" si="157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x14ac:dyDescent="0.25">
      <c r="A253" s="222"/>
      <c r="B253" s="223"/>
      <c r="C253" s="223"/>
      <c r="D253" s="223"/>
      <c r="E253" s="767" t="s">
        <v>334</v>
      </c>
      <c r="F253" s="296"/>
      <c r="G253" s="282"/>
      <c r="H253" s="275" t="s">
        <v>35</v>
      </c>
      <c r="I253" s="321">
        <f ca="1">IFERROR(__xludf.DUMMYFUNCTION("IMPORTRANGE(""https://docs.google.com/spreadsheets/d/1eHaY18a8A9IcSdp1K8H6x8fbOy06t2VsZHhMHf-1x7Y/edit?usp=sharing"",""แผน!KC59"")"),1)</f>
        <v>1</v>
      </c>
      <c r="J253" s="884">
        <v>0</v>
      </c>
      <c r="K253" s="399">
        <f t="shared" ca="1" si="157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553"/>
      <c r="B254" s="555"/>
      <c r="C254" s="1135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8">I261</f>
        <v>0</v>
      </c>
      <c r="J254" s="931">
        <f t="shared" si="158"/>
        <v>0</v>
      </c>
      <c r="K254" s="932">
        <f t="shared" ca="1" si="157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257"/>
      <c r="B255" s="269"/>
      <c r="C255" s="939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1257">
        <f ca="1">L256+L257+L258+L259</f>
        <v>0</v>
      </c>
      <c r="M255" s="87"/>
      <c r="N255" s="264">
        <f>N256+N257+N258+N259</f>
        <v>0</v>
      </c>
      <c r="O255" s="264">
        <f ca="1">IF(L255&gt;0,N255*100/L255,0)</f>
        <v>0</v>
      </c>
      <c r="P255" s="264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257"/>
      <c r="B256" s="269"/>
      <c r="C256" s="269"/>
      <c r="D256" s="1134" t="s">
        <v>299</v>
      </c>
      <c r="E256" s="258"/>
      <c r="F256" s="258"/>
      <c r="G256" s="261"/>
      <c r="H256" s="273" t="s">
        <v>14</v>
      </c>
      <c r="I256" s="272"/>
      <c r="J256" s="272"/>
      <c r="K256" s="229"/>
      <c r="L256" s="73">
        <f ca="1">IFERROR(__xludf.DUMMYFUNCTION("IMPORTRANGE(""https://docs.google.com/spreadsheets/d/1eHaY18a8A9IcSdp1K8H6x8fbOy06t2VsZHhMHf-1x7Y/edit?usp=sharing"",""แผน!BB59"")"),0)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749" t="s">
        <v>87</v>
      </c>
      <c r="E257" s="258"/>
      <c r="F257" s="258"/>
      <c r="G257" s="261"/>
      <c r="H257" s="273" t="s">
        <v>14</v>
      </c>
      <c r="I257" s="263"/>
      <c r="J257" s="263"/>
      <c r="K257" s="87"/>
      <c r="L257" s="73">
        <f ca="1">IFERROR(__xludf.DUMMYFUNCTION("IMPORTRANGE(""https://docs.google.com/spreadsheets/d/1eHaY18a8A9IcSdp1K8H6x8fbOy06t2VsZHhMHf-1x7Y/edit?usp=sharing"",""แผน!BC59"")"),0)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749" t="s">
        <v>88</v>
      </c>
      <c r="E258" s="258"/>
      <c r="F258" s="258"/>
      <c r="G258" s="261"/>
      <c r="H258" s="273" t="s">
        <v>14</v>
      </c>
      <c r="I258" s="263"/>
      <c r="J258" s="263"/>
      <c r="K258" s="87"/>
      <c r="L258" s="73">
        <f ca="1">IFERROR(__xludf.DUMMYFUNCTION("IMPORTRANGE(""https://docs.google.com/spreadsheets/d/1eHaY18a8A9IcSdp1K8H6x8fbOy06t2VsZHhMHf-1x7Y/edit?usp=sharing"",""แผน!BD59"")"),0)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7" t="s">
        <v>89</v>
      </c>
      <c r="E259" s="258"/>
      <c r="F259" s="258"/>
      <c r="G259" s="261"/>
      <c r="H259" s="273" t="s">
        <v>14</v>
      </c>
      <c r="I259" s="263"/>
      <c r="J259" s="263"/>
      <c r="K259" s="87"/>
      <c r="L259" s="73">
        <f ca="1">IFERROR(__xludf.DUMMYFUNCTION("IMPORTRANGE(""https://docs.google.com/spreadsheets/d/1eHaY18a8A9IcSdp1K8H6x8fbOy06t2VsZHhMHf-1x7Y/edit?usp=sharing"",""แผน!BE59"")"),0)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706" t="s">
        <v>35</v>
      </c>
      <c r="I261" s="592">
        <f ca="1">IFERROR(__xludf.DUMMYFUNCTION("IMPORTRANGE(""https://docs.google.com/spreadsheets/d/1eHaY18a8A9IcSdp1K8H6x8fbOy06t2VsZHhMHf-1x7Y/edit?usp=sharing"",""แผน!BH59"")"),0)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310"/>
      <c r="I262" s="263"/>
      <c r="J262" s="263"/>
      <c r="K262" s="87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706" t="s">
        <v>35</v>
      </c>
      <c r="I263" s="263"/>
      <c r="J263" s="910">
        <v>0</v>
      </c>
      <c r="K263" s="77">
        <f t="shared" ref="K263:K264" si="159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706" t="s">
        <v>61</v>
      </c>
      <c r="I264" s="263"/>
      <c r="J264" s="910">
        <v>0</v>
      </c>
      <c r="K264" s="77">
        <f t="shared" si="159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1138"/>
      <c r="I265" s="364"/>
      <c r="J265" s="364"/>
      <c r="K265" s="365"/>
      <c r="L265" s="1230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1139" t="s">
        <v>35</v>
      </c>
      <c r="I266" s="1140">
        <f t="shared" ref="I266:J266" ca="1" si="160">I277</f>
        <v>22</v>
      </c>
      <c r="J266" s="1140">
        <f t="shared" si="160"/>
        <v>0</v>
      </c>
      <c r="K266" s="373">
        <f ca="1">IF(I266&gt;0,J266*100/I266,0)</f>
        <v>0</v>
      </c>
      <c r="L266" s="1231"/>
      <c r="M266" s="374"/>
      <c r="N266" s="374"/>
      <c r="O266" s="374"/>
      <c r="P266" s="374"/>
      <c r="Q266" s="374"/>
      <c r="R266" s="374"/>
      <c r="S266" s="374"/>
      <c r="T266" s="374"/>
      <c r="U266" s="374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1262">
        <f t="shared" ref="L267:N267" ca="1" si="161">L268+L269</f>
        <v>0</v>
      </c>
      <c r="M267" s="213">
        <f t="shared" ca="1" si="161"/>
        <v>5000</v>
      </c>
      <c r="N267" s="213">
        <f t="shared" ca="1" si="161"/>
        <v>0</v>
      </c>
      <c r="O267" s="213">
        <f t="shared" ref="O267:O275" ca="1" si="162">IF(L267&gt;0,N267*100/L267,0)</f>
        <v>0</v>
      </c>
      <c r="P267" s="213">
        <f t="shared" ref="P267:P275" ca="1" si="163">IF(M267&gt;0,N267*100/M267,0)</f>
        <v>0</v>
      </c>
      <c r="Q267" s="213">
        <f t="shared" ref="Q267:S267" ca="1" si="164">Q268+Q269</f>
        <v>50660</v>
      </c>
      <c r="R267" s="213">
        <f t="shared" ca="1" si="164"/>
        <v>50660</v>
      </c>
      <c r="S267" s="213">
        <f t="shared" ca="1" si="164"/>
        <v>0</v>
      </c>
      <c r="T267" s="213">
        <f t="shared" ref="T267:T275" ca="1" si="165">IF(Q267&gt;0,S267*100/Q267,0)</f>
        <v>0</v>
      </c>
      <c r="U267" s="213">
        <f t="shared" ref="U267:U275" ca="1" si="166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76">
        <f t="shared" ref="L268:N269" si="167">L271+L274</f>
        <v>0</v>
      </c>
      <c r="M268" s="77">
        <f t="shared" si="167"/>
        <v>0</v>
      </c>
      <c r="N268" s="77">
        <f t="shared" si="167"/>
        <v>0</v>
      </c>
      <c r="O268" s="77">
        <f t="shared" si="162"/>
        <v>0</v>
      </c>
      <c r="P268" s="77">
        <f t="shared" si="163"/>
        <v>0</v>
      </c>
      <c r="Q268" s="77">
        <f t="shared" ref="Q268:S269" si="168">Q271+Q274</f>
        <v>0</v>
      </c>
      <c r="R268" s="77">
        <f t="shared" si="168"/>
        <v>0</v>
      </c>
      <c r="S268" s="77">
        <f t="shared" si="168"/>
        <v>0</v>
      </c>
      <c r="T268" s="77">
        <f t="shared" si="165"/>
        <v>0</v>
      </c>
      <c r="U268" s="77">
        <f t="shared" si="166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261">
        <f t="shared" ca="1" si="167"/>
        <v>0</v>
      </c>
      <c r="M269" s="399">
        <f t="shared" ca="1" si="167"/>
        <v>5000</v>
      </c>
      <c r="N269" s="399">
        <f t="shared" ca="1" si="167"/>
        <v>0</v>
      </c>
      <c r="O269" s="399">
        <f t="shared" ca="1" si="162"/>
        <v>0</v>
      </c>
      <c r="P269" s="399">
        <f t="shared" ca="1" si="163"/>
        <v>0</v>
      </c>
      <c r="Q269" s="399">
        <f t="shared" ca="1" si="168"/>
        <v>50660</v>
      </c>
      <c r="R269" s="399">
        <f t="shared" ca="1" si="168"/>
        <v>50660</v>
      </c>
      <c r="S269" s="399">
        <f t="shared" ca="1" si="168"/>
        <v>0</v>
      </c>
      <c r="T269" s="399">
        <f t="shared" ca="1" si="165"/>
        <v>0</v>
      </c>
      <c r="U269" s="399">
        <f t="shared" ca="1" si="166"/>
        <v>0</v>
      </c>
    </row>
    <row r="270" spans="1:21" ht="18.75" x14ac:dyDescent="0.25">
      <c r="A270" s="209"/>
      <c r="B270" s="381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261">
        <f t="shared" ref="L270:N270" ca="1" si="169">L271+L272</f>
        <v>0</v>
      </c>
      <c r="M270" s="399">
        <f t="shared" ca="1" si="169"/>
        <v>5000</v>
      </c>
      <c r="N270" s="399">
        <f t="shared" ca="1" si="169"/>
        <v>0</v>
      </c>
      <c r="O270" s="399">
        <f t="shared" ca="1" si="162"/>
        <v>0</v>
      </c>
      <c r="P270" s="399">
        <f t="shared" ca="1" si="163"/>
        <v>0</v>
      </c>
      <c r="Q270" s="399">
        <f t="shared" ref="Q270:S270" ca="1" si="170">Q271+Q272</f>
        <v>50660</v>
      </c>
      <c r="R270" s="399">
        <f t="shared" ca="1" si="170"/>
        <v>50660</v>
      </c>
      <c r="S270" s="399">
        <f t="shared" ca="1" si="170"/>
        <v>0</v>
      </c>
      <c r="T270" s="399">
        <f t="shared" ca="1" si="165"/>
        <v>0</v>
      </c>
      <c r="U270" s="399">
        <f t="shared" ca="1" si="166"/>
        <v>0</v>
      </c>
    </row>
    <row r="271" spans="1:21" ht="18.75" hidden="1" x14ac:dyDescent="0.25">
      <c r="A271" s="880"/>
      <c r="B271" s="920"/>
      <c r="C271" s="920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77">
        <f t="shared" si="162"/>
        <v>0</v>
      </c>
      <c r="P271" s="77">
        <f t="shared" si="163"/>
        <v>0</v>
      </c>
      <c r="Q271" s="77">
        <v>0</v>
      </c>
      <c r="R271" s="77">
        <v>0</v>
      </c>
      <c r="S271" s="77">
        <v>0</v>
      </c>
      <c r="T271" s="77">
        <f t="shared" si="165"/>
        <v>0</v>
      </c>
      <c r="U271" s="77">
        <f t="shared" si="166"/>
        <v>0</v>
      </c>
    </row>
    <row r="272" spans="1:21" ht="18.75" hidden="1" x14ac:dyDescent="0.25">
      <c r="A272" s="209"/>
      <c r="B272" s="381"/>
      <c r="C272" s="381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261">
        <f ca="1">IFERROR(__xludf.DUMMYFUNCTION("IMPORTRANGE(""https://docs.google.com/spreadsheets/d/1-uDff_7J0KD5mKrp0Vvzr7lt3OU09vwQwhkpOPPYv2Y/edit?usp=sharing"",""งบพรบ!DE59"")"),0)</f>
        <v>0</v>
      </c>
      <c r="M272" s="399">
        <f ca="1">IFERROR(__xludf.DUMMYFUNCTION("IMPORTRANGE(""https://docs.google.com/spreadsheets/d/1-uDff_7J0KD5mKrp0Vvzr7lt3OU09vwQwhkpOPPYv2Y/edit?usp=sharing"",""งบพรบ!DJ59"")"),5000)</f>
        <v>5000</v>
      </c>
      <c r="N272" s="399">
        <f ca="1">IFERROR(__xludf.DUMMYFUNCTION("IMPORTRANGE(""https://docs.google.com/spreadsheets/d/1-uDff_7J0KD5mKrp0Vvzr7lt3OU09vwQwhkpOPPYv2Y/edit?usp=sharing"",""งบพรบ!DL59"")"),0)</f>
        <v>0</v>
      </c>
      <c r="O272" s="399">
        <f t="shared" ca="1" si="162"/>
        <v>0</v>
      </c>
      <c r="P272" s="399">
        <f t="shared" ca="1" si="163"/>
        <v>0</v>
      </c>
      <c r="Q272" s="399">
        <f ca="1">IFERROR(__xludf.DUMMYFUNCTION("IMPORTRANGE(""https://docs.google.com/spreadsheets/d/1ItG2mGa2ceCfYo0BwxsXqNm01IGEUdYcSSLTEv9YCik/edit?usp=sharing"",""เบิกจ่ายกองทุน!AJ59"")"),50660)</f>
        <v>50660</v>
      </c>
      <c r="R272" s="399">
        <f ca="1">IFERROR(__xludf.DUMMYFUNCTION("IMPORTRANGE(""https://docs.google.com/spreadsheets/d/1ItG2mGa2ceCfYo0BwxsXqNm01IGEUdYcSSLTEv9YCik/edit?usp=sharing"",""เบิกจ่ายกองทุน!AK59"")"),50660)</f>
        <v>50660</v>
      </c>
      <c r="S272" s="399">
        <f ca="1">IFERROR(__xludf.DUMMYFUNCTION("IMPORTRANGE(""https://docs.google.com/spreadsheets/d/1ItG2mGa2ceCfYo0BwxsXqNm01IGEUdYcSSLTEv9YCik/edit?usp=sharing"",""เบิกจ่ายกองทุน!AL59"")"),0)</f>
        <v>0</v>
      </c>
      <c r="T272" s="399">
        <f t="shared" ca="1" si="165"/>
        <v>0</v>
      </c>
      <c r="U272" s="399">
        <f t="shared" ca="1" si="166"/>
        <v>0</v>
      </c>
    </row>
    <row r="273" spans="1:21" ht="18.75" x14ac:dyDescent="0.25">
      <c r="A273" s="209"/>
      <c r="B273" s="381"/>
      <c r="C273" s="381"/>
      <c r="D273" s="1141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261">
        <f t="shared" ref="L273:N273" ca="1" si="171">L274+L275</f>
        <v>0</v>
      </c>
      <c r="M273" s="399">
        <f t="shared" ca="1" si="171"/>
        <v>0</v>
      </c>
      <c r="N273" s="399">
        <f t="shared" ca="1" si="171"/>
        <v>0</v>
      </c>
      <c r="O273" s="399">
        <f t="shared" ca="1" si="162"/>
        <v>0</v>
      </c>
      <c r="P273" s="399">
        <f t="shared" ca="1" si="163"/>
        <v>0</v>
      </c>
      <c r="Q273" s="399">
        <f t="shared" ref="Q273:S273" si="172">Q274+Q275</f>
        <v>0</v>
      </c>
      <c r="R273" s="399">
        <f t="shared" si="172"/>
        <v>0</v>
      </c>
      <c r="S273" s="399">
        <f t="shared" si="172"/>
        <v>0</v>
      </c>
      <c r="T273" s="399">
        <f t="shared" si="165"/>
        <v>0</v>
      </c>
      <c r="U273" s="399">
        <f t="shared" si="166"/>
        <v>0</v>
      </c>
    </row>
    <row r="274" spans="1:21" ht="18.75" hidden="1" x14ac:dyDescent="0.25">
      <c r="A274" s="880"/>
      <c r="B274" s="838"/>
      <c r="C274" s="920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77">
        <f t="shared" si="162"/>
        <v>0</v>
      </c>
      <c r="P274" s="77">
        <f t="shared" si="163"/>
        <v>0</v>
      </c>
      <c r="Q274" s="77">
        <v>0</v>
      </c>
      <c r="R274" s="77">
        <v>0</v>
      </c>
      <c r="S274" s="77">
        <v>0</v>
      </c>
      <c r="T274" s="77">
        <f t="shared" si="165"/>
        <v>0</v>
      </c>
      <c r="U274" s="77">
        <f t="shared" si="166"/>
        <v>0</v>
      </c>
    </row>
    <row r="275" spans="1:21" ht="18.75" hidden="1" x14ac:dyDescent="0.25">
      <c r="A275" s="209"/>
      <c r="B275" s="67"/>
      <c r="C275" s="67"/>
      <c r="D275" s="381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261">
        <f ca="1">IFERROR(__xludf.DUMMYFUNCTION("IMPORTRANGE(""https://docs.google.com/spreadsheets/d/1-uDff_7J0KD5mKrp0Vvzr7lt3OU09vwQwhkpOPPYv2Y/edit?usp=sharing"",""งบพรบ!DH59"")"),0)</f>
        <v>0</v>
      </c>
      <c r="M275" s="399">
        <f ca="1">IFERROR(__xludf.DUMMYFUNCTION("IMPORTRANGE(""https://docs.google.com/spreadsheets/d/1-uDff_7J0KD5mKrp0Vvzr7lt3OU09vwQwhkpOPPYv2Y/edit?usp=sharing"",""งบพรบ!DK59"")"),0)</f>
        <v>0</v>
      </c>
      <c r="N275" s="399">
        <f ca="1">IFERROR(__xludf.DUMMYFUNCTION("IMPORTRANGE(""https://docs.google.com/spreadsheets/d/1-uDff_7J0KD5mKrp0Vvzr7lt3OU09vwQwhkpOPPYv2Y/edit?usp=sharing"",""งบพรบ!DM59"")"),0)</f>
        <v>0</v>
      </c>
      <c r="O275" s="399">
        <f t="shared" ca="1" si="162"/>
        <v>0</v>
      </c>
      <c r="P275" s="399">
        <f t="shared" ca="1" si="163"/>
        <v>0</v>
      </c>
      <c r="Q275" s="399">
        <v>0</v>
      </c>
      <c r="R275" s="399">
        <v>0</v>
      </c>
      <c r="S275" s="399">
        <v>0</v>
      </c>
      <c r="T275" s="399">
        <f t="shared" si="165"/>
        <v>0</v>
      </c>
      <c r="U275" s="399">
        <f t="shared" si="166"/>
        <v>0</v>
      </c>
    </row>
    <row r="276" spans="1:21" ht="19.5" x14ac:dyDescent="0.3">
      <c r="A276" s="222"/>
      <c r="B276" s="223"/>
      <c r="C276" s="440" t="s">
        <v>18</v>
      </c>
      <c r="D276" s="1142" t="s">
        <v>38</v>
      </c>
      <c r="E276" s="225"/>
      <c r="F276" s="225"/>
      <c r="G276" s="226"/>
      <c r="H276" s="227"/>
      <c r="I276" s="219"/>
      <c r="J276" s="219"/>
      <c r="K276" s="220"/>
      <c r="L276" s="1235"/>
      <c r="M276" s="220"/>
      <c r="N276" s="220"/>
      <c r="O276" s="220"/>
      <c r="P276" s="220"/>
      <c r="Q276" s="220"/>
      <c r="R276" s="220"/>
      <c r="S276" s="220"/>
      <c r="T276" s="220"/>
      <c r="U276" s="220"/>
    </row>
    <row r="277" spans="1:21" ht="18.75" x14ac:dyDescent="0.25">
      <c r="A277" s="949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IFERROR(__xludf.DUMMYFUNCTION("IMPORTRANGE(""https://docs.google.com/spreadsheets/d/1eHaY18a8A9IcSdp1K8H6x8fbOy06t2VsZHhMHf-1x7Y/edit?usp=sharing"",""แผน!EC59"")"),22)</f>
        <v>22</v>
      </c>
      <c r="J277" s="908">
        <v>0</v>
      </c>
      <c r="K277" s="85">
        <f ca="1">IF(I277&gt;0,J277*100/I277,0)</f>
        <v>0</v>
      </c>
      <c r="L277" s="540"/>
      <c r="M277" s="72"/>
      <c r="N277" s="72"/>
      <c r="O277" s="72"/>
      <c r="P277" s="72"/>
      <c r="Q277" s="72"/>
      <c r="R277" s="72"/>
      <c r="S277" s="72"/>
      <c r="T277" s="72"/>
      <c r="U277" s="72"/>
    </row>
    <row r="278" spans="1:21" ht="18.75" hidden="1" x14ac:dyDescent="0.25">
      <c r="A278" s="1236"/>
      <c r="B278" s="996"/>
      <c r="C278" s="996"/>
      <c r="D278" s="1145" t="s">
        <v>116</v>
      </c>
      <c r="E278" s="1237"/>
      <c r="F278" s="1237"/>
      <c r="G278" s="1238"/>
      <c r="H278" s="1146" t="s">
        <v>35</v>
      </c>
      <c r="I278" s="779">
        <v>0</v>
      </c>
      <c r="J278" s="779">
        <v>0</v>
      </c>
      <c r="K278" s="1147">
        <v>0</v>
      </c>
      <c r="L278" s="1239"/>
      <c r="M278" s="1240"/>
      <c r="N278" s="1240"/>
      <c r="O278" s="1240"/>
      <c r="P278" s="1240"/>
      <c r="Q278" s="1240"/>
      <c r="R278" s="1240"/>
      <c r="S278" s="1240"/>
      <c r="T278" s="1240"/>
      <c r="U278" s="124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49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4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162" t="s">
        <v>35</v>
      </c>
      <c r="I281" s="1163">
        <f t="shared" ref="I281:J281" ca="1" si="173">I294</f>
        <v>0</v>
      </c>
      <c r="J281" s="1163">
        <f t="shared" si="173"/>
        <v>0</v>
      </c>
      <c r="K281" s="1164">
        <f t="shared" ref="K281:K282" ca="1" si="174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162" t="s">
        <v>46</v>
      </c>
      <c r="I282" s="1163">
        <f t="shared" ref="I282:J282" ca="1" si="175">I293</f>
        <v>0</v>
      </c>
      <c r="J282" s="1163">
        <f t="shared" si="175"/>
        <v>0</v>
      </c>
      <c r="K282" s="1164">
        <f t="shared" ca="1" si="174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1257">
        <f t="shared" ref="L283:N283" ca="1" si="176">L284+L285</f>
        <v>0</v>
      </c>
      <c r="M283" s="264">
        <f t="shared" ca="1" si="176"/>
        <v>0</v>
      </c>
      <c r="N283" s="264">
        <f t="shared" ca="1" si="176"/>
        <v>0</v>
      </c>
      <c r="O283" s="264">
        <f t="shared" ref="O283:O291" ca="1" si="177">IF(L283&gt;0,N283*100/L283,0)</f>
        <v>0</v>
      </c>
      <c r="P283" s="264">
        <f t="shared" ref="P283:P291" ca="1" si="178">IF(M283&gt;0,N283*100/M283,0)</f>
        <v>0</v>
      </c>
      <c r="Q283" s="264">
        <f t="shared" ref="Q283:S283" si="179">Q284+Q285</f>
        <v>0</v>
      </c>
      <c r="R283" s="264">
        <f t="shared" si="179"/>
        <v>0</v>
      </c>
      <c r="S283" s="264">
        <f t="shared" si="179"/>
        <v>0</v>
      </c>
      <c r="T283" s="264">
        <f t="shared" ref="T283:T291" si="180">IF(Q283&gt;0,S283*100/Q283,0)</f>
        <v>0</v>
      </c>
      <c r="U283" s="264">
        <f t="shared" ref="U283:U291" si="181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6">
        <f t="shared" ref="L284:N285" si="182">L287+L290</f>
        <v>0</v>
      </c>
      <c r="M284" s="77">
        <f t="shared" si="182"/>
        <v>0</v>
      </c>
      <c r="N284" s="77">
        <f t="shared" si="182"/>
        <v>0</v>
      </c>
      <c r="O284" s="77">
        <f t="shared" si="177"/>
        <v>0</v>
      </c>
      <c r="P284" s="77">
        <f t="shared" si="178"/>
        <v>0</v>
      </c>
      <c r="Q284" s="77">
        <f t="shared" ref="Q284:S285" si="183">Q287+Q290</f>
        <v>0</v>
      </c>
      <c r="R284" s="77">
        <f t="shared" si="183"/>
        <v>0</v>
      </c>
      <c r="S284" s="77">
        <f t="shared" si="183"/>
        <v>0</v>
      </c>
      <c r="T284" s="77">
        <f t="shared" si="180"/>
        <v>0</v>
      </c>
      <c r="U284" s="77">
        <f t="shared" si="181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3">
        <f t="shared" ca="1" si="182"/>
        <v>0</v>
      </c>
      <c r="M285" s="74">
        <f t="shared" ca="1" si="182"/>
        <v>0</v>
      </c>
      <c r="N285" s="74">
        <f t="shared" ca="1" si="182"/>
        <v>0</v>
      </c>
      <c r="O285" s="74">
        <f t="shared" ca="1" si="177"/>
        <v>0</v>
      </c>
      <c r="P285" s="74">
        <f t="shared" ca="1" si="178"/>
        <v>0</v>
      </c>
      <c r="Q285" s="74">
        <f t="shared" si="183"/>
        <v>0</v>
      </c>
      <c r="R285" s="74">
        <f t="shared" si="183"/>
        <v>0</v>
      </c>
      <c r="S285" s="74">
        <f t="shared" si="183"/>
        <v>0</v>
      </c>
      <c r="T285" s="74">
        <f t="shared" si="180"/>
        <v>0</v>
      </c>
      <c r="U285" s="74">
        <f t="shared" si="181"/>
        <v>0</v>
      </c>
    </row>
    <row r="286" spans="1:21" ht="18.75" hidden="1" x14ac:dyDescent="0.25">
      <c r="A286" s="257"/>
      <c r="B286" s="269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3">
        <f t="shared" ref="L286:N286" ca="1" si="184">L287+L288</f>
        <v>0</v>
      </c>
      <c r="M286" s="74">
        <f t="shared" ca="1" si="184"/>
        <v>0</v>
      </c>
      <c r="N286" s="74">
        <f t="shared" ca="1" si="184"/>
        <v>0</v>
      </c>
      <c r="O286" s="74">
        <f t="shared" ca="1" si="177"/>
        <v>0</v>
      </c>
      <c r="P286" s="74">
        <f t="shared" ca="1" si="178"/>
        <v>0</v>
      </c>
      <c r="Q286" s="74">
        <f t="shared" ref="Q286:S286" si="185">Q287+Q288</f>
        <v>0</v>
      </c>
      <c r="R286" s="74">
        <f t="shared" si="185"/>
        <v>0</v>
      </c>
      <c r="S286" s="74">
        <f t="shared" si="185"/>
        <v>0</v>
      </c>
      <c r="T286" s="74">
        <f t="shared" si="180"/>
        <v>0</v>
      </c>
      <c r="U286" s="74">
        <f t="shared" si="181"/>
        <v>0</v>
      </c>
    </row>
    <row r="287" spans="1:21" ht="18.75" hidden="1" x14ac:dyDescent="0.25">
      <c r="A287" s="257"/>
      <c r="B287" s="269"/>
      <c r="C287" s="269"/>
      <c r="D287" s="258"/>
      <c r="E287" s="77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77">
        <f t="shared" si="177"/>
        <v>0</v>
      </c>
      <c r="P287" s="77">
        <f t="shared" si="178"/>
        <v>0</v>
      </c>
      <c r="Q287" s="77">
        <v>0</v>
      </c>
      <c r="R287" s="77">
        <v>0</v>
      </c>
      <c r="S287" s="77">
        <v>0</v>
      </c>
      <c r="T287" s="77">
        <f t="shared" si="180"/>
        <v>0</v>
      </c>
      <c r="U287" s="77">
        <f t="shared" si="181"/>
        <v>0</v>
      </c>
    </row>
    <row r="288" spans="1:21" ht="18.75" hidden="1" x14ac:dyDescent="0.25">
      <c r="A288" s="257"/>
      <c r="B288" s="269"/>
      <c r="C288" s="269"/>
      <c r="D288" s="258"/>
      <c r="E288" s="749" t="s">
        <v>37</v>
      </c>
      <c r="F288" s="258"/>
      <c r="G288" s="261"/>
      <c r="H288" s="271" t="s">
        <v>14</v>
      </c>
      <c r="I288" s="272"/>
      <c r="J288" s="272"/>
      <c r="K288" s="229"/>
      <c r="L288" s="73">
        <f ca="1">IFERROR(__xludf.DUMMYFUNCTION("IMPORTRANGE(""https://docs.google.com/spreadsheets/d/1-uDff_7J0KD5mKrp0Vvzr7lt3OU09vwQwhkpOPPYv2Y/edit?usp=sharing"",""งบพรบ!DO59"")"),0)</f>
        <v>0</v>
      </c>
      <c r="M288" s="74">
        <f ca="1">IFERROR(__xludf.DUMMYFUNCTION("IMPORTRANGE(""https://docs.google.com/spreadsheets/d/1-uDff_7J0KD5mKrp0Vvzr7lt3OU09vwQwhkpOPPYv2Y/edit?usp=sharing"",""งบพรบ!DT59"")"),0)</f>
        <v>0</v>
      </c>
      <c r="N288" s="74">
        <f ca="1">IFERROR(__xludf.DUMMYFUNCTION("IMPORTRANGE(""https://docs.google.com/spreadsheets/d/1-uDff_7J0KD5mKrp0Vvzr7lt3OU09vwQwhkpOPPYv2Y/edit?usp=sharing"",""งบพรบ!DV59"")"),0)</f>
        <v>0</v>
      </c>
      <c r="O288" s="74">
        <f t="shared" ca="1" si="177"/>
        <v>0</v>
      </c>
      <c r="P288" s="74">
        <f t="shared" ca="1" si="178"/>
        <v>0</v>
      </c>
      <c r="Q288" s="74">
        <v>0</v>
      </c>
      <c r="R288" s="74">
        <v>0</v>
      </c>
      <c r="S288" s="74">
        <v>0</v>
      </c>
      <c r="T288" s="77">
        <f t="shared" si="180"/>
        <v>0</v>
      </c>
      <c r="U288" s="77">
        <f t="shared" si="181"/>
        <v>0</v>
      </c>
    </row>
    <row r="289" spans="1:21" ht="18.75" hidden="1" x14ac:dyDescent="0.25">
      <c r="A289" s="257"/>
      <c r="B289" s="269"/>
      <c r="C289" s="269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3">
        <f t="shared" ref="L289:N289" ca="1" si="186">L290+L291</f>
        <v>0</v>
      </c>
      <c r="M289" s="74">
        <f t="shared" ca="1" si="186"/>
        <v>0</v>
      </c>
      <c r="N289" s="74">
        <f t="shared" ca="1" si="186"/>
        <v>0</v>
      </c>
      <c r="O289" s="74">
        <f t="shared" ca="1" si="177"/>
        <v>0</v>
      </c>
      <c r="P289" s="74">
        <f t="shared" ca="1" si="178"/>
        <v>0</v>
      </c>
      <c r="Q289" s="74">
        <f t="shared" ref="Q289:S289" si="187">Q290+Q291</f>
        <v>0</v>
      </c>
      <c r="R289" s="74">
        <f t="shared" si="187"/>
        <v>0</v>
      </c>
      <c r="S289" s="74">
        <f t="shared" si="187"/>
        <v>0</v>
      </c>
      <c r="T289" s="74">
        <f t="shared" si="180"/>
        <v>0</v>
      </c>
      <c r="U289" s="74">
        <f t="shared" si="181"/>
        <v>0</v>
      </c>
    </row>
    <row r="290" spans="1:21" ht="18.75" hidden="1" x14ac:dyDescent="0.25">
      <c r="A290" s="257"/>
      <c r="B290" s="269"/>
      <c r="C290" s="269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77">
        <f t="shared" si="177"/>
        <v>0</v>
      </c>
      <c r="P290" s="77">
        <f t="shared" si="178"/>
        <v>0</v>
      </c>
      <c r="Q290" s="77">
        <v>0</v>
      </c>
      <c r="R290" s="77">
        <v>0</v>
      </c>
      <c r="S290" s="77">
        <v>0</v>
      </c>
      <c r="T290" s="77">
        <f t="shared" si="180"/>
        <v>0</v>
      </c>
      <c r="U290" s="77">
        <f t="shared" si="181"/>
        <v>0</v>
      </c>
    </row>
    <row r="291" spans="1:21" ht="18.75" hidden="1" x14ac:dyDescent="0.25">
      <c r="A291" s="257"/>
      <c r="B291" s="269"/>
      <c r="C291" s="269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3">
        <f ca="1">IFERROR(__xludf.DUMMYFUNCTION("IMPORTRANGE(""https://docs.google.com/spreadsheets/d/1-uDff_7J0KD5mKrp0Vvzr7lt3OU09vwQwhkpOPPYv2Y/edit?usp=sharing"",""งบพรบ!DR59"")"),0)</f>
        <v>0</v>
      </c>
      <c r="M291" s="74">
        <f ca="1">IFERROR(__xludf.DUMMYFUNCTION("IMPORTRANGE(""https://docs.google.com/spreadsheets/d/1-uDff_7J0KD5mKrp0Vvzr7lt3OU09vwQwhkpOPPYv2Y/edit?usp=sharing"",""งบพรบ!DU59"")"),0)</f>
        <v>0</v>
      </c>
      <c r="N291" s="74">
        <f ca="1">IFERROR(__xludf.DUMMYFUNCTION("IMPORTRANGE(""https://docs.google.com/spreadsheets/d/1-uDff_7J0KD5mKrp0Vvzr7lt3OU09vwQwhkpOPPYv2Y/edit?usp=sharing"",""งบพรบ!DW59"")"),0)</f>
        <v>0</v>
      </c>
      <c r="O291" s="74">
        <f t="shared" ca="1" si="177"/>
        <v>0</v>
      </c>
      <c r="P291" s="74">
        <f t="shared" ca="1" si="178"/>
        <v>0</v>
      </c>
      <c r="Q291" s="74">
        <v>0</v>
      </c>
      <c r="R291" s="74">
        <v>0</v>
      </c>
      <c r="S291" s="74">
        <v>0</v>
      </c>
      <c r="T291" s="74">
        <f t="shared" si="180"/>
        <v>0</v>
      </c>
      <c r="U291" s="74">
        <f t="shared" si="181"/>
        <v>0</v>
      </c>
    </row>
    <row r="292" spans="1:21" ht="19.5" hidden="1" x14ac:dyDescent="0.3">
      <c r="A292" s="276"/>
      <c r="B292" s="277"/>
      <c r="C292" s="621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IFERROR(__xludf.DUMMYFUNCTION("IMPORTRANGE(""https://docs.google.com/spreadsheets/d/1eHaY18a8A9IcSdp1K8H6x8fbOy06t2VsZHhMHf-1x7Y/edit?usp=sharing"",""แผน!EE59"")"),0)</f>
        <v>0</v>
      </c>
      <c r="J293" s="294">
        <v>0</v>
      </c>
      <c r="K293" s="768">
        <f t="shared" ref="K293:K294" ca="1" si="188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IFERROR(__xludf.DUMMYFUNCTION("IMPORTRANGE(""https://docs.google.com/spreadsheets/d/1eHaY18a8A9IcSdp1K8H6x8fbOy06t2VsZHhMHf-1x7Y/edit?usp=sharing"",""แผน!ED59"")"),0)</f>
        <v>0</v>
      </c>
      <c r="J294" s="622">
        <f>J297</f>
        <v>0</v>
      </c>
      <c r="K294" s="1105">
        <f t="shared" ca="1" si="188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77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IFERROR(__xludf.DUMMYFUNCTION("IMPORTRANGE(""https://docs.google.com/spreadsheets/d/1eHaY18a8A9IcSdp1K8H6x8fbOy06t2VsZHhMHf-1x7Y/edit?usp=sharing"",""แผน!ED59"")"),0)</f>
        <v>0</v>
      </c>
      <c r="J296" s="294">
        <v>0</v>
      </c>
      <c r="K296" s="768">
        <f t="shared" ref="K296:K297" ca="1" si="189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IFERROR(__xludf.DUMMYFUNCTION("IMPORTRANGE(""https://docs.google.com/spreadsheets/d/1eHaY18a8A9IcSdp1K8H6x8fbOy06t2VsZHhMHf-1x7Y/edit?usp=sharing"",""แผน!ED59"")"),0)</f>
        <v>0</v>
      </c>
      <c r="J297" s="294">
        <v>0</v>
      </c>
      <c r="K297" s="768">
        <f t="shared" ca="1" si="189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313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313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168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0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7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x14ac:dyDescent="0.3">
      <c r="A303" s="1179"/>
      <c r="B303" s="1180" t="s">
        <v>127</v>
      </c>
      <c r="C303" s="607"/>
      <c r="D303" s="607"/>
      <c r="E303" s="607"/>
      <c r="F303" s="607"/>
      <c r="G303" s="608"/>
      <c r="H303" s="609" t="s">
        <v>35</v>
      </c>
      <c r="I303" s="617">
        <f t="shared" ref="I303:J303" ca="1" si="190">I315</f>
        <v>15</v>
      </c>
      <c r="J303" s="617">
        <f t="shared" si="190"/>
        <v>0</v>
      </c>
      <c r="K303" s="611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1257">
        <f t="shared" ref="L304:N304" ca="1" si="191">L305+L306</f>
        <v>166000</v>
      </c>
      <c r="M304" s="264">
        <f t="shared" ca="1" si="191"/>
        <v>166000</v>
      </c>
      <c r="N304" s="264">
        <f t="shared" ca="1" si="191"/>
        <v>85155</v>
      </c>
      <c r="O304" s="264">
        <f t="shared" ref="O304:O312" ca="1" si="192">IF(L304&gt;0,N304*100/L304,0)</f>
        <v>51.298192771084338</v>
      </c>
      <c r="P304" s="264">
        <f t="shared" ref="P304:P312" ca="1" si="193">IF(M304&gt;0,N304*100/M304,0)</f>
        <v>51.298192771084338</v>
      </c>
      <c r="Q304" s="264">
        <f t="shared" ref="Q304:S304" ca="1" si="194">Q305+Q306</f>
        <v>123161.24</v>
      </c>
      <c r="R304" s="264">
        <f t="shared" ca="1" si="194"/>
        <v>123161</v>
      </c>
      <c r="S304" s="264">
        <f t="shared" ca="1" si="194"/>
        <v>0</v>
      </c>
      <c r="T304" s="264">
        <f t="shared" ref="T304:T312" ca="1" si="195">IF(Q304&gt;0,S304*100/Q304,0)</f>
        <v>0</v>
      </c>
      <c r="U304" s="264">
        <f t="shared" ref="U304:U312" ca="1" si="196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6">
        <f t="shared" ref="L305:N306" si="197">L308+L311</f>
        <v>0</v>
      </c>
      <c r="M305" s="77">
        <f t="shared" si="197"/>
        <v>0</v>
      </c>
      <c r="N305" s="77">
        <f t="shared" si="197"/>
        <v>0</v>
      </c>
      <c r="O305" s="77">
        <f t="shared" si="192"/>
        <v>0</v>
      </c>
      <c r="P305" s="77">
        <f t="shared" si="193"/>
        <v>0</v>
      </c>
      <c r="Q305" s="77">
        <f t="shared" ref="Q305:S306" si="198">Q308+Q311</f>
        <v>0</v>
      </c>
      <c r="R305" s="77">
        <f t="shared" si="198"/>
        <v>0</v>
      </c>
      <c r="S305" s="77">
        <f t="shared" si="198"/>
        <v>0</v>
      </c>
      <c r="T305" s="77">
        <f t="shared" si="195"/>
        <v>0</v>
      </c>
      <c r="U305" s="77">
        <f t="shared" si="196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3">
        <f t="shared" ca="1" si="197"/>
        <v>166000</v>
      </c>
      <c r="M306" s="74">
        <f t="shared" ca="1" si="197"/>
        <v>166000</v>
      </c>
      <c r="N306" s="74">
        <f t="shared" ca="1" si="197"/>
        <v>85155</v>
      </c>
      <c r="O306" s="74">
        <f t="shared" ca="1" si="192"/>
        <v>51.298192771084338</v>
      </c>
      <c r="P306" s="74">
        <f t="shared" ca="1" si="193"/>
        <v>51.298192771084338</v>
      </c>
      <c r="Q306" s="74">
        <f t="shared" ca="1" si="198"/>
        <v>123161.24</v>
      </c>
      <c r="R306" s="74">
        <f t="shared" ca="1" si="198"/>
        <v>123161</v>
      </c>
      <c r="S306" s="74">
        <f t="shared" ca="1" si="198"/>
        <v>0</v>
      </c>
      <c r="T306" s="74">
        <f t="shared" ca="1" si="195"/>
        <v>0</v>
      </c>
      <c r="U306" s="74">
        <f t="shared" ca="1" si="196"/>
        <v>0</v>
      </c>
    </row>
    <row r="307" spans="1:21" ht="18.75" x14ac:dyDescent="0.25">
      <c r="A307" s="257"/>
      <c r="B307" s="269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3">
        <f t="shared" ref="L307:N307" ca="1" si="199">L308+L309</f>
        <v>166000</v>
      </c>
      <c r="M307" s="74">
        <f t="shared" ca="1" si="199"/>
        <v>166000</v>
      </c>
      <c r="N307" s="74">
        <f t="shared" ca="1" si="199"/>
        <v>85155</v>
      </c>
      <c r="O307" s="74">
        <f t="shared" ca="1" si="192"/>
        <v>51.298192771084338</v>
      </c>
      <c r="P307" s="74">
        <f t="shared" ca="1" si="193"/>
        <v>51.298192771084338</v>
      </c>
      <c r="Q307" s="74">
        <f t="shared" ref="Q307:S307" ca="1" si="200">Q308+Q309</f>
        <v>123161.24</v>
      </c>
      <c r="R307" s="74">
        <f t="shared" ca="1" si="200"/>
        <v>123161</v>
      </c>
      <c r="S307" s="74">
        <f t="shared" ca="1" si="200"/>
        <v>0</v>
      </c>
      <c r="T307" s="74">
        <f t="shared" ca="1" si="195"/>
        <v>0</v>
      </c>
      <c r="U307" s="74">
        <f t="shared" ca="1" si="196"/>
        <v>0</v>
      </c>
    </row>
    <row r="308" spans="1:21" ht="18.75" hidden="1" x14ac:dyDescent="0.25">
      <c r="A308" s="257"/>
      <c r="B308" s="269"/>
      <c r="C308" s="269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77">
        <f t="shared" si="192"/>
        <v>0</v>
      </c>
      <c r="P308" s="77">
        <f t="shared" si="193"/>
        <v>0</v>
      </c>
      <c r="Q308" s="77">
        <v>0</v>
      </c>
      <c r="R308" s="77">
        <v>0</v>
      </c>
      <c r="S308" s="77">
        <v>0</v>
      </c>
      <c r="T308" s="77">
        <f t="shared" si="195"/>
        <v>0</v>
      </c>
      <c r="U308" s="77">
        <f t="shared" si="196"/>
        <v>0</v>
      </c>
    </row>
    <row r="309" spans="1:21" ht="18.75" hidden="1" x14ac:dyDescent="0.25">
      <c r="A309" s="257"/>
      <c r="B309" s="269"/>
      <c r="C309" s="269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3">
        <f ca="1">IFERROR(__xludf.DUMMYFUNCTION("IMPORTRANGE(""https://docs.google.com/spreadsheets/d/1-uDff_7J0KD5mKrp0Vvzr7lt3OU09vwQwhkpOPPYv2Y/edit?usp=sharing"",""งบพรบ!DY59"")"),166000)</f>
        <v>166000</v>
      </c>
      <c r="M309" s="74">
        <f ca="1">IFERROR(__xludf.DUMMYFUNCTION("IMPORTRANGE(""https://docs.google.com/spreadsheets/d/1-uDff_7J0KD5mKrp0Vvzr7lt3OU09vwQwhkpOPPYv2Y/edit?usp=sharing"",""งบพรบ!ED59"")"),166000)</f>
        <v>166000</v>
      </c>
      <c r="N309" s="74">
        <f ca="1">IFERROR(__xludf.DUMMYFUNCTION("IMPORTRANGE(""https://docs.google.com/spreadsheets/d/1-uDff_7J0KD5mKrp0Vvzr7lt3OU09vwQwhkpOPPYv2Y/edit?usp=sharing"",""งบพรบ!EF59"")"),85155)</f>
        <v>85155</v>
      </c>
      <c r="O309" s="74">
        <f t="shared" ca="1" si="192"/>
        <v>51.298192771084338</v>
      </c>
      <c r="P309" s="74">
        <f t="shared" ca="1" si="193"/>
        <v>51.298192771084338</v>
      </c>
      <c r="Q309" s="74">
        <f ca="1">IFERROR(__xludf.DUMMYFUNCTION("IMPORTRANGE(""https://docs.google.com/spreadsheets/d/1ItG2mGa2ceCfYo0BwxsXqNm01IGEUdYcSSLTEv9YCik/edit?usp=sharing"",""เบิกจ่ายกองทุน!AP59"")"),123161.24)</f>
        <v>123161.24</v>
      </c>
      <c r="R309" s="74">
        <f ca="1">IFERROR(__xludf.DUMMYFUNCTION("IMPORTRANGE(""https://docs.google.com/spreadsheets/d/1ItG2mGa2ceCfYo0BwxsXqNm01IGEUdYcSSLTEv9YCik/edit?usp=sharing"",""เบิกจ่ายกองทุน!AQ59"")"),123161)</f>
        <v>123161</v>
      </c>
      <c r="S309" s="74">
        <f ca="1">IFERROR(__xludf.DUMMYFUNCTION("IMPORTRANGE(""https://docs.google.com/spreadsheets/d/1ItG2mGa2ceCfYo0BwxsXqNm01IGEUdYcSSLTEv9YCik/edit?usp=sharing"",""เบิกจ่ายกองทุน!AR59"")"),0)</f>
        <v>0</v>
      </c>
      <c r="T309" s="74">
        <f t="shared" ca="1" si="195"/>
        <v>0</v>
      </c>
      <c r="U309" s="74">
        <f t="shared" ca="1" si="196"/>
        <v>0</v>
      </c>
    </row>
    <row r="310" spans="1:21" ht="18.75" x14ac:dyDescent="0.25">
      <c r="A310" s="257"/>
      <c r="B310" s="269"/>
      <c r="C310" s="269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3">
        <f t="shared" ref="L310:N310" ca="1" si="201">L311+L312</f>
        <v>0</v>
      </c>
      <c r="M310" s="74">
        <f t="shared" ca="1" si="201"/>
        <v>0</v>
      </c>
      <c r="N310" s="74">
        <f t="shared" ca="1" si="201"/>
        <v>0</v>
      </c>
      <c r="O310" s="74">
        <f t="shared" ca="1" si="192"/>
        <v>0</v>
      </c>
      <c r="P310" s="74">
        <f t="shared" ca="1" si="193"/>
        <v>0</v>
      </c>
      <c r="Q310" s="74">
        <f t="shared" ref="Q310:S310" si="202">Q311+Q312</f>
        <v>0</v>
      </c>
      <c r="R310" s="74">
        <f t="shared" si="202"/>
        <v>0</v>
      </c>
      <c r="S310" s="74">
        <f t="shared" si="202"/>
        <v>0</v>
      </c>
      <c r="T310" s="74">
        <f t="shared" si="195"/>
        <v>0</v>
      </c>
      <c r="U310" s="74">
        <f t="shared" si="196"/>
        <v>0</v>
      </c>
    </row>
    <row r="311" spans="1:21" ht="18.75" hidden="1" x14ac:dyDescent="0.25">
      <c r="A311" s="257"/>
      <c r="B311" s="269"/>
      <c r="C311" s="269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77">
        <f t="shared" si="192"/>
        <v>0</v>
      </c>
      <c r="P311" s="77">
        <f t="shared" si="193"/>
        <v>0</v>
      </c>
      <c r="Q311" s="77">
        <v>0</v>
      </c>
      <c r="R311" s="77">
        <v>0</v>
      </c>
      <c r="S311" s="77">
        <v>0</v>
      </c>
      <c r="T311" s="77">
        <f t="shared" si="195"/>
        <v>0</v>
      </c>
      <c r="U311" s="77">
        <f t="shared" si="196"/>
        <v>0</v>
      </c>
    </row>
    <row r="312" spans="1:21" ht="18.75" hidden="1" x14ac:dyDescent="0.25">
      <c r="A312" s="257"/>
      <c r="B312" s="269"/>
      <c r="C312" s="269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3">
        <f ca="1">IFERROR(__xludf.DUMMYFUNCTION("IMPORTRANGE(""https://docs.google.com/spreadsheets/d/1-uDff_7J0KD5mKrp0Vvzr7lt3OU09vwQwhkpOPPYv2Y/edit?usp=sharing"",""งบพรบ!EB59"")"),0)</f>
        <v>0</v>
      </c>
      <c r="M312" s="74">
        <f ca="1">IFERROR(__xludf.DUMMYFUNCTION("IMPORTRANGE(""https://docs.google.com/spreadsheets/d/1-uDff_7J0KD5mKrp0Vvzr7lt3OU09vwQwhkpOPPYv2Y/edit?usp=sharing"",""งบพรบ!EE59"")"),0)</f>
        <v>0</v>
      </c>
      <c r="N312" s="74">
        <f ca="1">IFERROR(__xludf.DUMMYFUNCTION("IMPORTRANGE(""https://docs.google.com/spreadsheets/d/1-uDff_7J0KD5mKrp0Vvzr7lt3OU09vwQwhkpOPPYv2Y/edit?usp=sharing"",""งบพรบ!EG59"")"),0)</f>
        <v>0</v>
      </c>
      <c r="O312" s="74">
        <f t="shared" ca="1" si="192"/>
        <v>0</v>
      </c>
      <c r="P312" s="74">
        <f t="shared" ca="1" si="193"/>
        <v>0</v>
      </c>
      <c r="Q312" s="74">
        <v>0</v>
      </c>
      <c r="R312" s="74">
        <v>0</v>
      </c>
      <c r="S312" s="74">
        <v>0</v>
      </c>
      <c r="T312" s="74">
        <f t="shared" si="195"/>
        <v>0</v>
      </c>
      <c r="U312" s="74">
        <f t="shared" si="196"/>
        <v>0</v>
      </c>
    </row>
    <row r="313" spans="1:21" ht="19.5" x14ac:dyDescent="0.3">
      <c r="A313" s="276"/>
      <c r="B313" s="277"/>
      <c r="C313" s="621" t="s">
        <v>18</v>
      </c>
      <c r="D313" s="1019" t="s">
        <v>38</v>
      </c>
      <c r="E313" s="783"/>
      <c r="F313" s="783"/>
      <c r="G313" s="11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1"/>
      <c r="E314" s="285"/>
      <c r="F314" s="285"/>
      <c r="G314" s="286"/>
      <c r="H314" s="286"/>
      <c r="I314" s="287"/>
      <c r="J314" s="1252"/>
      <c r="K314" s="30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x14ac:dyDescent="0.25">
      <c r="A315" s="276"/>
      <c r="B315" s="277"/>
      <c r="C315" s="277"/>
      <c r="D315" s="295" t="s">
        <v>121</v>
      </c>
      <c r="E315" s="296"/>
      <c r="F315" s="296"/>
      <c r="G315" s="282"/>
      <c r="H315" s="275" t="s">
        <v>35</v>
      </c>
      <c r="I315" s="293">
        <f ca="1">IFERROR(__xludf.DUMMYFUNCTION("IMPORTRANGE(""https://docs.google.com/spreadsheets/d/1eHaY18a8A9IcSdp1K8H6x8fbOy06t2VsZHhMHf-1x7Y/edit?usp=sharing"",""แผน!EF59"")"),15)</f>
        <v>15</v>
      </c>
      <c r="J315" s="294">
        <v>0</v>
      </c>
      <c r="K315" s="74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254"/>
      <c r="I316" s="1252"/>
      <c r="J316" s="1252"/>
      <c r="K316" s="1255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254"/>
      <c r="I317" s="1252"/>
      <c r="J317" s="1252"/>
      <c r="K317" s="1255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283"/>
      <c r="B318" s="284"/>
      <c r="C318" s="284"/>
      <c r="D318" s="812"/>
      <c r="E318" s="285"/>
      <c r="F318" s="285"/>
      <c r="G318" s="286"/>
      <c r="H318" s="1256"/>
      <c r="I318" s="887"/>
      <c r="J318" s="887"/>
      <c r="K318" s="888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4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609" t="s">
        <v>133</v>
      </c>
      <c r="I320" s="617">
        <f t="shared" ref="I320:J320" ca="1" si="203">I331</f>
        <v>0</v>
      </c>
      <c r="J320" s="617">
        <f t="shared" si="203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1257">
        <f t="shared" ref="L321:N321" ca="1" si="204">L322+L323</f>
        <v>0</v>
      </c>
      <c r="M321" s="264">
        <f t="shared" ca="1" si="204"/>
        <v>0</v>
      </c>
      <c r="N321" s="264">
        <f t="shared" ca="1" si="204"/>
        <v>0</v>
      </c>
      <c r="O321" s="264">
        <f t="shared" ref="O321:O329" ca="1" si="205">IF(L321&gt;0,N321*100/L321,0)</f>
        <v>0</v>
      </c>
      <c r="P321" s="264">
        <f t="shared" ref="P321:P329" ca="1" si="206">IF(M321&gt;0,N321*100/M321,0)</f>
        <v>0</v>
      </c>
      <c r="Q321" s="264">
        <f t="shared" ref="Q321:S321" si="207">Q322+Q323</f>
        <v>0</v>
      </c>
      <c r="R321" s="264">
        <f t="shared" si="207"/>
        <v>0</v>
      </c>
      <c r="S321" s="264">
        <f t="shared" si="207"/>
        <v>0</v>
      </c>
      <c r="T321" s="264">
        <f t="shared" ref="T321:T329" si="208">IF(Q321&gt;0,S321*100/Q321,0)</f>
        <v>0</v>
      </c>
      <c r="U321" s="264">
        <f t="shared" ref="U321:U329" si="209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6">
        <f t="shared" ref="L322:N323" si="210">L325+L328</f>
        <v>0</v>
      </c>
      <c r="M322" s="77">
        <f t="shared" si="210"/>
        <v>0</v>
      </c>
      <c r="N322" s="77">
        <f t="shared" si="210"/>
        <v>0</v>
      </c>
      <c r="O322" s="77">
        <f t="shared" si="205"/>
        <v>0</v>
      </c>
      <c r="P322" s="77">
        <f t="shared" si="206"/>
        <v>0</v>
      </c>
      <c r="Q322" s="77">
        <f t="shared" ref="Q322:S323" si="211">Q325+Q328</f>
        <v>0</v>
      </c>
      <c r="R322" s="77">
        <f t="shared" si="211"/>
        <v>0</v>
      </c>
      <c r="S322" s="77">
        <f t="shared" si="211"/>
        <v>0</v>
      </c>
      <c r="T322" s="77">
        <f t="shared" si="208"/>
        <v>0</v>
      </c>
      <c r="U322" s="77">
        <f t="shared" si="209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3">
        <f t="shared" ca="1" si="210"/>
        <v>0</v>
      </c>
      <c r="M323" s="74">
        <f t="shared" ca="1" si="210"/>
        <v>0</v>
      </c>
      <c r="N323" s="74">
        <f t="shared" ca="1" si="210"/>
        <v>0</v>
      </c>
      <c r="O323" s="74">
        <f t="shared" ca="1" si="205"/>
        <v>0</v>
      </c>
      <c r="P323" s="74">
        <f t="shared" ca="1" si="206"/>
        <v>0</v>
      </c>
      <c r="Q323" s="74">
        <f t="shared" si="211"/>
        <v>0</v>
      </c>
      <c r="R323" s="74">
        <f t="shared" si="211"/>
        <v>0</v>
      </c>
      <c r="S323" s="74">
        <f t="shared" si="211"/>
        <v>0</v>
      </c>
      <c r="T323" s="74">
        <f t="shared" si="208"/>
        <v>0</v>
      </c>
      <c r="U323" s="74">
        <f t="shared" si="209"/>
        <v>0</v>
      </c>
    </row>
    <row r="324" spans="1:21" ht="18.75" hidden="1" x14ac:dyDescent="0.25">
      <c r="A324" s="257"/>
      <c r="B324" s="269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3">
        <f t="shared" ref="L324:N324" ca="1" si="212">L325+L326</f>
        <v>0</v>
      </c>
      <c r="M324" s="74">
        <f t="shared" ca="1" si="212"/>
        <v>0</v>
      </c>
      <c r="N324" s="74">
        <f t="shared" ca="1" si="212"/>
        <v>0</v>
      </c>
      <c r="O324" s="74">
        <f t="shared" ca="1" si="205"/>
        <v>0</v>
      </c>
      <c r="P324" s="74">
        <f t="shared" ca="1" si="206"/>
        <v>0</v>
      </c>
      <c r="Q324" s="74">
        <f t="shared" ref="Q324:S324" si="213">Q325+Q326</f>
        <v>0</v>
      </c>
      <c r="R324" s="74">
        <f t="shared" si="213"/>
        <v>0</v>
      </c>
      <c r="S324" s="74">
        <f t="shared" si="213"/>
        <v>0</v>
      </c>
      <c r="T324" s="74">
        <f t="shared" si="208"/>
        <v>0</v>
      </c>
      <c r="U324" s="74">
        <f t="shared" si="209"/>
        <v>0</v>
      </c>
    </row>
    <row r="325" spans="1:21" ht="18.75" hidden="1" x14ac:dyDescent="0.25">
      <c r="A325" s="257"/>
      <c r="B325" s="269"/>
      <c r="C325" s="269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77">
        <f t="shared" si="205"/>
        <v>0</v>
      </c>
      <c r="P325" s="77">
        <f t="shared" si="206"/>
        <v>0</v>
      </c>
      <c r="Q325" s="77">
        <v>0</v>
      </c>
      <c r="R325" s="77">
        <v>0</v>
      </c>
      <c r="S325" s="77">
        <v>0</v>
      </c>
      <c r="T325" s="77">
        <f t="shared" si="208"/>
        <v>0</v>
      </c>
      <c r="U325" s="77">
        <f t="shared" si="209"/>
        <v>0</v>
      </c>
    </row>
    <row r="326" spans="1:21" ht="18.75" hidden="1" x14ac:dyDescent="0.25">
      <c r="A326" s="257"/>
      <c r="B326" s="269"/>
      <c r="C326" s="269"/>
      <c r="D326" s="258"/>
      <c r="E326" s="749" t="s">
        <v>37</v>
      </c>
      <c r="F326" s="269"/>
      <c r="G326" s="312"/>
      <c r="H326" s="271" t="s">
        <v>14</v>
      </c>
      <c r="I326" s="272"/>
      <c r="J326" s="272"/>
      <c r="K326" s="229"/>
      <c r="L326" s="73">
        <f ca="1">IFERROR(__xludf.DUMMYFUNCTION("IMPORTRANGE(""https://docs.google.com/spreadsheets/d/1-uDff_7J0KD5mKrp0Vvzr7lt3OU09vwQwhkpOPPYv2Y/edit?usp=sharing"",""งบพรบ!EI59"")"),0)</f>
        <v>0</v>
      </c>
      <c r="M326" s="74">
        <f ca="1">IFERROR(__xludf.DUMMYFUNCTION("IMPORTRANGE(""https://docs.google.com/spreadsheets/d/1-uDff_7J0KD5mKrp0Vvzr7lt3OU09vwQwhkpOPPYv2Y/edit?usp=sharing"",""งบพรบ!EN59"")"),0)</f>
        <v>0</v>
      </c>
      <c r="N326" s="74">
        <f ca="1">IFERROR(__xludf.DUMMYFUNCTION("IMPORTRANGE(""https://docs.google.com/spreadsheets/d/1-uDff_7J0KD5mKrp0Vvzr7lt3OU09vwQwhkpOPPYv2Y/edit?usp=sharing"",""งบพรบ!EP59"")"),0)</f>
        <v>0</v>
      </c>
      <c r="O326" s="74">
        <f t="shared" ca="1" si="205"/>
        <v>0</v>
      </c>
      <c r="P326" s="74">
        <f t="shared" ca="1" si="206"/>
        <v>0</v>
      </c>
      <c r="Q326" s="74">
        <v>0</v>
      </c>
      <c r="R326" s="74">
        <v>0</v>
      </c>
      <c r="S326" s="74">
        <v>0</v>
      </c>
      <c r="T326" s="74">
        <f t="shared" si="208"/>
        <v>0</v>
      </c>
      <c r="U326" s="74">
        <f t="shared" si="209"/>
        <v>0</v>
      </c>
    </row>
    <row r="327" spans="1:21" ht="18.75" hidden="1" x14ac:dyDescent="0.25">
      <c r="A327" s="257"/>
      <c r="B327" s="258"/>
      <c r="C327" s="269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3">
        <f t="shared" ref="L327:N327" ca="1" si="214">L328+L329</f>
        <v>0</v>
      </c>
      <c r="M327" s="74">
        <f t="shared" ca="1" si="214"/>
        <v>0</v>
      </c>
      <c r="N327" s="74">
        <f t="shared" ca="1" si="214"/>
        <v>0</v>
      </c>
      <c r="O327" s="74">
        <f t="shared" ca="1" si="205"/>
        <v>0</v>
      </c>
      <c r="P327" s="74">
        <f t="shared" ca="1" si="206"/>
        <v>0</v>
      </c>
      <c r="Q327" s="74">
        <f t="shared" ref="Q327:S327" si="215">Q328+Q329</f>
        <v>0</v>
      </c>
      <c r="R327" s="74">
        <f t="shared" si="215"/>
        <v>0</v>
      </c>
      <c r="S327" s="74">
        <f t="shared" si="215"/>
        <v>0</v>
      </c>
      <c r="T327" s="74">
        <f t="shared" si="208"/>
        <v>0</v>
      </c>
      <c r="U327" s="74">
        <f t="shared" si="209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77">
        <f t="shared" si="205"/>
        <v>0</v>
      </c>
      <c r="P328" s="77">
        <f t="shared" si="206"/>
        <v>0</v>
      </c>
      <c r="Q328" s="77">
        <v>0</v>
      </c>
      <c r="R328" s="77">
        <v>0</v>
      </c>
      <c r="S328" s="77">
        <v>0</v>
      </c>
      <c r="T328" s="77">
        <f t="shared" si="208"/>
        <v>0</v>
      </c>
      <c r="U328" s="77">
        <f t="shared" si="209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3">
        <f ca="1">IFERROR(__xludf.DUMMYFUNCTION("IMPORTRANGE(""https://docs.google.com/spreadsheets/d/1-uDff_7J0KD5mKrp0Vvzr7lt3OU09vwQwhkpOPPYv2Y/edit?usp=sharing"",""งบพรบ!EL59"")"),0)</f>
        <v>0</v>
      </c>
      <c r="M329" s="74">
        <f ca="1">IFERROR(__xludf.DUMMYFUNCTION("IMPORTRANGE(""https://docs.google.com/spreadsheets/d/1-uDff_7J0KD5mKrp0Vvzr7lt3OU09vwQwhkpOPPYv2Y/edit?usp=sharing"",""งบพรบ!EO59"")"),0)</f>
        <v>0</v>
      </c>
      <c r="N329" s="74">
        <f ca="1">IFERROR(__xludf.DUMMYFUNCTION("IMPORTRANGE(""https://docs.google.com/spreadsheets/d/1-uDff_7J0KD5mKrp0Vvzr7lt3OU09vwQwhkpOPPYv2Y/edit?usp=sharing"",""งบพรบ!EQ59"")"),0)</f>
        <v>0</v>
      </c>
      <c r="O329" s="74">
        <f t="shared" ca="1" si="205"/>
        <v>0</v>
      </c>
      <c r="P329" s="74">
        <f t="shared" ca="1" si="206"/>
        <v>0</v>
      </c>
      <c r="Q329" s="74">
        <v>0</v>
      </c>
      <c r="R329" s="74">
        <v>0</v>
      </c>
      <c r="S329" s="74">
        <v>0</v>
      </c>
      <c r="T329" s="74">
        <f t="shared" si="208"/>
        <v>0</v>
      </c>
      <c r="U329" s="74">
        <f t="shared" si="209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310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68" t="s">
        <v>133</v>
      </c>
      <c r="I331" s="293">
        <f ca="1">IFERROR(__xludf.DUMMYFUNCTION("IMPORTRANGE(""https://docs.google.com/spreadsheets/d/1eHaY18a8A9IcSdp1K8H6x8fbOy06t2VsZHhMHf-1x7Y/edit?usp=sharing"",""แผน!EJ59"")"),0)</f>
        <v>0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4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609" t="s">
        <v>35</v>
      </c>
      <c r="I333" s="534">
        <f ca="1">I345</f>
        <v>400</v>
      </c>
      <c r="J333" s="535">
        <f ca="1">J345+J348+J349+J350+J354</f>
        <v>148</v>
      </c>
      <c r="K333" s="536">
        <f ca="1">IF(I333&gt;0,J333*100/I333,0)</f>
        <v>37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1257">
        <f t="shared" ref="L334:N334" ca="1" si="216">L335+L336</f>
        <v>365000</v>
      </c>
      <c r="M334" s="264">
        <f t="shared" ca="1" si="216"/>
        <v>370000</v>
      </c>
      <c r="N334" s="264">
        <f t="shared" ca="1" si="216"/>
        <v>164000</v>
      </c>
      <c r="O334" s="264">
        <f t="shared" ref="O334:O342" ca="1" si="217">IF(L334&gt;0,N334*100/L334,0)</f>
        <v>44.93150684931507</v>
      </c>
      <c r="P334" s="264">
        <f t="shared" ref="P334:P342" ca="1" si="218">IF(M334&gt;0,N334*100/M334,0)</f>
        <v>44.324324324324323</v>
      </c>
      <c r="Q334" s="264">
        <f t="shared" ref="Q334:S334" si="219">Q335+Q336</f>
        <v>0</v>
      </c>
      <c r="R334" s="264">
        <f t="shared" si="219"/>
        <v>0</v>
      </c>
      <c r="S334" s="264">
        <f t="shared" si="219"/>
        <v>0</v>
      </c>
      <c r="T334" s="264">
        <f t="shared" ref="T334:T342" si="220">IF(Q334&gt;0,S334*100/Q334,0)</f>
        <v>0</v>
      </c>
      <c r="U334" s="264">
        <f t="shared" ref="U334:U342" si="221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6">
        <f t="shared" ref="L335:N336" si="222">L338+L341</f>
        <v>0</v>
      </c>
      <c r="M335" s="77">
        <f t="shared" si="222"/>
        <v>0</v>
      </c>
      <c r="N335" s="77">
        <f t="shared" si="222"/>
        <v>0</v>
      </c>
      <c r="O335" s="77">
        <f t="shared" si="217"/>
        <v>0</v>
      </c>
      <c r="P335" s="77">
        <f t="shared" si="218"/>
        <v>0</v>
      </c>
      <c r="Q335" s="77">
        <f t="shared" ref="Q335:S336" si="223">Q338+Q341</f>
        <v>0</v>
      </c>
      <c r="R335" s="77">
        <f t="shared" si="223"/>
        <v>0</v>
      </c>
      <c r="S335" s="77">
        <f t="shared" si="223"/>
        <v>0</v>
      </c>
      <c r="T335" s="77">
        <f t="shared" si="220"/>
        <v>0</v>
      </c>
      <c r="U335" s="77">
        <f t="shared" si="221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3">
        <f t="shared" ca="1" si="222"/>
        <v>365000</v>
      </c>
      <c r="M336" s="74">
        <f t="shared" ca="1" si="222"/>
        <v>370000</v>
      </c>
      <c r="N336" s="74">
        <f t="shared" ca="1" si="222"/>
        <v>164000</v>
      </c>
      <c r="O336" s="74">
        <f t="shared" ca="1" si="217"/>
        <v>44.93150684931507</v>
      </c>
      <c r="P336" s="74">
        <f t="shared" ca="1" si="218"/>
        <v>44.324324324324323</v>
      </c>
      <c r="Q336" s="74">
        <f t="shared" si="223"/>
        <v>0</v>
      </c>
      <c r="R336" s="74">
        <f t="shared" si="223"/>
        <v>0</v>
      </c>
      <c r="S336" s="74">
        <f t="shared" si="223"/>
        <v>0</v>
      </c>
      <c r="T336" s="74">
        <f t="shared" si="220"/>
        <v>0</v>
      </c>
      <c r="U336" s="74">
        <f t="shared" si="221"/>
        <v>0</v>
      </c>
    </row>
    <row r="337" spans="1:21" ht="18.75" x14ac:dyDescent="0.25">
      <c r="A337" s="257"/>
      <c r="B337" s="269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3">
        <f t="shared" ref="L337:N337" ca="1" si="224">L338+L339</f>
        <v>365000</v>
      </c>
      <c r="M337" s="74">
        <f t="shared" ca="1" si="224"/>
        <v>370000</v>
      </c>
      <c r="N337" s="74">
        <f t="shared" ca="1" si="224"/>
        <v>164000</v>
      </c>
      <c r="O337" s="74">
        <f t="shared" ca="1" si="217"/>
        <v>44.93150684931507</v>
      </c>
      <c r="P337" s="74">
        <f t="shared" ca="1" si="218"/>
        <v>44.324324324324323</v>
      </c>
      <c r="Q337" s="74">
        <f t="shared" ref="Q337:S337" si="225">Q338+Q339</f>
        <v>0</v>
      </c>
      <c r="R337" s="74">
        <f t="shared" si="225"/>
        <v>0</v>
      </c>
      <c r="S337" s="74">
        <f t="shared" si="225"/>
        <v>0</v>
      </c>
      <c r="T337" s="74">
        <f t="shared" si="220"/>
        <v>0</v>
      </c>
      <c r="U337" s="74">
        <f t="shared" si="221"/>
        <v>0</v>
      </c>
    </row>
    <row r="338" spans="1:21" ht="18.75" hidden="1" x14ac:dyDescent="0.25">
      <c r="A338" s="257"/>
      <c r="B338" s="258"/>
      <c r="C338" s="269"/>
      <c r="D338" s="258"/>
      <c r="E338" s="77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77">
        <f t="shared" si="217"/>
        <v>0</v>
      </c>
      <c r="P338" s="77">
        <f t="shared" si="218"/>
        <v>0</v>
      </c>
      <c r="Q338" s="77">
        <v>0</v>
      </c>
      <c r="R338" s="77">
        <v>0</v>
      </c>
      <c r="S338" s="77">
        <v>0</v>
      </c>
      <c r="T338" s="77">
        <f t="shared" si="220"/>
        <v>0</v>
      </c>
      <c r="U338" s="77">
        <f t="shared" si="221"/>
        <v>0</v>
      </c>
    </row>
    <row r="339" spans="1:21" ht="18.75" hidden="1" x14ac:dyDescent="0.25">
      <c r="A339" s="257"/>
      <c r="B339" s="258"/>
      <c r="C339" s="269"/>
      <c r="D339" s="258"/>
      <c r="E339" s="749" t="s">
        <v>37</v>
      </c>
      <c r="F339" s="258"/>
      <c r="G339" s="261"/>
      <c r="H339" s="271" t="s">
        <v>14</v>
      </c>
      <c r="I339" s="272"/>
      <c r="J339" s="272"/>
      <c r="K339" s="229"/>
      <c r="L339" s="73">
        <f ca="1">IFERROR(__xludf.DUMMYFUNCTION("IMPORTRANGE(""https://docs.google.com/spreadsheets/d/1-uDff_7J0KD5mKrp0Vvzr7lt3OU09vwQwhkpOPPYv2Y/edit?usp=sharing"",""งบพรบ!ES59"")"),365000)</f>
        <v>365000</v>
      </c>
      <c r="M339" s="74">
        <f ca="1">IFERROR(__xludf.DUMMYFUNCTION("IMPORTRANGE(""https://docs.google.com/spreadsheets/d/1-uDff_7J0KD5mKrp0Vvzr7lt3OU09vwQwhkpOPPYv2Y/edit?usp=sharing"",""งบพรบ!EX59"")"),370000)</f>
        <v>370000</v>
      </c>
      <c r="N339" s="74">
        <f ca="1">IFERROR(__xludf.DUMMYFUNCTION("IMPORTRANGE(""https://docs.google.com/spreadsheets/d/1-uDff_7J0KD5mKrp0Vvzr7lt3OU09vwQwhkpOPPYv2Y/edit?usp=sharing"",""งบพรบ!EZ59"")"),164000)</f>
        <v>164000</v>
      </c>
      <c r="O339" s="74">
        <f t="shared" ca="1" si="217"/>
        <v>44.93150684931507</v>
      </c>
      <c r="P339" s="74">
        <f t="shared" ca="1" si="218"/>
        <v>44.324324324324323</v>
      </c>
      <c r="Q339" s="74">
        <v>0</v>
      </c>
      <c r="R339" s="74">
        <v>0</v>
      </c>
      <c r="S339" s="74">
        <v>0</v>
      </c>
      <c r="T339" s="74">
        <f t="shared" si="220"/>
        <v>0</v>
      </c>
      <c r="U339" s="74">
        <f t="shared" si="221"/>
        <v>0</v>
      </c>
    </row>
    <row r="340" spans="1:21" ht="18.75" x14ac:dyDescent="0.25">
      <c r="A340" s="257"/>
      <c r="B340" s="258"/>
      <c r="C340" s="269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3">
        <f t="shared" ref="L340:N340" ca="1" si="226">L341+L342</f>
        <v>0</v>
      </c>
      <c r="M340" s="74">
        <f t="shared" ca="1" si="226"/>
        <v>0</v>
      </c>
      <c r="N340" s="74">
        <f t="shared" ca="1" si="226"/>
        <v>0</v>
      </c>
      <c r="O340" s="74">
        <f t="shared" ca="1" si="217"/>
        <v>0</v>
      </c>
      <c r="P340" s="74">
        <f t="shared" ca="1" si="218"/>
        <v>0</v>
      </c>
      <c r="Q340" s="74">
        <f t="shared" ref="Q340:S340" si="227">Q341+Q342</f>
        <v>0</v>
      </c>
      <c r="R340" s="74">
        <f t="shared" si="227"/>
        <v>0</v>
      </c>
      <c r="S340" s="74">
        <f t="shared" si="227"/>
        <v>0</v>
      </c>
      <c r="T340" s="74">
        <f t="shared" si="220"/>
        <v>0</v>
      </c>
      <c r="U340" s="74">
        <f t="shared" si="221"/>
        <v>0</v>
      </c>
    </row>
    <row r="341" spans="1:21" ht="18.75" hidden="1" x14ac:dyDescent="0.25">
      <c r="A341" s="257"/>
      <c r="B341" s="258"/>
      <c r="C341" s="269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77">
        <f t="shared" si="217"/>
        <v>0</v>
      </c>
      <c r="P341" s="77">
        <f t="shared" si="218"/>
        <v>0</v>
      </c>
      <c r="Q341" s="77">
        <v>0</v>
      </c>
      <c r="R341" s="77">
        <v>0</v>
      </c>
      <c r="S341" s="77">
        <v>0</v>
      </c>
      <c r="T341" s="77">
        <f t="shared" si="220"/>
        <v>0</v>
      </c>
      <c r="U341" s="77">
        <f t="shared" si="221"/>
        <v>0</v>
      </c>
    </row>
    <row r="342" spans="1:21" ht="18.75" hidden="1" x14ac:dyDescent="0.25">
      <c r="A342" s="257"/>
      <c r="B342" s="258"/>
      <c r="C342" s="269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3">
        <f ca="1">IFERROR(__xludf.DUMMYFUNCTION("IMPORTRANGE(""https://docs.google.com/spreadsheets/d/1-uDff_7J0KD5mKrp0Vvzr7lt3OU09vwQwhkpOPPYv2Y/edit?usp=sharing"",""งบพรบ!EV59"")"),0)</f>
        <v>0</v>
      </c>
      <c r="M342" s="74">
        <f ca="1">IFERROR(__xludf.DUMMYFUNCTION("IMPORTRANGE(""https://docs.google.com/spreadsheets/d/1-uDff_7J0KD5mKrp0Vvzr7lt3OU09vwQwhkpOPPYv2Y/edit?usp=sharing"",""งบพรบ!EY59"")"),0)</f>
        <v>0</v>
      </c>
      <c r="N342" s="74">
        <f ca="1">IFERROR(__xludf.DUMMYFUNCTION("IMPORTRANGE(""https://docs.google.com/spreadsheets/d/1-uDff_7J0KD5mKrp0Vvzr7lt3OU09vwQwhkpOPPYv2Y/edit?usp=sharing"",""งบพรบ!FA59"")"),0)</f>
        <v>0</v>
      </c>
      <c r="O342" s="74">
        <f t="shared" ca="1" si="217"/>
        <v>0</v>
      </c>
      <c r="P342" s="74">
        <f t="shared" ca="1" si="218"/>
        <v>0</v>
      </c>
      <c r="Q342" s="74">
        <v>0</v>
      </c>
      <c r="R342" s="74">
        <v>0</v>
      </c>
      <c r="S342" s="74">
        <v>0</v>
      </c>
      <c r="T342" s="74">
        <f t="shared" si="220"/>
        <v>0</v>
      </c>
      <c r="U342" s="74">
        <f t="shared" si="221"/>
        <v>0</v>
      </c>
    </row>
    <row r="343" spans="1:21" ht="19.5" x14ac:dyDescent="0.3">
      <c r="A343" s="276"/>
      <c r="B343" s="277"/>
      <c r="C343" s="621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108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307" t="s">
        <v>35</v>
      </c>
      <c r="I345" s="293">
        <f ca="1">IFERROR(__xludf.DUMMYFUNCTION("IMPORTRANGE(""https://docs.google.com/spreadsheets/d/1eHaY18a8A9IcSdp1K8H6x8fbOy06t2VsZHhMHf-1x7Y/edit?usp=sharing"",""แผน!EK59"")"),400)</f>
        <v>400</v>
      </c>
      <c r="J345" s="293">
        <f ca="1">IFERROR(__xludf.DUMMYFUNCTION("IMPORTRANGE(""https://docs.google.com/spreadsheets/d/1awYsYK3VOup2i3Pq_Yjnu8DRu_mYwSBnCR2QPthd0rU/edit?usp=sharing"",""ศูนย์ยกเว้นโฉนด!D59"")"),108)</f>
        <v>108</v>
      </c>
      <c r="K345" s="74">
        <f ca="1">IF(I345&gt;0,J345*100/I345,0)</f>
        <v>27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IFERROR(__xludf.DUMMYFUNCTION("IMPORTRANGE(""https://docs.google.com/spreadsheets/d/1eHaY18a8A9IcSdp1K8H6x8fbOy06t2VsZHhMHf-1x7Y/edit?usp=sharing"",""แผน!EL59"")"),1)</f>
        <v>1</v>
      </c>
      <c r="J347" s="293">
        <f ca="1">IFERROR(__xludf.DUMMYFUNCTION("IMPORTRANGE(""https://docs.google.com/spreadsheets/d/1awYsYK3VOup2i3Pq_Yjnu8DRu_mYwSBnCR2QPthd0rU/edit?usp=sharing"",""ศูนย์รวม!E59"")"),0)</f>
        <v>0</v>
      </c>
      <c r="K347" s="74">
        <f ca="1">IF(I347&gt;0,J347*100/I347,0)</f>
        <v>0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IFERROR(__xludf.DUMMYFUNCTION("IMPORTRANGE(""https://docs.google.com/spreadsheets/d/1awYsYK3VOup2i3Pq_Yjnu8DRu_mYwSBnCR2QPthd0rU/edit?usp=sharing"",""ศูนย์ยกเว้นโฉนด!F59"")"),0)</f>
        <v>0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IFERROR(__xludf.DUMMYFUNCTION("IMPORTRANGE(""https://docs.google.com/spreadsheets/d/1awYsYK3VOup2i3Pq_Yjnu8DRu_mYwSBnCR2QPthd0rU/edit?usp=sharing"",""ศูนย์ยกเว้นโฉนด!G59"")"),0)</f>
        <v>0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IFERROR(__xludf.DUMMYFUNCTION("IMPORTRANGE(""https://docs.google.com/spreadsheets/d/1awYsYK3VOup2i3Pq_Yjnu8DRu_mYwSBnCR2QPthd0rU/edit?usp=sharing"",""ศูนย์ยกเว้นโฉนด!H59"")"),0)</f>
        <v>0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1188" t="s">
        <v>35</v>
      </c>
      <c r="I352" s="559">
        <v>0</v>
      </c>
      <c r="J352" s="559">
        <f ca="1">J353+J354</f>
        <v>46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IFERROR(__xludf.DUMMYFUNCTION("IMPORTRANGE(""https://docs.google.com/spreadsheets/d/1awYsYK3VOup2i3Pq_Yjnu8DRu_mYwSBnCR2QPthd0rU/edit?usp=sharing"",""โฉนดM3!G59"")"),6)</f>
        <v>6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IFERROR(__xludf.DUMMYFUNCTION("IMPORTRANGE(""https://docs.google.com/spreadsheets/d/1awYsYK3VOup2i3Pq_Yjnu8DRu_mYwSBnCR2QPthd0rU/edit?usp=sharing"",""โฉนดM3!H59"")"),40)</f>
        <v>40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15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1257">
        <f t="shared" ref="L357:N357" ca="1" si="228">L358+L359</f>
        <v>116090</v>
      </c>
      <c r="M357" s="264">
        <f t="shared" ca="1" si="228"/>
        <v>116090</v>
      </c>
      <c r="N357" s="264">
        <f t="shared" ca="1" si="228"/>
        <v>50264</v>
      </c>
      <c r="O357" s="264">
        <f t="shared" ref="O357:O365" ca="1" si="229">IF(L357&gt;0,N357*100/L357,0)</f>
        <v>43.297441640106811</v>
      </c>
      <c r="P357" s="264">
        <f t="shared" ref="P357:P365" ca="1" si="230">IF(M357&gt;0,N357*100/M357,0)</f>
        <v>43.297441640106811</v>
      </c>
      <c r="Q357" s="264">
        <f t="shared" ref="Q357:S357" si="231">Q358+Q359</f>
        <v>0</v>
      </c>
      <c r="R357" s="264">
        <f t="shared" si="231"/>
        <v>0</v>
      </c>
      <c r="S357" s="264">
        <f t="shared" si="231"/>
        <v>0</v>
      </c>
      <c r="T357" s="264">
        <f t="shared" ref="T357:T365" si="232">IF(Q357&gt;0,S357*100/Q357,0)</f>
        <v>0</v>
      </c>
      <c r="U357" s="264">
        <f t="shared" ref="U357:U365" si="233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6">
        <f t="shared" ref="L358:N359" si="234">L361+L364</f>
        <v>0</v>
      </c>
      <c r="M358" s="77">
        <f t="shared" si="234"/>
        <v>0</v>
      </c>
      <c r="N358" s="77">
        <f t="shared" si="234"/>
        <v>0</v>
      </c>
      <c r="O358" s="77">
        <f t="shared" si="229"/>
        <v>0</v>
      </c>
      <c r="P358" s="77">
        <f t="shared" si="230"/>
        <v>0</v>
      </c>
      <c r="Q358" s="77">
        <f t="shared" ref="Q358:S359" si="235">Q361+Q364</f>
        <v>0</v>
      </c>
      <c r="R358" s="77">
        <f t="shared" si="235"/>
        <v>0</v>
      </c>
      <c r="S358" s="77">
        <f t="shared" si="235"/>
        <v>0</v>
      </c>
      <c r="T358" s="77">
        <f t="shared" si="232"/>
        <v>0</v>
      </c>
      <c r="U358" s="77">
        <f t="shared" si="233"/>
        <v>0</v>
      </c>
    </row>
    <row r="359" spans="1:21" ht="18.75" hidden="1" x14ac:dyDescent="0.25">
      <c r="A359" s="257"/>
      <c r="B359" s="269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3">
        <f t="shared" ca="1" si="234"/>
        <v>116090</v>
      </c>
      <c r="M359" s="74">
        <f t="shared" ca="1" si="234"/>
        <v>116090</v>
      </c>
      <c r="N359" s="74">
        <f t="shared" ca="1" si="234"/>
        <v>50264</v>
      </c>
      <c r="O359" s="74">
        <f t="shared" ca="1" si="229"/>
        <v>43.297441640106811</v>
      </c>
      <c r="P359" s="74">
        <f t="shared" ca="1" si="230"/>
        <v>43.297441640106811</v>
      </c>
      <c r="Q359" s="74">
        <f t="shared" si="235"/>
        <v>0</v>
      </c>
      <c r="R359" s="74">
        <f t="shared" si="235"/>
        <v>0</v>
      </c>
      <c r="S359" s="74">
        <f t="shared" si="235"/>
        <v>0</v>
      </c>
      <c r="T359" s="74">
        <f t="shared" si="232"/>
        <v>0</v>
      </c>
      <c r="U359" s="74">
        <f t="shared" si="233"/>
        <v>0</v>
      </c>
    </row>
    <row r="360" spans="1:21" ht="18.75" x14ac:dyDescent="0.25">
      <c r="A360" s="257"/>
      <c r="B360" s="269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3">
        <f t="shared" ref="L360:N360" ca="1" si="236">L361+L362</f>
        <v>116090</v>
      </c>
      <c r="M360" s="74">
        <f t="shared" ca="1" si="236"/>
        <v>116090</v>
      </c>
      <c r="N360" s="74">
        <f t="shared" ca="1" si="236"/>
        <v>50264</v>
      </c>
      <c r="O360" s="74">
        <f t="shared" ca="1" si="229"/>
        <v>43.297441640106811</v>
      </c>
      <c r="P360" s="74">
        <f t="shared" ca="1" si="230"/>
        <v>43.297441640106811</v>
      </c>
      <c r="Q360" s="74">
        <f t="shared" ref="Q360:S360" si="237">Q361+Q362</f>
        <v>0</v>
      </c>
      <c r="R360" s="74">
        <f t="shared" si="237"/>
        <v>0</v>
      </c>
      <c r="S360" s="74">
        <f t="shared" si="237"/>
        <v>0</v>
      </c>
      <c r="T360" s="74">
        <f t="shared" si="232"/>
        <v>0</v>
      </c>
      <c r="U360" s="74">
        <f t="shared" si="233"/>
        <v>0</v>
      </c>
    </row>
    <row r="361" spans="1:21" ht="18.75" hidden="1" x14ac:dyDescent="0.25">
      <c r="A361" s="257"/>
      <c r="B361" s="258"/>
      <c r="C361" s="269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77">
        <f t="shared" si="229"/>
        <v>0</v>
      </c>
      <c r="P361" s="77">
        <f t="shared" si="230"/>
        <v>0</v>
      </c>
      <c r="Q361" s="77">
        <v>0</v>
      </c>
      <c r="R361" s="77">
        <v>0</v>
      </c>
      <c r="S361" s="77">
        <v>0</v>
      </c>
      <c r="T361" s="77">
        <f t="shared" si="232"/>
        <v>0</v>
      </c>
      <c r="U361" s="77">
        <f t="shared" si="233"/>
        <v>0</v>
      </c>
    </row>
    <row r="362" spans="1:21" ht="18.75" hidden="1" x14ac:dyDescent="0.25">
      <c r="A362" s="257"/>
      <c r="B362" s="258"/>
      <c r="C362" s="269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3">
        <f ca="1">IFERROR(__xludf.DUMMYFUNCTION("IMPORTRANGE(""https://docs.google.com/spreadsheets/d/1-uDff_7J0KD5mKrp0Vvzr7lt3OU09vwQwhkpOPPYv2Y/edit?usp=sharing"",""งบพรบ!FC59"")"),116090)</f>
        <v>116090</v>
      </c>
      <c r="M362" s="74">
        <f ca="1">IFERROR(__xludf.DUMMYFUNCTION("IMPORTRANGE(""https://docs.google.com/spreadsheets/d/1-uDff_7J0KD5mKrp0Vvzr7lt3OU09vwQwhkpOPPYv2Y/edit?usp=sharing"",""งบพรบ!FH59"")"),116090)</f>
        <v>116090</v>
      </c>
      <c r="N362" s="74">
        <f ca="1">IFERROR(__xludf.DUMMYFUNCTION("IMPORTRANGE(""https://docs.google.com/spreadsheets/d/1-uDff_7J0KD5mKrp0Vvzr7lt3OU09vwQwhkpOPPYv2Y/edit?usp=sharing"",""งบพรบ!FJ59"")"),50264)</f>
        <v>50264</v>
      </c>
      <c r="O362" s="74">
        <f t="shared" ca="1" si="229"/>
        <v>43.297441640106811</v>
      </c>
      <c r="P362" s="74">
        <f t="shared" ca="1" si="230"/>
        <v>43.297441640106811</v>
      </c>
      <c r="Q362" s="74">
        <v>0</v>
      </c>
      <c r="R362" s="74">
        <v>0</v>
      </c>
      <c r="S362" s="74">
        <v>0</v>
      </c>
      <c r="T362" s="74">
        <f t="shared" si="232"/>
        <v>0</v>
      </c>
      <c r="U362" s="74">
        <f t="shared" si="233"/>
        <v>0</v>
      </c>
    </row>
    <row r="363" spans="1:21" ht="18.75" x14ac:dyDescent="0.25">
      <c r="A363" s="257"/>
      <c r="B363" s="258"/>
      <c r="C363" s="269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3">
        <f t="shared" ref="L363:N363" ca="1" si="238">L364+L365</f>
        <v>0</v>
      </c>
      <c r="M363" s="74">
        <f t="shared" ca="1" si="238"/>
        <v>0</v>
      </c>
      <c r="N363" s="74">
        <f t="shared" ca="1" si="238"/>
        <v>0</v>
      </c>
      <c r="O363" s="74">
        <f t="shared" ca="1" si="229"/>
        <v>0</v>
      </c>
      <c r="P363" s="74">
        <f t="shared" ca="1" si="230"/>
        <v>0</v>
      </c>
      <c r="Q363" s="74">
        <f t="shared" ref="Q363:S363" si="239">Q364+Q365</f>
        <v>0</v>
      </c>
      <c r="R363" s="74">
        <f t="shared" si="239"/>
        <v>0</v>
      </c>
      <c r="S363" s="74">
        <f t="shared" si="239"/>
        <v>0</v>
      </c>
      <c r="T363" s="74">
        <f t="shared" si="232"/>
        <v>0</v>
      </c>
      <c r="U363" s="74">
        <f t="shared" si="233"/>
        <v>0</v>
      </c>
    </row>
    <row r="364" spans="1:21" ht="18.75" hidden="1" x14ac:dyDescent="0.25">
      <c r="A364" s="257"/>
      <c r="B364" s="258"/>
      <c r="C364" s="269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77">
        <f t="shared" si="229"/>
        <v>0</v>
      </c>
      <c r="P364" s="77">
        <f t="shared" si="230"/>
        <v>0</v>
      </c>
      <c r="Q364" s="77">
        <v>0</v>
      </c>
      <c r="R364" s="77">
        <v>0</v>
      </c>
      <c r="S364" s="77">
        <v>0</v>
      </c>
      <c r="T364" s="77">
        <f t="shared" si="232"/>
        <v>0</v>
      </c>
      <c r="U364" s="77">
        <f t="shared" si="233"/>
        <v>0</v>
      </c>
    </row>
    <row r="365" spans="1:21" ht="18.75" hidden="1" x14ac:dyDescent="0.25">
      <c r="A365" s="257"/>
      <c r="B365" s="258"/>
      <c r="C365" s="269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3">
        <f ca="1">IFERROR(__xludf.DUMMYFUNCTION("IMPORTRANGE(""https://docs.google.com/spreadsheets/d/1-uDff_7J0KD5mKrp0Vvzr7lt3OU09vwQwhkpOPPYv2Y/edit?usp=sharing"",""งบพรบ!FF59"")"),0)</f>
        <v>0</v>
      </c>
      <c r="M365" s="74">
        <f ca="1">IFERROR(__xludf.DUMMYFUNCTION("IMPORTRANGE(""https://docs.google.com/spreadsheets/d/1-uDff_7J0KD5mKrp0Vvzr7lt3OU09vwQwhkpOPPYv2Y/edit?usp=sharing"",""งบพรบ!FI59"")"),0)</f>
        <v>0</v>
      </c>
      <c r="N365" s="74">
        <f ca="1">IFERROR(__xludf.DUMMYFUNCTION("IMPORTRANGE(""https://docs.google.com/spreadsheets/d/1-uDff_7J0KD5mKrp0Vvzr7lt3OU09vwQwhkpOPPYv2Y/edit?usp=sharing"",""งบพรบ!FK59"")"),0)</f>
        <v>0</v>
      </c>
      <c r="O365" s="74">
        <f t="shared" ca="1" si="229"/>
        <v>0</v>
      </c>
      <c r="P365" s="74">
        <f t="shared" ca="1" si="230"/>
        <v>0</v>
      </c>
      <c r="Q365" s="74">
        <v>0</v>
      </c>
      <c r="R365" s="74">
        <v>0</v>
      </c>
      <c r="S365" s="74">
        <v>0</v>
      </c>
      <c r="T365" s="74">
        <f t="shared" si="232"/>
        <v>0</v>
      </c>
      <c r="U365" s="74">
        <f t="shared" si="233"/>
        <v>0</v>
      </c>
    </row>
    <row r="366" spans="1:21" ht="19.5" x14ac:dyDescent="0.3">
      <c r="A366" s="553"/>
      <c r="B366" s="555"/>
      <c r="C366" s="555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0">I372</f>
        <v>9</v>
      </c>
      <c r="J366" s="559">
        <f t="shared" ca="1" si="240"/>
        <v>0</v>
      </c>
      <c r="K366" s="560">
        <f ca="1">IF(I366&gt;0,J366*100/I366,0)</f>
        <v>0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621" t="s">
        <v>18</v>
      </c>
      <c r="D367" s="968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77"/>
      <c r="C368" s="277"/>
      <c r="D368" s="296"/>
      <c r="E368" s="1103" t="s">
        <v>150</v>
      </c>
      <c r="F368" s="277"/>
      <c r="G368" s="310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IFERROR(__xludf.DUMMYFUNCTION("IMPORTRANGE(""https://docs.google.com/spreadsheets/d/1tdoBKaGub7dwA3U6UFTqxio9LNnvDCQjHKmttSEBsFQ/edit?usp=sharing"",""จัดที่ดิน!AB59"")"),0)</f>
        <v>0</v>
      </c>
      <c r="K368" s="74">
        <f t="shared" ref="K368:K373" si="241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IFERROR(__xludf.DUMMYFUNCTION("IMPORTRANGE(""https://docs.google.com/spreadsheets/d/1eHaY18a8A9IcSdp1K8H6x8fbOy06t2VsZHhMHf-1x7Y/edit?usp=sharing"",""แผน!EW59"")"),0)</f>
        <v>0</v>
      </c>
      <c r="J369" s="1190">
        <f ca="1">IFERROR(__xludf.DUMMYFUNCTION("IMPORTRANGE(""https://docs.google.com/spreadsheets/d/1tdoBKaGub7dwA3U6UFTqxio9LNnvDCQjHKmttSEBsFQ/edit?usp=sharing"",""จัดที่ดิน!AC59"")"),0)</f>
        <v>0</v>
      </c>
      <c r="K369" s="74">
        <f t="shared" ca="1" si="241"/>
        <v>0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75" t="s">
        <v>35</v>
      </c>
      <c r="I370" s="293">
        <f ca="1">IFERROR(__xludf.DUMMYFUNCTION("IMPORTRANGE(""https://docs.google.com/spreadsheets/d/1eHaY18a8A9IcSdp1K8H6x8fbOy06t2VsZHhMHf-1x7Y/edit?usp=sharing"",""แผน!EX59"")"),0)</f>
        <v>0</v>
      </c>
      <c r="J370" s="293">
        <f ca="1">IFERROR(__xludf.DUMMYFUNCTION("IMPORTRANGE(""https://docs.google.com/spreadsheets/d/1tdoBKaGub7dwA3U6UFTqxio9LNnvDCQjHKmttSEBsFQ/edit?usp=sharing"",""จัดที่ดิน!AD59"")"),0)</f>
        <v>0</v>
      </c>
      <c r="K370" s="74">
        <f t="shared" ca="1" si="241"/>
        <v>0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75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IFERROR(__xludf.DUMMYFUNCTION("IMPORTRANGE(""https://docs.google.com/spreadsheets/d/1tdoBKaGub7dwA3U6UFTqxio9LNnvDCQjHKmttSEBsFQ/edit?usp=sharing"",""จัดที่ดิน!AE59"")"),0)</f>
        <v>0</v>
      </c>
      <c r="K371" s="74">
        <f t="shared" si="241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75" t="s">
        <v>35</v>
      </c>
      <c r="I372" s="293">
        <f ca="1">IFERROR(__xludf.DUMMYFUNCTION("IMPORTRANGE(""https://docs.google.com/spreadsheets/d/1eHaY18a8A9IcSdp1K8H6x8fbOy06t2VsZHhMHf-1x7Y/edit?usp=sharing"",""แผน!EY59"")"),9)</f>
        <v>9</v>
      </c>
      <c r="J372" s="293">
        <f ca="1">IFERROR(__xludf.DUMMYFUNCTION("IMPORTRANGE(""https://docs.google.com/spreadsheets/d/1tdoBKaGub7dwA3U6UFTqxio9LNnvDCQjHKmttSEBsFQ/edit?usp=sharing"",""จัดที่ดิน!AF59"")"),0)</f>
        <v>0</v>
      </c>
      <c r="K372" s="74">
        <f t="shared" ca="1" si="241"/>
        <v>0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75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IFERROR(__xludf.DUMMYFUNCTION("IMPORTRANGE(""https://docs.google.com/spreadsheets/d/1tdoBKaGub7dwA3U6UFTqxio9LNnvDCQjHKmttSEBsFQ/edit?usp=sharing"",""จัดที่ดิน!AG59"")"),0)</f>
        <v>0</v>
      </c>
      <c r="K373" s="74">
        <f t="shared" si="241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29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hidden="1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2">I386</f>
        <v>0</v>
      </c>
      <c r="J375" s="585">
        <f t="shared" si="242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hidden="1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1257">
        <f t="shared" ref="L376:N376" si="243">L377+L378</f>
        <v>0</v>
      </c>
      <c r="M376" s="264">
        <f t="shared" si="243"/>
        <v>0</v>
      </c>
      <c r="N376" s="264">
        <f t="shared" si="243"/>
        <v>0</v>
      </c>
      <c r="O376" s="264">
        <f t="shared" ref="O376:O384" si="244">IF(L376&gt;0,N376*100/L376,0)</f>
        <v>0</v>
      </c>
      <c r="P376" s="264">
        <f t="shared" ref="P376:P384" si="245">IF(M376&gt;0,N376*100/M376,0)</f>
        <v>0</v>
      </c>
      <c r="Q376" s="264">
        <f t="shared" ref="Q376:S376" ca="1" si="246">Q377+Q378</f>
        <v>0</v>
      </c>
      <c r="R376" s="264">
        <f t="shared" ca="1" si="246"/>
        <v>0</v>
      </c>
      <c r="S376" s="264">
        <f t="shared" ca="1" si="246"/>
        <v>0</v>
      </c>
      <c r="T376" s="264">
        <f t="shared" ref="T376:T384" ca="1" si="247">IF(Q376&gt;0,S376*100/Q376,0)</f>
        <v>0</v>
      </c>
      <c r="U376" s="264">
        <f t="shared" ref="U376:U384" ca="1" si="248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6">
        <f t="shared" ref="L377:N378" si="249">L380+L383</f>
        <v>0</v>
      </c>
      <c r="M377" s="77">
        <f t="shared" si="249"/>
        <v>0</v>
      </c>
      <c r="N377" s="77">
        <f t="shared" si="249"/>
        <v>0</v>
      </c>
      <c r="O377" s="77">
        <f t="shared" si="244"/>
        <v>0</v>
      </c>
      <c r="P377" s="77">
        <f t="shared" si="245"/>
        <v>0</v>
      </c>
      <c r="Q377" s="77">
        <f t="shared" ref="Q377:S378" si="250">Q380+Q383</f>
        <v>0</v>
      </c>
      <c r="R377" s="77">
        <f t="shared" si="250"/>
        <v>0</v>
      </c>
      <c r="S377" s="77">
        <f t="shared" si="250"/>
        <v>0</v>
      </c>
      <c r="T377" s="77">
        <f t="shared" si="247"/>
        <v>0</v>
      </c>
      <c r="U377" s="77">
        <f t="shared" si="248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3">
        <f t="shared" si="249"/>
        <v>0</v>
      </c>
      <c r="M378" s="74">
        <f t="shared" si="249"/>
        <v>0</v>
      </c>
      <c r="N378" s="74">
        <f t="shared" si="249"/>
        <v>0</v>
      </c>
      <c r="O378" s="74">
        <f t="shared" si="244"/>
        <v>0</v>
      </c>
      <c r="P378" s="74">
        <f t="shared" si="245"/>
        <v>0</v>
      </c>
      <c r="Q378" s="74">
        <f t="shared" ca="1" si="250"/>
        <v>0</v>
      </c>
      <c r="R378" s="74">
        <f t="shared" ca="1" si="250"/>
        <v>0</v>
      </c>
      <c r="S378" s="74">
        <f t="shared" ca="1" si="250"/>
        <v>0</v>
      </c>
      <c r="T378" s="74">
        <f t="shared" ca="1" si="247"/>
        <v>0</v>
      </c>
      <c r="U378" s="74">
        <f t="shared" ca="1" si="248"/>
        <v>0</v>
      </c>
    </row>
    <row r="379" spans="1:21" ht="18.75" hidden="1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3">
        <f t="shared" ref="L379:N379" si="251">L380+L381</f>
        <v>0</v>
      </c>
      <c r="M379" s="74">
        <f t="shared" si="251"/>
        <v>0</v>
      </c>
      <c r="N379" s="74">
        <f t="shared" si="251"/>
        <v>0</v>
      </c>
      <c r="O379" s="74">
        <f t="shared" si="244"/>
        <v>0</v>
      </c>
      <c r="P379" s="74">
        <f t="shared" si="245"/>
        <v>0</v>
      </c>
      <c r="Q379" s="74">
        <f t="shared" ref="Q379:S379" ca="1" si="252">Q380+Q381</f>
        <v>0</v>
      </c>
      <c r="R379" s="74">
        <f t="shared" ca="1" si="252"/>
        <v>0</v>
      </c>
      <c r="S379" s="74">
        <f t="shared" ca="1" si="252"/>
        <v>0</v>
      </c>
      <c r="T379" s="74">
        <f t="shared" ca="1" si="247"/>
        <v>0</v>
      </c>
      <c r="U379" s="74">
        <f t="shared" ca="1" si="248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77">
        <f t="shared" si="244"/>
        <v>0</v>
      </c>
      <c r="P380" s="77">
        <f t="shared" si="245"/>
        <v>0</v>
      </c>
      <c r="Q380" s="77">
        <v>0</v>
      </c>
      <c r="R380" s="77">
        <v>0</v>
      </c>
      <c r="S380" s="77">
        <v>0</v>
      </c>
      <c r="T380" s="77">
        <f t="shared" si="247"/>
        <v>0</v>
      </c>
      <c r="U380" s="77">
        <f t="shared" si="248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74">
        <f t="shared" si="244"/>
        <v>0</v>
      </c>
      <c r="P381" s="74">
        <f t="shared" si="245"/>
        <v>0</v>
      </c>
      <c r="Q381" s="74">
        <f ca="1">IFERROR(__xludf.DUMMYFUNCTION("IMPORTRANGE(""https://docs.google.com/spreadsheets/d/1ItG2mGa2ceCfYo0BwxsXqNm01IGEUdYcSSLTEv9YCik/edit?usp=sharing"",""เบิกจ่ายกองทุน!AY59"")"),0)</f>
        <v>0</v>
      </c>
      <c r="R381" s="74">
        <f ca="1">IFERROR(__xludf.DUMMYFUNCTION("IMPORTRANGE(""https://docs.google.com/spreadsheets/d/1ItG2mGa2ceCfYo0BwxsXqNm01IGEUdYcSSLTEv9YCik/edit?usp=sharing"",""เบิกจ่ายกองทุน!AZ59"")"),0)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IFERROR(__xludf.DUMMYFUNCTION("IMPORTRANGE(""https://docs.google.com/spreadsheets/d/1ItG2mGa2ceCfYo0BwxsXqNm01IGEUdYcSSLTEv9YCik/edit?usp=sharing"",""เบิกจ่ายกองทุน!BA59"")"),0)</f>
        <v>0</v>
      </c>
      <c r="T381" s="74">
        <f t="shared" ca="1" si="247"/>
        <v>0</v>
      </c>
      <c r="U381" s="74">
        <f t="shared" ca="1" si="248"/>
        <v>0</v>
      </c>
    </row>
    <row r="382" spans="1:21" ht="18.75" hidden="1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3">
        <f t="shared" ref="L382:N382" si="253">L383+L384</f>
        <v>0</v>
      </c>
      <c r="M382" s="74">
        <f t="shared" si="253"/>
        <v>0</v>
      </c>
      <c r="N382" s="74">
        <f t="shared" si="253"/>
        <v>0</v>
      </c>
      <c r="O382" s="74">
        <f t="shared" si="244"/>
        <v>0</v>
      </c>
      <c r="P382" s="74">
        <f t="shared" si="245"/>
        <v>0</v>
      </c>
      <c r="Q382" s="74">
        <f t="shared" ref="Q382:S382" si="254">Q383+Q384</f>
        <v>0</v>
      </c>
      <c r="R382" s="74">
        <f t="shared" si="254"/>
        <v>0</v>
      </c>
      <c r="S382" s="74">
        <f t="shared" si="254"/>
        <v>0</v>
      </c>
      <c r="T382" s="74">
        <f t="shared" si="247"/>
        <v>0</v>
      </c>
      <c r="U382" s="74">
        <f t="shared" si="248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77">
        <f t="shared" si="244"/>
        <v>0</v>
      </c>
      <c r="P383" s="77">
        <f t="shared" si="245"/>
        <v>0</v>
      </c>
      <c r="Q383" s="77">
        <v>0</v>
      </c>
      <c r="R383" s="77">
        <v>0</v>
      </c>
      <c r="S383" s="77">
        <v>0</v>
      </c>
      <c r="T383" s="77">
        <f t="shared" si="247"/>
        <v>0</v>
      </c>
      <c r="U383" s="77">
        <f t="shared" si="248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74">
        <f t="shared" si="244"/>
        <v>0</v>
      </c>
      <c r="P384" s="74">
        <f t="shared" si="245"/>
        <v>0</v>
      </c>
      <c r="Q384" s="74">
        <v>0</v>
      </c>
      <c r="R384" s="74">
        <v>0</v>
      </c>
      <c r="S384" s="74">
        <v>0</v>
      </c>
      <c r="T384" s="74">
        <f t="shared" si="247"/>
        <v>0</v>
      </c>
      <c r="U384" s="74">
        <f t="shared" si="248"/>
        <v>0</v>
      </c>
    </row>
    <row r="385" spans="1:21" ht="19.5" hidden="1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hidden="1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f ca="1">IFERROR(__xludf.DUMMYFUNCTION("IMPORTRANGE(""https://docs.google.com/spreadsheets/d/1eHaY18a8A9IcSdp1K8H6x8fbOy06t2VsZHhMHf-1x7Y/edit?usp=sharing"",""แผน!JQ59"")"),0)</f>
        <v>0</v>
      </c>
      <c r="J386" s="293">
        <v>0</v>
      </c>
      <c r="K386" s="74">
        <f t="shared" ref="K386:K389" ca="1" si="255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hidden="1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IFERROR(__xludf.DUMMYFUNCTION("IMPORTRANGE(""https://docs.google.com/spreadsheets/d/1eHaY18a8A9IcSdp1K8H6x8fbOy06t2VsZHhMHf-1x7Y/edit?usp=sharing"",""แผน!JQ59"")"),0)</f>
        <v>0</v>
      </c>
      <c r="J387" s="293">
        <v>0</v>
      </c>
      <c r="K387" s="74">
        <f t="shared" ca="1" si="255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hidden="1" x14ac:dyDescent="0.25">
      <c r="A388" s="269"/>
      <c r="B388" s="269"/>
      <c r="C388" s="269"/>
      <c r="D388" s="269"/>
      <c r="E388" s="775" t="s">
        <v>155</v>
      </c>
      <c r="F388" s="269"/>
      <c r="G388" s="312"/>
      <c r="H388" s="266" t="s">
        <v>34</v>
      </c>
      <c r="I388" s="592">
        <v>0</v>
      </c>
      <c r="J388" s="592">
        <v>0</v>
      </c>
      <c r="K388" s="77">
        <f t="shared" si="255"/>
        <v>0</v>
      </c>
      <c r="L388" s="86"/>
      <c r="M388" s="87"/>
      <c r="N388" s="87"/>
      <c r="O388" s="87"/>
      <c r="P388" s="87"/>
      <c r="Q388" s="87"/>
      <c r="R388" s="87"/>
      <c r="S388" s="87"/>
      <c r="T388" s="87"/>
      <c r="U388" s="87"/>
    </row>
    <row r="389" spans="1:21" ht="18.75" hidden="1" x14ac:dyDescent="0.25">
      <c r="A389" s="269"/>
      <c r="B389" s="269"/>
      <c r="C389" s="269"/>
      <c r="D389" s="269"/>
      <c r="E389" s="269"/>
      <c r="F389" s="269"/>
      <c r="G389" s="312"/>
      <c r="H389" s="266" t="s">
        <v>46</v>
      </c>
      <c r="I389" s="592">
        <v>0</v>
      </c>
      <c r="J389" s="592">
        <v>0</v>
      </c>
      <c r="K389" s="77">
        <f t="shared" si="255"/>
        <v>0</v>
      </c>
      <c r="L389" s="86"/>
      <c r="M389" s="87"/>
      <c r="N389" s="87"/>
      <c r="O389" s="87"/>
      <c r="P389" s="87"/>
      <c r="Q389" s="87"/>
      <c r="R389" s="87"/>
      <c r="S389" s="87"/>
      <c r="T389" s="87"/>
      <c r="U389" s="87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6">I403</f>
        <v>0</v>
      </c>
      <c r="J392" s="1189">
        <f t="shared" si="256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1257">
        <f t="shared" ref="L393:N393" si="257">L394+L395</f>
        <v>0</v>
      </c>
      <c r="M393" s="264">
        <f t="shared" si="257"/>
        <v>0</v>
      </c>
      <c r="N393" s="264">
        <f t="shared" si="257"/>
        <v>0</v>
      </c>
      <c r="O393" s="264">
        <f t="shared" ref="O393:O401" si="258">IF(L393&gt;0,N393*100/L393,0)</f>
        <v>0</v>
      </c>
      <c r="P393" s="264">
        <f t="shared" ref="P393:P401" si="259">IF(M393&gt;0,N393*100/M393,0)</f>
        <v>0</v>
      </c>
      <c r="Q393" s="264">
        <f t="shared" ref="Q393:S393" si="260">Q394+Q395</f>
        <v>0</v>
      </c>
      <c r="R393" s="264">
        <f t="shared" si="260"/>
        <v>0</v>
      </c>
      <c r="S393" s="264">
        <f t="shared" si="260"/>
        <v>0</v>
      </c>
      <c r="T393" s="264">
        <f t="shared" ref="T393:T401" si="261">IF(Q393&gt;0,S393*100/Q393,0)</f>
        <v>0</v>
      </c>
      <c r="U393" s="264">
        <f t="shared" ref="U393:U401" si="262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6">
        <f t="shared" ref="L394:N395" si="263">L397+L400</f>
        <v>0</v>
      </c>
      <c r="M394" s="77">
        <f t="shared" si="263"/>
        <v>0</v>
      </c>
      <c r="N394" s="77">
        <f t="shared" si="263"/>
        <v>0</v>
      </c>
      <c r="O394" s="77">
        <f t="shared" si="258"/>
        <v>0</v>
      </c>
      <c r="P394" s="77">
        <f t="shared" si="259"/>
        <v>0</v>
      </c>
      <c r="Q394" s="77">
        <f t="shared" ref="Q394:S395" si="264">Q397+Q400</f>
        <v>0</v>
      </c>
      <c r="R394" s="77">
        <f t="shared" si="264"/>
        <v>0</v>
      </c>
      <c r="S394" s="77">
        <f t="shared" si="264"/>
        <v>0</v>
      </c>
      <c r="T394" s="77">
        <f t="shared" si="261"/>
        <v>0</v>
      </c>
      <c r="U394" s="77">
        <f t="shared" si="262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3">
        <f t="shared" si="263"/>
        <v>0</v>
      </c>
      <c r="M395" s="74">
        <f t="shared" si="263"/>
        <v>0</v>
      </c>
      <c r="N395" s="74">
        <f t="shared" si="263"/>
        <v>0</v>
      </c>
      <c r="O395" s="74">
        <f t="shared" si="258"/>
        <v>0</v>
      </c>
      <c r="P395" s="74">
        <f t="shared" si="259"/>
        <v>0</v>
      </c>
      <c r="Q395" s="74">
        <f t="shared" si="264"/>
        <v>0</v>
      </c>
      <c r="R395" s="74">
        <f t="shared" si="264"/>
        <v>0</v>
      </c>
      <c r="S395" s="74">
        <f t="shared" si="264"/>
        <v>0</v>
      </c>
      <c r="T395" s="74">
        <f t="shared" si="261"/>
        <v>0</v>
      </c>
      <c r="U395" s="74">
        <f t="shared" si="262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3">
        <f t="shared" ref="L396:N396" si="265">L397+L398</f>
        <v>0</v>
      </c>
      <c r="M396" s="74">
        <f t="shared" si="265"/>
        <v>0</v>
      </c>
      <c r="N396" s="74">
        <f t="shared" si="265"/>
        <v>0</v>
      </c>
      <c r="O396" s="74">
        <f t="shared" si="258"/>
        <v>0</v>
      </c>
      <c r="P396" s="74">
        <f t="shared" si="259"/>
        <v>0</v>
      </c>
      <c r="Q396" s="74">
        <f t="shared" ref="Q396:S396" si="266">Q397+Q398</f>
        <v>0</v>
      </c>
      <c r="R396" s="74">
        <f t="shared" si="266"/>
        <v>0</v>
      </c>
      <c r="S396" s="74">
        <f t="shared" si="266"/>
        <v>0</v>
      </c>
      <c r="T396" s="74">
        <f t="shared" si="261"/>
        <v>0</v>
      </c>
      <c r="U396" s="74">
        <f t="shared" si="262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77">
        <f t="shared" si="258"/>
        <v>0</v>
      </c>
      <c r="P397" s="77">
        <f t="shared" si="259"/>
        <v>0</v>
      </c>
      <c r="Q397" s="77">
        <v>0</v>
      </c>
      <c r="R397" s="77">
        <v>0</v>
      </c>
      <c r="S397" s="77">
        <v>0</v>
      </c>
      <c r="T397" s="77">
        <f t="shared" si="261"/>
        <v>0</v>
      </c>
      <c r="U397" s="77">
        <f t="shared" si="262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74">
        <f t="shared" si="258"/>
        <v>0</v>
      </c>
      <c r="P398" s="74">
        <f t="shared" si="259"/>
        <v>0</v>
      </c>
      <c r="Q398" s="74">
        <v>0</v>
      </c>
      <c r="R398" s="74">
        <v>0</v>
      </c>
      <c r="S398" s="74">
        <v>0</v>
      </c>
      <c r="T398" s="74">
        <f t="shared" si="261"/>
        <v>0</v>
      </c>
      <c r="U398" s="74">
        <f t="shared" si="262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3">
        <f t="shared" ref="L399:N399" si="267">L400+L401</f>
        <v>0</v>
      </c>
      <c r="M399" s="74">
        <f t="shared" si="267"/>
        <v>0</v>
      </c>
      <c r="N399" s="74">
        <f t="shared" si="267"/>
        <v>0</v>
      </c>
      <c r="O399" s="74">
        <f t="shared" si="258"/>
        <v>0</v>
      </c>
      <c r="P399" s="74">
        <f t="shared" si="259"/>
        <v>0</v>
      </c>
      <c r="Q399" s="74">
        <f t="shared" ref="Q399:S399" si="268">Q400+Q401</f>
        <v>0</v>
      </c>
      <c r="R399" s="74">
        <f t="shared" si="268"/>
        <v>0</v>
      </c>
      <c r="S399" s="74">
        <f t="shared" si="268"/>
        <v>0</v>
      </c>
      <c r="T399" s="74">
        <f t="shared" si="261"/>
        <v>0</v>
      </c>
      <c r="U399" s="74">
        <f t="shared" si="262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77">
        <f t="shared" si="258"/>
        <v>0</v>
      </c>
      <c r="P400" s="77">
        <f t="shared" si="259"/>
        <v>0</v>
      </c>
      <c r="Q400" s="77">
        <v>0</v>
      </c>
      <c r="R400" s="77">
        <v>0</v>
      </c>
      <c r="S400" s="77">
        <v>0</v>
      </c>
      <c r="T400" s="77">
        <f t="shared" si="261"/>
        <v>0</v>
      </c>
      <c r="U400" s="77">
        <f t="shared" si="262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74">
        <f t="shared" si="258"/>
        <v>0</v>
      </c>
      <c r="P401" s="74">
        <f t="shared" si="259"/>
        <v>0</v>
      </c>
      <c r="Q401" s="74">
        <v>0</v>
      </c>
      <c r="R401" s="74">
        <v>0</v>
      </c>
      <c r="S401" s="74">
        <v>0</v>
      </c>
      <c r="T401" s="74">
        <f t="shared" si="261"/>
        <v>0</v>
      </c>
      <c r="U401" s="74">
        <f t="shared" si="262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69">I424</f>
        <v>0</v>
      </c>
      <c r="J413" s="617">
        <f t="shared" si="269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1257">
        <f t="shared" ref="L414:N414" si="270">L415+L416</f>
        <v>0</v>
      </c>
      <c r="M414" s="264">
        <f t="shared" si="270"/>
        <v>0</v>
      </c>
      <c r="N414" s="264">
        <f t="shared" si="270"/>
        <v>0</v>
      </c>
      <c r="O414" s="264">
        <f t="shared" ref="O414:O422" si="271">IF(L414&gt;0,N414*100/L414,0)</f>
        <v>0</v>
      </c>
      <c r="P414" s="264">
        <f t="shared" ref="P414:P422" si="272">IF(M414&gt;0,N414*100/M414,0)</f>
        <v>0</v>
      </c>
      <c r="Q414" s="264">
        <f t="shared" ref="Q414:S414" ca="1" si="273">Q415+Q416</f>
        <v>0</v>
      </c>
      <c r="R414" s="264">
        <f t="shared" ca="1" si="273"/>
        <v>0</v>
      </c>
      <c r="S414" s="264">
        <f t="shared" ca="1" si="273"/>
        <v>0</v>
      </c>
      <c r="T414" s="264">
        <f t="shared" ref="T414:T422" ca="1" si="274">IF(Q414&gt;0,S414*100/Q414,0)</f>
        <v>0</v>
      </c>
      <c r="U414" s="264">
        <f t="shared" ref="U414:U422" ca="1" si="275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6">
        <f t="shared" ref="L415:N416" si="276">L418+L421</f>
        <v>0</v>
      </c>
      <c r="M415" s="77">
        <f t="shared" si="276"/>
        <v>0</v>
      </c>
      <c r="N415" s="77">
        <f t="shared" si="276"/>
        <v>0</v>
      </c>
      <c r="O415" s="77">
        <f t="shared" si="271"/>
        <v>0</v>
      </c>
      <c r="P415" s="77">
        <f t="shared" si="272"/>
        <v>0</v>
      </c>
      <c r="Q415" s="77">
        <f t="shared" ref="Q415:S416" si="277">Q418+Q421</f>
        <v>0</v>
      </c>
      <c r="R415" s="77">
        <f t="shared" si="277"/>
        <v>0</v>
      </c>
      <c r="S415" s="77">
        <f t="shared" si="277"/>
        <v>0</v>
      </c>
      <c r="T415" s="77">
        <f t="shared" si="274"/>
        <v>0</v>
      </c>
      <c r="U415" s="77">
        <f t="shared" si="275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3">
        <f t="shared" si="276"/>
        <v>0</v>
      </c>
      <c r="M416" s="74">
        <f t="shared" si="276"/>
        <v>0</v>
      </c>
      <c r="N416" s="74">
        <f t="shared" si="276"/>
        <v>0</v>
      </c>
      <c r="O416" s="74">
        <f t="shared" si="271"/>
        <v>0</v>
      </c>
      <c r="P416" s="74">
        <f t="shared" si="272"/>
        <v>0</v>
      </c>
      <c r="Q416" s="74">
        <f t="shared" ca="1" si="277"/>
        <v>0</v>
      </c>
      <c r="R416" s="74">
        <f t="shared" ca="1" si="277"/>
        <v>0</v>
      </c>
      <c r="S416" s="74">
        <f t="shared" ca="1" si="277"/>
        <v>0</v>
      </c>
      <c r="T416" s="74">
        <f t="shared" ca="1" si="274"/>
        <v>0</v>
      </c>
      <c r="U416" s="74">
        <f t="shared" ca="1" si="275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3">
        <f t="shared" ref="L417:N417" si="278">L418+L419</f>
        <v>0</v>
      </c>
      <c r="M417" s="74">
        <f t="shared" si="278"/>
        <v>0</v>
      </c>
      <c r="N417" s="74">
        <f t="shared" si="278"/>
        <v>0</v>
      </c>
      <c r="O417" s="74">
        <f t="shared" si="271"/>
        <v>0</v>
      </c>
      <c r="P417" s="74">
        <f t="shared" si="272"/>
        <v>0</v>
      </c>
      <c r="Q417" s="74">
        <f t="shared" ref="Q417:S417" ca="1" si="279">Q418+Q419</f>
        <v>0</v>
      </c>
      <c r="R417" s="74">
        <f t="shared" ca="1" si="279"/>
        <v>0</v>
      </c>
      <c r="S417" s="74">
        <f t="shared" ca="1" si="279"/>
        <v>0</v>
      </c>
      <c r="T417" s="74">
        <f t="shared" ca="1" si="274"/>
        <v>0</v>
      </c>
      <c r="U417" s="74">
        <f t="shared" ca="1" si="275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77">
        <f t="shared" si="271"/>
        <v>0</v>
      </c>
      <c r="P418" s="77">
        <f t="shared" si="272"/>
        <v>0</v>
      </c>
      <c r="Q418" s="77">
        <v>0</v>
      </c>
      <c r="R418" s="77">
        <v>0</v>
      </c>
      <c r="S418" s="77">
        <v>0</v>
      </c>
      <c r="T418" s="77">
        <f t="shared" si="274"/>
        <v>0</v>
      </c>
      <c r="U418" s="77">
        <f t="shared" si="275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74">
        <f t="shared" si="271"/>
        <v>0</v>
      </c>
      <c r="P419" s="74">
        <f t="shared" si="272"/>
        <v>0</v>
      </c>
      <c r="Q419" s="74">
        <f ca="1">IFERROR(__xludf.DUMMYFUNCTION("IMPORTRANGE(""https://docs.google.com/spreadsheets/d/1ItG2mGa2ceCfYo0BwxsXqNm01IGEUdYcSSLTEv9YCik/edit?usp=sharing"",""เบิกจ่ายกองทุน!BH59"")"),0)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IFERROR(__xludf.DUMMYFUNCTION("IMPORTRANGE(""https://docs.google.com/spreadsheets/d/1ItG2mGa2ceCfYo0BwxsXqNm01IGEUdYcSSLTEv9YCik/edit?usp=sharing"",""เบิกจ่ายกองทุน!BI59"")"),0)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IFERROR(__xludf.DUMMYFUNCTION("IMPORTRANGE(""https://docs.google.com/spreadsheets/d/1ItG2mGa2ceCfYo0BwxsXqNm01IGEUdYcSSLTEv9YCik/edit?usp=sharing"",""เบิกจ่ายกองทุน!BJ59"")"),0)</f>
        <v>0</v>
      </c>
      <c r="T419" s="74">
        <f t="shared" ca="1" si="274"/>
        <v>0</v>
      </c>
      <c r="U419" s="74">
        <f t="shared" ca="1" si="275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3">
        <f t="shared" ref="L420:N420" si="280">L421+L422</f>
        <v>0</v>
      </c>
      <c r="M420" s="74">
        <f t="shared" si="280"/>
        <v>0</v>
      </c>
      <c r="N420" s="74">
        <f t="shared" si="280"/>
        <v>0</v>
      </c>
      <c r="O420" s="74">
        <f t="shared" si="271"/>
        <v>0</v>
      </c>
      <c r="P420" s="74">
        <f t="shared" si="272"/>
        <v>0</v>
      </c>
      <c r="Q420" s="74">
        <f t="shared" ref="Q420:S420" si="281">Q421+Q422</f>
        <v>0</v>
      </c>
      <c r="R420" s="74">
        <f t="shared" si="281"/>
        <v>0</v>
      </c>
      <c r="S420" s="74">
        <f t="shared" si="281"/>
        <v>0</v>
      </c>
      <c r="T420" s="74">
        <f t="shared" si="274"/>
        <v>0</v>
      </c>
      <c r="U420" s="74">
        <f t="shared" si="275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77">
        <f t="shared" si="271"/>
        <v>0</v>
      </c>
      <c r="P421" s="77">
        <f t="shared" si="272"/>
        <v>0</v>
      </c>
      <c r="Q421" s="77">
        <v>0</v>
      </c>
      <c r="R421" s="77">
        <v>0</v>
      </c>
      <c r="S421" s="77">
        <v>0</v>
      </c>
      <c r="T421" s="77">
        <f t="shared" si="274"/>
        <v>0</v>
      </c>
      <c r="U421" s="77">
        <f t="shared" si="275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74">
        <f t="shared" si="271"/>
        <v>0</v>
      </c>
      <c r="P422" s="74">
        <f t="shared" si="272"/>
        <v>0</v>
      </c>
      <c r="Q422" s="74">
        <v>0</v>
      </c>
      <c r="R422" s="74">
        <v>0</v>
      </c>
      <c r="S422" s="74">
        <v>0</v>
      </c>
      <c r="T422" s="74">
        <f t="shared" si="274"/>
        <v>0</v>
      </c>
      <c r="U422" s="74">
        <f t="shared" si="275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2">I441</f>
        <v>0</v>
      </c>
      <c r="J424" s="622">
        <f t="shared" si="282"/>
        <v>0</v>
      </c>
      <c r="K424" s="264">
        <f t="shared" ref="K424:K426" ca="1" si="283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IFERROR(__xludf.DUMMYFUNCTION("IMPORTRANGE(""https://docs.google.com/spreadsheets/d/1eHaY18a8A9IcSdp1K8H6x8fbOy06t2VsZHhMHf-1x7Y/edit?usp=sharing"",""แผน!HJ59"")"),0)</f>
        <v>0</v>
      </c>
      <c r="J425" s="622">
        <f t="shared" ref="J425:J426" si="284">J427+J429+J431</f>
        <v>0</v>
      </c>
      <c r="K425" s="264">
        <f t="shared" ca="1" si="283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IFERROR(__xludf.DUMMYFUNCTION("IMPORTRANGE(""https://docs.google.com/spreadsheets/d/1eHaY18a8A9IcSdp1K8H6x8fbOy06t2VsZHhMHf-1x7Y/edit?usp=sharing"",""แผน!HK59"")"),0)</f>
        <v>0</v>
      </c>
      <c r="J426" s="622">
        <f t="shared" si="284"/>
        <v>0</v>
      </c>
      <c r="K426" s="264">
        <f t="shared" ca="1" si="283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IFERROR(__xludf.DUMMYFUNCTION("IMPORTRANGE(""https://docs.google.com/spreadsheets/d/1eHaY18a8A9IcSdp1K8H6x8fbOy06t2VsZHhMHf-1x7Y/edit?usp=sharing"",""แผน!HJ59"")"),0)</f>
        <v>0</v>
      </c>
      <c r="J433" s="622">
        <f t="shared" ref="J433:J434" si="285">J435+J437+J439</f>
        <v>0</v>
      </c>
      <c r="K433" s="264">
        <f t="shared" ref="K433:K434" ca="1" si="286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IFERROR(__xludf.DUMMYFUNCTION("IMPORTRANGE(""https://docs.google.com/spreadsheets/d/1eHaY18a8A9IcSdp1K8H6x8fbOy06t2VsZHhMHf-1x7Y/edit?usp=sharing"",""แผน!HK59"")"),0)</f>
        <v>0</v>
      </c>
      <c r="J434" s="622">
        <f t="shared" si="285"/>
        <v>0</v>
      </c>
      <c r="K434" s="264">
        <f t="shared" ca="1" si="286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IFERROR(__xludf.DUMMYFUNCTION("IMPORTRANGE(""https://docs.google.com/spreadsheets/d/1eHaY18a8A9IcSdp1K8H6x8fbOy06t2VsZHhMHf-1x7Y/edit?usp=sharing"",""แผน!HJ59"")"),0)</f>
        <v>0</v>
      </c>
      <c r="J441" s="622">
        <f t="shared" ref="J441:J442" si="287">J443+J445+J447+J453+J455</f>
        <v>0</v>
      </c>
      <c r="K441" s="264">
        <f t="shared" ref="K441:K442" ca="1" si="288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IFERROR(__xludf.DUMMYFUNCTION("IMPORTRANGE(""https://docs.google.com/spreadsheets/d/1eHaY18a8A9IcSdp1K8H6x8fbOy06t2VsZHhMHf-1x7Y/edit?usp=sharing"",""แผน!HK59"")"),0)</f>
        <v>0</v>
      </c>
      <c r="J442" s="622">
        <f t="shared" si="287"/>
        <v>0</v>
      </c>
      <c r="K442" s="264">
        <f t="shared" ca="1" si="288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89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89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0">I458</f>
        <v>0</v>
      </c>
      <c r="J457" s="622">
        <f t="shared" si="290"/>
        <v>0</v>
      </c>
      <c r="K457" s="264">
        <f t="shared" ref="K457:K459" ca="1" si="291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IFERROR(__xludf.DUMMYFUNCTION("IMPORTRANGE(""https://docs.google.com/spreadsheets/d/1eHaY18a8A9IcSdp1K8H6x8fbOy06t2VsZHhMHf-1x7Y/edit?usp=sharing"",""แผน!HL59"")"),0)</f>
        <v>0</v>
      </c>
      <c r="J458" s="622">
        <f t="shared" ref="J458:J459" si="292">J460+J468+J474</f>
        <v>0</v>
      </c>
      <c r="K458" s="264">
        <f t="shared" ca="1" si="291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IFERROR(__xludf.DUMMYFUNCTION("IMPORTRANGE(""https://docs.google.com/spreadsheets/d/1eHaY18a8A9IcSdp1K8H6x8fbOy06t2VsZHhMHf-1x7Y/edit?usp=sharing"",""แผน!HM59"")"),0)</f>
        <v>0</v>
      </c>
      <c r="J459" s="622">
        <f t="shared" si="292"/>
        <v>0</v>
      </c>
      <c r="K459" s="264">
        <f t="shared" ca="1" si="291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3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3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4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4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5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6">J479+J481</f>
        <v>0</v>
      </c>
      <c r="K477" s="264">
        <f t="shared" si="295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6"/>
        <v>0</v>
      </c>
      <c r="K478" s="264">
        <f t="shared" si="295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IFERROR(__xludf.DUMMYFUNCTION("IMPORTRANGE(""https://docs.google.com/spreadsheets/d/1eHaY18a8A9IcSdp1K8H6x8fbOy06t2VsZHhMHf-1x7Y/edit?usp=sharing"",""แผน!HN59"")"),0)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IFERROR(__xludf.DUMMYFUNCTION("IMPORTRANGE(""https://docs.google.com/spreadsheets/d/1eHaY18a8A9IcSdp1K8H6x8fbOy06t2VsZHhMHf-1x7Y/edit?usp=sharing"",""แผน!HO59"")"),0)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7">J481</f>
        <v>0</v>
      </c>
      <c r="J485" s="622">
        <f t="shared" ref="J485:J486" si="298">J487+J489+J491</f>
        <v>0</v>
      </c>
      <c r="K485" s="264">
        <f t="shared" ref="K485:K486" si="299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7"/>
        <v>0</v>
      </c>
      <c r="J486" s="622">
        <f t="shared" si="298"/>
        <v>0</v>
      </c>
      <c r="K486" s="264">
        <f t="shared" si="299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hidden="1" x14ac:dyDescent="0.3">
      <c r="A493" s="603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0">I504</f>
        <v>0</v>
      </c>
      <c r="J493" s="617">
        <f t="shared" ca="1" si="300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1257">
        <f t="shared" ref="L494:N494" si="301">L495+L496</f>
        <v>0</v>
      </c>
      <c r="M494" s="264">
        <f t="shared" si="301"/>
        <v>0</v>
      </c>
      <c r="N494" s="264">
        <f t="shared" si="301"/>
        <v>0</v>
      </c>
      <c r="O494" s="264">
        <f t="shared" ref="O494:O502" si="302">IF(L494&gt;0,N494*100/L494,0)</f>
        <v>0</v>
      </c>
      <c r="P494" s="264">
        <f t="shared" ref="P494:P502" si="303">IF(M494&gt;0,N494*100/M494,0)</f>
        <v>0</v>
      </c>
      <c r="Q494" s="264">
        <f t="shared" ref="Q494:S494" ca="1" si="304">Q495+Q496</f>
        <v>0</v>
      </c>
      <c r="R494" s="264">
        <f t="shared" ca="1" si="304"/>
        <v>0</v>
      </c>
      <c r="S494" s="264">
        <f t="shared" ca="1" si="304"/>
        <v>0</v>
      </c>
      <c r="T494" s="264">
        <f t="shared" ref="T494:T502" ca="1" si="305">IF(Q494&gt;0,S494*100/Q494,0)</f>
        <v>0</v>
      </c>
      <c r="U494" s="264">
        <f t="shared" ref="U494:U502" ca="1" si="306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6">
        <f t="shared" ref="L495:N496" si="307">L498+L501</f>
        <v>0</v>
      </c>
      <c r="M495" s="77">
        <f t="shared" si="307"/>
        <v>0</v>
      </c>
      <c r="N495" s="77">
        <f t="shared" si="307"/>
        <v>0</v>
      </c>
      <c r="O495" s="77">
        <f t="shared" si="302"/>
        <v>0</v>
      </c>
      <c r="P495" s="77">
        <f t="shared" si="303"/>
        <v>0</v>
      </c>
      <c r="Q495" s="77">
        <f t="shared" ref="Q495:S496" si="308">Q498+Q501</f>
        <v>0</v>
      </c>
      <c r="R495" s="77">
        <f t="shared" si="308"/>
        <v>0</v>
      </c>
      <c r="S495" s="77">
        <f t="shared" si="308"/>
        <v>0</v>
      </c>
      <c r="T495" s="77">
        <f t="shared" si="305"/>
        <v>0</v>
      </c>
      <c r="U495" s="77">
        <f t="shared" si="306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3">
        <f t="shared" si="307"/>
        <v>0</v>
      </c>
      <c r="M496" s="74">
        <f t="shared" si="307"/>
        <v>0</v>
      </c>
      <c r="N496" s="74">
        <f t="shared" si="307"/>
        <v>0</v>
      </c>
      <c r="O496" s="74">
        <f t="shared" si="302"/>
        <v>0</v>
      </c>
      <c r="P496" s="74">
        <f t="shared" si="303"/>
        <v>0</v>
      </c>
      <c r="Q496" s="74">
        <f t="shared" ca="1" si="308"/>
        <v>0</v>
      </c>
      <c r="R496" s="74">
        <f t="shared" ca="1" si="308"/>
        <v>0</v>
      </c>
      <c r="S496" s="74">
        <f t="shared" ca="1" si="308"/>
        <v>0</v>
      </c>
      <c r="T496" s="74">
        <f t="shared" ca="1" si="305"/>
        <v>0</v>
      </c>
      <c r="U496" s="74">
        <f t="shared" ca="1" si="306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3">
        <f t="shared" ref="L497:N497" si="309">L498+L499</f>
        <v>0</v>
      </c>
      <c r="M497" s="74">
        <f t="shared" si="309"/>
        <v>0</v>
      </c>
      <c r="N497" s="74">
        <f t="shared" si="309"/>
        <v>0</v>
      </c>
      <c r="O497" s="74">
        <f t="shared" si="302"/>
        <v>0</v>
      </c>
      <c r="P497" s="74">
        <f t="shared" si="303"/>
        <v>0</v>
      </c>
      <c r="Q497" s="74">
        <f t="shared" ref="Q497:S497" ca="1" si="310">Q498+Q499</f>
        <v>0</v>
      </c>
      <c r="R497" s="74">
        <f t="shared" ca="1" si="310"/>
        <v>0</v>
      </c>
      <c r="S497" s="74">
        <f t="shared" ca="1" si="310"/>
        <v>0</v>
      </c>
      <c r="T497" s="74">
        <f t="shared" ca="1" si="305"/>
        <v>0</v>
      </c>
      <c r="U497" s="74">
        <f t="shared" ca="1" si="306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77">
        <f t="shared" si="302"/>
        <v>0</v>
      </c>
      <c r="P498" s="77">
        <f t="shared" si="303"/>
        <v>0</v>
      </c>
      <c r="Q498" s="77">
        <v>0</v>
      </c>
      <c r="R498" s="77">
        <v>0</v>
      </c>
      <c r="S498" s="77">
        <v>0</v>
      </c>
      <c r="T498" s="77">
        <f t="shared" si="305"/>
        <v>0</v>
      </c>
      <c r="U498" s="77">
        <f t="shared" si="306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74">
        <f t="shared" si="302"/>
        <v>0</v>
      </c>
      <c r="P499" s="74">
        <f t="shared" si="303"/>
        <v>0</v>
      </c>
      <c r="Q499" s="74">
        <f ca="1">IFERROR(__xludf.DUMMYFUNCTION("IMPORTRANGE(""https://docs.google.com/spreadsheets/d/1ItG2mGa2ceCfYo0BwxsXqNm01IGEUdYcSSLTEv9YCik/edit?usp=sharing"",""เบิกจ่ายกองทุน!X59"")"),0)</f>
        <v>0</v>
      </c>
      <c r="R499" s="74">
        <f ca="1">IFERROR(__xludf.DUMMYFUNCTION("IMPORTRANGE(""https://docs.google.com/spreadsheets/d/1ItG2mGa2ceCfYo0BwxsXqNm01IGEUdYcSSLTEv9YCik/edit?usp=sharing"",""เบิกจ่ายกองทุน!Y59"")"),0)</f>
        <v>0</v>
      </c>
      <c r="S499" s="74">
        <f ca="1">IFERROR(__xludf.DUMMYFUNCTION("IMPORTRANGE(""https://docs.google.com/spreadsheets/d/1ItG2mGa2ceCfYo0BwxsXqNm01IGEUdYcSSLTEv9YCik/edit?usp=sharing"",""เบิกจ่ายกองทุน!Z59"")"),0)</f>
        <v>0</v>
      </c>
      <c r="T499" s="74">
        <f t="shared" ca="1" si="305"/>
        <v>0</v>
      </c>
      <c r="U499" s="74">
        <f t="shared" ca="1" si="306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3">
        <f t="shared" ref="L500:N500" si="311">L501+L502</f>
        <v>0</v>
      </c>
      <c r="M500" s="74">
        <f t="shared" si="311"/>
        <v>0</v>
      </c>
      <c r="N500" s="74">
        <f t="shared" si="311"/>
        <v>0</v>
      </c>
      <c r="O500" s="74">
        <f t="shared" si="302"/>
        <v>0</v>
      </c>
      <c r="P500" s="74">
        <f t="shared" si="303"/>
        <v>0</v>
      </c>
      <c r="Q500" s="74">
        <f t="shared" ref="Q500:S500" si="312">Q501+Q502</f>
        <v>0</v>
      </c>
      <c r="R500" s="74">
        <f t="shared" si="312"/>
        <v>0</v>
      </c>
      <c r="S500" s="74">
        <f t="shared" si="312"/>
        <v>0</v>
      </c>
      <c r="T500" s="74">
        <f t="shared" si="305"/>
        <v>0</v>
      </c>
      <c r="U500" s="74">
        <f t="shared" si="306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77">
        <f t="shared" si="302"/>
        <v>0</v>
      </c>
      <c r="P501" s="77">
        <f t="shared" si="303"/>
        <v>0</v>
      </c>
      <c r="Q501" s="77">
        <v>0</v>
      </c>
      <c r="R501" s="77">
        <v>0</v>
      </c>
      <c r="S501" s="77">
        <v>0</v>
      </c>
      <c r="T501" s="77">
        <f t="shared" si="305"/>
        <v>0</v>
      </c>
      <c r="U501" s="77">
        <f t="shared" si="306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74">
        <f t="shared" si="302"/>
        <v>0</v>
      </c>
      <c r="P502" s="74">
        <f t="shared" si="303"/>
        <v>0</v>
      </c>
      <c r="Q502" s="74">
        <v>0</v>
      </c>
      <c r="R502" s="74">
        <v>0</v>
      </c>
      <c r="S502" s="74">
        <v>0</v>
      </c>
      <c r="T502" s="74">
        <f t="shared" si="305"/>
        <v>0</v>
      </c>
      <c r="U502" s="74">
        <f t="shared" si="306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IFERROR(__xludf.DUMMYFUNCTION("IMPORTRANGE(""https://docs.google.com/spreadsheets/d/1eHaY18a8A9IcSdp1K8H6x8fbOy06t2VsZHhMHf-1x7Y/edit?usp=sharing"",""แผน!GX59"")"),0)</f>
        <v>0</v>
      </c>
      <c r="J504" s="622">
        <f ca="1">IF(AND(J505=I505,J506=I506,J507=I507,J508=I508),I504,0)</f>
        <v>0</v>
      </c>
      <c r="K504" s="264">
        <f t="shared" ref="K504:K510" ca="1" si="313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IFERROR(__xludf.DUMMYFUNCTION("IMPORTRANGE(""https://docs.google.com/spreadsheets/d/1eHaY18a8A9IcSdp1K8H6x8fbOy06t2VsZHhMHf-1x7Y/edit?usp=sharing"",""แผน!GY59"")"),0)</f>
        <v>0</v>
      </c>
      <c r="J505" s="294">
        <v>0</v>
      </c>
      <c r="K505" s="74">
        <f t="shared" ca="1" si="313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IFERROR(__xludf.DUMMYFUNCTION("IMPORTRANGE(""https://docs.google.com/spreadsheets/d/1eHaY18a8A9IcSdp1K8H6x8fbOy06t2VsZHhMHf-1x7Y/edit?usp=sharing"",""แผน!GZ59"")"),0)</f>
        <v>0</v>
      </c>
      <c r="J506" s="294">
        <v>0</v>
      </c>
      <c r="K506" s="74">
        <f t="shared" ca="1" si="313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IFERROR(__xludf.DUMMYFUNCTION("IMPORTRANGE(""https://docs.google.com/spreadsheets/d/1eHaY18a8A9IcSdp1K8H6x8fbOy06t2VsZHhMHf-1x7Y/edit?usp=sharing"",""แผน!HA59"")"),0)</f>
        <v>0</v>
      </c>
      <c r="J507" s="294">
        <v>0</v>
      </c>
      <c r="K507" s="74">
        <f t="shared" ca="1" si="313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IFERROR(__xludf.DUMMYFUNCTION("IMPORTRANGE(""https://docs.google.com/spreadsheets/d/1eHaY18a8A9IcSdp1K8H6x8fbOy06t2VsZHhMHf-1x7Y/edit?usp=sharing"",""แผน!HB59"")"),0)</f>
        <v>0</v>
      </c>
      <c r="J508" s="294">
        <v>0</v>
      </c>
      <c r="K508" s="74">
        <f t="shared" ca="1" si="313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3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hidden="1" x14ac:dyDescent="0.3">
      <c r="A510" s="627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IFERROR(__xludf.DUMMYFUNCTION("IMPORTRANGE(""https://docs.google.com/spreadsheets/d/1eHaY18a8A9IcSdp1K8H6x8fbOy06t2VsZHhMHf-1x7Y/edit?usp=sharing"",""แผน!HC59"")"),0)</f>
        <v>0</v>
      </c>
      <c r="J510" s="761">
        <v>0</v>
      </c>
      <c r="K510" s="182">
        <f t="shared" ca="1" si="313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8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204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1001" t="s">
        <v>61</v>
      </c>
      <c r="I513" s="988">
        <f t="shared" ref="I513:J513" si="314">I525</f>
        <v>0</v>
      </c>
      <c r="J513" s="988">
        <f t="shared" si="314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7">
        <f t="shared" ref="L514:N514" ca="1" si="315">L515+L516</f>
        <v>0</v>
      </c>
      <c r="M514" s="264">
        <f t="shared" ca="1" si="315"/>
        <v>0</v>
      </c>
      <c r="N514" s="264">
        <f t="shared" ca="1" si="315"/>
        <v>0</v>
      </c>
      <c r="O514" s="264">
        <f t="shared" ref="O514:O522" ca="1" si="316">IF(L514&gt;0,N514*100/L514,0)</f>
        <v>0</v>
      </c>
      <c r="P514" s="264">
        <f t="shared" ref="P514:P522" ca="1" si="317">IF(M514&gt;0,N514*100/M514,0)</f>
        <v>0</v>
      </c>
      <c r="Q514" s="264">
        <f t="shared" ref="Q514:S514" si="318">Q515+Q516</f>
        <v>0</v>
      </c>
      <c r="R514" s="264">
        <f t="shared" si="318"/>
        <v>0</v>
      </c>
      <c r="S514" s="264">
        <f t="shared" si="318"/>
        <v>0</v>
      </c>
      <c r="T514" s="264">
        <f t="shared" ref="T514:T522" si="319">IF(Q514&gt;0,S514*100/Q514,0)</f>
        <v>0</v>
      </c>
      <c r="U514" s="264">
        <f t="shared" ref="U514:U522" si="320">IF(R514&gt;0,S514*100/R514,0)</f>
        <v>0</v>
      </c>
    </row>
    <row r="515" spans="1:21" ht="18.75" hidden="1" x14ac:dyDescent="0.25">
      <c r="A515" s="257"/>
      <c r="B515" s="269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6">
        <f t="shared" ref="L515:N516" si="321">L518+L521</f>
        <v>0</v>
      </c>
      <c r="M515" s="77">
        <f t="shared" si="321"/>
        <v>0</v>
      </c>
      <c r="N515" s="77">
        <f t="shared" si="321"/>
        <v>0</v>
      </c>
      <c r="O515" s="77">
        <f t="shared" si="316"/>
        <v>0</v>
      </c>
      <c r="P515" s="77">
        <f t="shared" si="317"/>
        <v>0</v>
      </c>
      <c r="Q515" s="77">
        <f t="shared" ref="Q515:S516" si="322">Q518+Q521</f>
        <v>0</v>
      </c>
      <c r="R515" s="77">
        <f t="shared" si="322"/>
        <v>0</v>
      </c>
      <c r="S515" s="77">
        <f t="shared" si="322"/>
        <v>0</v>
      </c>
      <c r="T515" s="77">
        <f t="shared" si="319"/>
        <v>0</v>
      </c>
      <c r="U515" s="77">
        <f t="shared" si="320"/>
        <v>0</v>
      </c>
    </row>
    <row r="516" spans="1:21" ht="18.75" hidden="1" x14ac:dyDescent="0.25">
      <c r="A516" s="257"/>
      <c r="B516" s="258"/>
      <c r="C516" s="269"/>
      <c r="D516" s="258"/>
      <c r="E516" s="775" t="s">
        <v>21</v>
      </c>
      <c r="F516" s="258"/>
      <c r="G516" s="261"/>
      <c r="H516" s="266" t="s">
        <v>14</v>
      </c>
      <c r="I516" s="263"/>
      <c r="J516" s="263"/>
      <c r="K516" s="87"/>
      <c r="L516" s="73">
        <f t="shared" ca="1" si="321"/>
        <v>0</v>
      </c>
      <c r="M516" s="74">
        <f t="shared" ca="1" si="321"/>
        <v>0</v>
      </c>
      <c r="N516" s="74">
        <f t="shared" ca="1" si="321"/>
        <v>0</v>
      </c>
      <c r="O516" s="74">
        <f t="shared" ca="1" si="316"/>
        <v>0</v>
      </c>
      <c r="P516" s="74">
        <f t="shared" ca="1" si="317"/>
        <v>0</v>
      </c>
      <c r="Q516" s="74">
        <f t="shared" si="322"/>
        <v>0</v>
      </c>
      <c r="R516" s="74">
        <f t="shared" si="322"/>
        <v>0</v>
      </c>
      <c r="S516" s="74">
        <f t="shared" si="322"/>
        <v>0</v>
      </c>
      <c r="T516" s="74">
        <f t="shared" si="319"/>
        <v>0</v>
      </c>
      <c r="U516" s="74">
        <f t="shared" si="320"/>
        <v>0</v>
      </c>
    </row>
    <row r="517" spans="1:21" ht="18.75" hidden="1" x14ac:dyDescent="0.25">
      <c r="A517" s="257"/>
      <c r="B517" s="258"/>
      <c r="C517" s="269"/>
      <c r="D517" s="991" t="s">
        <v>22</v>
      </c>
      <c r="E517" s="269"/>
      <c r="F517" s="258"/>
      <c r="G517" s="261"/>
      <c r="H517" s="273" t="s">
        <v>14</v>
      </c>
      <c r="I517" s="272"/>
      <c r="J517" s="272"/>
      <c r="K517" s="229"/>
      <c r="L517" s="73">
        <f t="shared" ref="L517:N517" ca="1" si="323">L518+L519</f>
        <v>0</v>
      </c>
      <c r="M517" s="74">
        <f t="shared" ca="1" si="323"/>
        <v>0</v>
      </c>
      <c r="N517" s="74">
        <f t="shared" ca="1" si="323"/>
        <v>0</v>
      </c>
      <c r="O517" s="74">
        <f t="shared" ca="1" si="316"/>
        <v>0</v>
      </c>
      <c r="P517" s="74">
        <f t="shared" ca="1" si="317"/>
        <v>0</v>
      </c>
      <c r="Q517" s="74">
        <f t="shared" ref="Q517:S517" si="324">Q518+Q519</f>
        <v>0</v>
      </c>
      <c r="R517" s="74">
        <f t="shared" si="324"/>
        <v>0</v>
      </c>
      <c r="S517" s="74">
        <f t="shared" si="324"/>
        <v>0</v>
      </c>
      <c r="T517" s="74">
        <f t="shared" si="319"/>
        <v>0</v>
      </c>
      <c r="U517" s="74">
        <f t="shared" si="320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77">
        <f t="shared" si="316"/>
        <v>0</v>
      </c>
      <c r="P518" s="77">
        <f t="shared" si="317"/>
        <v>0</v>
      </c>
      <c r="Q518" s="77">
        <v>0</v>
      </c>
      <c r="R518" s="77">
        <v>0</v>
      </c>
      <c r="S518" s="77">
        <v>0</v>
      </c>
      <c r="T518" s="77">
        <f t="shared" si="319"/>
        <v>0</v>
      </c>
      <c r="U518" s="77">
        <f t="shared" si="320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3">
        <f ca="1">IFERROR(__xludf.DUMMYFUNCTION("IMPORTRANGE(""https://docs.google.com/spreadsheets/d/1-uDff_7J0KD5mKrp0Vvzr7lt3OU09vwQwhkpOPPYv2Y/edit?usp=sharing"",""งบพรบ!FM59"")"),0)</f>
        <v>0</v>
      </c>
      <c r="M519" s="74">
        <f ca="1">IFERROR(__xludf.DUMMYFUNCTION("IMPORTRANGE(""https://docs.google.com/spreadsheets/d/1-uDff_7J0KD5mKrp0Vvzr7lt3OU09vwQwhkpOPPYv2Y/edit?usp=sharing"",""งบพรบ!FR59"")"),0)</f>
        <v>0</v>
      </c>
      <c r="N519" s="74">
        <f ca="1">IFERROR(__xludf.DUMMYFUNCTION("IMPORTRANGE(""https://docs.google.com/spreadsheets/d/1-uDff_7J0KD5mKrp0Vvzr7lt3OU09vwQwhkpOPPYv2Y/edit?usp=sharing"",""งบพรบ!FT59"")"),0)</f>
        <v>0</v>
      </c>
      <c r="O519" s="74">
        <f t="shared" ca="1" si="316"/>
        <v>0</v>
      </c>
      <c r="P519" s="74">
        <f t="shared" ca="1" si="317"/>
        <v>0</v>
      </c>
      <c r="Q519" s="74">
        <v>0</v>
      </c>
      <c r="R519" s="74">
        <v>0</v>
      </c>
      <c r="S519" s="74">
        <v>0</v>
      </c>
      <c r="T519" s="74">
        <f t="shared" si="319"/>
        <v>0</v>
      </c>
      <c r="U519" s="74">
        <f t="shared" si="320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3">
        <f t="shared" ref="L520:N520" ca="1" si="325">L521+L522</f>
        <v>0</v>
      </c>
      <c r="M520" s="74">
        <f t="shared" ca="1" si="325"/>
        <v>0</v>
      </c>
      <c r="N520" s="74">
        <f t="shared" ca="1" si="325"/>
        <v>0</v>
      </c>
      <c r="O520" s="74">
        <f t="shared" ca="1" si="316"/>
        <v>0</v>
      </c>
      <c r="P520" s="74">
        <f t="shared" ca="1" si="317"/>
        <v>0</v>
      </c>
      <c r="Q520" s="74">
        <f t="shared" ref="Q520:S520" si="326">Q521+Q522</f>
        <v>0</v>
      </c>
      <c r="R520" s="74">
        <f t="shared" si="326"/>
        <v>0</v>
      </c>
      <c r="S520" s="74">
        <f t="shared" si="326"/>
        <v>0</v>
      </c>
      <c r="T520" s="74">
        <f t="shared" si="319"/>
        <v>0</v>
      </c>
      <c r="U520" s="74">
        <f t="shared" si="320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77">
        <f t="shared" si="316"/>
        <v>0</v>
      </c>
      <c r="P521" s="77">
        <f t="shared" si="317"/>
        <v>0</v>
      </c>
      <c r="Q521" s="77">
        <v>0</v>
      </c>
      <c r="R521" s="77">
        <v>0</v>
      </c>
      <c r="S521" s="77">
        <v>0</v>
      </c>
      <c r="T521" s="77">
        <f t="shared" si="319"/>
        <v>0</v>
      </c>
      <c r="U521" s="77">
        <f t="shared" si="320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3">
        <f ca="1">IFERROR(__xludf.DUMMYFUNCTION("IMPORTRANGE(""https://docs.google.com/spreadsheets/d/1-uDff_7J0KD5mKrp0Vvzr7lt3OU09vwQwhkpOPPYv2Y/edit?usp=sharing"",""งบพรบ!FP59"")"),0)</f>
        <v>0</v>
      </c>
      <c r="M522" s="74">
        <f ca="1">IFERROR(__xludf.DUMMYFUNCTION("IMPORTRANGE(""https://docs.google.com/spreadsheets/d/1-uDff_7J0KD5mKrp0Vvzr7lt3OU09vwQwhkpOPPYv2Y/edit?usp=sharing"",""งบพรบ!FS59"")"),0)</f>
        <v>0</v>
      </c>
      <c r="N522" s="74">
        <f ca="1">IFERROR(__xludf.DUMMYFUNCTION("IMPORTRANGE(""https://docs.google.com/spreadsheets/d/1-uDff_7J0KD5mKrp0Vvzr7lt3OU09vwQwhkpOPPYv2Y/edit?usp=sharing"",""งบพรบ!FU59"")"),0)</f>
        <v>0</v>
      </c>
      <c r="O522" s="74">
        <f t="shared" ca="1" si="316"/>
        <v>0</v>
      </c>
      <c r="P522" s="74">
        <f t="shared" ca="1" si="317"/>
        <v>0</v>
      </c>
      <c r="Q522" s="74">
        <v>0</v>
      </c>
      <c r="R522" s="74">
        <v>0</v>
      </c>
      <c r="S522" s="74">
        <v>0</v>
      </c>
      <c r="T522" s="74">
        <f t="shared" si="319"/>
        <v>0</v>
      </c>
      <c r="U522" s="74">
        <f t="shared" si="320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7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7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8">I546</f>
        <v>0</v>
      </c>
      <c r="J534" s="1002">
        <f t="shared" si="328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1257">
        <f t="shared" ref="L535:N535" si="329">L536+L537</f>
        <v>0</v>
      </c>
      <c r="M535" s="264">
        <f t="shared" si="329"/>
        <v>0</v>
      </c>
      <c r="N535" s="264">
        <f t="shared" si="329"/>
        <v>0</v>
      </c>
      <c r="O535" s="264">
        <f t="shared" ref="O535:O543" si="330">IF(L535&gt;0,N535*100/L535,0)</f>
        <v>0</v>
      </c>
      <c r="P535" s="264">
        <f t="shared" ref="P535:P543" si="331">IF(M535&gt;0,N535*100/M535,0)</f>
        <v>0</v>
      </c>
      <c r="Q535" s="264">
        <f t="shared" ref="Q535:S535" si="332">Q536+Q537</f>
        <v>0</v>
      </c>
      <c r="R535" s="264">
        <f t="shared" si="332"/>
        <v>0</v>
      </c>
      <c r="S535" s="264">
        <f t="shared" si="332"/>
        <v>0</v>
      </c>
      <c r="T535" s="264">
        <f t="shared" ref="T535:T543" si="333">IF(Q535&gt;0,S535*100/Q535,0)</f>
        <v>0</v>
      </c>
      <c r="U535" s="264">
        <f t="shared" ref="U535:U543" si="334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6">
        <f t="shared" ref="L536:N537" si="335">L539+L542</f>
        <v>0</v>
      </c>
      <c r="M536" s="77">
        <f t="shared" si="335"/>
        <v>0</v>
      </c>
      <c r="N536" s="77">
        <f t="shared" si="335"/>
        <v>0</v>
      </c>
      <c r="O536" s="77">
        <f t="shared" si="330"/>
        <v>0</v>
      </c>
      <c r="P536" s="77">
        <f t="shared" si="331"/>
        <v>0</v>
      </c>
      <c r="Q536" s="77">
        <f t="shared" ref="Q536:S537" si="336">Q539+Q542</f>
        <v>0</v>
      </c>
      <c r="R536" s="77">
        <f t="shared" si="336"/>
        <v>0</v>
      </c>
      <c r="S536" s="77">
        <f t="shared" si="336"/>
        <v>0</v>
      </c>
      <c r="T536" s="77">
        <f t="shared" si="333"/>
        <v>0</v>
      </c>
      <c r="U536" s="77">
        <f t="shared" si="334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3">
        <f t="shared" si="335"/>
        <v>0</v>
      </c>
      <c r="M537" s="74">
        <f t="shared" si="335"/>
        <v>0</v>
      </c>
      <c r="N537" s="74">
        <f t="shared" si="335"/>
        <v>0</v>
      </c>
      <c r="O537" s="74">
        <f t="shared" si="330"/>
        <v>0</v>
      </c>
      <c r="P537" s="74">
        <f t="shared" si="331"/>
        <v>0</v>
      </c>
      <c r="Q537" s="74">
        <f t="shared" si="336"/>
        <v>0</v>
      </c>
      <c r="R537" s="74">
        <f t="shared" si="336"/>
        <v>0</v>
      </c>
      <c r="S537" s="74">
        <f t="shared" si="336"/>
        <v>0</v>
      </c>
      <c r="T537" s="74">
        <f t="shared" si="333"/>
        <v>0</v>
      </c>
      <c r="U537" s="74">
        <f t="shared" si="334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3">
        <f t="shared" ref="L538:N538" si="337">L539+L540</f>
        <v>0</v>
      </c>
      <c r="M538" s="74">
        <f t="shared" si="337"/>
        <v>0</v>
      </c>
      <c r="N538" s="74">
        <f t="shared" si="337"/>
        <v>0</v>
      </c>
      <c r="O538" s="74">
        <f t="shared" si="330"/>
        <v>0</v>
      </c>
      <c r="P538" s="74">
        <f t="shared" si="331"/>
        <v>0</v>
      </c>
      <c r="Q538" s="74">
        <f t="shared" ref="Q538:S538" si="338">Q539+Q540</f>
        <v>0</v>
      </c>
      <c r="R538" s="74">
        <f t="shared" si="338"/>
        <v>0</v>
      </c>
      <c r="S538" s="74">
        <f t="shared" si="338"/>
        <v>0</v>
      </c>
      <c r="T538" s="74">
        <f t="shared" si="333"/>
        <v>0</v>
      </c>
      <c r="U538" s="74">
        <f t="shared" si="334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77">
        <f t="shared" si="330"/>
        <v>0</v>
      </c>
      <c r="P539" s="77">
        <f t="shared" si="331"/>
        <v>0</v>
      </c>
      <c r="Q539" s="77">
        <v>0</v>
      </c>
      <c r="R539" s="77">
        <v>0</v>
      </c>
      <c r="S539" s="77">
        <v>0</v>
      </c>
      <c r="T539" s="77">
        <f t="shared" si="333"/>
        <v>0</v>
      </c>
      <c r="U539" s="77">
        <f t="shared" si="334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74">
        <f t="shared" si="330"/>
        <v>0</v>
      </c>
      <c r="P540" s="74">
        <f t="shared" si="331"/>
        <v>0</v>
      </c>
      <c r="Q540" s="74">
        <v>0</v>
      </c>
      <c r="R540" s="74">
        <v>0</v>
      </c>
      <c r="S540" s="74">
        <v>0</v>
      </c>
      <c r="T540" s="74">
        <f t="shared" si="333"/>
        <v>0</v>
      </c>
      <c r="U540" s="74">
        <f t="shared" si="334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3">
        <f t="shared" ref="L541:N541" si="339">L542+L543</f>
        <v>0</v>
      </c>
      <c r="M541" s="74">
        <f t="shared" si="339"/>
        <v>0</v>
      </c>
      <c r="N541" s="74">
        <f t="shared" si="339"/>
        <v>0</v>
      </c>
      <c r="O541" s="74">
        <f t="shared" si="330"/>
        <v>0</v>
      </c>
      <c r="P541" s="74">
        <f t="shared" si="331"/>
        <v>0</v>
      </c>
      <c r="Q541" s="74">
        <f t="shared" ref="Q541:S541" si="340">Q542+Q543</f>
        <v>0</v>
      </c>
      <c r="R541" s="74">
        <f t="shared" si="340"/>
        <v>0</v>
      </c>
      <c r="S541" s="74">
        <f t="shared" si="340"/>
        <v>0</v>
      </c>
      <c r="T541" s="74">
        <f t="shared" si="333"/>
        <v>0</v>
      </c>
      <c r="U541" s="74">
        <f t="shared" si="334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77">
        <f t="shared" si="330"/>
        <v>0</v>
      </c>
      <c r="P542" s="77">
        <f t="shared" si="331"/>
        <v>0</v>
      </c>
      <c r="Q542" s="77">
        <v>0</v>
      </c>
      <c r="R542" s="77">
        <v>0</v>
      </c>
      <c r="S542" s="77">
        <v>0</v>
      </c>
      <c r="T542" s="77">
        <f t="shared" si="333"/>
        <v>0</v>
      </c>
      <c r="U542" s="77">
        <f t="shared" si="334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74">
        <f t="shared" si="330"/>
        <v>0</v>
      </c>
      <c r="P543" s="74">
        <f t="shared" si="331"/>
        <v>0</v>
      </c>
      <c r="Q543" s="74">
        <v>0</v>
      </c>
      <c r="R543" s="74">
        <v>0</v>
      </c>
      <c r="S543" s="74">
        <v>0</v>
      </c>
      <c r="T543" s="74">
        <f t="shared" si="333"/>
        <v>0</v>
      </c>
      <c r="U543" s="74">
        <f t="shared" si="334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1">I567</f>
        <v>0</v>
      </c>
      <c r="J555" s="1002">
        <f t="shared" si="341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1257">
        <f t="shared" ref="L556:N556" si="342">L557+L558</f>
        <v>0</v>
      </c>
      <c r="M556" s="264">
        <f t="shared" si="342"/>
        <v>0</v>
      </c>
      <c r="N556" s="264">
        <f t="shared" si="342"/>
        <v>0</v>
      </c>
      <c r="O556" s="264">
        <f t="shared" ref="O556:O564" si="343">IF(L556&gt;0,N556*100/L556,0)</f>
        <v>0</v>
      </c>
      <c r="P556" s="264">
        <f t="shared" ref="P556:P564" si="344">IF(M556&gt;0,N556*100/M556,0)</f>
        <v>0</v>
      </c>
      <c r="Q556" s="264">
        <f t="shared" ref="Q556:S556" si="345">Q557+Q558</f>
        <v>0</v>
      </c>
      <c r="R556" s="264">
        <f t="shared" si="345"/>
        <v>0</v>
      </c>
      <c r="S556" s="264">
        <f t="shared" si="345"/>
        <v>0</v>
      </c>
      <c r="T556" s="264">
        <f t="shared" ref="T556:T564" si="346">IF(Q556&gt;0,S556*100/Q556,0)</f>
        <v>0</v>
      </c>
      <c r="U556" s="264">
        <f t="shared" ref="U556:U564" si="347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6">
        <f t="shared" ref="L557:N558" si="348">L560+L563</f>
        <v>0</v>
      </c>
      <c r="M557" s="77">
        <f t="shared" si="348"/>
        <v>0</v>
      </c>
      <c r="N557" s="77">
        <f t="shared" si="348"/>
        <v>0</v>
      </c>
      <c r="O557" s="77">
        <f t="shared" si="343"/>
        <v>0</v>
      </c>
      <c r="P557" s="77">
        <f t="shared" si="344"/>
        <v>0</v>
      </c>
      <c r="Q557" s="77">
        <f t="shared" ref="Q557:S558" si="349">Q560+Q563</f>
        <v>0</v>
      </c>
      <c r="R557" s="77">
        <f t="shared" si="349"/>
        <v>0</v>
      </c>
      <c r="S557" s="77">
        <f t="shared" si="349"/>
        <v>0</v>
      </c>
      <c r="T557" s="77">
        <f t="shared" si="346"/>
        <v>0</v>
      </c>
      <c r="U557" s="77">
        <f t="shared" si="347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3">
        <f t="shared" si="348"/>
        <v>0</v>
      </c>
      <c r="M558" s="74">
        <f t="shared" si="348"/>
        <v>0</v>
      </c>
      <c r="N558" s="74">
        <f t="shared" si="348"/>
        <v>0</v>
      </c>
      <c r="O558" s="74">
        <f t="shared" si="343"/>
        <v>0</v>
      </c>
      <c r="P558" s="74">
        <f t="shared" si="344"/>
        <v>0</v>
      </c>
      <c r="Q558" s="74">
        <f t="shared" si="349"/>
        <v>0</v>
      </c>
      <c r="R558" s="74">
        <f t="shared" si="349"/>
        <v>0</v>
      </c>
      <c r="S558" s="74">
        <f t="shared" si="349"/>
        <v>0</v>
      </c>
      <c r="T558" s="74">
        <f t="shared" si="346"/>
        <v>0</v>
      </c>
      <c r="U558" s="74">
        <f t="shared" si="347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3">
        <f t="shared" ref="L559:N559" si="350">L560+L561</f>
        <v>0</v>
      </c>
      <c r="M559" s="74">
        <f t="shared" si="350"/>
        <v>0</v>
      </c>
      <c r="N559" s="74">
        <f t="shared" si="350"/>
        <v>0</v>
      </c>
      <c r="O559" s="74">
        <f t="shared" si="343"/>
        <v>0</v>
      </c>
      <c r="P559" s="74">
        <f t="shared" si="344"/>
        <v>0</v>
      </c>
      <c r="Q559" s="74">
        <f t="shared" ref="Q559:S559" si="351">Q560+Q561</f>
        <v>0</v>
      </c>
      <c r="R559" s="74">
        <f t="shared" si="351"/>
        <v>0</v>
      </c>
      <c r="S559" s="74">
        <f t="shared" si="351"/>
        <v>0</v>
      </c>
      <c r="T559" s="74">
        <f t="shared" si="346"/>
        <v>0</v>
      </c>
      <c r="U559" s="74">
        <f t="shared" si="347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77">
        <f t="shared" si="343"/>
        <v>0</v>
      </c>
      <c r="P560" s="77">
        <f t="shared" si="344"/>
        <v>0</v>
      </c>
      <c r="Q560" s="77">
        <v>0</v>
      </c>
      <c r="R560" s="77">
        <v>0</v>
      </c>
      <c r="S560" s="77">
        <v>0</v>
      </c>
      <c r="T560" s="77">
        <f t="shared" si="346"/>
        <v>0</v>
      </c>
      <c r="U560" s="77">
        <f t="shared" si="347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74">
        <f t="shared" si="343"/>
        <v>0</v>
      </c>
      <c r="P561" s="74">
        <f t="shared" si="344"/>
        <v>0</v>
      </c>
      <c r="Q561" s="74">
        <v>0</v>
      </c>
      <c r="R561" s="74">
        <v>0</v>
      </c>
      <c r="S561" s="74">
        <v>0</v>
      </c>
      <c r="T561" s="74">
        <f t="shared" si="346"/>
        <v>0</v>
      </c>
      <c r="U561" s="74">
        <f t="shared" si="347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3">
        <f t="shared" ref="L562:N562" si="352">L563+L564</f>
        <v>0</v>
      </c>
      <c r="M562" s="74">
        <f t="shared" si="352"/>
        <v>0</v>
      </c>
      <c r="N562" s="74">
        <f t="shared" si="352"/>
        <v>0</v>
      </c>
      <c r="O562" s="74">
        <f t="shared" si="343"/>
        <v>0</v>
      </c>
      <c r="P562" s="74">
        <f t="shared" si="344"/>
        <v>0</v>
      </c>
      <c r="Q562" s="74">
        <f t="shared" ref="Q562:S562" si="353">Q563+Q564</f>
        <v>0</v>
      </c>
      <c r="R562" s="74">
        <f t="shared" si="353"/>
        <v>0</v>
      </c>
      <c r="S562" s="74">
        <f t="shared" si="353"/>
        <v>0</v>
      </c>
      <c r="T562" s="74">
        <f t="shared" si="346"/>
        <v>0</v>
      </c>
      <c r="U562" s="74">
        <f t="shared" si="347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77">
        <f t="shared" si="343"/>
        <v>0</v>
      </c>
      <c r="P563" s="77">
        <f t="shared" si="344"/>
        <v>0</v>
      </c>
      <c r="Q563" s="77">
        <v>0</v>
      </c>
      <c r="R563" s="77">
        <v>0</v>
      </c>
      <c r="S563" s="77">
        <v>0</v>
      </c>
      <c r="T563" s="77">
        <f t="shared" si="346"/>
        <v>0</v>
      </c>
      <c r="U563" s="77">
        <f t="shared" si="347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74">
        <f t="shared" si="343"/>
        <v>0</v>
      </c>
      <c r="P564" s="74">
        <f t="shared" si="344"/>
        <v>0</v>
      </c>
      <c r="Q564" s="74">
        <v>0</v>
      </c>
      <c r="R564" s="74">
        <v>0</v>
      </c>
      <c r="S564" s="74">
        <v>0</v>
      </c>
      <c r="T564" s="74">
        <f t="shared" si="346"/>
        <v>0</v>
      </c>
      <c r="U564" s="74">
        <f t="shared" si="347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4">I588</f>
        <v>0</v>
      </c>
      <c r="J576" s="1002">
        <f t="shared" si="354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1257">
        <f t="shared" ref="L577:N577" si="355">L578+L579</f>
        <v>0</v>
      </c>
      <c r="M577" s="264">
        <f t="shared" si="355"/>
        <v>0</v>
      </c>
      <c r="N577" s="264">
        <f t="shared" si="355"/>
        <v>0</v>
      </c>
      <c r="O577" s="264">
        <f t="shared" ref="O577:O585" si="356">IF(L577&gt;0,N577*100/L577,0)</f>
        <v>0</v>
      </c>
      <c r="P577" s="264">
        <f t="shared" ref="P577:P585" si="357">IF(M577&gt;0,N577*100/M577,0)</f>
        <v>0</v>
      </c>
      <c r="Q577" s="264">
        <f t="shared" ref="Q577:S577" si="358">Q578+Q579</f>
        <v>0</v>
      </c>
      <c r="R577" s="264">
        <f t="shared" si="358"/>
        <v>0</v>
      </c>
      <c r="S577" s="264">
        <f t="shared" si="358"/>
        <v>0</v>
      </c>
      <c r="T577" s="264">
        <f t="shared" ref="T577:T585" si="359">IF(Q577&gt;0,S577*100/Q577,0)</f>
        <v>0</v>
      </c>
      <c r="U577" s="264">
        <f t="shared" ref="U577:U585" si="360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6">
        <f t="shared" ref="L578:N579" si="361">L581+L584</f>
        <v>0</v>
      </c>
      <c r="M578" s="77">
        <f t="shared" si="361"/>
        <v>0</v>
      </c>
      <c r="N578" s="77">
        <f t="shared" si="361"/>
        <v>0</v>
      </c>
      <c r="O578" s="77">
        <f t="shared" si="356"/>
        <v>0</v>
      </c>
      <c r="P578" s="77">
        <f t="shared" si="357"/>
        <v>0</v>
      </c>
      <c r="Q578" s="77">
        <f t="shared" ref="Q578:S579" si="362">Q581+Q584</f>
        <v>0</v>
      </c>
      <c r="R578" s="77">
        <f t="shared" si="362"/>
        <v>0</v>
      </c>
      <c r="S578" s="77">
        <f t="shared" si="362"/>
        <v>0</v>
      </c>
      <c r="T578" s="77">
        <f t="shared" si="359"/>
        <v>0</v>
      </c>
      <c r="U578" s="77">
        <f t="shared" si="360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3">
        <f t="shared" si="361"/>
        <v>0</v>
      </c>
      <c r="M579" s="74">
        <f t="shared" si="361"/>
        <v>0</v>
      </c>
      <c r="N579" s="74">
        <f t="shared" si="361"/>
        <v>0</v>
      </c>
      <c r="O579" s="74">
        <f t="shared" si="356"/>
        <v>0</v>
      </c>
      <c r="P579" s="74">
        <f t="shared" si="357"/>
        <v>0</v>
      </c>
      <c r="Q579" s="74">
        <f t="shared" si="362"/>
        <v>0</v>
      </c>
      <c r="R579" s="74">
        <f t="shared" si="362"/>
        <v>0</v>
      </c>
      <c r="S579" s="74">
        <f t="shared" si="362"/>
        <v>0</v>
      </c>
      <c r="T579" s="74">
        <f t="shared" si="359"/>
        <v>0</v>
      </c>
      <c r="U579" s="74">
        <f t="shared" si="360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3">
        <f t="shared" ref="L580:N580" si="363">L581+L582</f>
        <v>0</v>
      </c>
      <c r="M580" s="74">
        <f t="shared" si="363"/>
        <v>0</v>
      </c>
      <c r="N580" s="74">
        <f t="shared" si="363"/>
        <v>0</v>
      </c>
      <c r="O580" s="74">
        <f t="shared" si="356"/>
        <v>0</v>
      </c>
      <c r="P580" s="74">
        <f t="shared" si="357"/>
        <v>0</v>
      </c>
      <c r="Q580" s="74">
        <f t="shared" ref="Q580:S580" si="364">Q581+Q582</f>
        <v>0</v>
      </c>
      <c r="R580" s="74">
        <f t="shared" si="364"/>
        <v>0</v>
      </c>
      <c r="S580" s="74">
        <f t="shared" si="364"/>
        <v>0</v>
      </c>
      <c r="T580" s="74">
        <f t="shared" si="359"/>
        <v>0</v>
      </c>
      <c r="U580" s="74">
        <f t="shared" si="360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77">
        <f t="shared" si="356"/>
        <v>0</v>
      </c>
      <c r="P581" s="77">
        <f t="shared" si="357"/>
        <v>0</v>
      </c>
      <c r="Q581" s="77">
        <v>0</v>
      </c>
      <c r="R581" s="77">
        <v>0</v>
      </c>
      <c r="S581" s="77">
        <v>0</v>
      </c>
      <c r="T581" s="77">
        <f t="shared" si="359"/>
        <v>0</v>
      </c>
      <c r="U581" s="77">
        <f t="shared" si="360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74">
        <f t="shared" si="356"/>
        <v>0</v>
      </c>
      <c r="P582" s="74">
        <f t="shared" si="357"/>
        <v>0</v>
      </c>
      <c r="Q582" s="74">
        <v>0</v>
      </c>
      <c r="R582" s="74">
        <v>0</v>
      </c>
      <c r="S582" s="74">
        <v>0</v>
      </c>
      <c r="T582" s="74">
        <f t="shared" si="359"/>
        <v>0</v>
      </c>
      <c r="U582" s="74">
        <f t="shared" si="360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3">
        <f t="shared" ref="L583:N583" si="365">L584+L585</f>
        <v>0</v>
      </c>
      <c r="M583" s="74">
        <f t="shared" si="365"/>
        <v>0</v>
      </c>
      <c r="N583" s="74">
        <f t="shared" si="365"/>
        <v>0</v>
      </c>
      <c r="O583" s="74">
        <f t="shared" si="356"/>
        <v>0</v>
      </c>
      <c r="P583" s="74">
        <f t="shared" si="357"/>
        <v>0</v>
      </c>
      <c r="Q583" s="74">
        <f t="shared" ref="Q583:S583" si="366">Q584+Q585</f>
        <v>0</v>
      </c>
      <c r="R583" s="74">
        <f t="shared" si="366"/>
        <v>0</v>
      </c>
      <c r="S583" s="74">
        <f t="shared" si="366"/>
        <v>0</v>
      </c>
      <c r="T583" s="74">
        <f t="shared" si="359"/>
        <v>0</v>
      </c>
      <c r="U583" s="74">
        <f t="shared" si="360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77">
        <f t="shared" si="356"/>
        <v>0</v>
      </c>
      <c r="P584" s="77">
        <f t="shared" si="357"/>
        <v>0</v>
      </c>
      <c r="Q584" s="77">
        <v>0</v>
      </c>
      <c r="R584" s="77">
        <v>0</v>
      </c>
      <c r="S584" s="77">
        <v>0</v>
      </c>
      <c r="T584" s="77">
        <f t="shared" si="359"/>
        <v>0</v>
      </c>
      <c r="U584" s="77">
        <f t="shared" si="360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74">
        <f t="shared" si="356"/>
        <v>0</v>
      </c>
      <c r="P585" s="74">
        <f t="shared" si="357"/>
        <v>0</v>
      </c>
      <c r="Q585" s="74">
        <v>0</v>
      </c>
      <c r="R585" s="74">
        <v>0</v>
      </c>
      <c r="S585" s="74">
        <v>0</v>
      </c>
      <c r="T585" s="74">
        <f t="shared" si="359"/>
        <v>0</v>
      </c>
      <c r="U585" s="74">
        <f t="shared" si="360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1257">
        <f t="shared" ref="L600:N600" si="367">L601+L602</f>
        <v>0</v>
      </c>
      <c r="M600" s="264">
        <f t="shared" si="367"/>
        <v>0</v>
      </c>
      <c r="N600" s="264">
        <f t="shared" si="367"/>
        <v>0</v>
      </c>
      <c r="O600" s="264">
        <f t="shared" ref="O600:O608" si="368">IF(L600&gt;0,N600*100/L600,0)</f>
        <v>0</v>
      </c>
      <c r="P600" s="264">
        <f t="shared" ref="P600:P608" si="369">IF(M600&gt;0,N600*100/M600,0)</f>
        <v>0</v>
      </c>
      <c r="Q600" s="264">
        <f t="shared" ref="Q600:S600" si="370">Q601+Q602</f>
        <v>0</v>
      </c>
      <c r="R600" s="264">
        <f t="shared" si="370"/>
        <v>0</v>
      </c>
      <c r="S600" s="264">
        <f t="shared" si="370"/>
        <v>0</v>
      </c>
      <c r="T600" s="264">
        <f t="shared" ref="T600:T608" si="371">IF(Q600&gt;0,S600*100/Q600,0)</f>
        <v>0</v>
      </c>
      <c r="U600" s="264">
        <f t="shared" ref="U600:U608" si="372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6">
        <f t="shared" ref="L601:N602" si="373">L604+L607</f>
        <v>0</v>
      </c>
      <c r="M601" s="77">
        <f t="shared" si="373"/>
        <v>0</v>
      </c>
      <c r="N601" s="77">
        <f t="shared" si="373"/>
        <v>0</v>
      </c>
      <c r="O601" s="77">
        <f t="shared" si="368"/>
        <v>0</v>
      </c>
      <c r="P601" s="77">
        <f t="shared" si="369"/>
        <v>0</v>
      </c>
      <c r="Q601" s="77">
        <f t="shared" ref="Q601:S602" si="374">Q604+Q607</f>
        <v>0</v>
      </c>
      <c r="R601" s="77">
        <f t="shared" si="374"/>
        <v>0</v>
      </c>
      <c r="S601" s="77">
        <f t="shared" si="374"/>
        <v>0</v>
      </c>
      <c r="T601" s="77">
        <f t="shared" si="371"/>
        <v>0</v>
      </c>
      <c r="U601" s="77">
        <f t="shared" si="372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3">
        <f t="shared" si="373"/>
        <v>0</v>
      </c>
      <c r="M602" s="74">
        <f t="shared" si="373"/>
        <v>0</v>
      </c>
      <c r="N602" s="74">
        <f t="shared" si="373"/>
        <v>0</v>
      </c>
      <c r="O602" s="74">
        <f t="shared" si="368"/>
        <v>0</v>
      </c>
      <c r="P602" s="74">
        <f t="shared" si="369"/>
        <v>0</v>
      </c>
      <c r="Q602" s="74">
        <f t="shared" si="374"/>
        <v>0</v>
      </c>
      <c r="R602" s="74">
        <f t="shared" si="374"/>
        <v>0</v>
      </c>
      <c r="S602" s="74">
        <f t="shared" si="374"/>
        <v>0</v>
      </c>
      <c r="T602" s="74">
        <f t="shared" si="371"/>
        <v>0</v>
      </c>
      <c r="U602" s="74">
        <f t="shared" si="372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3">
        <f t="shared" ref="L603:N603" si="375">L604+L605</f>
        <v>0</v>
      </c>
      <c r="M603" s="74">
        <f t="shared" si="375"/>
        <v>0</v>
      </c>
      <c r="N603" s="74">
        <f t="shared" si="375"/>
        <v>0</v>
      </c>
      <c r="O603" s="74">
        <f t="shared" si="368"/>
        <v>0</v>
      </c>
      <c r="P603" s="74">
        <f t="shared" si="369"/>
        <v>0</v>
      </c>
      <c r="Q603" s="74">
        <f t="shared" ref="Q603:S603" si="376">Q604+Q605</f>
        <v>0</v>
      </c>
      <c r="R603" s="74">
        <f t="shared" si="376"/>
        <v>0</v>
      </c>
      <c r="S603" s="74">
        <f t="shared" si="376"/>
        <v>0</v>
      </c>
      <c r="T603" s="74">
        <f t="shared" si="371"/>
        <v>0</v>
      </c>
      <c r="U603" s="74">
        <f t="shared" si="372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77">
        <f t="shared" si="368"/>
        <v>0</v>
      </c>
      <c r="P604" s="77">
        <f t="shared" si="369"/>
        <v>0</v>
      </c>
      <c r="Q604" s="77">
        <v>0</v>
      </c>
      <c r="R604" s="77">
        <v>0</v>
      </c>
      <c r="S604" s="77">
        <v>0</v>
      </c>
      <c r="T604" s="77">
        <f t="shared" si="371"/>
        <v>0</v>
      </c>
      <c r="U604" s="77">
        <f t="shared" si="372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74">
        <f t="shared" si="368"/>
        <v>0</v>
      </c>
      <c r="P605" s="74">
        <f t="shared" si="369"/>
        <v>0</v>
      </c>
      <c r="Q605" s="74">
        <v>0</v>
      </c>
      <c r="R605" s="74">
        <v>0</v>
      </c>
      <c r="S605" s="74">
        <v>0</v>
      </c>
      <c r="T605" s="74">
        <f t="shared" si="371"/>
        <v>0</v>
      </c>
      <c r="U605" s="74">
        <f t="shared" si="372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3">
        <f t="shared" ref="L606:N606" si="377">L607+L608</f>
        <v>0</v>
      </c>
      <c r="M606" s="74">
        <f t="shared" si="377"/>
        <v>0</v>
      </c>
      <c r="N606" s="74">
        <f t="shared" si="377"/>
        <v>0</v>
      </c>
      <c r="O606" s="74">
        <f t="shared" si="368"/>
        <v>0</v>
      </c>
      <c r="P606" s="74">
        <f t="shared" si="369"/>
        <v>0</v>
      </c>
      <c r="Q606" s="74">
        <f t="shared" ref="Q606:S606" si="378">Q607+Q608</f>
        <v>0</v>
      </c>
      <c r="R606" s="74">
        <f t="shared" si="378"/>
        <v>0</v>
      </c>
      <c r="S606" s="74">
        <f t="shared" si="378"/>
        <v>0</v>
      </c>
      <c r="T606" s="74">
        <f t="shared" si="371"/>
        <v>0</v>
      </c>
      <c r="U606" s="74">
        <f t="shared" si="372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77">
        <f t="shared" si="368"/>
        <v>0</v>
      </c>
      <c r="P607" s="77">
        <f t="shared" si="369"/>
        <v>0</v>
      </c>
      <c r="Q607" s="77">
        <v>0</v>
      </c>
      <c r="R607" s="77">
        <v>0</v>
      </c>
      <c r="S607" s="77">
        <v>0</v>
      </c>
      <c r="T607" s="77">
        <f t="shared" si="371"/>
        <v>0</v>
      </c>
      <c r="U607" s="77">
        <f t="shared" si="372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74">
        <f t="shared" si="368"/>
        <v>0</v>
      </c>
      <c r="P608" s="74">
        <f t="shared" si="369"/>
        <v>0</v>
      </c>
      <c r="Q608" s="74">
        <v>0</v>
      </c>
      <c r="R608" s="74">
        <v>0</v>
      </c>
      <c r="S608" s="74">
        <v>0</v>
      </c>
      <c r="T608" s="74">
        <f t="shared" si="371"/>
        <v>0</v>
      </c>
      <c r="U608" s="74">
        <f t="shared" si="372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1245">
        <f t="shared" ref="I616:J616" ca="1" si="379">I627</f>
        <v>50</v>
      </c>
      <c r="J616" s="1245">
        <f t="shared" si="379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1257">
        <f t="shared" ref="L617:N617" si="380">L618+L619</f>
        <v>0</v>
      </c>
      <c r="M617" s="264">
        <f t="shared" si="380"/>
        <v>0</v>
      </c>
      <c r="N617" s="264">
        <f t="shared" si="380"/>
        <v>0</v>
      </c>
      <c r="O617" s="264">
        <f t="shared" ref="O617:O625" si="381">IF(L617&gt;0,N617*100/L617,0)</f>
        <v>0</v>
      </c>
      <c r="P617" s="264">
        <f t="shared" ref="P617:P625" si="382">IF(M617&gt;0,N617*100/M617,0)</f>
        <v>0</v>
      </c>
      <c r="Q617" s="264">
        <f t="shared" ref="Q617:S617" ca="1" si="383">Q618+Q619</f>
        <v>6600</v>
      </c>
      <c r="R617" s="264">
        <f t="shared" ca="1" si="383"/>
        <v>6600</v>
      </c>
      <c r="S617" s="264">
        <f t="shared" ca="1" si="383"/>
        <v>0</v>
      </c>
      <c r="T617" s="264">
        <f t="shared" ref="T617:T625" ca="1" si="384">IF(Q617&gt;0,S617*100/Q617,0)</f>
        <v>0</v>
      </c>
      <c r="U617" s="264">
        <f t="shared" ref="U617:U625" ca="1" si="385">IF(R617&gt;0,S617*100/R617,0)</f>
        <v>0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6">
        <f t="shared" ref="L618:N619" si="386">L621+L624</f>
        <v>0</v>
      </c>
      <c r="M618" s="77">
        <f t="shared" si="386"/>
        <v>0</v>
      </c>
      <c r="N618" s="77">
        <f t="shared" si="386"/>
        <v>0</v>
      </c>
      <c r="O618" s="77">
        <f t="shared" si="381"/>
        <v>0</v>
      </c>
      <c r="P618" s="77">
        <f t="shared" si="382"/>
        <v>0</v>
      </c>
      <c r="Q618" s="77">
        <f t="shared" ref="Q618:S619" si="387">Q621+Q624</f>
        <v>0</v>
      </c>
      <c r="R618" s="77">
        <f t="shared" si="387"/>
        <v>0</v>
      </c>
      <c r="S618" s="77">
        <f t="shared" si="387"/>
        <v>0</v>
      </c>
      <c r="T618" s="77">
        <f t="shared" si="384"/>
        <v>0</v>
      </c>
      <c r="U618" s="77">
        <f t="shared" si="385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3">
        <f t="shared" si="386"/>
        <v>0</v>
      </c>
      <c r="M619" s="74">
        <f t="shared" si="386"/>
        <v>0</v>
      </c>
      <c r="N619" s="74">
        <f t="shared" si="386"/>
        <v>0</v>
      </c>
      <c r="O619" s="74">
        <f t="shared" si="381"/>
        <v>0</v>
      </c>
      <c r="P619" s="74">
        <f t="shared" si="382"/>
        <v>0</v>
      </c>
      <c r="Q619" s="74">
        <f t="shared" ca="1" si="387"/>
        <v>6600</v>
      </c>
      <c r="R619" s="74">
        <f t="shared" ca="1" si="387"/>
        <v>6600</v>
      </c>
      <c r="S619" s="74">
        <f t="shared" ca="1" si="387"/>
        <v>0</v>
      </c>
      <c r="T619" s="74">
        <f t="shared" ca="1" si="384"/>
        <v>0</v>
      </c>
      <c r="U619" s="74">
        <f t="shared" ca="1" si="385"/>
        <v>0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3">
        <f t="shared" ref="L620:N620" si="388">L621+L622</f>
        <v>0</v>
      </c>
      <c r="M620" s="74">
        <f t="shared" si="388"/>
        <v>0</v>
      </c>
      <c r="N620" s="74">
        <f t="shared" si="388"/>
        <v>0</v>
      </c>
      <c r="O620" s="74">
        <f t="shared" si="381"/>
        <v>0</v>
      </c>
      <c r="P620" s="74">
        <f t="shared" si="382"/>
        <v>0</v>
      </c>
      <c r="Q620" s="74">
        <f t="shared" ref="Q620:S620" ca="1" si="389">Q621+Q622</f>
        <v>6600</v>
      </c>
      <c r="R620" s="74">
        <f t="shared" ca="1" si="389"/>
        <v>6600</v>
      </c>
      <c r="S620" s="74">
        <f t="shared" ca="1" si="389"/>
        <v>0</v>
      </c>
      <c r="T620" s="74">
        <f t="shared" ca="1" si="384"/>
        <v>0</v>
      </c>
      <c r="U620" s="74">
        <f t="shared" ca="1" si="385"/>
        <v>0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77">
        <f t="shared" si="381"/>
        <v>0</v>
      </c>
      <c r="P621" s="77">
        <f t="shared" si="382"/>
        <v>0</v>
      </c>
      <c r="Q621" s="77">
        <v>0</v>
      </c>
      <c r="R621" s="77">
        <v>0</v>
      </c>
      <c r="S621" s="77">
        <v>0</v>
      </c>
      <c r="T621" s="77">
        <f t="shared" si="384"/>
        <v>0</v>
      </c>
      <c r="U621" s="77">
        <f t="shared" si="385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74">
        <f t="shared" si="381"/>
        <v>0</v>
      </c>
      <c r="P622" s="74">
        <f t="shared" si="382"/>
        <v>0</v>
      </c>
      <c r="Q622" s="74">
        <f ca="1">IFERROR(__xludf.DUMMYFUNCTION("IMPORTRANGE(""https://docs.google.com/spreadsheets/d/1ItG2mGa2ceCfYo0BwxsXqNm01IGEUdYcSSLTEv9YCik/edit?usp=sharing"",""เบิกจ่ายกองทุน!F59"")"),6600)</f>
        <v>6600</v>
      </c>
      <c r="R622" s="74">
        <f ca="1">IFERROR(__xludf.DUMMYFUNCTION("IMPORTRANGE(""https://docs.google.com/spreadsheets/d/1ItG2mGa2ceCfYo0BwxsXqNm01IGEUdYcSSLTEv9YCik/edit?usp=sharing"",""เบิกจ่ายกองทุน!G59"")"),6600)</f>
        <v>6600</v>
      </c>
      <c r="S622" s="74">
        <f ca="1">IFERROR(__xludf.DUMMYFUNCTION("IMPORTRANGE(""https://docs.google.com/spreadsheets/d/1ItG2mGa2ceCfYo0BwxsXqNm01IGEUdYcSSLTEv9YCik/edit?usp=sharing"",""เบิกจ่ายกองทุน!H59"")"),0)</f>
        <v>0</v>
      </c>
      <c r="T622" s="74">
        <f t="shared" ca="1" si="384"/>
        <v>0</v>
      </c>
      <c r="U622" s="74">
        <f t="shared" ca="1" si="385"/>
        <v>0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3">
        <f t="shared" ref="L623:N623" si="390">L624+L625</f>
        <v>0</v>
      </c>
      <c r="M623" s="74">
        <f t="shared" si="390"/>
        <v>0</v>
      </c>
      <c r="N623" s="74">
        <f t="shared" si="390"/>
        <v>0</v>
      </c>
      <c r="O623" s="74">
        <f t="shared" si="381"/>
        <v>0</v>
      </c>
      <c r="P623" s="74">
        <f t="shared" si="382"/>
        <v>0</v>
      </c>
      <c r="Q623" s="74">
        <f t="shared" ref="Q623:S623" si="391">Q624+Q625</f>
        <v>0</v>
      </c>
      <c r="R623" s="74">
        <f t="shared" si="391"/>
        <v>0</v>
      </c>
      <c r="S623" s="74">
        <f t="shared" si="391"/>
        <v>0</v>
      </c>
      <c r="T623" s="74">
        <f t="shared" si="384"/>
        <v>0</v>
      </c>
      <c r="U623" s="74">
        <f t="shared" si="385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77">
        <f t="shared" si="381"/>
        <v>0</v>
      </c>
      <c r="P624" s="77">
        <f t="shared" si="382"/>
        <v>0</v>
      </c>
      <c r="Q624" s="77">
        <v>0</v>
      </c>
      <c r="R624" s="77">
        <v>0</v>
      </c>
      <c r="S624" s="77">
        <v>0</v>
      </c>
      <c r="T624" s="77">
        <f t="shared" si="384"/>
        <v>0</v>
      </c>
      <c r="U624" s="77">
        <f t="shared" si="385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74">
        <f t="shared" si="381"/>
        <v>0</v>
      </c>
      <c r="P625" s="74">
        <f t="shared" si="382"/>
        <v>0</v>
      </c>
      <c r="Q625" s="74">
        <v>0</v>
      </c>
      <c r="R625" s="74">
        <v>0</v>
      </c>
      <c r="S625" s="74">
        <v>0</v>
      </c>
      <c r="T625" s="74">
        <f t="shared" si="384"/>
        <v>0</v>
      </c>
      <c r="U625" s="74">
        <f t="shared" si="385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IFERROR(__xludf.DUMMYFUNCTION("IMPORTRANGE(""https://docs.google.com/spreadsheets/d/1eHaY18a8A9IcSdp1K8H6x8fbOy06t2VsZHhMHf-1x7Y/edit?usp=sharing"",""แผน!ID59"")"),50)</f>
        <v>50</v>
      </c>
      <c r="J627" s="622">
        <f>J633</f>
        <v>0</v>
      </c>
      <c r="K627" s="26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IFERROR(__xludf.DUMMYFUNCTION("IMPORTRANGE(""https://docs.google.com/spreadsheets/d/1eHaY18a8A9IcSdp1K8H6x8fbOy06t2VsZHhMHf-1x7Y/edit?usp=sharing"",""แผน!IC59"")"),0)</f>
        <v>0</v>
      </c>
      <c r="J628" s="294">
        <v>0</v>
      </c>
      <c r="K628" s="74">
        <f t="shared" ref="K628:K629" ca="1" si="392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IFERROR(__xludf.DUMMYFUNCTION("IMPORTRANGE(""https://docs.google.com/spreadsheets/d/1eHaY18a8A9IcSdp1K8H6x8fbOy06t2VsZHhMHf-1x7Y/edit?usp=sharing"",""แผน!IC59"")"),0)</f>
        <v>0</v>
      </c>
      <c r="J629" s="294">
        <v>0</v>
      </c>
      <c r="K629" s="74">
        <f t="shared" ca="1" si="392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0</v>
      </c>
      <c r="K630" s="74">
        <f t="shared" ref="K630:K632" ca="1" si="393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t="shared" ca="1" si="393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t="shared" ca="1" si="393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IFERROR(__xludf.DUMMYFUNCTION("IMPORTRANGE(""https://docs.google.com/spreadsheets/d/1eHaY18a8A9IcSdp1K8H6x8fbOy06t2VsZHhMHf-1x7Y/edit?usp=sharing"",""แผน!IE59"")"),0)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1257">
        <f t="shared" ref="L643:N643" si="394">L644+L645</f>
        <v>0</v>
      </c>
      <c r="M643" s="264">
        <f t="shared" si="394"/>
        <v>0</v>
      </c>
      <c r="N643" s="264">
        <f t="shared" si="394"/>
        <v>0</v>
      </c>
      <c r="O643" s="264">
        <f t="shared" ref="O643:O651" si="395">IF(L643&gt;0,N643*100/L643,0)</f>
        <v>0</v>
      </c>
      <c r="P643" s="264">
        <f t="shared" ref="P643:P651" si="396">IF(M643&gt;0,N643*100/M643,0)</f>
        <v>0</v>
      </c>
      <c r="Q643" s="264">
        <f t="shared" ref="Q643:S643" ca="1" si="397">Q644+Q645</f>
        <v>81800</v>
      </c>
      <c r="R643" s="264">
        <f t="shared" ca="1" si="397"/>
        <v>81800</v>
      </c>
      <c r="S643" s="264">
        <f t="shared" ca="1" si="397"/>
        <v>0</v>
      </c>
      <c r="T643" s="264">
        <f t="shared" ref="T643:T651" ca="1" si="398">IF(Q643&gt;0,S643*100/Q643,0)</f>
        <v>0</v>
      </c>
      <c r="U643" s="264">
        <f t="shared" ref="U643:U651" ca="1" si="399">IF(R643&gt;0,S643*100/R643,0)</f>
        <v>0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6">
        <f t="shared" ref="L644:N645" si="400">L647+L650</f>
        <v>0</v>
      </c>
      <c r="M644" s="77">
        <f t="shared" si="400"/>
        <v>0</v>
      </c>
      <c r="N644" s="77">
        <f t="shared" si="400"/>
        <v>0</v>
      </c>
      <c r="O644" s="77">
        <f t="shared" si="395"/>
        <v>0</v>
      </c>
      <c r="P644" s="77">
        <f t="shared" si="396"/>
        <v>0</v>
      </c>
      <c r="Q644" s="77">
        <f t="shared" ref="Q644:S645" si="401">Q647+Q650</f>
        <v>0</v>
      </c>
      <c r="R644" s="77">
        <f t="shared" si="401"/>
        <v>0</v>
      </c>
      <c r="S644" s="77">
        <f t="shared" si="401"/>
        <v>0</v>
      </c>
      <c r="T644" s="77">
        <f t="shared" si="398"/>
        <v>0</v>
      </c>
      <c r="U644" s="77">
        <f t="shared" si="399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3">
        <f t="shared" si="400"/>
        <v>0</v>
      </c>
      <c r="M645" s="74">
        <f t="shared" si="400"/>
        <v>0</v>
      </c>
      <c r="N645" s="74">
        <f t="shared" si="400"/>
        <v>0</v>
      </c>
      <c r="O645" s="74">
        <f t="shared" si="395"/>
        <v>0</v>
      </c>
      <c r="P645" s="74">
        <f t="shared" si="396"/>
        <v>0</v>
      </c>
      <c r="Q645" s="74">
        <f t="shared" ca="1" si="401"/>
        <v>81800</v>
      </c>
      <c r="R645" s="74">
        <f t="shared" ca="1" si="401"/>
        <v>81800</v>
      </c>
      <c r="S645" s="74">
        <f t="shared" ca="1" si="401"/>
        <v>0</v>
      </c>
      <c r="T645" s="74">
        <f t="shared" ca="1" si="398"/>
        <v>0</v>
      </c>
      <c r="U645" s="74">
        <f t="shared" ca="1" si="399"/>
        <v>0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3">
        <f t="shared" ref="L646:N646" si="402">L647+L648</f>
        <v>0</v>
      </c>
      <c r="M646" s="74">
        <f t="shared" si="402"/>
        <v>0</v>
      </c>
      <c r="N646" s="74">
        <f t="shared" si="402"/>
        <v>0</v>
      </c>
      <c r="O646" s="74">
        <f t="shared" si="395"/>
        <v>0</v>
      </c>
      <c r="P646" s="74">
        <f t="shared" si="396"/>
        <v>0</v>
      </c>
      <c r="Q646" s="74">
        <f t="shared" ref="Q646:S646" ca="1" si="403">Q647+Q648</f>
        <v>81800</v>
      </c>
      <c r="R646" s="74">
        <f t="shared" ca="1" si="403"/>
        <v>81800</v>
      </c>
      <c r="S646" s="74">
        <f t="shared" ca="1" si="403"/>
        <v>0</v>
      </c>
      <c r="T646" s="74">
        <f t="shared" ca="1" si="398"/>
        <v>0</v>
      </c>
      <c r="U646" s="74">
        <f t="shared" ca="1" si="399"/>
        <v>0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77">
        <f t="shared" si="395"/>
        <v>0</v>
      </c>
      <c r="P647" s="77">
        <f t="shared" si="396"/>
        <v>0</v>
      </c>
      <c r="Q647" s="77">
        <v>0</v>
      </c>
      <c r="R647" s="77">
        <v>0</v>
      </c>
      <c r="S647" s="77">
        <v>0</v>
      </c>
      <c r="T647" s="77">
        <f t="shared" si="398"/>
        <v>0</v>
      </c>
      <c r="U647" s="77">
        <f t="shared" si="399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74">
        <f t="shared" si="395"/>
        <v>0</v>
      </c>
      <c r="P648" s="74">
        <f t="shared" si="396"/>
        <v>0</v>
      </c>
      <c r="Q648" s="74">
        <f ca="1">IFERROR(__xludf.DUMMYFUNCTION("IMPORTRANGE(""https://docs.google.com/spreadsheets/d/1ItG2mGa2ceCfYo0BwxsXqNm01IGEUdYcSSLTEv9YCik/edit?usp=sharing"",""เบิกจ่ายกองทุน!I59"")"),81800)</f>
        <v>81800</v>
      </c>
      <c r="R648" s="74">
        <f ca="1">IFERROR(__xludf.DUMMYFUNCTION("IMPORTRANGE(""https://docs.google.com/spreadsheets/d/1ItG2mGa2ceCfYo0BwxsXqNm01IGEUdYcSSLTEv9YCik/edit?usp=sharing"",""เบิกจ่ายกองทุน!J59"")"),81800)</f>
        <v>81800</v>
      </c>
      <c r="S648" s="74">
        <f ca="1">IFERROR(__xludf.DUMMYFUNCTION("IMPORTRANGE(""https://docs.google.com/spreadsheets/d/1ItG2mGa2ceCfYo0BwxsXqNm01IGEUdYcSSLTEv9YCik/edit?usp=sharing"",""เบิกจ่ายกองทุน!K59"")"),0)</f>
        <v>0</v>
      </c>
      <c r="T648" s="74">
        <f t="shared" ca="1" si="398"/>
        <v>0</v>
      </c>
      <c r="U648" s="74">
        <f t="shared" ca="1" si="399"/>
        <v>0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3">
        <f t="shared" ref="L649:N649" si="404">L650+L651</f>
        <v>0</v>
      </c>
      <c r="M649" s="74">
        <f t="shared" si="404"/>
        <v>0</v>
      </c>
      <c r="N649" s="74">
        <f t="shared" si="404"/>
        <v>0</v>
      </c>
      <c r="O649" s="74">
        <f t="shared" si="395"/>
        <v>0</v>
      </c>
      <c r="P649" s="74">
        <f t="shared" si="396"/>
        <v>0</v>
      </c>
      <c r="Q649" s="74">
        <f t="shared" ref="Q649:S649" si="405">Q650+Q651</f>
        <v>0</v>
      </c>
      <c r="R649" s="74">
        <f t="shared" si="405"/>
        <v>0</v>
      </c>
      <c r="S649" s="74">
        <f t="shared" si="405"/>
        <v>0</v>
      </c>
      <c r="T649" s="74">
        <f t="shared" si="398"/>
        <v>0</v>
      </c>
      <c r="U649" s="74">
        <f t="shared" si="399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77">
        <f t="shared" si="395"/>
        <v>0</v>
      </c>
      <c r="P650" s="77">
        <f t="shared" si="396"/>
        <v>0</v>
      </c>
      <c r="Q650" s="77">
        <v>0</v>
      </c>
      <c r="R650" s="77">
        <v>0</v>
      </c>
      <c r="S650" s="77">
        <v>0</v>
      </c>
      <c r="T650" s="77">
        <f t="shared" si="398"/>
        <v>0</v>
      </c>
      <c r="U650" s="77">
        <f t="shared" si="399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74">
        <f t="shared" si="395"/>
        <v>0</v>
      </c>
      <c r="P651" s="74">
        <f t="shared" si="396"/>
        <v>0</v>
      </c>
      <c r="Q651" s="74">
        <v>0</v>
      </c>
      <c r="R651" s="74">
        <v>0</v>
      </c>
      <c r="S651" s="74">
        <v>0</v>
      </c>
      <c r="T651" s="74">
        <f t="shared" si="398"/>
        <v>0</v>
      </c>
      <c r="U651" s="74">
        <f t="shared" si="399"/>
        <v>0</v>
      </c>
    </row>
    <row r="652" spans="1:21" ht="19.5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IFERROR(__xludf.DUMMYFUNCTION("IMPORTRANGE(""https://docs.google.com/spreadsheets/d/1eHaY18a8A9IcSdp1K8H6x8fbOy06t2VsZHhMHf-1x7Y/edit?usp=sharing"",""แผน!IF59"")"),0)</f>
        <v>0</v>
      </c>
      <c r="J653" s="293">
        <f ca="1">IFERROR(__xludf.DUMMYFUNCTION("IMPORTRANGE(""https://docs.google.com/spreadsheets/d/1tdoBKaGub7dwA3U6UFTqxio9LNnvDCQjHKmttSEBsFQ/edit?usp=sharing"",""จัดที่ดิน!AU59"")"),0)</f>
        <v>0</v>
      </c>
      <c r="K653" s="74">
        <f t="shared" ref="K653:K655" ca="1" si="406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IFERROR(__xludf.DUMMYFUNCTION("IMPORTRANGE(""https://docs.google.com/spreadsheets/d/1eHaY18a8A9IcSdp1K8H6x8fbOy06t2VsZHhMHf-1x7Y/edit?usp=sharing"",""แผน!IG59"")"),5)</f>
        <v>5</v>
      </c>
      <c r="J654" s="293">
        <f ca="1">IFERROR(__xludf.DUMMYFUNCTION("IMPORTRANGE(""https://docs.google.com/spreadsheets/d/1tdoBKaGub7dwA3U6UFTqxio9LNnvDCQjHKmttSEBsFQ/edit?usp=sharing"",""จัดที่ดิน!AW59"")"),0)</f>
        <v>0</v>
      </c>
      <c r="K654" s="74">
        <f t="shared" ca="1" si="406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IFERROR(__xludf.DUMMYFUNCTION("IMPORTRANGE(""https://docs.google.com/spreadsheets/d/1eHaY18a8A9IcSdp1K8H6x8fbOy06t2VsZHhMHf-1x7Y/edit?usp=sharing"",""แผน!IH59"")"),225)</f>
        <v>225</v>
      </c>
      <c r="J655" s="622">
        <f>J658+J661</f>
        <v>0</v>
      </c>
      <c r="K655" s="264">
        <f t="shared" ca="1" si="406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IFERROR(__xludf.DUMMYFUNCTION("IMPORTRANGE(""https://docs.google.com/spreadsheets/d/1eHaY18a8A9IcSdp1K8H6x8fbOy06t2VsZHhMHf-1x7Y/edit?usp=sharing"",""แผน!II59"")"),225)</f>
        <v>225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IFERROR(__xludf.DUMMYFUNCTION("IMPORTRANGE(""https://docs.google.com/spreadsheets/d/1eHaY18a8A9IcSdp1K8H6x8fbOy06t2VsZHhMHf-1x7Y/edit?usp=sharing"",""แผน!IJ59"")"),0)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IFERROR(__xludf.DUMMYFUNCTION("IMPORTRANGE(""https://docs.google.com/spreadsheets/d/1eHaY18a8A9IcSdp1K8H6x8fbOy06t2VsZHhMHf-1x7Y/edit?usp=sharing"",""แผน!IK59"")"),100)</f>
        <v>100</v>
      </c>
      <c r="J662" s="622">
        <f>J668+J671</f>
        <v>0</v>
      </c>
      <c r="K662" s="264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IFERROR(__xludf.DUMMYFUNCTION("IMPORTRANGE(""https://docs.google.com/spreadsheets/d/1tdoBKaGub7dwA3U6UFTqxio9LNnvDCQjHKmttSEBsFQ/edit?usp=sharing"",""จัดที่ดิน!AY59"")"),0)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IFERROR(__xludf.DUMMYFUNCTION("IMPORTRANGE(""https://docs.google.com/spreadsheets/d/1tdoBKaGub7dwA3U6UFTqxio9LNnvDCQjHKmttSEBsFQ/edit?usp=sharing"",""จัดที่ดิน!AZ59"")"),0)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IFERROR(__xludf.DUMMYFUNCTION("IMPORTRANGE(""https://docs.google.com/spreadsheets/d/1eHaY18a8A9IcSdp1K8H6x8fbOy06t2VsZHhMHf-1x7Y/edit?usp=sharing"",""แผน!IL59"")"),230)</f>
        <v>230</v>
      </c>
      <c r="J674" s="293">
        <f ca="1">IFERROR(__xludf.DUMMYFUNCTION("IMPORTRANGE(""https://docs.google.com/spreadsheets/d/1tdoBKaGub7dwA3U6UFTqxio9LNnvDCQjHKmttSEBsFQ/edit?usp=sharing"",""จัดที่ดิน!BA59"")"),0)</f>
        <v>0</v>
      </c>
      <c r="K674" s="74">
        <f t="shared" ref="K674:K677" ca="1" si="407">IF(I674&gt;0,J674*100/I674,0)</f>
        <v>0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IFERROR(__xludf.DUMMYFUNCTION("IMPORTRANGE(""https://docs.google.com/spreadsheets/d/1eHaY18a8A9IcSdp1K8H6x8fbOy06t2VsZHhMHf-1x7Y/edit?usp=sharing"",""แผน!IM59"")"),45)</f>
        <v>45</v>
      </c>
      <c r="J675" s="622">
        <f ca="1">J677+J680</f>
        <v>18</v>
      </c>
      <c r="K675" s="264">
        <f t="shared" ca="1" si="407"/>
        <v>40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IFERROR(__xludf.DUMMYFUNCTION("IMPORTRANGE(""https://docs.google.com/spreadsheets/d/1eHaY18a8A9IcSdp1K8H6x8fbOy06t2VsZHhMHf-1x7Y/edit?usp=sharing"",""แผน!IN59"")"),675)</f>
        <v>675</v>
      </c>
      <c r="J676" s="622">
        <f ca="1">J679+J682</f>
        <v>336.22</v>
      </c>
      <c r="K676" s="264">
        <f t="shared" ca="1" si="407"/>
        <v>49.810370370370372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IFERROR(__xludf.DUMMYFUNCTION("IMPORTRANGE(""https://docs.google.com/spreadsheets/d/1eHaY18a8A9IcSdp1K8H6x8fbOy06t2VsZHhMHf-1x7Y/edit?usp=sharing"",""แผน!IO59"")"),20)</f>
        <v>20</v>
      </c>
      <c r="J677" s="293">
        <f ca="1">IFERROR(__xludf.DUMMYFUNCTION("IMPORTRANGE(""https://docs.google.com/spreadsheets/d/1tdoBKaGub7dwA3U6UFTqxio9LNnvDCQjHKmttSEBsFQ/edit?usp=sharing"",""จัดที่ดิน!BF59"")"),18)</f>
        <v>18</v>
      </c>
      <c r="K677" s="74">
        <f t="shared" ca="1" si="407"/>
        <v>90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IFERROR(__xludf.DUMMYFUNCTION("IMPORTRANGE(""https://docs.google.com/spreadsheets/d/1tdoBKaGub7dwA3U6UFTqxio9LNnvDCQjHKmttSEBsFQ/edit?usp=sharing"",""จัดที่ดิน!BG59"")"),25)</f>
        <v>25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IFERROR(__xludf.DUMMYFUNCTION("IMPORTRANGE(""https://docs.google.com/spreadsheets/d/1eHaY18a8A9IcSdp1K8H6x8fbOy06t2VsZHhMHf-1x7Y/edit?usp=sharing"",""แผน!IP59"")"),300)</f>
        <v>300</v>
      </c>
      <c r="J679" s="293">
        <f ca="1">IFERROR(__xludf.DUMMYFUNCTION("IMPORTRANGE(""https://docs.google.com/spreadsheets/d/1tdoBKaGub7dwA3U6UFTqxio9LNnvDCQjHKmttSEBsFQ/edit?usp=sharing"",""จัดที่ดิน!BH59"")"),336.22)</f>
        <v>336.22</v>
      </c>
      <c r="K679" s="74">
        <f t="shared" ref="K679:K680" ca="1" si="408">IF(I679&gt;0,J679*100/I679,0)</f>
        <v>112.07333333333334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IFERROR(__xludf.DUMMYFUNCTION("IMPORTRANGE(""https://docs.google.com/spreadsheets/d/1eHaY18a8A9IcSdp1K8H6x8fbOy06t2VsZHhMHf-1x7Y/edit?usp=sharing"",""แผน!IQ59"")"),25)</f>
        <v>25</v>
      </c>
      <c r="J680" s="293">
        <f ca="1">IFERROR(__xludf.DUMMYFUNCTION("IMPORTRANGE(""https://docs.google.com/spreadsheets/d/1tdoBKaGub7dwA3U6UFTqxio9LNnvDCQjHKmttSEBsFQ/edit?usp=sharing"",""จัดที่ดิน!BK59"")"),0)</f>
        <v>0</v>
      </c>
      <c r="K680" s="74">
        <f t="shared" ca="1" si="408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IFERROR(__xludf.DUMMYFUNCTION("IMPORTRANGE(""https://docs.google.com/spreadsheets/d/1tdoBKaGub7dwA3U6UFTqxio9LNnvDCQjHKmttSEBsFQ/edit?usp=sharing"",""จัดที่ดิน!BL59"")"),0)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IFERROR(__xludf.DUMMYFUNCTION("IMPORTRANGE(""https://docs.google.com/spreadsheets/d/1eHaY18a8A9IcSdp1K8H6x8fbOy06t2VsZHhMHf-1x7Y/edit?usp=sharing"",""แผน!IR59"")"),375)</f>
        <v>375</v>
      </c>
      <c r="J682" s="293">
        <f ca="1">IFERROR(__xludf.DUMMYFUNCTION("IMPORTRANGE(""https://docs.google.com/spreadsheets/d/1tdoBKaGub7dwA3U6UFTqxio9LNnvDCQjHKmttSEBsFQ/edit?usp=sharing"",""จัดที่ดิน!BM59"")"),0)</f>
        <v>0</v>
      </c>
      <c r="K682" s="74">
        <f t="shared" ref="K682:K683" ca="1" si="409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IFERROR(__xludf.DUMMYFUNCTION("IMPORTRANGE(""https://docs.google.com/spreadsheets/d/1eHaY18a8A9IcSdp1K8H6x8fbOy06t2VsZHhMHf-1x7Y/edit?usp=sharing"",""แผน!IS59"")"),150)</f>
        <v>150</v>
      </c>
      <c r="J683" s="622">
        <f>J686+J689</f>
        <v>0</v>
      </c>
      <c r="K683" s="264">
        <f t="shared" ca="1" si="409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x14ac:dyDescent="0.3">
      <c r="A690" s="727"/>
      <c r="B690" s="728" t="s">
        <v>255</v>
      </c>
      <c r="C690" s="727"/>
      <c r="D690" s="729"/>
      <c r="E690" s="729"/>
      <c r="F690" s="729"/>
      <c r="G690" s="730"/>
      <c r="H690" s="764" t="s">
        <v>35</v>
      </c>
      <c r="I690" s="765">
        <f t="shared" ref="I690:J690" ca="1" si="410">I708</f>
        <v>0</v>
      </c>
      <c r="J690" s="765">
        <f t="shared" ca="1" si="410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1257">
        <f t="shared" ref="L691:N691" si="411">L692+L693</f>
        <v>0</v>
      </c>
      <c r="M691" s="264">
        <f t="shared" si="411"/>
        <v>0</v>
      </c>
      <c r="N691" s="264">
        <f t="shared" si="411"/>
        <v>0</v>
      </c>
      <c r="O691" s="264">
        <f t="shared" ref="O691:O699" si="412">IF(L691&gt;0,N691*100/L691,0)</f>
        <v>0</v>
      </c>
      <c r="P691" s="264">
        <f t="shared" ref="P691:P699" si="413">IF(M691&gt;0,N691*100/M691,0)</f>
        <v>0</v>
      </c>
      <c r="Q691" s="264">
        <f t="shared" ref="Q691:S691" ca="1" si="414">Q692+Q693</f>
        <v>58650</v>
      </c>
      <c r="R691" s="264">
        <f t="shared" ca="1" si="414"/>
        <v>58650</v>
      </c>
      <c r="S691" s="264">
        <f t="shared" ca="1" si="414"/>
        <v>0</v>
      </c>
      <c r="T691" s="264">
        <f t="shared" ref="T691:T699" ca="1" si="415">IF(Q691&gt;0,S691*100/Q691,0)</f>
        <v>0</v>
      </c>
      <c r="U691" s="264">
        <f t="shared" ref="U691:U699" ca="1" si="416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6">
        <f t="shared" ref="L692:N693" si="417">L695+L698</f>
        <v>0</v>
      </c>
      <c r="M692" s="77">
        <f t="shared" si="417"/>
        <v>0</v>
      </c>
      <c r="N692" s="77">
        <f t="shared" si="417"/>
        <v>0</v>
      </c>
      <c r="O692" s="77">
        <f t="shared" si="412"/>
        <v>0</v>
      </c>
      <c r="P692" s="77">
        <f t="shared" si="413"/>
        <v>0</v>
      </c>
      <c r="Q692" s="77">
        <f t="shared" ref="Q692:S693" si="418">Q695+Q698</f>
        <v>0</v>
      </c>
      <c r="R692" s="77">
        <f t="shared" si="418"/>
        <v>0</v>
      </c>
      <c r="S692" s="77">
        <f t="shared" si="418"/>
        <v>0</v>
      </c>
      <c r="T692" s="77">
        <f t="shared" si="415"/>
        <v>0</v>
      </c>
      <c r="U692" s="77">
        <f t="shared" si="416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3">
        <f t="shared" si="417"/>
        <v>0</v>
      </c>
      <c r="M693" s="74">
        <f t="shared" si="417"/>
        <v>0</v>
      </c>
      <c r="N693" s="74">
        <f t="shared" si="417"/>
        <v>0</v>
      </c>
      <c r="O693" s="74">
        <f t="shared" si="412"/>
        <v>0</v>
      </c>
      <c r="P693" s="74">
        <f t="shared" si="413"/>
        <v>0</v>
      </c>
      <c r="Q693" s="74">
        <f t="shared" ca="1" si="418"/>
        <v>58650</v>
      </c>
      <c r="R693" s="74">
        <f t="shared" ca="1" si="418"/>
        <v>58650</v>
      </c>
      <c r="S693" s="74">
        <f t="shared" ca="1" si="418"/>
        <v>0</v>
      </c>
      <c r="T693" s="74">
        <f t="shared" ca="1" si="415"/>
        <v>0</v>
      </c>
      <c r="U693" s="74">
        <f t="shared" ca="1" si="416"/>
        <v>0</v>
      </c>
    </row>
    <row r="694" spans="1:21" ht="18.75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3">
        <f t="shared" ref="L694:N694" si="419">L695+L696</f>
        <v>0</v>
      </c>
      <c r="M694" s="74">
        <f t="shared" si="419"/>
        <v>0</v>
      </c>
      <c r="N694" s="74">
        <f t="shared" si="419"/>
        <v>0</v>
      </c>
      <c r="O694" s="74">
        <f t="shared" si="412"/>
        <v>0</v>
      </c>
      <c r="P694" s="74">
        <f t="shared" si="413"/>
        <v>0</v>
      </c>
      <c r="Q694" s="74">
        <f t="shared" ref="Q694:S694" ca="1" si="420">Q695+Q696</f>
        <v>58650</v>
      </c>
      <c r="R694" s="74">
        <f t="shared" ca="1" si="420"/>
        <v>58650</v>
      </c>
      <c r="S694" s="74">
        <f t="shared" ca="1" si="420"/>
        <v>0</v>
      </c>
      <c r="T694" s="74">
        <f t="shared" ca="1" si="415"/>
        <v>0</v>
      </c>
      <c r="U694" s="74">
        <f t="shared" ca="1" si="416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77">
        <f t="shared" si="412"/>
        <v>0</v>
      </c>
      <c r="P695" s="77">
        <f t="shared" si="413"/>
        <v>0</v>
      </c>
      <c r="Q695" s="77">
        <v>0</v>
      </c>
      <c r="R695" s="77">
        <v>0</v>
      </c>
      <c r="S695" s="77">
        <v>0</v>
      </c>
      <c r="T695" s="77">
        <f t="shared" si="415"/>
        <v>0</v>
      </c>
      <c r="U695" s="77">
        <f t="shared" si="416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74">
        <f t="shared" si="412"/>
        <v>0</v>
      </c>
      <c r="P696" s="74">
        <f t="shared" si="413"/>
        <v>0</v>
      </c>
      <c r="Q696" s="74">
        <f ca="1">IFERROR(__xludf.DUMMYFUNCTION("IMPORTRANGE(""https://docs.google.com/spreadsheets/d/1ItG2mGa2ceCfYo0BwxsXqNm01IGEUdYcSSLTEv9YCik/edit?usp=sharing"",""เบิกจ่ายกองทุน!L59"")"),58650)</f>
        <v>58650</v>
      </c>
      <c r="R696" s="74">
        <f ca="1">IFERROR(__xludf.DUMMYFUNCTION("IMPORTRANGE(""https://docs.google.com/spreadsheets/d/1ItG2mGa2ceCfYo0BwxsXqNm01IGEUdYcSSLTEv9YCik/edit?usp=sharing"",""เบิกจ่ายกองทุน!M59"")"),58650)</f>
        <v>58650</v>
      </c>
      <c r="S696" s="74">
        <f ca="1">IFERROR(__xludf.DUMMYFUNCTION("IMPORTRANGE(""https://docs.google.com/spreadsheets/d/1ItG2mGa2ceCfYo0BwxsXqNm01IGEUdYcSSLTEv9YCik/edit?usp=sharing"",""เบิกจ่ายกองทุน!N59"")"),0)</f>
        <v>0</v>
      </c>
      <c r="T696" s="74">
        <f t="shared" ca="1" si="415"/>
        <v>0</v>
      </c>
      <c r="U696" s="74">
        <f t="shared" ca="1" si="416"/>
        <v>0</v>
      </c>
    </row>
    <row r="697" spans="1:21" ht="18.75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3">
        <f t="shared" ref="L697:N697" si="421">L698+L699</f>
        <v>0</v>
      </c>
      <c r="M697" s="74">
        <f t="shared" si="421"/>
        <v>0</v>
      </c>
      <c r="N697" s="74">
        <f t="shared" si="421"/>
        <v>0</v>
      </c>
      <c r="O697" s="74">
        <f t="shared" si="412"/>
        <v>0</v>
      </c>
      <c r="P697" s="74">
        <f t="shared" si="413"/>
        <v>0</v>
      </c>
      <c r="Q697" s="74">
        <f t="shared" ref="Q697:S697" si="422">Q698+Q699</f>
        <v>0</v>
      </c>
      <c r="R697" s="74">
        <f t="shared" si="422"/>
        <v>0</v>
      </c>
      <c r="S697" s="74">
        <f t="shared" si="422"/>
        <v>0</v>
      </c>
      <c r="T697" s="74">
        <f t="shared" si="415"/>
        <v>0</v>
      </c>
      <c r="U697" s="74">
        <f t="shared" si="416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77">
        <f t="shared" si="412"/>
        <v>0</v>
      </c>
      <c r="P698" s="77">
        <f t="shared" si="413"/>
        <v>0</v>
      </c>
      <c r="Q698" s="77">
        <v>0</v>
      </c>
      <c r="R698" s="77">
        <v>0</v>
      </c>
      <c r="S698" s="77">
        <v>0</v>
      </c>
      <c r="T698" s="77">
        <f t="shared" si="415"/>
        <v>0</v>
      </c>
      <c r="U698" s="77">
        <f t="shared" si="416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74">
        <f t="shared" si="412"/>
        <v>0</v>
      </c>
      <c r="P699" s="74">
        <f t="shared" si="413"/>
        <v>0</v>
      </c>
      <c r="Q699" s="74">
        <v>0</v>
      </c>
      <c r="R699" s="74">
        <v>0</v>
      </c>
      <c r="S699" s="74">
        <v>0</v>
      </c>
      <c r="T699" s="74">
        <f t="shared" si="415"/>
        <v>0</v>
      </c>
      <c r="U699" s="74">
        <f t="shared" si="416"/>
        <v>0</v>
      </c>
    </row>
    <row r="700" spans="1:21" ht="19.5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IFERROR(__xludf.DUMMYFUNCTION("IMPORTRANGE(""https://docs.google.com/spreadsheets/d/1eHaY18a8A9IcSdp1K8H6x8fbOy06t2VsZHhMHf-1x7Y/edit?usp=sharing"",""แผน!LC59"")"),0)</f>
        <v>0</v>
      </c>
      <c r="J701" s="294">
        <v>0</v>
      </c>
      <c r="K701" s="768">
        <f t="shared" ref="K701:K711" ca="1" si="423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t="shared" ref="I702:J702" ca="1" si="424">I704+I706</f>
        <v>2</v>
      </c>
      <c r="J702" s="622">
        <f t="shared" ca="1" si="424"/>
        <v>0</v>
      </c>
      <c r="K702" s="264">
        <f t="shared" ca="1" si="423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0</v>
      </c>
      <c r="K703" s="264">
        <f t="shared" si="423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IFERROR(__xludf.DUMMYFUNCTION("IMPORTRANGE(""https://docs.google.com/spreadsheets/d/1eHaY18a8A9IcSdp1K8H6x8fbOy06t2VsZHhMHf-1x7Y/edit?usp=sharing"",""แผน!LJ59"")"),0)</f>
        <v>0</v>
      </c>
      <c r="J704" s="293">
        <f ca="1">IFERROR(__xludf.DUMMYFUNCTION("IMPORTRANGE(""https://docs.google.com/spreadsheets/d/1tdoBKaGub7dwA3U6UFTqxio9LNnvDCQjHKmttSEBsFQ/edit?usp=sharing"",""จัดที่ดิน!AP59"")"),0)</f>
        <v>0</v>
      </c>
      <c r="K704" s="74">
        <f t="shared" ca="1" si="423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IFERROR(__xludf.DUMMYFUNCTION("IMPORTRANGE(""https://docs.google.com/spreadsheets/d/1tdoBKaGub7dwA3U6UFTqxio9LNnvDCQjHKmttSEBsFQ/edit?usp=sharing"",""จัดที่ดิน!AQ59"")"),0)</f>
        <v>0</v>
      </c>
      <c r="K705" s="74">
        <f t="shared" si="423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IFERROR(__xludf.DUMMYFUNCTION("IMPORTRANGE(""https://docs.google.com/spreadsheets/d/1eHaY18a8A9IcSdp1K8H6x8fbOy06t2VsZHhMHf-1x7Y/edit?usp=sharing"",""แผน!LK59"")"),2)</f>
        <v>2</v>
      </c>
      <c r="J706" s="293">
        <f ca="1">IFERROR(__xludf.DUMMYFUNCTION("IMPORTRANGE(""https://docs.google.com/spreadsheets/d/1tdoBKaGub7dwA3U6UFTqxio9LNnvDCQjHKmttSEBsFQ/edit?usp=sharing"",""จัดที่ดิน!AR59"")"),0)</f>
        <v>0</v>
      </c>
      <c r="K706" s="768">
        <f t="shared" ca="1" si="423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IFERROR(__xludf.DUMMYFUNCTION("IMPORTRANGE(""https://docs.google.com/spreadsheets/d/1tdoBKaGub7dwA3U6UFTqxio9LNnvDCQjHKmttSEBsFQ/edit?usp=sharing"",""จัดที่ดิน!AS59"")"),0)</f>
        <v>0</v>
      </c>
      <c r="K707" s="74">
        <f t="shared" si="423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IFERROR(__xludf.DUMMYFUNCTION("IMPORTRANGE(""https://docs.google.com/spreadsheets/d/1eHaY18a8A9IcSdp1K8H6x8fbOy06t2VsZHhMHf-1x7Y/edit?usp=sharing"",""แผน!LJ59"")"),0)</f>
        <v>0</v>
      </c>
      <c r="J708" s="293">
        <f ca="1">IFERROR(__xludf.DUMMYFUNCTION("IMPORTRANGE(""https://docs.google.com/spreadsheets/d/1tdoBKaGub7dwA3U6UFTqxio9LNnvDCQjHKmttSEBsFQ/edit?usp=sharing"",""จัดที่ดิน!BN59"")"),0)</f>
        <v>0</v>
      </c>
      <c r="K708" s="74">
        <f t="shared" ca="1" si="423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IFERROR(__xludf.DUMMYFUNCTION("IMPORTRANGE(""https://docs.google.com/spreadsheets/d/1tdoBKaGub7dwA3U6UFTqxio9LNnvDCQjHKmttSEBsFQ/edit?usp=sharing"",""จัดที่ดิน!BO59"")"),0)</f>
        <v>0</v>
      </c>
      <c r="K709" s="74">
        <f t="shared" si="423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IFERROR(__xludf.DUMMYFUNCTION("IMPORTRANGE(""https://docs.google.com/spreadsheets/d/1eHaY18a8A9IcSdp1K8H6x8fbOy06t2VsZHhMHf-1x7Y/edit?usp=sharing"",""แผน!LK59"")"),2)</f>
        <v>2</v>
      </c>
      <c r="J710" s="293">
        <f ca="1">IFERROR(__xludf.DUMMYFUNCTION("IMPORTRANGE(""https://docs.google.com/spreadsheets/d/1tdoBKaGub7dwA3U6UFTqxio9LNnvDCQjHKmttSEBsFQ/edit?usp=sharing"",""จัดที่ดิน!BP59"")"),0)</f>
        <v>0</v>
      </c>
      <c r="K710" s="74">
        <f t="shared" ca="1" si="423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IFERROR(__xludf.DUMMYFUNCTION("IMPORTRANGE(""https://docs.google.com/spreadsheets/d/1tdoBKaGub7dwA3U6UFTqxio9LNnvDCQjHKmttSEBsFQ/edit?usp=sharing"",""จัดที่ดิน!BQ59"")"),0)</f>
        <v>0</v>
      </c>
      <c r="K711" s="74">
        <f t="shared" si="423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1257">
        <f t="shared" ref="L715:N715" si="425">L716+L717</f>
        <v>0</v>
      </c>
      <c r="M715" s="264">
        <f t="shared" si="425"/>
        <v>0</v>
      </c>
      <c r="N715" s="264">
        <f t="shared" si="425"/>
        <v>0</v>
      </c>
      <c r="O715" s="264">
        <f t="shared" ref="O715:O723" si="426">IF(L715&gt;0,N715*100/L715,0)</f>
        <v>0</v>
      </c>
      <c r="P715" s="264">
        <f t="shared" ref="P715:P723" si="427">IF(M715&gt;0,N715*100/M715,0)</f>
        <v>0</v>
      </c>
      <c r="Q715" s="264">
        <f t="shared" ref="Q715:S715" si="428">Q716+Q717</f>
        <v>0</v>
      </c>
      <c r="R715" s="264">
        <f t="shared" si="428"/>
        <v>0</v>
      </c>
      <c r="S715" s="264">
        <f t="shared" si="428"/>
        <v>0</v>
      </c>
      <c r="T715" s="264">
        <f t="shared" ref="T715:T723" si="429">IF(Q715&gt;0,S715*100/Q715,0)</f>
        <v>0</v>
      </c>
      <c r="U715" s="264">
        <f t="shared" ref="U715:U723" si="430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6">
        <f t="shared" ref="L716:N717" si="431">L719+L722</f>
        <v>0</v>
      </c>
      <c r="M716" s="77">
        <f t="shared" si="431"/>
        <v>0</v>
      </c>
      <c r="N716" s="77">
        <f t="shared" si="431"/>
        <v>0</v>
      </c>
      <c r="O716" s="77">
        <f t="shared" si="426"/>
        <v>0</v>
      </c>
      <c r="P716" s="77">
        <f t="shared" si="427"/>
        <v>0</v>
      </c>
      <c r="Q716" s="77">
        <f t="shared" ref="Q716:S717" si="432">Q719+Q722</f>
        <v>0</v>
      </c>
      <c r="R716" s="77">
        <f t="shared" si="432"/>
        <v>0</v>
      </c>
      <c r="S716" s="77">
        <f t="shared" si="432"/>
        <v>0</v>
      </c>
      <c r="T716" s="77">
        <f t="shared" si="429"/>
        <v>0</v>
      </c>
      <c r="U716" s="77">
        <f t="shared" si="430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3">
        <f t="shared" si="431"/>
        <v>0</v>
      </c>
      <c r="M717" s="74">
        <f t="shared" si="431"/>
        <v>0</v>
      </c>
      <c r="N717" s="74">
        <f t="shared" si="431"/>
        <v>0</v>
      </c>
      <c r="O717" s="74">
        <f t="shared" si="426"/>
        <v>0</v>
      </c>
      <c r="P717" s="74">
        <f t="shared" si="427"/>
        <v>0</v>
      </c>
      <c r="Q717" s="74">
        <f t="shared" si="432"/>
        <v>0</v>
      </c>
      <c r="R717" s="74">
        <f t="shared" si="432"/>
        <v>0</v>
      </c>
      <c r="S717" s="74">
        <f t="shared" si="432"/>
        <v>0</v>
      </c>
      <c r="T717" s="74">
        <f t="shared" si="429"/>
        <v>0</v>
      </c>
      <c r="U717" s="74">
        <f t="shared" si="430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3">
        <f t="shared" ref="L718:N718" si="433">L719+L720</f>
        <v>0</v>
      </c>
      <c r="M718" s="74">
        <f t="shared" si="433"/>
        <v>0</v>
      </c>
      <c r="N718" s="74">
        <f t="shared" si="433"/>
        <v>0</v>
      </c>
      <c r="O718" s="74">
        <f t="shared" si="426"/>
        <v>0</v>
      </c>
      <c r="P718" s="74">
        <f t="shared" si="427"/>
        <v>0</v>
      </c>
      <c r="Q718" s="74">
        <f t="shared" ref="Q718:S718" si="434">Q719+Q720</f>
        <v>0</v>
      </c>
      <c r="R718" s="74">
        <f t="shared" si="434"/>
        <v>0</v>
      </c>
      <c r="S718" s="74">
        <f t="shared" si="434"/>
        <v>0</v>
      </c>
      <c r="T718" s="74">
        <f t="shared" si="429"/>
        <v>0</v>
      </c>
      <c r="U718" s="74">
        <f t="shared" si="430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77">
        <f t="shared" si="426"/>
        <v>0</v>
      </c>
      <c r="P719" s="77">
        <f t="shared" si="427"/>
        <v>0</v>
      </c>
      <c r="Q719" s="77">
        <v>0</v>
      </c>
      <c r="R719" s="77">
        <v>0</v>
      </c>
      <c r="S719" s="77">
        <v>0</v>
      </c>
      <c r="T719" s="77">
        <f t="shared" si="429"/>
        <v>0</v>
      </c>
      <c r="U719" s="77">
        <f t="shared" si="430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74">
        <f t="shared" si="426"/>
        <v>0</v>
      </c>
      <c r="P720" s="74">
        <f t="shared" si="427"/>
        <v>0</v>
      </c>
      <c r="Q720" s="74">
        <v>0</v>
      </c>
      <c r="R720" s="74">
        <v>0</v>
      </c>
      <c r="S720" s="74">
        <v>0</v>
      </c>
      <c r="T720" s="74">
        <f t="shared" si="429"/>
        <v>0</v>
      </c>
      <c r="U720" s="74">
        <f t="shared" si="430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3">
        <f t="shared" ref="L721:N721" si="435">L722+L723</f>
        <v>0</v>
      </c>
      <c r="M721" s="74">
        <f t="shared" si="435"/>
        <v>0</v>
      </c>
      <c r="N721" s="74">
        <f t="shared" si="435"/>
        <v>0</v>
      </c>
      <c r="O721" s="74">
        <f t="shared" si="426"/>
        <v>0</v>
      </c>
      <c r="P721" s="74">
        <f t="shared" si="427"/>
        <v>0</v>
      </c>
      <c r="Q721" s="74">
        <f t="shared" ref="Q721:S721" si="436">Q722+Q723</f>
        <v>0</v>
      </c>
      <c r="R721" s="74">
        <f t="shared" si="436"/>
        <v>0</v>
      </c>
      <c r="S721" s="74">
        <f t="shared" si="436"/>
        <v>0</v>
      </c>
      <c r="T721" s="74">
        <f t="shared" si="429"/>
        <v>0</v>
      </c>
      <c r="U721" s="74">
        <f t="shared" si="430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77">
        <f t="shared" si="426"/>
        <v>0</v>
      </c>
      <c r="P722" s="77">
        <f t="shared" si="427"/>
        <v>0</v>
      </c>
      <c r="Q722" s="77">
        <v>0</v>
      </c>
      <c r="R722" s="77">
        <v>0</v>
      </c>
      <c r="S722" s="77">
        <v>0</v>
      </c>
      <c r="T722" s="77">
        <f t="shared" si="429"/>
        <v>0</v>
      </c>
      <c r="U722" s="77">
        <f t="shared" si="430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74">
        <f t="shared" si="426"/>
        <v>0</v>
      </c>
      <c r="P723" s="74">
        <f t="shared" si="427"/>
        <v>0</v>
      </c>
      <c r="Q723" s="74">
        <v>0</v>
      </c>
      <c r="R723" s="74">
        <v>0</v>
      </c>
      <c r="S723" s="74">
        <v>0</v>
      </c>
      <c r="T723" s="74">
        <f t="shared" si="429"/>
        <v>0</v>
      </c>
      <c r="U723" s="74">
        <f t="shared" si="430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hidden="1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IFERROR(__xludf.DUMMYFUNCTION("IMPORTRANGE(""https://docs.google.com/spreadsheets/d/1eHaY18a8A9IcSdp1K8H6x8fbOy06t2VsZHhMHf-1x7Y/edit?usp=sharing"",""แผน!FZ59"")"),0)</f>
        <v>0</v>
      </c>
      <c r="J727" s="781">
        <f>J743+J747+J750</f>
        <v>0</v>
      </c>
      <c r="K727" s="766">
        <f t="shared" ref="K727:K728" ca="1" si="437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hidden="1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IFERROR(__xludf.DUMMYFUNCTION("IMPORTRANGE(""https://docs.google.com/spreadsheets/d/1eHaY18a8A9IcSdp1K8H6x8fbOy06t2VsZHhMHf-1x7Y/edit?usp=sharing"",""แผน!GA59"")"),0)</f>
        <v>0</v>
      </c>
      <c r="J728" s="781">
        <f>J753+J756</f>
        <v>0</v>
      </c>
      <c r="K728" s="766">
        <f t="shared" ca="1" si="437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hidden="1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1257">
        <f t="shared" ref="L729:N729" si="438">L730+L731</f>
        <v>0</v>
      </c>
      <c r="M729" s="264">
        <f t="shared" si="438"/>
        <v>0</v>
      </c>
      <c r="N729" s="264">
        <f t="shared" si="438"/>
        <v>0</v>
      </c>
      <c r="O729" s="264">
        <f t="shared" ref="O729:O737" si="439">IF(L729&gt;0,N729*100/L729,0)</f>
        <v>0</v>
      </c>
      <c r="P729" s="264">
        <f t="shared" ref="P729:P737" si="440">IF(M729&gt;0,N729*100/M729,0)</f>
        <v>0</v>
      </c>
      <c r="Q729" s="264">
        <f t="shared" ref="Q729:S729" ca="1" si="441">Q730+Q731</f>
        <v>0</v>
      </c>
      <c r="R729" s="264">
        <f t="shared" ca="1" si="441"/>
        <v>0</v>
      </c>
      <c r="S729" s="264">
        <f t="shared" ca="1" si="441"/>
        <v>0</v>
      </c>
      <c r="T729" s="264">
        <f t="shared" ref="T729:T737" ca="1" si="442">IF(Q729&gt;0,S729*100/Q729,0)</f>
        <v>0</v>
      </c>
      <c r="U729" s="264">
        <f t="shared" ref="U729:U737" ca="1" si="443">IF(R729&gt;0,S729*100/R729,0)</f>
        <v>0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6">
        <f t="shared" ref="L730:N731" si="444">L733+L736</f>
        <v>0</v>
      </c>
      <c r="M730" s="77">
        <f t="shared" si="444"/>
        <v>0</v>
      </c>
      <c r="N730" s="77">
        <f t="shared" si="444"/>
        <v>0</v>
      </c>
      <c r="O730" s="77">
        <f t="shared" si="439"/>
        <v>0</v>
      </c>
      <c r="P730" s="77">
        <f t="shared" si="440"/>
        <v>0</v>
      </c>
      <c r="Q730" s="77">
        <f t="shared" ref="Q730:S731" si="445">Q733+Q736</f>
        <v>0</v>
      </c>
      <c r="R730" s="77">
        <f t="shared" si="445"/>
        <v>0</v>
      </c>
      <c r="S730" s="77">
        <f t="shared" si="445"/>
        <v>0</v>
      </c>
      <c r="T730" s="77">
        <f t="shared" si="442"/>
        <v>0</v>
      </c>
      <c r="U730" s="77">
        <f t="shared" si="443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3">
        <f t="shared" si="444"/>
        <v>0</v>
      </c>
      <c r="M731" s="74">
        <f t="shared" si="444"/>
        <v>0</v>
      </c>
      <c r="N731" s="74">
        <f t="shared" si="444"/>
        <v>0</v>
      </c>
      <c r="O731" s="74">
        <f t="shared" si="439"/>
        <v>0</v>
      </c>
      <c r="P731" s="74">
        <f t="shared" si="440"/>
        <v>0</v>
      </c>
      <c r="Q731" s="74">
        <f t="shared" ca="1" si="445"/>
        <v>0</v>
      </c>
      <c r="R731" s="74">
        <f t="shared" ca="1" si="445"/>
        <v>0</v>
      </c>
      <c r="S731" s="74">
        <f t="shared" ca="1" si="445"/>
        <v>0</v>
      </c>
      <c r="T731" s="74">
        <f t="shared" ca="1" si="442"/>
        <v>0</v>
      </c>
      <c r="U731" s="74">
        <f t="shared" ca="1" si="443"/>
        <v>0</v>
      </c>
    </row>
    <row r="732" spans="1:21" ht="18.75" hidden="1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3">
        <f t="shared" ref="L732:N732" si="446">L733+L734</f>
        <v>0</v>
      </c>
      <c r="M732" s="74">
        <f t="shared" si="446"/>
        <v>0</v>
      </c>
      <c r="N732" s="74">
        <f t="shared" si="446"/>
        <v>0</v>
      </c>
      <c r="O732" s="74">
        <f t="shared" si="439"/>
        <v>0</v>
      </c>
      <c r="P732" s="74">
        <f t="shared" si="440"/>
        <v>0</v>
      </c>
      <c r="Q732" s="74">
        <f t="shared" ref="Q732:S732" ca="1" si="447">Q733+Q734</f>
        <v>0</v>
      </c>
      <c r="R732" s="74">
        <f t="shared" ca="1" si="447"/>
        <v>0</v>
      </c>
      <c r="S732" s="74">
        <f t="shared" ca="1" si="447"/>
        <v>0</v>
      </c>
      <c r="T732" s="74">
        <f t="shared" ca="1" si="442"/>
        <v>0</v>
      </c>
      <c r="U732" s="74">
        <f t="shared" ca="1" si="443"/>
        <v>0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77">
        <f t="shared" si="439"/>
        <v>0</v>
      </c>
      <c r="P733" s="77">
        <f t="shared" si="440"/>
        <v>0</v>
      </c>
      <c r="Q733" s="77">
        <v>0</v>
      </c>
      <c r="R733" s="77">
        <v>0</v>
      </c>
      <c r="S733" s="77">
        <v>0</v>
      </c>
      <c r="T733" s="77">
        <f t="shared" si="442"/>
        <v>0</v>
      </c>
      <c r="U733" s="77">
        <f t="shared" si="443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74">
        <f t="shared" si="439"/>
        <v>0</v>
      </c>
      <c r="P734" s="74">
        <f t="shared" si="440"/>
        <v>0</v>
      </c>
      <c r="Q734" s="74">
        <f ca="1">IFERROR(__xludf.DUMMYFUNCTION("IMPORTRANGE(""https://docs.google.com/spreadsheets/d/1ItG2mGa2ceCfYo0BwxsXqNm01IGEUdYcSSLTEv9YCik/edit?usp=sharing"",""เบิกจ่ายกองทุน!O59"")"),0)</f>
        <v>0</v>
      </c>
      <c r="R734" s="74">
        <f ca="1">IFERROR(__xludf.DUMMYFUNCTION("IMPORTRANGE(""https://docs.google.com/spreadsheets/d/1ItG2mGa2ceCfYo0BwxsXqNm01IGEUdYcSSLTEv9YCik/edit?usp=sharing"",""เบิกจ่ายกองทุน!P59"")"),0)</f>
        <v>0</v>
      </c>
      <c r="S734" s="74">
        <f ca="1">IFERROR(__xludf.DUMMYFUNCTION("IMPORTRANGE(""https://docs.google.com/spreadsheets/d/1ItG2mGa2ceCfYo0BwxsXqNm01IGEUdYcSSLTEv9YCik/edit?usp=sharing"",""เบิกจ่ายกองทุน!Q59"")"),0)</f>
        <v>0</v>
      </c>
      <c r="T734" s="74">
        <f t="shared" ca="1" si="442"/>
        <v>0</v>
      </c>
      <c r="U734" s="74">
        <f t="shared" ca="1" si="443"/>
        <v>0</v>
      </c>
    </row>
    <row r="735" spans="1:21" ht="18.75" hidden="1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3">
        <f t="shared" ref="L735:N735" si="448">L736+L737</f>
        <v>0</v>
      </c>
      <c r="M735" s="74">
        <f t="shared" si="448"/>
        <v>0</v>
      </c>
      <c r="N735" s="74">
        <f t="shared" si="448"/>
        <v>0</v>
      </c>
      <c r="O735" s="74">
        <f t="shared" si="439"/>
        <v>0</v>
      </c>
      <c r="P735" s="74">
        <f t="shared" si="440"/>
        <v>0</v>
      </c>
      <c r="Q735" s="74">
        <f t="shared" ref="Q735:S735" si="449">Q736+Q737</f>
        <v>0</v>
      </c>
      <c r="R735" s="74">
        <f t="shared" si="449"/>
        <v>0</v>
      </c>
      <c r="S735" s="74">
        <f t="shared" si="449"/>
        <v>0</v>
      </c>
      <c r="T735" s="74">
        <f t="shared" si="442"/>
        <v>0</v>
      </c>
      <c r="U735" s="74">
        <f t="shared" si="443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77">
        <f t="shared" si="439"/>
        <v>0</v>
      </c>
      <c r="P736" s="77">
        <f t="shared" si="440"/>
        <v>0</v>
      </c>
      <c r="Q736" s="77">
        <v>0</v>
      </c>
      <c r="R736" s="77">
        <v>0</v>
      </c>
      <c r="S736" s="77">
        <v>0</v>
      </c>
      <c r="T736" s="77">
        <f t="shared" si="442"/>
        <v>0</v>
      </c>
      <c r="U736" s="77">
        <f t="shared" si="443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74">
        <f t="shared" si="439"/>
        <v>0</v>
      </c>
      <c r="P737" s="74">
        <f t="shared" si="440"/>
        <v>0</v>
      </c>
      <c r="Q737" s="74">
        <v>0</v>
      </c>
      <c r="R737" s="74">
        <v>0</v>
      </c>
      <c r="S737" s="74">
        <v>0</v>
      </c>
      <c r="T737" s="74">
        <f t="shared" si="442"/>
        <v>0</v>
      </c>
      <c r="U737" s="74">
        <f t="shared" si="443"/>
        <v>0</v>
      </c>
    </row>
    <row r="738" spans="1:21" ht="19.5" hidden="1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hidden="1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hidden="1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hidden="1" x14ac:dyDescent="0.25">
      <c r="A741" s="276"/>
      <c r="B741" s="277"/>
      <c r="C741" s="277"/>
      <c r="D741" s="277"/>
      <c r="E741" s="277"/>
      <c r="F741" s="745" t="s">
        <v>271</v>
      </c>
      <c r="G741" s="282"/>
      <c r="H741" s="268" t="s">
        <v>46</v>
      </c>
      <c r="I741" s="293">
        <f ca="1">IFERROR(__xludf.DUMMYFUNCTION("IMPORTRANGE(""https://docs.google.com/spreadsheets/d/1eHaY18a8A9IcSdp1K8H6x8fbOy06t2VsZHhMHf-1x7Y/edit?usp=sharing"",""แผน!GB59"")"),0)</f>
        <v>0</v>
      </c>
      <c r="J741" s="294">
        <v>0</v>
      </c>
      <c r="K741" s="74">
        <f ca="1">IF(I741&gt;0,J741*100/I741,0)</f>
        <v>0</v>
      </c>
      <c r="L741" s="86"/>
      <c r="M741" s="87"/>
      <c r="N741" s="87"/>
      <c r="O741" s="87"/>
      <c r="P741" s="87"/>
      <c r="Q741" s="87"/>
      <c r="R741" s="87"/>
      <c r="S741" s="87"/>
      <c r="T741" s="87"/>
      <c r="U741" s="87"/>
    </row>
    <row r="742" spans="1:21" ht="18.75" hidden="1" x14ac:dyDescent="0.25">
      <c r="A742" s="276"/>
      <c r="B742" s="277"/>
      <c r="C742" s="277"/>
      <c r="D742" s="277"/>
      <c r="E742" s="277"/>
      <c r="F742" s="745" t="s">
        <v>272</v>
      </c>
      <c r="G742" s="282"/>
      <c r="H742" s="268" t="s">
        <v>35</v>
      </c>
      <c r="I742" s="263"/>
      <c r="J742" s="294">
        <v>0</v>
      </c>
      <c r="K742" s="87"/>
      <c r="L742" s="86"/>
      <c r="M742" s="87"/>
      <c r="N742" s="87"/>
      <c r="O742" s="87"/>
      <c r="P742" s="87"/>
      <c r="Q742" s="87"/>
      <c r="R742" s="87"/>
      <c r="S742" s="87"/>
      <c r="T742" s="87"/>
      <c r="U742" s="87"/>
    </row>
    <row r="743" spans="1:21" ht="18.75" hidden="1" x14ac:dyDescent="0.25">
      <c r="A743" s="276"/>
      <c r="B743" s="277"/>
      <c r="C743" s="277"/>
      <c r="D743" s="277"/>
      <c r="E743" s="277"/>
      <c r="F743" s="745" t="s">
        <v>273</v>
      </c>
      <c r="G743" s="282"/>
      <c r="H743" s="268" t="s">
        <v>35</v>
      </c>
      <c r="I743" s="293">
        <f ca="1">IFERROR(__xludf.DUMMYFUNCTION("IMPORTRANGE(""https://docs.google.com/spreadsheets/d/1eHaY18a8A9IcSdp1K8H6x8fbOy06t2VsZHhMHf-1x7Y/edit?usp=sharing"",""แผน!GC59"")"),0)</f>
        <v>0</v>
      </c>
      <c r="J743" s="294">
        <v>0</v>
      </c>
      <c r="K743" s="74">
        <f ca="1">IF(I743&gt;0,J743*100/I743,0)</f>
        <v>0</v>
      </c>
      <c r="L743" s="86"/>
      <c r="M743" s="87"/>
      <c r="N743" s="87"/>
      <c r="O743" s="87"/>
      <c r="P743" s="87"/>
      <c r="Q743" s="87"/>
      <c r="R743" s="87"/>
      <c r="S743" s="87"/>
      <c r="T743" s="87"/>
      <c r="U743" s="87"/>
    </row>
    <row r="744" spans="1:21" ht="18.75" hidden="1" x14ac:dyDescent="0.25">
      <c r="A744" s="276"/>
      <c r="B744" s="277"/>
      <c r="C744" s="277"/>
      <c r="D744" s="277"/>
      <c r="E744" s="745" t="s">
        <v>274</v>
      </c>
      <c r="F744" s="277"/>
      <c r="G744" s="282"/>
      <c r="H744" s="312"/>
      <c r="I744" s="263"/>
      <c r="J744" s="263"/>
      <c r="K744" s="87"/>
      <c r="L744" s="86"/>
      <c r="M744" s="87"/>
      <c r="N744" s="87"/>
      <c r="O744" s="87"/>
      <c r="P744" s="87"/>
      <c r="Q744" s="87"/>
      <c r="R744" s="87"/>
      <c r="S744" s="87"/>
      <c r="T744" s="87"/>
      <c r="U744" s="87"/>
    </row>
    <row r="745" spans="1:21" ht="18.75" hidden="1" x14ac:dyDescent="0.25">
      <c r="A745" s="276"/>
      <c r="B745" s="277"/>
      <c r="C745" s="277"/>
      <c r="D745" s="277"/>
      <c r="E745" s="277"/>
      <c r="F745" s="745" t="s">
        <v>271</v>
      </c>
      <c r="G745" s="282"/>
      <c r="H745" s="268" t="s">
        <v>46</v>
      </c>
      <c r="I745" s="293">
        <f ca="1">IFERROR(__xludf.DUMMYFUNCTION("IMPORTRANGE(""https://docs.google.com/spreadsheets/d/1eHaY18a8A9IcSdp1K8H6x8fbOy06t2VsZHhMHf-1x7Y/edit?usp=sharing"",""แผน!GD59"")"),0)</f>
        <v>0</v>
      </c>
      <c r="J745" s="294">
        <v>0</v>
      </c>
      <c r="K745" s="74">
        <f ca="1">IF(I745&gt;0,J745*100/I745,0)</f>
        <v>0</v>
      </c>
      <c r="L745" s="86"/>
      <c r="M745" s="87"/>
      <c r="N745" s="87"/>
      <c r="O745" s="87"/>
      <c r="P745" s="87"/>
      <c r="Q745" s="87"/>
      <c r="R745" s="87"/>
      <c r="S745" s="87"/>
      <c r="T745" s="87"/>
      <c r="U745" s="87"/>
    </row>
    <row r="746" spans="1:21" ht="18.75" hidden="1" x14ac:dyDescent="0.25">
      <c r="A746" s="276"/>
      <c r="B746" s="277"/>
      <c r="C746" s="277"/>
      <c r="D746" s="277"/>
      <c r="E746" s="277"/>
      <c r="F746" s="745" t="s">
        <v>275</v>
      </c>
      <c r="G746" s="282"/>
      <c r="H746" s="268" t="s">
        <v>35</v>
      </c>
      <c r="I746" s="263"/>
      <c r="J746" s="294">
        <v>0</v>
      </c>
      <c r="K746" s="87"/>
      <c r="L746" s="86"/>
      <c r="M746" s="87"/>
      <c r="N746" s="87"/>
      <c r="O746" s="87"/>
      <c r="P746" s="87"/>
      <c r="Q746" s="87"/>
      <c r="R746" s="87"/>
      <c r="S746" s="87"/>
      <c r="T746" s="87"/>
      <c r="U746" s="87"/>
    </row>
    <row r="747" spans="1:21" ht="18.75" hidden="1" x14ac:dyDescent="0.25">
      <c r="A747" s="276"/>
      <c r="B747" s="277"/>
      <c r="C747" s="277"/>
      <c r="D747" s="277"/>
      <c r="E747" s="277"/>
      <c r="F747" s="745" t="s">
        <v>276</v>
      </c>
      <c r="G747" s="282"/>
      <c r="H747" s="268" t="s">
        <v>35</v>
      </c>
      <c r="I747" s="293">
        <f ca="1">IFERROR(__xludf.DUMMYFUNCTION("IMPORTRANGE(""https://docs.google.com/spreadsheets/d/1eHaY18a8A9IcSdp1K8H6x8fbOy06t2VsZHhMHf-1x7Y/edit?usp=sharing"",""แผน!GE59"")"),0)</f>
        <v>0</v>
      </c>
      <c r="J747" s="294">
        <v>0</v>
      </c>
      <c r="K747" s="74">
        <f ca="1">IF(I747&gt;0,J747*100/I747,0)</f>
        <v>0</v>
      </c>
      <c r="L747" s="86"/>
      <c r="M747" s="87"/>
      <c r="N747" s="87"/>
      <c r="O747" s="87"/>
      <c r="P747" s="87"/>
      <c r="Q747" s="87"/>
      <c r="R747" s="87"/>
      <c r="S747" s="87"/>
      <c r="T747" s="87"/>
      <c r="U747" s="87"/>
    </row>
    <row r="748" spans="1:21" ht="18.75" hidden="1" x14ac:dyDescent="0.25">
      <c r="A748" s="276"/>
      <c r="B748" s="277"/>
      <c r="C748" s="277"/>
      <c r="D748" s="277"/>
      <c r="E748" s="745" t="s">
        <v>277</v>
      </c>
      <c r="F748" s="296"/>
      <c r="G748" s="282"/>
      <c r="H748" s="312"/>
      <c r="I748" s="263"/>
      <c r="J748" s="263"/>
      <c r="K748" s="87"/>
      <c r="L748" s="86"/>
      <c r="M748" s="87"/>
      <c r="N748" s="87"/>
      <c r="O748" s="87"/>
      <c r="P748" s="87"/>
      <c r="Q748" s="87"/>
      <c r="R748" s="87"/>
      <c r="S748" s="87"/>
      <c r="T748" s="87"/>
      <c r="U748" s="87"/>
    </row>
    <row r="749" spans="1:21" ht="18.75" hidden="1" x14ac:dyDescent="0.25">
      <c r="A749" s="276"/>
      <c r="B749" s="277"/>
      <c r="C749" s="277"/>
      <c r="D749" s="277"/>
      <c r="E749" s="277"/>
      <c r="F749" s="745" t="s">
        <v>278</v>
      </c>
      <c r="G749" s="282"/>
      <c r="H749" s="268" t="s">
        <v>35</v>
      </c>
      <c r="I749" s="263"/>
      <c r="J749" s="294">
        <v>0</v>
      </c>
      <c r="K749" s="87"/>
      <c r="L749" s="86"/>
      <c r="M749" s="87"/>
      <c r="N749" s="87"/>
      <c r="O749" s="87"/>
      <c r="P749" s="87"/>
      <c r="Q749" s="87"/>
      <c r="R749" s="87"/>
      <c r="S749" s="87"/>
      <c r="T749" s="87"/>
      <c r="U749" s="87"/>
    </row>
    <row r="750" spans="1:21" ht="18.75" hidden="1" x14ac:dyDescent="0.25">
      <c r="A750" s="276"/>
      <c r="B750" s="277"/>
      <c r="C750" s="277"/>
      <c r="D750" s="277"/>
      <c r="E750" s="277"/>
      <c r="F750" s="745" t="s">
        <v>279</v>
      </c>
      <c r="G750" s="282"/>
      <c r="H750" s="268" t="s">
        <v>35</v>
      </c>
      <c r="I750" s="293">
        <f ca="1">IFERROR(__xludf.DUMMYFUNCTION("IMPORTRANGE(""https://docs.google.com/spreadsheets/d/1eHaY18a8A9IcSdp1K8H6x8fbOy06t2VsZHhMHf-1x7Y/edit?usp=sharing"",""แผน!GF59"")"),0)</f>
        <v>0</v>
      </c>
      <c r="J750" s="294">
        <v>0</v>
      </c>
      <c r="K750" s="74">
        <f ca="1">IF(I750&gt;0,J750*100/I750,0)</f>
        <v>0</v>
      </c>
      <c r="L750" s="86"/>
      <c r="M750" s="87"/>
      <c r="N750" s="87"/>
      <c r="O750" s="87"/>
      <c r="P750" s="87"/>
      <c r="Q750" s="87"/>
      <c r="R750" s="87"/>
      <c r="S750" s="87"/>
      <c r="T750" s="87"/>
      <c r="U750" s="87"/>
    </row>
    <row r="751" spans="1:21" ht="19.5" hidden="1" x14ac:dyDescent="0.3">
      <c r="A751" s="276"/>
      <c r="B751" s="277"/>
      <c r="C751" s="277"/>
      <c r="D751" s="784" t="s">
        <v>50</v>
      </c>
      <c r="E751" s="277"/>
      <c r="F751" s="296"/>
      <c r="G751" s="282"/>
      <c r="H751" s="312"/>
      <c r="I751" s="263"/>
      <c r="J751" s="263"/>
      <c r="K751" s="87"/>
      <c r="L751" s="86"/>
      <c r="M751" s="87"/>
      <c r="N751" s="87"/>
      <c r="O751" s="87"/>
      <c r="P751" s="87"/>
      <c r="Q751" s="87"/>
      <c r="R751" s="87"/>
      <c r="S751" s="87"/>
      <c r="T751" s="87"/>
      <c r="U751" s="87"/>
    </row>
    <row r="752" spans="1:21" ht="18.75" hidden="1" x14ac:dyDescent="0.25">
      <c r="A752" s="276"/>
      <c r="B752" s="277"/>
      <c r="C752" s="277"/>
      <c r="D752" s="277"/>
      <c r="E752" s="745" t="s">
        <v>270</v>
      </c>
      <c r="F752" s="296"/>
      <c r="G752" s="282"/>
      <c r="H752" s="312"/>
      <c r="I752" s="263"/>
      <c r="J752" s="263"/>
      <c r="K752" s="87"/>
      <c r="L752" s="86"/>
      <c r="M752" s="87"/>
      <c r="N752" s="87"/>
      <c r="O752" s="87"/>
      <c r="P752" s="87"/>
      <c r="Q752" s="87"/>
      <c r="R752" s="87"/>
      <c r="S752" s="87"/>
      <c r="T752" s="87"/>
      <c r="U752" s="87"/>
    </row>
    <row r="753" spans="1:21" ht="18.75" hidden="1" x14ac:dyDescent="0.25">
      <c r="A753" s="276"/>
      <c r="B753" s="277"/>
      <c r="C753" s="277"/>
      <c r="D753" s="277"/>
      <c r="E753" s="277"/>
      <c r="F753" s="295" t="s">
        <v>280</v>
      </c>
      <c r="G753" s="282"/>
      <c r="H753" s="268" t="s">
        <v>46</v>
      </c>
      <c r="I753" s="293">
        <f ca="1">IFERROR(__xludf.DUMMYFUNCTION("IMPORTRANGE(""https://docs.google.com/spreadsheets/d/1eHaY18a8A9IcSdp1K8H6x8fbOy06t2VsZHhMHf-1x7Y/edit?usp=sharing"",""แผน!GC59"")"),0)</f>
        <v>0</v>
      </c>
      <c r="J753" s="294">
        <v>0</v>
      </c>
      <c r="K753" s="74">
        <f ca="1">IF(I753&gt;0,J753*100/I753,0)</f>
        <v>0</v>
      </c>
      <c r="L753" s="86"/>
      <c r="M753" s="87"/>
      <c r="N753" s="87"/>
      <c r="O753" s="87"/>
      <c r="P753" s="87"/>
      <c r="Q753" s="87"/>
      <c r="R753" s="87"/>
      <c r="S753" s="87"/>
      <c r="T753" s="87"/>
      <c r="U753" s="87"/>
    </row>
    <row r="754" spans="1:21" ht="18.75" hidden="1" x14ac:dyDescent="0.25">
      <c r="A754" s="276"/>
      <c r="B754" s="277"/>
      <c r="C754" s="277"/>
      <c r="D754" s="277"/>
      <c r="E754" s="277"/>
      <c r="F754" s="295" t="s">
        <v>281</v>
      </c>
      <c r="G754" s="282"/>
      <c r="H754" s="268" t="s">
        <v>46</v>
      </c>
      <c r="I754" s="263"/>
      <c r="J754" s="294">
        <v>0</v>
      </c>
      <c r="K754" s="87"/>
      <c r="L754" s="86"/>
      <c r="M754" s="87"/>
      <c r="N754" s="87"/>
      <c r="O754" s="87"/>
      <c r="P754" s="87"/>
      <c r="Q754" s="87"/>
      <c r="R754" s="87"/>
      <c r="S754" s="87"/>
      <c r="T754" s="87"/>
      <c r="U754" s="87"/>
    </row>
    <row r="755" spans="1:21" ht="18.75" hidden="1" x14ac:dyDescent="0.25">
      <c r="A755" s="276"/>
      <c r="B755" s="277"/>
      <c r="C755" s="277"/>
      <c r="D755" s="277"/>
      <c r="E755" s="745" t="s">
        <v>274</v>
      </c>
      <c r="F755" s="296"/>
      <c r="G755" s="282"/>
      <c r="H755" s="312"/>
      <c r="I755" s="263"/>
      <c r="J755" s="263"/>
      <c r="K755" s="87"/>
      <c r="L755" s="86"/>
      <c r="M755" s="87"/>
      <c r="N755" s="87"/>
      <c r="O755" s="87"/>
      <c r="P755" s="87"/>
      <c r="Q755" s="87"/>
      <c r="R755" s="87"/>
      <c r="S755" s="87"/>
      <c r="T755" s="87"/>
      <c r="U755" s="87"/>
    </row>
    <row r="756" spans="1:21" ht="18.75" hidden="1" x14ac:dyDescent="0.25">
      <c r="A756" s="276"/>
      <c r="B756" s="277"/>
      <c r="C756" s="277"/>
      <c r="D756" s="277"/>
      <c r="E756" s="296"/>
      <c r="F756" s="295" t="s">
        <v>282</v>
      </c>
      <c r="G756" s="282"/>
      <c r="H756" s="268" t="s">
        <v>46</v>
      </c>
      <c r="I756" s="293">
        <f ca="1">IFERROR(__xludf.DUMMYFUNCTION("IMPORTRANGE(""https://docs.google.com/spreadsheets/d/1eHaY18a8A9IcSdp1K8H6x8fbOy06t2VsZHhMHf-1x7Y/edit?usp=sharing"",""แผน!GE59"")"),0)</f>
        <v>0</v>
      </c>
      <c r="J756" s="294">
        <v>0</v>
      </c>
      <c r="K756" s="74">
        <f ca="1">IF(I756&gt;0,J756*100/I756,0)</f>
        <v>0</v>
      </c>
      <c r="L756" s="86"/>
      <c r="M756" s="87"/>
      <c r="N756" s="87"/>
      <c r="O756" s="87"/>
      <c r="P756" s="87"/>
      <c r="Q756" s="87"/>
      <c r="R756" s="87"/>
      <c r="S756" s="87"/>
      <c r="T756" s="87"/>
      <c r="U756" s="87"/>
    </row>
    <row r="757" spans="1:21" ht="18.75" hidden="1" x14ac:dyDescent="0.25">
      <c r="A757" s="276"/>
      <c r="B757" s="277"/>
      <c r="C757" s="277"/>
      <c r="D757" s="277"/>
      <c r="E757" s="296"/>
      <c r="F757" s="295" t="s">
        <v>283</v>
      </c>
      <c r="G757" s="282"/>
      <c r="H757" s="268" t="s">
        <v>46</v>
      </c>
      <c r="I757" s="263"/>
      <c r="J757" s="294">
        <v>0</v>
      </c>
      <c r="K757" s="87"/>
      <c r="L757" s="86"/>
      <c r="M757" s="87"/>
      <c r="N757" s="87"/>
      <c r="O757" s="87"/>
      <c r="P757" s="87"/>
      <c r="Q757" s="87"/>
      <c r="R757" s="87"/>
      <c r="S757" s="87"/>
      <c r="T757" s="87"/>
      <c r="U757" s="87"/>
    </row>
    <row r="758" spans="1:21" ht="19.5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0">I772</f>
        <v>10</v>
      </c>
      <c r="J758" s="781">
        <f t="shared" si="450"/>
        <v>0</v>
      </c>
      <c r="K758" s="766">
        <f t="shared" ref="K758:K759" ca="1" si="451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2">I774</f>
        <v>20</v>
      </c>
      <c r="J759" s="781">
        <f t="shared" si="452"/>
        <v>0</v>
      </c>
      <c r="K759" s="766">
        <f t="shared" ca="1" si="451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1257">
        <f t="shared" ref="L760:N760" si="453">L761+L762</f>
        <v>0</v>
      </c>
      <c r="M760" s="264">
        <f t="shared" si="453"/>
        <v>0</v>
      </c>
      <c r="N760" s="264">
        <f t="shared" si="453"/>
        <v>0</v>
      </c>
      <c r="O760" s="264">
        <f t="shared" ref="O760:O768" si="454">IF(L760&gt;0,N760*100/L760,0)</f>
        <v>0</v>
      </c>
      <c r="P760" s="264">
        <f t="shared" ref="P760:P768" si="455">IF(M760&gt;0,N760*100/M760,0)</f>
        <v>0</v>
      </c>
      <c r="Q760" s="264">
        <f t="shared" ref="Q760:S760" ca="1" si="456">Q761+Q762</f>
        <v>95360</v>
      </c>
      <c r="R760" s="264">
        <f t="shared" ca="1" si="456"/>
        <v>95360</v>
      </c>
      <c r="S760" s="264">
        <f t="shared" ca="1" si="456"/>
        <v>0</v>
      </c>
      <c r="T760" s="264">
        <f t="shared" ref="T760:T768" ca="1" si="457">IF(Q760&gt;0,S760*100/Q760,0)</f>
        <v>0</v>
      </c>
      <c r="U760" s="264">
        <f t="shared" ref="U760:U768" ca="1" si="458">IF(R760&gt;0,S760*100/R760,0)</f>
        <v>0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6">
        <f t="shared" ref="L761:N762" si="459">L764+L767</f>
        <v>0</v>
      </c>
      <c r="M761" s="77">
        <f t="shared" si="459"/>
        <v>0</v>
      </c>
      <c r="N761" s="77">
        <f t="shared" si="459"/>
        <v>0</v>
      </c>
      <c r="O761" s="77">
        <f t="shared" si="454"/>
        <v>0</v>
      </c>
      <c r="P761" s="77">
        <f t="shared" si="455"/>
        <v>0</v>
      </c>
      <c r="Q761" s="77">
        <f t="shared" ref="Q761:S762" si="460">Q764+Q767</f>
        <v>0</v>
      </c>
      <c r="R761" s="77">
        <f t="shared" si="460"/>
        <v>0</v>
      </c>
      <c r="S761" s="77">
        <f t="shared" si="460"/>
        <v>0</v>
      </c>
      <c r="T761" s="77">
        <f t="shared" si="457"/>
        <v>0</v>
      </c>
      <c r="U761" s="77">
        <f t="shared" si="458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3">
        <f t="shared" si="459"/>
        <v>0</v>
      </c>
      <c r="M762" s="74">
        <f t="shared" si="459"/>
        <v>0</v>
      </c>
      <c r="N762" s="74">
        <f t="shared" si="459"/>
        <v>0</v>
      </c>
      <c r="O762" s="74">
        <f t="shared" si="454"/>
        <v>0</v>
      </c>
      <c r="P762" s="74">
        <f t="shared" si="455"/>
        <v>0</v>
      </c>
      <c r="Q762" s="74">
        <f t="shared" ca="1" si="460"/>
        <v>95360</v>
      </c>
      <c r="R762" s="74">
        <f t="shared" ca="1" si="460"/>
        <v>95360</v>
      </c>
      <c r="S762" s="74">
        <f t="shared" ca="1" si="460"/>
        <v>0</v>
      </c>
      <c r="T762" s="74">
        <f t="shared" ca="1" si="457"/>
        <v>0</v>
      </c>
      <c r="U762" s="74">
        <f t="shared" ca="1" si="458"/>
        <v>0</v>
      </c>
    </row>
    <row r="763" spans="1:21" ht="18.75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3">
        <f t="shared" ref="L763:N763" si="461">L764+L765</f>
        <v>0</v>
      </c>
      <c r="M763" s="74">
        <f t="shared" si="461"/>
        <v>0</v>
      </c>
      <c r="N763" s="74">
        <f t="shared" si="461"/>
        <v>0</v>
      </c>
      <c r="O763" s="74">
        <f t="shared" si="454"/>
        <v>0</v>
      </c>
      <c r="P763" s="74">
        <f t="shared" si="455"/>
        <v>0</v>
      </c>
      <c r="Q763" s="74">
        <f t="shared" ref="Q763:S763" ca="1" si="462">Q764+Q765</f>
        <v>95360</v>
      </c>
      <c r="R763" s="74">
        <f t="shared" ca="1" si="462"/>
        <v>95360</v>
      </c>
      <c r="S763" s="74">
        <f t="shared" ca="1" si="462"/>
        <v>0</v>
      </c>
      <c r="T763" s="74">
        <f t="shared" ca="1" si="457"/>
        <v>0</v>
      </c>
      <c r="U763" s="74">
        <f t="shared" ca="1" si="458"/>
        <v>0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77">
        <f t="shared" si="454"/>
        <v>0</v>
      </c>
      <c r="P764" s="77">
        <f t="shared" si="455"/>
        <v>0</v>
      </c>
      <c r="Q764" s="77">
        <v>0</v>
      </c>
      <c r="R764" s="77">
        <v>0</v>
      </c>
      <c r="S764" s="77">
        <v>0</v>
      </c>
      <c r="T764" s="77">
        <f t="shared" si="457"/>
        <v>0</v>
      </c>
      <c r="U764" s="77">
        <f t="shared" si="458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74">
        <f t="shared" si="454"/>
        <v>0</v>
      </c>
      <c r="P765" s="74">
        <f t="shared" si="455"/>
        <v>0</v>
      </c>
      <c r="Q765" s="74">
        <f ca="1">IFERROR(__xludf.DUMMYFUNCTION("IMPORTRANGE(""https://docs.google.com/spreadsheets/d/1ItG2mGa2ceCfYo0BwxsXqNm01IGEUdYcSSLTEv9YCik/edit?usp=sharing"",""เบิกจ่ายกองทุน!U59"")"),95360)</f>
        <v>95360</v>
      </c>
      <c r="R765" s="74">
        <f ca="1">IFERROR(__xludf.DUMMYFUNCTION("IMPORTRANGE(""https://docs.google.com/spreadsheets/d/1ItG2mGa2ceCfYo0BwxsXqNm01IGEUdYcSSLTEv9YCik/edit?usp=sharing"",""เบิกจ่ายกองทุน!V59"")"),95360)</f>
        <v>95360</v>
      </c>
      <c r="S765" s="74">
        <f ca="1">IFERROR(__xludf.DUMMYFUNCTION("IMPORTRANGE(""https://docs.google.com/spreadsheets/d/1ItG2mGa2ceCfYo0BwxsXqNm01IGEUdYcSSLTEv9YCik/edit?usp=sharing"",""เบิกจ่ายกองทุน!W59"")"),0)</f>
        <v>0</v>
      </c>
      <c r="T765" s="74">
        <f t="shared" ca="1" si="457"/>
        <v>0</v>
      </c>
      <c r="U765" s="74">
        <f t="shared" ca="1" si="458"/>
        <v>0</v>
      </c>
    </row>
    <row r="766" spans="1:21" ht="18.75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3">
        <f t="shared" ref="L766:N766" si="463">L767+L768</f>
        <v>0</v>
      </c>
      <c r="M766" s="74">
        <f t="shared" si="463"/>
        <v>0</v>
      </c>
      <c r="N766" s="74">
        <f t="shared" si="463"/>
        <v>0</v>
      </c>
      <c r="O766" s="74">
        <f t="shared" si="454"/>
        <v>0</v>
      </c>
      <c r="P766" s="74">
        <f t="shared" si="455"/>
        <v>0</v>
      </c>
      <c r="Q766" s="74">
        <f t="shared" ref="Q766:S766" si="464">Q767+Q768</f>
        <v>0</v>
      </c>
      <c r="R766" s="74">
        <f t="shared" si="464"/>
        <v>0</v>
      </c>
      <c r="S766" s="74">
        <f t="shared" si="464"/>
        <v>0</v>
      </c>
      <c r="T766" s="74">
        <f t="shared" si="457"/>
        <v>0</v>
      </c>
      <c r="U766" s="74">
        <f t="shared" si="458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77">
        <f t="shared" si="454"/>
        <v>0</v>
      </c>
      <c r="P767" s="77">
        <f t="shared" si="455"/>
        <v>0</v>
      </c>
      <c r="Q767" s="77">
        <v>0</v>
      </c>
      <c r="R767" s="77">
        <v>0</v>
      </c>
      <c r="S767" s="77">
        <v>0</v>
      </c>
      <c r="T767" s="77">
        <f t="shared" si="457"/>
        <v>0</v>
      </c>
      <c r="U767" s="77">
        <f t="shared" si="458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74">
        <f t="shared" si="454"/>
        <v>0</v>
      </c>
      <c r="P768" s="74">
        <f t="shared" si="455"/>
        <v>0</v>
      </c>
      <c r="Q768" s="74">
        <v>0</v>
      </c>
      <c r="R768" s="74">
        <v>0</v>
      </c>
      <c r="S768" s="74">
        <v>0</v>
      </c>
      <c r="T768" s="74">
        <f t="shared" si="457"/>
        <v>0</v>
      </c>
      <c r="U768" s="74">
        <f t="shared" si="458"/>
        <v>0</v>
      </c>
    </row>
    <row r="769" spans="1:21" ht="19.5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IFERROR(__xludf.DUMMYFUNCTION("IMPORTRANGE(""https://docs.google.com/spreadsheets/d/1eHaY18a8A9IcSdp1K8H6x8fbOy06t2VsZHhMHf-1x7Y/edit?usp=sharing"",""แผน!FI59"")"),0)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IFERROR(__xludf.DUMMYFUNCTION("IMPORTRANGE(""https://docs.google.com/spreadsheets/d/1eHaY18a8A9IcSdp1K8H6x8fbOy06t2VsZHhMHf-1x7Y/edit?usp=sharing"",""แผน!FQ59"")"),10)</f>
        <v>10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IFERROR(__xludf.DUMMYFUNCTION("IMPORTRANGE(""https://docs.google.com/spreadsheets/d/1eHaY18a8A9IcSdp1K8H6x8fbOy06t2VsZHhMHf-1x7Y/edit?usp=sharing"",""แผน!FR59"")"),20)</f>
        <v>20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IFERROR(__xludf.DUMMYFUNCTION("IMPORTRANGE(""https://docs.google.com/spreadsheets/d/1eHaY18a8A9IcSdp1K8H6x8fbOy06t2VsZHhMHf-1x7Y/edit?usp=sharing"",""แผน!FS59"")"),20)</f>
        <v>20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IFERROR(__xludf.DUMMYFUNCTION("IMPORTRANGE(""https://docs.google.com/spreadsheets/d/1eHaY18a8A9IcSdp1K8H6x8fbOy06t2VsZHhMHf-1x7Y/edit?usp=sharing"",""แผน!FT59"")"),10)</f>
        <v>10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IFERROR(__xludf.DUMMYFUNCTION("IMPORTRANGE(""https://docs.google.com/spreadsheets/d/10OvvATaaLtwErnr3qtWFcTmtbfpFEt5Bsqel9sXx0uE/edit?usp=sharing"",""งานกองทุน!D59"")"),2942185.75)</f>
        <v>2942185.75</v>
      </c>
      <c r="J778" s="293">
        <f ca="1">IFERROR(__xludf.DUMMYFUNCTION("IMPORTRANGE(""https://docs.google.com/spreadsheets/d/10OvvATaaLtwErnr3qtWFcTmtbfpFEt5Bsqel9sXx0uE/edit?usp=sharing"",""งานกองทุน!F59"")"),839754.52)</f>
        <v>839754.52</v>
      </c>
      <c r="K778" s="74">
        <f t="shared" ref="K778:K785" ca="1" si="465">IF(I778&gt;0,J778*100/I778,0)</f>
        <v>28.541859398238199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IFERROR(__xludf.DUMMYFUNCTION("IMPORTRANGE(""https://docs.google.com/spreadsheets/d/10OvvATaaLtwErnr3qtWFcTmtbfpFEt5Bsqel9sXx0uE/edit?usp=sharing"",""งานกองทุน!C59"")"),95)</f>
        <v>95</v>
      </c>
      <c r="J779" s="293">
        <f ca="1">IFERROR(__xludf.DUMMYFUNCTION("IMPORTRANGE(""https://docs.google.com/spreadsheets/d/10OvvATaaLtwErnr3qtWFcTmtbfpFEt5Bsqel9sXx0uE/edit?usp=sharing"",""งานกองทุน!E59"")"),20)</f>
        <v>20</v>
      </c>
      <c r="K779" s="74">
        <f t="shared" ca="1" si="465"/>
        <v>21.05263157894737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IFERROR(__xludf.DUMMYFUNCTION("IMPORTRANGE(""https://docs.google.com/spreadsheets/d/10OvvATaaLtwErnr3qtWFcTmtbfpFEt5Bsqel9sXx0uE/edit?usp=sharing"",""งานกองทุน!I59"")"),4403164.82)</f>
        <v>4403164.82</v>
      </c>
      <c r="J780" s="293">
        <f ca="1">IFERROR(__xludf.DUMMYFUNCTION("IMPORTRANGE(""https://docs.google.com/spreadsheets/d/10OvvATaaLtwErnr3qtWFcTmtbfpFEt5Bsqel9sXx0uE/edit?usp=sharing"",""งานกองทุน!K59"")"),119954.38)</f>
        <v>119954.38</v>
      </c>
      <c r="K780" s="74">
        <f t="shared" ca="1" si="465"/>
        <v>2.7242763989924863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IFERROR(__xludf.DUMMYFUNCTION("IMPORTRANGE(""https://docs.google.com/spreadsheets/d/10OvvATaaLtwErnr3qtWFcTmtbfpFEt5Bsqel9sXx0uE/edit?usp=sharing"",""งานกองทุน!H59"")"),132)</f>
        <v>132</v>
      </c>
      <c r="J781" s="293">
        <f ca="1">IFERROR(__xludf.DUMMYFUNCTION("IMPORTRANGE(""https://docs.google.com/spreadsheets/d/10OvvATaaLtwErnr3qtWFcTmtbfpFEt5Bsqel9sXx0uE/edit?usp=sharing"",""งานกองทุน!J59"")"),16)</f>
        <v>16</v>
      </c>
      <c r="K781" s="74">
        <f t="shared" ca="1" si="465"/>
        <v>12.121212121212121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IFERROR(__xludf.DUMMYFUNCTION("IMPORTRANGE(""https://docs.google.com/spreadsheets/d/10OvvATaaLtwErnr3qtWFcTmtbfpFEt5Bsqel9sXx0uE/edit?usp=sharing"",""งานกองทุน!N59"")"),5097910.18)</f>
        <v>5097910.18</v>
      </c>
      <c r="J782" s="293">
        <f ca="1">IFERROR(__xludf.DUMMYFUNCTION("IMPORTRANGE(""https://docs.google.com/spreadsheets/d/10OvvATaaLtwErnr3qtWFcTmtbfpFEt5Bsqel9sXx0uE/edit?usp=sharing"",""งานกองทุน!P59"")"),979978.02)</f>
        <v>979978.02</v>
      </c>
      <c r="K782" s="74">
        <f t="shared" ca="1" si="465"/>
        <v>19.223132330668093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IFERROR(__xludf.DUMMYFUNCTION("IMPORTRANGE(""https://docs.google.com/spreadsheets/d/10OvvATaaLtwErnr3qtWFcTmtbfpFEt5Bsqel9sXx0uE/edit?usp=sharing"",""งานกองทุน!M59"")"),1795)</f>
        <v>1795</v>
      </c>
      <c r="J783" s="293">
        <f ca="1">IFERROR(__xludf.DUMMYFUNCTION("IMPORTRANGE(""https://docs.google.com/spreadsheets/d/10OvvATaaLtwErnr3qtWFcTmtbfpFEt5Bsqel9sXx0uE/edit?usp=sharing"",""งานกองทุน!O59"")"),317)</f>
        <v>317</v>
      </c>
      <c r="K783" s="74">
        <f t="shared" ca="1" si="465"/>
        <v>17.66016713091922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IFERROR(__xludf.DUMMYFUNCTION("IMPORTRANGE(""https://docs.google.com/spreadsheets/d/10OvvATaaLtwErnr3qtWFcTmtbfpFEt5Bsqel9sXx0uE/edit?usp=sharing"",""งานกองทุน!S59"")"),2940000)</f>
        <v>2940000</v>
      </c>
      <c r="J784" s="293">
        <f ca="1">IFERROR(__xludf.DUMMYFUNCTION("IMPORTRANGE(""https://docs.google.com/spreadsheets/d/10OvvATaaLtwErnr3qtWFcTmtbfpFEt5Bsqel9sXx0uE/edit?usp=sharing"",""งานกองทุน!U59"")"),400000)</f>
        <v>400000</v>
      </c>
      <c r="K784" s="74">
        <f t="shared" ca="1" si="465"/>
        <v>13.605442176870747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IFERROR(__xludf.DUMMYFUNCTION("IMPORTRANGE(""https://docs.google.com/spreadsheets/d/10OvvATaaLtwErnr3qtWFcTmtbfpFEt5Bsqel9sXx0uE/edit?usp=sharing"",""งานกองทุน!R59"")"),105)</f>
        <v>105</v>
      </c>
      <c r="J785" s="786">
        <f ca="1">IFERROR(__xludf.DUMMYFUNCTION("IMPORTRANGE(""https://docs.google.com/spreadsheets/d/10OvvATaaLtwErnr3qtWFcTmtbfpFEt5Bsqel9sXx0uE/edit?usp=sharing"",""งานกองทุน!T59"")"),10)</f>
        <v>10</v>
      </c>
      <c r="K785" s="182">
        <f t="shared" ca="1" si="465"/>
        <v>9.5238095238095237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501FE-23D9-498C-93A2-523D1074AC94}">
  <sheetPr codeName="Sheet9">
    <outlinePr summaryBelow="0" summaryRight="0"/>
    <pageSetUpPr fitToPage="1"/>
  </sheetPr>
  <dimension ref="A1:U788"/>
  <sheetViews>
    <sheetView view="pageBreakPreview" zoomScale="60" zoomScaleNormal="100" workbookViewId="0">
      <pane xSplit="8" ySplit="7" topLeftCell="I8" activePane="bottomRight" state="frozen"/>
      <selection sqref="A1:U1"/>
      <selection pane="topRight" sqref="A1:U1"/>
      <selection pane="bottomLeft" sqref="A1:U1"/>
      <selection pane="bottomRight" sqref="A1:U1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1" width="15.140625" customWidth="1"/>
    <col min="12" max="13" width="21.28515625" bestFit="1" customWidth="1"/>
    <col min="14" max="14" width="18.7109375" bestFit="1" customWidth="1"/>
    <col min="15" max="16" width="12.5703125" bestFit="1" customWidth="1"/>
    <col min="17" max="18" width="18.7109375" bestFit="1" customWidth="1"/>
    <col min="19" max="19" width="17.5703125" customWidth="1"/>
    <col min="20" max="20" width="13.28515625" bestFit="1" customWidth="1"/>
    <col min="21" max="21" width="12" bestFit="1" customWidth="1"/>
  </cols>
  <sheetData>
    <row r="1" spans="1:21" ht="19.5" x14ac:dyDescent="0.3">
      <c r="A1" s="1378" t="s">
        <v>0</v>
      </c>
      <c r="B1" s="1378"/>
      <c r="C1" s="1378"/>
      <c r="D1" s="1378"/>
      <c r="E1" s="1378"/>
      <c r="F1" s="1378"/>
      <c r="G1" s="1378"/>
      <c r="H1" s="1378"/>
      <c r="I1" s="1378"/>
      <c r="J1" s="1378"/>
      <c r="K1" s="1378"/>
      <c r="L1" s="1378"/>
      <c r="M1" s="1378"/>
      <c r="N1" s="1378"/>
      <c r="O1" s="1378"/>
      <c r="P1" s="1378"/>
      <c r="Q1" s="1378"/>
      <c r="R1" s="1378"/>
      <c r="S1" s="1378"/>
      <c r="T1" s="1378"/>
      <c r="U1" s="1378"/>
    </row>
    <row r="2" spans="1:21" ht="19.5" x14ac:dyDescent="0.3">
      <c r="A2" s="1378" t="s">
        <v>343</v>
      </c>
      <c r="B2" s="1378"/>
      <c r="C2" s="1378"/>
      <c r="D2" s="1378"/>
      <c r="E2" s="1378"/>
      <c r="F2" s="1378"/>
      <c r="G2" s="1378"/>
      <c r="H2" s="1378"/>
      <c r="I2" s="1378"/>
      <c r="J2" s="1378"/>
      <c r="K2" s="1378"/>
      <c r="L2" s="1378"/>
      <c r="M2" s="1378"/>
      <c r="N2" s="1378"/>
      <c r="O2" s="1378"/>
      <c r="P2" s="1378"/>
      <c r="Q2" s="1378"/>
      <c r="R2" s="1378"/>
      <c r="S2" s="1378"/>
      <c r="T2" s="1378"/>
      <c r="U2" s="1378"/>
    </row>
    <row r="3" spans="1:21" ht="19.5" x14ac:dyDescent="0.3">
      <c r="A3" s="1378" t="s">
        <v>359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  <c r="S3" s="1378"/>
      <c r="T3" s="1378"/>
      <c r="U3" s="1378"/>
    </row>
    <row r="4" spans="1:21" ht="19.5" x14ac:dyDescent="0.3">
      <c r="A4" s="1035"/>
      <c r="I4" s="1035"/>
      <c r="J4" s="1035"/>
      <c r="K4" s="1035"/>
      <c r="L4" s="758"/>
      <c r="M4" s="758"/>
      <c r="N4" s="758"/>
      <c r="O4" s="758"/>
      <c r="P4" s="758"/>
      <c r="Q4" s="758"/>
      <c r="R4" s="758"/>
      <c r="S4" s="758"/>
      <c r="T4" s="758"/>
      <c r="U4" s="758"/>
    </row>
    <row r="5" spans="1:21" ht="19.5" x14ac:dyDescent="0.3">
      <c r="A5" s="636"/>
      <c r="B5" s="636"/>
      <c r="C5" s="636"/>
      <c r="D5" s="636"/>
      <c r="E5" s="636"/>
      <c r="F5" s="636"/>
      <c r="G5" s="636"/>
      <c r="H5" s="636"/>
      <c r="I5" s="636"/>
      <c r="J5" s="628"/>
      <c r="K5" s="1036"/>
      <c r="L5" s="1374" t="s">
        <v>2</v>
      </c>
      <c r="M5" s="1349"/>
      <c r="N5" s="1349"/>
      <c r="O5" s="1349"/>
      <c r="P5" s="1350"/>
      <c r="Q5" s="1375" t="s">
        <v>3</v>
      </c>
      <c r="R5" s="1349"/>
      <c r="S5" s="1349"/>
      <c r="T5" s="1349"/>
      <c r="U5" s="1350"/>
    </row>
    <row r="6" spans="1:21" ht="19.5" x14ac:dyDescent="0.3">
      <c r="A6" s="1384" t="s">
        <v>4</v>
      </c>
      <c r="B6" s="1385"/>
      <c r="C6" s="1385"/>
      <c r="D6" s="1385"/>
      <c r="E6" s="1385"/>
      <c r="F6" s="1385"/>
      <c r="G6" s="1386"/>
      <c r="H6" s="1037" t="s">
        <v>5</v>
      </c>
      <c r="I6" s="1387" t="s">
        <v>6</v>
      </c>
      <c r="J6" s="1349"/>
      <c r="K6" s="1350"/>
      <c r="L6" s="1358" t="s">
        <v>7</v>
      </c>
      <c r="M6" s="1350"/>
      <c r="N6" s="1359" t="s">
        <v>8</v>
      </c>
      <c r="O6" s="1349"/>
      <c r="P6" s="1350"/>
      <c r="Q6" s="1377" t="s">
        <v>7</v>
      </c>
      <c r="R6" s="1350"/>
      <c r="S6" s="1359" t="s">
        <v>8</v>
      </c>
      <c r="T6" s="1349"/>
      <c r="U6" s="1350"/>
    </row>
    <row r="7" spans="1:21" ht="44.25" customHeight="1" x14ac:dyDescent="0.3">
      <c r="A7" s="1365"/>
      <c r="B7" s="1349"/>
      <c r="C7" s="1349"/>
      <c r="D7" s="1349"/>
      <c r="E7" s="1349"/>
      <c r="F7" s="1349"/>
      <c r="G7" s="1350"/>
      <c r="H7" s="1038"/>
      <c r="I7" s="1039" t="s">
        <v>9</v>
      </c>
      <c r="J7" s="1040" t="s">
        <v>10</v>
      </c>
      <c r="K7" s="1039" t="s">
        <v>11</v>
      </c>
      <c r="L7" s="12" t="s">
        <v>12</v>
      </c>
      <c r="M7" s="13" t="s">
        <v>13</v>
      </c>
      <c r="N7" s="14" t="s">
        <v>14</v>
      </c>
      <c r="O7" s="800" t="s">
        <v>15</v>
      </c>
      <c r="P7" s="13" t="s">
        <v>16</v>
      </c>
      <c r="Q7" s="800" t="s">
        <v>12</v>
      </c>
      <c r="R7" s="13" t="s">
        <v>13</v>
      </c>
      <c r="S7" s="14" t="s">
        <v>14</v>
      </c>
      <c r="T7" s="800" t="s">
        <v>15</v>
      </c>
      <c r="U7" s="13" t="s">
        <v>16</v>
      </c>
    </row>
    <row r="8" spans="1:21" ht="12.75" hidden="1" x14ac:dyDescent="0.2">
      <c r="A8" s="1379"/>
      <c r="B8" s="1349"/>
      <c r="C8" s="1349"/>
      <c r="D8" s="1349"/>
      <c r="E8" s="1349"/>
      <c r="F8" s="1349"/>
      <c r="G8" s="1350"/>
      <c r="H8" s="1041"/>
      <c r="I8" s="1042"/>
      <c r="J8" s="1042"/>
      <c r="K8" s="19"/>
      <c r="L8" s="18"/>
      <c r="M8" s="19"/>
      <c r="N8" s="19"/>
      <c r="O8" s="19"/>
      <c r="P8" s="19"/>
      <c r="Q8" s="19"/>
      <c r="R8" s="19"/>
      <c r="S8" s="19"/>
      <c r="T8" s="19"/>
      <c r="U8" s="19"/>
    </row>
    <row r="9" spans="1:21" ht="12.75" hidden="1" x14ac:dyDescent="0.2">
      <c r="A9" s="1043"/>
      <c r="B9" s="285"/>
      <c r="C9" s="285"/>
      <c r="D9" s="285"/>
      <c r="E9" s="285"/>
      <c r="F9" s="285"/>
      <c r="G9" s="286"/>
      <c r="H9" s="286"/>
      <c r="I9" s="287"/>
      <c r="J9" s="287"/>
      <c r="K9" s="30"/>
      <c r="L9" s="29"/>
      <c r="M9" s="30"/>
      <c r="N9" s="30"/>
      <c r="O9" s="30"/>
      <c r="P9" s="30"/>
      <c r="Q9" s="30"/>
      <c r="R9" s="30"/>
      <c r="S9" s="30"/>
      <c r="T9" s="30"/>
      <c r="U9" s="30"/>
    </row>
    <row r="10" spans="1:21" ht="12.75" hidden="1" x14ac:dyDescent="0.2">
      <c r="A10" s="1043"/>
      <c r="B10" s="285"/>
      <c r="C10" s="285"/>
      <c r="D10" s="285"/>
      <c r="E10" s="285"/>
      <c r="F10" s="285"/>
      <c r="G10" s="286"/>
      <c r="H10" s="286"/>
      <c r="I10" s="287"/>
      <c r="J10" s="287"/>
      <c r="K10" s="30"/>
      <c r="L10" s="29"/>
      <c r="M10" s="30"/>
      <c r="N10" s="30"/>
      <c r="O10" s="30"/>
      <c r="P10" s="30"/>
      <c r="Q10" s="30"/>
      <c r="R10" s="30"/>
      <c r="S10" s="30"/>
      <c r="T10" s="30"/>
      <c r="U10" s="30"/>
    </row>
    <row r="11" spans="1:21" ht="12.75" hidden="1" x14ac:dyDescent="0.2">
      <c r="A11" s="1043"/>
      <c r="B11" s="285"/>
      <c r="C11" s="285"/>
      <c r="D11" s="285"/>
      <c r="E11" s="285"/>
      <c r="F11" s="285"/>
      <c r="G11" s="286"/>
      <c r="H11" s="286"/>
      <c r="I11" s="287"/>
      <c r="J11" s="287"/>
      <c r="K11" s="30"/>
      <c r="L11" s="29"/>
      <c r="M11" s="30"/>
      <c r="N11" s="30"/>
      <c r="O11" s="30"/>
      <c r="P11" s="30"/>
      <c r="Q11" s="30"/>
      <c r="R11" s="30"/>
      <c r="S11" s="30"/>
      <c r="T11" s="30"/>
      <c r="U11" s="30"/>
    </row>
    <row r="12" spans="1:21" ht="12.75" hidden="1" x14ac:dyDescent="0.2">
      <c r="A12" s="1043"/>
      <c r="B12" s="285"/>
      <c r="C12" s="285"/>
      <c r="D12" s="285"/>
      <c r="E12" s="285"/>
      <c r="F12" s="285"/>
      <c r="G12" s="286"/>
      <c r="H12" s="286"/>
      <c r="I12" s="287"/>
      <c r="J12" s="287"/>
      <c r="K12" s="30"/>
      <c r="L12" s="29"/>
      <c r="M12" s="30"/>
      <c r="N12" s="30"/>
      <c r="O12" s="30"/>
      <c r="P12" s="30"/>
      <c r="Q12" s="30"/>
      <c r="R12" s="30"/>
      <c r="S12" s="30"/>
      <c r="T12" s="30"/>
      <c r="U12" s="30"/>
    </row>
    <row r="13" spans="1:21" ht="12.75" hidden="1" x14ac:dyDescent="0.2">
      <c r="A13" s="1043"/>
      <c r="B13" s="285"/>
      <c r="C13" s="285"/>
      <c r="D13" s="285"/>
      <c r="E13" s="285"/>
      <c r="F13" s="285"/>
      <c r="G13" s="286"/>
      <c r="H13" s="286"/>
      <c r="I13" s="287"/>
      <c r="J13" s="287"/>
      <c r="K13" s="30"/>
      <c r="L13" s="29"/>
      <c r="M13" s="30"/>
      <c r="N13" s="30"/>
      <c r="O13" s="30"/>
      <c r="P13" s="30"/>
      <c r="Q13" s="30"/>
      <c r="R13" s="30"/>
      <c r="S13" s="30"/>
      <c r="T13" s="30"/>
      <c r="U13" s="30"/>
    </row>
    <row r="14" spans="1:21" ht="12.75" hidden="1" x14ac:dyDescent="0.2">
      <c r="A14" s="1043"/>
      <c r="B14" s="285"/>
      <c r="C14" s="285"/>
      <c r="D14" s="285"/>
      <c r="E14" s="285"/>
      <c r="F14" s="285"/>
      <c r="G14" s="286"/>
      <c r="H14" s="286"/>
      <c r="I14" s="287"/>
      <c r="J14" s="287"/>
      <c r="K14" s="30"/>
      <c r="L14" s="29"/>
      <c r="M14" s="30"/>
      <c r="N14" s="30"/>
      <c r="O14" s="30"/>
      <c r="P14" s="30"/>
      <c r="Q14" s="30"/>
      <c r="R14" s="30"/>
      <c r="S14" s="30"/>
      <c r="T14" s="30"/>
      <c r="U14" s="30"/>
    </row>
    <row r="15" spans="1:21" ht="12.75" hidden="1" x14ac:dyDescent="0.2">
      <c r="A15" s="1043"/>
      <c r="B15" s="285"/>
      <c r="C15" s="285"/>
      <c r="D15" s="285"/>
      <c r="E15" s="285"/>
      <c r="F15" s="285"/>
      <c r="G15" s="286"/>
      <c r="H15" s="286"/>
      <c r="I15" s="287"/>
      <c r="J15" s="287"/>
      <c r="K15" s="30"/>
      <c r="L15" s="29"/>
      <c r="M15" s="30"/>
      <c r="N15" s="30"/>
      <c r="O15" s="30"/>
      <c r="P15" s="30"/>
      <c r="Q15" s="30"/>
      <c r="R15" s="30"/>
      <c r="S15" s="30"/>
      <c r="T15" s="30"/>
      <c r="U15" s="30"/>
    </row>
    <row r="16" spans="1:21" ht="12.75" hidden="1" x14ac:dyDescent="0.2">
      <c r="A16" s="1043"/>
      <c r="B16" s="285"/>
      <c r="C16" s="285"/>
      <c r="D16" s="285"/>
      <c r="E16" s="285"/>
      <c r="F16" s="285"/>
      <c r="G16" s="286"/>
      <c r="H16" s="286"/>
      <c r="I16" s="287"/>
      <c r="J16" s="287"/>
      <c r="K16" s="30"/>
      <c r="L16" s="29"/>
      <c r="M16" s="30"/>
      <c r="N16" s="30"/>
      <c r="O16" s="30"/>
      <c r="P16" s="30"/>
      <c r="Q16" s="30"/>
      <c r="R16" s="30"/>
      <c r="S16" s="30"/>
      <c r="T16" s="30"/>
      <c r="U16" s="30"/>
    </row>
    <row r="17" spans="1:21" ht="12.75" hidden="1" x14ac:dyDescent="0.2">
      <c r="A17" s="1044"/>
      <c r="B17" s="1045"/>
      <c r="C17" s="1045"/>
      <c r="D17" s="1045"/>
      <c r="E17" s="1045"/>
      <c r="F17" s="1045"/>
      <c r="G17" s="1041"/>
      <c r="H17" s="1041"/>
      <c r="I17" s="1042"/>
      <c r="J17" s="1042"/>
      <c r="K17" s="19"/>
      <c r="L17" s="18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9.5" x14ac:dyDescent="0.3">
      <c r="A18" s="1380" t="s">
        <v>297</v>
      </c>
      <c r="B18" s="1349"/>
      <c r="C18" s="1349"/>
      <c r="D18" s="1349"/>
      <c r="E18" s="1349"/>
      <c r="F18" s="1349"/>
      <c r="G18" s="1350"/>
      <c r="H18" s="1046"/>
      <c r="I18" s="1047"/>
      <c r="J18" s="1047"/>
      <c r="K18" s="47"/>
      <c r="L18" s="46"/>
      <c r="M18" s="47"/>
      <c r="N18" s="47"/>
      <c r="O18" s="47"/>
      <c r="P18" s="47"/>
      <c r="Q18" s="47"/>
      <c r="R18" s="47"/>
      <c r="S18" s="47"/>
      <c r="T18" s="47"/>
      <c r="U18" s="47"/>
    </row>
    <row r="19" spans="1:21" ht="19.5" x14ac:dyDescent="0.3">
      <c r="A19" s="1048"/>
      <c r="B19" s="252"/>
      <c r="C19" s="251" t="s">
        <v>18</v>
      </c>
      <c r="D19" s="1049" t="s">
        <v>19</v>
      </c>
      <c r="E19" s="252"/>
      <c r="F19" s="252"/>
      <c r="G19" s="254"/>
      <c r="H19" s="1050" t="s">
        <v>14</v>
      </c>
      <c r="I19" s="699"/>
      <c r="J19" s="699"/>
      <c r="K19" s="208"/>
      <c r="L19" s="58">
        <f t="shared" ref="L19:N19" ca="1" si="0">L20+L21</f>
        <v>1233495</v>
      </c>
      <c r="M19" s="59">
        <f t="shared" ca="1" si="0"/>
        <v>1263537.1600000001</v>
      </c>
      <c r="N19" s="59">
        <f t="shared" ca="1" si="0"/>
        <v>625936.12</v>
      </c>
      <c r="O19" s="59">
        <f t="shared" ref="O19:O27" ca="1" si="1">IF(L19&gt;0,N19*100/L19,0)</f>
        <v>50.744925597590587</v>
      </c>
      <c r="P19" s="59">
        <f t="shared" ref="P19:P27" ca="1" si="2">IF(M19&gt;0,N19*100/M19,0)</f>
        <v>49.538402178848457</v>
      </c>
      <c r="Q19" s="59">
        <f t="shared" ref="Q19:S19" ca="1" si="3">Q20+Q21</f>
        <v>240955</v>
      </c>
      <c r="R19" s="59">
        <f t="shared" ca="1" si="3"/>
        <v>240955</v>
      </c>
      <c r="S19" s="59">
        <f t="shared" ca="1" si="3"/>
        <v>21600</v>
      </c>
      <c r="T19" s="59">
        <f t="shared" ref="T19:T27" ca="1" si="4">IF(Q19&gt;0,S19*100/Q19,0)</f>
        <v>8.9643294391068871</v>
      </c>
      <c r="U19" s="59">
        <f t="shared" ref="U19:U27" ca="1" si="5">IF(R19&gt;0,S19*100/R19,0)</f>
        <v>8.9643294391068871</v>
      </c>
    </row>
    <row r="20" spans="1:21" ht="18.75" hidden="1" x14ac:dyDescent="0.25">
      <c r="A20" s="1048"/>
      <c r="B20" s="252"/>
      <c r="C20" s="252"/>
      <c r="D20" s="252"/>
      <c r="E20" s="827" t="s">
        <v>20</v>
      </c>
      <c r="F20" s="252"/>
      <c r="G20" s="254"/>
      <c r="H20" s="829" t="s">
        <v>14</v>
      </c>
      <c r="I20" s="699"/>
      <c r="J20" s="699"/>
      <c r="K20" s="208"/>
      <c r="L20" s="62">
        <f t="shared" ref="L20:N21" si="6">L23+L26</f>
        <v>0</v>
      </c>
      <c r="M20" s="63">
        <f t="shared" si="6"/>
        <v>0</v>
      </c>
      <c r="N20" s="63">
        <f t="shared" si="6"/>
        <v>0</v>
      </c>
      <c r="O20" s="63">
        <f t="shared" si="1"/>
        <v>0</v>
      </c>
      <c r="P20" s="63">
        <f t="shared" si="2"/>
        <v>0</v>
      </c>
      <c r="Q20" s="63">
        <f t="shared" ref="Q20:S21" si="7">Q23+Q26</f>
        <v>0</v>
      </c>
      <c r="R20" s="63">
        <f t="shared" si="7"/>
        <v>0</v>
      </c>
      <c r="S20" s="63">
        <f t="shared" si="7"/>
        <v>0</v>
      </c>
      <c r="T20" s="63">
        <f t="shared" si="4"/>
        <v>0</v>
      </c>
      <c r="U20" s="63">
        <f t="shared" si="5"/>
        <v>0</v>
      </c>
    </row>
    <row r="21" spans="1:21" ht="18.75" hidden="1" x14ac:dyDescent="0.25">
      <c r="A21" s="1048"/>
      <c r="B21" s="252"/>
      <c r="C21" s="252"/>
      <c r="D21" s="252"/>
      <c r="E21" s="1051" t="s">
        <v>21</v>
      </c>
      <c r="F21" s="252"/>
      <c r="G21" s="254"/>
      <c r="H21" s="1052" t="s">
        <v>14</v>
      </c>
      <c r="I21" s="699"/>
      <c r="J21" s="699"/>
      <c r="K21" s="208"/>
      <c r="L21" s="64">
        <f t="shared" ca="1" si="6"/>
        <v>1233495</v>
      </c>
      <c r="M21" s="65">
        <f t="shared" ca="1" si="6"/>
        <v>1263537.1600000001</v>
      </c>
      <c r="N21" s="65">
        <f t="shared" ca="1" si="6"/>
        <v>625936.12</v>
      </c>
      <c r="O21" s="65">
        <f t="shared" ca="1" si="1"/>
        <v>50.744925597590587</v>
      </c>
      <c r="P21" s="65">
        <f t="shared" ca="1" si="2"/>
        <v>49.538402178848457</v>
      </c>
      <c r="Q21" s="65">
        <f t="shared" ca="1" si="7"/>
        <v>240955</v>
      </c>
      <c r="R21" s="65">
        <f t="shared" ca="1" si="7"/>
        <v>240955</v>
      </c>
      <c r="S21" s="65">
        <f t="shared" ca="1" si="7"/>
        <v>21600</v>
      </c>
      <c r="T21" s="65">
        <f t="shared" ca="1" si="4"/>
        <v>8.9643294391068871</v>
      </c>
      <c r="U21" s="65">
        <f t="shared" ca="1" si="5"/>
        <v>8.9643294391068871</v>
      </c>
    </row>
    <row r="22" spans="1:21" ht="18.75" x14ac:dyDescent="0.25">
      <c r="A22" s="847"/>
      <c r="B22" s="258"/>
      <c r="C22" s="258"/>
      <c r="D22" s="270" t="s">
        <v>22</v>
      </c>
      <c r="E22" s="258"/>
      <c r="F22" s="258"/>
      <c r="G22" s="261"/>
      <c r="H22" s="292" t="s">
        <v>14</v>
      </c>
      <c r="I22" s="263"/>
      <c r="J22" s="263"/>
      <c r="K22" s="87"/>
      <c r="L22" s="73">
        <f t="shared" ref="L22:N22" ca="1" si="8">L23+L24</f>
        <v>1233495</v>
      </c>
      <c r="M22" s="74">
        <f t="shared" ca="1" si="8"/>
        <v>1263537.1600000001</v>
      </c>
      <c r="N22" s="74">
        <f t="shared" ca="1" si="8"/>
        <v>625936.12</v>
      </c>
      <c r="O22" s="74">
        <f t="shared" ca="1" si="1"/>
        <v>50.744925597590587</v>
      </c>
      <c r="P22" s="74">
        <f t="shared" ca="1" si="2"/>
        <v>49.538402178848457</v>
      </c>
      <c r="Q22" s="74">
        <f t="shared" ref="Q22:S22" ca="1" si="9">Q23+Q24</f>
        <v>240955</v>
      </c>
      <c r="R22" s="74">
        <f t="shared" ca="1" si="9"/>
        <v>240955</v>
      </c>
      <c r="S22" s="74">
        <f t="shared" ca="1" si="9"/>
        <v>21600</v>
      </c>
      <c r="T22" s="74">
        <f t="shared" ca="1" si="4"/>
        <v>8.9643294391068871</v>
      </c>
      <c r="U22" s="74">
        <f t="shared" ca="1" si="5"/>
        <v>8.9643294391068871</v>
      </c>
    </row>
    <row r="23" spans="1:21" ht="18.75" hidden="1" x14ac:dyDescent="0.25">
      <c r="A23" s="847"/>
      <c r="B23" s="258"/>
      <c r="C23" s="258"/>
      <c r="D23" s="258"/>
      <c r="E23" s="265" t="s">
        <v>20</v>
      </c>
      <c r="F23" s="258"/>
      <c r="G23" s="261"/>
      <c r="H23" s="840" t="s">
        <v>14</v>
      </c>
      <c r="I23" s="263"/>
      <c r="J23" s="263"/>
      <c r="K23" s="87"/>
      <c r="L23" s="76">
        <f t="shared" ref="L23:N24" si="10">L49+L64+L77+L99+L130+L144+L162+L191+L178+L271+L287+L308+L325+L338+L361+L518</f>
        <v>0</v>
      </c>
      <c r="M23" s="77">
        <f t="shared" si="10"/>
        <v>0</v>
      </c>
      <c r="N23" s="77">
        <f t="shared" si="10"/>
        <v>0</v>
      </c>
      <c r="O23" s="77">
        <f t="shared" si="1"/>
        <v>0</v>
      </c>
      <c r="P23" s="77">
        <f t="shared" si="2"/>
        <v>0</v>
      </c>
      <c r="Q23" s="77">
        <f t="shared" ref="Q23:S24" si="11">Q77+Q99+Q122+Q144+Q162+Q178+Q191+Q271+Q287+Q308+Q338+Q380+Q397+Q418+Q498+Q604+Q621+Q647+Q695+Q719+Q733+Q764</f>
        <v>0</v>
      </c>
      <c r="R23" s="77">
        <f t="shared" si="11"/>
        <v>0</v>
      </c>
      <c r="S23" s="77">
        <f t="shared" si="11"/>
        <v>0</v>
      </c>
      <c r="T23" s="77">
        <f t="shared" si="4"/>
        <v>0</v>
      </c>
      <c r="U23" s="77">
        <f t="shared" si="5"/>
        <v>0</v>
      </c>
    </row>
    <row r="24" spans="1:21" ht="18.75" hidden="1" x14ac:dyDescent="0.25">
      <c r="A24" s="847"/>
      <c r="B24" s="258"/>
      <c r="C24" s="258"/>
      <c r="D24" s="258"/>
      <c r="E24" s="267" t="s">
        <v>21</v>
      </c>
      <c r="F24" s="258"/>
      <c r="G24" s="261"/>
      <c r="H24" s="292" t="s">
        <v>14</v>
      </c>
      <c r="I24" s="263"/>
      <c r="J24" s="263"/>
      <c r="K24" s="87"/>
      <c r="L24" s="73">
        <f t="shared" ca="1" si="10"/>
        <v>1233495</v>
      </c>
      <c r="M24" s="74">
        <f t="shared" ca="1" si="10"/>
        <v>1263537.1600000001</v>
      </c>
      <c r="N24" s="74">
        <f t="shared" ca="1" si="10"/>
        <v>625936.12</v>
      </c>
      <c r="O24" s="74">
        <f t="shared" ca="1" si="1"/>
        <v>50.744925597590587</v>
      </c>
      <c r="P24" s="74">
        <f t="shared" ca="1" si="2"/>
        <v>49.538402178848457</v>
      </c>
      <c r="Q24" s="74">
        <f t="shared" ca="1" si="11"/>
        <v>240955</v>
      </c>
      <c r="R24" s="74">
        <f t="shared" ca="1" si="11"/>
        <v>240955</v>
      </c>
      <c r="S24" s="74">
        <f t="shared" ca="1" si="11"/>
        <v>21600</v>
      </c>
      <c r="T24" s="74">
        <f t="shared" ca="1" si="4"/>
        <v>8.9643294391068871</v>
      </c>
      <c r="U24" s="74">
        <f t="shared" ca="1" si="5"/>
        <v>8.9643294391068871</v>
      </c>
    </row>
    <row r="25" spans="1:21" ht="18.75" x14ac:dyDescent="0.25">
      <c r="A25" s="847"/>
      <c r="B25" s="258"/>
      <c r="C25" s="258"/>
      <c r="D25" s="270" t="s">
        <v>23</v>
      </c>
      <c r="E25" s="258"/>
      <c r="F25" s="258"/>
      <c r="G25" s="261"/>
      <c r="H25" s="292" t="s">
        <v>14</v>
      </c>
      <c r="I25" s="263"/>
      <c r="J25" s="263"/>
      <c r="K25" s="87"/>
      <c r="L25" s="73">
        <f t="shared" ref="L25:N25" ca="1" si="12">L26+L27</f>
        <v>0</v>
      </c>
      <c r="M25" s="74">
        <f t="shared" ca="1" si="12"/>
        <v>0</v>
      </c>
      <c r="N25" s="74">
        <f t="shared" ca="1" si="12"/>
        <v>0</v>
      </c>
      <c r="O25" s="74">
        <f t="shared" ca="1" si="1"/>
        <v>0</v>
      </c>
      <c r="P25" s="74">
        <f t="shared" ca="1" si="2"/>
        <v>0</v>
      </c>
      <c r="Q25" s="74">
        <f t="shared" ref="Q25:S25" si="13">Q26+Q27</f>
        <v>0</v>
      </c>
      <c r="R25" s="74">
        <f t="shared" si="13"/>
        <v>0</v>
      </c>
      <c r="S25" s="74">
        <f t="shared" si="13"/>
        <v>0</v>
      </c>
      <c r="T25" s="74">
        <f t="shared" si="4"/>
        <v>0</v>
      </c>
      <c r="U25" s="74">
        <f t="shared" si="5"/>
        <v>0</v>
      </c>
    </row>
    <row r="26" spans="1:21" ht="18.75" hidden="1" x14ac:dyDescent="0.25">
      <c r="A26" s="847"/>
      <c r="B26" s="258"/>
      <c r="C26" s="258"/>
      <c r="D26" s="258"/>
      <c r="E26" s="265" t="s">
        <v>20</v>
      </c>
      <c r="F26" s="258"/>
      <c r="G26" s="261"/>
      <c r="H26" s="840" t="s">
        <v>14</v>
      </c>
      <c r="I26" s="263"/>
      <c r="J26" s="263"/>
      <c r="K26" s="87"/>
      <c r="L26" s="76">
        <f t="shared" ref="L26:N27" si="14">L52+L67+L80+L102+L133+L147+L165+L194+L181+L274+L290+L311+L328+L341+L364+L521</f>
        <v>0</v>
      </c>
      <c r="M26" s="77">
        <f t="shared" si="14"/>
        <v>0</v>
      </c>
      <c r="N26" s="77">
        <f t="shared" si="14"/>
        <v>0</v>
      </c>
      <c r="O26" s="77">
        <f t="shared" si="1"/>
        <v>0</v>
      </c>
      <c r="P26" s="77">
        <f t="shared" si="2"/>
        <v>0</v>
      </c>
      <c r="Q26" s="77">
        <f t="shared" ref="Q26:S27" si="15">Q80+Q102+Q125+Q147+Q165+Q181+Q194+Q274+Q290+Q311+Q341+Q383+Q400+Q421+Q501+Q607+Q624+Q650+Q698+Q722+Q736+Q767</f>
        <v>0</v>
      </c>
      <c r="R26" s="77">
        <f t="shared" si="15"/>
        <v>0</v>
      </c>
      <c r="S26" s="77">
        <f t="shared" si="15"/>
        <v>0</v>
      </c>
      <c r="T26" s="77">
        <f t="shared" si="4"/>
        <v>0</v>
      </c>
      <c r="U26" s="77">
        <f t="shared" si="5"/>
        <v>0</v>
      </c>
    </row>
    <row r="27" spans="1:21" ht="18.75" hidden="1" x14ac:dyDescent="0.25">
      <c r="A27" s="847"/>
      <c r="B27" s="258"/>
      <c r="C27" s="258"/>
      <c r="D27" s="258"/>
      <c r="E27" s="267" t="s">
        <v>21</v>
      </c>
      <c r="F27" s="258"/>
      <c r="G27" s="261"/>
      <c r="H27" s="292" t="s">
        <v>14</v>
      </c>
      <c r="I27" s="263"/>
      <c r="J27" s="263"/>
      <c r="K27" s="87"/>
      <c r="L27" s="73">
        <f t="shared" ca="1" si="14"/>
        <v>0</v>
      </c>
      <c r="M27" s="74">
        <f t="shared" ca="1" si="14"/>
        <v>0</v>
      </c>
      <c r="N27" s="74">
        <f t="shared" ca="1" si="14"/>
        <v>0</v>
      </c>
      <c r="O27" s="74">
        <f t="shared" ca="1" si="1"/>
        <v>0</v>
      </c>
      <c r="P27" s="74">
        <f t="shared" ca="1" si="2"/>
        <v>0</v>
      </c>
      <c r="Q27" s="77">
        <f t="shared" si="15"/>
        <v>0</v>
      </c>
      <c r="R27" s="77">
        <f t="shared" si="15"/>
        <v>0</v>
      </c>
      <c r="S27" s="77">
        <f t="shared" si="15"/>
        <v>0</v>
      </c>
      <c r="T27" s="74">
        <f t="shared" si="4"/>
        <v>0</v>
      </c>
      <c r="U27" s="74">
        <f t="shared" si="5"/>
        <v>0</v>
      </c>
    </row>
    <row r="28" spans="1:21" ht="18.75" x14ac:dyDescent="0.25">
      <c r="A28" s="847"/>
      <c r="B28" s="258"/>
      <c r="C28" s="258"/>
      <c r="D28" s="270" t="s">
        <v>24</v>
      </c>
      <c r="E28" s="258"/>
      <c r="F28" s="258"/>
      <c r="G28" s="261"/>
      <c r="H28" s="292" t="s">
        <v>14</v>
      </c>
      <c r="I28" s="263"/>
      <c r="J28" s="263"/>
      <c r="K28" s="87"/>
      <c r="L28" s="86"/>
      <c r="M28" s="87"/>
      <c r="N28" s="87"/>
      <c r="O28" s="87"/>
      <c r="P28" s="87"/>
      <c r="Q28" s="87"/>
      <c r="R28" s="87"/>
      <c r="S28" s="87"/>
      <c r="T28" s="87"/>
      <c r="U28" s="87"/>
    </row>
    <row r="29" spans="1:21" ht="18.75" hidden="1" x14ac:dyDescent="0.25">
      <c r="A29" s="847"/>
      <c r="B29" s="258"/>
      <c r="C29" s="258"/>
      <c r="D29" s="258"/>
      <c r="E29" s="265" t="s">
        <v>20</v>
      </c>
      <c r="F29" s="258"/>
      <c r="G29" s="261"/>
      <c r="H29" s="840" t="s">
        <v>14</v>
      </c>
      <c r="I29" s="263"/>
      <c r="J29" s="263"/>
      <c r="K29" s="87"/>
      <c r="L29" s="86"/>
      <c r="M29" s="87"/>
      <c r="N29" s="87"/>
      <c r="O29" s="87"/>
      <c r="P29" s="87"/>
      <c r="Q29" s="87"/>
      <c r="R29" s="87"/>
      <c r="S29" s="87"/>
      <c r="T29" s="87"/>
      <c r="U29" s="87"/>
    </row>
    <row r="30" spans="1:21" ht="18.75" hidden="1" x14ac:dyDescent="0.25">
      <c r="A30" s="848"/>
      <c r="B30" s="636"/>
      <c r="C30" s="636"/>
      <c r="D30" s="636"/>
      <c r="E30" s="849" t="s">
        <v>21</v>
      </c>
      <c r="F30" s="636"/>
      <c r="G30" s="637"/>
      <c r="H30" s="850" t="s">
        <v>14</v>
      </c>
      <c r="I30" s="631"/>
      <c r="J30" s="631"/>
      <c r="K30" s="98"/>
      <c r="L30" s="97"/>
      <c r="M30" s="98"/>
      <c r="N30" s="98"/>
      <c r="O30" s="98"/>
      <c r="P30" s="98"/>
      <c r="Q30" s="98"/>
      <c r="R30" s="98"/>
      <c r="S30" s="98"/>
      <c r="T30" s="98"/>
      <c r="U30" s="98"/>
    </row>
    <row r="31" spans="1:21" ht="12.75" hidden="1" x14ac:dyDescent="0.2">
      <c r="A31" s="1381"/>
      <c r="B31" s="1349"/>
      <c r="C31" s="1349"/>
      <c r="D31" s="1349"/>
      <c r="E31" s="1349"/>
      <c r="F31" s="1349"/>
      <c r="G31" s="1350"/>
      <c r="H31" s="1041"/>
      <c r="I31" s="1042"/>
      <c r="J31" s="1042"/>
      <c r="K31" s="19"/>
      <c r="L31" s="18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2.75" hidden="1" x14ac:dyDescent="0.2">
      <c r="A32" s="1043"/>
      <c r="B32" s="285"/>
      <c r="C32" s="285"/>
      <c r="D32" s="285"/>
      <c r="E32" s="285"/>
      <c r="F32" s="285"/>
      <c r="G32" s="286"/>
      <c r="H32" s="286"/>
      <c r="I32" s="287"/>
      <c r="J32" s="287"/>
      <c r="K32" s="30"/>
      <c r="L32" s="29"/>
      <c r="M32" s="30"/>
      <c r="N32" s="30"/>
      <c r="O32" s="30"/>
      <c r="P32" s="30"/>
      <c r="Q32" s="30"/>
      <c r="R32" s="30"/>
      <c r="S32" s="30"/>
      <c r="T32" s="30"/>
      <c r="U32" s="30"/>
    </row>
    <row r="33" spans="1:21" ht="12.75" hidden="1" x14ac:dyDescent="0.2">
      <c r="A33" s="1043"/>
      <c r="B33" s="285"/>
      <c r="C33" s="285"/>
      <c r="D33" s="285"/>
      <c r="E33" s="285"/>
      <c r="F33" s="285"/>
      <c r="G33" s="286"/>
      <c r="H33" s="286"/>
      <c r="I33" s="287"/>
      <c r="J33" s="287"/>
      <c r="K33" s="30"/>
      <c r="L33" s="29"/>
      <c r="M33" s="30"/>
      <c r="N33" s="30"/>
      <c r="O33" s="30"/>
      <c r="P33" s="30"/>
      <c r="Q33" s="30"/>
      <c r="R33" s="30"/>
      <c r="S33" s="30"/>
      <c r="T33" s="30"/>
      <c r="U33" s="30"/>
    </row>
    <row r="34" spans="1:21" ht="12.75" hidden="1" x14ac:dyDescent="0.2">
      <c r="A34" s="1043"/>
      <c r="B34" s="285"/>
      <c r="C34" s="285"/>
      <c r="D34" s="285"/>
      <c r="E34" s="285"/>
      <c r="F34" s="285"/>
      <c r="G34" s="286"/>
      <c r="H34" s="286"/>
      <c r="I34" s="287"/>
      <c r="J34" s="287"/>
      <c r="K34" s="30"/>
      <c r="L34" s="29"/>
      <c r="M34" s="30"/>
      <c r="N34" s="30"/>
      <c r="O34" s="30"/>
      <c r="P34" s="30"/>
      <c r="Q34" s="30"/>
      <c r="R34" s="30"/>
      <c r="S34" s="30"/>
      <c r="T34" s="30"/>
      <c r="U34" s="30"/>
    </row>
    <row r="35" spans="1:21" ht="12.75" hidden="1" x14ac:dyDescent="0.2">
      <c r="A35" s="1043"/>
      <c r="B35" s="285"/>
      <c r="C35" s="285"/>
      <c r="D35" s="285"/>
      <c r="E35" s="285"/>
      <c r="F35" s="285"/>
      <c r="G35" s="286"/>
      <c r="H35" s="286"/>
      <c r="I35" s="287"/>
      <c r="J35" s="287"/>
      <c r="K35" s="30"/>
      <c r="L35" s="29"/>
      <c r="M35" s="30"/>
      <c r="N35" s="30"/>
      <c r="O35" s="30"/>
      <c r="P35" s="30"/>
      <c r="Q35" s="30"/>
      <c r="R35" s="30"/>
      <c r="S35" s="30"/>
      <c r="T35" s="30"/>
      <c r="U35" s="30"/>
    </row>
    <row r="36" spans="1:21" ht="12.75" hidden="1" x14ac:dyDescent="0.2">
      <c r="A36" s="1043"/>
      <c r="B36" s="285"/>
      <c r="C36" s="285"/>
      <c r="D36" s="285"/>
      <c r="E36" s="285"/>
      <c r="F36" s="285"/>
      <c r="G36" s="286"/>
      <c r="H36" s="286"/>
      <c r="I36" s="287"/>
      <c r="J36" s="287"/>
      <c r="K36" s="30"/>
      <c r="L36" s="29"/>
      <c r="M36" s="30"/>
      <c r="N36" s="30"/>
      <c r="O36" s="30"/>
      <c r="P36" s="30"/>
      <c r="Q36" s="30"/>
      <c r="R36" s="30"/>
      <c r="S36" s="30"/>
      <c r="T36" s="30"/>
      <c r="U36" s="30"/>
    </row>
    <row r="37" spans="1:21" ht="12.75" hidden="1" x14ac:dyDescent="0.2">
      <c r="A37" s="1043"/>
      <c r="B37" s="285"/>
      <c r="C37" s="285"/>
      <c r="D37" s="285"/>
      <c r="E37" s="285"/>
      <c r="F37" s="285"/>
      <c r="G37" s="286"/>
      <c r="H37" s="286"/>
      <c r="I37" s="287"/>
      <c r="J37" s="287"/>
      <c r="K37" s="30"/>
      <c r="L37" s="29"/>
      <c r="M37" s="30"/>
      <c r="N37" s="30"/>
      <c r="O37" s="30"/>
      <c r="P37" s="30"/>
      <c r="Q37" s="30"/>
      <c r="R37" s="30"/>
      <c r="S37" s="30"/>
      <c r="T37" s="30"/>
      <c r="U37" s="30"/>
    </row>
    <row r="38" spans="1:21" ht="12.75" hidden="1" x14ac:dyDescent="0.2">
      <c r="A38" s="1043"/>
      <c r="B38" s="285"/>
      <c r="C38" s="285"/>
      <c r="D38" s="285"/>
      <c r="E38" s="285"/>
      <c r="F38" s="285"/>
      <c r="G38" s="286"/>
      <c r="H38" s="286"/>
      <c r="I38" s="287"/>
      <c r="J38" s="287"/>
      <c r="K38" s="30"/>
      <c r="L38" s="29"/>
      <c r="M38" s="30"/>
      <c r="N38" s="30"/>
      <c r="O38" s="30"/>
      <c r="P38" s="30"/>
      <c r="Q38" s="30"/>
      <c r="R38" s="30"/>
      <c r="S38" s="30"/>
      <c r="T38" s="30"/>
      <c r="U38" s="30"/>
    </row>
    <row r="39" spans="1:21" ht="12.75" hidden="1" x14ac:dyDescent="0.2">
      <c r="A39" s="1043"/>
      <c r="B39" s="285"/>
      <c r="C39" s="285"/>
      <c r="D39" s="285"/>
      <c r="E39" s="285"/>
      <c r="F39" s="285"/>
      <c r="G39" s="286"/>
      <c r="H39" s="286"/>
      <c r="I39" s="287"/>
      <c r="J39" s="287"/>
      <c r="K39" s="30"/>
      <c r="L39" s="29"/>
      <c r="M39" s="30"/>
      <c r="N39" s="30"/>
      <c r="O39" s="30"/>
      <c r="P39" s="30"/>
      <c r="Q39" s="30"/>
      <c r="R39" s="30"/>
      <c r="S39" s="30"/>
      <c r="T39" s="30"/>
      <c r="U39" s="30"/>
    </row>
    <row r="40" spans="1:21" ht="12.75" hidden="1" x14ac:dyDescent="0.2">
      <c r="A40" s="1044"/>
      <c r="B40" s="1045"/>
      <c r="C40" s="1045"/>
      <c r="D40" s="1045"/>
      <c r="E40" s="1045"/>
      <c r="F40" s="1045"/>
      <c r="G40" s="1041"/>
      <c r="H40" s="1041"/>
      <c r="I40" s="1042"/>
      <c r="J40" s="1042"/>
      <c r="K40" s="19"/>
      <c r="L40" s="18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9.5" hidden="1" x14ac:dyDescent="0.3">
      <c r="A41" s="1053" t="s">
        <v>25</v>
      </c>
      <c r="B41" s="1054"/>
      <c r="C41" s="1054"/>
      <c r="D41" s="1054"/>
      <c r="E41" s="1054"/>
      <c r="F41" s="1054"/>
      <c r="G41" s="1055"/>
      <c r="H41" s="1055"/>
      <c r="I41" s="1056"/>
      <c r="J41" s="1056"/>
      <c r="K41" s="853"/>
      <c r="L41" s="1280">
        <f t="shared" ref="L41:N41" ca="1" si="16">L45+L60+L73+L95+L126+L140+L158+L174+L187+L267+L283+L304+L321+L334+L357</f>
        <v>1233495</v>
      </c>
      <c r="M41" s="1279">
        <f t="shared" ca="1" si="16"/>
        <v>1263537.1600000001</v>
      </c>
      <c r="N41" s="1279">
        <f t="shared" ca="1" si="16"/>
        <v>625936.12</v>
      </c>
      <c r="O41" s="1279">
        <f ca="1">IF(L41&gt;0,N41*100/L41,0)</f>
        <v>50.744925597590587</v>
      </c>
      <c r="P41" s="1279">
        <f ca="1">IF(M41&gt;0,N41*100/M41,0)</f>
        <v>49.538402178848457</v>
      </c>
      <c r="Q41" s="853"/>
      <c r="R41" s="853"/>
      <c r="S41" s="853"/>
      <c r="T41" s="853"/>
      <c r="U41" s="853"/>
    </row>
    <row r="42" spans="1:21" ht="19.5" x14ac:dyDescent="0.3">
      <c r="A42" s="1057" t="s">
        <v>26</v>
      </c>
      <c r="B42" s="1058"/>
      <c r="C42" s="1058"/>
      <c r="D42" s="1058"/>
      <c r="E42" s="1058"/>
      <c r="F42" s="1058"/>
      <c r="G42" s="1058"/>
      <c r="H42" s="1058"/>
      <c r="I42" s="1059"/>
      <c r="J42" s="1059"/>
      <c r="K42" s="854"/>
      <c r="L42" s="854"/>
      <c r="M42" s="854"/>
      <c r="N42" s="854"/>
      <c r="O42" s="854"/>
      <c r="P42" s="855"/>
      <c r="Q42" s="854"/>
      <c r="R42" s="854"/>
      <c r="S42" s="854"/>
      <c r="T42" s="854"/>
      <c r="U42" s="855"/>
    </row>
    <row r="43" spans="1:21" ht="19.5" x14ac:dyDescent="0.3">
      <c r="A43" s="1060"/>
      <c r="B43" s="1061" t="s">
        <v>27</v>
      </c>
      <c r="C43" s="1060"/>
      <c r="D43" s="1060"/>
      <c r="E43" s="1060"/>
      <c r="F43" s="1060"/>
      <c r="G43" s="1062"/>
      <c r="H43" s="1062"/>
      <c r="I43" s="1063"/>
      <c r="J43" s="1063"/>
      <c r="K43" s="857"/>
      <c r="L43" s="856"/>
      <c r="M43" s="857"/>
      <c r="N43" s="857"/>
      <c r="O43" s="857"/>
      <c r="P43" s="857"/>
      <c r="Q43" s="857"/>
      <c r="R43" s="857"/>
      <c r="S43" s="857"/>
      <c r="T43" s="857"/>
      <c r="U43" s="857"/>
    </row>
    <row r="44" spans="1:21" ht="12.75" hidden="1" x14ac:dyDescent="0.2">
      <c r="A44" s="1043"/>
      <c r="B44" s="285"/>
      <c r="C44" s="285"/>
      <c r="D44" s="285"/>
      <c r="E44" s="285"/>
      <c r="F44" s="285"/>
      <c r="G44" s="286"/>
      <c r="H44" s="286"/>
      <c r="I44" s="287"/>
      <c r="J44" s="287"/>
      <c r="K44" s="30"/>
      <c r="L44" s="29"/>
      <c r="M44" s="30"/>
      <c r="N44" s="30"/>
      <c r="O44" s="30"/>
      <c r="P44" s="30"/>
      <c r="Q44" s="30"/>
      <c r="R44" s="30"/>
      <c r="S44" s="30"/>
      <c r="T44" s="30"/>
      <c r="U44" s="30"/>
    </row>
    <row r="45" spans="1:21" ht="19.5" x14ac:dyDescent="0.3">
      <c r="A45" s="1064"/>
      <c r="B45" s="1065"/>
      <c r="C45" s="1066" t="s">
        <v>18</v>
      </c>
      <c r="D45" s="1067" t="s">
        <v>19</v>
      </c>
      <c r="E45" s="1065"/>
      <c r="F45" s="1065"/>
      <c r="G45" s="1068"/>
      <c r="H45" s="1069" t="s">
        <v>14</v>
      </c>
      <c r="I45" s="1070"/>
      <c r="J45" s="1070"/>
      <c r="K45" s="1071"/>
      <c r="L45" s="1276">
        <f t="shared" ref="L45:N45" ca="1" si="17">L46+L47</f>
        <v>203250</v>
      </c>
      <c r="M45" s="1275">
        <f t="shared" ca="1" si="17"/>
        <v>217072.16</v>
      </c>
      <c r="N45" s="1275">
        <f t="shared" ca="1" si="17"/>
        <v>142341</v>
      </c>
      <c r="O45" s="1275">
        <f t="shared" ref="O45:O53" ca="1" si="18">IF(L45&gt;0,N45*100/L45,0)</f>
        <v>70.032472324723244</v>
      </c>
      <c r="P45" s="1275">
        <f t="shared" ref="P45:P53" ca="1" si="19">IF(M45&gt;0,N45*100/M45,0)</f>
        <v>65.573125544980059</v>
      </c>
      <c r="Q45" s="1275">
        <f t="shared" ref="Q45:S45" si="20">Q46+Q47</f>
        <v>0</v>
      </c>
      <c r="R45" s="1275">
        <f t="shared" si="20"/>
        <v>0</v>
      </c>
      <c r="S45" s="1275">
        <f t="shared" si="20"/>
        <v>0</v>
      </c>
      <c r="T45" s="1275">
        <f t="shared" ref="T45:T53" si="21">IF(Q45&gt;0,S45*100/Q45,0)</f>
        <v>0</v>
      </c>
      <c r="U45" s="1275">
        <f t="shared" ref="U45:U53" si="22">IF(R45&gt;0,S45*100/R45,0)</f>
        <v>0</v>
      </c>
    </row>
    <row r="46" spans="1:21" ht="18.75" hidden="1" x14ac:dyDescent="0.25">
      <c r="A46" s="1064"/>
      <c r="B46" s="1065"/>
      <c r="C46" s="1065"/>
      <c r="D46" s="1065"/>
      <c r="E46" s="863" t="s">
        <v>20</v>
      </c>
      <c r="F46" s="1065"/>
      <c r="G46" s="1068"/>
      <c r="H46" s="865" t="s">
        <v>14</v>
      </c>
      <c r="I46" s="1070"/>
      <c r="J46" s="1070"/>
      <c r="K46" s="1071"/>
      <c r="L46" s="1274">
        <f t="shared" ref="L46:N47" si="23">L49+L52</f>
        <v>0</v>
      </c>
      <c r="M46" s="1273">
        <f t="shared" si="23"/>
        <v>0</v>
      </c>
      <c r="N46" s="1273">
        <f t="shared" si="23"/>
        <v>0</v>
      </c>
      <c r="O46" s="1273">
        <f t="shared" si="18"/>
        <v>0</v>
      </c>
      <c r="P46" s="1273">
        <f t="shared" si="19"/>
        <v>0</v>
      </c>
      <c r="Q46" s="1273">
        <f t="shared" ref="Q46:S47" si="24">Q49+Q52</f>
        <v>0</v>
      </c>
      <c r="R46" s="1273">
        <f t="shared" si="24"/>
        <v>0</v>
      </c>
      <c r="S46" s="1273">
        <f t="shared" si="24"/>
        <v>0</v>
      </c>
      <c r="T46" s="1273">
        <f t="shared" si="21"/>
        <v>0</v>
      </c>
      <c r="U46" s="1273">
        <f t="shared" si="22"/>
        <v>0</v>
      </c>
    </row>
    <row r="47" spans="1:21" ht="18.75" hidden="1" x14ac:dyDescent="0.25">
      <c r="A47" s="1064"/>
      <c r="B47" s="1065"/>
      <c r="C47" s="1065"/>
      <c r="D47" s="1065"/>
      <c r="E47" s="1072" t="s">
        <v>21</v>
      </c>
      <c r="F47" s="1065"/>
      <c r="G47" s="1068"/>
      <c r="H47" s="1073" t="s">
        <v>14</v>
      </c>
      <c r="I47" s="1070"/>
      <c r="J47" s="1070"/>
      <c r="K47" s="1071"/>
      <c r="L47" s="1272">
        <f t="shared" ca="1" si="23"/>
        <v>203250</v>
      </c>
      <c r="M47" s="1271">
        <f t="shared" ca="1" si="23"/>
        <v>217072.16</v>
      </c>
      <c r="N47" s="1271">
        <f t="shared" ca="1" si="23"/>
        <v>142341</v>
      </c>
      <c r="O47" s="1271">
        <f t="shared" ca="1" si="18"/>
        <v>70.032472324723244</v>
      </c>
      <c r="P47" s="1271">
        <f t="shared" ca="1" si="19"/>
        <v>65.573125544980059</v>
      </c>
      <c r="Q47" s="1271">
        <f t="shared" si="24"/>
        <v>0</v>
      </c>
      <c r="R47" s="1271">
        <f t="shared" si="24"/>
        <v>0</v>
      </c>
      <c r="S47" s="1271">
        <f t="shared" si="24"/>
        <v>0</v>
      </c>
      <c r="T47" s="1271">
        <f t="shared" si="21"/>
        <v>0</v>
      </c>
      <c r="U47" s="1271">
        <f t="shared" si="22"/>
        <v>0</v>
      </c>
    </row>
    <row r="48" spans="1:21" ht="18.75" x14ac:dyDescent="0.25">
      <c r="A48" s="847"/>
      <c r="B48" s="258"/>
      <c r="C48" s="258"/>
      <c r="D48" s="270" t="s">
        <v>22</v>
      </c>
      <c r="E48" s="258"/>
      <c r="F48" s="258"/>
      <c r="G48" s="261"/>
      <c r="H48" s="292" t="s">
        <v>14</v>
      </c>
      <c r="I48" s="263"/>
      <c r="J48" s="263"/>
      <c r="K48" s="87"/>
      <c r="L48" s="73">
        <f t="shared" ref="L48:N48" ca="1" si="25">L49+L50</f>
        <v>203250</v>
      </c>
      <c r="M48" s="74">
        <f t="shared" ca="1" si="25"/>
        <v>217072.16</v>
      </c>
      <c r="N48" s="74">
        <f t="shared" ca="1" si="25"/>
        <v>142341</v>
      </c>
      <c r="O48" s="74">
        <f t="shared" ca="1" si="18"/>
        <v>70.032472324723244</v>
      </c>
      <c r="P48" s="74">
        <f t="shared" ca="1" si="19"/>
        <v>65.573125544980059</v>
      </c>
      <c r="Q48" s="74">
        <f t="shared" ref="Q48:S48" si="26">Q49+Q50</f>
        <v>0</v>
      </c>
      <c r="R48" s="74">
        <f t="shared" si="26"/>
        <v>0</v>
      </c>
      <c r="S48" s="74">
        <f t="shared" si="26"/>
        <v>0</v>
      </c>
      <c r="T48" s="74">
        <f t="shared" si="21"/>
        <v>0</v>
      </c>
      <c r="U48" s="74">
        <f t="shared" si="22"/>
        <v>0</v>
      </c>
    </row>
    <row r="49" spans="1:21" ht="18.75" hidden="1" x14ac:dyDescent="0.25">
      <c r="A49" s="847"/>
      <c r="B49" s="258"/>
      <c r="C49" s="258"/>
      <c r="D49" s="258"/>
      <c r="E49" s="265" t="s">
        <v>20</v>
      </c>
      <c r="F49" s="258"/>
      <c r="G49" s="261"/>
      <c r="H49" s="840" t="s">
        <v>14</v>
      </c>
      <c r="I49" s="263"/>
      <c r="J49" s="263"/>
      <c r="K49" s="87"/>
      <c r="L49" s="76">
        <v>0</v>
      </c>
      <c r="M49" s="77">
        <v>0</v>
      </c>
      <c r="N49" s="77">
        <v>0</v>
      </c>
      <c r="O49" s="77">
        <f t="shared" si="18"/>
        <v>0</v>
      </c>
      <c r="P49" s="77">
        <f t="shared" si="19"/>
        <v>0</v>
      </c>
      <c r="Q49" s="77">
        <v>0</v>
      </c>
      <c r="R49" s="77">
        <v>0</v>
      </c>
      <c r="S49" s="77">
        <v>0</v>
      </c>
      <c r="T49" s="77">
        <f t="shared" si="21"/>
        <v>0</v>
      </c>
      <c r="U49" s="77">
        <f t="shared" si="22"/>
        <v>0</v>
      </c>
    </row>
    <row r="50" spans="1:21" ht="18.75" hidden="1" x14ac:dyDescent="0.25">
      <c r="A50" s="847"/>
      <c r="B50" s="258"/>
      <c r="C50" s="258"/>
      <c r="D50" s="258"/>
      <c r="E50" s="267" t="s">
        <v>21</v>
      </c>
      <c r="F50" s="258"/>
      <c r="G50" s="261"/>
      <c r="H50" s="292" t="s">
        <v>14</v>
      </c>
      <c r="I50" s="263"/>
      <c r="J50" s="263"/>
      <c r="K50" s="87"/>
      <c r="L50" s="73">
        <f ca="1">IFERROR(__xludf.DUMMYFUNCTION("IMPORTRANGE(""https://docs.google.com/spreadsheets/d/1-uDff_7J0KD5mKrp0Vvzr7lt3OU09vwQwhkpOPPYv2Y/edit?usp=sharing"",""งบพรบ!P60"")"),203250)</f>
        <v>203250</v>
      </c>
      <c r="M50" s="74">
        <f ca="1">IFERROR(__xludf.DUMMYFUNCTION("IMPORTRANGE(""https://docs.google.com/spreadsheets/d/1-uDff_7J0KD5mKrp0Vvzr7lt3OU09vwQwhkpOPPYv2Y/edit?usp=sharing"",""งบพรบ!V60"")"),217072.16)</f>
        <v>217072.16</v>
      </c>
      <c r="N50" s="74">
        <f ca="1">IFERROR(__xludf.DUMMYFUNCTION("IMPORTRANGE(""https://docs.google.com/spreadsheets/d/1-uDff_7J0KD5mKrp0Vvzr7lt3OU09vwQwhkpOPPYv2Y/edit?usp=sharing"",""งบพรบ!Y60"")"),142341)</f>
        <v>142341</v>
      </c>
      <c r="O50" s="74">
        <f t="shared" ca="1" si="18"/>
        <v>70.032472324723244</v>
      </c>
      <c r="P50" s="74">
        <f t="shared" ca="1" si="19"/>
        <v>65.573125544980059</v>
      </c>
      <c r="Q50" s="74">
        <v>0</v>
      </c>
      <c r="R50" s="74">
        <v>0</v>
      </c>
      <c r="S50" s="74">
        <v>0</v>
      </c>
      <c r="T50" s="74">
        <f t="shared" si="21"/>
        <v>0</v>
      </c>
      <c r="U50" s="74">
        <f t="shared" si="22"/>
        <v>0</v>
      </c>
    </row>
    <row r="51" spans="1:21" ht="18.75" x14ac:dyDescent="0.25">
      <c r="A51" s="847"/>
      <c r="B51" s="258"/>
      <c r="C51" s="258"/>
      <c r="D51" s="270" t="s">
        <v>23</v>
      </c>
      <c r="E51" s="258"/>
      <c r="F51" s="258"/>
      <c r="G51" s="261"/>
      <c r="H51" s="292" t="s">
        <v>14</v>
      </c>
      <c r="I51" s="263"/>
      <c r="J51" s="263"/>
      <c r="K51" s="87"/>
      <c r="L51" s="73">
        <f t="shared" ref="L51:N51" ca="1" si="27">L52+L53</f>
        <v>0</v>
      </c>
      <c r="M51" s="74">
        <f t="shared" ca="1" si="27"/>
        <v>0</v>
      </c>
      <c r="N51" s="74">
        <f t="shared" ca="1" si="27"/>
        <v>0</v>
      </c>
      <c r="O51" s="74">
        <f t="shared" ca="1" si="18"/>
        <v>0</v>
      </c>
      <c r="P51" s="74">
        <f t="shared" ca="1" si="19"/>
        <v>0</v>
      </c>
      <c r="Q51" s="74">
        <f t="shared" ref="Q51:S51" si="28">Q52+Q53</f>
        <v>0</v>
      </c>
      <c r="R51" s="74">
        <f t="shared" si="28"/>
        <v>0</v>
      </c>
      <c r="S51" s="74">
        <f t="shared" si="28"/>
        <v>0</v>
      </c>
      <c r="T51" s="74">
        <f t="shared" si="21"/>
        <v>0</v>
      </c>
      <c r="U51" s="74">
        <f t="shared" si="22"/>
        <v>0</v>
      </c>
    </row>
    <row r="52" spans="1:21" ht="18.75" hidden="1" x14ac:dyDescent="0.25">
      <c r="A52" s="847"/>
      <c r="B52" s="258"/>
      <c r="C52" s="258"/>
      <c r="D52" s="258"/>
      <c r="E52" s="265" t="s">
        <v>20</v>
      </c>
      <c r="F52" s="258"/>
      <c r="G52" s="261"/>
      <c r="H52" s="840" t="s">
        <v>14</v>
      </c>
      <c r="I52" s="263"/>
      <c r="J52" s="263"/>
      <c r="K52" s="87"/>
      <c r="L52" s="76">
        <v>0</v>
      </c>
      <c r="M52" s="77">
        <v>0</v>
      </c>
      <c r="N52" s="77">
        <v>0</v>
      </c>
      <c r="O52" s="77">
        <f t="shared" si="18"/>
        <v>0</v>
      </c>
      <c r="P52" s="77">
        <f t="shared" si="19"/>
        <v>0</v>
      </c>
      <c r="Q52" s="77">
        <v>0</v>
      </c>
      <c r="R52" s="77">
        <v>0</v>
      </c>
      <c r="S52" s="77">
        <v>0</v>
      </c>
      <c r="T52" s="77">
        <f t="shared" si="21"/>
        <v>0</v>
      </c>
      <c r="U52" s="77">
        <f t="shared" si="22"/>
        <v>0</v>
      </c>
    </row>
    <row r="53" spans="1:21" ht="18.75" hidden="1" x14ac:dyDescent="0.25">
      <c r="A53" s="847"/>
      <c r="B53" s="258"/>
      <c r="C53" s="258"/>
      <c r="D53" s="258"/>
      <c r="E53" s="267" t="s">
        <v>21</v>
      </c>
      <c r="F53" s="258"/>
      <c r="G53" s="261"/>
      <c r="H53" s="292" t="s">
        <v>14</v>
      </c>
      <c r="I53" s="263"/>
      <c r="J53" s="263"/>
      <c r="K53" s="87"/>
      <c r="L53" s="73">
        <f ca="1">IFERROR(__xludf.DUMMYFUNCTION("IMPORTRANGE(""https://docs.google.com/spreadsheets/d/1-uDff_7J0KD5mKrp0Vvzr7lt3OU09vwQwhkpOPPYv2Y/edit?usp=sharing"",""งบพรบ!S60"")"),0)</f>
        <v>0</v>
      </c>
      <c r="M53" s="74">
        <f ca="1">IFERROR(__xludf.DUMMYFUNCTION("IMPORTRANGE(""https://docs.google.com/spreadsheets/d/1-uDff_7J0KD5mKrp0Vvzr7lt3OU09vwQwhkpOPPYv2Y/edit?usp=sharing"",""งบพรบ!W60"")"),0)</f>
        <v>0</v>
      </c>
      <c r="N53" s="74">
        <f ca="1">IFERROR(__xludf.DUMMYFUNCTION("IMPORTRANGE(""https://docs.google.com/spreadsheets/d/1-uDff_7J0KD5mKrp0Vvzr7lt3OU09vwQwhkpOPPYv2Y/edit?usp=sharing"",""งบพรบ!Z60"")"),0)</f>
        <v>0</v>
      </c>
      <c r="O53" s="74">
        <f t="shared" ca="1" si="18"/>
        <v>0</v>
      </c>
      <c r="P53" s="74">
        <f t="shared" ca="1" si="19"/>
        <v>0</v>
      </c>
      <c r="Q53" s="74">
        <v>0</v>
      </c>
      <c r="R53" s="74">
        <v>0</v>
      </c>
      <c r="S53" s="74">
        <v>0</v>
      </c>
      <c r="T53" s="74">
        <f t="shared" si="21"/>
        <v>0</v>
      </c>
      <c r="U53" s="74">
        <f t="shared" si="22"/>
        <v>0</v>
      </c>
    </row>
    <row r="54" spans="1:21" ht="18.75" x14ac:dyDescent="0.25">
      <c r="A54" s="847"/>
      <c r="B54" s="258"/>
      <c r="C54" s="258"/>
      <c r="D54" s="270" t="s">
        <v>24</v>
      </c>
      <c r="E54" s="258"/>
      <c r="F54" s="258"/>
      <c r="G54" s="261"/>
      <c r="H54" s="292" t="s">
        <v>14</v>
      </c>
      <c r="I54" s="263"/>
      <c r="J54" s="263"/>
      <c r="K54" s="87"/>
      <c r="L54" s="86"/>
      <c r="M54" s="87"/>
      <c r="N54" s="87"/>
      <c r="O54" s="87"/>
      <c r="P54" s="87"/>
      <c r="Q54" s="87"/>
      <c r="R54" s="87"/>
      <c r="S54" s="87"/>
      <c r="T54" s="87"/>
      <c r="U54" s="87"/>
    </row>
    <row r="55" spans="1:21" ht="18.75" hidden="1" x14ac:dyDescent="0.25">
      <c r="A55" s="847"/>
      <c r="B55" s="258"/>
      <c r="C55" s="258"/>
      <c r="D55" s="258"/>
      <c r="E55" s="265" t="s">
        <v>20</v>
      </c>
      <c r="F55" s="258"/>
      <c r="G55" s="261"/>
      <c r="H55" s="840" t="s">
        <v>14</v>
      </c>
      <c r="I55" s="263"/>
      <c r="J55" s="263"/>
      <c r="K55" s="87"/>
      <c r="L55" s="86"/>
      <c r="M55" s="87"/>
      <c r="N55" s="87"/>
      <c r="O55" s="87"/>
      <c r="P55" s="87"/>
      <c r="Q55" s="87"/>
      <c r="R55" s="87"/>
      <c r="S55" s="87"/>
      <c r="T55" s="87"/>
      <c r="U55" s="87"/>
    </row>
    <row r="56" spans="1:21" ht="18.75" hidden="1" x14ac:dyDescent="0.25">
      <c r="A56" s="848"/>
      <c r="B56" s="636"/>
      <c r="C56" s="636"/>
      <c r="D56" s="636"/>
      <c r="E56" s="849" t="s">
        <v>21</v>
      </c>
      <c r="F56" s="636"/>
      <c r="G56" s="637"/>
      <c r="H56" s="850" t="s">
        <v>14</v>
      </c>
      <c r="I56" s="631"/>
      <c r="J56" s="631"/>
      <c r="K56" s="98"/>
      <c r="L56" s="97"/>
      <c r="M56" s="98"/>
      <c r="N56" s="98"/>
      <c r="O56" s="98"/>
      <c r="P56" s="98"/>
      <c r="Q56" s="98"/>
      <c r="R56" s="98"/>
      <c r="S56" s="98"/>
      <c r="T56" s="98"/>
      <c r="U56" s="98"/>
    </row>
    <row r="57" spans="1:21" ht="19.5" x14ac:dyDescent="0.3">
      <c r="A57" s="1382" t="s">
        <v>28</v>
      </c>
      <c r="B57" s="1349"/>
      <c r="C57" s="1349"/>
      <c r="D57" s="1349"/>
      <c r="E57" s="1349"/>
      <c r="F57" s="1349"/>
      <c r="G57" s="1350"/>
      <c r="H57" s="1074"/>
      <c r="I57" s="1075"/>
      <c r="J57" s="1075"/>
      <c r="K57" s="868"/>
      <c r="L57" s="868"/>
      <c r="M57" s="868"/>
      <c r="N57" s="868"/>
      <c r="O57" s="868"/>
      <c r="P57" s="869"/>
      <c r="Q57" s="868"/>
      <c r="R57" s="868"/>
      <c r="S57" s="868"/>
      <c r="T57" s="868"/>
      <c r="U57" s="869"/>
    </row>
    <row r="58" spans="1:21" ht="19.5" x14ac:dyDescent="0.3">
      <c r="A58" s="1076"/>
      <c r="B58" s="1383" t="s">
        <v>29</v>
      </c>
      <c r="C58" s="1343"/>
      <c r="D58" s="1343"/>
      <c r="E58" s="1343"/>
      <c r="F58" s="1343"/>
      <c r="G58" s="1344"/>
      <c r="H58" s="1077"/>
      <c r="I58" s="1078"/>
      <c r="J58" s="1078"/>
      <c r="K58" s="147"/>
      <c r="L58" s="146"/>
      <c r="M58" s="147"/>
      <c r="N58" s="147"/>
      <c r="O58" s="147"/>
      <c r="P58" s="147"/>
      <c r="Q58" s="147"/>
      <c r="R58" s="147"/>
      <c r="S58" s="147"/>
      <c r="T58" s="147"/>
      <c r="U58" s="147"/>
    </row>
    <row r="59" spans="1:21" ht="19.5" x14ac:dyDescent="0.3">
      <c r="A59" s="1079"/>
      <c r="B59" s="1080" t="s">
        <v>30</v>
      </c>
      <c r="C59" s="1081"/>
      <c r="D59" s="1081"/>
      <c r="E59" s="1081"/>
      <c r="F59" s="1081"/>
      <c r="G59" s="1082"/>
      <c r="H59" s="1082"/>
      <c r="I59" s="1083"/>
      <c r="J59" s="1083"/>
      <c r="K59" s="155"/>
      <c r="L59" s="154"/>
      <c r="M59" s="155"/>
      <c r="N59" s="155"/>
      <c r="O59" s="155"/>
      <c r="P59" s="155"/>
      <c r="Q59" s="155"/>
      <c r="R59" s="155"/>
      <c r="S59" s="155"/>
      <c r="T59" s="155"/>
      <c r="U59" s="155"/>
    </row>
    <row r="60" spans="1:21" ht="19.5" x14ac:dyDescent="0.3">
      <c r="A60" s="1084"/>
      <c r="B60" s="1085"/>
      <c r="C60" s="1086" t="s">
        <v>18</v>
      </c>
      <c r="D60" s="1087" t="s">
        <v>19</v>
      </c>
      <c r="E60" s="1085"/>
      <c r="F60" s="1085"/>
      <c r="G60" s="1088"/>
      <c r="H60" s="1089" t="s">
        <v>14</v>
      </c>
      <c r="I60" s="1090"/>
      <c r="J60" s="1090"/>
      <c r="K60" s="1091"/>
      <c r="L60" s="1269">
        <f t="shared" ref="L60:N60" ca="1" si="29">L61+L62</f>
        <v>385800</v>
      </c>
      <c r="M60" s="1268">
        <f t="shared" ca="1" si="29"/>
        <v>385800</v>
      </c>
      <c r="N60" s="1268">
        <f t="shared" ca="1" si="29"/>
        <v>273524.67</v>
      </c>
      <c r="O60" s="1268">
        <f t="shared" ref="O60:O68" ca="1" si="30">IF(L60&gt;0,N60*100/L60,0)</f>
        <v>70.898048211508552</v>
      </c>
      <c r="P60" s="1268">
        <f t="shared" ref="P60:P68" ca="1" si="31">IF(M60&gt;0,N60*100/M60,0)</f>
        <v>70.898048211508552</v>
      </c>
      <c r="Q60" s="1268">
        <f t="shared" ref="Q60:S60" si="32">Q61+Q62</f>
        <v>0</v>
      </c>
      <c r="R60" s="1268">
        <f t="shared" si="32"/>
        <v>0</v>
      </c>
      <c r="S60" s="1268">
        <f t="shared" si="32"/>
        <v>0</v>
      </c>
      <c r="T60" s="1268">
        <f t="shared" ref="T60:T68" si="33">IF(Q60&gt;0,S60*100/Q60,0)</f>
        <v>0</v>
      </c>
      <c r="U60" s="1268">
        <f t="shared" ref="U60:U68" si="34">IF(R60&gt;0,S60*100/R60,0)</f>
        <v>0</v>
      </c>
    </row>
    <row r="61" spans="1:21" ht="18.75" hidden="1" x14ac:dyDescent="0.25">
      <c r="A61" s="1084"/>
      <c r="B61" s="1085"/>
      <c r="C61" s="1085"/>
      <c r="D61" s="1085"/>
      <c r="E61" s="873" t="s">
        <v>20</v>
      </c>
      <c r="F61" s="1085"/>
      <c r="G61" s="1088"/>
      <c r="H61" s="875" t="s">
        <v>14</v>
      </c>
      <c r="I61" s="1090"/>
      <c r="J61" s="1090"/>
      <c r="K61" s="1091"/>
      <c r="L61" s="1267">
        <f t="shared" ref="L61:N62" si="35">L64+L67</f>
        <v>0</v>
      </c>
      <c r="M61" s="1266">
        <f t="shared" si="35"/>
        <v>0</v>
      </c>
      <c r="N61" s="1266">
        <f t="shared" si="35"/>
        <v>0</v>
      </c>
      <c r="O61" s="1266">
        <f t="shared" si="30"/>
        <v>0</v>
      </c>
      <c r="P61" s="1266">
        <f t="shared" si="31"/>
        <v>0</v>
      </c>
      <c r="Q61" s="1266">
        <f t="shared" ref="Q61:S62" si="36">Q64+Q67</f>
        <v>0</v>
      </c>
      <c r="R61" s="1266">
        <f t="shared" si="36"/>
        <v>0</v>
      </c>
      <c r="S61" s="1266">
        <f t="shared" si="36"/>
        <v>0</v>
      </c>
      <c r="T61" s="1266">
        <f t="shared" si="33"/>
        <v>0</v>
      </c>
      <c r="U61" s="1266">
        <f t="shared" si="34"/>
        <v>0</v>
      </c>
    </row>
    <row r="62" spans="1:21" ht="18.75" hidden="1" x14ac:dyDescent="0.25">
      <c r="A62" s="1084"/>
      <c r="B62" s="1085"/>
      <c r="C62" s="1085"/>
      <c r="D62" s="1085"/>
      <c r="E62" s="1092" t="s">
        <v>21</v>
      </c>
      <c r="F62" s="1085"/>
      <c r="G62" s="1088"/>
      <c r="H62" s="1093" t="s">
        <v>14</v>
      </c>
      <c r="I62" s="1090"/>
      <c r="J62" s="1090"/>
      <c r="K62" s="1091"/>
      <c r="L62" s="1265">
        <f t="shared" ca="1" si="35"/>
        <v>385800</v>
      </c>
      <c r="M62" s="1264">
        <f t="shared" ca="1" si="35"/>
        <v>385800</v>
      </c>
      <c r="N62" s="1264">
        <f t="shared" ca="1" si="35"/>
        <v>273524.67</v>
      </c>
      <c r="O62" s="1264">
        <f t="shared" ca="1" si="30"/>
        <v>70.898048211508552</v>
      </c>
      <c r="P62" s="1264">
        <f t="shared" ca="1" si="31"/>
        <v>70.898048211508552</v>
      </c>
      <c r="Q62" s="1264">
        <f t="shared" si="36"/>
        <v>0</v>
      </c>
      <c r="R62" s="1264">
        <f t="shared" si="36"/>
        <v>0</v>
      </c>
      <c r="S62" s="1264">
        <f t="shared" si="36"/>
        <v>0</v>
      </c>
      <c r="T62" s="1264">
        <f t="shared" si="33"/>
        <v>0</v>
      </c>
      <c r="U62" s="1264">
        <f t="shared" si="34"/>
        <v>0</v>
      </c>
    </row>
    <row r="63" spans="1:21" ht="18.75" x14ac:dyDescent="0.25">
      <c r="A63" s="550"/>
      <c r="B63" s="269"/>
      <c r="C63" s="269"/>
      <c r="D63" s="967" t="s">
        <v>22</v>
      </c>
      <c r="E63" s="258"/>
      <c r="F63" s="258"/>
      <c r="G63" s="261"/>
      <c r="H63" s="292" t="s">
        <v>14</v>
      </c>
      <c r="I63" s="263"/>
      <c r="J63" s="263"/>
      <c r="K63" s="87"/>
      <c r="L63" s="73">
        <f t="shared" ref="L63:N63" ca="1" si="37">L64+L65</f>
        <v>385800</v>
      </c>
      <c r="M63" s="74">
        <f t="shared" ca="1" si="37"/>
        <v>385800</v>
      </c>
      <c r="N63" s="74">
        <f t="shared" ca="1" si="37"/>
        <v>273524.67</v>
      </c>
      <c r="O63" s="74">
        <f t="shared" ca="1" si="30"/>
        <v>70.898048211508552</v>
      </c>
      <c r="P63" s="74">
        <f t="shared" ca="1" si="31"/>
        <v>70.898048211508552</v>
      </c>
      <c r="Q63" s="74">
        <f t="shared" ref="Q63:S63" si="38">Q64+Q65</f>
        <v>0</v>
      </c>
      <c r="R63" s="74">
        <f t="shared" si="38"/>
        <v>0</v>
      </c>
      <c r="S63" s="74">
        <f t="shared" si="38"/>
        <v>0</v>
      </c>
      <c r="T63" s="74">
        <f t="shared" si="33"/>
        <v>0</v>
      </c>
      <c r="U63" s="74">
        <f t="shared" si="34"/>
        <v>0</v>
      </c>
    </row>
    <row r="64" spans="1:21" ht="18.75" hidden="1" x14ac:dyDescent="0.25">
      <c r="A64" s="550"/>
      <c r="B64" s="258"/>
      <c r="C64" s="269"/>
      <c r="D64" s="258"/>
      <c r="E64" s="265" t="s">
        <v>20</v>
      </c>
      <c r="F64" s="258"/>
      <c r="G64" s="261"/>
      <c r="H64" s="840" t="s">
        <v>14</v>
      </c>
      <c r="I64" s="263"/>
      <c r="J64" s="263"/>
      <c r="K64" s="87"/>
      <c r="L64" s="76">
        <v>0</v>
      </c>
      <c r="M64" s="77">
        <v>0</v>
      </c>
      <c r="N64" s="77">
        <v>0</v>
      </c>
      <c r="O64" s="77">
        <f t="shared" si="30"/>
        <v>0</v>
      </c>
      <c r="P64" s="77">
        <f t="shared" si="31"/>
        <v>0</v>
      </c>
      <c r="Q64" s="77">
        <v>0</v>
      </c>
      <c r="R64" s="77">
        <v>0</v>
      </c>
      <c r="S64" s="77">
        <v>0</v>
      </c>
      <c r="T64" s="77">
        <f t="shared" si="33"/>
        <v>0</v>
      </c>
      <c r="U64" s="77">
        <f t="shared" si="34"/>
        <v>0</v>
      </c>
    </row>
    <row r="65" spans="1:21" ht="18.75" hidden="1" x14ac:dyDescent="0.25">
      <c r="A65" s="257"/>
      <c r="B65" s="258"/>
      <c r="C65" s="258"/>
      <c r="D65" s="269"/>
      <c r="E65" s="267" t="s">
        <v>21</v>
      </c>
      <c r="F65" s="258"/>
      <c r="G65" s="261"/>
      <c r="H65" s="292" t="s">
        <v>14</v>
      </c>
      <c r="I65" s="263"/>
      <c r="J65" s="263"/>
      <c r="K65" s="87"/>
      <c r="L65" s="73">
        <f ca="1">IFERROR(__xludf.DUMMYFUNCTION("IMPORTRANGE(""https://docs.google.com/spreadsheets/d/1-uDff_7J0KD5mKrp0Vvzr7lt3OU09vwQwhkpOPPYv2Y/edit?usp=sharing"",""งบพรบ!AC60"")"),385800)</f>
        <v>385800</v>
      </c>
      <c r="M65" s="74">
        <f ca="1">IFERROR(__xludf.DUMMYFUNCTION("IMPORTRANGE(""https://docs.google.com/spreadsheets/d/1-uDff_7J0KD5mKrp0Vvzr7lt3OU09vwQwhkpOPPYv2Y/edit?usp=sharing"",""งบพรบ!AH60"")"),385800)</f>
        <v>385800</v>
      </c>
      <c r="N65" s="74">
        <f ca="1">IFERROR(__xludf.DUMMYFUNCTION("IMPORTRANGE(""https://docs.google.com/spreadsheets/d/1-uDff_7J0KD5mKrp0Vvzr7lt3OU09vwQwhkpOPPYv2Y/edit?usp=sharing"",""งบพรบ!AJ60"")"),273524.67)</f>
        <v>273524.67</v>
      </c>
      <c r="O65" s="74">
        <f t="shared" ca="1" si="30"/>
        <v>70.898048211508552</v>
      </c>
      <c r="P65" s="74">
        <f t="shared" ca="1" si="31"/>
        <v>70.898048211508552</v>
      </c>
      <c r="Q65" s="74">
        <v>0</v>
      </c>
      <c r="R65" s="74">
        <v>0</v>
      </c>
      <c r="S65" s="74">
        <v>0</v>
      </c>
      <c r="T65" s="74">
        <f t="shared" si="33"/>
        <v>0</v>
      </c>
      <c r="U65" s="74">
        <f t="shared" si="34"/>
        <v>0</v>
      </c>
    </row>
    <row r="66" spans="1:21" ht="18.75" x14ac:dyDescent="0.25">
      <c r="A66" s="257"/>
      <c r="B66" s="258"/>
      <c r="C66" s="258"/>
      <c r="D66" s="967" t="s">
        <v>23</v>
      </c>
      <c r="E66" s="258"/>
      <c r="F66" s="258"/>
      <c r="G66" s="261"/>
      <c r="H66" s="292" t="s">
        <v>14</v>
      </c>
      <c r="I66" s="263"/>
      <c r="J66" s="263"/>
      <c r="K66" s="87"/>
      <c r="L66" s="73">
        <f t="shared" ref="L66:N66" ca="1" si="39">L67+L68</f>
        <v>0</v>
      </c>
      <c r="M66" s="74">
        <f t="shared" ca="1" si="39"/>
        <v>0</v>
      </c>
      <c r="N66" s="74">
        <f t="shared" ca="1" si="39"/>
        <v>0</v>
      </c>
      <c r="O66" s="74">
        <f t="shared" ca="1" si="30"/>
        <v>0</v>
      </c>
      <c r="P66" s="74">
        <f t="shared" ca="1" si="31"/>
        <v>0</v>
      </c>
      <c r="Q66" s="74">
        <f t="shared" ref="Q66:S66" si="40">Q67+Q68</f>
        <v>0</v>
      </c>
      <c r="R66" s="74">
        <f t="shared" si="40"/>
        <v>0</v>
      </c>
      <c r="S66" s="74">
        <f t="shared" si="40"/>
        <v>0</v>
      </c>
      <c r="T66" s="74">
        <f t="shared" si="33"/>
        <v>0</v>
      </c>
      <c r="U66" s="74">
        <f t="shared" si="34"/>
        <v>0</v>
      </c>
    </row>
    <row r="67" spans="1:21" ht="18.75" hidden="1" x14ac:dyDescent="0.25">
      <c r="A67" s="257"/>
      <c r="B67" s="258"/>
      <c r="C67" s="258"/>
      <c r="D67" s="258"/>
      <c r="E67" s="265" t="s">
        <v>20</v>
      </c>
      <c r="F67" s="258"/>
      <c r="G67" s="261"/>
      <c r="H67" s="266" t="s">
        <v>14</v>
      </c>
      <c r="I67" s="263"/>
      <c r="J67" s="263"/>
      <c r="K67" s="87"/>
      <c r="L67" s="76">
        <v>0</v>
      </c>
      <c r="M67" s="77">
        <v>0</v>
      </c>
      <c r="N67" s="77">
        <v>0</v>
      </c>
      <c r="O67" s="77">
        <f t="shared" si="30"/>
        <v>0</v>
      </c>
      <c r="P67" s="77">
        <f t="shared" si="31"/>
        <v>0</v>
      </c>
      <c r="Q67" s="77">
        <v>0</v>
      </c>
      <c r="R67" s="77">
        <v>0</v>
      </c>
      <c r="S67" s="77">
        <v>0</v>
      </c>
      <c r="T67" s="77">
        <f t="shared" si="33"/>
        <v>0</v>
      </c>
      <c r="U67" s="77">
        <f t="shared" si="34"/>
        <v>0</v>
      </c>
    </row>
    <row r="68" spans="1:21" ht="18.75" hidden="1" x14ac:dyDescent="0.25">
      <c r="A68" s="1094"/>
      <c r="B68" s="636"/>
      <c r="C68" s="636"/>
      <c r="D68" s="636"/>
      <c r="E68" s="849" t="s">
        <v>21</v>
      </c>
      <c r="F68" s="636"/>
      <c r="G68" s="637"/>
      <c r="H68" s="630" t="s">
        <v>14</v>
      </c>
      <c r="I68" s="631"/>
      <c r="J68" s="631"/>
      <c r="K68" s="98"/>
      <c r="L68" s="181">
        <f ca="1">IFERROR(__xludf.DUMMYFUNCTION("IMPORTRANGE(""https://docs.google.com/spreadsheets/d/1-uDff_7J0KD5mKrp0Vvzr7lt3OU09vwQwhkpOPPYv2Y/edit?usp=sharing"",""งบพรบ!AF60"")"),0)</f>
        <v>0</v>
      </c>
      <c r="M68" s="182">
        <f ca="1">IFERROR(__xludf.DUMMYFUNCTION("IMPORTRANGE(""https://docs.google.com/spreadsheets/d/1-uDff_7J0KD5mKrp0Vvzr7lt3OU09vwQwhkpOPPYv2Y/edit?usp=sharing"",""งบพรบ!AI60"")"),0)</f>
        <v>0</v>
      </c>
      <c r="N68" s="182">
        <f ca="1">IFERROR(__xludf.DUMMYFUNCTION("IMPORTRANGE(""https://docs.google.com/spreadsheets/d/1-uDff_7J0KD5mKrp0Vvzr7lt3OU09vwQwhkpOPPYv2Y/edit?usp=sharing"",""งบพรบ!AK60"")"),0)</f>
        <v>0</v>
      </c>
      <c r="O68" s="182">
        <f t="shared" ca="1" si="30"/>
        <v>0</v>
      </c>
      <c r="P68" s="182">
        <f t="shared" ca="1" si="31"/>
        <v>0</v>
      </c>
      <c r="Q68" s="182">
        <v>0</v>
      </c>
      <c r="R68" s="182">
        <v>0</v>
      </c>
      <c r="S68" s="182">
        <v>0</v>
      </c>
      <c r="T68" s="182">
        <f t="shared" si="33"/>
        <v>0</v>
      </c>
      <c r="U68" s="182">
        <f t="shared" si="34"/>
        <v>0</v>
      </c>
    </row>
    <row r="69" spans="1:21" ht="19.5" x14ac:dyDescent="0.3">
      <c r="A69" s="1095" t="s">
        <v>31</v>
      </c>
      <c r="B69" s="1096"/>
      <c r="C69" s="1096"/>
      <c r="D69" s="1096"/>
      <c r="E69" s="1097"/>
      <c r="F69" s="1097"/>
      <c r="G69" s="1097"/>
      <c r="H69" s="1096"/>
      <c r="I69" s="1098"/>
      <c r="J69" s="1098"/>
      <c r="K69" s="191"/>
      <c r="L69" s="191"/>
      <c r="M69" s="191"/>
      <c r="N69" s="191"/>
      <c r="O69" s="191"/>
      <c r="P69" s="192"/>
      <c r="Q69" s="191"/>
      <c r="R69" s="191"/>
      <c r="S69" s="191"/>
      <c r="T69" s="191"/>
      <c r="U69" s="192"/>
    </row>
    <row r="70" spans="1:21" ht="19.5" hidden="1" x14ac:dyDescent="0.3">
      <c r="A70" s="1099" t="s">
        <v>32</v>
      </c>
      <c r="B70" s="691"/>
      <c r="C70" s="693"/>
      <c r="D70" s="691"/>
      <c r="E70" s="691"/>
      <c r="F70" s="691"/>
      <c r="G70" s="1100"/>
      <c r="H70" s="1101"/>
      <c r="I70" s="1102"/>
      <c r="J70" s="1102"/>
      <c r="K70" s="200"/>
      <c r="L70" s="199"/>
      <c r="M70" s="200"/>
      <c r="N70" s="200"/>
      <c r="O70" s="200"/>
      <c r="P70" s="200"/>
      <c r="Q70" s="200"/>
      <c r="R70" s="200"/>
      <c r="S70" s="200"/>
      <c r="T70" s="200"/>
      <c r="U70" s="200"/>
    </row>
    <row r="71" spans="1:21" ht="39" hidden="1" x14ac:dyDescent="0.3">
      <c r="A71" s="250"/>
      <c r="B71" s="251" t="s">
        <v>33</v>
      </c>
      <c r="C71" s="252"/>
      <c r="D71" s="253"/>
      <c r="E71" s="252"/>
      <c r="F71" s="252"/>
      <c r="G71" s="254"/>
      <c r="H71" s="255" t="s">
        <v>34</v>
      </c>
      <c r="I71" s="256">
        <f t="shared" ref="I71:J72" ca="1" si="41">I83</f>
        <v>0</v>
      </c>
      <c r="J71" s="256">
        <f t="shared" si="41"/>
        <v>0</v>
      </c>
      <c r="K71" s="59">
        <f t="shared" ref="K71:K72" ca="1" si="42">IF(I71&gt;0,J71*100/I71,0)</f>
        <v>0</v>
      </c>
      <c r="L71" s="207"/>
      <c r="M71" s="208"/>
      <c r="N71" s="208"/>
      <c r="O71" s="208"/>
      <c r="P71" s="208"/>
      <c r="Q71" s="208"/>
      <c r="R71" s="208"/>
      <c r="S71" s="208"/>
      <c r="T71" s="208"/>
      <c r="U71" s="208"/>
    </row>
    <row r="72" spans="1:21" ht="19.5" hidden="1" x14ac:dyDescent="0.3">
      <c r="A72" s="250"/>
      <c r="B72" s="252"/>
      <c r="C72" s="252"/>
      <c r="D72" s="253"/>
      <c r="E72" s="252"/>
      <c r="F72" s="252"/>
      <c r="G72" s="254"/>
      <c r="H72" s="255" t="s">
        <v>35</v>
      </c>
      <c r="I72" s="256">
        <f t="shared" ca="1" si="41"/>
        <v>0</v>
      </c>
      <c r="J72" s="256">
        <f t="shared" si="41"/>
        <v>0</v>
      </c>
      <c r="K72" s="59">
        <f t="shared" ca="1" si="42"/>
        <v>0</v>
      </c>
      <c r="L72" s="207"/>
      <c r="M72" s="208"/>
      <c r="N72" s="208"/>
      <c r="O72" s="208"/>
      <c r="P72" s="208"/>
      <c r="Q72" s="208"/>
      <c r="R72" s="208"/>
      <c r="S72" s="208"/>
      <c r="T72" s="208"/>
      <c r="U72" s="208"/>
    </row>
    <row r="73" spans="1:21" ht="19.5" hidden="1" x14ac:dyDescent="0.3">
      <c r="A73" s="257"/>
      <c r="B73" s="258"/>
      <c r="C73" s="259" t="s">
        <v>18</v>
      </c>
      <c r="D73" s="260" t="s">
        <v>19</v>
      </c>
      <c r="E73" s="258"/>
      <c r="F73" s="258"/>
      <c r="G73" s="261"/>
      <c r="H73" s="262" t="s">
        <v>14</v>
      </c>
      <c r="I73" s="263"/>
      <c r="J73" s="263"/>
      <c r="K73" s="87"/>
      <c r="L73" s="1257">
        <f t="shared" ref="L73:N73" ca="1" si="43">L74+L75</f>
        <v>0</v>
      </c>
      <c r="M73" s="264">
        <f t="shared" ca="1" si="43"/>
        <v>0</v>
      </c>
      <c r="N73" s="264">
        <f t="shared" ca="1" si="43"/>
        <v>0</v>
      </c>
      <c r="O73" s="264">
        <f t="shared" ref="O73:O81" ca="1" si="44">IF(L73&gt;0,N73*100/L73,0)</f>
        <v>0</v>
      </c>
      <c r="P73" s="264">
        <f t="shared" ref="P73:P81" ca="1" si="45">IF(M73&gt;0,N73*100/M73,0)</f>
        <v>0</v>
      </c>
      <c r="Q73" s="264">
        <f t="shared" ref="Q73:S73" ca="1" si="46">Q74+Q75</f>
        <v>0</v>
      </c>
      <c r="R73" s="264">
        <f t="shared" ca="1" si="46"/>
        <v>0</v>
      </c>
      <c r="S73" s="264">
        <f t="shared" ca="1" si="46"/>
        <v>0</v>
      </c>
      <c r="T73" s="264">
        <f t="shared" ref="T73:T81" ca="1" si="47">IF(Q73&gt;0,S73*100/Q73,0)</f>
        <v>0</v>
      </c>
      <c r="U73" s="264">
        <f t="shared" ref="U73:U81" ca="1" si="48">IF(R73&gt;0,S73*100/R73,0)</f>
        <v>0</v>
      </c>
    </row>
    <row r="74" spans="1:21" ht="18.75" hidden="1" x14ac:dyDescent="0.25">
      <c r="A74" s="257"/>
      <c r="B74" s="258"/>
      <c r="C74" s="258"/>
      <c r="D74" s="258"/>
      <c r="E74" s="265" t="s">
        <v>20</v>
      </c>
      <c r="F74" s="258"/>
      <c r="G74" s="261"/>
      <c r="H74" s="266" t="s">
        <v>14</v>
      </c>
      <c r="I74" s="263"/>
      <c r="J74" s="263"/>
      <c r="K74" s="87"/>
      <c r="L74" s="76">
        <f t="shared" ref="L74:N75" si="49">L77+L80</f>
        <v>0</v>
      </c>
      <c r="M74" s="77">
        <f t="shared" si="49"/>
        <v>0</v>
      </c>
      <c r="N74" s="77">
        <f t="shared" si="49"/>
        <v>0</v>
      </c>
      <c r="O74" s="77">
        <f t="shared" si="44"/>
        <v>0</v>
      </c>
      <c r="P74" s="77">
        <f t="shared" si="45"/>
        <v>0</v>
      </c>
      <c r="Q74" s="77">
        <f t="shared" ref="Q74:S75" si="50">Q77+Q80</f>
        <v>0</v>
      </c>
      <c r="R74" s="77">
        <f t="shared" si="50"/>
        <v>0</v>
      </c>
      <c r="S74" s="77">
        <f t="shared" si="50"/>
        <v>0</v>
      </c>
      <c r="T74" s="77">
        <f t="shared" si="47"/>
        <v>0</v>
      </c>
      <c r="U74" s="77">
        <f t="shared" si="48"/>
        <v>0</v>
      </c>
    </row>
    <row r="75" spans="1:21" ht="18.75" hidden="1" x14ac:dyDescent="0.25">
      <c r="A75" s="257"/>
      <c r="B75" s="258"/>
      <c r="C75" s="258"/>
      <c r="D75" s="258"/>
      <c r="E75" s="267" t="s">
        <v>21</v>
      </c>
      <c r="F75" s="258"/>
      <c r="G75" s="261"/>
      <c r="H75" s="268" t="s">
        <v>14</v>
      </c>
      <c r="I75" s="263"/>
      <c r="J75" s="263"/>
      <c r="K75" s="87"/>
      <c r="L75" s="73">
        <f t="shared" ca="1" si="49"/>
        <v>0</v>
      </c>
      <c r="M75" s="74">
        <f t="shared" ca="1" si="49"/>
        <v>0</v>
      </c>
      <c r="N75" s="74">
        <f t="shared" ca="1" si="49"/>
        <v>0</v>
      </c>
      <c r="O75" s="74">
        <f t="shared" ca="1" si="44"/>
        <v>0</v>
      </c>
      <c r="P75" s="74">
        <f t="shared" ca="1" si="45"/>
        <v>0</v>
      </c>
      <c r="Q75" s="74">
        <f t="shared" ca="1" si="50"/>
        <v>0</v>
      </c>
      <c r="R75" s="74">
        <f t="shared" ca="1" si="50"/>
        <v>0</v>
      </c>
      <c r="S75" s="74">
        <f t="shared" ca="1" si="50"/>
        <v>0</v>
      </c>
      <c r="T75" s="74">
        <f t="shared" ca="1" si="47"/>
        <v>0</v>
      </c>
      <c r="U75" s="74">
        <f t="shared" ca="1" si="48"/>
        <v>0</v>
      </c>
    </row>
    <row r="76" spans="1:21" ht="18.75" hidden="1" x14ac:dyDescent="0.25">
      <c r="A76" s="257"/>
      <c r="B76" s="269"/>
      <c r="C76" s="258"/>
      <c r="D76" s="270" t="s">
        <v>22</v>
      </c>
      <c r="E76" s="258"/>
      <c r="F76" s="258"/>
      <c r="G76" s="261"/>
      <c r="H76" s="271" t="s">
        <v>14</v>
      </c>
      <c r="I76" s="272"/>
      <c r="J76" s="272"/>
      <c r="K76" s="229"/>
      <c r="L76" s="73">
        <f t="shared" ref="L76:N76" ca="1" si="51">L77+L78</f>
        <v>0</v>
      </c>
      <c r="M76" s="74">
        <f t="shared" ca="1" si="51"/>
        <v>0</v>
      </c>
      <c r="N76" s="74">
        <f t="shared" ca="1" si="51"/>
        <v>0</v>
      </c>
      <c r="O76" s="74">
        <f t="shared" ca="1" si="44"/>
        <v>0</v>
      </c>
      <c r="P76" s="74">
        <f t="shared" ca="1" si="45"/>
        <v>0</v>
      </c>
      <c r="Q76" s="74">
        <f t="shared" ref="Q76:S76" ca="1" si="52">Q77+Q78</f>
        <v>0</v>
      </c>
      <c r="R76" s="74">
        <f t="shared" ca="1" si="52"/>
        <v>0</v>
      </c>
      <c r="S76" s="74">
        <f t="shared" ca="1" si="52"/>
        <v>0</v>
      </c>
      <c r="T76" s="74">
        <f t="shared" ca="1" si="47"/>
        <v>0</v>
      </c>
      <c r="U76" s="74">
        <f t="shared" ca="1" si="48"/>
        <v>0</v>
      </c>
    </row>
    <row r="77" spans="1:21" ht="18.75" hidden="1" x14ac:dyDescent="0.25">
      <c r="A77" s="257"/>
      <c r="B77" s="269"/>
      <c r="C77" s="269"/>
      <c r="D77" s="258"/>
      <c r="E77" s="265" t="s">
        <v>36</v>
      </c>
      <c r="F77" s="258"/>
      <c r="G77" s="261"/>
      <c r="H77" s="273" t="s">
        <v>14</v>
      </c>
      <c r="I77" s="272"/>
      <c r="J77" s="272"/>
      <c r="K77" s="229"/>
      <c r="L77" s="76">
        <v>0</v>
      </c>
      <c r="M77" s="77">
        <v>0</v>
      </c>
      <c r="N77" s="77">
        <v>0</v>
      </c>
      <c r="O77" s="77">
        <f t="shared" si="44"/>
        <v>0</v>
      </c>
      <c r="P77" s="77">
        <f t="shared" si="45"/>
        <v>0</v>
      </c>
      <c r="Q77" s="77">
        <v>0</v>
      </c>
      <c r="R77" s="77">
        <v>0</v>
      </c>
      <c r="S77" s="77">
        <v>0</v>
      </c>
      <c r="T77" s="77">
        <f t="shared" si="47"/>
        <v>0</v>
      </c>
      <c r="U77" s="77">
        <f t="shared" si="48"/>
        <v>0</v>
      </c>
    </row>
    <row r="78" spans="1:21" ht="18.75" hidden="1" x14ac:dyDescent="0.25">
      <c r="A78" s="257"/>
      <c r="B78" s="269"/>
      <c r="C78" s="269"/>
      <c r="D78" s="269"/>
      <c r="E78" s="267" t="s">
        <v>37</v>
      </c>
      <c r="F78" s="258"/>
      <c r="G78" s="261"/>
      <c r="H78" s="271" t="s">
        <v>14</v>
      </c>
      <c r="I78" s="272"/>
      <c r="J78" s="272"/>
      <c r="K78" s="229"/>
      <c r="L78" s="73">
        <f ca="1">IFERROR(__xludf.DUMMYFUNCTION("IMPORTRANGE(""https://docs.google.com/spreadsheets/d/1-uDff_7J0KD5mKrp0Vvzr7lt3OU09vwQwhkpOPPYv2Y/edit?usp=sharing"",""งบพรบ!AM60"")"),0)</f>
        <v>0</v>
      </c>
      <c r="M78" s="74">
        <f ca="1">IFERROR(__xludf.DUMMYFUNCTION("IMPORTRANGE(""https://docs.google.com/spreadsheets/d/1-uDff_7J0KD5mKrp0Vvzr7lt3OU09vwQwhkpOPPYv2Y/edit?usp=sharing"",""งบพรบ!AR60"")"),0)</f>
        <v>0</v>
      </c>
      <c r="N78" s="74">
        <f ca="1">IFERROR(__xludf.DUMMYFUNCTION("IMPORTRANGE(""https://docs.google.com/spreadsheets/d/1-uDff_7J0KD5mKrp0Vvzr7lt3OU09vwQwhkpOPPYv2Y/edit?usp=sharing"",""งบพรบ!AT60"")"),0)</f>
        <v>0</v>
      </c>
      <c r="O78" s="74">
        <f t="shared" ca="1" si="44"/>
        <v>0</v>
      </c>
      <c r="P78" s="74">
        <f t="shared" ca="1" si="45"/>
        <v>0</v>
      </c>
      <c r="Q78" s="74">
        <f ca="1">IFERROR(__xludf.DUMMYFUNCTION("IMPORTRANGE(""https://docs.google.com/spreadsheets/d/1ItG2mGa2ceCfYo0BwxsXqNm01IGEUdYcSSLTEv9YCik/edit?usp=sharing"",""เบิกจ่ายกองทุน!AS60"")"),0)</f>
        <v>0</v>
      </c>
      <c r="R78" s="74">
        <f ca="1">IFERROR(__xludf.DUMMYFUNCTION("IMPORTRANGE(""https://docs.google.com/spreadsheets/d/1ItG2mGa2ceCfYo0BwxsXqNm01IGEUdYcSSLTEv9YCik/edit?usp=sharing"",""เบิกจ่ายกองทุน!AT60"")"),0)</f>
        <v>0</v>
      </c>
      <c r="S78" s="74">
        <f ca="1">IFERROR(__xludf.DUMMYFUNCTION("IMPORTRANGE(""https://docs.google.com/spreadsheets/d/1ItG2mGa2ceCfYo0BwxsXqNm01IGEUdYcSSLTEv9YCik/edit?usp=sharing"",""เบิกจ่ายกองทุน!AU60"")"),0)</f>
        <v>0</v>
      </c>
      <c r="T78" s="74">
        <f t="shared" ca="1" si="47"/>
        <v>0</v>
      </c>
      <c r="U78" s="74">
        <f t="shared" ca="1" si="48"/>
        <v>0</v>
      </c>
    </row>
    <row r="79" spans="1:21" ht="18.75" hidden="1" x14ac:dyDescent="0.25">
      <c r="A79" s="257"/>
      <c r="B79" s="269"/>
      <c r="C79" s="269"/>
      <c r="D79" s="967" t="s">
        <v>23</v>
      </c>
      <c r="E79" s="258"/>
      <c r="F79" s="258"/>
      <c r="G79" s="261"/>
      <c r="H79" s="275" t="s">
        <v>14</v>
      </c>
      <c r="I79" s="272"/>
      <c r="J79" s="272"/>
      <c r="K79" s="229"/>
      <c r="L79" s="73">
        <f t="shared" ref="L79:N79" ca="1" si="53">L80+L81</f>
        <v>0</v>
      </c>
      <c r="M79" s="74">
        <f t="shared" ca="1" si="53"/>
        <v>0</v>
      </c>
      <c r="N79" s="74">
        <f t="shared" ca="1" si="53"/>
        <v>0</v>
      </c>
      <c r="O79" s="74">
        <f t="shared" ca="1" si="44"/>
        <v>0</v>
      </c>
      <c r="P79" s="74">
        <f t="shared" ca="1" si="45"/>
        <v>0</v>
      </c>
      <c r="Q79" s="74">
        <f t="shared" ref="Q79:S79" si="54">Q80+Q81</f>
        <v>0</v>
      </c>
      <c r="R79" s="74">
        <f t="shared" si="54"/>
        <v>0</v>
      </c>
      <c r="S79" s="74">
        <f t="shared" si="54"/>
        <v>0</v>
      </c>
      <c r="T79" s="74">
        <f t="shared" si="47"/>
        <v>0</v>
      </c>
      <c r="U79" s="74">
        <f t="shared" si="48"/>
        <v>0</v>
      </c>
    </row>
    <row r="80" spans="1:21" ht="18.75" hidden="1" x14ac:dyDescent="0.25">
      <c r="A80" s="257"/>
      <c r="B80" s="269"/>
      <c r="C80" s="269"/>
      <c r="D80" s="269"/>
      <c r="E80" s="265" t="s">
        <v>20</v>
      </c>
      <c r="F80" s="258"/>
      <c r="G80" s="261"/>
      <c r="H80" s="273" t="s">
        <v>14</v>
      </c>
      <c r="I80" s="272"/>
      <c r="J80" s="272"/>
      <c r="K80" s="229"/>
      <c r="L80" s="76">
        <v>0</v>
      </c>
      <c r="M80" s="74">
        <v>0</v>
      </c>
      <c r="N80" s="74">
        <v>0</v>
      </c>
      <c r="O80" s="77">
        <f t="shared" si="44"/>
        <v>0</v>
      </c>
      <c r="P80" s="77">
        <f t="shared" si="45"/>
        <v>0</v>
      </c>
      <c r="Q80" s="77">
        <v>0</v>
      </c>
      <c r="R80" s="74">
        <v>0</v>
      </c>
      <c r="S80" s="74">
        <v>0</v>
      </c>
      <c r="T80" s="77">
        <f t="shared" si="47"/>
        <v>0</v>
      </c>
      <c r="U80" s="77">
        <f t="shared" si="48"/>
        <v>0</v>
      </c>
    </row>
    <row r="81" spans="1:21" ht="18.75" hidden="1" x14ac:dyDescent="0.25">
      <c r="A81" s="257"/>
      <c r="B81" s="269"/>
      <c r="C81" s="269"/>
      <c r="D81" s="269"/>
      <c r="E81" s="267" t="s">
        <v>21</v>
      </c>
      <c r="F81" s="258"/>
      <c r="G81" s="261"/>
      <c r="H81" s="275" t="s">
        <v>14</v>
      </c>
      <c r="I81" s="272"/>
      <c r="J81" s="272"/>
      <c r="K81" s="229"/>
      <c r="L81" s="73">
        <f ca="1">IFERROR(__xludf.DUMMYFUNCTION("IMPORTRANGE(""https://docs.google.com/spreadsheets/d/1-uDff_7J0KD5mKrp0Vvzr7lt3OU09vwQwhkpOPPYv2Y/edit?usp=sharing"",""งบพรบ!AP60"")"),0)</f>
        <v>0</v>
      </c>
      <c r="M81" s="74">
        <f ca="1">IFERROR(__xludf.DUMMYFUNCTION("IMPORTRANGE(""https://docs.google.com/spreadsheets/d/1-uDff_7J0KD5mKrp0Vvzr7lt3OU09vwQwhkpOPPYv2Y/edit?usp=sharing"",""งบพรบ!AS60"")"),0)</f>
        <v>0</v>
      </c>
      <c r="N81" s="74">
        <f ca="1">IFERROR(__xludf.DUMMYFUNCTION("IMPORTRANGE(""https://docs.google.com/spreadsheets/d/1-uDff_7J0KD5mKrp0Vvzr7lt3OU09vwQwhkpOPPYv2Y/edit?usp=sharing"",""งบพรบ!AU60"")"),0)</f>
        <v>0</v>
      </c>
      <c r="O81" s="74">
        <f t="shared" ca="1" si="44"/>
        <v>0</v>
      </c>
      <c r="P81" s="74">
        <f t="shared" ca="1" si="45"/>
        <v>0</v>
      </c>
      <c r="Q81" s="74">
        <v>0</v>
      </c>
      <c r="R81" s="74">
        <v>0</v>
      </c>
      <c r="S81" s="74">
        <v>0</v>
      </c>
      <c r="T81" s="74">
        <f t="shared" si="47"/>
        <v>0</v>
      </c>
      <c r="U81" s="74">
        <f t="shared" si="48"/>
        <v>0</v>
      </c>
    </row>
    <row r="82" spans="1:21" ht="19.5" hidden="1" x14ac:dyDescent="0.3">
      <c r="A82" s="276"/>
      <c r="B82" s="277"/>
      <c r="C82" s="621" t="s">
        <v>18</v>
      </c>
      <c r="D82" s="968" t="s">
        <v>38</v>
      </c>
      <c r="E82" s="280"/>
      <c r="F82" s="280"/>
      <c r="G82" s="281"/>
      <c r="H82" s="282"/>
      <c r="I82" s="272"/>
      <c r="J82" s="272"/>
      <c r="K82" s="229"/>
      <c r="L82" s="228"/>
      <c r="M82" s="229"/>
      <c r="N82" s="229"/>
      <c r="O82" s="229"/>
      <c r="P82" s="229"/>
      <c r="Q82" s="229"/>
      <c r="R82" s="229"/>
      <c r="S82" s="229"/>
      <c r="T82" s="229"/>
      <c r="U82" s="229"/>
    </row>
    <row r="83" spans="1:21" ht="19.5" hidden="1" x14ac:dyDescent="0.3">
      <c r="A83" s="276"/>
      <c r="B83" s="277"/>
      <c r="C83" s="277"/>
      <c r="D83" s="1103" t="s">
        <v>39</v>
      </c>
      <c r="E83" s="296"/>
      <c r="F83" s="296"/>
      <c r="G83" s="282"/>
      <c r="H83" s="1104" t="s">
        <v>34</v>
      </c>
      <c r="I83" s="622">
        <f t="shared" ref="I83:J84" ca="1" si="55">I85+I87+I89</f>
        <v>0</v>
      </c>
      <c r="J83" s="622">
        <f t="shared" si="55"/>
        <v>0</v>
      </c>
      <c r="K83" s="1105">
        <f t="shared" ref="K83:K91" ca="1" si="56">IF(I83&gt;0,J83*100/I83,0)</f>
        <v>0</v>
      </c>
      <c r="L83" s="228"/>
      <c r="M83" s="229"/>
      <c r="N83" s="229"/>
      <c r="O83" s="229"/>
      <c r="P83" s="229"/>
      <c r="Q83" s="229"/>
      <c r="R83" s="229"/>
      <c r="S83" s="229"/>
      <c r="T83" s="229"/>
      <c r="U83" s="229"/>
    </row>
    <row r="84" spans="1:21" ht="19.5" hidden="1" x14ac:dyDescent="0.3">
      <c r="A84" s="276"/>
      <c r="B84" s="277"/>
      <c r="C84" s="277"/>
      <c r="D84" s="277"/>
      <c r="E84" s="296"/>
      <c r="F84" s="296"/>
      <c r="G84" s="282"/>
      <c r="H84" s="1104" t="s">
        <v>35</v>
      </c>
      <c r="I84" s="622">
        <f t="shared" ca="1" si="55"/>
        <v>0</v>
      </c>
      <c r="J84" s="622">
        <f t="shared" si="55"/>
        <v>0</v>
      </c>
      <c r="K84" s="1105">
        <f t="shared" ca="1" si="56"/>
        <v>0</v>
      </c>
      <c r="L84" s="228"/>
      <c r="M84" s="229"/>
      <c r="N84" s="229"/>
      <c r="O84" s="229"/>
      <c r="P84" s="229"/>
      <c r="Q84" s="229"/>
      <c r="R84" s="229"/>
      <c r="S84" s="229"/>
      <c r="T84" s="229"/>
      <c r="U84" s="229"/>
    </row>
    <row r="85" spans="1:21" ht="18.75" hidden="1" x14ac:dyDescent="0.25">
      <c r="A85" s="276"/>
      <c r="B85" s="277"/>
      <c r="C85" s="277"/>
      <c r="D85" s="277"/>
      <c r="E85" s="295" t="s">
        <v>40</v>
      </c>
      <c r="F85" s="296"/>
      <c r="G85" s="282"/>
      <c r="H85" s="299" t="s">
        <v>34</v>
      </c>
      <c r="I85" s="298">
        <f ca="1">IFERROR(__xludf.DUMMYFUNCTION("IMPORTRANGE(""https://docs.google.com/spreadsheets/d/1eHaY18a8A9IcSdp1K8H6x8fbOy06t2VsZHhMHf-1x7Y/edit?usp=sharing"",""แผน!H60"")"),0)</f>
        <v>0</v>
      </c>
      <c r="J85" s="294">
        <v>0</v>
      </c>
      <c r="K85" s="768">
        <f t="shared" ca="1" si="56"/>
        <v>0</v>
      </c>
      <c r="L85" s="228"/>
      <c r="M85" s="229"/>
      <c r="N85" s="229"/>
      <c r="O85" s="229"/>
      <c r="P85" s="229"/>
      <c r="Q85" s="229"/>
      <c r="R85" s="229"/>
      <c r="S85" s="229"/>
      <c r="T85" s="229"/>
      <c r="U85" s="229"/>
    </row>
    <row r="86" spans="1:21" ht="18.75" hidden="1" x14ac:dyDescent="0.25">
      <c r="A86" s="276"/>
      <c r="B86" s="277"/>
      <c r="C86" s="277"/>
      <c r="D86" s="277"/>
      <c r="E86" s="296"/>
      <c r="F86" s="296"/>
      <c r="G86" s="282"/>
      <c r="H86" s="299" t="s">
        <v>35</v>
      </c>
      <c r="I86" s="298">
        <f ca="1">IFERROR(__xludf.DUMMYFUNCTION("IMPORTRANGE(""https://docs.google.com/spreadsheets/d/1eHaY18a8A9IcSdp1K8H6x8fbOy06t2VsZHhMHf-1x7Y/edit?usp=sharing"",""แผน!I60"")"),0)</f>
        <v>0</v>
      </c>
      <c r="J86" s="294">
        <v>0</v>
      </c>
      <c r="K86" s="768">
        <f t="shared" ca="1" si="56"/>
        <v>0</v>
      </c>
      <c r="L86" s="228"/>
      <c r="M86" s="229"/>
      <c r="N86" s="229"/>
      <c r="O86" s="229"/>
      <c r="P86" s="229"/>
      <c r="Q86" s="229"/>
      <c r="R86" s="229"/>
      <c r="S86" s="229"/>
      <c r="T86" s="229"/>
      <c r="U86" s="229"/>
    </row>
    <row r="87" spans="1:21" ht="18.75" hidden="1" x14ac:dyDescent="0.25">
      <c r="A87" s="276"/>
      <c r="B87" s="277"/>
      <c r="C87" s="277"/>
      <c r="D87" s="277"/>
      <c r="E87" s="295" t="s">
        <v>41</v>
      </c>
      <c r="F87" s="296"/>
      <c r="G87" s="282"/>
      <c r="H87" s="299" t="s">
        <v>34</v>
      </c>
      <c r="I87" s="298">
        <f ca="1">IFERROR(__xludf.DUMMYFUNCTION("IMPORTRANGE(""https://docs.google.com/spreadsheets/d/1eHaY18a8A9IcSdp1K8H6x8fbOy06t2VsZHhMHf-1x7Y/edit?usp=sharing"",""แผน!F60"")"),0)</f>
        <v>0</v>
      </c>
      <c r="J87" s="294">
        <v>0</v>
      </c>
      <c r="K87" s="768">
        <f t="shared" ca="1" si="56"/>
        <v>0</v>
      </c>
      <c r="L87" s="228"/>
      <c r="M87" s="229"/>
      <c r="N87" s="229"/>
      <c r="O87" s="229"/>
      <c r="P87" s="229"/>
      <c r="Q87" s="229"/>
      <c r="R87" s="229"/>
      <c r="S87" s="229"/>
      <c r="T87" s="229"/>
      <c r="U87" s="229"/>
    </row>
    <row r="88" spans="1:21" ht="18.75" hidden="1" x14ac:dyDescent="0.25">
      <c r="A88" s="276"/>
      <c r="B88" s="277"/>
      <c r="C88" s="277"/>
      <c r="D88" s="277"/>
      <c r="E88" s="296"/>
      <c r="F88" s="296"/>
      <c r="G88" s="282"/>
      <c r="H88" s="299" t="s">
        <v>35</v>
      </c>
      <c r="I88" s="298">
        <f ca="1">IFERROR(__xludf.DUMMYFUNCTION("IMPORTRANGE(""https://docs.google.com/spreadsheets/d/1eHaY18a8A9IcSdp1K8H6x8fbOy06t2VsZHhMHf-1x7Y/edit?usp=sharing"",""แผน!G60"")"),0)</f>
        <v>0</v>
      </c>
      <c r="J88" s="294">
        <v>0</v>
      </c>
      <c r="K88" s="768">
        <f t="shared" ca="1" si="56"/>
        <v>0</v>
      </c>
      <c r="L88" s="228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1:21" ht="18.75" hidden="1" x14ac:dyDescent="0.25">
      <c r="A89" s="276"/>
      <c r="B89" s="277"/>
      <c r="C89" s="277"/>
      <c r="D89" s="277"/>
      <c r="E89" s="295" t="s">
        <v>42</v>
      </c>
      <c r="F89" s="296"/>
      <c r="G89" s="282"/>
      <c r="H89" s="275" t="s">
        <v>34</v>
      </c>
      <c r="I89" s="298">
        <f ca="1">IFERROR(__xludf.DUMMYFUNCTION("IMPORTRANGE(""https://docs.google.com/spreadsheets/d/1eHaY18a8A9IcSdp1K8H6x8fbOy06t2VsZHhMHf-1x7Y/edit?usp=sharing"",""แผน!D60"")"),0)</f>
        <v>0</v>
      </c>
      <c r="J89" s="294">
        <v>0</v>
      </c>
      <c r="K89" s="768">
        <f t="shared" ca="1" si="56"/>
        <v>0</v>
      </c>
      <c r="L89" s="228"/>
      <c r="M89" s="229"/>
      <c r="N89" s="229"/>
      <c r="O89" s="229"/>
      <c r="P89" s="229"/>
      <c r="Q89" s="229"/>
      <c r="R89" s="229"/>
      <c r="S89" s="229"/>
      <c r="T89" s="229"/>
      <c r="U89" s="229"/>
    </row>
    <row r="90" spans="1:21" ht="18.75" hidden="1" x14ac:dyDescent="0.25">
      <c r="A90" s="276"/>
      <c r="B90" s="277"/>
      <c r="C90" s="277"/>
      <c r="D90" s="277"/>
      <c r="E90" s="296"/>
      <c r="F90" s="296"/>
      <c r="G90" s="282"/>
      <c r="H90" s="275" t="s">
        <v>35</v>
      </c>
      <c r="I90" s="298">
        <f ca="1">IFERROR(__xludf.DUMMYFUNCTION("IMPORTRANGE(""https://docs.google.com/spreadsheets/d/1eHaY18a8A9IcSdp1K8H6x8fbOy06t2VsZHhMHf-1x7Y/edit?usp=sharing"",""แผน!E60"")"),0)</f>
        <v>0</v>
      </c>
      <c r="J90" s="294">
        <v>0</v>
      </c>
      <c r="K90" s="768">
        <f t="shared" ca="1" si="56"/>
        <v>0</v>
      </c>
      <c r="L90" s="228"/>
      <c r="M90" s="229"/>
      <c r="N90" s="229"/>
      <c r="O90" s="229"/>
      <c r="P90" s="229"/>
      <c r="Q90" s="229"/>
      <c r="R90" s="229"/>
      <c r="S90" s="229"/>
      <c r="T90" s="229"/>
      <c r="U90" s="229"/>
    </row>
    <row r="91" spans="1:21" ht="18.75" hidden="1" x14ac:dyDescent="0.25">
      <c r="A91" s="276"/>
      <c r="B91" s="277"/>
      <c r="C91" s="277"/>
      <c r="D91" s="767" t="s">
        <v>43</v>
      </c>
      <c r="E91" s="296"/>
      <c r="F91" s="296"/>
      <c r="G91" s="282"/>
      <c r="H91" s="271" t="s">
        <v>34</v>
      </c>
      <c r="I91" s="298">
        <f ca="1">IFERROR(__xludf.DUMMYFUNCTION("IMPORTRANGE(""https://docs.google.com/spreadsheets/d/1eHaY18a8A9IcSdp1K8H6x8fbOy06t2VsZHhMHf-1x7Y/edit?usp=sharing"",""แผน!J60"")"),0)</f>
        <v>0</v>
      </c>
      <c r="J91" s="294">
        <v>0</v>
      </c>
      <c r="K91" s="768">
        <f t="shared" ca="1" si="56"/>
        <v>0</v>
      </c>
      <c r="L91" s="228"/>
      <c r="M91" s="229"/>
      <c r="N91" s="229"/>
      <c r="O91" s="229"/>
      <c r="P91" s="229"/>
      <c r="Q91" s="229"/>
      <c r="R91" s="229"/>
      <c r="S91" s="229"/>
      <c r="T91" s="229"/>
      <c r="U91" s="229"/>
    </row>
    <row r="92" spans="1:21" ht="19.5" hidden="1" x14ac:dyDescent="0.3">
      <c r="A92" s="1099" t="s">
        <v>44</v>
      </c>
      <c r="B92" s="691"/>
      <c r="C92" s="693"/>
      <c r="D92" s="691"/>
      <c r="E92" s="691"/>
      <c r="F92" s="691"/>
      <c r="G92" s="1100"/>
      <c r="H92" s="1101"/>
      <c r="I92" s="1102"/>
      <c r="J92" s="1102"/>
      <c r="K92" s="200"/>
      <c r="L92" s="199"/>
      <c r="M92" s="200"/>
      <c r="N92" s="200"/>
      <c r="O92" s="200"/>
      <c r="P92" s="200"/>
      <c r="Q92" s="200"/>
      <c r="R92" s="200"/>
      <c r="S92" s="200"/>
      <c r="T92" s="200"/>
      <c r="U92" s="200"/>
    </row>
    <row r="93" spans="1:21" ht="19.5" hidden="1" x14ac:dyDescent="0.3">
      <c r="A93" s="250"/>
      <c r="B93" s="251" t="s">
        <v>45</v>
      </c>
      <c r="C93" s="252"/>
      <c r="D93" s="253"/>
      <c r="E93" s="252"/>
      <c r="F93" s="252"/>
      <c r="G93" s="254"/>
      <c r="H93" s="255" t="s">
        <v>46</v>
      </c>
      <c r="I93" s="256">
        <f t="shared" ref="I93:J94" ca="1" si="57">I109</f>
        <v>0</v>
      </c>
      <c r="J93" s="256">
        <f t="shared" si="57"/>
        <v>0</v>
      </c>
      <c r="K93" s="59">
        <f t="shared" ref="K93:K94" ca="1" si="58">IF(I93&gt;0,J93*100/I93,0)</f>
        <v>0</v>
      </c>
      <c r="L93" s="207"/>
      <c r="M93" s="208"/>
      <c r="N93" s="208"/>
      <c r="O93" s="208"/>
      <c r="P93" s="208"/>
      <c r="Q93" s="208"/>
      <c r="R93" s="208"/>
      <c r="S93" s="208"/>
      <c r="T93" s="208"/>
      <c r="U93" s="208"/>
    </row>
    <row r="94" spans="1:21" ht="19.5" hidden="1" x14ac:dyDescent="0.3">
      <c r="A94" s="250"/>
      <c r="B94" s="252"/>
      <c r="C94" s="252"/>
      <c r="D94" s="253"/>
      <c r="E94" s="252"/>
      <c r="F94" s="252"/>
      <c r="G94" s="254"/>
      <c r="H94" s="255" t="s">
        <v>35</v>
      </c>
      <c r="I94" s="256">
        <f t="shared" ca="1" si="57"/>
        <v>0</v>
      </c>
      <c r="J94" s="256">
        <f t="shared" si="57"/>
        <v>0</v>
      </c>
      <c r="K94" s="59">
        <f t="shared" ca="1" si="58"/>
        <v>0</v>
      </c>
      <c r="L94" s="207"/>
      <c r="M94" s="208"/>
      <c r="N94" s="208"/>
      <c r="O94" s="208"/>
      <c r="P94" s="208"/>
      <c r="Q94" s="208"/>
      <c r="R94" s="208"/>
      <c r="S94" s="208"/>
      <c r="T94" s="208"/>
      <c r="U94" s="208"/>
    </row>
    <row r="95" spans="1:21" ht="19.5" hidden="1" x14ac:dyDescent="0.3">
      <c r="A95" s="257"/>
      <c r="B95" s="258"/>
      <c r="C95" s="259" t="s">
        <v>18</v>
      </c>
      <c r="D95" s="260" t="s">
        <v>19</v>
      </c>
      <c r="E95" s="258"/>
      <c r="F95" s="258"/>
      <c r="G95" s="261"/>
      <c r="H95" s="262" t="s">
        <v>14</v>
      </c>
      <c r="I95" s="263"/>
      <c r="J95" s="263"/>
      <c r="K95" s="87"/>
      <c r="L95" s="1257">
        <f t="shared" ref="L95:N95" ca="1" si="59">L96+L97</f>
        <v>0</v>
      </c>
      <c r="M95" s="264">
        <f t="shared" ca="1" si="59"/>
        <v>0</v>
      </c>
      <c r="N95" s="264">
        <f t="shared" ca="1" si="59"/>
        <v>0</v>
      </c>
      <c r="O95" s="264">
        <f t="shared" ref="O95:O103" ca="1" si="60">IF(L95&gt;0,N95*100/L95,0)</f>
        <v>0</v>
      </c>
      <c r="P95" s="264">
        <f t="shared" ref="P95:P103" ca="1" si="61">IF(M95&gt;0,N95*100/M95,0)</f>
        <v>0</v>
      </c>
      <c r="Q95" s="264">
        <f t="shared" ref="Q95:S95" ca="1" si="62">Q96+Q97</f>
        <v>0</v>
      </c>
      <c r="R95" s="264">
        <f t="shared" ca="1" si="62"/>
        <v>0</v>
      </c>
      <c r="S95" s="264">
        <f t="shared" ca="1" si="62"/>
        <v>0</v>
      </c>
      <c r="T95" s="264">
        <f t="shared" ref="T95:T103" ca="1" si="63">IF(Q95&gt;0,S95*100/Q95,0)</f>
        <v>0</v>
      </c>
      <c r="U95" s="264">
        <f t="shared" ref="U95:U103" ca="1" si="64">IF(R95&gt;0,S95*100/R95,0)</f>
        <v>0</v>
      </c>
    </row>
    <row r="96" spans="1:21" ht="18.75" hidden="1" x14ac:dyDescent="0.25">
      <c r="A96" s="257"/>
      <c r="B96" s="258"/>
      <c r="C96" s="258"/>
      <c r="D96" s="258"/>
      <c r="E96" s="265" t="s">
        <v>20</v>
      </c>
      <c r="F96" s="258"/>
      <c r="G96" s="261"/>
      <c r="H96" s="266" t="s">
        <v>14</v>
      </c>
      <c r="I96" s="263"/>
      <c r="J96" s="263"/>
      <c r="K96" s="87"/>
      <c r="L96" s="76">
        <f t="shared" ref="L96:N97" si="65">L99+L102</f>
        <v>0</v>
      </c>
      <c r="M96" s="77">
        <f t="shared" si="65"/>
        <v>0</v>
      </c>
      <c r="N96" s="77">
        <f t="shared" si="65"/>
        <v>0</v>
      </c>
      <c r="O96" s="77">
        <f t="shared" si="60"/>
        <v>0</v>
      </c>
      <c r="P96" s="77">
        <f t="shared" si="61"/>
        <v>0</v>
      </c>
      <c r="Q96" s="77">
        <f t="shared" ref="Q96:S97" si="66">Q99+Q102</f>
        <v>0</v>
      </c>
      <c r="R96" s="77">
        <f t="shared" si="66"/>
        <v>0</v>
      </c>
      <c r="S96" s="77">
        <f t="shared" si="66"/>
        <v>0</v>
      </c>
      <c r="T96" s="77">
        <f t="shared" si="63"/>
        <v>0</v>
      </c>
      <c r="U96" s="77">
        <f t="shared" si="64"/>
        <v>0</v>
      </c>
    </row>
    <row r="97" spans="1:21" ht="18.75" hidden="1" x14ac:dyDescent="0.25">
      <c r="A97" s="257"/>
      <c r="B97" s="258"/>
      <c r="C97" s="258"/>
      <c r="D97" s="258"/>
      <c r="E97" s="267" t="s">
        <v>21</v>
      </c>
      <c r="F97" s="258"/>
      <c r="G97" s="261"/>
      <c r="H97" s="268" t="s">
        <v>14</v>
      </c>
      <c r="I97" s="263"/>
      <c r="J97" s="263"/>
      <c r="K97" s="87"/>
      <c r="L97" s="73">
        <f t="shared" ca="1" si="65"/>
        <v>0</v>
      </c>
      <c r="M97" s="74">
        <f t="shared" ca="1" si="65"/>
        <v>0</v>
      </c>
      <c r="N97" s="74">
        <f t="shared" ca="1" si="65"/>
        <v>0</v>
      </c>
      <c r="O97" s="74">
        <f t="shared" ca="1" si="60"/>
        <v>0</v>
      </c>
      <c r="P97" s="74">
        <f t="shared" ca="1" si="61"/>
        <v>0</v>
      </c>
      <c r="Q97" s="74">
        <f t="shared" ca="1" si="66"/>
        <v>0</v>
      </c>
      <c r="R97" s="74">
        <f t="shared" ca="1" si="66"/>
        <v>0</v>
      </c>
      <c r="S97" s="74">
        <f t="shared" ca="1" si="66"/>
        <v>0</v>
      </c>
      <c r="T97" s="74">
        <f t="shared" ca="1" si="63"/>
        <v>0</v>
      </c>
      <c r="U97" s="74">
        <f t="shared" ca="1" si="64"/>
        <v>0</v>
      </c>
    </row>
    <row r="98" spans="1:21" ht="18.75" hidden="1" x14ac:dyDescent="0.25">
      <c r="A98" s="257"/>
      <c r="B98" s="269"/>
      <c r="C98" s="258"/>
      <c r="D98" s="270" t="s">
        <v>22</v>
      </c>
      <c r="E98" s="258"/>
      <c r="F98" s="258"/>
      <c r="G98" s="261"/>
      <c r="H98" s="271" t="s">
        <v>14</v>
      </c>
      <c r="I98" s="272"/>
      <c r="J98" s="272"/>
      <c r="K98" s="229"/>
      <c r="L98" s="73">
        <f t="shared" ref="L98:N98" ca="1" si="67">L99+L100</f>
        <v>0</v>
      </c>
      <c r="M98" s="74">
        <f t="shared" ca="1" si="67"/>
        <v>0</v>
      </c>
      <c r="N98" s="74">
        <f t="shared" ca="1" si="67"/>
        <v>0</v>
      </c>
      <c r="O98" s="74">
        <f t="shared" ca="1" si="60"/>
        <v>0</v>
      </c>
      <c r="P98" s="74">
        <f t="shared" ca="1" si="61"/>
        <v>0</v>
      </c>
      <c r="Q98" s="74">
        <f t="shared" ref="Q98:S98" ca="1" si="68">Q99+Q100</f>
        <v>0</v>
      </c>
      <c r="R98" s="74">
        <f t="shared" ca="1" si="68"/>
        <v>0</v>
      </c>
      <c r="S98" s="74">
        <f t="shared" ca="1" si="68"/>
        <v>0</v>
      </c>
      <c r="T98" s="74">
        <f t="shared" ca="1" si="63"/>
        <v>0</v>
      </c>
      <c r="U98" s="74">
        <f t="shared" ca="1" si="64"/>
        <v>0</v>
      </c>
    </row>
    <row r="99" spans="1:21" ht="18.75" hidden="1" x14ac:dyDescent="0.25">
      <c r="A99" s="257"/>
      <c r="B99" s="269"/>
      <c r="C99" s="269"/>
      <c r="D99" s="258"/>
      <c r="E99" s="265" t="s">
        <v>36</v>
      </c>
      <c r="F99" s="258"/>
      <c r="G99" s="261"/>
      <c r="H99" s="273" t="s">
        <v>14</v>
      </c>
      <c r="I99" s="272"/>
      <c r="J99" s="272"/>
      <c r="K99" s="229"/>
      <c r="L99" s="76">
        <v>0</v>
      </c>
      <c r="M99" s="77">
        <v>0</v>
      </c>
      <c r="N99" s="77">
        <v>0</v>
      </c>
      <c r="O99" s="77">
        <f t="shared" si="60"/>
        <v>0</v>
      </c>
      <c r="P99" s="77">
        <f t="shared" si="61"/>
        <v>0</v>
      </c>
      <c r="Q99" s="77">
        <v>0</v>
      </c>
      <c r="R99" s="77">
        <v>0</v>
      </c>
      <c r="S99" s="77">
        <v>0</v>
      </c>
      <c r="T99" s="77">
        <f t="shared" si="63"/>
        <v>0</v>
      </c>
      <c r="U99" s="77">
        <f t="shared" si="64"/>
        <v>0</v>
      </c>
    </row>
    <row r="100" spans="1:21" ht="18.75" hidden="1" x14ac:dyDescent="0.25">
      <c r="A100" s="257"/>
      <c r="B100" s="269"/>
      <c r="C100" s="269"/>
      <c r="D100" s="258"/>
      <c r="E100" s="267" t="s">
        <v>37</v>
      </c>
      <c r="F100" s="258"/>
      <c r="G100" s="261"/>
      <c r="H100" s="271" t="s">
        <v>14</v>
      </c>
      <c r="I100" s="272"/>
      <c r="J100" s="272"/>
      <c r="K100" s="229"/>
      <c r="L100" s="73">
        <f ca="1">IFERROR(__xludf.DUMMYFUNCTION("IMPORTRANGE(""https://docs.google.com/spreadsheets/d/1-uDff_7J0KD5mKrp0Vvzr7lt3OU09vwQwhkpOPPYv2Y/edit?usp=sharing"",""งบพรบ!AW60"")"),0)</f>
        <v>0</v>
      </c>
      <c r="M100" s="74">
        <f ca="1">IFERROR(__xludf.DUMMYFUNCTION("IMPORTRANGE(""https://docs.google.com/spreadsheets/d/1-uDff_7J0KD5mKrp0Vvzr7lt3OU09vwQwhkpOPPYv2Y/edit?usp=sharing"",""งบพรบ!BB60"")"),0)</f>
        <v>0</v>
      </c>
      <c r="N100" s="74">
        <f ca="1">IFERROR(__xludf.DUMMYFUNCTION("IMPORTRANGE(""https://docs.google.com/spreadsheets/d/1-uDff_7J0KD5mKrp0Vvzr7lt3OU09vwQwhkpOPPYv2Y/edit?usp=sharing"",""งบพรบ!BD60"")"),0)</f>
        <v>0</v>
      </c>
      <c r="O100" s="74">
        <f t="shared" ca="1" si="60"/>
        <v>0</v>
      </c>
      <c r="P100" s="74">
        <f t="shared" ca="1" si="61"/>
        <v>0</v>
      </c>
      <c r="Q100" s="74">
        <f ca="1">IFERROR(__xludf.DUMMYFUNCTION("IMPORTRANGE(""https://docs.google.com/spreadsheets/d/1ItG2mGa2ceCfYo0BwxsXqNm01IGEUdYcSSLTEv9YCik/edit?usp=sharing"",""เบิกจ่ายกองทุน!AD60"")"),0)</f>
        <v>0</v>
      </c>
      <c r="R100" s="74">
        <f ca="1">IFERROR(__xludf.DUMMYFUNCTION("IMPORTRANGE(""https://docs.google.com/spreadsheets/d/1ItG2mGa2ceCfYo0BwxsXqNm01IGEUdYcSSLTEv9YCik/edit?usp=sharing"",""เบิกจ่ายกองทุน!AE60"")"),0)</f>
        <v>0</v>
      </c>
      <c r="S100" s="74">
        <f ca="1">IFERROR(__xludf.DUMMYFUNCTION("IMPORTRANGE(""https://docs.google.com/spreadsheets/d/1ItG2mGa2ceCfYo0BwxsXqNm01IGEUdYcSSLTEv9YCik/edit?usp=sharing"",""เบิกจ่ายกองทุน!AF60"")"),0)</f>
        <v>0</v>
      </c>
      <c r="T100" s="74">
        <f t="shared" ca="1" si="63"/>
        <v>0</v>
      </c>
      <c r="U100" s="74">
        <f t="shared" ca="1" si="64"/>
        <v>0</v>
      </c>
    </row>
    <row r="101" spans="1:21" ht="18.75" hidden="1" x14ac:dyDescent="0.25">
      <c r="A101" s="257"/>
      <c r="B101" s="269"/>
      <c r="C101" s="269"/>
      <c r="D101" s="967" t="s">
        <v>23</v>
      </c>
      <c r="E101" s="258"/>
      <c r="F101" s="258"/>
      <c r="G101" s="261"/>
      <c r="H101" s="275" t="s">
        <v>14</v>
      </c>
      <c r="I101" s="272"/>
      <c r="J101" s="272"/>
      <c r="K101" s="229"/>
      <c r="L101" s="73">
        <f t="shared" ref="L101:N101" ca="1" si="69">L102+L103</f>
        <v>0</v>
      </c>
      <c r="M101" s="74">
        <f t="shared" ca="1" si="69"/>
        <v>0</v>
      </c>
      <c r="N101" s="74">
        <f t="shared" ca="1" si="69"/>
        <v>0</v>
      </c>
      <c r="O101" s="74">
        <f t="shared" ca="1" si="60"/>
        <v>0</v>
      </c>
      <c r="P101" s="74">
        <f t="shared" ca="1" si="61"/>
        <v>0</v>
      </c>
      <c r="Q101" s="74">
        <f t="shared" ref="Q101:S101" si="70">Q102+Q103</f>
        <v>0</v>
      </c>
      <c r="R101" s="74">
        <f t="shared" si="70"/>
        <v>0</v>
      </c>
      <c r="S101" s="74">
        <f t="shared" si="70"/>
        <v>0</v>
      </c>
      <c r="T101" s="74">
        <f t="shared" si="63"/>
        <v>0</v>
      </c>
      <c r="U101" s="74">
        <f t="shared" si="64"/>
        <v>0</v>
      </c>
    </row>
    <row r="102" spans="1:21" ht="18.75" hidden="1" x14ac:dyDescent="0.25">
      <c r="A102" s="257"/>
      <c r="B102" s="269"/>
      <c r="C102" s="269"/>
      <c r="D102" s="258"/>
      <c r="E102" s="265" t="s">
        <v>20</v>
      </c>
      <c r="F102" s="258"/>
      <c r="G102" s="261"/>
      <c r="H102" s="273" t="s">
        <v>14</v>
      </c>
      <c r="I102" s="272"/>
      <c r="J102" s="272"/>
      <c r="K102" s="229"/>
      <c r="L102" s="76">
        <v>0</v>
      </c>
      <c r="M102" s="77">
        <v>0</v>
      </c>
      <c r="N102" s="77">
        <v>0</v>
      </c>
      <c r="O102" s="77">
        <f t="shared" si="60"/>
        <v>0</v>
      </c>
      <c r="P102" s="77">
        <f t="shared" si="61"/>
        <v>0</v>
      </c>
      <c r="Q102" s="77">
        <v>0</v>
      </c>
      <c r="R102" s="77">
        <v>0</v>
      </c>
      <c r="S102" s="77">
        <v>0</v>
      </c>
      <c r="T102" s="77">
        <f t="shared" si="63"/>
        <v>0</v>
      </c>
      <c r="U102" s="77">
        <f t="shared" si="64"/>
        <v>0</v>
      </c>
    </row>
    <row r="103" spans="1:21" ht="18.75" hidden="1" x14ac:dyDescent="0.25">
      <c r="A103" s="257"/>
      <c r="B103" s="269"/>
      <c r="C103" s="269"/>
      <c r="D103" s="258"/>
      <c r="E103" s="267" t="s">
        <v>21</v>
      </c>
      <c r="F103" s="258"/>
      <c r="G103" s="261"/>
      <c r="H103" s="275" t="s">
        <v>14</v>
      </c>
      <c r="I103" s="272"/>
      <c r="J103" s="272"/>
      <c r="K103" s="229"/>
      <c r="L103" s="73">
        <f ca="1">IFERROR(__xludf.DUMMYFUNCTION("IMPORTRANGE(""https://docs.google.com/spreadsheets/d/1-uDff_7J0KD5mKrp0Vvzr7lt3OU09vwQwhkpOPPYv2Y/edit?usp=sharing"",""งบพรบ!AZ60"")"),0)</f>
        <v>0</v>
      </c>
      <c r="M103" s="74">
        <f ca="1">IFERROR(__xludf.DUMMYFUNCTION("IMPORTRANGE(""https://docs.google.com/spreadsheets/d/1-uDff_7J0KD5mKrp0Vvzr7lt3OU09vwQwhkpOPPYv2Y/edit?usp=sharing"",""งบพรบ!BC60"")"),0)</f>
        <v>0</v>
      </c>
      <c r="N103" s="74">
        <f ca="1">IFERROR(__xludf.DUMMYFUNCTION("IMPORTRANGE(""https://docs.google.com/spreadsheets/d/1-uDff_7J0KD5mKrp0Vvzr7lt3OU09vwQwhkpOPPYv2Y/edit?usp=sharing"",""งบพรบ!BE60"")"),0)</f>
        <v>0</v>
      </c>
      <c r="O103" s="74">
        <f t="shared" ca="1" si="60"/>
        <v>0</v>
      </c>
      <c r="P103" s="74">
        <f t="shared" ca="1" si="61"/>
        <v>0</v>
      </c>
      <c r="Q103" s="74">
        <v>0</v>
      </c>
      <c r="R103" s="74">
        <v>0</v>
      </c>
      <c r="S103" s="74">
        <v>0</v>
      </c>
      <c r="T103" s="74">
        <f t="shared" si="63"/>
        <v>0</v>
      </c>
      <c r="U103" s="74">
        <f t="shared" si="64"/>
        <v>0</v>
      </c>
    </row>
    <row r="104" spans="1:21" ht="19.5" hidden="1" x14ac:dyDescent="0.3">
      <c r="A104" s="276"/>
      <c r="B104" s="277"/>
      <c r="C104" s="621" t="s">
        <v>18</v>
      </c>
      <c r="D104" s="1019" t="s">
        <v>38</v>
      </c>
      <c r="E104" s="280"/>
      <c r="F104" s="280"/>
      <c r="G104" s="281"/>
      <c r="H104" s="282"/>
      <c r="I104" s="272"/>
      <c r="J104" s="263"/>
      <c r="K104" s="87"/>
      <c r="L104" s="86"/>
      <c r="M104" s="87"/>
      <c r="N104" s="87"/>
      <c r="O104" s="229"/>
      <c r="P104" s="229"/>
      <c r="Q104" s="87"/>
      <c r="R104" s="87"/>
      <c r="S104" s="87"/>
      <c r="T104" s="229"/>
      <c r="U104" s="229"/>
    </row>
    <row r="105" spans="1:21" ht="12.75" hidden="1" x14ac:dyDescent="0.2">
      <c r="A105" s="283"/>
      <c r="B105" s="284"/>
      <c r="C105" s="284"/>
      <c r="D105" s="285"/>
      <c r="E105" s="285"/>
      <c r="F105" s="285"/>
      <c r="G105" s="286"/>
      <c r="H105" s="286"/>
      <c r="I105" s="287"/>
      <c r="J105" s="287"/>
      <c r="K105" s="30"/>
      <c r="L105" s="29"/>
      <c r="M105" s="30"/>
      <c r="N105" s="30"/>
      <c r="O105" s="30"/>
      <c r="P105" s="30"/>
      <c r="Q105" s="30"/>
      <c r="R105" s="30"/>
      <c r="S105" s="30"/>
      <c r="T105" s="30"/>
      <c r="U105" s="30"/>
    </row>
    <row r="106" spans="1:21" ht="12.75" hidden="1" x14ac:dyDescent="0.2">
      <c r="A106" s="283"/>
      <c r="B106" s="284"/>
      <c r="C106" s="284"/>
      <c r="D106" s="285"/>
      <c r="E106" s="285"/>
      <c r="F106" s="285"/>
      <c r="G106" s="286"/>
      <c r="H106" s="286"/>
      <c r="I106" s="287"/>
      <c r="J106" s="287"/>
      <c r="K106" s="30"/>
      <c r="L106" s="29"/>
      <c r="M106" s="30"/>
      <c r="N106" s="30"/>
      <c r="O106" s="30"/>
      <c r="P106" s="30"/>
      <c r="Q106" s="30"/>
      <c r="R106" s="30"/>
      <c r="S106" s="30"/>
      <c r="T106" s="30"/>
      <c r="U106" s="30"/>
    </row>
    <row r="107" spans="1:21" ht="12.75" hidden="1" x14ac:dyDescent="0.2">
      <c r="A107" s="283"/>
      <c r="B107" s="284"/>
      <c r="C107" s="284"/>
      <c r="D107" s="284"/>
      <c r="E107" s="285"/>
      <c r="F107" s="285"/>
      <c r="G107" s="286"/>
      <c r="H107" s="286"/>
      <c r="I107" s="287"/>
      <c r="J107" s="287"/>
      <c r="K107" s="30"/>
      <c r="L107" s="29"/>
      <c r="M107" s="30"/>
      <c r="N107" s="30"/>
      <c r="O107" s="30"/>
      <c r="P107" s="30"/>
      <c r="Q107" s="30"/>
      <c r="R107" s="30"/>
      <c r="S107" s="30"/>
      <c r="T107" s="30"/>
      <c r="U107" s="30"/>
    </row>
    <row r="108" spans="1:21" ht="19.5" hidden="1" x14ac:dyDescent="0.3">
      <c r="A108" s="276"/>
      <c r="B108" s="277"/>
      <c r="C108" s="277"/>
      <c r="D108" s="288" t="s">
        <v>47</v>
      </c>
      <c r="E108" s="289"/>
      <c r="F108" s="296"/>
      <c r="G108" s="282"/>
      <c r="H108" s="261"/>
      <c r="I108" s="263"/>
      <c r="J108" s="263"/>
      <c r="K108" s="87"/>
      <c r="L108" s="86"/>
      <c r="M108" s="87"/>
      <c r="N108" s="87"/>
      <c r="O108" s="229"/>
      <c r="P108" s="229"/>
      <c r="Q108" s="87"/>
      <c r="R108" s="87"/>
      <c r="S108" s="87"/>
      <c r="T108" s="229"/>
      <c r="U108" s="229"/>
    </row>
    <row r="109" spans="1:21" ht="18.75" hidden="1" x14ac:dyDescent="0.25">
      <c r="A109" s="276"/>
      <c r="B109" s="277"/>
      <c r="C109" s="277"/>
      <c r="D109" s="295" t="s">
        <v>48</v>
      </c>
      <c r="E109" s="296"/>
      <c r="F109" s="296"/>
      <c r="G109" s="282"/>
      <c r="H109" s="292" t="s">
        <v>46</v>
      </c>
      <c r="I109" s="293">
        <f ca="1">IFERROR(__xludf.DUMMYFUNCTION("IMPORTRANGE(""https://docs.google.com/spreadsheets/d/1eHaY18a8A9IcSdp1K8H6x8fbOy06t2VsZHhMHf-1x7Y/edit?usp=sharing"",""แผน!N60"")"),0)</f>
        <v>0</v>
      </c>
      <c r="J109" s="294">
        <v>0</v>
      </c>
      <c r="K109" s="74">
        <f t="shared" ref="K109:K110" ca="1" si="71">IF(I109&gt;0,J109*100/I109,0)</f>
        <v>0</v>
      </c>
      <c r="L109" s="86"/>
      <c r="M109" s="87"/>
      <c r="N109" s="87"/>
      <c r="O109" s="229"/>
      <c r="P109" s="229"/>
      <c r="Q109" s="87"/>
      <c r="R109" s="87"/>
      <c r="S109" s="87"/>
      <c r="T109" s="229"/>
      <c r="U109" s="229"/>
    </row>
    <row r="110" spans="1:21" ht="18.75" hidden="1" x14ac:dyDescent="0.25">
      <c r="A110" s="276"/>
      <c r="B110" s="277"/>
      <c r="C110" s="277"/>
      <c r="D110" s="295" t="s">
        <v>49</v>
      </c>
      <c r="E110" s="296"/>
      <c r="F110" s="296"/>
      <c r="G110" s="282"/>
      <c r="H110" s="292" t="s">
        <v>35</v>
      </c>
      <c r="I110" s="293">
        <f ca="1">IFERROR(__xludf.DUMMYFUNCTION("IMPORTRANGE(""https://docs.google.com/spreadsheets/d/1eHaY18a8A9IcSdp1K8H6x8fbOy06t2VsZHhMHf-1x7Y/edit?usp=sharing"",""แผน!O60"")"),0)</f>
        <v>0</v>
      </c>
      <c r="J110" s="294">
        <v>0</v>
      </c>
      <c r="K110" s="74">
        <f t="shared" ca="1" si="71"/>
        <v>0</v>
      </c>
      <c r="L110" s="86"/>
      <c r="M110" s="87"/>
      <c r="N110" s="87"/>
      <c r="O110" s="229"/>
      <c r="P110" s="229"/>
      <c r="Q110" s="87"/>
      <c r="R110" s="87"/>
      <c r="S110" s="87"/>
      <c r="T110" s="229"/>
      <c r="U110" s="229"/>
    </row>
    <row r="111" spans="1:21" ht="12.75" hidden="1" x14ac:dyDescent="0.2">
      <c r="A111" s="283"/>
      <c r="B111" s="284"/>
      <c r="C111" s="284"/>
      <c r="D111" s="285"/>
      <c r="E111" s="285"/>
      <c r="F111" s="285"/>
      <c r="G111" s="286"/>
      <c r="H111" s="286"/>
      <c r="I111" s="287"/>
      <c r="J111" s="287"/>
      <c r="K111" s="30"/>
      <c r="L111" s="29"/>
      <c r="M111" s="30"/>
      <c r="N111" s="30"/>
      <c r="O111" s="30"/>
      <c r="P111" s="30"/>
      <c r="Q111" s="30"/>
      <c r="R111" s="30"/>
      <c r="S111" s="30"/>
      <c r="T111" s="30"/>
      <c r="U111" s="30"/>
    </row>
    <row r="112" spans="1:21" ht="12.75" hidden="1" x14ac:dyDescent="0.2">
      <c r="A112" s="283"/>
      <c r="B112" s="284"/>
      <c r="C112" s="284"/>
      <c r="D112" s="285"/>
      <c r="E112" s="285"/>
      <c r="F112" s="285"/>
      <c r="G112" s="286"/>
      <c r="H112" s="286"/>
      <c r="I112" s="287"/>
      <c r="J112" s="287"/>
      <c r="K112" s="30"/>
      <c r="L112" s="29"/>
      <c r="M112" s="30"/>
      <c r="N112" s="30"/>
      <c r="O112" s="30"/>
      <c r="P112" s="30"/>
      <c r="Q112" s="30"/>
      <c r="R112" s="30"/>
      <c r="S112" s="30"/>
      <c r="T112" s="30"/>
      <c r="U112" s="30"/>
    </row>
    <row r="113" spans="1:21" ht="12.75" hidden="1" x14ac:dyDescent="0.2">
      <c r="A113" s="283"/>
      <c r="B113" s="284"/>
      <c r="C113" s="284"/>
      <c r="D113" s="284"/>
      <c r="E113" s="285"/>
      <c r="F113" s="285"/>
      <c r="G113" s="286"/>
      <c r="H113" s="286"/>
      <c r="I113" s="287"/>
      <c r="J113" s="287"/>
      <c r="K113" s="30"/>
      <c r="L113" s="29"/>
      <c r="M113" s="30"/>
      <c r="N113" s="30"/>
      <c r="O113" s="30"/>
      <c r="P113" s="30"/>
      <c r="Q113" s="30"/>
      <c r="R113" s="30"/>
      <c r="S113" s="30"/>
      <c r="T113" s="30"/>
      <c r="U113" s="30"/>
    </row>
    <row r="114" spans="1:21" ht="12.75" hidden="1" x14ac:dyDescent="0.2">
      <c r="A114" s="283"/>
      <c r="B114" s="284"/>
      <c r="C114" s="284"/>
      <c r="D114" s="284"/>
      <c r="E114" s="285"/>
      <c r="F114" s="285"/>
      <c r="G114" s="286"/>
      <c r="H114" s="286"/>
      <c r="I114" s="287">
        <v>0</v>
      </c>
      <c r="J114" s="287">
        <v>0</v>
      </c>
      <c r="K114" s="30"/>
      <c r="L114" s="29"/>
      <c r="M114" s="30"/>
      <c r="N114" s="30"/>
      <c r="O114" s="30"/>
      <c r="P114" s="30"/>
      <c r="Q114" s="30"/>
      <c r="R114" s="30"/>
      <c r="S114" s="30"/>
      <c r="T114" s="30"/>
      <c r="U114" s="30"/>
    </row>
    <row r="115" spans="1:21" ht="18.75" hidden="1" x14ac:dyDescent="0.25">
      <c r="A115" s="276"/>
      <c r="B115" s="277"/>
      <c r="C115" s="277"/>
      <c r="D115" s="295" t="s">
        <v>50</v>
      </c>
      <c r="E115" s="296"/>
      <c r="F115" s="296"/>
      <c r="G115" s="282"/>
      <c r="H115" s="299" t="s">
        <v>35</v>
      </c>
      <c r="I115" s="298">
        <f ca="1">IFERROR(__xludf.DUMMYFUNCTION("IMPORTRANGE(""https://docs.google.com/spreadsheets/d/1eHaY18a8A9IcSdp1K8H6x8fbOy06t2VsZHhMHf-1x7Y/edit?usp=sharing"",""แผน!R60"")"),0)</f>
        <v>0</v>
      </c>
      <c r="J115" s="294">
        <v>0</v>
      </c>
      <c r="K115" s="74">
        <f ca="1">IF(I115&gt;0,J115*100/I115,0)</f>
        <v>0</v>
      </c>
      <c r="L115" s="86"/>
      <c r="M115" s="87"/>
      <c r="N115" s="87"/>
      <c r="O115" s="229"/>
      <c r="P115" s="229"/>
      <c r="Q115" s="87"/>
      <c r="R115" s="87"/>
      <c r="S115" s="87"/>
      <c r="T115" s="229"/>
      <c r="U115" s="229"/>
    </row>
    <row r="116" spans="1:21" ht="19.5" x14ac:dyDescent="0.3">
      <c r="A116" s="1099" t="s">
        <v>51</v>
      </c>
      <c r="B116" s="691"/>
      <c r="C116" s="692"/>
      <c r="D116" s="691"/>
      <c r="E116" s="691"/>
      <c r="F116" s="691"/>
      <c r="G116" s="691"/>
      <c r="H116" s="693"/>
      <c r="I116" s="694"/>
      <c r="J116" s="694"/>
      <c r="K116" s="695"/>
      <c r="L116" s="200"/>
      <c r="M116" s="200"/>
      <c r="N116" s="200"/>
      <c r="O116" s="200"/>
      <c r="P116" s="200"/>
      <c r="Q116" s="200"/>
      <c r="R116" s="200"/>
      <c r="S116" s="200"/>
      <c r="T116" s="200"/>
      <c r="U116" s="200"/>
    </row>
    <row r="117" spans="1:21" ht="19.5" x14ac:dyDescent="0.3">
      <c r="A117" s="250"/>
      <c r="B117" s="251" t="s">
        <v>52</v>
      </c>
      <c r="C117" s="304"/>
      <c r="D117" s="253"/>
      <c r="E117" s="252"/>
      <c r="F117" s="252"/>
      <c r="G117" s="252"/>
      <c r="H117" s="253"/>
      <c r="I117" s="900">
        <f t="shared" ref="I117:J117" ca="1" si="72">I128</f>
        <v>10</v>
      </c>
      <c r="J117" s="901">
        <f t="shared" si="72"/>
        <v>0</v>
      </c>
      <c r="K117" s="902">
        <f ca="1">IF(I117&gt;0,J117*100/I117,0)</f>
        <v>0</v>
      </c>
      <c r="L117" s="207"/>
      <c r="M117" s="208"/>
      <c r="N117" s="208"/>
      <c r="O117" s="208"/>
      <c r="P117" s="208"/>
      <c r="Q117" s="208"/>
      <c r="R117" s="208"/>
      <c r="S117" s="208"/>
      <c r="T117" s="208"/>
      <c r="U117" s="208"/>
    </row>
    <row r="118" spans="1:21" ht="19.5" x14ac:dyDescent="0.3">
      <c r="A118" s="257"/>
      <c r="B118" s="258"/>
      <c r="C118" s="259" t="s">
        <v>18</v>
      </c>
      <c r="D118" s="260" t="s">
        <v>19</v>
      </c>
      <c r="E118" s="258"/>
      <c r="F118" s="258"/>
      <c r="G118" s="261"/>
      <c r="H118" s="262" t="s">
        <v>14</v>
      </c>
      <c r="I118" s="263"/>
      <c r="J118" s="263"/>
      <c r="K118" s="87"/>
      <c r="L118" s="1257">
        <f t="shared" ref="L118:N118" ca="1" si="73">L119+L120</f>
        <v>0</v>
      </c>
      <c r="M118" s="264">
        <f t="shared" ca="1" si="73"/>
        <v>0</v>
      </c>
      <c r="N118" s="264">
        <f t="shared" ca="1" si="73"/>
        <v>0</v>
      </c>
      <c r="O118" s="264">
        <f t="shared" ref="O118:O126" ca="1" si="74">IF(L118&gt;0,N118*100/L118,0)</f>
        <v>0</v>
      </c>
      <c r="P118" s="264">
        <f t="shared" ref="P118:P126" ca="1" si="75">IF(M118&gt;0,N118*100/M118,0)</f>
        <v>0</v>
      </c>
      <c r="Q118" s="264">
        <f t="shared" ref="Q118:S118" ca="1" si="76">Q119+Q120</f>
        <v>173660</v>
      </c>
      <c r="R118" s="264">
        <f t="shared" ca="1" si="76"/>
        <v>173660</v>
      </c>
      <c r="S118" s="264">
        <f t="shared" ca="1" si="76"/>
        <v>14720</v>
      </c>
      <c r="T118" s="264">
        <f t="shared" ref="T118:T126" ca="1" si="77">IF(Q118&gt;0,S118*100/Q118,0)</f>
        <v>8.4763330646090065</v>
      </c>
      <c r="U118" s="264">
        <f t="shared" ref="U118:U126" ca="1" si="78">IF(R118&gt;0,S118*100/R118,0)</f>
        <v>8.4763330646090065</v>
      </c>
    </row>
    <row r="119" spans="1:21" ht="18.75" hidden="1" x14ac:dyDescent="0.25">
      <c r="A119" s="257"/>
      <c r="B119" s="258"/>
      <c r="C119" s="258"/>
      <c r="D119" s="258"/>
      <c r="E119" s="265" t="s">
        <v>20</v>
      </c>
      <c r="F119" s="258"/>
      <c r="G119" s="261"/>
      <c r="H119" s="266" t="s">
        <v>14</v>
      </c>
      <c r="I119" s="263"/>
      <c r="J119" s="263"/>
      <c r="K119" s="87"/>
      <c r="L119" s="76">
        <f t="shared" ref="L119:N120" si="79">L122+L125</f>
        <v>0</v>
      </c>
      <c r="M119" s="77">
        <f t="shared" si="79"/>
        <v>0</v>
      </c>
      <c r="N119" s="77">
        <f t="shared" si="79"/>
        <v>0</v>
      </c>
      <c r="O119" s="77">
        <f t="shared" si="74"/>
        <v>0</v>
      </c>
      <c r="P119" s="77">
        <f t="shared" si="75"/>
        <v>0</v>
      </c>
      <c r="Q119" s="77">
        <f t="shared" ref="Q119:S120" si="80">Q122+Q125</f>
        <v>0</v>
      </c>
      <c r="R119" s="77">
        <f t="shared" si="80"/>
        <v>0</v>
      </c>
      <c r="S119" s="77">
        <f t="shared" si="80"/>
        <v>0</v>
      </c>
      <c r="T119" s="77">
        <f t="shared" si="77"/>
        <v>0</v>
      </c>
      <c r="U119" s="77">
        <f t="shared" si="78"/>
        <v>0</v>
      </c>
    </row>
    <row r="120" spans="1:21" ht="18.75" hidden="1" x14ac:dyDescent="0.25">
      <c r="A120" s="257"/>
      <c r="B120" s="258"/>
      <c r="C120" s="258"/>
      <c r="D120" s="258"/>
      <c r="E120" s="267" t="s">
        <v>21</v>
      </c>
      <c r="F120" s="258"/>
      <c r="G120" s="261"/>
      <c r="H120" s="268" t="s">
        <v>14</v>
      </c>
      <c r="I120" s="263"/>
      <c r="J120" s="263"/>
      <c r="K120" s="87"/>
      <c r="L120" s="73">
        <f t="shared" ca="1" si="79"/>
        <v>0</v>
      </c>
      <c r="M120" s="74">
        <f t="shared" ca="1" si="79"/>
        <v>0</v>
      </c>
      <c r="N120" s="74">
        <f t="shared" ca="1" si="79"/>
        <v>0</v>
      </c>
      <c r="O120" s="74">
        <f t="shared" ca="1" si="74"/>
        <v>0</v>
      </c>
      <c r="P120" s="74">
        <f t="shared" ca="1" si="75"/>
        <v>0</v>
      </c>
      <c r="Q120" s="74">
        <f t="shared" ca="1" si="80"/>
        <v>173660</v>
      </c>
      <c r="R120" s="74">
        <f t="shared" ca="1" si="80"/>
        <v>173660</v>
      </c>
      <c r="S120" s="74">
        <f t="shared" ca="1" si="80"/>
        <v>14720</v>
      </c>
      <c r="T120" s="74">
        <f t="shared" ca="1" si="77"/>
        <v>8.4763330646090065</v>
      </c>
      <c r="U120" s="74">
        <f t="shared" ca="1" si="78"/>
        <v>8.4763330646090065</v>
      </c>
    </row>
    <row r="121" spans="1:21" ht="18.75" x14ac:dyDescent="0.25">
      <c r="A121" s="257"/>
      <c r="B121" s="258"/>
      <c r="C121" s="306"/>
      <c r="D121" s="270" t="s">
        <v>22</v>
      </c>
      <c r="E121" s="258"/>
      <c r="F121" s="258"/>
      <c r="G121" s="261"/>
      <c r="H121" s="307" t="s">
        <v>14</v>
      </c>
      <c r="I121" s="263"/>
      <c r="J121" s="263"/>
      <c r="K121" s="87"/>
      <c r="L121" s="73">
        <f t="shared" ref="L121:N121" ca="1" si="81">L122+L123</f>
        <v>0</v>
      </c>
      <c r="M121" s="74">
        <f t="shared" ca="1" si="81"/>
        <v>0</v>
      </c>
      <c r="N121" s="74">
        <f t="shared" ca="1" si="81"/>
        <v>0</v>
      </c>
      <c r="O121" s="74">
        <f t="shared" ca="1" si="74"/>
        <v>0</v>
      </c>
      <c r="P121" s="74">
        <f t="shared" ca="1" si="75"/>
        <v>0</v>
      </c>
      <c r="Q121" s="74">
        <f t="shared" ref="Q121:S121" ca="1" si="82">Q122+Q123</f>
        <v>173660</v>
      </c>
      <c r="R121" s="74">
        <f t="shared" ca="1" si="82"/>
        <v>173660</v>
      </c>
      <c r="S121" s="74">
        <f t="shared" ca="1" si="82"/>
        <v>14720</v>
      </c>
      <c r="T121" s="74">
        <f t="shared" ca="1" si="77"/>
        <v>8.4763330646090065</v>
      </c>
      <c r="U121" s="74">
        <f t="shared" ca="1" si="78"/>
        <v>8.4763330646090065</v>
      </c>
    </row>
    <row r="122" spans="1:21" ht="18.75" hidden="1" x14ac:dyDescent="0.25">
      <c r="A122" s="257"/>
      <c r="B122" s="258"/>
      <c r="C122" s="306"/>
      <c r="D122" s="269"/>
      <c r="E122" s="265" t="s">
        <v>36</v>
      </c>
      <c r="F122" s="258"/>
      <c r="G122" s="261"/>
      <c r="H122" s="308" t="s">
        <v>14</v>
      </c>
      <c r="I122" s="263"/>
      <c r="J122" s="263"/>
      <c r="K122" s="87"/>
      <c r="L122" s="76">
        <v>0</v>
      </c>
      <c r="M122" s="77">
        <v>0</v>
      </c>
      <c r="N122" s="77">
        <v>0</v>
      </c>
      <c r="O122" s="77">
        <f t="shared" si="74"/>
        <v>0</v>
      </c>
      <c r="P122" s="77">
        <f t="shared" si="75"/>
        <v>0</v>
      </c>
      <c r="Q122" s="77">
        <v>0</v>
      </c>
      <c r="R122" s="77">
        <v>0</v>
      </c>
      <c r="S122" s="77">
        <v>0</v>
      </c>
      <c r="T122" s="77">
        <f t="shared" si="77"/>
        <v>0</v>
      </c>
      <c r="U122" s="77">
        <f t="shared" si="78"/>
        <v>0</v>
      </c>
    </row>
    <row r="123" spans="1:21" ht="18.75" hidden="1" x14ac:dyDescent="0.25">
      <c r="A123" s="257"/>
      <c r="B123" s="258"/>
      <c r="C123" s="306"/>
      <c r="D123" s="269"/>
      <c r="E123" s="267" t="s">
        <v>37</v>
      </c>
      <c r="F123" s="258"/>
      <c r="G123" s="261"/>
      <c r="H123" s="307" t="s">
        <v>14</v>
      </c>
      <c r="I123" s="263"/>
      <c r="J123" s="263"/>
      <c r="K123" s="87"/>
      <c r="L123" s="73">
        <f ca="1">IFERROR(__xludf.DUMMYFUNCTION("IMPORTRANGE(""https://docs.google.com/spreadsheets/d/1-uDff_7J0KD5mKrp0Vvzr7lt3OU09vwQwhkpOPPYv2Y/edit?usp=sharing"",""งบพรบ!BG60"")"),0)</f>
        <v>0</v>
      </c>
      <c r="M123" s="74">
        <f ca="1">IFERROR(__xludf.DUMMYFUNCTION("IMPORTRANGE(""https://docs.google.com/spreadsheets/d/1-uDff_7J0KD5mKrp0Vvzr7lt3OU09vwQwhkpOPPYv2Y/edit?usp=sharing"",""งบพรบ!BL60"")"),0)</f>
        <v>0</v>
      </c>
      <c r="N123" s="74">
        <f ca="1">IFERROR(__xludf.DUMMYFUNCTION("IMPORTRANGE(""https://docs.google.com/spreadsheets/d/1-uDff_7J0KD5mKrp0Vvzr7lt3OU09vwQwhkpOPPYv2Y/edit?usp=sharing"",""งบพรบ!BN60"")"),0)</f>
        <v>0</v>
      </c>
      <c r="O123" s="74">
        <f t="shared" ca="1" si="74"/>
        <v>0</v>
      </c>
      <c r="P123" s="74">
        <f t="shared" ca="1" si="75"/>
        <v>0</v>
      </c>
      <c r="Q123" s="74">
        <f ca="1">IFERROR(__xludf.DUMMYFUNCTION("IMPORTRANGE(""https://docs.google.com/spreadsheets/d/1ItG2mGa2ceCfYo0BwxsXqNm01IGEUdYcSSLTEv9YCik/edit?usp=sharing"",""เบิกจ่ายกองทุน!R60"")"),173660)</f>
        <v>173660</v>
      </c>
      <c r="R123" s="74">
        <f ca="1">IFERROR(__xludf.DUMMYFUNCTION("IMPORTRANGE(""https://docs.google.com/spreadsheets/d/1ItG2mGa2ceCfYo0BwxsXqNm01IGEUdYcSSLTEv9YCik/edit?usp=sharing"",""เบิกจ่ายกองทุน!S60"")"),173660)</f>
        <v>173660</v>
      </c>
      <c r="S123" s="74">
        <f ca="1">IFERROR(__xludf.DUMMYFUNCTION("IMPORTRANGE(""https://docs.google.com/spreadsheets/d/1ItG2mGa2ceCfYo0BwxsXqNm01IGEUdYcSSLTEv9YCik/edit?usp=sharing"",""เบิกจ่ายกองทุน!T60"")"),14720)</f>
        <v>14720</v>
      </c>
      <c r="T123" s="74">
        <f t="shared" ca="1" si="77"/>
        <v>8.4763330646090065</v>
      </c>
      <c r="U123" s="74">
        <f t="shared" ca="1" si="78"/>
        <v>8.4763330646090065</v>
      </c>
    </row>
    <row r="124" spans="1:21" ht="18.75" x14ac:dyDescent="0.25">
      <c r="A124" s="257"/>
      <c r="B124" s="258"/>
      <c r="C124" s="306"/>
      <c r="D124" s="967" t="s">
        <v>23</v>
      </c>
      <c r="E124" s="258"/>
      <c r="F124" s="258"/>
      <c r="G124" s="261"/>
      <c r="H124" s="268" t="s">
        <v>14</v>
      </c>
      <c r="I124" s="263"/>
      <c r="J124" s="263"/>
      <c r="K124" s="87"/>
      <c r="L124" s="73">
        <f t="shared" ref="L124:N124" ca="1" si="83">L125+L126</f>
        <v>0</v>
      </c>
      <c r="M124" s="74">
        <f t="shared" ca="1" si="83"/>
        <v>0</v>
      </c>
      <c r="N124" s="74">
        <f t="shared" ca="1" si="83"/>
        <v>0</v>
      </c>
      <c r="O124" s="74">
        <f t="shared" ca="1" si="74"/>
        <v>0</v>
      </c>
      <c r="P124" s="74">
        <f t="shared" ca="1" si="75"/>
        <v>0</v>
      </c>
      <c r="Q124" s="74">
        <f t="shared" ref="Q124:S124" si="84">Q125+Q126</f>
        <v>0</v>
      </c>
      <c r="R124" s="74">
        <f t="shared" si="84"/>
        <v>0</v>
      </c>
      <c r="S124" s="74">
        <f t="shared" si="84"/>
        <v>0</v>
      </c>
      <c r="T124" s="74">
        <f t="shared" si="77"/>
        <v>0</v>
      </c>
      <c r="U124" s="74">
        <f t="shared" si="78"/>
        <v>0</v>
      </c>
    </row>
    <row r="125" spans="1:21" ht="18.75" hidden="1" x14ac:dyDescent="0.25">
      <c r="A125" s="257"/>
      <c r="B125" s="258"/>
      <c r="C125" s="306"/>
      <c r="D125" s="269"/>
      <c r="E125" s="265" t="s">
        <v>20</v>
      </c>
      <c r="F125" s="258"/>
      <c r="G125" s="261"/>
      <c r="H125" s="308" t="s">
        <v>14</v>
      </c>
      <c r="I125" s="263"/>
      <c r="J125" s="263"/>
      <c r="K125" s="87"/>
      <c r="L125" s="76">
        <v>0</v>
      </c>
      <c r="M125" s="77">
        <v>0</v>
      </c>
      <c r="N125" s="77">
        <v>0</v>
      </c>
      <c r="O125" s="77">
        <f t="shared" si="74"/>
        <v>0</v>
      </c>
      <c r="P125" s="77">
        <f t="shared" si="75"/>
        <v>0</v>
      </c>
      <c r="Q125" s="77">
        <v>0</v>
      </c>
      <c r="R125" s="77">
        <v>0</v>
      </c>
      <c r="S125" s="77">
        <v>0</v>
      </c>
      <c r="T125" s="77">
        <f t="shared" si="77"/>
        <v>0</v>
      </c>
      <c r="U125" s="77">
        <f t="shared" si="78"/>
        <v>0</v>
      </c>
    </row>
    <row r="126" spans="1:21" ht="18.75" hidden="1" x14ac:dyDescent="0.25">
      <c r="A126" s="257"/>
      <c r="B126" s="258"/>
      <c r="C126" s="258"/>
      <c r="D126" s="258"/>
      <c r="E126" s="267" t="s">
        <v>21</v>
      </c>
      <c r="F126" s="258"/>
      <c r="G126" s="261"/>
      <c r="H126" s="268" t="s">
        <v>14</v>
      </c>
      <c r="I126" s="263"/>
      <c r="J126" s="263"/>
      <c r="K126" s="87"/>
      <c r="L126" s="73">
        <f ca="1">IFERROR(__xludf.DUMMYFUNCTION("IMPORTRANGE(""https://docs.google.com/spreadsheets/d/1-uDff_7J0KD5mKrp0Vvzr7lt3OU09vwQwhkpOPPYv2Y/edit?usp=sharing"",""งบพรบ!BJ60"")"),0)</f>
        <v>0</v>
      </c>
      <c r="M126" s="74">
        <f ca="1">IFERROR(__xludf.DUMMYFUNCTION("IMPORTRANGE(""https://docs.google.com/spreadsheets/d/1-uDff_7J0KD5mKrp0Vvzr7lt3OU09vwQwhkpOPPYv2Y/edit?usp=sharing"",""งบพรบ!BM60"")"),0)</f>
        <v>0</v>
      </c>
      <c r="N126" s="74">
        <f ca="1">IFERROR(__xludf.DUMMYFUNCTION("IMPORTRANGE(""https://docs.google.com/spreadsheets/d/1-uDff_7J0KD5mKrp0Vvzr7lt3OU09vwQwhkpOPPYv2Y/edit?usp=sharing"",""งบพรบ!BO60"")"),0)</f>
        <v>0</v>
      </c>
      <c r="O126" s="74">
        <f t="shared" ca="1" si="74"/>
        <v>0</v>
      </c>
      <c r="P126" s="74">
        <f t="shared" ca="1" si="75"/>
        <v>0</v>
      </c>
      <c r="Q126" s="74">
        <v>0</v>
      </c>
      <c r="R126" s="74">
        <v>0</v>
      </c>
      <c r="S126" s="74">
        <v>0</v>
      </c>
      <c r="T126" s="74">
        <f t="shared" si="77"/>
        <v>0</v>
      </c>
      <c r="U126" s="74">
        <f t="shared" si="78"/>
        <v>0</v>
      </c>
    </row>
    <row r="127" spans="1:21" ht="19.5" x14ac:dyDescent="0.3">
      <c r="A127" s="890"/>
      <c r="B127" s="891"/>
      <c r="C127" s="905" t="s">
        <v>18</v>
      </c>
      <c r="D127" s="1108" t="s">
        <v>38</v>
      </c>
      <c r="E127" s="1109"/>
      <c r="F127" s="1109"/>
      <c r="G127" s="1110"/>
      <c r="H127" s="1111"/>
      <c r="I127" s="846"/>
      <c r="J127" s="846"/>
      <c r="K127" s="450"/>
      <c r="L127" s="86"/>
      <c r="M127" s="87"/>
      <c r="N127" s="87"/>
      <c r="O127" s="87"/>
      <c r="P127" s="87"/>
      <c r="Q127" s="87"/>
      <c r="R127" s="87"/>
      <c r="S127" s="87"/>
      <c r="T127" s="87"/>
      <c r="U127" s="87"/>
    </row>
    <row r="128" spans="1:21" ht="18.75" x14ac:dyDescent="0.25">
      <c r="A128" s="276"/>
      <c r="B128" s="277"/>
      <c r="C128" s="277"/>
      <c r="D128" s="295" t="s">
        <v>53</v>
      </c>
      <c r="E128" s="296"/>
      <c r="F128" s="296"/>
      <c r="G128" s="282"/>
      <c r="H128" s="268" t="s">
        <v>35</v>
      </c>
      <c r="I128" s="293">
        <f ca="1">IFERROR(__xludf.DUMMYFUNCTION("IMPORTRANGE(""https://docs.google.com/spreadsheets/d/1eHaY18a8A9IcSdp1K8H6x8fbOy06t2VsZHhMHf-1x7Y/edit?usp=sharing"",""แผน!FF60"")"),10)</f>
        <v>10</v>
      </c>
      <c r="J128" s="294">
        <v>0</v>
      </c>
      <c r="K128" s="74">
        <f t="shared" ref="K128:K131" ca="1" si="85">IF(I128&gt;0,J128*100/I128,0)</f>
        <v>0</v>
      </c>
      <c r="L128" s="86"/>
      <c r="M128" s="87"/>
      <c r="N128" s="87"/>
      <c r="O128" s="87"/>
      <c r="P128" s="87"/>
      <c r="Q128" s="87"/>
      <c r="R128" s="87"/>
      <c r="S128" s="87"/>
      <c r="T128" s="87"/>
      <c r="U128" s="87"/>
    </row>
    <row r="129" spans="1:21" ht="18.75" x14ac:dyDescent="0.25">
      <c r="A129" s="276"/>
      <c r="B129" s="277"/>
      <c r="C129" s="277"/>
      <c r="D129" s="296"/>
      <c r="E129" s="296"/>
      <c r="F129" s="296"/>
      <c r="G129" s="282"/>
      <c r="H129" s="268" t="s">
        <v>54</v>
      </c>
      <c r="I129" s="293">
        <f ca="1">IFERROR(__xludf.DUMMYFUNCTION("IMPORTRANGE(""https://docs.google.com/spreadsheets/d/1eHaY18a8A9IcSdp1K8H6x8fbOy06t2VsZHhMHf-1x7Y/edit?usp=sharing"",""แผน!FG60"")"),0)</f>
        <v>0</v>
      </c>
      <c r="J129" s="294">
        <v>0</v>
      </c>
      <c r="K129" s="74">
        <f t="shared" ca="1" si="85"/>
        <v>0</v>
      </c>
      <c r="L129" s="86"/>
      <c r="M129" s="87"/>
      <c r="N129" s="87"/>
      <c r="O129" s="87"/>
      <c r="P129" s="87"/>
      <c r="Q129" s="87"/>
      <c r="R129" s="87"/>
      <c r="S129" s="87"/>
      <c r="T129" s="87"/>
      <c r="U129" s="87"/>
    </row>
    <row r="130" spans="1:21" ht="18.75" x14ac:dyDescent="0.25">
      <c r="A130" s="276"/>
      <c r="B130" s="277"/>
      <c r="C130" s="277"/>
      <c r="D130" s="745" t="s">
        <v>55</v>
      </c>
      <c r="E130" s="296"/>
      <c r="F130" s="296"/>
      <c r="G130" s="282"/>
      <c r="H130" s="268" t="s">
        <v>35</v>
      </c>
      <c r="I130" s="293">
        <f ca="1">IFERROR(__xludf.DUMMYFUNCTION("IMPORTRANGE(""https://docs.google.com/spreadsheets/d/1eHaY18a8A9IcSdp1K8H6x8fbOy06t2VsZHhMHf-1x7Y/edit?usp=sharing"",""แผน!FH60"")"),10)</f>
        <v>10</v>
      </c>
      <c r="J130" s="294">
        <v>0</v>
      </c>
      <c r="K130" s="74">
        <f t="shared" ca="1" si="85"/>
        <v>0</v>
      </c>
      <c r="L130" s="86"/>
      <c r="M130" s="87"/>
      <c r="N130" s="87"/>
      <c r="O130" s="87"/>
      <c r="P130" s="87"/>
      <c r="Q130" s="87"/>
      <c r="R130" s="87"/>
      <c r="S130" s="87"/>
      <c r="T130" s="87"/>
      <c r="U130" s="87"/>
    </row>
    <row r="131" spans="1:21" ht="18.75" x14ac:dyDescent="0.25">
      <c r="A131" s="276"/>
      <c r="B131" s="277"/>
      <c r="C131" s="277"/>
      <c r="D131" s="277"/>
      <c r="E131" s="296"/>
      <c r="F131" s="296"/>
      <c r="G131" s="282"/>
      <c r="H131" s="268" t="s">
        <v>54</v>
      </c>
      <c r="I131" s="293">
        <f ca="1">IFERROR(__xludf.DUMMYFUNCTION("IMPORTRANGE(""https://docs.google.com/spreadsheets/d/1eHaY18a8A9IcSdp1K8H6x8fbOy06t2VsZHhMHf-1x7Y/edit?usp=sharing"",""แผน!FI60"")"),0)</f>
        <v>0</v>
      </c>
      <c r="J131" s="294">
        <v>0</v>
      </c>
      <c r="K131" s="74">
        <f t="shared" ca="1" si="85"/>
        <v>0</v>
      </c>
      <c r="L131" s="86"/>
      <c r="M131" s="87"/>
      <c r="N131" s="87"/>
      <c r="O131" s="87"/>
      <c r="P131" s="87"/>
      <c r="Q131" s="87"/>
      <c r="R131" s="87"/>
      <c r="S131" s="87"/>
      <c r="T131" s="87"/>
      <c r="U131" s="87"/>
    </row>
    <row r="132" spans="1:21" ht="18.75" hidden="1" x14ac:dyDescent="0.25">
      <c r="A132" s="276"/>
      <c r="B132" s="277"/>
      <c r="C132" s="277"/>
      <c r="D132" s="708" t="s">
        <v>56</v>
      </c>
      <c r="E132" s="296"/>
      <c r="F132" s="296"/>
      <c r="G132" s="282"/>
      <c r="H132" s="266" t="s">
        <v>35</v>
      </c>
      <c r="I132" s="263"/>
      <c r="J132" s="263"/>
      <c r="K132" s="87"/>
      <c r="L132" s="86"/>
      <c r="M132" s="87"/>
      <c r="N132" s="87"/>
      <c r="O132" s="87"/>
      <c r="P132" s="87"/>
      <c r="Q132" s="87"/>
      <c r="R132" s="87"/>
      <c r="S132" s="87"/>
      <c r="T132" s="87"/>
      <c r="U132" s="87"/>
    </row>
    <row r="133" spans="1:21" ht="18.75" hidden="1" x14ac:dyDescent="0.25">
      <c r="A133" s="276"/>
      <c r="B133" s="277"/>
      <c r="C133" s="277"/>
      <c r="D133" s="708" t="s">
        <v>57</v>
      </c>
      <c r="E133" s="296"/>
      <c r="F133" s="296"/>
      <c r="G133" s="282"/>
      <c r="H133" s="312"/>
      <c r="I133" s="263"/>
      <c r="J133" s="263"/>
      <c r="K133" s="87"/>
      <c r="L133" s="86"/>
      <c r="M133" s="87"/>
      <c r="N133" s="87"/>
      <c r="O133" s="87"/>
      <c r="P133" s="87"/>
      <c r="Q133" s="87"/>
      <c r="R133" s="87"/>
      <c r="S133" s="87"/>
      <c r="T133" s="87"/>
      <c r="U133" s="87"/>
    </row>
    <row r="134" spans="1:21" ht="12.75" hidden="1" x14ac:dyDescent="0.2">
      <c r="A134" s="283"/>
      <c r="B134" s="284"/>
      <c r="C134" s="284"/>
      <c r="D134" s="285"/>
      <c r="E134" s="285"/>
      <c r="F134" s="285"/>
      <c r="G134" s="286"/>
      <c r="H134" s="313"/>
      <c r="I134" s="287"/>
      <c r="J134" s="287"/>
      <c r="K134" s="30"/>
      <c r="L134" s="29"/>
      <c r="M134" s="30"/>
      <c r="N134" s="30"/>
      <c r="O134" s="30"/>
      <c r="P134" s="30"/>
      <c r="Q134" s="30"/>
      <c r="R134" s="30"/>
      <c r="S134" s="30"/>
      <c r="T134" s="30"/>
      <c r="U134" s="30"/>
    </row>
    <row r="135" spans="1:21" ht="19.5" hidden="1" x14ac:dyDescent="0.3">
      <c r="A135" s="1099" t="s">
        <v>58</v>
      </c>
      <c r="B135" s="691"/>
      <c r="C135" s="692"/>
      <c r="D135" s="691"/>
      <c r="E135" s="691"/>
      <c r="F135" s="691"/>
      <c r="G135" s="691"/>
      <c r="H135" s="693"/>
      <c r="I135" s="694"/>
      <c r="J135" s="694"/>
      <c r="K135" s="695"/>
      <c r="L135" s="200"/>
      <c r="M135" s="200"/>
      <c r="N135" s="200"/>
      <c r="O135" s="200"/>
      <c r="P135" s="200"/>
      <c r="Q135" s="200"/>
      <c r="R135" s="200"/>
      <c r="S135" s="200"/>
      <c r="T135" s="200"/>
      <c r="U135" s="200"/>
    </row>
    <row r="136" spans="1:21" ht="19.5" hidden="1" x14ac:dyDescent="0.3">
      <c r="A136" s="250"/>
      <c r="B136" s="251" t="s">
        <v>59</v>
      </c>
      <c r="C136" s="304"/>
      <c r="D136" s="253"/>
      <c r="E136" s="252"/>
      <c r="F136" s="252"/>
      <c r="G136" s="252"/>
      <c r="H136" s="253"/>
      <c r="I136" s="698"/>
      <c r="J136" s="699"/>
      <c r="K136" s="208"/>
      <c r="L136" s="207"/>
      <c r="M136" s="208"/>
      <c r="N136" s="208"/>
      <c r="O136" s="208"/>
      <c r="P136" s="208"/>
      <c r="Q136" s="208"/>
      <c r="R136" s="208"/>
      <c r="S136" s="208"/>
      <c r="T136" s="208"/>
      <c r="U136" s="208"/>
    </row>
    <row r="137" spans="1:21" ht="19.5" hidden="1" x14ac:dyDescent="0.3">
      <c r="A137" s="250"/>
      <c r="B137" s="252"/>
      <c r="C137" s="1112" t="s">
        <v>60</v>
      </c>
      <c r="D137" s="253"/>
      <c r="E137" s="252"/>
      <c r="F137" s="252"/>
      <c r="G137" s="254"/>
      <c r="H137" s="255" t="s">
        <v>61</v>
      </c>
      <c r="I137" s="256">
        <f t="shared" ref="I137:J137" ca="1" si="86">I155</f>
        <v>0</v>
      </c>
      <c r="J137" s="256">
        <f t="shared" si="86"/>
        <v>0</v>
      </c>
      <c r="K137" s="59">
        <f t="shared" ref="K137:K139" ca="1" si="87">IF(I137&gt;0,J137*100/I137,0)</f>
        <v>0</v>
      </c>
      <c r="L137" s="207"/>
      <c r="M137" s="208"/>
      <c r="N137" s="208"/>
      <c r="O137" s="208"/>
      <c r="P137" s="208"/>
      <c r="Q137" s="208"/>
      <c r="R137" s="208"/>
      <c r="S137" s="208"/>
      <c r="T137" s="208"/>
      <c r="U137" s="208"/>
    </row>
    <row r="138" spans="1:21" ht="19.5" hidden="1" x14ac:dyDescent="0.3">
      <c r="A138" s="250"/>
      <c r="B138" s="252"/>
      <c r="C138" s="1112" t="s">
        <v>62</v>
      </c>
      <c r="D138" s="253"/>
      <c r="E138" s="252"/>
      <c r="F138" s="252"/>
      <c r="G138" s="254"/>
      <c r="H138" s="255" t="s">
        <v>35</v>
      </c>
      <c r="I138" s="256">
        <f t="shared" ref="I138:J139" ca="1" si="88">I153</f>
        <v>0</v>
      </c>
      <c r="J138" s="256">
        <f t="shared" si="88"/>
        <v>0</v>
      </c>
      <c r="K138" s="59">
        <f t="shared" ca="1" si="87"/>
        <v>0</v>
      </c>
      <c r="L138" s="207"/>
      <c r="M138" s="208"/>
      <c r="N138" s="208"/>
      <c r="O138" s="208"/>
      <c r="P138" s="208"/>
      <c r="Q138" s="208"/>
      <c r="R138" s="208"/>
      <c r="S138" s="208"/>
      <c r="T138" s="208"/>
      <c r="U138" s="208"/>
    </row>
    <row r="139" spans="1:21" ht="19.5" hidden="1" x14ac:dyDescent="0.3">
      <c r="A139" s="250"/>
      <c r="B139" s="252"/>
      <c r="C139" s="304"/>
      <c r="D139" s="253"/>
      <c r="E139" s="252"/>
      <c r="F139" s="252"/>
      <c r="G139" s="254"/>
      <c r="H139" s="255" t="s">
        <v>54</v>
      </c>
      <c r="I139" s="256">
        <f t="shared" ca="1" si="88"/>
        <v>0</v>
      </c>
      <c r="J139" s="256">
        <f t="shared" si="88"/>
        <v>0</v>
      </c>
      <c r="K139" s="59">
        <f t="shared" ca="1" si="87"/>
        <v>0</v>
      </c>
      <c r="L139" s="207"/>
      <c r="M139" s="208"/>
      <c r="N139" s="208"/>
      <c r="O139" s="208"/>
      <c r="P139" s="208"/>
      <c r="Q139" s="208"/>
      <c r="R139" s="208"/>
      <c r="S139" s="208"/>
      <c r="T139" s="208"/>
      <c r="U139" s="208"/>
    </row>
    <row r="140" spans="1:21" ht="19.5" hidden="1" x14ac:dyDescent="0.3">
      <c r="A140" s="257"/>
      <c r="B140" s="258"/>
      <c r="C140" s="259" t="s">
        <v>18</v>
      </c>
      <c r="D140" s="260" t="s">
        <v>19</v>
      </c>
      <c r="E140" s="258"/>
      <c r="F140" s="258"/>
      <c r="G140" s="261"/>
      <c r="H140" s="262" t="s">
        <v>14</v>
      </c>
      <c r="I140" s="263"/>
      <c r="J140" s="263"/>
      <c r="K140" s="87"/>
      <c r="L140" s="1257">
        <f t="shared" ref="L140:N140" ca="1" si="89">L141+L142</f>
        <v>0</v>
      </c>
      <c r="M140" s="264">
        <f t="shared" ca="1" si="89"/>
        <v>0</v>
      </c>
      <c r="N140" s="264">
        <f t="shared" ca="1" si="89"/>
        <v>0</v>
      </c>
      <c r="O140" s="264">
        <f t="shared" ref="O140:O148" ca="1" si="90">IF(L140&gt;0,N140*100/L140,0)</f>
        <v>0</v>
      </c>
      <c r="P140" s="264">
        <f t="shared" ref="P140:P148" ca="1" si="91">IF(M140&gt;0,N140*100/M140,0)</f>
        <v>0</v>
      </c>
      <c r="Q140" s="264">
        <f t="shared" ref="Q140:S140" ca="1" si="92">Q141+Q142</f>
        <v>0</v>
      </c>
      <c r="R140" s="264">
        <f t="shared" ca="1" si="92"/>
        <v>0</v>
      </c>
      <c r="S140" s="264">
        <f t="shared" ca="1" si="92"/>
        <v>0</v>
      </c>
      <c r="T140" s="264">
        <f t="shared" ref="T140:T148" ca="1" si="93">IF(Q140&gt;0,S140*100/Q140,0)</f>
        <v>0</v>
      </c>
      <c r="U140" s="264">
        <f t="shared" ref="U140:U148" ca="1" si="94">IF(R140&gt;0,S140*100/R140,0)</f>
        <v>0</v>
      </c>
    </row>
    <row r="141" spans="1:21" ht="18.75" hidden="1" x14ac:dyDescent="0.25">
      <c r="A141" s="257"/>
      <c r="B141" s="258"/>
      <c r="C141" s="258"/>
      <c r="D141" s="258"/>
      <c r="E141" s="265" t="s">
        <v>20</v>
      </c>
      <c r="F141" s="258"/>
      <c r="G141" s="261"/>
      <c r="H141" s="266" t="s">
        <v>14</v>
      </c>
      <c r="I141" s="263"/>
      <c r="J141" s="263"/>
      <c r="K141" s="87"/>
      <c r="L141" s="76">
        <f t="shared" ref="L141:N142" si="95">L144+L147</f>
        <v>0</v>
      </c>
      <c r="M141" s="77">
        <f t="shared" si="95"/>
        <v>0</v>
      </c>
      <c r="N141" s="77">
        <f t="shared" si="95"/>
        <v>0</v>
      </c>
      <c r="O141" s="77">
        <f t="shared" si="90"/>
        <v>0</v>
      </c>
      <c r="P141" s="77">
        <f t="shared" si="91"/>
        <v>0</v>
      </c>
      <c r="Q141" s="77">
        <f t="shared" ref="Q141:S142" si="96">Q144+Q147</f>
        <v>0</v>
      </c>
      <c r="R141" s="77">
        <f t="shared" si="96"/>
        <v>0</v>
      </c>
      <c r="S141" s="77">
        <f t="shared" si="96"/>
        <v>0</v>
      </c>
      <c r="T141" s="77">
        <f t="shared" si="93"/>
        <v>0</v>
      </c>
      <c r="U141" s="77">
        <f t="shared" si="94"/>
        <v>0</v>
      </c>
    </row>
    <row r="142" spans="1:21" ht="18.75" hidden="1" x14ac:dyDescent="0.25">
      <c r="A142" s="257"/>
      <c r="B142" s="258"/>
      <c r="C142" s="258"/>
      <c r="D142" s="258"/>
      <c r="E142" s="267" t="s">
        <v>21</v>
      </c>
      <c r="F142" s="258"/>
      <c r="G142" s="261"/>
      <c r="H142" s="268" t="s">
        <v>14</v>
      </c>
      <c r="I142" s="263"/>
      <c r="J142" s="263"/>
      <c r="K142" s="87"/>
      <c r="L142" s="73">
        <f t="shared" ca="1" si="95"/>
        <v>0</v>
      </c>
      <c r="M142" s="74">
        <f t="shared" ca="1" si="95"/>
        <v>0</v>
      </c>
      <c r="N142" s="74">
        <f t="shared" ca="1" si="95"/>
        <v>0</v>
      </c>
      <c r="O142" s="74">
        <f t="shared" ca="1" si="90"/>
        <v>0</v>
      </c>
      <c r="P142" s="74">
        <f t="shared" ca="1" si="91"/>
        <v>0</v>
      </c>
      <c r="Q142" s="74">
        <f t="shared" ca="1" si="96"/>
        <v>0</v>
      </c>
      <c r="R142" s="74">
        <f t="shared" ca="1" si="96"/>
        <v>0</v>
      </c>
      <c r="S142" s="74">
        <f t="shared" ca="1" si="96"/>
        <v>0</v>
      </c>
      <c r="T142" s="74">
        <f t="shared" ca="1" si="93"/>
        <v>0</v>
      </c>
      <c r="U142" s="74">
        <f t="shared" ca="1" si="94"/>
        <v>0</v>
      </c>
    </row>
    <row r="143" spans="1:21" ht="18.75" hidden="1" x14ac:dyDescent="0.25">
      <c r="A143" s="257"/>
      <c r="B143" s="269"/>
      <c r="C143" s="258"/>
      <c r="D143" s="270" t="s">
        <v>22</v>
      </c>
      <c r="E143" s="258"/>
      <c r="F143" s="258"/>
      <c r="G143" s="261"/>
      <c r="H143" s="271" t="s">
        <v>14</v>
      </c>
      <c r="I143" s="272"/>
      <c r="J143" s="272"/>
      <c r="K143" s="229"/>
      <c r="L143" s="73">
        <f t="shared" ref="L143:N143" ca="1" si="97">L144+L145</f>
        <v>0</v>
      </c>
      <c r="M143" s="74">
        <f t="shared" ca="1" si="97"/>
        <v>0</v>
      </c>
      <c r="N143" s="74">
        <f t="shared" ca="1" si="97"/>
        <v>0</v>
      </c>
      <c r="O143" s="74">
        <f t="shared" ca="1" si="90"/>
        <v>0</v>
      </c>
      <c r="P143" s="74">
        <f t="shared" ca="1" si="91"/>
        <v>0</v>
      </c>
      <c r="Q143" s="74">
        <f t="shared" ref="Q143:S143" ca="1" si="98">Q144+Q145</f>
        <v>0</v>
      </c>
      <c r="R143" s="74">
        <f t="shared" ca="1" si="98"/>
        <v>0</v>
      </c>
      <c r="S143" s="74">
        <f t="shared" ca="1" si="98"/>
        <v>0</v>
      </c>
      <c r="T143" s="74">
        <f t="shared" ca="1" si="93"/>
        <v>0</v>
      </c>
      <c r="U143" s="74">
        <f t="shared" ca="1" si="94"/>
        <v>0</v>
      </c>
    </row>
    <row r="144" spans="1:21" ht="18.75" hidden="1" x14ac:dyDescent="0.25">
      <c r="A144" s="257"/>
      <c r="B144" s="258"/>
      <c r="C144" s="258"/>
      <c r="D144" s="258"/>
      <c r="E144" s="265" t="s">
        <v>36</v>
      </c>
      <c r="F144" s="258"/>
      <c r="G144" s="261"/>
      <c r="H144" s="273" t="s">
        <v>14</v>
      </c>
      <c r="I144" s="272"/>
      <c r="J144" s="272"/>
      <c r="K144" s="229"/>
      <c r="L144" s="76">
        <v>0</v>
      </c>
      <c r="M144" s="77">
        <v>0</v>
      </c>
      <c r="N144" s="77">
        <v>0</v>
      </c>
      <c r="O144" s="77">
        <f t="shared" si="90"/>
        <v>0</v>
      </c>
      <c r="P144" s="77">
        <f t="shared" si="91"/>
        <v>0</v>
      </c>
      <c r="Q144" s="77">
        <v>0</v>
      </c>
      <c r="R144" s="77">
        <v>0</v>
      </c>
      <c r="S144" s="77">
        <v>0</v>
      </c>
      <c r="T144" s="77">
        <f t="shared" si="93"/>
        <v>0</v>
      </c>
      <c r="U144" s="77">
        <f t="shared" si="94"/>
        <v>0</v>
      </c>
    </row>
    <row r="145" spans="1:21" ht="18.75" hidden="1" x14ac:dyDescent="0.25">
      <c r="A145" s="257"/>
      <c r="B145" s="258"/>
      <c r="C145" s="258"/>
      <c r="D145" s="258"/>
      <c r="E145" s="267" t="s">
        <v>37</v>
      </c>
      <c r="F145" s="258"/>
      <c r="G145" s="261"/>
      <c r="H145" s="271" t="s">
        <v>14</v>
      </c>
      <c r="I145" s="272"/>
      <c r="J145" s="272"/>
      <c r="K145" s="229"/>
      <c r="L145" s="73">
        <f ca="1">IFERROR(__xludf.DUMMYFUNCTION("IMPORTRANGE(""https://docs.google.com/spreadsheets/d/1-uDff_7J0KD5mKrp0Vvzr7lt3OU09vwQwhkpOPPYv2Y/edit?usp=sharing"",""งบพรบ!BQ60"")"),0)</f>
        <v>0</v>
      </c>
      <c r="M145" s="74">
        <f ca="1">IFERROR(__xludf.DUMMYFUNCTION("IMPORTRANGE(""https://docs.google.com/spreadsheets/d/1-uDff_7J0KD5mKrp0Vvzr7lt3OU09vwQwhkpOPPYv2Y/edit?usp=sharing"",""งบพรบ!BV60"")"),0)</f>
        <v>0</v>
      </c>
      <c r="N145" s="74">
        <f ca="1">IFERROR(__xludf.DUMMYFUNCTION("IMPORTRANGE(""https://docs.google.com/spreadsheets/d/1-uDff_7J0KD5mKrp0Vvzr7lt3OU09vwQwhkpOPPYv2Y/edit?usp=sharing"",""งบพรบ!BX60"")"),0)</f>
        <v>0</v>
      </c>
      <c r="O145" s="74">
        <f t="shared" ca="1" si="90"/>
        <v>0</v>
      </c>
      <c r="P145" s="74">
        <f t="shared" ca="1" si="91"/>
        <v>0</v>
      </c>
      <c r="Q145" s="74">
        <f ca="1">IFERROR(__xludf.DUMMYFUNCTION("IMPORTRANGE(""https://docs.google.com/spreadsheets/d/1ItG2mGa2ceCfYo0BwxsXqNm01IGEUdYcSSLTEv9YCik/edit?usp=sharing"",""เบิกจ่ายกองทุน!BB60"")"),0)</f>
        <v>0</v>
      </c>
      <c r="R145" s="74">
        <f ca="1">IFERROR(__xludf.DUMMYFUNCTION("IMPORTRANGE(""https://docs.google.com/spreadsheets/d/1ItG2mGa2ceCfYo0BwxsXqNm01IGEUdYcSSLTEv9YCik/edit?usp=sharing"",""เบิกจ่ายกองทุน!BC60"")"),0)</f>
        <v>0</v>
      </c>
      <c r="S145" s="74">
        <f ca="1">IFERROR(__xludf.DUMMYFUNCTION("IMPORTRANGE(""https://docs.google.com/spreadsheets/d/1ItG2mGa2ceCfYo0BwxsXqNm01IGEUdYcSSLTEv9YCik/edit?usp=sharing"",""เบิกจ่ายกองทุน!BD60"")"),0)</f>
        <v>0</v>
      </c>
      <c r="T145" s="74">
        <f t="shared" ca="1" si="93"/>
        <v>0</v>
      </c>
      <c r="U145" s="74">
        <f t="shared" ca="1" si="94"/>
        <v>0</v>
      </c>
    </row>
    <row r="146" spans="1:21" ht="18.75" hidden="1" x14ac:dyDescent="0.25">
      <c r="A146" s="257"/>
      <c r="B146" s="258"/>
      <c r="C146" s="258"/>
      <c r="D146" s="270" t="s">
        <v>23</v>
      </c>
      <c r="E146" s="258"/>
      <c r="F146" s="258"/>
      <c r="G146" s="261"/>
      <c r="H146" s="275" t="s">
        <v>14</v>
      </c>
      <c r="I146" s="272"/>
      <c r="J146" s="272"/>
      <c r="K146" s="229"/>
      <c r="L146" s="73">
        <f t="shared" ref="L146:N146" ca="1" si="99">L147+L148</f>
        <v>0</v>
      </c>
      <c r="M146" s="74">
        <f t="shared" ca="1" si="99"/>
        <v>0</v>
      </c>
      <c r="N146" s="74">
        <f t="shared" ca="1" si="99"/>
        <v>0</v>
      </c>
      <c r="O146" s="74">
        <f t="shared" ca="1" si="90"/>
        <v>0</v>
      </c>
      <c r="P146" s="74">
        <f t="shared" ca="1" si="91"/>
        <v>0</v>
      </c>
      <c r="Q146" s="74">
        <f t="shared" ref="Q146:S146" si="100">Q147+Q148</f>
        <v>0</v>
      </c>
      <c r="R146" s="74">
        <f t="shared" si="100"/>
        <v>0</v>
      </c>
      <c r="S146" s="74">
        <f t="shared" si="100"/>
        <v>0</v>
      </c>
      <c r="T146" s="74">
        <f t="shared" si="93"/>
        <v>0</v>
      </c>
      <c r="U146" s="74">
        <f t="shared" si="94"/>
        <v>0</v>
      </c>
    </row>
    <row r="147" spans="1:21" ht="18.75" hidden="1" x14ac:dyDescent="0.25">
      <c r="A147" s="257"/>
      <c r="B147" s="258"/>
      <c r="C147" s="258"/>
      <c r="D147" s="258"/>
      <c r="E147" s="265" t="s">
        <v>20</v>
      </c>
      <c r="F147" s="258"/>
      <c r="G147" s="261"/>
      <c r="H147" s="273" t="s">
        <v>14</v>
      </c>
      <c r="I147" s="272"/>
      <c r="J147" s="272"/>
      <c r="K147" s="229"/>
      <c r="L147" s="76">
        <v>0</v>
      </c>
      <c r="M147" s="77">
        <v>0</v>
      </c>
      <c r="N147" s="77">
        <v>0</v>
      </c>
      <c r="O147" s="77">
        <f t="shared" si="90"/>
        <v>0</v>
      </c>
      <c r="P147" s="77">
        <f t="shared" si="91"/>
        <v>0</v>
      </c>
      <c r="Q147" s="77">
        <v>0</v>
      </c>
      <c r="R147" s="77">
        <v>0</v>
      </c>
      <c r="S147" s="77">
        <v>0</v>
      </c>
      <c r="T147" s="77">
        <f t="shared" si="93"/>
        <v>0</v>
      </c>
      <c r="U147" s="77">
        <f t="shared" si="94"/>
        <v>0</v>
      </c>
    </row>
    <row r="148" spans="1:21" ht="18.75" hidden="1" x14ac:dyDescent="0.25">
      <c r="A148" s="257"/>
      <c r="B148" s="258"/>
      <c r="C148" s="258"/>
      <c r="D148" s="258"/>
      <c r="E148" s="267" t="s">
        <v>21</v>
      </c>
      <c r="F148" s="258"/>
      <c r="G148" s="261"/>
      <c r="H148" s="275" t="s">
        <v>14</v>
      </c>
      <c r="I148" s="272"/>
      <c r="J148" s="272"/>
      <c r="K148" s="229"/>
      <c r="L148" s="73">
        <f ca="1">IFERROR(__xludf.DUMMYFUNCTION("IMPORTRANGE(""https://docs.google.com/spreadsheets/d/1-uDff_7J0KD5mKrp0Vvzr7lt3OU09vwQwhkpOPPYv2Y/edit?usp=sharing"",""งบพรบ!BT60"")"),0)</f>
        <v>0</v>
      </c>
      <c r="M148" s="74">
        <f ca="1">IFERROR(__xludf.DUMMYFUNCTION("IMPORTRANGE(""https://docs.google.com/spreadsheets/d/1-uDff_7J0KD5mKrp0Vvzr7lt3OU09vwQwhkpOPPYv2Y/edit?usp=sharing"",""งบพรบ!BW60"")"),0)</f>
        <v>0</v>
      </c>
      <c r="N148" s="74">
        <f ca="1">IFERROR(__xludf.DUMMYFUNCTION("IMPORTRANGE(""https://docs.google.com/spreadsheets/d/1-uDff_7J0KD5mKrp0Vvzr7lt3OU09vwQwhkpOPPYv2Y/edit?usp=sharing"",""งบพรบ!BY60"")"),0)</f>
        <v>0</v>
      </c>
      <c r="O148" s="74">
        <f t="shared" ca="1" si="90"/>
        <v>0</v>
      </c>
      <c r="P148" s="74">
        <f t="shared" ca="1" si="91"/>
        <v>0</v>
      </c>
      <c r="Q148" s="74">
        <v>0</v>
      </c>
      <c r="R148" s="74">
        <v>0</v>
      </c>
      <c r="S148" s="74">
        <v>0</v>
      </c>
      <c r="T148" s="74">
        <f t="shared" si="93"/>
        <v>0</v>
      </c>
      <c r="U148" s="74">
        <f t="shared" si="94"/>
        <v>0</v>
      </c>
    </row>
    <row r="149" spans="1:21" ht="19.5" hidden="1" x14ac:dyDescent="0.3">
      <c r="A149" s="276"/>
      <c r="B149" s="277"/>
      <c r="C149" s="259" t="s">
        <v>18</v>
      </c>
      <c r="D149" s="1019" t="s">
        <v>38</v>
      </c>
      <c r="E149" s="280"/>
      <c r="F149" s="280"/>
      <c r="G149" s="281"/>
      <c r="H149" s="310"/>
      <c r="I149" s="263"/>
      <c r="J149" s="263"/>
      <c r="K149" s="87"/>
      <c r="L149" s="86"/>
      <c r="M149" s="87"/>
      <c r="N149" s="87"/>
      <c r="O149" s="87"/>
      <c r="P149" s="87"/>
      <c r="Q149" s="87"/>
      <c r="R149" s="87"/>
      <c r="S149" s="87"/>
      <c r="T149" s="87"/>
      <c r="U149" s="87"/>
    </row>
    <row r="150" spans="1:21" ht="18.75" hidden="1" x14ac:dyDescent="0.25">
      <c r="A150" s="257"/>
      <c r="B150" s="258"/>
      <c r="C150" s="306"/>
      <c r="D150" s="267" t="s">
        <v>63</v>
      </c>
      <c r="E150" s="258"/>
      <c r="F150" s="258"/>
      <c r="G150" s="261"/>
      <c r="H150" s="310"/>
      <c r="I150" s="263"/>
      <c r="J150" s="294">
        <v>0</v>
      </c>
      <c r="K150" s="87"/>
      <c r="L150" s="86"/>
      <c r="M150" s="87"/>
      <c r="N150" s="87"/>
      <c r="O150" s="87"/>
      <c r="P150" s="87"/>
      <c r="Q150" s="87"/>
      <c r="R150" s="87"/>
      <c r="S150" s="87"/>
      <c r="T150" s="87"/>
      <c r="U150" s="87"/>
    </row>
    <row r="151" spans="1:21" ht="19.5" hidden="1" x14ac:dyDescent="0.3">
      <c r="A151" s="257"/>
      <c r="B151" s="258"/>
      <c r="C151" s="258"/>
      <c r="D151" s="296"/>
      <c r="E151" s="259" t="s">
        <v>322</v>
      </c>
      <c r="F151" s="258"/>
      <c r="G151" s="261"/>
      <c r="H151" s="275" t="s">
        <v>35</v>
      </c>
      <c r="I151" s="293">
        <f ca="1">IFERROR(__xludf.DUMMYFUNCTION("IMPORTRANGE(""https://docs.google.com/spreadsheets/d/1eHaY18a8A9IcSdp1K8H6x8fbOy06t2VsZHhMHf-1x7Y/edit?usp=sharing"",""แผน!U60"")"),0)</f>
        <v>0</v>
      </c>
      <c r="J151" s="294">
        <v>0</v>
      </c>
      <c r="K151" s="74">
        <f t="shared" ref="K151:K155" ca="1" si="101">IF(I151&gt;0,J151*100/I151,0)</f>
        <v>0</v>
      </c>
      <c r="L151" s="86"/>
      <c r="M151" s="87"/>
      <c r="N151" s="87"/>
      <c r="O151" s="87"/>
      <c r="P151" s="87"/>
      <c r="Q151" s="87"/>
      <c r="R151" s="87"/>
      <c r="S151" s="87"/>
      <c r="T151" s="87"/>
      <c r="U151" s="87"/>
    </row>
    <row r="152" spans="1:21" ht="18.75" hidden="1" x14ac:dyDescent="0.25">
      <c r="A152" s="257"/>
      <c r="B152" s="258"/>
      <c r="C152" s="258"/>
      <c r="D152" s="296"/>
      <c r="E152" s="258"/>
      <c r="F152" s="258"/>
      <c r="G152" s="261"/>
      <c r="H152" s="275" t="s">
        <v>54</v>
      </c>
      <c r="I152" s="293">
        <f ca="1">IFERROR(__xludf.DUMMYFUNCTION("IMPORTRANGE(""https://docs.google.com/spreadsheets/d/1eHaY18a8A9IcSdp1K8H6x8fbOy06t2VsZHhMHf-1x7Y/edit?usp=sharing"",""แผน!V60"")"),0)</f>
        <v>0</v>
      </c>
      <c r="J152" s="294">
        <v>0</v>
      </c>
      <c r="K152" s="74">
        <f t="shared" ca="1" si="101"/>
        <v>0</v>
      </c>
      <c r="L152" s="86"/>
      <c r="M152" s="87"/>
      <c r="N152" s="87"/>
      <c r="O152" s="87"/>
      <c r="P152" s="87"/>
      <c r="Q152" s="87"/>
      <c r="R152" s="87"/>
      <c r="S152" s="87"/>
      <c r="T152" s="87"/>
      <c r="U152" s="87"/>
    </row>
    <row r="153" spans="1:21" ht="19.5" hidden="1" x14ac:dyDescent="0.3">
      <c r="A153" s="257"/>
      <c r="B153" s="258"/>
      <c r="C153" s="258"/>
      <c r="D153" s="296"/>
      <c r="E153" s="259" t="s">
        <v>323</v>
      </c>
      <c r="F153" s="258"/>
      <c r="G153" s="261"/>
      <c r="H153" s="275" t="s">
        <v>35</v>
      </c>
      <c r="I153" s="293">
        <f ca="1">IFERROR(__xludf.DUMMYFUNCTION("IMPORTRANGE(""https://docs.google.com/spreadsheets/d/1eHaY18a8A9IcSdp1K8H6x8fbOy06t2VsZHhMHf-1x7Y/edit?usp=sharing"",""แผน!W60"")"),0)</f>
        <v>0</v>
      </c>
      <c r="J153" s="294">
        <v>0</v>
      </c>
      <c r="K153" s="74">
        <f t="shared" ca="1" si="101"/>
        <v>0</v>
      </c>
      <c r="L153" s="86"/>
      <c r="M153" s="87"/>
      <c r="N153" s="87"/>
      <c r="O153" s="87"/>
      <c r="P153" s="87"/>
      <c r="Q153" s="87"/>
      <c r="R153" s="87"/>
      <c r="S153" s="87"/>
      <c r="T153" s="87"/>
      <c r="U153" s="87"/>
    </row>
    <row r="154" spans="1:21" ht="18.75" hidden="1" x14ac:dyDescent="0.25">
      <c r="A154" s="257"/>
      <c r="B154" s="258"/>
      <c r="C154" s="258"/>
      <c r="D154" s="258"/>
      <c r="E154" s="258"/>
      <c r="F154" s="258"/>
      <c r="G154" s="261"/>
      <c r="H154" s="275" t="s">
        <v>54</v>
      </c>
      <c r="I154" s="293">
        <f ca="1">IFERROR(__xludf.DUMMYFUNCTION("IMPORTRANGE(""https://docs.google.com/spreadsheets/d/1eHaY18a8A9IcSdp1K8H6x8fbOy06t2VsZHhMHf-1x7Y/edit?usp=sharing"",""แผน!X60"")"),0)</f>
        <v>0</v>
      </c>
      <c r="J154" s="294">
        <v>0</v>
      </c>
      <c r="K154" s="74">
        <f t="shared" ca="1" si="101"/>
        <v>0</v>
      </c>
      <c r="L154" s="86"/>
      <c r="M154" s="87"/>
      <c r="N154" s="87"/>
      <c r="O154" s="87"/>
      <c r="P154" s="87"/>
      <c r="Q154" s="87"/>
      <c r="R154" s="87"/>
      <c r="S154" s="87"/>
      <c r="T154" s="87"/>
      <c r="U154" s="87"/>
    </row>
    <row r="155" spans="1:21" ht="18.75" hidden="1" x14ac:dyDescent="0.25">
      <c r="A155" s="257"/>
      <c r="B155" s="258"/>
      <c r="C155" s="258"/>
      <c r="D155" s="267" t="s">
        <v>66</v>
      </c>
      <c r="E155" s="258"/>
      <c r="F155" s="258"/>
      <c r="G155" s="261"/>
      <c r="H155" s="275" t="s">
        <v>61</v>
      </c>
      <c r="I155" s="293">
        <f ca="1">IFERROR(__xludf.DUMMYFUNCTION("IMPORTRANGE(""https://docs.google.com/spreadsheets/d/1eHaY18a8A9IcSdp1K8H6x8fbOy06t2VsZHhMHf-1x7Y/edit?usp=sharing"",""แผน!Y60"")"),0)</f>
        <v>0</v>
      </c>
      <c r="J155" s="294">
        <v>0</v>
      </c>
      <c r="K155" s="74">
        <f t="shared" ca="1" si="101"/>
        <v>0</v>
      </c>
      <c r="L155" s="86"/>
      <c r="M155" s="87"/>
      <c r="N155" s="87"/>
      <c r="O155" s="87"/>
      <c r="P155" s="87"/>
      <c r="Q155" s="87"/>
      <c r="R155" s="87"/>
      <c r="S155" s="87"/>
      <c r="T155" s="87"/>
      <c r="U155" s="87"/>
    </row>
    <row r="156" spans="1:21" ht="19.5" hidden="1" x14ac:dyDescent="0.3">
      <c r="A156" s="1099" t="s">
        <v>67</v>
      </c>
      <c r="B156" s="691"/>
      <c r="C156" s="692"/>
      <c r="D156" s="691"/>
      <c r="E156" s="691"/>
      <c r="F156" s="691"/>
      <c r="G156" s="691"/>
      <c r="H156" s="693"/>
      <c r="I156" s="694"/>
      <c r="J156" s="694"/>
      <c r="K156" s="695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</row>
    <row r="157" spans="1:21" ht="19.5" hidden="1" x14ac:dyDescent="0.3">
      <c r="A157" s="250"/>
      <c r="B157" s="251" t="s">
        <v>68</v>
      </c>
      <c r="C157" s="252"/>
      <c r="D157" s="252"/>
      <c r="E157" s="252"/>
      <c r="F157" s="252"/>
      <c r="G157" s="254"/>
      <c r="H157" s="305" t="s">
        <v>35</v>
      </c>
      <c r="I157" s="256">
        <f t="shared" ref="I157:J157" ca="1" si="102">I170</f>
        <v>0</v>
      </c>
      <c r="J157" s="256">
        <f t="shared" si="102"/>
        <v>0</v>
      </c>
      <c r="K157" s="59">
        <f ca="1">IF(I157&gt;0,J157*100/I157,0)</f>
        <v>0</v>
      </c>
      <c r="L157" s="207"/>
      <c r="M157" s="208"/>
      <c r="N157" s="208"/>
      <c r="O157" s="208"/>
      <c r="P157" s="208"/>
      <c r="Q157" s="208"/>
      <c r="R157" s="208"/>
      <c r="S157" s="208"/>
      <c r="T157" s="208"/>
      <c r="U157" s="208"/>
    </row>
    <row r="158" spans="1:21" ht="19.5" hidden="1" x14ac:dyDescent="0.3">
      <c r="A158" s="257"/>
      <c r="B158" s="258"/>
      <c r="C158" s="259" t="s">
        <v>18</v>
      </c>
      <c r="D158" s="260" t="s">
        <v>19</v>
      </c>
      <c r="E158" s="258"/>
      <c r="F158" s="258"/>
      <c r="G158" s="261"/>
      <c r="H158" s="262" t="s">
        <v>14</v>
      </c>
      <c r="I158" s="263"/>
      <c r="J158" s="263"/>
      <c r="K158" s="87"/>
      <c r="L158" s="1257">
        <f t="shared" ref="L158:N158" ca="1" si="103">L159+L160</f>
        <v>0</v>
      </c>
      <c r="M158" s="264">
        <f t="shared" ca="1" si="103"/>
        <v>0</v>
      </c>
      <c r="N158" s="264">
        <f t="shared" ca="1" si="103"/>
        <v>0</v>
      </c>
      <c r="O158" s="264">
        <f t="shared" ref="O158:O166" ca="1" si="104">IF(L158&gt;0,N158*100/L158,0)</f>
        <v>0</v>
      </c>
      <c r="P158" s="264">
        <f t="shared" ref="P158:P166" ca="1" si="105">IF(M158&gt;0,N158*100/M158,0)</f>
        <v>0</v>
      </c>
      <c r="Q158" s="264">
        <f t="shared" ref="Q158:S158" ca="1" si="106">Q159+Q160</f>
        <v>0</v>
      </c>
      <c r="R158" s="264">
        <f t="shared" ca="1" si="106"/>
        <v>0</v>
      </c>
      <c r="S158" s="264">
        <f t="shared" ca="1" si="106"/>
        <v>0</v>
      </c>
      <c r="T158" s="264">
        <f t="shared" ref="T158:T166" ca="1" si="107">IF(Q158&gt;0,S158*100/Q158,0)</f>
        <v>0</v>
      </c>
      <c r="U158" s="264">
        <f t="shared" ref="U158:U166" ca="1" si="108">IF(R158&gt;0,S158*100/R158,0)</f>
        <v>0</v>
      </c>
    </row>
    <row r="159" spans="1:21" ht="18.75" hidden="1" x14ac:dyDescent="0.25">
      <c r="A159" s="257"/>
      <c r="B159" s="258"/>
      <c r="C159" s="258"/>
      <c r="D159" s="258"/>
      <c r="E159" s="265" t="s">
        <v>20</v>
      </c>
      <c r="F159" s="258"/>
      <c r="G159" s="261"/>
      <c r="H159" s="266" t="s">
        <v>14</v>
      </c>
      <c r="I159" s="263"/>
      <c r="J159" s="263"/>
      <c r="K159" s="87"/>
      <c r="L159" s="76">
        <f t="shared" ref="L159:N160" si="109">L162+L165</f>
        <v>0</v>
      </c>
      <c r="M159" s="77">
        <f t="shared" si="109"/>
        <v>0</v>
      </c>
      <c r="N159" s="77">
        <f t="shared" si="109"/>
        <v>0</v>
      </c>
      <c r="O159" s="77">
        <f t="shared" si="104"/>
        <v>0</v>
      </c>
      <c r="P159" s="77">
        <f t="shared" si="105"/>
        <v>0</v>
      </c>
      <c r="Q159" s="77">
        <f t="shared" ref="Q159:S160" si="110">Q162+Q165</f>
        <v>0</v>
      </c>
      <c r="R159" s="77">
        <f t="shared" si="110"/>
        <v>0</v>
      </c>
      <c r="S159" s="77">
        <f t="shared" si="110"/>
        <v>0</v>
      </c>
      <c r="T159" s="77">
        <f t="shared" si="107"/>
        <v>0</v>
      </c>
      <c r="U159" s="77">
        <f t="shared" si="108"/>
        <v>0</v>
      </c>
    </row>
    <row r="160" spans="1:21" ht="18.75" hidden="1" x14ac:dyDescent="0.25">
      <c r="A160" s="257"/>
      <c r="B160" s="258"/>
      <c r="C160" s="258"/>
      <c r="D160" s="258"/>
      <c r="E160" s="267" t="s">
        <v>21</v>
      </c>
      <c r="F160" s="258"/>
      <c r="G160" s="261"/>
      <c r="H160" s="268" t="s">
        <v>14</v>
      </c>
      <c r="I160" s="263"/>
      <c r="J160" s="263"/>
      <c r="K160" s="87"/>
      <c r="L160" s="73">
        <f t="shared" ca="1" si="109"/>
        <v>0</v>
      </c>
      <c r="M160" s="74">
        <f t="shared" ca="1" si="109"/>
        <v>0</v>
      </c>
      <c r="N160" s="74">
        <f t="shared" ca="1" si="109"/>
        <v>0</v>
      </c>
      <c r="O160" s="74">
        <f t="shared" ca="1" si="104"/>
        <v>0</v>
      </c>
      <c r="P160" s="74">
        <f t="shared" ca="1" si="105"/>
        <v>0</v>
      </c>
      <c r="Q160" s="74">
        <f t="shared" ca="1" si="110"/>
        <v>0</v>
      </c>
      <c r="R160" s="74">
        <f t="shared" ca="1" si="110"/>
        <v>0</v>
      </c>
      <c r="S160" s="74">
        <f t="shared" ca="1" si="110"/>
        <v>0</v>
      </c>
      <c r="T160" s="74">
        <f t="shared" ca="1" si="107"/>
        <v>0</v>
      </c>
      <c r="U160" s="74">
        <f t="shared" ca="1" si="108"/>
        <v>0</v>
      </c>
    </row>
    <row r="161" spans="1:21" ht="18.75" hidden="1" x14ac:dyDescent="0.25">
      <c r="A161" s="257"/>
      <c r="B161" s="269"/>
      <c r="C161" s="258"/>
      <c r="D161" s="270" t="s">
        <v>22</v>
      </c>
      <c r="E161" s="258"/>
      <c r="F161" s="258"/>
      <c r="G161" s="261"/>
      <c r="H161" s="271" t="s">
        <v>14</v>
      </c>
      <c r="I161" s="272"/>
      <c r="J161" s="272"/>
      <c r="K161" s="229"/>
      <c r="L161" s="73">
        <f t="shared" ref="L161:N161" ca="1" si="111">L162+L163</f>
        <v>0</v>
      </c>
      <c r="M161" s="74">
        <f t="shared" ca="1" si="111"/>
        <v>0</v>
      </c>
      <c r="N161" s="74">
        <f t="shared" ca="1" si="111"/>
        <v>0</v>
      </c>
      <c r="O161" s="74">
        <f t="shared" ca="1" si="104"/>
        <v>0</v>
      </c>
      <c r="P161" s="74">
        <f t="shared" ca="1" si="105"/>
        <v>0</v>
      </c>
      <c r="Q161" s="74">
        <f t="shared" ref="Q161:S161" ca="1" si="112">Q162+Q163</f>
        <v>0</v>
      </c>
      <c r="R161" s="74">
        <f t="shared" ca="1" si="112"/>
        <v>0</v>
      </c>
      <c r="S161" s="74">
        <f t="shared" ca="1" si="112"/>
        <v>0</v>
      </c>
      <c r="T161" s="74">
        <f t="shared" ca="1" si="107"/>
        <v>0</v>
      </c>
      <c r="U161" s="74">
        <f t="shared" ca="1" si="108"/>
        <v>0</v>
      </c>
    </row>
    <row r="162" spans="1:21" ht="18.75" hidden="1" x14ac:dyDescent="0.25">
      <c r="A162" s="257"/>
      <c r="B162" s="258"/>
      <c r="C162" s="258"/>
      <c r="D162" s="258"/>
      <c r="E162" s="265" t="s">
        <v>36</v>
      </c>
      <c r="F162" s="258"/>
      <c r="G162" s="261"/>
      <c r="H162" s="273" t="s">
        <v>14</v>
      </c>
      <c r="I162" s="272"/>
      <c r="J162" s="272"/>
      <c r="K162" s="229"/>
      <c r="L162" s="76">
        <v>0</v>
      </c>
      <c r="M162" s="77">
        <v>0</v>
      </c>
      <c r="N162" s="77">
        <v>0</v>
      </c>
      <c r="O162" s="77">
        <f t="shared" si="104"/>
        <v>0</v>
      </c>
      <c r="P162" s="77">
        <f t="shared" si="105"/>
        <v>0</v>
      </c>
      <c r="Q162" s="77">
        <v>0</v>
      </c>
      <c r="R162" s="77">
        <v>0</v>
      </c>
      <c r="S162" s="77">
        <v>0</v>
      </c>
      <c r="T162" s="77">
        <f t="shared" si="107"/>
        <v>0</v>
      </c>
      <c r="U162" s="77">
        <f t="shared" si="108"/>
        <v>0</v>
      </c>
    </row>
    <row r="163" spans="1:21" ht="18.75" hidden="1" x14ac:dyDescent="0.25">
      <c r="A163" s="257"/>
      <c r="B163" s="258"/>
      <c r="C163" s="258"/>
      <c r="D163" s="258"/>
      <c r="E163" s="267" t="s">
        <v>37</v>
      </c>
      <c r="F163" s="258"/>
      <c r="G163" s="261"/>
      <c r="H163" s="271" t="s">
        <v>14</v>
      </c>
      <c r="I163" s="272"/>
      <c r="J163" s="272"/>
      <c r="K163" s="229"/>
      <c r="L163" s="73">
        <f ca="1">IFERROR(__xludf.DUMMYFUNCTION("IMPORTRANGE(""https://docs.google.com/spreadsheets/d/1-uDff_7J0KD5mKrp0Vvzr7lt3OU09vwQwhkpOPPYv2Y/edit?usp=sharing"",""งบพรบ!CA60"")"),0)</f>
        <v>0</v>
      </c>
      <c r="M163" s="74">
        <f ca="1">IFERROR(__xludf.DUMMYFUNCTION("IMPORTRANGE(""https://docs.google.com/spreadsheets/d/1-uDff_7J0KD5mKrp0Vvzr7lt3OU09vwQwhkpOPPYv2Y/edit?usp=sharing"",""งบพรบ!CF60"")"),0)</f>
        <v>0</v>
      </c>
      <c r="N163" s="74">
        <f ca="1">IFERROR(__xludf.DUMMYFUNCTION("IMPORTRANGE(""https://docs.google.com/spreadsheets/d/1-uDff_7J0KD5mKrp0Vvzr7lt3OU09vwQwhkpOPPYv2Y/edit?usp=sharing"",""งบพรบ!CH60"")"),0)</f>
        <v>0</v>
      </c>
      <c r="O163" s="74">
        <f t="shared" ca="1" si="104"/>
        <v>0</v>
      </c>
      <c r="P163" s="74">
        <f t="shared" ca="1" si="105"/>
        <v>0</v>
      </c>
      <c r="Q163" s="74">
        <f ca="1">IFERROR(__xludf.DUMMYFUNCTION("IMPORTRANGE(""https://docs.google.com/spreadsheets/d/1ItG2mGa2ceCfYo0BwxsXqNm01IGEUdYcSSLTEv9YCik/edit?usp=sharing"",""เบิกจ่ายกองทุน!AG60"")"),0)</f>
        <v>0</v>
      </c>
      <c r="R163" s="74">
        <f ca="1">IFERROR(__xludf.DUMMYFUNCTION("IMPORTRANGE(""https://docs.google.com/spreadsheets/d/1ItG2mGa2ceCfYo0BwxsXqNm01IGEUdYcSSLTEv9YCik/edit?usp=sharing"",""เบิกจ่ายกองทุน!AH60"")"),0)</f>
        <v>0</v>
      </c>
      <c r="S163" s="74">
        <f ca="1">IFERROR(__xludf.DUMMYFUNCTION("IMPORTRANGE(""https://docs.google.com/spreadsheets/d/1ItG2mGa2ceCfYo0BwxsXqNm01IGEUdYcSSLTEv9YCik/edit?usp=sharing"",""เบิกจ่ายกองทุน!AI60"")"),0)</f>
        <v>0</v>
      </c>
      <c r="T163" s="74">
        <f t="shared" ca="1" si="107"/>
        <v>0</v>
      </c>
      <c r="U163" s="74">
        <f t="shared" ca="1" si="108"/>
        <v>0</v>
      </c>
    </row>
    <row r="164" spans="1:21" ht="18.75" hidden="1" x14ac:dyDescent="0.25">
      <c r="A164" s="257"/>
      <c r="B164" s="258"/>
      <c r="C164" s="258"/>
      <c r="D164" s="270" t="s">
        <v>23</v>
      </c>
      <c r="E164" s="258"/>
      <c r="F164" s="258"/>
      <c r="G164" s="261"/>
      <c r="H164" s="275" t="s">
        <v>14</v>
      </c>
      <c r="I164" s="272"/>
      <c r="J164" s="272"/>
      <c r="K164" s="229"/>
      <c r="L164" s="73">
        <f t="shared" ref="L164:N164" ca="1" si="113">L165+L166</f>
        <v>0</v>
      </c>
      <c r="M164" s="74">
        <f t="shared" ca="1" si="113"/>
        <v>0</v>
      </c>
      <c r="N164" s="74">
        <f t="shared" ca="1" si="113"/>
        <v>0</v>
      </c>
      <c r="O164" s="74">
        <f t="shared" ca="1" si="104"/>
        <v>0</v>
      </c>
      <c r="P164" s="74">
        <f t="shared" ca="1" si="105"/>
        <v>0</v>
      </c>
      <c r="Q164" s="74">
        <f t="shared" ref="Q164:S164" si="114">Q165+Q166</f>
        <v>0</v>
      </c>
      <c r="R164" s="74">
        <f t="shared" si="114"/>
        <v>0</v>
      </c>
      <c r="S164" s="74">
        <f t="shared" si="114"/>
        <v>0</v>
      </c>
      <c r="T164" s="74">
        <f t="shared" si="107"/>
        <v>0</v>
      </c>
      <c r="U164" s="74">
        <f t="shared" si="108"/>
        <v>0</v>
      </c>
    </row>
    <row r="165" spans="1:21" ht="18.75" hidden="1" x14ac:dyDescent="0.25">
      <c r="A165" s="257"/>
      <c r="B165" s="269"/>
      <c r="C165" s="269"/>
      <c r="D165" s="269"/>
      <c r="E165" s="265" t="s">
        <v>20</v>
      </c>
      <c r="F165" s="258"/>
      <c r="G165" s="261"/>
      <c r="H165" s="273" t="s">
        <v>14</v>
      </c>
      <c r="I165" s="272"/>
      <c r="J165" s="272"/>
      <c r="K165" s="229"/>
      <c r="L165" s="76">
        <v>0</v>
      </c>
      <c r="M165" s="77">
        <v>0</v>
      </c>
      <c r="N165" s="77">
        <v>0</v>
      </c>
      <c r="O165" s="77">
        <f t="shared" si="104"/>
        <v>0</v>
      </c>
      <c r="P165" s="77">
        <f t="shared" si="105"/>
        <v>0</v>
      </c>
      <c r="Q165" s="77">
        <v>0</v>
      </c>
      <c r="R165" s="77">
        <v>0</v>
      </c>
      <c r="S165" s="77">
        <v>0</v>
      </c>
      <c r="T165" s="77">
        <f t="shared" si="107"/>
        <v>0</v>
      </c>
      <c r="U165" s="77">
        <f t="shared" si="108"/>
        <v>0</v>
      </c>
    </row>
    <row r="166" spans="1:21" ht="18.75" hidden="1" x14ac:dyDescent="0.25">
      <c r="A166" s="257"/>
      <c r="B166" s="269"/>
      <c r="C166" s="269"/>
      <c r="D166" s="258"/>
      <c r="E166" s="267" t="s">
        <v>21</v>
      </c>
      <c r="F166" s="258"/>
      <c r="G166" s="261"/>
      <c r="H166" s="275" t="s">
        <v>14</v>
      </c>
      <c r="I166" s="272"/>
      <c r="J166" s="272"/>
      <c r="K166" s="229"/>
      <c r="L166" s="73">
        <f ca="1">IFERROR(__xludf.DUMMYFUNCTION("IMPORTRANGE(""https://docs.google.com/spreadsheets/d/1-uDff_7J0KD5mKrp0Vvzr7lt3OU09vwQwhkpOPPYv2Y/edit?usp=sharing"",""งบพรบ!CD60"")"),0)</f>
        <v>0</v>
      </c>
      <c r="M166" s="74">
        <f ca="1">IFERROR(__xludf.DUMMYFUNCTION("IMPORTRANGE(""https://docs.google.com/spreadsheets/d/1-uDff_7J0KD5mKrp0Vvzr7lt3OU09vwQwhkpOPPYv2Y/edit?usp=sharing"",""งบพรบ!CG60"")"),0)</f>
        <v>0</v>
      </c>
      <c r="N166" s="74">
        <f ca="1">IFERROR(__xludf.DUMMYFUNCTION("IMPORTRANGE(""https://docs.google.com/spreadsheets/d/1-uDff_7J0KD5mKrp0Vvzr7lt3OU09vwQwhkpOPPYv2Y/edit?usp=sharing"",""งบพรบ!CI60"")"),0)</f>
        <v>0</v>
      </c>
      <c r="O166" s="74">
        <f t="shared" ca="1" si="104"/>
        <v>0</v>
      </c>
      <c r="P166" s="74">
        <f t="shared" ca="1" si="105"/>
        <v>0</v>
      </c>
      <c r="Q166" s="74">
        <v>0</v>
      </c>
      <c r="R166" s="74">
        <v>0</v>
      </c>
      <c r="S166" s="74">
        <v>0</v>
      </c>
      <c r="T166" s="74">
        <f t="shared" si="107"/>
        <v>0</v>
      </c>
      <c r="U166" s="74">
        <f t="shared" si="108"/>
        <v>0</v>
      </c>
    </row>
    <row r="167" spans="1:21" ht="19.5" hidden="1" x14ac:dyDescent="0.3">
      <c r="A167" s="276"/>
      <c r="B167" s="277"/>
      <c r="C167" s="621" t="s">
        <v>18</v>
      </c>
      <c r="D167" s="1019" t="s">
        <v>38</v>
      </c>
      <c r="E167" s="280"/>
      <c r="F167" s="280"/>
      <c r="G167" s="281"/>
      <c r="H167" s="310"/>
      <c r="I167" s="263"/>
      <c r="J167" s="263"/>
      <c r="K167" s="87"/>
      <c r="L167" s="86"/>
      <c r="M167" s="87"/>
      <c r="N167" s="87"/>
      <c r="O167" s="87"/>
      <c r="P167" s="87"/>
      <c r="Q167" s="87"/>
      <c r="R167" s="87"/>
      <c r="S167" s="87"/>
      <c r="T167" s="87"/>
      <c r="U167" s="87"/>
    </row>
    <row r="168" spans="1:21" ht="18.75" hidden="1" x14ac:dyDescent="0.25">
      <c r="A168" s="257"/>
      <c r="B168" s="258"/>
      <c r="C168" s="258"/>
      <c r="D168" s="267" t="s">
        <v>69</v>
      </c>
      <c r="E168" s="258"/>
      <c r="F168" s="258"/>
      <c r="G168" s="261"/>
      <c r="H168" s="275" t="s">
        <v>35</v>
      </c>
      <c r="I168" s="293">
        <f ca="1">IFERROR(__xludf.DUMMYFUNCTION("IMPORTRANGE(""https://docs.google.com/spreadsheets/d/1eHaY18a8A9IcSdp1K8H6x8fbOy06t2VsZHhMHf-1x7Y/edit?usp=sharing"",""แผน!Z60"")"),0)</f>
        <v>0</v>
      </c>
      <c r="J168" s="294">
        <v>0</v>
      </c>
      <c r="K168" s="74">
        <f t="shared" ref="K168:K170" ca="1" si="115">IF(I168&gt;0,J168*100/I168,0)</f>
        <v>0</v>
      </c>
      <c r="L168" s="86"/>
      <c r="M168" s="87"/>
      <c r="N168" s="87"/>
      <c r="O168" s="87"/>
      <c r="P168" s="87"/>
      <c r="Q168" s="87"/>
      <c r="R168" s="87"/>
      <c r="S168" s="87"/>
      <c r="T168" s="87"/>
      <c r="U168" s="87"/>
    </row>
    <row r="169" spans="1:21" ht="18.75" hidden="1" x14ac:dyDescent="0.25">
      <c r="A169" s="257"/>
      <c r="B169" s="258"/>
      <c r="C169" s="258"/>
      <c r="D169" s="265" t="s">
        <v>70</v>
      </c>
      <c r="E169" s="258"/>
      <c r="F169" s="258"/>
      <c r="G169" s="261"/>
      <c r="H169" s="706" t="s">
        <v>35</v>
      </c>
      <c r="I169" s="592">
        <f ca="1">IFERROR(__xludf.DUMMYFUNCTION("IMPORTRANGE(""https://docs.google.com/spreadsheets/d/1eHaY18a8A9IcSdp1K8H6x8fbOy06t2VsZHhMHf-1x7Y/edit?usp=sharing"",""แผน!Z60"")"),0)</f>
        <v>0</v>
      </c>
      <c r="J169" s="910">
        <v>0</v>
      </c>
      <c r="K169" s="77">
        <f t="shared" ca="1" si="115"/>
        <v>0</v>
      </c>
      <c r="L169" s="86"/>
      <c r="M169" s="87"/>
      <c r="N169" s="87"/>
      <c r="O169" s="87"/>
      <c r="P169" s="87"/>
      <c r="Q169" s="87"/>
      <c r="R169" s="87"/>
      <c r="S169" s="87"/>
      <c r="T169" s="87"/>
      <c r="U169" s="87"/>
    </row>
    <row r="170" spans="1:21" ht="18.75" hidden="1" x14ac:dyDescent="0.25">
      <c r="A170" s="1094"/>
      <c r="B170" s="636"/>
      <c r="C170" s="636"/>
      <c r="D170" s="777" t="s">
        <v>71</v>
      </c>
      <c r="E170" s="636"/>
      <c r="F170" s="636"/>
      <c r="G170" s="637"/>
      <c r="H170" s="1113" t="s">
        <v>35</v>
      </c>
      <c r="I170" s="779">
        <f ca="1">IFERROR(__xludf.DUMMYFUNCTION("IMPORTRANGE(""https://docs.google.com/spreadsheets/d/1eHaY18a8A9IcSdp1K8H6x8fbOy06t2VsZHhMHf-1x7Y/edit?usp=sharing"",""แผน!Z60"")"),0)</f>
        <v>0</v>
      </c>
      <c r="J170" s="999">
        <v>0</v>
      </c>
      <c r="K170" s="1000">
        <f t="shared" ca="1" si="115"/>
        <v>0</v>
      </c>
      <c r="L170" s="97"/>
      <c r="M170" s="98"/>
      <c r="N170" s="98"/>
      <c r="O170" s="98"/>
      <c r="P170" s="98"/>
      <c r="Q170" s="98"/>
      <c r="R170" s="98"/>
      <c r="S170" s="98"/>
      <c r="T170" s="98"/>
      <c r="U170" s="98"/>
    </row>
    <row r="171" spans="1:21" ht="19.5" x14ac:dyDescent="0.3">
      <c r="A171" s="1114" t="s">
        <v>72</v>
      </c>
      <c r="B171" s="1115"/>
      <c r="C171" s="1115"/>
      <c r="D171" s="1115"/>
      <c r="E171" s="1116"/>
      <c r="F171" s="1116"/>
      <c r="G171" s="1116"/>
      <c r="H171" s="1115"/>
      <c r="I171" s="1117"/>
      <c r="J171" s="1117"/>
      <c r="K171" s="358"/>
      <c r="L171" s="358"/>
      <c r="M171" s="358"/>
      <c r="N171" s="358"/>
      <c r="O171" s="358"/>
      <c r="P171" s="359"/>
      <c r="Q171" s="358"/>
      <c r="R171" s="358"/>
      <c r="S171" s="358"/>
      <c r="T171" s="358"/>
      <c r="U171" s="359"/>
    </row>
    <row r="172" spans="1:21" ht="19.5" x14ac:dyDescent="0.3">
      <c r="A172" s="1118" t="s">
        <v>73</v>
      </c>
      <c r="B172" s="1119"/>
      <c r="C172" s="1119"/>
      <c r="D172" s="1120"/>
      <c r="E172" s="1120"/>
      <c r="F172" s="1120"/>
      <c r="G172" s="1120"/>
      <c r="H172" s="1121"/>
      <c r="I172" s="1122"/>
      <c r="J172" s="1122"/>
      <c r="K172" s="367"/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1123"/>
      <c r="B173" s="1124" t="s">
        <v>74</v>
      </c>
      <c r="C173" s="783"/>
      <c r="D173" s="280"/>
      <c r="E173" s="280"/>
      <c r="F173" s="280"/>
      <c r="G173" s="281"/>
      <c r="H173" s="1125" t="s">
        <v>35</v>
      </c>
      <c r="I173" s="1126">
        <f t="shared" ref="I173:J173" ca="1" si="116">I184+I185</f>
        <v>7</v>
      </c>
      <c r="J173" s="1126">
        <f t="shared" si="116"/>
        <v>0</v>
      </c>
      <c r="K173" s="1127">
        <f ca="1">IF(I173&gt;0,J173*100/I173,0)</f>
        <v>0</v>
      </c>
      <c r="L173" s="375"/>
      <c r="M173" s="376"/>
      <c r="N173" s="376"/>
      <c r="O173" s="376"/>
      <c r="P173" s="376"/>
      <c r="Q173" s="376"/>
      <c r="R173" s="376"/>
      <c r="S173" s="376"/>
      <c r="T173" s="376"/>
      <c r="U173" s="376"/>
    </row>
    <row r="174" spans="1:21" ht="19.5" x14ac:dyDescent="0.3">
      <c r="A174" s="257"/>
      <c r="B174" s="258"/>
      <c r="C174" s="259" t="s">
        <v>18</v>
      </c>
      <c r="D174" s="260" t="s">
        <v>19</v>
      </c>
      <c r="E174" s="258"/>
      <c r="F174" s="258"/>
      <c r="G174" s="261"/>
      <c r="H174" s="262" t="s">
        <v>14</v>
      </c>
      <c r="I174" s="263"/>
      <c r="J174" s="263"/>
      <c r="K174" s="87"/>
      <c r="L174" s="1257">
        <f t="shared" ref="L174:N174" ca="1" si="117">L175+L176</f>
        <v>19590</v>
      </c>
      <c r="M174" s="264">
        <f t="shared" ca="1" si="117"/>
        <v>29290</v>
      </c>
      <c r="N174" s="264">
        <f t="shared" ca="1" si="117"/>
        <v>29290</v>
      </c>
      <c r="O174" s="264">
        <f t="shared" ref="O174:O182" ca="1" si="118">IF(L174&gt;0,N174*100/L174,0)</f>
        <v>149.51505870342012</v>
      </c>
      <c r="P174" s="264">
        <f t="shared" ref="P174:P182" ca="1" si="119">IF(M174&gt;0,N174*100/M174,0)</f>
        <v>100</v>
      </c>
      <c r="Q174" s="264">
        <f t="shared" ref="Q174:S174" ca="1" si="120">Q175+Q176</f>
        <v>0</v>
      </c>
      <c r="R174" s="264">
        <f t="shared" ca="1" si="120"/>
        <v>0</v>
      </c>
      <c r="S174" s="264">
        <f t="shared" ca="1" si="120"/>
        <v>0</v>
      </c>
      <c r="T174" s="264">
        <f t="shared" ref="T174:T182" ca="1" si="121">IF(Q174&gt;0,S174*100/Q174,0)</f>
        <v>0</v>
      </c>
      <c r="U174" s="264">
        <f t="shared" ref="U174:U182" ca="1" si="122">IF(R174&gt;0,S174*100/R174,0)</f>
        <v>0</v>
      </c>
    </row>
    <row r="175" spans="1:21" ht="18.75" hidden="1" x14ac:dyDescent="0.25">
      <c r="A175" s="257"/>
      <c r="B175" s="258"/>
      <c r="C175" s="258"/>
      <c r="D175" s="258"/>
      <c r="E175" s="265" t="s">
        <v>20</v>
      </c>
      <c r="F175" s="258"/>
      <c r="G175" s="261"/>
      <c r="H175" s="266" t="s">
        <v>14</v>
      </c>
      <c r="I175" s="263"/>
      <c r="J175" s="263"/>
      <c r="K175" s="87"/>
      <c r="L175" s="76">
        <f t="shared" ref="L175:N176" si="123">L178+L181</f>
        <v>0</v>
      </c>
      <c r="M175" s="77">
        <f t="shared" si="123"/>
        <v>0</v>
      </c>
      <c r="N175" s="77">
        <f t="shared" si="123"/>
        <v>0</v>
      </c>
      <c r="O175" s="77">
        <f t="shared" si="118"/>
        <v>0</v>
      </c>
      <c r="P175" s="77">
        <f t="shared" si="119"/>
        <v>0</v>
      </c>
      <c r="Q175" s="77">
        <f t="shared" ref="Q175:S176" si="124">Q178+Q181</f>
        <v>0</v>
      </c>
      <c r="R175" s="77">
        <f t="shared" si="124"/>
        <v>0</v>
      </c>
      <c r="S175" s="77">
        <f t="shared" si="124"/>
        <v>0</v>
      </c>
      <c r="T175" s="77">
        <f t="shared" si="121"/>
        <v>0</v>
      </c>
      <c r="U175" s="77">
        <f t="shared" si="122"/>
        <v>0</v>
      </c>
    </row>
    <row r="176" spans="1:21" ht="18.75" hidden="1" x14ac:dyDescent="0.25">
      <c r="A176" s="257"/>
      <c r="B176" s="258"/>
      <c r="C176" s="258"/>
      <c r="D176" s="258"/>
      <c r="E176" s="267" t="s">
        <v>21</v>
      </c>
      <c r="F176" s="258"/>
      <c r="G176" s="261"/>
      <c r="H176" s="268" t="s">
        <v>14</v>
      </c>
      <c r="I176" s="263"/>
      <c r="J176" s="263"/>
      <c r="K176" s="87"/>
      <c r="L176" s="73">
        <f t="shared" ca="1" si="123"/>
        <v>19590</v>
      </c>
      <c r="M176" s="74">
        <f t="shared" ca="1" si="123"/>
        <v>29290</v>
      </c>
      <c r="N176" s="74">
        <f t="shared" ca="1" si="123"/>
        <v>29290</v>
      </c>
      <c r="O176" s="74">
        <f t="shared" ca="1" si="118"/>
        <v>149.51505870342012</v>
      </c>
      <c r="P176" s="74">
        <f t="shared" ca="1" si="119"/>
        <v>100</v>
      </c>
      <c r="Q176" s="74">
        <f t="shared" ca="1" si="124"/>
        <v>0</v>
      </c>
      <c r="R176" s="74">
        <f t="shared" ca="1" si="124"/>
        <v>0</v>
      </c>
      <c r="S176" s="74">
        <f t="shared" ca="1" si="124"/>
        <v>0</v>
      </c>
      <c r="T176" s="74">
        <f t="shared" ca="1" si="121"/>
        <v>0</v>
      </c>
      <c r="U176" s="74">
        <f t="shared" ca="1" si="122"/>
        <v>0</v>
      </c>
    </row>
    <row r="177" spans="1:21" ht="18.75" x14ac:dyDescent="0.25">
      <c r="A177" s="257"/>
      <c r="B177" s="269"/>
      <c r="C177" s="258"/>
      <c r="D177" s="270" t="s">
        <v>22</v>
      </c>
      <c r="E177" s="258"/>
      <c r="F177" s="258"/>
      <c r="G177" s="261"/>
      <c r="H177" s="271" t="s">
        <v>14</v>
      </c>
      <c r="I177" s="272"/>
      <c r="J177" s="272"/>
      <c r="K177" s="229"/>
      <c r="L177" s="73">
        <f t="shared" ref="L177:N177" ca="1" si="125">L178+L179</f>
        <v>19590</v>
      </c>
      <c r="M177" s="74">
        <f t="shared" ca="1" si="125"/>
        <v>29290</v>
      </c>
      <c r="N177" s="74">
        <f t="shared" ca="1" si="125"/>
        <v>29290</v>
      </c>
      <c r="O177" s="74">
        <f t="shared" ca="1" si="118"/>
        <v>149.51505870342012</v>
      </c>
      <c r="P177" s="74">
        <f t="shared" ca="1" si="119"/>
        <v>100</v>
      </c>
      <c r="Q177" s="74">
        <f t="shared" ref="Q177:S177" ca="1" si="126">Q178+Q179</f>
        <v>0</v>
      </c>
      <c r="R177" s="74">
        <f t="shared" ca="1" si="126"/>
        <v>0</v>
      </c>
      <c r="S177" s="74">
        <f t="shared" ca="1" si="126"/>
        <v>0</v>
      </c>
      <c r="T177" s="74">
        <f t="shared" ca="1" si="121"/>
        <v>0</v>
      </c>
      <c r="U177" s="74">
        <f t="shared" ca="1" si="122"/>
        <v>0</v>
      </c>
    </row>
    <row r="178" spans="1:21" ht="18.75" hidden="1" x14ac:dyDescent="0.25">
      <c r="A178" s="257"/>
      <c r="B178" s="258"/>
      <c r="C178" s="269"/>
      <c r="D178" s="269"/>
      <c r="E178" s="265" t="s">
        <v>36</v>
      </c>
      <c r="F178" s="258"/>
      <c r="G178" s="261"/>
      <c r="H178" s="273" t="s">
        <v>14</v>
      </c>
      <c r="I178" s="272"/>
      <c r="J178" s="272"/>
      <c r="K178" s="229"/>
      <c r="L178" s="76">
        <v>0</v>
      </c>
      <c r="M178" s="77">
        <v>0</v>
      </c>
      <c r="N178" s="77">
        <v>0</v>
      </c>
      <c r="O178" s="77">
        <f t="shared" si="118"/>
        <v>0</v>
      </c>
      <c r="P178" s="77">
        <f t="shared" si="119"/>
        <v>0</v>
      </c>
      <c r="Q178" s="77">
        <v>0</v>
      </c>
      <c r="R178" s="77">
        <v>0</v>
      </c>
      <c r="S178" s="77">
        <v>0</v>
      </c>
      <c r="T178" s="77">
        <f t="shared" si="121"/>
        <v>0</v>
      </c>
      <c r="U178" s="77">
        <f t="shared" si="122"/>
        <v>0</v>
      </c>
    </row>
    <row r="179" spans="1:21" ht="18.75" hidden="1" x14ac:dyDescent="0.25">
      <c r="A179" s="257"/>
      <c r="B179" s="269"/>
      <c r="C179" s="269"/>
      <c r="D179" s="269"/>
      <c r="E179" s="267" t="s">
        <v>37</v>
      </c>
      <c r="F179" s="258"/>
      <c r="G179" s="261"/>
      <c r="H179" s="271" t="s">
        <v>14</v>
      </c>
      <c r="I179" s="272"/>
      <c r="J179" s="272"/>
      <c r="K179" s="229"/>
      <c r="L179" s="73">
        <f ca="1">IFERROR(__xludf.DUMMYFUNCTION("IMPORTRANGE(""https://docs.google.com/spreadsheets/d/1-uDff_7J0KD5mKrp0Vvzr7lt3OU09vwQwhkpOPPYv2Y/edit?usp=sharing"",""งบพรบ!CK60"")"),19590)</f>
        <v>19590</v>
      </c>
      <c r="M179" s="74">
        <f ca="1">IFERROR(__xludf.DUMMYFUNCTION("IMPORTRANGE(""https://docs.google.com/spreadsheets/d/1-uDff_7J0KD5mKrp0Vvzr7lt3OU09vwQwhkpOPPYv2Y/edit?usp=sharing"",""งบพรบ!CP60"")"),29290)</f>
        <v>29290</v>
      </c>
      <c r="N179" s="74">
        <f ca="1">IFERROR(__xludf.DUMMYFUNCTION("IMPORTRANGE(""https://docs.google.com/spreadsheets/d/1-uDff_7J0KD5mKrp0Vvzr7lt3OU09vwQwhkpOPPYv2Y/edit?usp=sharing"",""งบพรบ!CR60"")"),29290)</f>
        <v>29290</v>
      </c>
      <c r="O179" s="74">
        <f t="shared" ca="1" si="118"/>
        <v>149.51505870342012</v>
      </c>
      <c r="P179" s="74">
        <f t="shared" ca="1" si="119"/>
        <v>100</v>
      </c>
      <c r="Q179" s="74">
        <f ca="1">IFERROR(__xludf.DUMMYFUNCTION("IMPORTRANGE(""https://docs.google.com/spreadsheets/d/1ItG2mGa2ceCfYo0BwxsXqNm01IGEUdYcSSLTEv9YCik/edit?usp=sharing"",""เบิกจ่ายกองทุน!BE60"")"),0)</f>
        <v>0</v>
      </c>
      <c r="R179" s="74">
        <f ca="1">IFERROR(__xludf.DUMMYFUNCTION("IMPORTRANGE(""https://docs.google.com/spreadsheets/d/1ItG2mGa2ceCfYo0BwxsXqNm01IGEUdYcSSLTEv9YCik/edit?usp=sharing"",""เบิกจ่ายกองทุน!BF60"")"),0)</f>
        <v>0</v>
      </c>
      <c r="S179" s="74">
        <f ca="1">IFERROR(__xludf.DUMMYFUNCTION("IMPORTRANGE(""https://docs.google.com/spreadsheets/d/1ItG2mGa2ceCfYo0BwxsXqNm01IGEUdYcSSLTEv9YCik/edit?usp=sharing"",""เบิกจ่ายกองทุน!BG60"")"),0)</f>
        <v>0</v>
      </c>
      <c r="T179" s="74">
        <f t="shared" ca="1" si="121"/>
        <v>0</v>
      </c>
      <c r="U179" s="74">
        <f t="shared" ca="1" si="122"/>
        <v>0</v>
      </c>
    </row>
    <row r="180" spans="1:21" ht="18.75" x14ac:dyDescent="0.25">
      <c r="A180" s="257"/>
      <c r="B180" s="258"/>
      <c r="C180" s="269"/>
      <c r="D180" s="270" t="s">
        <v>23</v>
      </c>
      <c r="E180" s="258"/>
      <c r="F180" s="258"/>
      <c r="G180" s="261"/>
      <c r="H180" s="275" t="s">
        <v>14</v>
      </c>
      <c r="I180" s="272"/>
      <c r="J180" s="272"/>
      <c r="K180" s="229"/>
      <c r="L180" s="73">
        <f t="shared" ref="L180:N180" ca="1" si="127">L181+L182</f>
        <v>0</v>
      </c>
      <c r="M180" s="74">
        <f t="shared" ca="1" si="127"/>
        <v>0</v>
      </c>
      <c r="N180" s="74">
        <f t="shared" ca="1" si="127"/>
        <v>0</v>
      </c>
      <c r="O180" s="74">
        <f t="shared" ca="1" si="118"/>
        <v>0</v>
      </c>
      <c r="P180" s="74">
        <f t="shared" ca="1" si="119"/>
        <v>0</v>
      </c>
      <c r="Q180" s="74">
        <f t="shared" ref="Q180:S180" si="128">Q181+Q182</f>
        <v>0</v>
      </c>
      <c r="R180" s="74">
        <f t="shared" si="128"/>
        <v>0</v>
      </c>
      <c r="S180" s="74">
        <f t="shared" si="128"/>
        <v>0</v>
      </c>
      <c r="T180" s="74">
        <f t="shared" si="121"/>
        <v>0</v>
      </c>
      <c r="U180" s="74">
        <f t="shared" si="122"/>
        <v>0</v>
      </c>
    </row>
    <row r="181" spans="1:21" ht="18.75" hidden="1" x14ac:dyDescent="0.25">
      <c r="A181" s="257"/>
      <c r="B181" s="258"/>
      <c r="C181" s="258"/>
      <c r="D181" s="258"/>
      <c r="E181" s="265" t="s">
        <v>20</v>
      </c>
      <c r="F181" s="258"/>
      <c r="G181" s="261"/>
      <c r="H181" s="273" t="s">
        <v>14</v>
      </c>
      <c r="I181" s="272"/>
      <c r="J181" s="272"/>
      <c r="K181" s="229"/>
      <c r="L181" s="76">
        <v>0</v>
      </c>
      <c r="M181" s="77">
        <v>0</v>
      </c>
      <c r="N181" s="77">
        <v>0</v>
      </c>
      <c r="O181" s="77">
        <f t="shared" si="118"/>
        <v>0</v>
      </c>
      <c r="P181" s="77">
        <f t="shared" si="119"/>
        <v>0</v>
      </c>
      <c r="Q181" s="77">
        <v>0</v>
      </c>
      <c r="R181" s="77">
        <v>0</v>
      </c>
      <c r="S181" s="77">
        <v>0</v>
      </c>
      <c r="T181" s="77">
        <f t="shared" si="121"/>
        <v>0</v>
      </c>
      <c r="U181" s="77">
        <f t="shared" si="122"/>
        <v>0</v>
      </c>
    </row>
    <row r="182" spans="1:21" ht="18.75" hidden="1" x14ac:dyDescent="0.25">
      <c r="A182" s="257"/>
      <c r="B182" s="258"/>
      <c r="C182" s="258"/>
      <c r="D182" s="258"/>
      <c r="E182" s="267" t="s">
        <v>21</v>
      </c>
      <c r="F182" s="258"/>
      <c r="G182" s="261"/>
      <c r="H182" s="275" t="s">
        <v>14</v>
      </c>
      <c r="I182" s="272"/>
      <c r="J182" s="272"/>
      <c r="K182" s="229"/>
      <c r="L182" s="73">
        <f ca="1">IFERROR(__xludf.DUMMYFUNCTION("IMPORTRANGE(""https://docs.google.com/spreadsheets/d/1-uDff_7J0KD5mKrp0Vvzr7lt3OU09vwQwhkpOPPYv2Y/edit?usp=sharing"",""งบพรบ!CN60"")"),0)</f>
        <v>0</v>
      </c>
      <c r="M182" s="74">
        <f ca="1">IFERROR(__xludf.DUMMYFUNCTION("IMPORTRANGE(""https://docs.google.com/spreadsheets/d/1-uDff_7J0KD5mKrp0Vvzr7lt3OU09vwQwhkpOPPYv2Y/edit?usp=sharing"",""งบพรบ!CQ60"")"),0)</f>
        <v>0</v>
      </c>
      <c r="N182" s="74">
        <f ca="1">IFERROR(__xludf.DUMMYFUNCTION("IMPORTRANGE(""https://docs.google.com/spreadsheets/d/1-uDff_7J0KD5mKrp0Vvzr7lt3OU09vwQwhkpOPPYv2Y/edit?usp=sharing"",""งบพรบ!CS60"")"),0)</f>
        <v>0</v>
      </c>
      <c r="O182" s="74">
        <f t="shared" ca="1" si="118"/>
        <v>0</v>
      </c>
      <c r="P182" s="74">
        <f t="shared" ca="1" si="119"/>
        <v>0</v>
      </c>
      <c r="Q182" s="74">
        <v>0</v>
      </c>
      <c r="R182" s="74">
        <v>0</v>
      </c>
      <c r="S182" s="74">
        <v>0</v>
      </c>
      <c r="T182" s="74">
        <f t="shared" si="121"/>
        <v>0</v>
      </c>
      <c r="U182" s="74">
        <f t="shared" si="122"/>
        <v>0</v>
      </c>
    </row>
    <row r="183" spans="1:21" ht="19.5" x14ac:dyDescent="0.3">
      <c r="A183" s="276"/>
      <c r="B183" s="277"/>
      <c r="C183" s="259" t="s">
        <v>18</v>
      </c>
      <c r="D183" s="1019" t="s">
        <v>38</v>
      </c>
      <c r="E183" s="280"/>
      <c r="F183" s="280"/>
      <c r="G183" s="281"/>
      <c r="H183" s="310"/>
      <c r="I183" s="263"/>
      <c r="J183" s="263"/>
      <c r="K183" s="87"/>
      <c r="L183" s="86"/>
      <c r="M183" s="87"/>
      <c r="N183" s="87"/>
      <c r="O183" s="87"/>
      <c r="P183" s="87"/>
      <c r="Q183" s="87"/>
      <c r="R183" s="87"/>
      <c r="S183" s="87"/>
      <c r="T183" s="87"/>
      <c r="U183" s="87"/>
    </row>
    <row r="184" spans="1:21" ht="18.75" x14ac:dyDescent="0.25">
      <c r="A184" s="550"/>
      <c r="B184" s="258"/>
      <c r="C184" s="269"/>
      <c r="D184" s="749" t="s">
        <v>75</v>
      </c>
      <c r="E184" s="258"/>
      <c r="F184" s="258"/>
      <c r="G184" s="261"/>
      <c r="H184" s="307" t="s">
        <v>35</v>
      </c>
      <c r="I184" s="293">
        <f ca="1">IFERROR(__xludf.DUMMYFUNCTION("IMPORTRANGE(""https://docs.google.com/spreadsheets/d/1eHaY18a8A9IcSdp1K8H6x8fbOy06t2VsZHhMHf-1x7Y/edit?usp=sharing"",""แผน!AA60"")"),7)</f>
        <v>7</v>
      </c>
      <c r="J184" s="294">
        <v>0</v>
      </c>
      <c r="K184" s="74">
        <f t="shared" ref="K184:K186" ca="1" si="129">IF(I184&gt;0,J184*100/I184,0)</f>
        <v>0</v>
      </c>
      <c r="L184" s="86"/>
      <c r="M184" s="87"/>
      <c r="N184" s="87"/>
      <c r="O184" s="87"/>
      <c r="P184" s="87"/>
      <c r="Q184" s="87"/>
      <c r="R184" s="87"/>
      <c r="S184" s="87"/>
      <c r="T184" s="87"/>
      <c r="U184" s="87"/>
    </row>
    <row r="185" spans="1:21" ht="18.75" hidden="1" x14ac:dyDescent="0.25">
      <c r="A185" s="550"/>
      <c r="B185" s="269"/>
      <c r="C185" s="269"/>
      <c r="D185" s="775" t="s">
        <v>76</v>
      </c>
      <c r="E185" s="258"/>
      <c r="F185" s="258"/>
      <c r="G185" s="261"/>
      <c r="H185" s="308" t="s">
        <v>35</v>
      </c>
      <c r="I185" s="592">
        <v>0</v>
      </c>
      <c r="J185" s="592">
        <v>0</v>
      </c>
      <c r="K185" s="77">
        <f t="shared" si="129"/>
        <v>0</v>
      </c>
      <c r="L185" s="86"/>
      <c r="M185" s="87"/>
      <c r="N185" s="87"/>
      <c r="O185" s="87"/>
      <c r="P185" s="87"/>
      <c r="Q185" s="87"/>
      <c r="R185" s="87"/>
      <c r="S185" s="87"/>
      <c r="T185" s="87"/>
      <c r="U185" s="87"/>
    </row>
    <row r="186" spans="1:21" ht="19.5" x14ac:dyDescent="0.3">
      <c r="A186" s="1123"/>
      <c r="B186" s="1124" t="s">
        <v>77</v>
      </c>
      <c r="C186" s="783"/>
      <c r="D186" s="280"/>
      <c r="E186" s="280"/>
      <c r="F186" s="280"/>
      <c r="G186" s="281"/>
      <c r="H186" s="1125" t="s">
        <v>35</v>
      </c>
      <c r="I186" s="1126">
        <f t="shared" ref="I186:J186" ca="1" si="130">I231+I232</f>
        <v>15</v>
      </c>
      <c r="J186" s="1126">
        <f t="shared" si="130"/>
        <v>0</v>
      </c>
      <c r="K186" s="1127">
        <f t="shared" ca="1" si="129"/>
        <v>0</v>
      </c>
      <c r="L186" s="375"/>
      <c r="M186" s="376"/>
      <c r="N186" s="376"/>
      <c r="O186" s="376"/>
      <c r="P186" s="376"/>
      <c r="Q186" s="376"/>
      <c r="R186" s="376"/>
      <c r="S186" s="376"/>
      <c r="T186" s="376"/>
      <c r="U186" s="376"/>
    </row>
    <row r="187" spans="1:21" ht="19.5" x14ac:dyDescent="0.3">
      <c r="A187" s="257"/>
      <c r="B187" s="258"/>
      <c r="C187" s="259" t="s">
        <v>18</v>
      </c>
      <c r="D187" s="260" t="s">
        <v>19</v>
      </c>
      <c r="E187" s="258"/>
      <c r="F187" s="258"/>
      <c r="G187" s="261"/>
      <c r="H187" s="262" t="s">
        <v>14</v>
      </c>
      <c r="I187" s="263"/>
      <c r="J187" s="263"/>
      <c r="K187" s="87"/>
      <c r="L187" s="1257">
        <f t="shared" ref="L187:N187" ca="1" si="131">L188+L189</f>
        <v>226700</v>
      </c>
      <c r="M187" s="264">
        <f t="shared" ca="1" si="131"/>
        <v>228220</v>
      </c>
      <c r="N187" s="264">
        <f t="shared" ca="1" si="131"/>
        <v>32492.45</v>
      </c>
      <c r="O187" s="264">
        <f t="shared" ref="O187:O195" ca="1" si="132">IF(L187&gt;0,N187*100/L187,0)</f>
        <v>14.332796647551831</v>
      </c>
      <c r="P187" s="264">
        <f t="shared" ref="P187:P195" ca="1" si="133">IF(M187&gt;0,N187*100/M187,0)</f>
        <v>14.23733678029971</v>
      </c>
      <c r="Q187" s="264">
        <f t="shared" ref="Q187:S187" ca="1" si="134">Q188+Q189</f>
        <v>0</v>
      </c>
      <c r="R187" s="264">
        <f t="shared" ca="1" si="134"/>
        <v>0</v>
      </c>
      <c r="S187" s="264">
        <f t="shared" ca="1" si="134"/>
        <v>0</v>
      </c>
      <c r="T187" s="264">
        <f t="shared" ref="T187:T195" ca="1" si="135">IF(Q187&gt;0,S187*100/Q187,0)</f>
        <v>0</v>
      </c>
      <c r="U187" s="264">
        <f t="shared" ref="U187:U195" ca="1" si="136">IF(R187&gt;0,S187*100/R187,0)</f>
        <v>0</v>
      </c>
    </row>
    <row r="188" spans="1:21" ht="18.75" hidden="1" x14ac:dyDescent="0.25">
      <c r="A188" s="257"/>
      <c r="B188" s="258"/>
      <c r="C188" s="258"/>
      <c r="D188" s="258"/>
      <c r="E188" s="265" t="s">
        <v>20</v>
      </c>
      <c r="F188" s="258"/>
      <c r="G188" s="261"/>
      <c r="H188" s="266" t="s">
        <v>14</v>
      </c>
      <c r="I188" s="263"/>
      <c r="J188" s="263"/>
      <c r="K188" s="87"/>
      <c r="L188" s="76">
        <f t="shared" ref="L188:N189" si="137">L191+L194</f>
        <v>0</v>
      </c>
      <c r="M188" s="77">
        <f t="shared" si="137"/>
        <v>0</v>
      </c>
      <c r="N188" s="77">
        <f t="shared" si="137"/>
        <v>0</v>
      </c>
      <c r="O188" s="77">
        <f t="shared" si="132"/>
        <v>0</v>
      </c>
      <c r="P188" s="77">
        <f t="shared" si="133"/>
        <v>0</v>
      </c>
      <c r="Q188" s="77">
        <f t="shared" ref="Q188:S189" si="138">Q191+Q194</f>
        <v>0</v>
      </c>
      <c r="R188" s="77">
        <f t="shared" si="138"/>
        <v>0</v>
      </c>
      <c r="S188" s="77">
        <f t="shared" si="138"/>
        <v>0</v>
      </c>
      <c r="T188" s="77">
        <f t="shared" si="135"/>
        <v>0</v>
      </c>
      <c r="U188" s="77">
        <f t="shared" si="136"/>
        <v>0</v>
      </c>
    </row>
    <row r="189" spans="1:21" ht="18.75" hidden="1" x14ac:dyDescent="0.25">
      <c r="A189" s="257"/>
      <c r="B189" s="258"/>
      <c r="C189" s="258"/>
      <c r="D189" s="258"/>
      <c r="E189" s="267" t="s">
        <v>21</v>
      </c>
      <c r="F189" s="258"/>
      <c r="G189" s="261"/>
      <c r="H189" s="268" t="s">
        <v>14</v>
      </c>
      <c r="I189" s="263"/>
      <c r="J189" s="263"/>
      <c r="K189" s="87"/>
      <c r="L189" s="73">
        <f t="shared" ca="1" si="137"/>
        <v>226700</v>
      </c>
      <c r="M189" s="74">
        <f t="shared" ca="1" si="137"/>
        <v>228220</v>
      </c>
      <c r="N189" s="74">
        <f t="shared" ca="1" si="137"/>
        <v>32492.45</v>
      </c>
      <c r="O189" s="74">
        <f t="shared" ca="1" si="132"/>
        <v>14.332796647551831</v>
      </c>
      <c r="P189" s="74">
        <f t="shared" ca="1" si="133"/>
        <v>14.23733678029971</v>
      </c>
      <c r="Q189" s="74">
        <f t="shared" ca="1" si="138"/>
        <v>0</v>
      </c>
      <c r="R189" s="74">
        <f t="shared" ca="1" si="138"/>
        <v>0</v>
      </c>
      <c r="S189" s="74">
        <f t="shared" ca="1" si="138"/>
        <v>0</v>
      </c>
      <c r="T189" s="74">
        <f t="shared" ca="1" si="135"/>
        <v>0</v>
      </c>
      <c r="U189" s="74">
        <f t="shared" ca="1" si="136"/>
        <v>0</v>
      </c>
    </row>
    <row r="190" spans="1:21" ht="18.75" x14ac:dyDescent="0.25">
      <c r="A190" s="257"/>
      <c r="B190" s="269"/>
      <c r="C190" s="258"/>
      <c r="D190" s="270" t="s">
        <v>22</v>
      </c>
      <c r="E190" s="258"/>
      <c r="F190" s="258"/>
      <c r="G190" s="261"/>
      <c r="H190" s="271" t="s">
        <v>14</v>
      </c>
      <c r="I190" s="272"/>
      <c r="J190" s="272"/>
      <c r="K190" s="229"/>
      <c r="L190" s="73">
        <f t="shared" ref="L190:N190" ca="1" si="139">L191+L192</f>
        <v>226700</v>
      </c>
      <c r="M190" s="74">
        <f t="shared" ca="1" si="139"/>
        <v>228220</v>
      </c>
      <c r="N190" s="74">
        <f t="shared" ca="1" si="139"/>
        <v>32492.45</v>
      </c>
      <c r="O190" s="74">
        <f t="shared" ca="1" si="132"/>
        <v>14.332796647551831</v>
      </c>
      <c r="P190" s="74">
        <f t="shared" ca="1" si="133"/>
        <v>14.23733678029971</v>
      </c>
      <c r="Q190" s="74">
        <f t="shared" ref="Q190:S190" ca="1" si="140">Q191+Q192</f>
        <v>0</v>
      </c>
      <c r="R190" s="74">
        <f t="shared" ca="1" si="140"/>
        <v>0</v>
      </c>
      <c r="S190" s="74">
        <f t="shared" ca="1" si="140"/>
        <v>0</v>
      </c>
      <c r="T190" s="74">
        <f t="shared" ca="1" si="135"/>
        <v>0</v>
      </c>
      <c r="U190" s="74">
        <f t="shared" ca="1" si="136"/>
        <v>0</v>
      </c>
    </row>
    <row r="191" spans="1:21" ht="18.75" hidden="1" x14ac:dyDescent="0.25">
      <c r="A191" s="257"/>
      <c r="B191" s="258"/>
      <c r="C191" s="258"/>
      <c r="D191" s="258"/>
      <c r="E191" s="265" t="s">
        <v>36</v>
      </c>
      <c r="F191" s="258"/>
      <c r="G191" s="261"/>
      <c r="H191" s="273" t="s">
        <v>14</v>
      </c>
      <c r="I191" s="272"/>
      <c r="J191" s="272"/>
      <c r="K191" s="229"/>
      <c r="L191" s="76">
        <v>0</v>
      </c>
      <c r="M191" s="77">
        <v>0</v>
      </c>
      <c r="N191" s="77">
        <v>0</v>
      </c>
      <c r="O191" s="77">
        <f t="shared" si="132"/>
        <v>0</v>
      </c>
      <c r="P191" s="77">
        <f t="shared" si="133"/>
        <v>0</v>
      </c>
      <c r="Q191" s="77">
        <v>0</v>
      </c>
      <c r="R191" s="77">
        <v>0</v>
      </c>
      <c r="S191" s="77">
        <v>0</v>
      </c>
      <c r="T191" s="77">
        <f t="shared" si="135"/>
        <v>0</v>
      </c>
      <c r="U191" s="77">
        <f t="shared" si="136"/>
        <v>0</v>
      </c>
    </row>
    <row r="192" spans="1:21" ht="18.75" hidden="1" x14ac:dyDescent="0.25">
      <c r="A192" s="257"/>
      <c r="B192" s="269"/>
      <c r="C192" s="258"/>
      <c r="D192" s="258"/>
      <c r="E192" s="267" t="s">
        <v>37</v>
      </c>
      <c r="F192" s="258"/>
      <c r="G192" s="261"/>
      <c r="H192" s="271" t="s">
        <v>14</v>
      </c>
      <c r="I192" s="272"/>
      <c r="J192" s="272"/>
      <c r="K192" s="229"/>
      <c r="L192" s="73">
        <f ca="1">IFERROR(__xludf.DUMMYFUNCTION("IMPORTRANGE(""https://docs.google.com/spreadsheets/d/1-uDff_7J0KD5mKrp0Vvzr7lt3OU09vwQwhkpOPPYv2Y/edit?usp=sharing"",""งบพรบ!CU60"")"),226700)</f>
        <v>226700</v>
      </c>
      <c r="M192" s="74">
        <f ca="1">IFERROR(__xludf.DUMMYFUNCTION("IMPORTRANGE(""https://docs.google.com/spreadsheets/d/1-uDff_7J0KD5mKrp0Vvzr7lt3OU09vwQwhkpOPPYv2Y/edit?usp=sharing"",""งบพรบ!CZ60"")"),228220)</f>
        <v>228220</v>
      </c>
      <c r="N192" s="74">
        <f ca="1">IFERROR(__xludf.DUMMYFUNCTION("IMPORTRANGE(""https://docs.google.com/spreadsheets/d/1-uDff_7J0KD5mKrp0Vvzr7lt3OU09vwQwhkpOPPYv2Y/edit?usp=sharing"",""งบพรบ!DB60"")"),32492.45)</f>
        <v>32492.45</v>
      </c>
      <c r="O192" s="74">
        <f t="shared" ca="1" si="132"/>
        <v>14.332796647551831</v>
      </c>
      <c r="P192" s="74">
        <f t="shared" ca="1" si="133"/>
        <v>14.23733678029971</v>
      </c>
      <c r="Q192" s="74">
        <f ca="1">IFERROR(__xludf.DUMMYFUNCTION("IMPORTRANGE(""https://docs.google.com/spreadsheets/d/1ItG2mGa2ceCfYo0BwxsXqNm01IGEUdYcSSLTEv9YCik/edit?usp=sharing"",""เบิกจ่ายกองทุน!AV60"")"),0)</f>
        <v>0</v>
      </c>
      <c r="R192" s="74">
        <f ca="1">IFERROR(__xludf.DUMMYFUNCTION("IMPORTRANGE(""https://docs.google.com/spreadsheets/d/1ItG2mGa2ceCfYo0BwxsXqNm01IGEUdYcSSLTEv9YCik/edit?usp=sharing"",""เบิกจ่ายกองทุน!AW60"")"),0)</f>
        <v>0</v>
      </c>
      <c r="S192" s="74">
        <f ca="1">IFERROR(__xludf.DUMMYFUNCTION("IMPORTRANGE(""https://docs.google.com/spreadsheets/d/1ItG2mGa2ceCfYo0BwxsXqNm01IGEUdYcSSLTEv9YCik/edit?usp=sharing"",""เบิกจ่ายกองทุน!AX60"")"),0)</f>
        <v>0</v>
      </c>
      <c r="T192" s="74">
        <f t="shared" ca="1" si="135"/>
        <v>0</v>
      </c>
      <c r="U192" s="74">
        <f t="shared" ca="1" si="136"/>
        <v>0</v>
      </c>
    </row>
    <row r="193" spans="1:21" ht="18.75" x14ac:dyDescent="0.25">
      <c r="A193" s="257"/>
      <c r="B193" s="269"/>
      <c r="C193" s="269"/>
      <c r="D193" s="270" t="s">
        <v>23</v>
      </c>
      <c r="E193" s="258"/>
      <c r="F193" s="258"/>
      <c r="G193" s="261"/>
      <c r="H193" s="275" t="s">
        <v>14</v>
      </c>
      <c r="I193" s="272"/>
      <c r="J193" s="272"/>
      <c r="K193" s="229"/>
      <c r="L193" s="73">
        <f t="shared" ref="L193:N193" ca="1" si="141">L194+L195</f>
        <v>0</v>
      </c>
      <c r="M193" s="74">
        <f t="shared" ca="1" si="141"/>
        <v>0</v>
      </c>
      <c r="N193" s="74">
        <f t="shared" ca="1" si="141"/>
        <v>0</v>
      </c>
      <c r="O193" s="74">
        <f t="shared" ca="1" si="132"/>
        <v>0</v>
      </c>
      <c r="P193" s="74">
        <f t="shared" ca="1" si="133"/>
        <v>0</v>
      </c>
      <c r="Q193" s="74">
        <f t="shared" ref="Q193:S193" si="142">Q194+Q195</f>
        <v>0</v>
      </c>
      <c r="R193" s="74">
        <f t="shared" si="142"/>
        <v>0</v>
      </c>
      <c r="S193" s="74">
        <f t="shared" si="142"/>
        <v>0</v>
      </c>
      <c r="T193" s="74">
        <f t="shared" si="135"/>
        <v>0</v>
      </c>
      <c r="U193" s="74">
        <f t="shared" si="136"/>
        <v>0</v>
      </c>
    </row>
    <row r="194" spans="1:21" ht="18.75" hidden="1" x14ac:dyDescent="0.25">
      <c r="A194" s="257"/>
      <c r="B194" s="269"/>
      <c r="C194" s="269"/>
      <c r="D194" s="258"/>
      <c r="E194" s="265" t="s">
        <v>20</v>
      </c>
      <c r="F194" s="258"/>
      <c r="G194" s="261"/>
      <c r="H194" s="273" t="s">
        <v>14</v>
      </c>
      <c r="I194" s="272"/>
      <c r="J194" s="272"/>
      <c r="K194" s="229"/>
      <c r="L194" s="76">
        <v>0</v>
      </c>
      <c r="M194" s="77">
        <v>0</v>
      </c>
      <c r="N194" s="77">
        <v>0</v>
      </c>
      <c r="O194" s="77">
        <f t="shared" si="132"/>
        <v>0</v>
      </c>
      <c r="P194" s="77">
        <f t="shared" si="133"/>
        <v>0</v>
      </c>
      <c r="Q194" s="77">
        <v>0</v>
      </c>
      <c r="R194" s="77">
        <v>0</v>
      </c>
      <c r="S194" s="77">
        <v>0</v>
      </c>
      <c r="T194" s="77">
        <f t="shared" si="135"/>
        <v>0</v>
      </c>
      <c r="U194" s="77">
        <f t="shared" si="136"/>
        <v>0</v>
      </c>
    </row>
    <row r="195" spans="1:21" ht="18.75" hidden="1" x14ac:dyDescent="0.25">
      <c r="A195" s="257"/>
      <c r="B195" s="269"/>
      <c r="C195" s="269"/>
      <c r="D195" s="269"/>
      <c r="E195" s="267" t="s">
        <v>21</v>
      </c>
      <c r="F195" s="258"/>
      <c r="G195" s="261"/>
      <c r="H195" s="275" t="s">
        <v>14</v>
      </c>
      <c r="I195" s="272"/>
      <c r="J195" s="272"/>
      <c r="K195" s="229"/>
      <c r="L195" s="73">
        <f ca="1">IFERROR(__xludf.DUMMYFUNCTION("IMPORTRANGE(""https://docs.google.com/spreadsheets/d/1-uDff_7J0KD5mKrp0Vvzr7lt3OU09vwQwhkpOPPYv2Y/edit?usp=sharing"",""งบพรบ!CX60"")"),0)</f>
        <v>0</v>
      </c>
      <c r="M195" s="74">
        <f ca="1">IFERROR(__xludf.DUMMYFUNCTION("IMPORTRANGE(""https://docs.google.com/spreadsheets/d/1-uDff_7J0KD5mKrp0Vvzr7lt3OU09vwQwhkpOPPYv2Y/edit?usp=sharing"",""งบพรบ!DA60"")"),0)</f>
        <v>0</v>
      </c>
      <c r="N195" s="74">
        <f ca="1">IFERROR(__xludf.DUMMYFUNCTION("IMPORTRANGE(""https://docs.google.com/spreadsheets/d/1-uDff_7J0KD5mKrp0Vvzr7lt3OU09vwQwhkpOPPYv2Y/edit?usp=sharing"",""งบพรบ!DC60"")"),0)</f>
        <v>0</v>
      </c>
      <c r="O195" s="74">
        <f t="shared" ca="1" si="132"/>
        <v>0</v>
      </c>
      <c r="P195" s="74">
        <f t="shared" ca="1" si="133"/>
        <v>0</v>
      </c>
      <c r="Q195" s="74">
        <v>0</v>
      </c>
      <c r="R195" s="74">
        <v>0</v>
      </c>
      <c r="S195" s="74">
        <v>0</v>
      </c>
      <c r="T195" s="74">
        <f t="shared" si="135"/>
        <v>0</v>
      </c>
      <c r="U195" s="74">
        <f t="shared" si="136"/>
        <v>0</v>
      </c>
    </row>
    <row r="196" spans="1:21" ht="19.5" x14ac:dyDescent="0.3">
      <c r="A196" s="553"/>
      <c r="B196" s="555"/>
      <c r="C196" s="1128" t="s">
        <v>78</v>
      </c>
      <c r="D196" s="555"/>
      <c r="E196" s="554"/>
      <c r="F196" s="554"/>
      <c r="G196" s="557"/>
      <c r="H196" s="558" t="s">
        <v>79</v>
      </c>
      <c r="I196" s="559">
        <f t="shared" ref="I196:J196" ca="1" si="143">I199</f>
        <v>4</v>
      </c>
      <c r="J196" s="559">
        <f t="shared" si="143"/>
        <v>1</v>
      </c>
      <c r="K196" s="560">
        <f ca="1">IF(I196&gt;0,J196*100/I196,0)</f>
        <v>25</v>
      </c>
      <c r="L196" s="391"/>
      <c r="M196" s="392"/>
      <c r="N196" s="392"/>
      <c r="O196" s="392"/>
      <c r="P196" s="392"/>
      <c r="Q196" s="392"/>
      <c r="R196" s="392"/>
      <c r="S196" s="392"/>
      <c r="T196" s="392"/>
      <c r="U196" s="392"/>
    </row>
    <row r="197" spans="1:21" ht="19.5" x14ac:dyDescent="0.3">
      <c r="A197" s="257"/>
      <c r="B197" s="269"/>
      <c r="C197" s="259" t="s">
        <v>18</v>
      </c>
      <c r="D197" s="1129" t="s">
        <v>19</v>
      </c>
      <c r="E197" s="258"/>
      <c r="F197" s="258"/>
      <c r="G197" s="261"/>
      <c r="H197" s="633" t="s">
        <v>14</v>
      </c>
      <c r="I197" s="263"/>
      <c r="J197" s="263"/>
      <c r="K197" s="87"/>
      <c r="L197" s="1257">
        <f ca="1">IFERROR(__xludf.DUMMYFUNCTION("IMPORTRANGE(""https://docs.google.com/spreadsheets/d/1eHaY18a8A9IcSdp1K8H6x8fbOy06t2VsZHhMHf-1x7Y/edit?usp=sharing"",""แผน!AB60"")"),6000)</f>
        <v>6000</v>
      </c>
      <c r="M197" s="87"/>
      <c r="N197" s="923">
        <v>0</v>
      </c>
      <c r="O197" s="264">
        <f ca="1">IF(L197&gt;0,N197*100/L197,0)</f>
        <v>0</v>
      </c>
      <c r="P197" s="264">
        <f>IF(M197&gt;0,N197*100/M197,0)</f>
        <v>0</v>
      </c>
      <c r="Q197" s="87"/>
      <c r="R197" s="87"/>
      <c r="S197" s="87"/>
      <c r="T197" s="87"/>
      <c r="U197" s="87"/>
    </row>
    <row r="198" spans="1:21" ht="19.5" x14ac:dyDescent="0.3">
      <c r="A198" s="276"/>
      <c r="B198" s="277"/>
      <c r="C198" s="259" t="s">
        <v>18</v>
      </c>
      <c r="D198" s="1019" t="s">
        <v>38</v>
      </c>
      <c r="E198" s="280"/>
      <c r="F198" s="280"/>
      <c r="G198" s="281"/>
      <c r="H198" s="310"/>
      <c r="I198" s="263"/>
      <c r="J198" s="263"/>
      <c r="K198" s="87"/>
      <c r="L198" s="86"/>
      <c r="M198" s="87"/>
      <c r="N198" s="87"/>
      <c r="O198" s="87"/>
      <c r="P198" s="87"/>
      <c r="Q198" s="87"/>
      <c r="R198" s="87"/>
      <c r="S198" s="87"/>
      <c r="T198" s="87"/>
      <c r="U198" s="87"/>
    </row>
    <row r="199" spans="1:21" ht="18.75" x14ac:dyDescent="0.25">
      <c r="A199" s="276"/>
      <c r="B199" s="277"/>
      <c r="C199" s="277"/>
      <c r="D199" s="295" t="s">
        <v>80</v>
      </c>
      <c r="E199" s="296"/>
      <c r="F199" s="296"/>
      <c r="G199" s="282"/>
      <c r="H199" s="275" t="s">
        <v>79</v>
      </c>
      <c r="I199" s="293">
        <f ca="1">IFERROR(__xludf.DUMMYFUNCTION("IMPORTRANGE(""https://docs.google.com/spreadsheets/d/1eHaY18a8A9IcSdp1K8H6x8fbOy06t2VsZHhMHf-1x7Y/edit?usp=sharing"",""แผน!AE60"")"),4)</f>
        <v>4</v>
      </c>
      <c r="J199" s="294">
        <v>1</v>
      </c>
      <c r="K199" s="74">
        <f ca="1">IF(I199&gt;0,J199*100/I199,0)</f>
        <v>25</v>
      </c>
      <c r="L199" s="86"/>
      <c r="M199" s="87"/>
      <c r="N199" s="87"/>
      <c r="O199" s="87"/>
      <c r="P199" s="87"/>
      <c r="Q199" s="87"/>
      <c r="R199" s="87"/>
      <c r="S199" s="87"/>
      <c r="T199" s="87"/>
      <c r="U199" s="87"/>
    </row>
    <row r="200" spans="1:21" ht="18.75" x14ac:dyDescent="0.25">
      <c r="A200" s="276"/>
      <c r="B200" s="277"/>
      <c r="C200" s="277"/>
      <c r="D200" s="295" t="s">
        <v>81</v>
      </c>
      <c r="E200" s="296"/>
      <c r="F200" s="296"/>
      <c r="G200" s="282"/>
      <c r="H200" s="551" t="s">
        <v>35</v>
      </c>
      <c r="I200" s="263"/>
      <c r="J200" s="293">
        <f>J201+J202</f>
        <v>0</v>
      </c>
      <c r="K200" s="87"/>
      <c r="L200" s="86"/>
      <c r="M200" s="87"/>
      <c r="N200" s="87"/>
      <c r="O200" s="87"/>
      <c r="P200" s="87"/>
      <c r="Q200" s="87"/>
      <c r="R200" s="87"/>
      <c r="S200" s="87"/>
      <c r="T200" s="87"/>
      <c r="U200" s="87"/>
    </row>
    <row r="201" spans="1:21" ht="18.75" x14ac:dyDescent="0.25">
      <c r="A201" s="276"/>
      <c r="B201" s="277"/>
      <c r="C201" s="277"/>
      <c r="D201" s="277"/>
      <c r="E201" s="295" t="s">
        <v>82</v>
      </c>
      <c r="F201" s="296"/>
      <c r="G201" s="282"/>
      <c r="H201" s="551" t="s">
        <v>35</v>
      </c>
      <c r="I201" s="263"/>
      <c r="J201" s="294">
        <v>0</v>
      </c>
      <c r="K201" s="87"/>
      <c r="L201" s="86"/>
      <c r="M201" s="87"/>
      <c r="N201" s="87"/>
      <c r="O201" s="87"/>
      <c r="P201" s="87"/>
      <c r="Q201" s="87"/>
      <c r="R201" s="87"/>
      <c r="S201" s="87"/>
      <c r="T201" s="87"/>
      <c r="U201" s="87"/>
    </row>
    <row r="202" spans="1:21" ht="18.75" x14ac:dyDescent="0.25">
      <c r="A202" s="276"/>
      <c r="B202" s="277"/>
      <c r="C202" s="277"/>
      <c r="D202" s="277"/>
      <c r="E202" s="295" t="s">
        <v>83</v>
      </c>
      <c r="F202" s="296"/>
      <c r="G202" s="282"/>
      <c r="H202" s="551" t="s">
        <v>35</v>
      </c>
      <c r="I202" s="263"/>
      <c r="J202" s="294">
        <v>0</v>
      </c>
      <c r="K202" s="87"/>
      <c r="L202" s="86"/>
      <c r="M202" s="87"/>
      <c r="N202" s="87"/>
      <c r="O202" s="87"/>
      <c r="P202" s="87"/>
      <c r="Q202" s="87"/>
      <c r="R202" s="87"/>
      <c r="S202" s="87"/>
      <c r="T202" s="87"/>
      <c r="U202" s="87"/>
    </row>
    <row r="203" spans="1:21" ht="19.5" x14ac:dyDescent="0.3">
      <c r="A203" s="553"/>
      <c r="B203" s="555"/>
      <c r="C203" s="1130" t="s">
        <v>84</v>
      </c>
      <c r="D203" s="554"/>
      <c r="E203" s="554"/>
      <c r="F203" s="554"/>
      <c r="G203" s="557"/>
      <c r="H203" s="1131" t="s">
        <v>85</v>
      </c>
      <c r="I203" s="559">
        <f t="shared" ref="I203:J203" ca="1" si="144">I210</f>
        <v>0</v>
      </c>
      <c r="J203" s="559">
        <f t="shared" si="144"/>
        <v>0</v>
      </c>
      <c r="K203" s="560">
        <f ca="1">IF(I203&gt;0,J203*100/I203,0)</f>
        <v>0</v>
      </c>
      <c r="L203" s="391"/>
      <c r="M203" s="392"/>
      <c r="N203" s="392"/>
      <c r="O203" s="392"/>
      <c r="P203" s="392"/>
      <c r="Q203" s="392"/>
      <c r="R203" s="392"/>
      <c r="S203" s="392"/>
      <c r="T203" s="392"/>
      <c r="U203" s="392"/>
    </row>
    <row r="204" spans="1:21" ht="19.5" x14ac:dyDescent="0.3">
      <c r="A204" s="257"/>
      <c r="B204" s="269"/>
      <c r="C204" s="621" t="s">
        <v>18</v>
      </c>
      <c r="D204" s="1129" t="s">
        <v>19</v>
      </c>
      <c r="E204" s="258"/>
      <c r="F204" s="258"/>
      <c r="G204" s="261"/>
      <c r="H204" s="633" t="s">
        <v>14</v>
      </c>
      <c r="I204" s="272"/>
      <c r="J204" s="272"/>
      <c r="K204" s="229"/>
      <c r="L204" s="1257">
        <f ca="1">L205+L206+L207+L208</f>
        <v>0</v>
      </c>
      <c r="M204" s="87"/>
      <c r="N204" s="264">
        <f>N205+N206+N207+N208</f>
        <v>0</v>
      </c>
      <c r="O204" s="264">
        <f ca="1">IF(L204&gt;0,N204*100/L204,0)</f>
        <v>0</v>
      </c>
      <c r="P204" s="264">
        <f>IF(M204&gt;0,N204*100/M204,0)</f>
        <v>0</v>
      </c>
      <c r="Q204" s="87"/>
      <c r="R204" s="87"/>
      <c r="S204" s="87"/>
      <c r="T204" s="87"/>
      <c r="U204" s="87"/>
    </row>
    <row r="205" spans="1:21" ht="18.75" x14ac:dyDescent="0.25">
      <c r="A205" s="257"/>
      <c r="B205" s="269"/>
      <c r="C205" s="269"/>
      <c r="D205" s="267" t="s">
        <v>86</v>
      </c>
      <c r="E205" s="258"/>
      <c r="F205" s="258"/>
      <c r="G205" s="261"/>
      <c r="H205" s="271" t="s">
        <v>14</v>
      </c>
      <c r="I205" s="272"/>
      <c r="J205" s="272"/>
      <c r="K205" s="229"/>
      <c r="L205" s="73">
        <f ca="1">IFERROR(__xludf.DUMMYFUNCTION("IMPORTRANGE(""https://docs.google.com/spreadsheets/d/1eHaY18a8A9IcSdp1K8H6x8fbOy06t2VsZHhMHf-1x7Y/edit?usp=sharing"",""แผน!AG60"")"),0)</f>
        <v>0</v>
      </c>
      <c r="M205" s="87"/>
      <c r="N205" s="924">
        <v>0</v>
      </c>
      <c r="O205" s="229"/>
      <c r="P205" s="87"/>
      <c r="Q205" s="87"/>
      <c r="R205" s="87"/>
      <c r="S205" s="87"/>
      <c r="T205" s="229"/>
      <c r="U205" s="87"/>
    </row>
    <row r="206" spans="1:21" ht="18.75" x14ac:dyDescent="0.25">
      <c r="A206" s="550"/>
      <c r="B206" s="269"/>
      <c r="C206" s="269"/>
      <c r="D206" s="267" t="s">
        <v>88</v>
      </c>
      <c r="E206" s="258"/>
      <c r="F206" s="258"/>
      <c r="G206" s="261"/>
      <c r="H206" s="292" t="s">
        <v>14</v>
      </c>
      <c r="I206" s="263"/>
      <c r="J206" s="263"/>
      <c r="K206" s="87"/>
      <c r="L206" s="73">
        <f ca="1">IFERROR(__xludf.DUMMYFUNCTION("IMPORTRANGE(""https://docs.google.com/spreadsheets/d/1eHaY18a8A9IcSdp1K8H6x8fbOy06t2VsZHhMHf-1x7Y/edit?usp=sharing"",""แผน!AH60"")"),0)</f>
        <v>0</v>
      </c>
      <c r="M206" s="87"/>
      <c r="N206" s="924">
        <v>0</v>
      </c>
      <c r="O206" s="229"/>
      <c r="P206" s="87"/>
      <c r="Q206" s="87"/>
      <c r="R206" s="87"/>
      <c r="S206" s="87"/>
      <c r="T206" s="229"/>
      <c r="U206" s="87"/>
    </row>
    <row r="207" spans="1:21" ht="18.75" x14ac:dyDescent="0.25">
      <c r="A207" s="550"/>
      <c r="B207" s="269"/>
      <c r="C207" s="269"/>
      <c r="D207" s="267" t="s">
        <v>95</v>
      </c>
      <c r="E207" s="258"/>
      <c r="F207" s="258"/>
      <c r="G207" s="261"/>
      <c r="H207" s="292" t="s">
        <v>14</v>
      </c>
      <c r="I207" s="263"/>
      <c r="J207" s="263"/>
      <c r="K207" s="87"/>
      <c r="L207" s="73">
        <f ca="1">IFERROR(__xludf.DUMMYFUNCTION("IMPORTRANGE(""https://docs.google.com/spreadsheets/d/1eHaY18a8A9IcSdp1K8H6x8fbOy06t2VsZHhMHf-1x7Y/edit?usp=sharing"",""แผน!AI60"")"),0)</f>
        <v>0</v>
      </c>
      <c r="M207" s="87"/>
      <c r="N207" s="924">
        <v>0</v>
      </c>
      <c r="O207" s="229"/>
      <c r="P207" s="87"/>
      <c r="Q207" s="87"/>
      <c r="R207" s="87"/>
      <c r="S207" s="87"/>
      <c r="T207" s="229"/>
      <c r="U207" s="87"/>
    </row>
    <row r="208" spans="1:21" ht="18.75" x14ac:dyDescent="0.25">
      <c r="A208" s="550"/>
      <c r="B208" s="269"/>
      <c r="C208" s="258"/>
      <c r="D208" s="258"/>
      <c r="E208" s="258"/>
      <c r="F208" s="258"/>
      <c r="G208" s="261"/>
      <c r="H208" s="261"/>
      <c r="I208" s="263"/>
      <c r="J208" s="263"/>
      <c r="K208" s="87"/>
      <c r="L208" s="73">
        <f ca="1">IFERROR(__xludf.DUMMYFUNCTION("IMPORTRANGE(""https://docs.google.com/spreadsheets/d/1eHaY18a8A9IcSdp1K8H6x8fbOy06t2VsZHhMHf-1x7Y/edit?usp=sharing"",""แผน!AJ60"")"),0)</f>
        <v>0</v>
      </c>
      <c r="M208" s="87"/>
      <c r="N208" s="924">
        <v>0</v>
      </c>
      <c r="O208" s="229"/>
      <c r="P208" s="87"/>
      <c r="Q208" s="87"/>
      <c r="R208" s="87"/>
      <c r="S208" s="87"/>
      <c r="T208" s="229"/>
      <c r="U208" s="87"/>
    </row>
    <row r="209" spans="1:21" ht="19.5" x14ac:dyDescent="0.3">
      <c r="A209" s="276"/>
      <c r="B209" s="277"/>
      <c r="C209" s="259" t="s">
        <v>18</v>
      </c>
      <c r="D209" s="1019" t="s">
        <v>38</v>
      </c>
      <c r="E209" s="280"/>
      <c r="F209" s="280"/>
      <c r="G209" s="281"/>
      <c r="H209" s="310"/>
      <c r="I209" s="272"/>
      <c r="J209" s="272"/>
      <c r="K209" s="229"/>
      <c r="L209" s="228"/>
      <c r="M209" s="229"/>
      <c r="N209" s="229"/>
      <c r="O209" s="229"/>
      <c r="P209" s="229"/>
      <c r="Q209" s="229"/>
      <c r="R209" s="229"/>
      <c r="S209" s="229"/>
      <c r="T209" s="229"/>
      <c r="U209" s="229"/>
    </row>
    <row r="210" spans="1:21" ht="18.75" x14ac:dyDescent="0.25">
      <c r="A210" s="276"/>
      <c r="B210" s="277"/>
      <c r="C210" s="277"/>
      <c r="D210" s="767" t="s">
        <v>90</v>
      </c>
      <c r="E210" s="296"/>
      <c r="F210" s="296"/>
      <c r="G210" s="282"/>
      <c r="H210" s="1132" t="s">
        <v>85</v>
      </c>
      <c r="I210" s="293">
        <f ca="1">IFERROR(__xludf.DUMMYFUNCTION("IMPORTRANGE(""https://docs.google.com/spreadsheets/d/1eHaY18a8A9IcSdp1K8H6x8fbOy06t2VsZHhMHf-1x7Y/edit?usp=sharing"",""แผน!AK60"")"),0)</f>
        <v>0</v>
      </c>
      <c r="J210" s="294">
        <v>0</v>
      </c>
      <c r="K210" s="768">
        <f ca="1">IF(I210&gt;0,J210*100/I210,0)</f>
        <v>0</v>
      </c>
      <c r="L210" s="86"/>
      <c r="M210" s="87"/>
      <c r="N210" s="87"/>
      <c r="O210" s="87"/>
      <c r="P210" s="87"/>
      <c r="Q210" s="87"/>
      <c r="R210" s="87"/>
      <c r="S210" s="87"/>
      <c r="T210" s="87"/>
      <c r="U210" s="87"/>
    </row>
    <row r="211" spans="1:21" ht="18.75" x14ac:dyDescent="0.25">
      <c r="A211" s="276"/>
      <c r="B211" s="277"/>
      <c r="C211" s="277"/>
      <c r="D211" s="295" t="s">
        <v>50</v>
      </c>
      <c r="E211" s="296"/>
      <c r="F211" s="296"/>
      <c r="G211" s="282"/>
      <c r="H211" s="310"/>
      <c r="I211" s="263"/>
      <c r="J211" s="263"/>
      <c r="K211" s="229"/>
      <c r="L211" s="86"/>
      <c r="M211" s="87"/>
      <c r="N211" s="87"/>
      <c r="O211" s="87"/>
      <c r="P211" s="87"/>
      <c r="Q211" s="87"/>
      <c r="R211" s="87"/>
      <c r="S211" s="87"/>
      <c r="T211" s="87"/>
      <c r="U211" s="87"/>
    </row>
    <row r="212" spans="1:21" ht="18.75" x14ac:dyDescent="0.25">
      <c r="A212" s="276"/>
      <c r="B212" s="277"/>
      <c r="C212" s="277"/>
      <c r="D212" s="296"/>
      <c r="E212" s="295" t="s">
        <v>91</v>
      </c>
      <c r="F212" s="296"/>
      <c r="G212" s="282"/>
      <c r="H212" s="1132" t="s">
        <v>85</v>
      </c>
      <c r="I212" s="293">
        <f ca="1">IFERROR(__xludf.DUMMYFUNCTION("IMPORTRANGE(""https://docs.google.com/spreadsheets/d/1eHaY18a8A9IcSdp1K8H6x8fbOy06t2VsZHhMHf-1x7Y/edit?usp=sharing"",""แผน!AK60"")"),0)</f>
        <v>0</v>
      </c>
      <c r="J212" s="294">
        <v>0</v>
      </c>
      <c r="K212" s="768">
        <f t="shared" ref="K212:K214" ca="1" si="145">IF(I212&gt;0,J212*100/I212,0)</f>
        <v>0</v>
      </c>
      <c r="L212" s="86"/>
      <c r="M212" s="87"/>
      <c r="N212" s="87"/>
      <c r="O212" s="87"/>
      <c r="P212" s="87"/>
      <c r="Q212" s="87"/>
      <c r="R212" s="87"/>
      <c r="S212" s="87"/>
      <c r="T212" s="87"/>
      <c r="U212" s="87"/>
    </row>
    <row r="213" spans="1:21" ht="18.75" x14ac:dyDescent="0.25">
      <c r="A213" s="276"/>
      <c r="B213" s="277"/>
      <c r="C213" s="277"/>
      <c r="D213" s="296"/>
      <c r="E213" s="295" t="s">
        <v>92</v>
      </c>
      <c r="F213" s="296"/>
      <c r="G213" s="296"/>
      <c r="H213" s="299" t="s">
        <v>93</v>
      </c>
      <c r="I213" s="293">
        <f ca="1">IFERROR(__xludf.DUMMYFUNCTION("IMPORTRANGE(""https://docs.google.com/spreadsheets/d/1eHaY18a8A9IcSdp1K8H6x8fbOy06t2VsZHhMHf-1x7Y/edit?usp=sharing"",""แผน!AK60"")"),0)</f>
        <v>0</v>
      </c>
      <c r="J213" s="294">
        <v>0</v>
      </c>
      <c r="K213" s="768">
        <f t="shared" ca="1" si="145"/>
        <v>0</v>
      </c>
      <c r="L213" s="86"/>
      <c r="M213" s="87"/>
      <c r="N213" s="87"/>
      <c r="O213" s="87"/>
      <c r="P213" s="87"/>
      <c r="Q213" s="87"/>
      <c r="R213" s="87"/>
      <c r="S213" s="87"/>
      <c r="T213" s="87"/>
      <c r="U213" s="87"/>
    </row>
    <row r="214" spans="1:21" ht="19.5" hidden="1" x14ac:dyDescent="0.3">
      <c r="A214" s="553"/>
      <c r="B214" s="555"/>
      <c r="C214" s="1128" t="s">
        <v>94</v>
      </c>
      <c r="D214" s="554"/>
      <c r="E214" s="554"/>
      <c r="F214" s="554"/>
      <c r="G214" s="557"/>
      <c r="H214" s="1131" t="s">
        <v>85</v>
      </c>
      <c r="I214" s="559">
        <f t="shared" ref="I214:J214" ca="1" si="146">I221</f>
        <v>0</v>
      </c>
      <c r="J214" s="559">
        <f t="shared" si="146"/>
        <v>0</v>
      </c>
      <c r="K214" s="560">
        <f t="shared" ca="1" si="145"/>
        <v>0</v>
      </c>
      <c r="L214" s="391"/>
      <c r="M214" s="392"/>
      <c r="N214" s="392"/>
      <c r="O214" s="392"/>
      <c r="P214" s="392"/>
      <c r="Q214" s="392"/>
      <c r="R214" s="392"/>
      <c r="S214" s="392"/>
      <c r="T214" s="392"/>
      <c r="U214" s="392"/>
    </row>
    <row r="215" spans="1:21" ht="19.5" hidden="1" x14ac:dyDescent="0.3">
      <c r="A215" s="257"/>
      <c r="B215" s="269"/>
      <c r="C215" s="621" t="s">
        <v>18</v>
      </c>
      <c r="D215" s="1129" t="s">
        <v>19</v>
      </c>
      <c r="E215" s="258"/>
      <c r="F215" s="258"/>
      <c r="G215" s="261"/>
      <c r="H215" s="633" t="s">
        <v>14</v>
      </c>
      <c r="I215" s="272"/>
      <c r="J215" s="272"/>
      <c r="K215" s="229"/>
      <c r="L215" s="1257">
        <f ca="1">L216+L217+L218</f>
        <v>0</v>
      </c>
      <c r="M215" s="87"/>
      <c r="N215" s="264">
        <f>N216+N217+N218</f>
        <v>0</v>
      </c>
      <c r="O215" s="264">
        <f ca="1">IF(L215&gt;0,N215*100/L215,0)</f>
        <v>0</v>
      </c>
      <c r="P215" s="264">
        <f>IF(M215&gt;0,N215*100/M215,0)</f>
        <v>0</v>
      </c>
      <c r="Q215" s="87"/>
      <c r="R215" s="87"/>
      <c r="S215" s="87"/>
      <c r="T215" s="87"/>
      <c r="U215" s="87"/>
    </row>
    <row r="216" spans="1:21" ht="18.75" hidden="1" x14ac:dyDescent="0.25">
      <c r="A216" s="257"/>
      <c r="B216" s="269"/>
      <c r="C216" s="258"/>
      <c r="D216" s="267" t="s">
        <v>86</v>
      </c>
      <c r="E216" s="258"/>
      <c r="F216" s="258"/>
      <c r="G216" s="261"/>
      <c r="H216" s="271" t="s">
        <v>14</v>
      </c>
      <c r="I216" s="272"/>
      <c r="J216" s="272"/>
      <c r="K216" s="229"/>
      <c r="L216" s="73">
        <f ca="1">IFERROR(__xludf.DUMMYFUNCTION("IMPORTRANGE(""https://docs.google.com/spreadsheets/d/1eHaY18a8A9IcSdp1K8H6x8fbOy06t2VsZHhMHf-1x7Y/edit?usp=sharing"",""แผน!AM60"")"),0)</f>
        <v>0</v>
      </c>
      <c r="M216" s="87"/>
      <c r="N216" s="924">
        <v>0</v>
      </c>
      <c r="O216" s="229"/>
      <c r="P216" s="87"/>
      <c r="Q216" s="87"/>
      <c r="R216" s="87"/>
      <c r="S216" s="87"/>
      <c r="T216" s="229"/>
      <c r="U216" s="87"/>
    </row>
    <row r="217" spans="1:21" ht="18.75" hidden="1" x14ac:dyDescent="0.25">
      <c r="A217" s="550"/>
      <c r="B217" s="269"/>
      <c r="C217" s="269"/>
      <c r="D217" s="267" t="s">
        <v>95</v>
      </c>
      <c r="E217" s="258"/>
      <c r="F217" s="258"/>
      <c r="G217" s="261"/>
      <c r="H217" s="271" t="s">
        <v>14</v>
      </c>
      <c r="I217" s="263"/>
      <c r="J217" s="263"/>
      <c r="K217" s="87"/>
      <c r="L217" s="73">
        <f ca="1">IFERROR(__xludf.DUMMYFUNCTION("IMPORTRANGE(""https://docs.google.com/spreadsheets/d/1eHaY18a8A9IcSdp1K8H6x8fbOy06t2VsZHhMHf-1x7Y/edit?usp=sharing"",""แผน!AN60"")"),0)</f>
        <v>0</v>
      </c>
      <c r="M217" s="87"/>
      <c r="N217" s="924">
        <v>0</v>
      </c>
      <c r="O217" s="229"/>
      <c r="P217" s="87"/>
      <c r="Q217" s="87"/>
      <c r="R217" s="87"/>
      <c r="S217" s="87"/>
      <c r="T217" s="229"/>
      <c r="U217" s="87"/>
    </row>
    <row r="218" spans="1:21" ht="18.75" hidden="1" x14ac:dyDescent="0.25">
      <c r="A218" s="550"/>
      <c r="B218" s="269"/>
      <c r="C218" s="269"/>
      <c r="D218" s="267" t="s">
        <v>88</v>
      </c>
      <c r="E218" s="258"/>
      <c r="F218" s="258"/>
      <c r="G218" s="261"/>
      <c r="H218" s="271" t="s">
        <v>14</v>
      </c>
      <c r="I218" s="263"/>
      <c r="J218" s="263"/>
      <c r="K218" s="87"/>
      <c r="L218" s="73">
        <f ca="1">IFERROR(__xludf.DUMMYFUNCTION("IMPORTRANGE(""https://docs.google.com/spreadsheets/d/1eHaY18a8A9IcSdp1K8H6x8fbOy06t2VsZHhMHf-1x7Y/edit?usp=sharing"",""แผน!AO60"")"),0)</f>
        <v>0</v>
      </c>
      <c r="M218" s="87"/>
      <c r="N218" s="924">
        <v>0</v>
      </c>
      <c r="O218" s="229"/>
      <c r="P218" s="87"/>
      <c r="Q218" s="87"/>
      <c r="R218" s="87"/>
      <c r="S218" s="87"/>
      <c r="T218" s="229"/>
      <c r="U218" s="87"/>
    </row>
    <row r="219" spans="1:21" ht="19.5" hidden="1" x14ac:dyDescent="0.3">
      <c r="A219" s="276"/>
      <c r="B219" s="277"/>
      <c r="C219" s="621" t="s">
        <v>18</v>
      </c>
      <c r="D219" s="1019" t="s">
        <v>38</v>
      </c>
      <c r="E219" s="280"/>
      <c r="F219" s="280"/>
      <c r="G219" s="281"/>
      <c r="H219" s="310"/>
      <c r="I219" s="272"/>
      <c r="J219" s="263"/>
      <c r="K219" s="87"/>
      <c r="L219" s="86"/>
      <c r="M219" s="87"/>
      <c r="N219" s="87"/>
      <c r="O219" s="229"/>
      <c r="P219" s="229"/>
      <c r="Q219" s="87"/>
      <c r="R219" s="87"/>
      <c r="S219" s="87"/>
      <c r="T219" s="229"/>
      <c r="U219" s="229"/>
    </row>
    <row r="220" spans="1:21" ht="18.75" hidden="1" x14ac:dyDescent="0.25">
      <c r="A220" s="276"/>
      <c r="B220" s="277"/>
      <c r="C220" s="277"/>
      <c r="D220" s="767" t="s">
        <v>96</v>
      </c>
      <c r="E220" s="296"/>
      <c r="F220" s="296"/>
      <c r="G220" s="282"/>
      <c r="H220" s="1132" t="s">
        <v>85</v>
      </c>
      <c r="I220" s="293">
        <f ca="1">IFERROR(__xludf.DUMMYFUNCTION("IMPORTRANGE(""https://docs.google.com/spreadsheets/d/1eHaY18a8A9IcSdp1K8H6x8fbOy06t2VsZHhMHf-1x7Y/edit?usp=sharing"",""แผน!AP60"")"),0)</f>
        <v>0</v>
      </c>
      <c r="J220" s="294">
        <v>0</v>
      </c>
      <c r="K220" s="74">
        <f t="shared" ref="K220:K222" ca="1" si="147">IF(I220&gt;0,J220*100/I220,0)</f>
        <v>0</v>
      </c>
      <c r="L220" s="86"/>
      <c r="M220" s="87"/>
      <c r="N220" s="87"/>
      <c r="O220" s="87"/>
      <c r="P220" s="87"/>
      <c r="Q220" s="87"/>
      <c r="R220" s="87"/>
      <c r="S220" s="87"/>
      <c r="T220" s="87"/>
      <c r="U220" s="87"/>
    </row>
    <row r="221" spans="1:21" ht="18.75" hidden="1" x14ac:dyDescent="0.25">
      <c r="A221" s="276"/>
      <c r="B221" s="277"/>
      <c r="C221" s="277"/>
      <c r="D221" s="767" t="s">
        <v>97</v>
      </c>
      <c r="E221" s="296"/>
      <c r="F221" s="296"/>
      <c r="G221" s="282"/>
      <c r="H221" s="1133" t="s">
        <v>85</v>
      </c>
      <c r="I221" s="293">
        <f ca="1">IFERROR(__xludf.DUMMYFUNCTION("IMPORTRANGE(""https://docs.google.com/spreadsheets/d/1eHaY18a8A9IcSdp1K8H6x8fbOy06t2VsZHhMHf-1x7Y/edit?usp=sharing"",""แผน!AP60"")"),0)</f>
        <v>0</v>
      </c>
      <c r="J221" s="294">
        <v>0</v>
      </c>
      <c r="K221" s="74">
        <f t="shared" ca="1" si="147"/>
        <v>0</v>
      </c>
      <c r="L221" s="86"/>
      <c r="M221" s="87"/>
      <c r="N221" s="87"/>
      <c r="O221" s="87"/>
      <c r="P221" s="87"/>
      <c r="Q221" s="87"/>
      <c r="R221" s="87"/>
      <c r="S221" s="87"/>
      <c r="T221" s="87"/>
      <c r="U221" s="87"/>
    </row>
    <row r="222" spans="1:21" ht="19.5" x14ac:dyDescent="0.3">
      <c r="A222" s="553"/>
      <c r="B222" s="555"/>
      <c r="C222" s="1128" t="s">
        <v>98</v>
      </c>
      <c r="D222" s="554"/>
      <c r="E222" s="554"/>
      <c r="F222" s="554"/>
      <c r="G222" s="557"/>
      <c r="H222" s="558" t="s">
        <v>99</v>
      </c>
      <c r="I222" s="559">
        <f t="shared" ref="I222:J222" ca="1" si="148">I230</f>
        <v>5000</v>
      </c>
      <c r="J222" s="559">
        <f t="shared" si="148"/>
        <v>0</v>
      </c>
      <c r="K222" s="560">
        <f t="shared" ca="1" si="147"/>
        <v>0</v>
      </c>
      <c r="L222" s="391"/>
      <c r="M222" s="392"/>
      <c r="N222" s="392"/>
      <c r="O222" s="392"/>
      <c r="P222" s="392"/>
      <c r="Q222" s="392"/>
      <c r="R222" s="392"/>
      <c r="S222" s="392"/>
      <c r="T222" s="392"/>
      <c r="U222" s="392"/>
    </row>
    <row r="223" spans="1:21" ht="19.5" x14ac:dyDescent="0.3">
      <c r="A223" s="257"/>
      <c r="B223" s="269"/>
      <c r="C223" s="621" t="s">
        <v>18</v>
      </c>
      <c r="D223" s="969" t="s">
        <v>19</v>
      </c>
      <c r="E223" s="258"/>
      <c r="F223" s="258"/>
      <c r="G223" s="261"/>
      <c r="H223" s="633" t="s">
        <v>14</v>
      </c>
      <c r="I223" s="272"/>
      <c r="J223" s="272"/>
      <c r="K223" s="229"/>
      <c r="L223" s="1257">
        <f ca="1">L224+L225+L226</f>
        <v>4500</v>
      </c>
      <c r="M223" s="87"/>
      <c r="N223" s="264">
        <f>N224+N225+N226</f>
        <v>0</v>
      </c>
      <c r="O223" s="264">
        <f ca="1">IF(L223&gt;0,N223*100/L223,0)</f>
        <v>0</v>
      </c>
      <c r="P223" s="264">
        <f>IF(M223&gt;0,N223*100/M223,0)</f>
        <v>0</v>
      </c>
      <c r="Q223" s="87"/>
      <c r="R223" s="87"/>
      <c r="S223" s="87"/>
      <c r="T223" s="87"/>
      <c r="U223" s="87"/>
    </row>
    <row r="224" spans="1:21" ht="18.75" x14ac:dyDescent="0.25">
      <c r="A224" s="257"/>
      <c r="B224" s="269"/>
      <c r="C224" s="269"/>
      <c r="D224" s="1134" t="s">
        <v>300</v>
      </c>
      <c r="E224" s="258"/>
      <c r="F224" s="258"/>
      <c r="G224" s="261"/>
      <c r="H224" s="271" t="s">
        <v>14</v>
      </c>
      <c r="I224" s="272"/>
      <c r="J224" s="272"/>
      <c r="K224" s="229"/>
      <c r="L224" s="73">
        <f ca="1">IFERROR(__xludf.DUMMYFUNCTION("IMPORTRANGE(""https://docs.google.com/spreadsheets/d/1eHaY18a8A9IcSdp1K8H6x8fbOy06t2VsZHhMHf-1x7Y/edit?usp=sharing"",""แผน!AR60"")"),3000)</f>
        <v>3000</v>
      </c>
      <c r="M224" s="87"/>
      <c r="N224" s="924">
        <v>0</v>
      </c>
      <c r="O224" s="229"/>
      <c r="P224" s="87"/>
      <c r="Q224" s="87"/>
      <c r="R224" s="87"/>
      <c r="S224" s="87"/>
      <c r="T224" s="229"/>
      <c r="U224" s="87"/>
    </row>
    <row r="225" spans="1:21" ht="18.75" x14ac:dyDescent="0.25">
      <c r="A225" s="550"/>
      <c r="B225" s="269"/>
      <c r="C225" s="269"/>
      <c r="D225" s="267" t="s">
        <v>301</v>
      </c>
      <c r="E225" s="258"/>
      <c r="F225" s="258"/>
      <c r="G225" s="261"/>
      <c r="H225" s="271" t="s">
        <v>14</v>
      </c>
      <c r="I225" s="263"/>
      <c r="J225" s="263"/>
      <c r="K225" s="87"/>
      <c r="L225" s="73">
        <f ca="1">IFERROR(__xludf.DUMMYFUNCTION("IMPORTRANGE(""https://docs.google.com/spreadsheets/d/1eHaY18a8A9IcSdp1K8H6x8fbOy06t2VsZHhMHf-1x7Y/edit?usp=sharing"",""แผน!AS60"")"),1500)</f>
        <v>1500</v>
      </c>
      <c r="M225" s="87"/>
      <c r="N225" s="924">
        <v>0</v>
      </c>
      <c r="O225" s="229"/>
      <c r="P225" s="87"/>
      <c r="Q225" s="87"/>
      <c r="R225" s="87"/>
      <c r="S225" s="87"/>
      <c r="T225" s="229"/>
      <c r="U225" s="87"/>
    </row>
    <row r="226" spans="1:21" ht="18.75" x14ac:dyDescent="0.25">
      <c r="A226" s="550"/>
      <c r="B226" s="269"/>
      <c r="C226" s="269"/>
      <c r="D226" s="267" t="s">
        <v>88</v>
      </c>
      <c r="E226" s="258"/>
      <c r="F226" s="258"/>
      <c r="G226" s="261"/>
      <c r="H226" s="271" t="s">
        <v>14</v>
      </c>
      <c r="I226" s="263"/>
      <c r="J226" s="263"/>
      <c r="K226" s="87"/>
      <c r="L226" s="73">
        <f ca="1">IFERROR(__xludf.DUMMYFUNCTION("IMPORTRANGE(""https://docs.google.com/spreadsheets/d/1eHaY18a8A9IcSdp1K8H6x8fbOy06t2VsZHhMHf-1x7Y/edit?usp=sharing"",""แผน!AT60"")"),0)</f>
        <v>0</v>
      </c>
      <c r="M226" s="87"/>
      <c r="N226" s="924">
        <v>0</v>
      </c>
      <c r="O226" s="229"/>
      <c r="P226" s="87"/>
      <c r="Q226" s="87"/>
      <c r="R226" s="87"/>
      <c r="S226" s="87"/>
      <c r="T226" s="229"/>
      <c r="U226" s="87"/>
    </row>
    <row r="227" spans="1:21" ht="19.5" x14ac:dyDescent="0.3">
      <c r="A227" s="276"/>
      <c r="B227" s="277"/>
      <c r="C227" s="621" t="s">
        <v>18</v>
      </c>
      <c r="D227" s="1019" t="s">
        <v>38</v>
      </c>
      <c r="E227" s="280"/>
      <c r="F227" s="280"/>
      <c r="G227" s="281"/>
      <c r="H227" s="310"/>
      <c r="I227" s="272"/>
      <c r="J227" s="272"/>
      <c r="K227" s="229"/>
      <c r="L227" s="228"/>
      <c r="M227" s="229"/>
      <c r="N227" s="229"/>
      <c r="O227" s="229"/>
      <c r="P227" s="229"/>
      <c r="Q227" s="229"/>
      <c r="R227" s="229"/>
      <c r="S227" s="229"/>
      <c r="T227" s="229"/>
      <c r="U227" s="229"/>
    </row>
    <row r="228" spans="1:21" ht="18.75" x14ac:dyDescent="0.25">
      <c r="A228" s="276"/>
      <c r="B228" s="277"/>
      <c r="C228" s="277"/>
      <c r="D228" s="267" t="s">
        <v>101</v>
      </c>
      <c r="E228" s="296"/>
      <c r="F228" s="296"/>
      <c r="G228" s="282"/>
      <c r="H228" s="310"/>
      <c r="I228" s="263"/>
      <c r="J228" s="263"/>
      <c r="K228" s="229"/>
      <c r="L228" s="228"/>
      <c r="M228" s="229"/>
      <c r="N228" s="229"/>
      <c r="O228" s="229"/>
      <c r="P228" s="229"/>
      <c r="Q228" s="229"/>
      <c r="R228" s="229"/>
      <c r="S228" s="229"/>
      <c r="T228" s="229"/>
      <c r="U228" s="229"/>
    </row>
    <row r="229" spans="1:21" ht="18.75" x14ac:dyDescent="0.25">
      <c r="A229" s="276"/>
      <c r="B229" s="277"/>
      <c r="C229" s="277"/>
      <c r="D229" s="277"/>
      <c r="E229" s="767" t="s">
        <v>102</v>
      </c>
      <c r="F229" s="296"/>
      <c r="G229" s="282"/>
      <c r="H229" s="275" t="s">
        <v>99</v>
      </c>
      <c r="I229" s="293">
        <f ca="1">IFERROR(__xludf.DUMMYFUNCTION("IMPORTRANGE(""https://docs.google.com/spreadsheets/d/1eHaY18a8A9IcSdp1K8H6x8fbOy06t2VsZHhMHf-1x7Y/edit?usp=sharing"",""แผน!AV60"")"),5000)</f>
        <v>5000</v>
      </c>
      <c r="J229" s="294">
        <v>0</v>
      </c>
      <c r="K229" s="768">
        <f t="shared" ref="K229:K232" ca="1" si="149">IF(I229&gt;0,J229*100/I229,0)</f>
        <v>0</v>
      </c>
      <c r="L229" s="228"/>
      <c r="M229" s="229"/>
      <c r="N229" s="229"/>
      <c r="O229" s="229"/>
      <c r="P229" s="229"/>
      <c r="Q229" s="229"/>
      <c r="R229" s="229"/>
      <c r="S229" s="229"/>
      <c r="T229" s="229"/>
      <c r="U229" s="229"/>
    </row>
    <row r="230" spans="1:21" ht="18.75" x14ac:dyDescent="0.25">
      <c r="A230" s="276"/>
      <c r="B230" s="277"/>
      <c r="C230" s="277"/>
      <c r="D230" s="277"/>
      <c r="E230" s="767" t="s">
        <v>103</v>
      </c>
      <c r="F230" s="296"/>
      <c r="G230" s="282"/>
      <c r="H230" s="275" t="s">
        <v>99</v>
      </c>
      <c r="I230" s="293">
        <f ca="1">IFERROR(__xludf.DUMMYFUNCTION("IMPORTRANGE(""https://docs.google.com/spreadsheets/d/1eHaY18a8A9IcSdp1K8H6x8fbOy06t2VsZHhMHf-1x7Y/edit?usp=sharing"",""แผน!AV60"")"),5000)</f>
        <v>5000</v>
      </c>
      <c r="J230" s="294">
        <v>0</v>
      </c>
      <c r="K230" s="768">
        <f t="shared" ca="1" si="149"/>
        <v>0</v>
      </c>
      <c r="L230" s="86"/>
      <c r="M230" s="87"/>
      <c r="N230" s="87"/>
      <c r="O230" s="87"/>
      <c r="P230" s="87"/>
      <c r="Q230" s="87"/>
      <c r="R230" s="87"/>
      <c r="S230" s="87"/>
      <c r="T230" s="87"/>
      <c r="U230" s="87"/>
    </row>
    <row r="231" spans="1:21" ht="18.75" x14ac:dyDescent="0.25">
      <c r="A231" s="276"/>
      <c r="B231" s="277"/>
      <c r="C231" s="277"/>
      <c r="D231" s="267" t="s">
        <v>104</v>
      </c>
      <c r="E231" s="296"/>
      <c r="F231" s="296"/>
      <c r="G231" s="282"/>
      <c r="H231" s="275" t="s">
        <v>35</v>
      </c>
      <c r="I231" s="293">
        <f ca="1">IFERROR(__xludf.DUMMYFUNCTION("IMPORTRANGE(""https://docs.google.com/spreadsheets/d/1eHaY18a8A9IcSdp1K8H6x8fbOy06t2VsZHhMHf-1x7Y/edit?usp=sharing"",""แผน!AU60"")"),0)</f>
        <v>0</v>
      </c>
      <c r="J231" s="294">
        <v>0</v>
      </c>
      <c r="K231" s="768">
        <f t="shared" ca="1" si="149"/>
        <v>0</v>
      </c>
      <c r="L231" s="86"/>
      <c r="M231" s="87"/>
      <c r="N231" s="87"/>
      <c r="O231" s="87"/>
      <c r="P231" s="87"/>
      <c r="Q231" s="87"/>
      <c r="R231" s="87"/>
      <c r="S231" s="87"/>
      <c r="T231" s="87"/>
      <c r="U231" s="87"/>
    </row>
    <row r="232" spans="1:21" ht="19.5" hidden="1" x14ac:dyDescent="0.3">
      <c r="A232" s="925"/>
      <c r="B232" s="926"/>
      <c r="C232" s="1135" t="s">
        <v>105</v>
      </c>
      <c r="D232" s="928"/>
      <c r="E232" s="928"/>
      <c r="F232" s="928"/>
      <c r="G232" s="929"/>
      <c r="H232" s="930" t="s">
        <v>35</v>
      </c>
      <c r="I232" s="931">
        <f t="shared" ref="I232:J232" ca="1" si="150">I243+I254</f>
        <v>15</v>
      </c>
      <c r="J232" s="931">
        <f t="shared" si="150"/>
        <v>0</v>
      </c>
      <c r="K232" s="932">
        <f t="shared" ca="1" si="149"/>
        <v>0</v>
      </c>
      <c r="L232" s="391"/>
      <c r="M232" s="392"/>
      <c r="N232" s="392"/>
      <c r="O232" s="392"/>
      <c r="P232" s="392"/>
      <c r="Q232" s="392"/>
      <c r="R232" s="392"/>
      <c r="S232" s="392"/>
      <c r="T232" s="392"/>
      <c r="U232" s="392"/>
    </row>
    <row r="233" spans="1:21" ht="19.5" hidden="1" x14ac:dyDescent="0.3">
      <c r="A233" s="880"/>
      <c r="B233" s="920"/>
      <c r="C233" s="939" t="s">
        <v>18</v>
      </c>
      <c r="D233" s="934" t="s">
        <v>19</v>
      </c>
      <c r="E233" s="838"/>
      <c r="F233" s="838"/>
      <c r="G233" s="839"/>
      <c r="H233" s="703" t="s">
        <v>14</v>
      </c>
      <c r="I233" s="881"/>
      <c r="J233" s="881"/>
      <c r="K233" s="882"/>
      <c r="L233" s="1281">
        <f t="shared" ref="L233:L237" ca="1" si="151">L244+L255</f>
        <v>46500</v>
      </c>
      <c r="M233" s="87"/>
      <c r="N233" s="1258">
        <f t="shared" ref="N233:N237" si="152">N244+N255</f>
        <v>0</v>
      </c>
      <c r="O233" s="87"/>
      <c r="P233" s="87"/>
      <c r="Q233" s="87"/>
      <c r="R233" s="87"/>
      <c r="S233" s="87"/>
      <c r="T233" s="87"/>
      <c r="U233" s="87"/>
    </row>
    <row r="234" spans="1:21" ht="18.75" hidden="1" x14ac:dyDescent="0.25">
      <c r="A234" s="880"/>
      <c r="B234" s="920"/>
      <c r="C234" s="920"/>
      <c r="D234" s="1134" t="s">
        <v>299</v>
      </c>
      <c r="E234" s="838"/>
      <c r="F234" s="838"/>
      <c r="G234" s="839"/>
      <c r="H234" s="273" t="s">
        <v>14</v>
      </c>
      <c r="I234" s="881"/>
      <c r="J234" s="881"/>
      <c r="K234" s="882"/>
      <c r="L234" s="76">
        <f t="shared" ca="1" si="151"/>
        <v>8000</v>
      </c>
      <c r="M234" s="87"/>
      <c r="N234" s="77">
        <f t="shared" si="152"/>
        <v>0</v>
      </c>
      <c r="O234" s="87"/>
      <c r="P234" s="87"/>
      <c r="Q234" s="87"/>
      <c r="R234" s="87"/>
      <c r="S234" s="87"/>
      <c r="T234" s="87"/>
      <c r="U234" s="87"/>
    </row>
    <row r="235" spans="1:21" ht="18.75" hidden="1" x14ac:dyDescent="0.25">
      <c r="A235" s="919"/>
      <c r="B235" s="920"/>
      <c r="C235" s="920"/>
      <c r="D235" s="749" t="s">
        <v>87</v>
      </c>
      <c r="E235" s="838"/>
      <c r="F235" s="838"/>
      <c r="G235" s="839"/>
      <c r="H235" s="273" t="s">
        <v>14</v>
      </c>
      <c r="I235" s="841"/>
      <c r="J235" s="841"/>
      <c r="K235" s="842"/>
      <c r="L235" s="76">
        <f t="shared" ca="1" si="151"/>
        <v>2000</v>
      </c>
      <c r="M235" s="87"/>
      <c r="N235" s="77">
        <f t="shared" si="152"/>
        <v>0</v>
      </c>
      <c r="O235" s="87"/>
      <c r="P235" s="87"/>
      <c r="Q235" s="87"/>
      <c r="R235" s="87"/>
      <c r="S235" s="87"/>
      <c r="T235" s="87"/>
      <c r="U235" s="87"/>
    </row>
    <row r="236" spans="1:21" ht="18.75" hidden="1" x14ac:dyDescent="0.25">
      <c r="A236" s="919"/>
      <c r="B236" s="920"/>
      <c r="C236" s="920"/>
      <c r="D236" s="749" t="s">
        <v>88</v>
      </c>
      <c r="E236" s="838"/>
      <c r="F236" s="838"/>
      <c r="G236" s="839"/>
      <c r="H236" s="273" t="s">
        <v>14</v>
      </c>
      <c r="I236" s="841"/>
      <c r="J236" s="841"/>
      <c r="K236" s="842"/>
      <c r="L236" s="76">
        <f t="shared" ca="1" si="151"/>
        <v>21000</v>
      </c>
      <c r="M236" s="87"/>
      <c r="N236" s="77">
        <f t="shared" si="152"/>
        <v>0</v>
      </c>
      <c r="O236" s="87"/>
      <c r="P236" s="87"/>
      <c r="Q236" s="87"/>
      <c r="R236" s="87"/>
      <c r="S236" s="87"/>
      <c r="T236" s="87"/>
      <c r="U236" s="87"/>
    </row>
    <row r="237" spans="1:21" ht="18.75" hidden="1" x14ac:dyDescent="0.25">
      <c r="A237" s="919"/>
      <c r="B237" s="920"/>
      <c r="C237" s="920"/>
      <c r="D237" s="267" t="s">
        <v>89</v>
      </c>
      <c r="E237" s="838"/>
      <c r="F237" s="838"/>
      <c r="G237" s="839"/>
      <c r="H237" s="273" t="s">
        <v>14</v>
      </c>
      <c r="I237" s="841"/>
      <c r="J237" s="841"/>
      <c r="K237" s="842"/>
      <c r="L237" s="76">
        <f t="shared" ca="1" si="151"/>
        <v>15500</v>
      </c>
      <c r="M237" s="87"/>
      <c r="N237" s="77">
        <f t="shared" si="152"/>
        <v>0</v>
      </c>
      <c r="O237" s="87"/>
      <c r="P237" s="87"/>
      <c r="Q237" s="87"/>
      <c r="R237" s="87"/>
      <c r="S237" s="87"/>
      <c r="T237" s="87"/>
      <c r="U237" s="87"/>
    </row>
    <row r="238" spans="1:21" ht="19.5" hidden="1" x14ac:dyDescent="0.3">
      <c r="A238" s="937"/>
      <c r="B238" s="938"/>
      <c r="C238" s="939" t="s">
        <v>18</v>
      </c>
      <c r="D238" s="940" t="s">
        <v>38</v>
      </c>
      <c r="E238" s="941"/>
      <c r="F238" s="941"/>
      <c r="G238" s="942"/>
      <c r="H238" s="1136"/>
      <c r="I238" s="881"/>
      <c r="J238" s="841"/>
      <c r="K238" s="842"/>
      <c r="L238" s="86"/>
      <c r="M238" s="87"/>
      <c r="N238" s="87"/>
      <c r="O238" s="229"/>
      <c r="P238" s="229"/>
      <c r="Q238" s="87"/>
      <c r="R238" s="87"/>
      <c r="S238" s="87"/>
      <c r="T238" s="229"/>
      <c r="U238" s="229"/>
    </row>
    <row r="239" spans="1:21" ht="18.75" hidden="1" x14ac:dyDescent="0.25">
      <c r="A239" s="937"/>
      <c r="B239" s="938"/>
      <c r="C239" s="938"/>
      <c r="D239" s="311" t="s">
        <v>108</v>
      </c>
      <c r="E239" s="944"/>
      <c r="F239" s="944"/>
      <c r="G239" s="943"/>
      <c r="H239" s="706" t="s">
        <v>35</v>
      </c>
      <c r="I239" s="592">
        <f t="shared" ref="I239:J239" ca="1" si="153">I250+I261</f>
        <v>15</v>
      </c>
      <c r="J239" s="592">
        <f t="shared" si="153"/>
        <v>0</v>
      </c>
      <c r="K239" s="77">
        <f ca="1">IF(I239&gt;0,J239*100/I239,0)</f>
        <v>0</v>
      </c>
      <c r="L239" s="86"/>
      <c r="M239" s="87"/>
      <c r="N239" s="87"/>
      <c r="O239" s="87"/>
      <c r="P239" s="87"/>
      <c r="Q239" s="87"/>
      <c r="R239" s="87"/>
      <c r="S239" s="87"/>
      <c r="T239" s="87"/>
      <c r="U239" s="87"/>
    </row>
    <row r="240" spans="1:21" ht="18.75" hidden="1" x14ac:dyDescent="0.25">
      <c r="A240" s="937"/>
      <c r="B240" s="938"/>
      <c r="C240" s="938"/>
      <c r="D240" s="946" t="s">
        <v>43</v>
      </c>
      <c r="E240" s="944"/>
      <c r="F240" s="944"/>
      <c r="G240" s="943"/>
      <c r="H240" s="1136"/>
      <c r="I240" s="841"/>
      <c r="J240" s="841"/>
      <c r="K240" s="842"/>
      <c r="L240" s="86"/>
      <c r="M240" s="87"/>
      <c r="N240" s="87"/>
      <c r="O240" s="229"/>
      <c r="P240" s="229"/>
      <c r="Q240" s="87"/>
      <c r="R240" s="87"/>
      <c r="S240" s="87"/>
      <c r="T240" s="229"/>
      <c r="U240" s="229"/>
    </row>
    <row r="241" spans="1:21" ht="18.75" hidden="1" x14ac:dyDescent="0.25">
      <c r="A241" s="937"/>
      <c r="B241" s="938"/>
      <c r="C241" s="938"/>
      <c r="D241" s="938"/>
      <c r="E241" s="947" t="s">
        <v>109</v>
      </c>
      <c r="F241" s="944"/>
      <c r="G241" s="943"/>
      <c r="H241" s="706" t="s">
        <v>35</v>
      </c>
      <c r="I241" s="592">
        <f t="shared" ref="I241:J242" ca="1" si="154">I252+I263</f>
        <v>15</v>
      </c>
      <c r="J241" s="592">
        <f t="shared" si="154"/>
        <v>0</v>
      </c>
      <c r="K241" s="77">
        <f t="shared" ref="K241:K243" ca="1" si="155">IF(I241&gt;0,J241*100/I241,0)</f>
        <v>0</v>
      </c>
      <c r="L241" s="86"/>
      <c r="M241" s="87"/>
      <c r="N241" s="87"/>
      <c r="O241" s="87"/>
      <c r="P241" s="87"/>
      <c r="Q241" s="87"/>
      <c r="R241" s="87"/>
      <c r="S241" s="87"/>
      <c r="T241" s="87"/>
      <c r="U241" s="87"/>
    </row>
    <row r="242" spans="1:21" ht="18.75" hidden="1" x14ac:dyDescent="0.25">
      <c r="A242" s="937"/>
      <c r="B242" s="938"/>
      <c r="C242" s="938"/>
      <c r="D242" s="938"/>
      <c r="E242" s="947" t="s">
        <v>110</v>
      </c>
      <c r="F242" s="944"/>
      <c r="G242" s="943"/>
      <c r="H242" s="706" t="s">
        <v>61</v>
      </c>
      <c r="I242" s="592">
        <f t="shared" ca="1" si="154"/>
        <v>1</v>
      </c>
      <c r="J242" s="592">
        <f t="shared" si="154"/>
        <v>0</v>
      </c>
      <c r="K242" s="77">
        <f t="shared" ca="1" si="155"/>
        <v>0</v>
      </c>
      <c r="L242" s="86"/>
      <c r="M242" s="87"/>
      <c r="N242" s="87"/>
      <c r="O242" s="87"/>
      <c r="P242" s="87"/>
      <c r="Q242" s="87"/>
      <c r="R242" s="87"/>
      <c r="S242" s="87"/>
      <c r="T242" s="87"/>
      <c r="U242" s="87"/>
    </row>
    <row r="243" spans="1:21" ht="19.5" x14ac:dyDescent="0.3">
      <c r="A243" s="382"/>
      <c r="B243" s="383"/>
      <c r="C243" s="1137" t="s">
        <v>332</v>
      </c>
      <c r="D243" s="385"/>
      <c r="E243" s="385"/>
      <c r="F243" s="385"/>
      <c r="G243" s="386"/>
      <c r="H243" s="387" t="s">
        <v>35</v>
      </c>
      <c r="I243" s="388">
        <f t="shared" ref="I243:J243" ca="1" si="156">I250</f>
        <v>15</v>
      </c>
      <c r="J243" s="388">
        <f t="shared" si="156"/>
        <v>0</v>
      </c>
      <c r="K243" s="389">
        <f t="shared" ca="1" si="155"/>
        <v>0</v>
      </c>
      <c r="L243" s="391"/>
      <c r="M243" s="392"/>
      <c r="N243" s="392"/>
      <c r="O243" s="392"/>
      <c r="P243" s="392"/>
      <c r="Q243" s="392"/>
      <c r="R243" s="392"/>
      <c r="S243" s="392"/>
      <c r="T243" s="392"/>
      <c r="U243" s="392"/>
    </row>
    <row r="244" spans="1:21" ht="19.5" x14ac:dyDescent="0.3">
      <c r="A244" s="209"/>
      <c r="B244" s="381"/>
      <c r="C244" s="402" t="s">
        <v>18</v>
      </c>
      <c r="D244" s="879" t="s">
        <v>19</v>
      </c>
      <c r="E244" s="67"/>
      <c r="F244" s="67"/>
      <c r="G244" s="69"/>
      <c r="H244" s="394" t="s">
        <v>14</v>
      </c>
      <c r="I244" s="219"/>
      <c r="J244" s="219"/>
      <c r="K244" s="220"/>
      <c r="L244" s="1257">
        <f ca="1">L245+L246+L247+L248</f>
        <v>46500</v>
      </c>
      <c r="M244" s="87"/>
      <c r="N244" s="264">
        <f>N245+N246+N247+N248</f>
        <v>0</v>
      </c>
      <c r="O244" s="264">
        <f ca="1">IF(L244&gt;0,N244*100/L244,0)</f>
        <v>0</v>
      </c>
      <c r="P244" s="264">
        <f>IF(M244&gt;0,N244*100/M244,0)</f>
        <v>0</v>
      </c>
      <c r="Q244" s="87"/>
      <c r="R244" s="87"/>
      <c r="S244" s="87"/>
      <c r="T244" s="87"/>
      <c r="U244" s="87"/>
    </row>
    <row r="245" spans="1:21" ht="18.75" x14ac:dyDescent="0.25">
      <c r="A245" s="209"/>
      <c r="B245" s="381"/>
      <c r="C245" s="381"/>
      <c r="D245" s="1134" t="s">
        <v>299</v>
      </c>
      <c r="E245" s="67"/>
      <c r="F245" s="67"/>
      <c r="G245" s="69"/>
      <c r="H245" s="218" t="s">
        <v>14</v>
      </c>
      <c r="I245" s="219"/>
      <c r="J245" s="219"/>
      <c r="K245" s="220"/>
      <c r="L245" s="73">
        <f ca="1">IFERROR(__xludf.DUMMYFUNCTION("IMPORTRANGE(""https://docs.google.com/spreadsheets/d/1eHaY18a8A9IcSdp1K8H6x8fbOy06t2VsZHhMHf-1x7Y/edit?usp=sharing"",""แผน!AX60"")"),8000)</f>
        <v>8000</v>
      </c>
      <c r="M245" s="87"/>
      <c r="N245" s="924">
        <v>0</v>
      </c>
      <c r="O245" s="87"/>
      <c r="P245" s="87"/>
      <c r="Q245" s="87"/>
      <c r="R245" s="87"/>
      <c r="S245" s="87"/>
      <c r="T245" s="87"/>
      <c r="U245" s="87"/>
    </row>
    <row r="246" spans="1:21" ht="18.75" x14ac:dyDescent="0.25">
      <c r="A246" s="377"/>
      <c r="B246" s="381"/>
      <c r="C246" s="381"/>
      <c r="D246" s="749" t="s">
        <v>87</v>
      </c>
      <c r="E246" s="67"/>
      <c r="F246" s="67"/>
      <c r="G246" s="69"/>
      <c r="H246" s="218" t="s">
        <v>14</v>
      </c>
      <c r="I246" s="71"/>
      <c r="J246" s="71"/>
      <c r="K246" s="72"/>
      <c r="L246" s="73">
        <f ca="1">IFERROR(__xludf.DUMMYFUNCTION("IMPORTRANGE(""https://docs.google.com/spreadsheets/d/1eHaY18a8A9IcSdp1K8H6x8fbOy06t2VsZHhMHf-1x7Y/edit?usp=sharing"",""แผน!AY60"")"),2000)</f>
        <v>2000</v>
      </c>
      <c r="M246" s="87"/>
      <c r="N246" s="924">
        <v>0</v>
      </c>
      <c r="O246" s="87"/>
      <c r="P246" s="87"/>
      <c r="Q246" s="87"/>
      <c r="R246" s="87"/>
      <c r="S246" s="87"/>
      <c r="T246" s="87"/>
      <c r="U246" s="87"/>
    </row>
    <row r="247" spans="1:21" ht="18.75" x14ac:dyDescent="0.25">
      <c r="A247" s="377"/>
      <c r="B247" s="381"/>
      <c r="C247" s="381"/>
      <c r="D247" s="749" t="s">
        <v>88</v>
      </c>
      <c r="E247" s="67"/>
      <c r="F247" s="67"/>
      <c r="G247" s="69"/>
      <c r="H247" s="218" t="s">
        <v>14</v>
      </c>
      <c r="I247" s="71"/>
      <c r="J247" s="71"/>
      <c r="K247" s="72"/>
      <c r="L247" s="73">
        <f ca="1">IFERROR(__xludf.DUMMYFUNCTION("IMPORTRANGE(""https://docs.google.com/spreadsheets/d/1eHaY18a8A9IcSdp1K8H6x8fbOy06t2VsZHhMHf-1x7Y/edit?usp=sharing"",""แผน!AZ60"")"),21000)</f>
        <v>21000</v>
      </c>
      <c r="M247" s="87"/>
      <c r="N247" s="924">
        <v>0</v>
      </c>
      <c r="O247" s="87"/>
      <c r="P247" s="87"/>
      <c r="Q247" s="87"/>
      <c r="R247" s="87"/>
      <c r="S247" s="87"/>
      <c r="T247" s="87"/>
      <c r="U247" s="87"/>
    </row>
    <row r="248" spans="1:21" ht="18.75" x14ac:dyDescent="0.25">
      <c r="A248" s="377"/>
      <c r="B248" s="381"/>
      <c r="C248" s="381"/>
      <c r="D248" s="267" t="s">
        <v>89</v>
      </c>
      <c r="E248" s="67"/>
      <c r="F248" s="67"/>
      <c r="G248" s="69"/>
      <c r="H248" s="218" t="s">
        <v>14</v>
      </c>
      <c r="I248" s="71"/>
      <c r="J248" s="71"/>
      <c r="K248" s="72"/>
      <c r="L248" s="73">
        <f ca="1">IFERROR(__xludf.DUMMYFUNCTION("IMPORTRANGE(""https://docs.google.com/spreadsheets/d/1eHaY18a8A9IcSdp1K8H6x8fbOy06t2VsZHhMHf-1x7Y/edit?usp=sharing"",""แผน!BA60"")"),15500)</f>
        <v>15500</v>
      </c>
      <c r="M248" s="87"/>
      <c r="N248" s="924">
        <v>0</v>
      </c>
      <c r="O248" s="87"/>
      <c r="P248" s="87"/>
      <c r="Q248" s="87"/>
      <c r="R248" s="87"/>
      <c r="S248" s="87"/>
      <c r="T248" s="87"/>
      <c r="U248" s="87"/>
    </row>
    <row r="249" spans="1:21" ht="19.5" x14ac:dyDescent="0.3">
      <c r="A249" s="222"/>
      <c r="B249" s="223"/>
      <c r="C249" s="402" t="s">
        <v>18</v>
      </c>
      <c r="D249" s="883" t="s">
        <v>38</v>
      </c>
      <c r="E249" s="225"/>
      <c r="F249" s="225"/>
      <c r="G249" s="226"/>
      <c r="H249" s="320"/>
      <c r="I249" s="219"/>
      <c r="J249" s="71"/>
      <c r="K249" s="72"/>
      <c r="L249" s="86"/>
      <c r="M249" s="87"/>
      <c r="N249" s="87"/>
      <c r="O249" s="229"/>
      <c r="P249" s="229"/>
      <c r="Q249" s="87"/>
      <c r="R249" s="87"/>
      <c r="S249" s="87"/>
      <c r="T249" s="229"/>
      <c r="U249" s="229"/>
    </row>
    <row r="250" spans="1:21" ht="18.75" x14ac:dyDescent="0.25">
      <c r="A250" s="222"/>
      <c r="B250" s="223"/>
      <c r="C250" s="223"/>
      <c r="D250" s="395" t="s">
        <v>108</v>
      </c>
      <c r="E250" s="231"/>
      <c r="F250" s="231"/>
      <c r="G250" s="227"/>
      <c r="H250" s="221" t="s">
        <v>35</v>
      </c>
      <c r="I250" s="321">
        <f ca="1">IFERROR(__xludf.DUMMYFUNCTION("IMPORTRANGE(""https://docs.google.com/spreadsheets/d/1eHaY18a8A9IcSdp1K8H6x8fbOy06t2VsZHhMHf-1x7Y/edit?usp=sharing"",""แผน!BG60"")"),15)</f>
        <v>15</v>
      </c>
      <c r="J250" s="884">
        <v>0</v>
      </c>
      <c r="K250" s="399">
        <f ca="1">IF(I250&gt;0,J250*100/I250,0)</f>
        <v>0</v>
      </c>
      <c r="L250" s="86"/>
      <c r="M250" s="87"/>
      <c r="N250" s="87"/>
      <c r="O250" s="87"/>
      <c r="P250" s="87"/>
      <c r="Q250" s="87"/>
      <c r="R250" s="87"/>
      <c r="S250" s="87"/>
      <c r="T250" s="87"/>
      <c r="U250" s="87"/>
    </row>
    <row r="251" spans="1:21" ht="18.75" x14ac:dyDescent="0.25">
      <c r="A251" s="222"/>
      <c r="B251" s="223"/>
      <c r="C251" s="223"/>
      <c r="D251" s="412" t="s">
        <v>43</v>
      </c>
      <c r="E251" s="231"/>
      <c r="F251" s="231"/>
      <c r="G251" s="227"/>
      <c r="H251" s="320"/>
      <c r="I251" s="71"/>
      <c r="J251" s="71"/>
      <c r="K251" s="72"/>
      <c r="L251" s="86"/>
      <c r="M251" s="87"/>
      <c r="N251" s="87"/>
      <c r="O251" s="229"/>
      <c r="P251" s="229"/>
      <c r="Q251" s="87"/>
      <c r="R251" s="87"/>
      <c r="S251" s="87"/>
      <c r="T251" s="229"/>
      <c r="U251" s="229"/>
    </row>
    <row r="252" spans="1:21" ht="18.75" x14ac:dyDescent="0.25">
      <c r="A252" s="222"/>
      <c r="B252" s="223"/>
      <c r="C252" s="223"/>
      <c r="D252" s="223"/>
      <c r="E252" s="567" t="s">
        <v>333</v>
      </c>
      <c r="F252" s="231"/>
      <c r="G252" s="227"/>
      <c r="H252" s="221" t="s">
        <v>35</v>
      </c>
      <c r="I252" s="321">
        <f ca="1">IFERROR(__xludf.DUMMYFUNCTION("IMPORTRANGE(""https://docs.google.com/spreadsheets/d/1eHaY18a8A9IcSdp1K8H6x8fbOy06t2VsZHhMHf-1x7Y/edit?usp=sharing"",""แผน!KB60"")"),15)</f>
        <v>15</v>
      </c>
      <c r="J252" s="884">
        <v>0</v>
      </c>
      <c r="K252" s="399">
        <f t="shared" ref="K252:K254" ca="1" si="157">IF(I252&gt;0,J252*100/I252,0)</f>
        <v>0</v>
      </c>
      <c r="L252" s="86"/>
      <c r="M252" s="87"/>
      <c r="N252" s="87"/>
      <c r="O252" s="87"/>
      <c r="P252" s="87"/>
      <c r="Q252" s="87"/>
      <c r="R252" s="87"/>
      <c r="S252" s="87"/>
      <c r="T252" s="87"/>
      <c r="U252" s="87"/>
    </row>
    <row r="253" spans="1:21" ht="18.75" x14ac:dyDescent="0.25">
      <c r="A253" s="222"/>
      <c r="B253" s="223"/>
      <c r="C253" s="223"/>
      <c r="D253" s="223"/>
      <c r="E253" s="567" t="s">
        <v>334</v>
      </c>
      <c r="F253" s="231"/>
      <c r="G253" s="227"/>
      <c r="H253" s="221" t="s">
        <v>35</v>
      </c>
      <c r="I253" s="321">
        <f ca="1">IFERROR(__xludf.DUMMYFUNCTION("IMPORTRANGE(""https://docs.google.com/spreadsheets/d/1eHaY18a8A9IcSdp1K8H6x8fbOy06t2VsZHhMHf-1x7Y/edit?usp=sharing"",""แผน!KC60"")"),1)</f>
        <v>1</v>
      </c>
      <c r="J253" s="884">
        <v>0</v>
      </c>
      <c r="K253" s="399">
        <f t="shared" ca="1" si="157"/>
        <v>0</v>
      </c>
      <c r="L253" s="86"/>
      <c r="M253" s="87"/>
      <c r="N253" s="87"/>
      <c r="O253" s="87"/>
      <c r="P253" s="87"/>
      <c r="Q253" s="87"/>
      <c r="R253" s="87"/>
      <c r="S253" s="87"/>
      <c r="T253" s="87"/>
      <c r="U253" s="87"/>
    </row>
    <row r="254" spans="1:21" ht="19.5" hidden="1" x14ac:dyDescent="0.3">
      <c r="A254" s="553"/>
      <c r="B254" s="555"/>
      <c r="C254" s="1135" t="s">
        <v>112</v>
      </c>
      <c r="D254" s="554"/>
      <c r="E254" s="554"/>
      <c r="F254" s="554"/>
      <c r="G254" s="557"/>
      <c r="H254" s="930" t="s">
        <v>35</v>
      </c>
      <c r="I254" s="931">
        <f t="shared" ref="I254:J254" ca="1" si="158">I261</f>
        <v>0</v>
      </c>
      <c r="J254" s="931">
        <f t="shared" si="158"/>
        <v>0</v>
      </c>
      <c r="K254" s="932">
        <f t="shared" ca="1" si="157"/>
        <v>0</v>
      </c>
      <c r="L254" s="391"/>
      <c r="M254" s="392"/>
      <c r="N254" s="392"/>
      <c r="O254" s="392"/>
      <c r="P254" s="392"/>
      <c r="Q254" s="392"/>
      <c r="R254" s="392"/>
      <c r="S254" s="392"/>
      <c r="T254" s="392"/>
      <c r="U254" s="392"/>
    </row>
    <row r="255" spans="1:21" ht="19.5" hidden="1" x14ac:dyDescent="0.3">
      <c r="A255" s="257"/>
      <c r="B255" s="269"/>
      <c r="C255" s="939" t="s">
        <v>18</v>
      </c>
      <c r="D255" s="948" t="s">
        <v>19</v>
      </c>
      <c r="E255" s="258"/>
      <c r="F255" s="258"/>
      <c r="G255" s="261"/>
      <c r="H255" s="703" t="s">
        <v>14</v>
      </c>
      <c r="I255" s="272"/>
      <c r="J255" s="272"/>
      <c r="K255" s="229"/>
      <c r="L255" s="1257">
        <f ca="1">L256+L257+L258+L259</f>
        <v>0</v>
      </c>
      <c r="M255" s="87"/>
      <c r="N255" s="264">
        <f>N256+N257+N258+N259</f>
        <v>0</v>
      </c>
      <c r="O255" s="264">
        <f ca="1">IF(L255&gt;0,N255*100/L255,0)</f>
        <v>0</v>
      </c>
      <c r="P255" s="264">
        <f>IF(M255&gt;0,N255*100/M255,0)</f>
        <v>0</v>
      </c>
      <c r="Q255" s="87"/>
      <c r="R255" s="87"/>
      <c r="S255" s="87"/>
      <c r="T255" s="87"/>
      <c r="U255" s="87"/>
    </row>
    <row r="256" spans="1:21" ht="18.75" hidden="1" x14ac:dyDescent="0.25">
      <c r="A256" s="257"/>
      <c r="B256" s="269"/>
      <c r="C256" s="269"/>
      <c r="D256" s="1134" t="s">
        <v>299</v>
      </c>
      <c r="E256" s="258"/>
      <c r="F256" s="258"/>
      <c r="G256" s="261"/>
      <c r="H256" s="273" t="s">
        <v>14</v>
      </c>
      <c r="I256" s="272"/>
      <c r="J256" s="272"/>
      <c r="K256" s="229"/>
      <c r="L256" s="73">
        <f ca="1">IFERROR(__xludf.DUMMYFUNCTION("IMPORTRANGE(""https://docs.google.com/spreadsheets/d/1eHaY18a8A9IcSdp1K8H6x8fbOy06t2VsZHhMHf-1x7Y/edit?usp=sharing"",""แผน!BB60"")"),0)</f>
        <v>0</v>
      </c>
      <c r="M256" s="87"/>
      <c r="N256" s="924">
        <v>0</v>
      </c>
      <c r="O256" s="87"/>
      <c r="P256" s="87"/>
      <c r="Q256" s="87"/>
      <c r="R256" s="87"/>
      <c r="S256" s="87"/>
      <c r="T256" s="87"/>
      <c r="U256" s="87"/>
    </row>
    <row r="257" spans="1:21" ht="18.75" hidden="1" x14ac:dyDescent="0.25">
      <c r="A257" s="550"/>
      <c r="B257" s="269"/>
      <c r="C257" s="269"/>
      <c r="D257" s="749" t="s">
        <v>87</v>
      </c>
      <c r="E257" s="258"/>
      <c r="F257" s="258"/>
      <c r="G257" s="261"/>
      <c r="H257" s="273" t="s">
        <v>14</v>
      </c>
      <c r="I257" s="263"/>
      <c r="J257" s="263"/>
      <c r="K257" s="87"/>
      <c r="L257" s="73">
        <f ca="1">IFERROR(__xludf.DUMMYFUNCTION("IMPORTRANGE(""https://docs.google.com/spreadsheets/d/1eHaY18a8A9IcSdp1K8H6x8fbOy06t2VsZHhMHf-1x7Y/edit?usp=sharing"",""แผน!BC60"")"),0)</f>
        <v>0</v>
      </c>
      <c r="M257" s="87"/>
      <c r="N257" s="924">
        <v>0</v>
      </c>
      <c r="O257" s="87"/>
      <c r="P257" s="87"/>
      <c r="Q257" s="87"/>
      <c r="R257" s="87"/>
      <c r="S257" s="87"/>
      <c r="T257" s="87"/>
      <c r="U257" s="87"/>
    </row>
    <row r="258" spans="1:21" ht="18.75" hidden="1" x14ac:dyDescent="0.25">
      <c r="A258" s="550"/>
      <c r="B258" s="269"/>
      <c r="C258" s="269"/>
      <c r="D258" s="749" t="s">
        <v>88</v>
      </c>
      <c r="E258" s="258"/>
      <c r="F258" s="258"/>
      <c r="G258" s="261"/>
      <c r="H258" s="273" t="s">
        <v>14</v>
      </c>
      <c r="I258" s="263"/>
      <c r="J258" s="263"/>
      <c r="K258" s="87"/>
      <c r="L258" s="73">
        <f ca="1">IFERROR(__xludf.DUMMYFUNCTION("IMPORTRANGE(""https://docs.google.com/spreadsheets/d/1eHaY18a8A9IcSdp1K8H6x8fbOy06t2VsZHhMHf-1x7Y/edit?usp=sharing"",""แผน!BD60"")"),0)</f>
        <v>0</v>
      </c>
      <c r="M258" s="87"/>
      <c r="N258" s="924">
        <v>0</v>
      </c>
      <c r="O258" s="87"/>
      <c r="P258" s="87"/>
      <c r="Q258" s="87"/>
      <c r="R258" s="87"/>
      <c r="S258" s="87"/>
      <c r="T258" s="87"/>
      <c r="U258" s="87"/>
    </row>
    <row r="259" spans="1:21" ht="18.75" hidden="1" x14ac:dyDescent="0.25">
      <c r="A259" s="550"/>
      <c r="B259" s="269"/>
      <c r="C259" s="269"/>
      <c r="D259" s="267" t="s">
        <v>89</v>
      </c>
      <c r="E259" s="258"/>
      <c r="F259" s="258"/>
      <c r="G259" s="261"/>
      <c r="H259" s="273" t="s">
        <v>14</v>
      </c>
      <c r="I259" s="263"/>
      <c r="J259" s="263"/>
      <c r="K259" s="87"/>
      <c r="L259" s="73">
        <f ca="1">IFERROR(__xludf.DUMMYFUNCTION("IMPORTRANGE(""https://docs.google.com/spreadsheets/d/1eHaY18a8A9IcSdp1K8H6x8fbOy06t2VsZHhMHf-1x7Y/edit?usp=sharing"",""แผน!BE60"")"),0)</f>
        <v>0</v>
      </c>
      <c r="M259" s="87"/>
      <c r="N259" s="924">
        <v>0</v>
      </c>
      <c r="O259" s="87"/>
      <c r="P259" s="87"/>
      <c r="Q259" s="87"/>
      <c r="R259" s="87"/>
      <c r="S259" s="87"/>
      <c r="T259" s="87"/>
      <c r="U259" s="87"/>
    </row>
    <row r="260" spans="1:21" ht="19.5" hidden="1" x14ac:dyDescent="0.3">
      <c r="A260" s="276"/>
      <c r="B260" s="277"/>
      <c r="C260" s="939" t="s">
        <v>18</v>
      </c>
      <c r="D260" s="940" t="s">
        <v>38</v>
      </c>
      <c r="E260" s="280"/>
      <c r="F260" s="280"/>
      <c r="G260" s="281"/>
      <c r="H260" s="282"/>
      <c r="I260" s="272"/>
      <c r="J260" s="263"/>
      <c r="K260" s="87"/>
      <c r="L260" s="86"/>
      <c r="M260" s="87"/>
      <c r="N260" s="87"/>
      <c r="O260" s="229"/>
      <c r="P260" s="229"/>
      <c r="Q260" s="87"/>
      <c r="R260" s="87"/>
      <c r="S260" s="87"/>
      <c r="T260" s="229"/>
      <c r="U260" s="229"/>
    </row>
    <row r="261" spans="1:21" ht="18.75" hidden="1" x14ac:dyDescent="0.25">
      <c r="A261" s="276"/>
      <c r="B261" s="277"/>
      <c r="C261" s="277"/>
      <c r="D261" s="311" t="s">
        <v>108</v>
      </c>
      <c r="E261" s="296"/>
      <c r="F261" s="296"/>
      <c r="G261" s="282"/>
      <c r="H261" s="706" t="s">
        <v>35</v>
      </c>
      <c r="I261" s="592">
        <f ca="1">IFERROR(__xludf.DUMMYFUNCTION("IMPORTRANGE(""https://docs.google.com/spreadsheets/d/1eHaY18a8A9IcSdp1K8H6x8fbOy06t2VsZHhMHf-1x7Y/edit?usp=sharing"",""แผน!BH60"")"),0)</f>
        <v>0</v>
      </c>
      <c r="J261" s="910">
        <v>0</v>
      </c>
      <c r="K261" s="77">
        <f ca="1">IF(I261&gt;0,J261*100/I261,0)</f>
        <v>0</v>
      </c>
      <c r="L261" s="86"/>
      <c r="M261" s="87"/>
      <c r="N261" s="87"/>
      <c r="O261" s="87"/>
      <c r="P261" s="87"/>
      <c r="Q261" s="87"/>
      <c r="R261" s="87"/>
      <c r="S261" s="87"/>
      <c r="T261" s="87"/>
      <c r="U261" s="87"/>
    </row>
    <row r="262" spans="1:21" ht="18.75" hidden="1" x14ac:dyDescent="0.25">
      <c r="A262" s="276"/>
      <c r="B262" s="277"/>
      <c r="C262" s="277"/>
      <c r="D262" s="946" t="s">
        <v>43</v>
      </c>
      <c r="E262" s="296"/>
      <c r="F262" s="296"/>
      <c r="G262" s="282"/>
      <c r="H262" s="310"/>
      <c r="I262" s="263"/>
      <c r="J262" s="263"/>
      <c r="K262" s="87"/>
      <c r="L262" s="86"/>
      <c r="M262" s="87"/>
      <c r="N262" s="87"/>
      <c r="O262" s="229"/>
      <c r="P262" s="229"/>
      <c r="Q262" s="87"/>
      <c r="R262" s="87"/>
      <c r="S262" s="87"/>
      <c r="T262" s="229"/>
      <c r="U262" s="229"/>
    </row>
    <row r="263" spans="1:21" ht="18.75" hidden="1" x14ac:dyDescent="0.25">
      <c r="A263" s="276"/>
      <c r="B263" s="277"/>
      <c r="C263" s="277"/>
      <c r="D263" s="277"/>
      <c r="E263" s="947" t="s">
        <v>109</v>
      </c>
      <c r="F263" s="296"/>
      <c r="G263" s="282"/>
      <c r="H263" s="706" t="s">
        <v>35</v>
      </c>
      <c r="I263" s="263"/>
      <c r="J263" s="910">
        <v>0</v>
      </c>
      <c r="K263" s="77">
        <f t="shared" ref="K263:K264" si="159">IF(I263&gt;0,J263*100/I263,0)</f>
        <v>0</v>
      </c>
      <c r="L263" s="86"/>
      <c r="M263" s="87"/>
      <c r="N263" s="87"/>
      <c r="O263" s="87"/>
      <c r="P263" s="87"/>
      <c r="Q263" s="87"/>
      <c r="R263" s="87"/>
      <c r="S263" s="87"/>
      <c r="T263" s="87"/>
      <c r="U263" s="87"/>
    </row>
    <row r="264" spans="1:21" ht="18.75" hidden="1" x14ac:dyDescent="0.25">
      <c r="A264" s="276"/>
      <c r="B264" s="277"/>
      <c r="C264" s="277"/>
      <c r="D264" s="277"/>
      <c r="E264" s="947" t="s">
        <v>110</v>
      </c>
      <c r="F264" s="296"/>
      <c r="G264" s="282"/>
      <c r="H264" s="706" t="s">
        <v>61</v>
      </c>
      <c r="I264" s="263"/>
      <c r="J264" s="910">
        <v>0</v>
      </c>
      <c r="K264" s="77">
        <f t="shared" si="159"/>
        <v>0</v>
      </c>
      <c r="L264" s="86"/>
      <c r="M264" s="87"/>
      <c r="N264" s="87"/>
      <c r="O264" s="87"/>
      <c r="P264" s="87"/>
      <c r="Q264" s="87"/>
      <c r="R264" s="87"/>
      <c r="S264" s="87"/>
      <c r="T264" s="87"/>
      <c r="U264" s="87"/>
    </row>
    <row r="265" spans="1:21" ht="19.5" x14ac:dyDescent="0.3">
      <c r="A265" s="360" t="s">
        <v>113</v>
      </c>
      <c r="B265" s="361"/>
      <c r="C265" s="361"/>
      <c r="D265" s="362"/>
      <c r="E265" s="362"/>
      <c r="F265" s="362"/>
      <c r="G265" s="363"/>
      <c r="H265" s="1138"/>
      <c r="I265" s="364"/>
      <c r="J265" s="364"/>
      <c r="K265" s="365"/>
      <c r="L265" s="1230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368"/>
      <c r="B266" s="537" t="s">
        <v>114</v>
      </c>
      <c r="C266" s="370"/>
      <c r="D266" s="225"/>
      <c r="E266" s="225"/>
      <c r="F266" s="225"/>
      <c r="G266" s="226"/>
      <c r="H266" s="1139" t="s">
        <v>35</v>
      </c>
      <c r="I266" s="1140">
        <f t="shared" ref="I266:J266" ca="1" si="160">I277</f>
        <v>22</v>
      </c>
      <c r="J266" s="1140">
        <f t="shared" si="160"/>
        <v>0</v>
      </c>
      <c r="K266" s="373">
        <f ca="1">IF(I266&gt;0,J266*100/I266,0)</f>
        <v>0</v>
      </c>
      <c r="L266" s="1231"/>
      <c r="M266" s="374"/>
      <c r="N266" s="374"/>
      <c r="O266" s="374"/>
      <c r="P266" s="374"/>
      <c r="Q266" s="374"/>
      <c r="R266" s="374"/>
      <c r="S266" s="374"/>
      <c r="T266" s="374"/>
      <c r="U266" s="374"/>
    </row>
    <row r="267" spans="1:21" ht="19.5" x14ac:dyDescent="0.3">
      <c r="A267" s="209"/>
      <c r="B267" s="67"/>
      <c r="C267" s="210" t="s">
        <v>18</v>
      </c>
      <c r="D267" s="879" t="s">
        <v>19</v>
      </c>
      <c r="E267" s="67"/>
      <c r="F267" s="67"/>
      <c r="G267" s="69"/>
      <c r="H267" s="212" t="s">
        <v>14</v>
      </c>
      <c r="I267" s="71"/>
      <c r="J267" s="71"/>
      <c r="K267" s="72"/>
      <c r="L267" s="1262">
        <f t="shared" ref="L267:N267" ca="1" si="161">L268+L269</f>
        <v>0</v>
      </c>
      <c r="M267" s="213">
        <f t="shared" ca="1" si="161"/>
        <v>5000</v>
      </c>
      <c r="N267" s="213">
        <f t="shared" ca="1" si="161"/>
        <v>0</v>
      </c>
      <c r="O267" s="213">
        <f t="shared" ref="O267:O275" ca="1" si="162">IF(L267&gt;0,N267*100/L267,0)</f>
        <v>0</v>
      </c>
      <c r="P267" s="213">
        <f t="shared" ref="P267:P275" ca="1" si="163">IF(M267&gt;0,N267*100/M267,0)</f>
        <v>0</v>
      </c>
      <c r="Q267" s="213">
        <f t="shared" ref="Q267:S267" ca="1" si="164">Q268+Q269</f>
        <v>50660</v>
      </c>
      <c r="R267" s="213">
        <f t="shared" ca="1" si="164"/>
        <v>50660</v>
      </c>
      <c r="S267" s="213">
        <f t="shared" ca="1" si="164"/>
        <v>0</v>
      </c>
      <c r="T267" s="213">
        <f t="shared" ref="T267:T275" ca="1" si="165">IF(Q267&gt;0,S267*100/Q267,0)</f>
        <v>0</v>
      </c>
      <c r="U267" s="213">
        <f t="shared" ref="U267:U275" ca="1" si="166">IF(R267&gt;0,S267*100/R267,0)</f>
        <v>0</v>
      </c>
    </row>
    <row r="268" spans="1:21" ht="18.75" hidden="1" x14ac:dyDescent="0.25">
      <c r="A268" s="880"/>
      <c r="B268" s="838"/>
      <c r="C268" s="838"/>
      <c r="D268" s="838"/>
      <c r="E268" s="265" t="s">
        <v>20</v>
      </c>
      <c r="F268" s="838"/>
      <c r="G268" s="839"/>
      <c r="H268" s="266" t="s">
        <v>14</v>
      </c>
      <c r="I268" s="841"/>
      <c r="J268" s="841"/>
      <c r="K268" s="842"/>
      <c r="L268" s="76">
        <f t="shared" ref="L268:N269" si="167">L271+L274</f>
        <v>0</v>
      </c>
      <c r="M268" s="77">
        <f t="shared" si="167"/>
        <v>0</v>
      </c>
      <c r="N268" s="77">
        <f t="shared" si="167"/>
        <v>0</v>
      </c>
      <c r="O268" s="77">
        <f t="shared" si="162"/>
        <v>0</v>
      </c>
      <c r="P268" s="77">
        <f t="shared" si="163"/>
        <v>0</v>
      </c>
      <c r="Q268" s="77">
        <f t="shared" ref="Q268:S269" si="168">Q271+Q274</f>
        <v>0</v>
      </c>
      <c r="R268" s="77">
        <f t="shared" si="168"/>
        <v>0</v>
      </c>
      <c r="S268" s="77">
        <f t="shared" si="168"/>
        <v>0</v>
      </c>
      <c r="T268" s="77">
        <f t="shared" si="165"/>
        <v>0</v>
      </c>
      <c r="U268" s="77">
        <f t="shared" si="166"/>
        <v>0</v>
      </c>
    </row>
    <row r="269" spans="1:21" ht="18.75" hidden="1" x14ac:dyDescent="0.25">
      <c r="A269" s="209"/>
      <c r="B269" s="67"/>
      <c r="C269" s="67"/>
      <c r="D269" s="67"/>
      <c r="E269" s="440" t="s">
        <v>21</v>
      </c>
      <c r="F269" s="67"/>
      <c r="G269" s="69"/>
      <c r="H269" s="216" t="s">
        <v>14</v>
      </c>
      <c r="I269" s="71"/>
      <c r="J269" s="71"/>
      <c r="K269" s="72"/>
      <c r="L269" s="1261">
        <f t="shared" ca="1" si="167"/>
        <v>0</v>
      </c>
      <c r="M269" s="399">
        <f t="shared" ca="1" si="167"/>
        <v>5000</v>
      </c>
      <c r="N269" s="399">
        <f t="shared" ca="1" si="167"/>
        <v>0</v>
      </c>
      <c r="O269" s="399">
        <f t="shared" ca="1" si="162"/>
        <v>0</v>
      </c>
      <c r="P269" s="399">
        <f t="shared" ca="1" si="163"/>
        <v>0</v>
      </c>
      <c r="Q269" s="399">
        <f t="shared" ca="1" si="168"/>
        <v>50660</v>
      </c>
      <c r="R269" s="399">
        <f t="shared" ca="1" si="168"/>
        <v>50660</v>
      </c>
      <c r="S269" s="399">
        <f t="shared" ca="1" si="168"/>
        <v>0</v>
      </c>
      <c r="T269" s="399">
        <f t="shared" ca="1" si="165"/>
        <v>0</v>
      </c>
      <c r="U269" s="399">
        <f t="shared" ca="1" si="166"/>
        <v>0</v>
      </c>
    </row>
    <row r="270" spans="1:21" ht="18.75" x14ac:dyDescent="0.25">
      <c r="A270" s="209"/>
      <c r="B270" s="381"/>
      <c r="C270" s="67"/>
      <c r="D270" s="836" t="s">
        <v>22</v>
      </c>
      <c r="E270" s="67"/>
      <c r="F270" s="67"/>
      <c r="G270" s="69"/>
      <c r="H270" s="218" t="s">
        <v>14</v>
      </c>
      <c r="I270" s="219"/>
      <c r="J270" s="219"/>
      <c r="K270" s="220"/>
      <c r="L270" s="1261">
        <f t="shared" ref="L270:N270" ca="1" si="169">L271+L272</f>
        <v>0</v>
      </c>
      <c r="M270" s="399">
        <f t="shared" ca="1" si="169"/>
        <v>5000</v>
      </c>
      <c r="N270" s="399">
        <f t="shared" ca="1" si="169"/>
        <v>0</v>
      </c>
      <c r="O270" s="399">
        <f t="shared" ca="1" si="162"/>
        <v>0</v>
      </c>
      <c r="P270" s="399">
        <f t="shared" ca="1" si="163"/>
        <v>0</v>
      </c>
      <c r="Q270" s="399">
        <f t="shared" ref="Q270:S270" ca="1" si="170">Q271+Q272</f>
        <v>50660</v>
      </c>
      <c r="R270" s="399">
        <f t="shared" ca="1" si="170"/>
        <v>50660</v>
      </c>
      <c r="S270" s="399">
        <f t="shared" ca="1" si="170"/>
        <v>0</v>
      </c>
      <c r="T270" s="399">
        <f t="shared" ca="1" si="165"/>
        <v>0</v>
      </c>
      <c r="U270" s="399">
        <f t="shared" ca="1" si="166"/>
        <v>0</v>
      </c>
    </row>
    <row r="271" spans="1:21" ht="18.75" hidden="1" x14ac:dyDescent="0.25">
      <c r="A271" s="880"/>
      <c r="B271" s="920"/>
      <c r="C271" s="920"/>
      <c r="D271" s="838"/>
      <c r="E271" s="265" t="s">
        <v>36</v>
      </c>
      <c r="F271" s="838"/>
      <c r="G271" s="839"/>
      <c r="H271" s="273" t="s">
        <v>14</v>
      </c>
      <c r="I271" s="881"/>
      <c r="J271" s="881"/>
      <c r="K271" s="882"/>
      <c r="L271" s="76">
        <v>0</v>
      </c>
      <c r="M271" s="77">
        <v>0</v>
      </c>
      <c r="N271" s="77">
        <v>0</v>
      </c>
      <c r="O271" s="77">
        <f t="shared" si="162"/>
        <v>0</v>
      </c>
      <c r="P271" s="77">
        <f t="shared" si="163"/>
        <v>0</v>
      </c>
      <c r="Q271" s="77">
        <v>0</v>
      </c>
      <c r="R271" s="77">
        <v>0</v>
      </c>
      <c r="S271" s="77">
        <v>0</v>
      </c>
      <c r="T271" s="77">
        <f t="shared" si="165"/>
        <v>0</v>
      </c>
      <c r="U271" s="77">
        <f t="shared" si="166"/>
        <v>0</v>
      </c>
    </row>
    <row r="272" spans="1:21" ht="18.75" hidden="1" x14ac:dyDescent="0.25">
      <c r="A272" s="209"/>
      <c r="B272" s="381"/>
      <c r="C272" s="381"/>
      <c r="D272" s="67"/>
      <c r="E272" s="440" t="s">
        <v>37</v>
      </c>
      <c r="F272" s="67"/>
      <c r="G272" s="69"/>
      <c r="H272" s="218" t="s">
        <v>14</v>
      </c>
      <c r="I272" s="219"/>
      <c r="J272" s="219"/>
      <c r="K272" s="220"/>
      <c r="L272" s="1261">
        <f ca="1">IFERROR(__xludf.DUMMYFUNCTION("IMPORTRANGE(""https://docs.google.com/spreadsheets/d/1-uDff_7J0KD5mKrp0Vvzr7lt3OU09vwQwhkpOPPYv2Y/edit?usp=sharing"",""งบพรบ!DE60"")"),0)</f>
        <v>0</v>
      </c>
      <c r="M272" s="399">
        <f ca="1">IFERROR(__xludf.DUMMYFUNCTION("IMPORTRANGE(""https://docs.google.com/spreadsheets/d/1-uDff_7J0KD5mKrp0Vvzr7lt3OU09vwQwhkpOPPYv2Y/edit?usp=sharing"",""งบพรบ!DJ60"")"),5000)</f>
        <v>5000</v>
      </c>
      <c r="N272" s="399">
        <f ca="1">IFERROR(__xludf.DUMMYFUNCTION("IMPORTRANGE(""https://docs.google.com/spreadsheets/d/1-uDff_7J0KD5mKrp0Vvzr7lt3OU09vwQwhkpOPPYv2Y/edit?usp=sharing"",""งบพรบ!DL60"")"),0)</f>
        <v>0</v>
      </c>
      <c r="O272" s="399">
        <f t="shared" ca="1" si="162"/>
        <v>0</v>
      </c>
      <c r="P272" s="399">
        <f t="shared" ca="1" si="163"/>
        <v>0</v>
      </c>
      <c r="Q272" s="399">
        <f ca="1">IFERROR(__xludf.DUMMYFUNCTION("IMPORTRANGE(""https://docs.google.com/spreadsheets/d/1ItG2mGa2ceCfYo0BwxsXqNm01IGEUdYcSSLTEv9YCik/edit?usp=sharing"",""เบิกจ่ายกองทุน!AJ60"")"),50660)</f>
        <v>50660</v>
      </c>
      <c r="R272" s="399">
        <f ca="1">IFERROR(__xludf.DUMMYFUNCTION("IMPORTRANGE(""https://docs.google.com/spreadsheets/d/1ItG2mGa2ceCfYo0BwxsXqNm01IGEUdYcSSLTEv9YCik/edit?usp=sharing"",""เบิกจ่ายกองทุน!AK60"")"),50660)</f>
        <v>50660</v>
      </c>
      <c r="S272" s="399">
        <f ca="1">IFERROR(__xludf.DUMMYFUNCTION("IMPORTRANGE(""https://docs.google.com/spreadsheets/d/1ItG2mGa2ceCfYo0BwxsXqNm01IGEUdYcSSLTEv9YCik/edit?usp=sharing"",""เบิกจ่ายกองทุน!AL60"")"),0)</f>
        <v>0</v>
      </c>
      <c r="T272" s="399">
        <f t="shared" ca="1" si="165"/>
        <v>0</v>
      </c>
      <c r="U272" s="399">
        <f t="shared" ca="1" si="166"/>
        <v>0</v>
      </c>
    </row>
    <row r="273" spans="1:21" ht="18.75" x14ac:dyDescent="0.25">
      <c r="A273" s="209"/>
      <c r="B273" s="381"/>
      <c r="C273" s="381"/>
      <c r="D273" s="1141" t="s">
        <v>23</v>
      </c>
      <c r="E273" s="67"/>
      <c r="F273" s="67"/>
      <c r="G273" s="69"/>
      <c r="H273" s="221" t="s">
        <v>14</v>
      </c>
      <c r="I273" s="219"/>
      <c r="J273" s="219"/>
      <c r="K273" s="220"/>
      <c r="L273" s="1261">
        <f t="shared" ref="L273:N273" ca="1" si="171">L274+L275</f>
        <v>0</v>
      </c>
      <c r="M273" s="399">
        <f t="shared" ca="1" si="171"/>
        <v>0</v>
      </c>
      <c r="N273" s="399">
        <f t="shared" ca="1" si="171"/>
        <v>0</v>
      </c>
      <c r="O273" s="399">
        <f t="shared" ca="1" si="162"/>
        <v>0</v>
      </c>
      <c r="P273" s="399">
        <f t="shared" ca="1" si="163"/>
        <v>0</v>
      </c>
      <c r="Q273" s="399">
        <f t="shared" ref="Q273:S273" si="172">Q274+Q275</f>
        <v>0</v>
      </c>
      <c r="R273" s="399">
        <f t="shared" si="172"/>
        <v>0</v>
      </c>
      <c r="S273" s="399">
        <f t="shared" si="172"/>
        <v>0</v>
      </c>
      <c r="T273" s="399">
        <f t="shared" si="165"/>
        <v>0</v>
      </c>
      <c r="U273" s="399">
        <f t="shared" si="166"/>
        <v>0</v>
      </c>
    </row>
    <row r="274" spans="1:21" ht="18.75" hidden="1" x14ac:dyDescent="0.25">
      <c r="A274" s="880"/>
      <c r="B274" s="838"/>
      <c r="C274" s="920"/>
      <c r="D274" s="838"/>
      <c r="E274" s="265" t="s">
        <v>20</v>
      </c>
      <c r="F274" s="838"/>
      <c r="G274" s="839"/>
      <c r="H274" s="273" t="s">
        <v>14</v>
      </c>
      <c r="I274" s="881"/>
      <c r="J274" s="881"/>
      <c r="K274" s="882"/>
      <c r="L274" s="76">
        <v>0</v>
      </c>
      <c r="M274" s="77">
        <v>0</v>
      </c>
      <c r="N274" s="77">
        <v>0</v>
      </c>
      <c r="O274" s="77">
        <f t="shared" si="162"/>
        <v>0</v>
      </c>
      <c r="P274" s="77">
        <f t="shared" si="163"/>
        <v>0</v>
      </c>
      <c r="Q274" s="77">
        <v>0</v>
      </c>
      <c r="R274" s="77">
        <v>0</v>
      </c>
      <c r="S274" s="77">
        <v>0</v>
      </c>
      <c r="T274" s="77">
        <f t="shared" si="165"/>
        <v>0</v>
      </c>
      <c r="U274" s="77">
        <f t="shared" si="166"/>
        <v>0</v>
      </c>
    </row>
    <row r="275" spans="1:21" ht="18.75" hidden="1" x14ac:dyDescent="0.25">
      <c r="A275" s="209"/>
      <c r="B275" s="67"/>
      <c r="C275" s="67"/>
      <c r="D275" s="381"/>
      <c r="E275" s="440" t="s">
        <v>21</v>
      </c>
      <c r="F275" s="67"/>
      <c r="G275" s="69"/>
      <c r="H275" s="221" t="s">
        <v>14</v>
      </c>
      <c r="I275" s="219"/>
      <c r="J275" s="219"/>
      <c r="K275" s="220"/>
      <c r="L275" s="1261">
        <f ca="1">IFERROR(__xludf.DUMMYFUNCTION("IMPORTRANGE(""https://docs.google.com/spreadsheets/d/1-uDff_7J0KD5mKrp0Vvzr7lt3OU09vwQwhkpOPPYv2Y/edit?usp=sharing"",""งบพรบ!DH60"")"),0)</f>
        <v>0</v>
      </c>
      <c r="M275" s="399">
        <f ca="1">IFERROR(__xludf.DUMMYFUNCTION("IMPORTRANGE(""https://docs.google.com/spreadsheets/d/1-uDff_7J0KD5mKrp0Vvzr7lt3OU09vwQwhkpOPPYv2Y/edit?usp=sharing"",""งบพรบ!DK60"")"),0)</f>
        <v>0</v>
      </c>
      <c r="N275" s="399">
        <f ca="1">IFERROR(__xludf.DUMMYFUNCTION("IMPORTRANGE(""https://docs.google.com/spreadsheets/d/1-uDff_7J0KD5mKrp0Vvzr7lt3OU09vwQwhkpOPPYv2Y/edit?usp=sharing"",""งบพรบ!DM60"")"),0)</f>
        <v>0</v>
      </c>
      <c r="O275" s="399">
        <f t="shared" ca="1" si="162"/>
        <v>0</v>
      </c>
      <c r="P275" s="399">
        <f t="shared" ca="1" si="163"/>
        <v>0</v>
      </c>
      <c r="Q275" s="399">
        <v>0</v>
      </c>
      <c r="R275" s="399">
        <v>0</v>
      </c>
      <c r="S275" s="399">
        <v>0</v>
      </c>
      <c r="T275" s="399">
        <f t="shared" si="165"/>
        <v>0</v>
      </c>
      <c r="U275" s="399">
        <f t="shared" si="166"/>
        <v>0</v>
      </c>
    </row>
    <row r="276" spans="1:21" ht="19.5" x14ac:dyDescent="0.3">
      <c r="A276" s="222"/>
      <c r="B276" s="223"/>
      <c r="C276" s="440" t="s">
        <v>18</v>
      </c>
      <c r="D276" s="1142" t="s">
        <v>38</v>
      </c>
      <c r="E276" s="225"/>
      <c r="F276" s="225"/>
      <c r="G276" s="226"/>
      <c r="H276" s="227"/>
      <c r="I276" s="219"/>
      <c r="J276" s="219"/>
      <c r="K276" s="220"/>
      <c r="L276" s="1235"/>
      <c r="M276" s="220"/>
      <c r="N276" s="220"/>
      <c r="O276" s="220"/>
      <c r="P276" s="220"/>
      <c r="Q276" s="220"/>
      <c r="R276" s="220"/>
      <c r="S276" s="220"/>
      <c r="T276" s="220"/>
      <c r="U276" s="220"/>
    </row>
    <row r="277" spans="1:21" ht="18.75" x14ac:dyDescent="0.25">
      <c r="A277" s="949"/>
      <c r="B277" s="950"/>
      <c r="C277" s="950"/>
      <c r="D277" s="951" t="s">
        <v>115</v>
      </c>
      <c r="E277" s="79"/>
      <c r="F277" s="79"/>
      <c r="G277" s="81"/>
      <c r="H277" s="952" t="s">
        <v>35</v>
      </c>
      <c r="I277" s="329">
        <f ca="1">IFERROR(__xludf.DUMMYFUNCTION("IMPORTRANGE(""https://docs.google.com/spreadsheets/d/1eHaY18a8A9IcSdp1K8H6x8fbOy06t2VsZHhMHf-1x7Y/edit?usp=sharing"",""แผน!EC60"")"),22)</f>
        <v>22</v>
      </c>
      <c r="J277" s="908">
        <v>0</v>
      </c>
      <c r="K277" s="85">
        <f ca="1">IF(I277&gt;0,J277*100/I277,0)</f>
        <v>0</v>
      </c>
      <c r="L277" s="540"/>
      <c r="M277" s="72"/>
      <c r="N277" s="72"/>
      <c r="O277" s="72"/>
      <c r="P277" s="72"/>
      <c r="Q277" s="72"/>
      <c r="R277" s="72"/>
      <c r="S277" s="72"/>
      <c r="T277" s="72"/>
      <c r="U277" s="72"/>
    </row>
    <row r="278" spans="1:21" ht="18.75" hidden="1" x14ac:dyDescent="0.25">
      <c r="A278" s="1236"/>
      <c r="B278" s="996"/>
      <c r="C278" s="996"/>
      <c r="D278" s="1145" t="s">
        <v>116</v>
      </c>
      <c r="E278" s="1237"/>
      <c r="F278" s="1237"/>
      <c r="G278" s="1238"/>
      <c r="H278" s="1146" t="s">
        <v>35</v>
      </c>
      <c r="I278" s="779">
        <v>0</v>
      </c>
      <c r="J278" s="779">
        <v>0</v>
      </c>
      <c r="K278" s="1147">
        <v>0</v>
      </c>
      <c r="L278" s="1239"/>
      <c r="M278" s="1240"/>
      <c r="N278" s="1240"/>
      <c r="O278" s="1240"/>
      <c r="P278" s="1240"/>
      <c r="Q278" s="1240"/>
      <c r="R278" s="1240"/>
      <c r="S278" s="1240"/>
      <c r="T278" s="1240"/>
      <c r="U278" s="1240"/>
    </row>
    <row r="279" spans="1:21" ht="19.5" hidden="1" x14ac:dyDescent="0.3">
      <c r="A279" s="1148" t="s">
        <v>117</v>
      </c>
      <c r="B279" s="1149"/>
      <c r="C279" s="1149"/>
      <c r="D279" s="1149"/>
      <c r="E279" s="1150"/>
      <c r="F279" s="1150"/>
      <c r="G279" s="1150"/>
      <c r="H279" s="1149"/>
      <c r="I279" s="1151"/>
      <c r="J279" s="1151"/>
      <c r="K279" s="469"/>
      <c r="L279" s="469"/>
      <c r="M279" s="469"/>
      <c r="N279" s="469"/>
      <c r="O279" s="469"/>
      <c r="P279" s="470"/>
      <c r="Q279" s="469"/>
      <c r="R279" s="469"/>
      <c r="S279" s="469"/>
      <c r="T279" s="469"/>
      <c r="U279" s="470"/>
    </row>
    <row r="280" spans="1:21" ht="19.5" hidden="1" x14ac:dyDescent="0.3">
      <c r="A280" s="1152" t="s">
        <v>118</v>
      </c>
      <c r="B280" s="1153"/>
      <c r="C280" s="1154"/>
      <c r="D280" s="1153"/>
      <c r="E280" s="1153"/>
      <c r="F280" s="1153"/>
      <c r="G280" s="1153"/>
      <c r="H280" s="1154"/>
      <c r="I280" s="1155"/>
      <c r="J280" s="1156"/>
      <c r="K280" s="478"/>
      <c r="L280" s="477"/>
      <c r="M280" s="478"/>
      <c r="N280" s="478"/>
      <c r="O280" s="478"/>
      <c r="P280" s="478"/>
      <c r="Q280" s="478"/>
      <c r="R280" s="478"/>
      <c r="S280" s="478"/>
      <c r="T280" s="478"/>
      <c r="U280" s="478"/>
    </row>
    <row r="281" spans="1:21" ht="19.5" hidden="1" x14ac:dyDescent="0.3">
      <c r="A281" s="1157"/>
      <c r="B281" s="1158" t="s">
        <v>119</v>
      </c>
      <c r="C281" s="1159"/>
      <c r="D281" s="1160"/>
      <c r="E281" s="1159"/>
      <c r="F281" s="1159"/>
      <c r="G281" s="1161"/>
      <c r="H281" s="1162" t="s">
        <v>35</v>
      </c>
      <c r="I281" s="1163">
        <f t="shared" ref="I281:J281" ca="1" si="173">I294</f>
        <v>0</v>
      </c>
      <c r="J281" s="1163">
        <f t="shared" si="173"/>
        <v>0</v>
      </c>
      <c r="K281" s="1164">
        <f t="shared" ref="K281:K282" ca="1" si="174">IF(I281&gt;0,J281*100/I281,0)</f>
        <v>0</v>
      </c>
      <c r="L281" s="488"/>
      <c r="M281" s="489"/>
      <c r="N281" s="489"/>
      <c r="O281" s="489"/>
      <c r="P281" s="489"/>
      <c r="Q281" s="489"/>
      <c r="R281" s="489"/>
      <c r="S281" s="489"/>
      <c r="T281" s="489"/>
      <c r="U281" s="489"/>
    </row>
    <row r="282" spans="1:21" ht="19.5" hidden="1" x14ac:dyDescent="0.3">
      <c r="A282" s="1157"/>
      <c r="B282" s="1159"/>
      <c r="C282" s="1159"/>
      <c r="D282" s="1160"/>
      <c r="E282" s="1159"/>
      <c r="F282" s="1159"/>
      <c r="G282" s="1161"/>
      <c r="H282" s="1162" t="s">
        <v>46</v>
      </c>
      <c r="I282" s="1163">
        <f t="shared" ref="I282:J282" ca="1" si="175">I293</f>
        <v>0</v>
      </c>
      <c r="J282" s="1163">
        <f t="shared" si="175"/>
        <v>0</v>
      </c>
      <c r="K282" s="1164">
        <f t="shared" ca="1" si="174"/>
        <v>0</v>
      </c>
      <c r="L282" s="488"/>
      <c r="M282" s="489"/>
      <c r="N282" s="489"/>
      <c r="O282" s="489"/>
      <c r="P282" s="489"/>
      <c r="Q282" s="489"/>
      <c r="R282" s="489"/>
      <c r="S282" s="489"/>
      <c r="T282" s="489"/>
      <c r="U282" s="489"/>
    </row>
    <row r="283" spans="1:21" ht="19.5" hidden="1" x14ac:dyDescent="0.3">
      <c r="A283" s="257"/>
      <c r="B283" s="258"/>
      <c r="C283" s="259" t="s">
        <v>18</v>
      </c>
      <c r="D283" s="260" t="s">
        <v>19</v>
      </c>
      <c r="E283" s="258"/>
      <c r="F283" s="258"/>
      <c r="G283" s="261"/>
      <c r="H283" s="262" t="s">
        <v>14</v>
      </c>
      <c r="I283" s="263"/>
      <c r="J283" s="263"/>
      <c r="K283" s="87"/>
      <c r="L283" s="1257">
        <f t="shared" ref="L283:N283" ca="1" si="176">L284+L285</f>
        <v>0</v>
      </c>
      <c r="M283" s="264">
        <f t="shared" ca="1" si="176"/>
        <v>0</v>
      </c>
      <c r="N283" s="264">
        <f t="shared" ca="1" si="176"/>
        <v>0</v>
      </c>
      <c r="O283" s="264">
        <f t="shared" ref="O283:O291" ca="1" si="177">IF(L283&gt;0,N283*100/L283,0)</f>
        <v>0</v>
      </c>
      <c r="P283" s="264">
        <f t="shared" ref="P283:P291" ca="1" si="178">IF(M283&gt;0,N283*100/M283,0)</f>
        <v>0</v>
      </c>
      <c r="Q283" s="264">
        <f t="shared" ref="Q283:S283" si="179">Q284+Q285</f>
        <v>0</v>
      </c>
      <c r="R283" s="264">
        <f t="shared" si="179"/>
        <v>0</v>
      </c>
      <c r="S283" s="264">
        <f t="shared" si="179"/>
        <v>0</v>
      </c>
      <c r="T283" s="264">
        <f t="shared" ref="T283:T291" si="180">IF(Q283&gt;0,S283*100/Q283,0)</f>
        <v>0</v>
      </c>
      <c r="U283" s="264">
        <f t="shared" ref="U283:U291" si="181">IF(R283&gt;0,S283*100/R283,0)</f>
        <v>0</v>
      </c>
    </row>
    <row r="284" spans="1:21" ht="18.75" hidden="1" x14ac:dyDescent="0.25">
      <c r="A284" s="257"/>
      <c r="B284" s="258"/>
      <c r="C284" s="258"/>
      <c r="D284" s="258"/>
      <c r="E284" s="265" t="s">
        <v>20</v>
      </c>
      <c r="F284" s="258"/>
      <c r="G284" s="261"/>
      <c r="H284" s="266" t="s">
        <v>14</v>
      </c>
      <c r="I284" s="263"/>
      <c r="J284" s="263"/>
      <c r="K284" s="87"/>
      <c r="L284" s="76">
        <f t="shared" ref="L284:N285" si="182">L287+L290</f>
        <v>0</v>
      </c>
      <c r="M284" s="77">
        <f t="shared" si="182"/>
        <v>0</v>
      </c>
      <c r="N284" s="77">
        <f t="shared" si="182"/>
        <v>0</v>
      </c>
      <c r="O284" s="77">
        <f t="shared" si="177"/>
        <v>0</v>
      </c>
      <c r="P284" s="77">
        <f t="shared" si="178"/>
        <v>0</v>
      </c>
      <c r="Q284" s="77">
        <f t="shared" ref="Q284:S285" si="183">Q287+Q290</f>
        <v>0</v>
      </c>
      <c r="R284" s="77">
        <f t="shared" si="183"/>
        <v>0</v>
      </c>
      <c r="S284" s="77">
        <f t="shared" si="183"/>
        <v>0</v>
      </c>
      <c r="T284" s="77">
        <f t="shared" si="180"/>
        <v>0</v>
      </c>
      <c r="U284" s="77">
        <f t="shared" si="181"/>
        <v>0</v>
      </c>
    </row>
    <row r="285" spans="1:21" ht="18.75" hidden="1" x14ac:dyDescent="0.25">
      <c r="A285" s="257"/>
      <c r="B285" s="258"/>
      <c r="C285" s="258"/>
      <c r="D285" s="258"/>
      <c r="E285" s="267" t="s">
        <v>21</v>
      </c>
      <c r="F285" s="258"/>
      <c r="G285" s="261"/>
      <c r="H285" s="268" t="s">
        <v>14</v>
      </c>
      <c r="I285" s="263"/>
      <c r="J285" s="263"/>
      <c r="K285" s="87"/>
      <c r="L285" s="73">
        <f t="shared" ca="1" si="182"/>
        <v>0</v>
      </c>
      <c r="M285" s="74">
        <f t="shared" ca="1" si="182"/>
        <v>0</v>
      </c>
      <c r="N285" s="74">
        <f t="shared" ca="1" si="182"/>
        <v>0</v>
      </c>
      <c r="O285" s="74">
        <f t="shared" ca="1" si="177"/>
        <v>0</v>
      </c>
      <c r="P285" s="74">
        <f t="shared" ca="1" si="178"/>
        <v>0</v>
      </c>
      <c r="Q285" s="74">
        <f t="shared" si="183"/>
        <v>0</v>
      </c>
      <c r="R285" s="74">
        <f t="shared" si="183"/>
        <v>0</v>
      </c>
      <c r="S285" s="74">
        <f t="shared" si="183"/>
        <v>0</v>
      </c>
      <c r="T285" s="74">
        <f t="shared" si="180"/>
        <v>0</v>
      </c>
      <c r="U285" s="74">
        <f t="shared" si="181"/>
        <v>0</v>
      </c>
    </row>
    <row r="286" spans="1:21" ht="18.75" hidden="1" x14ac:dyDescent="0.25">
      <c r="A286" s="257"/>
      <c r="B286" s="269"/>
      <c r="C286" s="258"/>
      <c r="D286" s="270" t="s">
        <v>22</v>
      </c>
      <c r="E286" s="258"/>
      <c r="F286" s="258"/>
      <c r="G286" s="261"/>
      <c r="H286" s="271" t="s">
        <v>14</v>
      </c>
      <c r="I286" s="272"/>
      <c r="J286" s="272"/>
      <c r="K286" s="229"/>
      <c r="L286" s="73">
        <f t="shared" ref="L286:N286" ca="1" si="184">L287+L288</f>
        <v>0</v>
      </c>
      <c r="M286" s="74">
        <f t="shared" ca="1" si="184"/>
        <v>0</v>
      </c>
      <c r="N286" s="74">
        <f t="shared" ca="1" si="184"/>
        <v>0</v>
      </c>
      <c r="O286" s="74">
        <f t="shared" ca="1" si="177"/>
        <v>0</v>
      </c>
      <c r="P286" s="74">
        <f t="shared" ca="1" si="178"/>
        <v>0</v>
      </c>
      <c r="Q286" s="74">
        <f t="shared" ref="Q286:S286" si="185">Q287+Q288</f>
        <v>0</v>
      </c>
      <c r="R286" s="74">
        <f t="shared" si="185"/>
        <v>0</v>
      </c>
      <c r="S286" s="74">
        <f t="shared" si="185"/>
        <v>0</v>
      </c>
      <c r="T286" s="74">
        <f t="shared" si="180"/>
        <v>0</v>
      </c>
      <c r="U286" s="74">
        <f t="shared" si="181"/>
        <v>0</v>
      </c>
    </row>
    <row r="287" spans="1:21" ht="18.75" hidden="1" x14ac:dyDescent="0.25">
      <c r="A287" s="257"/>
      <c r="B287" s="269"/>
      <c r="C287" s="269"/>
      <c r="D287" s="258"/>
      <c r="E287" s="775" t="s">
        <v>36</v>
      </c>
      <c r="F287" s="258"/>
      <c r="G287" s="261"/>
      <c r="H287" s="273" t="s">
        <v>14</v>
      </c>
      <c r="I287" s="272"/>
      <c r="J287" s="272"/>
      <c r="K287" s="229"/>
      <c r="L287" s="76">
        <v>0</v>
      </c>
      <c r="M287" s="77">
        <v>0</v>
      </c>
      <c r="N287" s="77">
        <v>0</v>
      </c>
      <c r="O287" s="77">
        <f t="shared" si="177"/>
        <v>0</v>
      </c>
      <c r="P287" s="77">
        <f t="shared" si="178"/>
        <v>0</v>
      </c>
      <c r="Q287" s="77">
        <v>0</v>
      </c>
      <c r="R287" s="77">
        <v>0</v>
      </c>
      <c r="S287" s="77">
        <v>0</v>
      </c>
      <c r="T287" s="77">
        <f t="shared" si="180"/>
        <v>0</v>
      </c>
      <c r="U287" s="77">
        <f t="shared" si="181"/>
        <v>0</v>
      </c>
    </row>
    <row r="288" spans="1:21" ht="18.75" hidden="1" x14ac:dyDescent="0.25">
      <c r="A288" s="257"/>
      <c r="B288" s="269"/>
      <c r="C288" s="269"/>
      <c r="D288" s="258"/>
      <c r="E288" s="749" t="s">
        <v>37</v>
      </c>
      <c r="F288" s="258"/>
      <c r="G288" s="261"/>
      <c r="H288" s="271" t="s">
        <v>14</v>
      </c>
      <c r="I288" s="272"/>
      <c r="J288" s="272"/>
      <c r="K288" s="229"/>
      <c r="L288" s="73">
        <f ca="1">IFERROR(__xludf.DUMMYFUNCTION("IMPORTRANGE(""https://docs.google.com/spreadsheets/d/1-uDff_7J0KD5mKrp0Vvzr7lt3OU09vwQwhkpOPPYv2Y/edit?usp=sharing"",""งบพรบ!DO60"")"),0)</f>
        <v>0</v>
      </c>
      <c r="M288" s="74">
        <f ca="1">IFERROR(__xludf.DUMMYFUNCTION("IMPORTRANGE(""https://docs.google.com/spreadsheets/d/1-uDff_7J0KD5mKrp0Vvzr7lt3OU09vwQwhkpOPPYv2Y/edit?usp=sharing"",""งบพรบ!DT60"")"),0)</f>
        <v>0</v>
      </c>
      <c r="N288" s="74">
        <f ca="1">IFERROR(__xludf.DUMMYFUNCTION("IMPORTRANGE(""https://docs.google.com/spreadsheets/d/1-uDff_7J0KD5mKrp0Vvzr7lt3OU09vwQwhkpOPPYv2Y/edit?usp=sharing"",""งบพรบ!DV60"")"),0)</f>
        <v>0</v>
      </c>
      <c r="O288" s="74">
        <f t="shared" ca="1" si="177"/>
        <v>0</v>
      </c>
      <c r="P288" s="74">
        <f t="shared" ca="1" si="178"/>
        <v>0</v>
      </c>
      <c r="Q288" s="74">
        <v>0</v>
      </c>
      <c r="R288" s="74">
        <v>0</v>
      </c>
      <c r="S288" s="74">
        <v>0</v>
      </c>
      <c r="T288" s="77">
        <f t="shared" si="180"/>
        <v>0</v>
      </c>
      <c r="U288" s="77">
        <f t="shared" si="181"/>
        <v>0</v>
      </c>
    </row>
    <row r="289" spans="1:21" ht="18.75" hidden="1" x14ac:dyDescent="0.25">
      <c r="A289" s="257"/>
      <c r="B289" s="269"/>
      <c r="C289" s="269"/>
      <c r="D289" s="270" t="s">
        <v>23</v>
      </c>
      <c r="E289" s="258"/>
      <c r="F289" s="258"/>
      <c r="G289" s="261"/>
      <c r="H289" s="275" t="s">
        <v>14</v>
      </c>
      <c r="I289" s="272"/>
      <c r="J289" s="272"/>
      <c r="K289" s="229"/>
      <c r="L289" s="73">
        <f t="shared" ref="L289:N289" ca="1" si="186">L290+L291</f>
        <v>0</v>
      </c>
      <c r="M289" s="74">
        <f t="shared" ca="1" si="186"/>
        <v>0</v>
      </c>
      <c r="N289" s="74">
        <f t="shared" ca="1" si="186"/>
        <v>0</v>
      </c>
      <c r="O289" s="74">
        <f t="shared" ca="1" si="177"/>
        <v>0</v>
      </c>
      <c r="P289" s="74">
        <f t="shared" ca="1" si="178"/>
        <v>0</v>
      </c>
      <c r="Q289" s="74">
        <f t="shared" ref="Q289:S289" si="187">Q290+Q291</f>
        <v>0</v>
      </c>
      <c r="R289" s="74">
        <f t="shared" si="187"/>
        <v>0</v>
      </c>
      <c r="S289" s="74">
        <f t="shared" si="187"/>
        <v>0</v>
      </c>
      <c r="T289" s="74">
        <f t="shared" si="180"/>
        <v>0</v>
      </c>
      <c r="U289" s="74">
        <f t="shared" si="181"/>
        <v>0</v>
      </c>
    </row>
    <row r="290" spans="1:21" ht="18.75" hidden="1" x14ac:dyDescent="0.25">
      <c r="A290" s="257"/>
      <c r="B290" s="269"/>
      <c r="C290" s="269"/>
      <c r="D290" s="258"/>
      <c r="E290" s="265" t="s">
        <v>20</v>
      </c>
      <c r="F290" s="258"/>
      <c r="G290" s="261"/>
      <c r="H290" s="273" t="s">
        <v>14</v>
      </c>
      <c r="I290" s="272"/>
      <c r="J290" s="272"/>
      <c r="K290" s="229"/>
      <c r="L290" s="76">
        <v>0</v>
      </c>
      <c r="M290" s="77">
        <v>0</v>
      </c>
      <c r="N290" s="77">
        <v>0</v>
      </c>
      <c r="O290" s="77">
        <f t="shared" si="177"/>
        <v>0</v>
      </c>
      <c r="P290" s="77">
        <f t="shared" si="178"/>
        <v>0</v>
      </c>
      <c r="Q290" s="77">
        <v>0</v>
      </c>
      <c r="R290" s="77">
        <v>0</v>
      </c>
      <c r="S290" s="77">
        <v>0</v>
      </c>
      <c r="T290" s="77">
        <f t="shared" si="180"/>
        <v>0</v>
      </c>
      <c r="U290" s="77">
        <f t="shared" si="181"/>
        <v>0</v>
      </c>
    </row>
    <row r="291" spans="1:21" ht="18.75" hidden="1" x14ac:dyDescent="0.25">
      <c r="A291" s="257"/>
      <c r="B291" s="269"/>
      <c r="C291" s="269"/>
      <c r="D291" s="258"/>
      <c r="E291" s="267" t="s">
        <v>21</v>
      </c>
      <c r="F291" s="258"/>
      <c r="G291" s="261"/>
      <c r="H291" s="275" t="s">
        <v>14</v>
      </c>
      <c r="I291" s="272"/>
      <c r="J291" s="272"/>
      <c r="K291" s="229"/>
      <c r="L291" s="73">
        <f ca="1">IFERROR(__xludf.DUMMYFUNCTION("IMPORTRANGE(""https://docs.google.com/spreadsheets/d/1-uDff_7J0KD5mKrp0Vvzr7lt3OU09vwQwhkpOPPYv2Y/edit?usp=sharing"",""งบพรบ!DR60"")"),0)</f>
        <v>0</v>
      </c>
      <c r="M291" s="74">
        <f ca="1">IFERROR(__xludf.DUMMYFUNCTION("IMPORTRANGE(""https://docs.google.com/spreadsheets/d/1-uDff_7J0KD5mKrp0Vvzr7lt3OU09vwQwhkpOPPYv2Y/edit?usp=sharing"",""งบพรบ!DU60"")"),0)</f>
        <v>0</v>
      </c>
      <c r="N291" s="74">
        <f ca="1">IFERROR(__xludf.DUMMYFUNCTION("IMPORTRANGE(""https://docs.google.com/spreadsheets/d/1-uDff_7J0KD5mKrp0Vvzr7lt3OU09vwQwhkpOPPYv2Y/edit?usp=sharing"",""งบพรบ!DW60"")"),0)</f>
        <v>0</v>
      </c>
      <c r="O291" s="74">
        <f t="shared" ca="1" si="177"/>
        <v>0</v>
      </c>
      <c r="P291" s="74">
        <f t="shared" ca="1" si="178"/>
        <v>0</v>
      </c>
      <c r="Q291" s="74">
        <v>0</v>
      </c>
      <c r="R291" s="74">
        <v>0</v>
      </c>
      <c r="S291" s="74">
        <v>0</v>
      </c>
      <c r="T291" s="74">
        <f t="shared" si="180"/>
        <v>0</v>
      </c>
      <c r="U291" s="74">
        <f t="shared" si="181"/>
        <v>0</v>
      </c>
    </row>
    <row r="292" spans="1:21" ht="19.5" hidden="1" x14ac:dyDescent="0.3">
      <c r="A292" s="276"/>
      <c r="B292" s="277"/>
      <c r="C292" s="621" t="s">
        <v>18</v>
      </c>
      <c r="D292" s="1019" t="s">
        <v>38</v>
      </c>
      <c r="E292" s="280"/>
      <c r="F292" s="280"/>
      <c r="G292" s="281"/>
      <c r="H292" s="282"/>
      <c r="I292" s="272"/>
      <c r="J292" s="272"/>
      <c r="K292" s="229"/>
      <c r="L292" s="228"/>
      <c r="M292" s="229"/>
      <c r="N292" s="229"/>
      <c r="O292" s="229"/>
      <c r="P292" s="229"/>
      <c r="Q292" s="229"/>
      <c r="R292" s="229"/>
      <c r="S292" s="229"/>
      <c r="T292" s="229"/>
      <c r="U292" s="229"/>
    </row>
    <row r="293" spans="1:21" ht="18.75" hidden="1" x14ac:dyDescent="0.25">
      <c r="A293" s="276"/>
      <c r="B293" s="277"/>
      <c r="C293" s="277"/>
      <c r="D293" s="295" t="s">
        <v>120</v>
      </c>
      <c r="E293" s="277"/>
      <c r="F293" s="296"/>
      <c r="G293" s="282"/>
      <c r="H293" s="1165" t="s">
        <v>46</v>
      </c>
      <c r="I293" s="293">
        <f ca="1">IFERROR(__xludf.DUMMYFUNCTION("IMPORTRANGE(""https://docs.google.com/spreadsheets/d/1eHaY18a8A9IcSdp1K8H6x8fbOy06t2VsZHhMHf-1x7Y/edit?usp=sharing"",""แผน!EE60"")"),0)</f>
        <v>0</v>
      </c>
      <c r="J293" s="294">
        <v>0</v>
      </c>
      <c r="K293" s="768">
        <f t="shared" ref="K293:K294" ca="1" si="188">IF(I293&gt;0,J293*100/I293,0)</f>
        <v>0</v>
      </c>
      <c r="L293" s="228"/>
      <c r="M293" s="229"/>
      <c r="N293" s="229"/>
      <c r="O293" s="229"/>
      <c r="P293" s="229"/>
      <c r="Q293" s="229"/>
      <c r="R293" s="229"/>
      <c r="S293" s="229"/>
      <c r="T293" s="229"/>
      <c r="U293" s="229"/>
    </row>
    <row r="294" spans="1:21" ht="19.5" hidden="1" x14ac:dyDescent="0.3">
      <c r="A294" s="276"/>
      <c r="B294" s="277"/>
      <c r="C294" s="277"/>
      <c r="D294" s="295" t="s">
        <v>121</v>
      </c>
      <c r="E294" s="277"/>
      <c r="F294" s="296"/>
      <c r="G294" s="282"/>
      <c r="H294" s="1104" t="s">
        <v>35</v>
      </c>
      <c r="I294" s="622">
        <f ca="1">IFERROR(__xludf.DUMMYFUNCTION("IMPORTRANGE(""https://docs.google.com/spreadsheets/d/1eHaY18a8A9IcSdp1K8H6x8fbOy06t2VsZHhMHf-1x7Y/edit?usp=sharing"",""แผน!ED60"")"),0)</f>
        <v>0</v>
      </c>
      <c r="J294" s="622">
        <f>J297</f>
        <v>0</v>
      </c>
      <c r="K294" s="1105">
        <f t="shared" ca="1" si="188"/>
        <v>0</v>
      </c>
      <c r="L294" s="228"/>
      <c r="M294" s="229"/>
      <c r="N294" s="229"/>
      <c r="O294" s="229"/>
      <c r="P294" s="229"/>
      <c r="Q294" s="229"/>
      <c r="R294" s="229"/>
      <c r="S294" s="229"/>
      <c r="T294" s="229"/>
      <c r="U294" s="229"/>
    </row>
    <row r="295" spans="1:21" ht="19.5" hidden="1" x14ac:dyDescent="0.3">
      <c r="A295" s="276"/>
      <c r="B295" s="277"/>
      <c r="C295" s="277"/>
      <c r="D295" s="277"/>
      <c r="E295" s="288" t="s">
        <v>325</v>
      </c>
      <c r="F295" s="296"/>
      <c r="G295" s="282"/>
      <c r="H295" s="282"/>
      <c r="I295" s="272"/>
      <c r="J295" s="263"/>
      <c r="K295" s="229"/>
      <c r="L295" s="228"/>
      <c r="M295" s="229"/>
      <c r="N295" s="229"/>
      <c r="O295" s="229"/>
      <c r="P295" s="229"/>
      <c r="Q295" s="229"/>
      <c r="R295" s="229"/>
      <c r="S295" s="229"/>
      <c r="T295" s="229"/>
      <c r="U295" s="229"/>
    </row>
    <row r="296" spans="1:21" ht="19.5" hidden="1" x14ac:dyDescent="0.3">
      <c r="A296" s="276"/>
      <c r="B296" s="277"/>
      <c r="C296" s="277"/>
      <c r="D296" s="296"/>
      <c r="E296" s="295" t="s">
        <v>326</v>
      </c>
      <c r="F296" s="296"/>
      <c r="G296" s="282"/>
      <c r="H296" s="299" t="s">
        <v>35</v>
      </c>
      <c r="I296" s="298">
        <f ca="1">IFERROR(__xludf.DUMMYFUNCTION("IMPORTRANGE(""https://docs.google.com/spreadsheets/d/1eHaY18a8A9IcSdp1K8H6x8fbOy06t2VsZHhMHf-1x7Y/edit?usp=sharing"",""แผน!ED60"")"),0)</f>
        <v>0</v>
      </c>
      <c r="J296" s="294">
        <v>0</v>
      </c>
      <c r="K296" s="768">
        <f t="shared" ref="K296:K297" ca="1" si="189">IF(I296&gt;0,J296*100/I296,0)</f>
        <v>0</v>
      </c>
      <c r="L296" s="228"/>
      <c r="M296" s="229"/>
      <c r="N296" s="229"/>
      <c r="O296" s="229"/>
      <c r="P296" s="229"/>
      <c r="Q296" s="229"/>
      <c r="R296" s="229"/>
      <c r="S296" s="229"/>
      <c r="T296" s="229"/>
      <c r="U296" s="229"/>
    </row>
    <row r="297" spans="1:21" ht="19.5" hidden="1" x14ac:dyDescent="0.3">
      <c r="A297" s="276"/>
      <c r="B297" s="277"/>
      <c r="C297" s="277"/>
      <c r="D297" s="296"/>
      <c r="E297" s="295" t="s">
        <v>327</v>
      </c>
      <c r="F297" s="296"/>
      <c r="G297" s="282"/>
      <c r="H297" s="299" t="s">
        <v>35</v>
      </c>
      <c r="I297" s="298">
        <f ca="1">IFERROR(__xludf.DUMMYFUNCTION("IMPORTRANGE(""https://docs.google.com/spreadsheets/d/1eHaY18a8A9IcSdp1K8H6x8fbOy06t2VsZHhMHf-1x7Y/edit?usp=sharing"",""แผน!ED60"")"),0)</f>
        <v>0</v>
      </c>
      <c r="J297" s="294">
        <v>0</v>
      </c>
      <c r="K297" s="768">
        <f t="shared" ca="1" si="189"/>
        <v>0</v>
      </c>
      <c r="L297" s="228"/>
      <c r="M297" s="229"/>
      <c r="N297" s="229"/>
      <c r="O297" s="229"/>
      <c r="P297" s="229"/>
      <c r="Q297" s="229"/>
      <c r="R297" s="229"/>
      <c r="S297" s="229"/>
      <c r="T297" s="229"/>
      <c r="U297" s="229"/>
    </row>
    <row r="298" spans="1:21" ht="12.75" hidden="1" x14ac:dyDescent="0.2">
      <c r="A298" s="283"/>
      <c r="B298" s="284"/>
      <c r="C298" s="284"/>
      <c r="D298" s="285"/>
      <c r="E298" s="285"/>
      <c r="F298" s="285"/>
      <c r="G298" s="286"/>
      <c r="H298" s="313"/>
      <c r="I298" s="287"/>
      <c r="J298" s="287"/>
      <c r="K298" s="30"/>
      <c r="L298" s="29"/>
      <c r="M298" s="30"/>
      <c r="N298" s="30"/>
      <c r="O298" s="30"/>
      <c r="P298" s="30"/>
      <c r="Q298" s="30"/>
      <c r="R298" s="30"/>
      <c r="S298" s="30"/>
      <c r="T298" s="30"/>
      <c r="U298" s="30"/>
    </row>
    <row r="299" spans="1:21" ht="12.75" hidden="1" x14ac:dyDescent="0.2">
      <c r="A299" s="283"/>
      <c r="B299" s="284"/>
      <c r="C299" s="284"/>
      <c r="D299" s="285"/>
      <c r="E299" s="285"/>
      <c r="F299" s="285"/>
      <c r="G299" s="286"/>
      <c r="H299" s="313"/>
      <c r="I299" s="287"/>
      <c r="J299" s="287"/>
      <c r="K299" s="30"/>
      <c r="L299" s="29"/>
      <c r="M299" s="30"/>
      <c r="N299" s="30"/>
      <c r="O299" s="30"/>
      <c r="P299" s="30"/>
      <c r="Q299" s="30"/>
      <c r="R299" s="30"/>
      <c r="S299" s="30"/>
      <c r="T299" s="30"/>
      <c r="U299" s="30"/>
    </row>
    <row r="300" spans="1:21" ht="12.75" hidden="1" x14ac:dyDescent="0.2">
      <c r="A300" s="1166"/>
      <c r="B300" s="1167"/>
      <c r="C300" s="1167"/>
      <c r="D300" s="1045"/>
      <c r="E300" s="1045"/>
      <c r="F300" s="1045"/>
      <c r="G300" s="1041"/>
      <c r="H300" s="1168"/>
      <c r="I300" s="1042"/>
      <c r="J300" s="1042"/>
      <c r="K300" s="19"/>
      <c r="L300" s="18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9.5" x14ac:dyDescent="0.3">
      <c r="A301" s="1169" t="s">
        <v>125</v>
      </c>
      <c r="B301" s="1170"/>
      <c r="C301" s="1170"/>
      <c r="D301" s="1170"/>
      <c r="E301" s="1171"/>
      <c r="F301" s="1171"/>
      <c r="G301" s="1171"/>
      <c r="H301" s="1170"/>
      <c r="I301" s="1172"/>
      <c r="J301" s="1172"/>
      <c r="K301" s="511"/>
      <c r="L301" s="511"/>
      <c r="M301" s="511"/>
      <c r="N301" s="511"/>
      <c r="O301" s="511"/>
      <c r="P301" s="512"/>
      <c r="Q301" s="511"/>
      <c r="R301" s="511"/>
      <c r="S301" s="511"/>
      <c r="T301" s="511"/>
      <c r="U301" s="512"/>
    </row>
    <row r="302" spans="1:21" ht="19.5" hidden="1" x14ac:dyDescent="0.3">
      <c r="A302" s="1173" t="s">
        <v>126</v>
      </c>
      <c r="B302" s="1174"/>
      <c r="C302" s="1174"/>
      <c r="D302" s="1175"/>
      <c r="E302" s="1175"/>
      <c r="F302" s="1175"/>
      <c r="G302" s="1176"/>
      <c r="H302" s="1177"/>
      <c r="I302" s="1178"/>
      <c r="J302" s="1178"/>
      <c r="K302" s="520"/>
      <c r="L302" s="519"/>
      <c r="M302" s="520"/>
      <c r="N302" s="520"/>
      <c r="O302" s="520"/>
      <c r="P302" s="520"/>
      <c r="Q302" s="520"/>
      <c r="R302" s="520"/>
      <c r="S302" s="520"/>
      <c r="T302" s="520"/>
      <c r="U302" s="520"/>
    </row>
    <row r="303" spans="1:21" ht="19.5" hidden="1" x14ac:dyDescent="0.3">
      <c r="A303" s="1179"/>
      <c r="B303" s="1180" t="s">
        <v>127</v>
      </c>
      <c r="C303" s="607"/>
      <c r="D303" s="607"/>
      <c r="E303" s="607"/>
      <c r="F303" s="607"/>
      <c r="G303" s="608"/>
      <c r="H303" s="609" t="s">
        <v>35</v>
      </c>
      <c r="I303" s="617">
        <f t="shared" ref="I303:J303" ca="1" si="190">I315</f>
        <v>0</v>
      </c>
      <c r="J303" s="617">
        <f t="shared" si="190"/>
        <v>0</v>
      </c>
      <c r="K303" s="611">
        <f ca="1">IF(I303&gt;0,J303*100/I303,0)</f>
        <v>0</v>
      </c>
      <c r="L303" s="529"/>
      <c r="M303" s="530"/>
      <c r="N303" s="530"/>
      <c r="O303" s="530"/>
      <c r="P303" s="530"/>
      <c r="Q303" s="530"/>
      <c r="R303" s="530"/>
      <c r="S303" s="530"/>
      <c r="T303" s="530"/>
      <c r="U303" s="530"/>
    </row>
    <row r="304" spans="1:21" ht="19.5" hidden="1" x14ac:dyDescent="0.3">
      <c r="A304" s="257"/>
      <c r="B304" s="258"/>
      <c r="C304" s="259" t="s">
        <v>18</v>
      </c>
      <c r="D304" s="260" t="s">
        <v>19</v>
      </c>
      <c r="E304" s="258"/>
      <c r="F304" s="258"/>
      <c r="G304" s="261"/>
      <c r="H304" s="262" t="s">
        <v>14</v>
      </c>
      <c r="I304" s="263"/>
      <c r="J304" s="263"/>
      <c r="K304" s="87"/>
      <c r="L304" s="1257">
        <f t="shared" ref="L304:N304" ca="1" si="191">L305+L306</f>
        <v>0</v>
      </c>
      <c r="M304" s="264">
        <f t="shared" ca="1" si="191"/>
        <v>0</v>
      </c>
      <c r="N304" s="264">
        <f t="shared" ca="1" si="191"/>
        <v>0</v>
      </c>
      <c r="O304" s="264">
        <f t="shared" ref="O304:O312" ca="1" si="192">IF(L304&gt;0,N304*100/L304,0)</f>
        <v>0</v>
      </c>
      <c r="P304" s="264">
        <f t="shared" ref="P304:P312" ca="1" si="193">IF(M304&gt;0,N304*100/M304,0)</f>
        <v>0</v>
      </c>
      <c r="Q304" s="264">
        <f t="shared" ref="Q304:S304" ca="1" si="194">Q305+Q306</f>
        <v>0</v>
      </c>
      <c r="R304" s="264">
        <f t="shared" ca="1" si="194"/>
        <v>0</v>
      </c>
      <c r="S304" s="264">
        <f t="shared" ca="1" si="194"/>
        <v>0</v>
      </c>
      <c r="T304" s="264">
        <f t="shared" ref="T304:T312" ca="1" si="195">IF(Q304&gt;0,S304*100/Q304,0)</f>
        <v>0</v>
      </c>
      <c r="U304" s="264">
        <f t="shared" ref="U304:U312" ca="1" si="196">IF(R304&gt;0,S304*100/R304,0)</f>
        <v>0</v>
      </c>
    </row>
    <row r="305" spans="1:21" ht="18.75" hidden="1" x14ac:dyDescent="0.25">
      <c r="A305" s="257"/>
      <c r="B305" s="258"/>
      <c r="C305" s="258"/>
      <c r="D305" s="258"/>
      <c r="E305" s="265" t="s">
        <v>20</v>
      </c>
      <c r="F305" s="258"/>
      <c r="G305" s="261"/>
      <c r="H305" s="266" t="s">
        <v>14</v>
      </c>
      <c r="I305" s="263"/>
      <c r="J305" s="263"/>
      <c r="K305" s="87"/>
      <c r="L305" s="76">
        <f t="shared" ref="L305:N306" si="197">L308+L311</f>
        <v>0</v>
      </c>
      <c r="M305" s="77">
        <f t="shared" si="197"/>
        <v>0</v>
      </c>
      <c r="N305" s="77">
        <f t="shared" si="197"/>
        <v>0</v>
      </c>
      <c r="O305" s="77">
        <f t="shared" si="192"/>
        <v>0</v>
      </c>
      <c r="P305" s="77">
        <f t="shared" si="193"/>
        <v>0</v>
      </c>
      <c r="Q305" s="77">
        <f t="shared" ref="Q305:S306" si="198">Q308+Q311</f>
        <v>0</v>
      </c>
      <c r="R305" s="77">
        <f t="shared" si="198"/>
        <v>0</v>
      </c>
      <c r="S305" s="77">
        <f t="shared" si="198"/>
        <v>0</v>
      </c>
      <c r="T305" s="77">
        <f t="shared" si="195"/>
        <v>0</v>
      </c>
      <c r="U305" s="77">
        <f t="shared" si="196"/>
        <v>0</v>
      </c>
    </row>
    <row r="306" spans="1:21" ht="18.75" hidden="1" x14ac:dyDescent="0.25">
      <c r="A306" s="257"/>
      <c r="B306" s="258"/>
      <c r="C306" s="258"/>
      <c r="D306" s="258"/>
      <c r="E306" s="267" t="s">
        <v>21</v>
      </c>
      <c r="F306" s="258"/>
      <c r="G306" s="261"/>
      <c r="H306" s="268" t="s">
        <v>14</v>
      </c>
      <c r="I306" s="263"/>
      <c r="J306" s="263"/>
      <c r="K306" s="87"/>
      <c r="L306" s="73">
        <f t="shared" ca="1" si="197"/>
        <v>0</v>
      </c>
      <c r="M306" s="74">
        <f t="shared" ca="1" si="197"/>
        <v>0</v>
      </c>
      <c r="N306" s="74">
        <f t="shared" ca="1" si="197"/>
        <v>0</v>
      </c>
      <c r="O306" s="74">
        <f t="shared" ca="1" si="192"/>
        <v>0</v>
      </c>
      <c r="P306" s="74">
        <f t="shared" ca="1" si="193"/>
        <v>0</v>
      </c>
      <c r="Q306" s="74">
        <f t="shared" ca="1" si="198"/>
        <v>0</v>
      </c>
      <c r="R306" s="74">
        <f t="shared" ca="1" si="198"/>
        <v>0</v>
      </c>
      <c r="S306" s="74">
        <f t="shared" ca="1" si="198"/>
        <v>0</v>
      </c>
      <c r="T306" s="74">
        <f t="shared" ca="1" si="195"/>
        <v>0</v>
      </c>
      <c r="U306" s="74">
        <f t="shared" ca="1" si="196"/>
        <v>0</v>
      </c>
    </row>
    <row r="307" spans="1:21" ht="18.75" hidden="1" x14ac:dyDescent="0.25">
      <c r="A307" s="257"/>
      <c r="B307" s="269"/>
      <c r="C307" s="258"/>
      <c r="D307" s="270" t="s">
        <v>22</v>
      </c>
      <c r="E307" s="258"/>
      <c r="F307" s="258"/>
      <c r="G307" s="261"/>
      <c r="H307" s="271" t="s">
        <v>14</v>
      </c>
      <c r="I307" s="272"/>
      <c r="J307" s="272"/>
      <c r="K307" s="229"/>
      <c r="L307" s="73">
        <f t="shared" ref="L307:N307" ca="1" si="199">L308+L309</f>
        <v>0</v>
      </c>
      <c r="M307" s="74">
        <f t="shared" ca="1" si="199"/>
        <v>0</v>
      </c>
      <c r="N307" s="74">
        <f t="shared" ca="1" si="199"/>
        <v>0</v>
      </c>
      <c r="O307" s="74">
        <f t="shared" ca="1" si="192"/>
        <v>0</v>
      </c>
      <c r="P307" s="74">
        <f t="shared" ca="1" si="193"/>
        <v>0</v>
      </c>
      <c r="Q307" s="74">
        <f t="shared" ref="Q307:S307" ca="1" si="200">Q308+Q309</f>
        <v>0</v>
      </c>
      <c r="R307" s="74">
        <f t="shared" ca="1" si="200"/>
        <v>0</v>
      </c>
      <c r="S307" s="74">
        <f t="shared" ca="1" si="200"/>
        <v>0</v>
      </c>
      <c r="T307" s="74">
        <f t="shared" ca="1" si="195"/>
        <v>0</v>
      </c>
      <c r="U307" s="74">
        <f t="shared" ca="1" si="196"/>
        <v>0</v>
      </c>
    </row>
    <row r="308" spans="1:21" ht="18.75" hidden="1" x14ac:dyDescent="0.25">
      <c r="A308" s="257"/>
      <c r="B308" s="269"/>
      <c r="C308" s="269"/>
      <c r="D308" s="258"/>
      <c r="E308" s="265" t="s">
        <v>36</v>
      </c>
      <c r="F308" s="258"/>
      <c r="G308" s="261"/>
      <c r="H308" s="273" t="s">
        <v>14</v>
      </c>
      <c r="I308" s="272"/>
      <c r="J308" s="272"/>
      <c r="K308" s="229"/>
      <c r="L308" s="76">
        <v>0</v>
      </c>
      <c r="M308" s="77">
        <v>0</v>
      </c>
      <c r="N308" s="77">
        <v>0</v>
      </c>
      <c r="O308" s="77">
        <f t="shared" si="192"/>
        <v>0</v>
      </c>
      <c r="P308" s="77">
        <f t="shared" si="193"/>
        <v>0</v>
      </c>
      <c r="Q308" s="77">
        <v>0</v>
      </c>
      <c r="R308" s="77">
        <v>0</v>
      </c>
      <c r="S308" s="77">
        <v>0</v>
      </c>
      <c r="T308" s="77">
        <f t="shared" si="195"/>
        <v>0</v>
      </c>
      <c r="U308" s="77">
        <f t="shared" si="196"/>
        <v>0</v>
      </c>
    </row>
    <row r="309" spans="1:21" ht="18.75" hidden="1" x14ac:dyDescent="0.25">
      <c r="A309" s="257"/>
      <c r="B309" s="269"/>
      <c r="C309" s="269"/>
      <c r="D309" s="258"/>
      <c r="E309" s="267" t="s">
        <v>37</v>
      </c>
      <c r="F309" s="258"/>
      <c r="G309" s="261"/>
      <c r="H309" s="271" t="s">
        <v>14</v>
      </c>
      <c r="I309" s="272"/>
      <c r="J309" s="272"/>
      <c r="K309" s="229"/>
      <c r="L309" s="73">
        <f ca="1">IFERROR(__xludf.DUMMYFUNCTION("IMPORTRANGE(""https://docs.google.com/spreadsheets/d/1-uDff_7J0KD5mKrp0Vvzr7lt3OU09vwQwhkpOPPYv2Y/edit?usp=sharing"",""งบพรบ!DY60"")"),0)</f>
        <v>0</v>
      </c>
      <c r="M309" s="74">
        <f ca="1">IFERROR(__xludf.DUMMYFUNCTION("IMPORTRANGE(""https://docs.google.com/spreadsheets/d/1-uDff_7J0KD5mKrp0Vvzr7lt3OU09vwQwhkpOPPYv2Y/edit?usp=sharing"",""งบพรบ!ED60"")"),0)</f>
        <v>0</v>
      </c>
      <c r="N309" s="74">
        <f ca="1">IFERROR(__xludf.DUMMYFUNCTION("IMPORTRANGE(""https://docs.google.com/spreadsheets/d/1-uDff_7J0KD5mKrp0Vvzr7lt3OU09vwQwhkpOPPYv2Y/edit?usp=sharing"",""งบพรบ!EF60"")"),0)</f>
        <v>0</v>
      </c>
      <c r="O309" s="74">
        <f t="shared" ca="1" si="192"/>
        <v>0</v>
      </c>
      <c r="P309" s="74">
        <f t="shared" ca="1" si="193"/>
        <v>0</v>
      </c>
      <c r="Q309" s="74">
        <f ca="1">IFERROR(__xludf.DUMMYFUNCTION("IMPORTRANGE(""https://docs.google.com/spreadsheets/d/1ItG2mGa2ceCfYo0BwxsXqNm01IGEUdYcSSLTEv9YCik/edit?usp=sharing"",""เบิกจ่ายกองทุน!AP60"")"),0)</f>
        <v>0</v>
      </c>
      <c r="R309" s="74">
        <f ca="1">IFERROR(__xludf.DUMMYFUNCTION("IMPORTRANGE(""https://docs.google.com/spreadsheets/d/1ItG2mGa2ceCfYo0BwxsXqNm01IGEUdYcSSLTEv9YCik/edit?usp=sharing"",""เบิกจ่ายกองทุน!AQ60"")"),0)</f>
        <v>0</v>
      </c>
      <c r="S309" s="74">
        <f ca="1">IFERROR(__xludf.DUMMYFUNCTION("IMPORTRANGE(""https://docs.google.com/spreadsheets/d/1ItG2mGa2ceCfYo0BwxsXqNm01IGEUdYcSSLTEv9YCik/edit?usp=sharing"",""เบิกจ่ายกองทุน!AR60"")"),0)</f>
        <v>0</v>
      </c>
      <c r="T309" s="74">
        <f t="shared" ca="1" si="195"/>
        <v>0</v>
      </c>
      <c r="U309" s="74">
        <f t="shared" ca="1" si="196"/>
        <v>0</v>
      </c>
    </row>
    <row r="310" spans="1:21" ht="18.75" hidden="1" x14ac:dyDescent="0.25">
      <c r="A310" s="257"/>
      <c r="B310" s="269"/>
      <c r="C310" s="269"/>
      <c r="D310" s="270" t="s">
        <v>23</v>
      </c>
      <c r="E310" s="258"/>
      <c r="F310" s="258"/>
      <c r="G310" s="261"/>
      <c r="H310" s="275" t="s">
        <v>14</v>
      </c>
      <c r="I310" s="272"/>
      <c r="J310" s="272"/>
      <c r="K310" s="229"/>
      <c r="L310" s="73">
        <f t="shared" ref="L310:N310" ca="1" si="201">L311+L312</f>
        <v>0</v>
      </c>
      <c r="M310" s="74">
        <f t="shared" ca="1" si="201"/>
        <v>0</v>
      </c>
      <c r="N310" s="74">
        <f t="shared" ca="1" si="201"/>
        <v>0</v>
      </c>
      <c r="O310" s="74">
        <f t="shared" ca="1" si="192"/>
        <v>0</v>
      </c>
      <c r="P310" s="74">
        <f t="shared" ca="1" si="193"/>
        <v>0</v>
      </c>
      <c r="Q310" s="74">
        <f t="shared" ref="Q310:S310" si="202">Q311+Q312</f>
        <v>0</v>
      </c>
      <c r="R310" s="74">
        <f t="shared" si="202"/>
        <v>0</v>
      </c>
      <c r="S310" s="74">
        <f t="shared" si="202"/>
        <v>0</v>
      </c>
      <c r="T310" s="74">
        <f t="shared" si="195"/>
        <v>0</v>
      </c>
      <c r="U310" s="74">
        <f t="shared" si="196"/>
        <v>0</v>
      </c>
    </row>
    <row r="311" spans="1:21" ht="18.75" hidden="1" x14ac:dyDescent="0.25">
      <c r="A311" s="257"/>
      <c r="B311" s="269"/>
      <c r="C311" s="269"/>
      <c r="D311" s="258"/>
      <c r="E311" s="265" t="s">
        <v>20</v>
      </c>
      <c r="F311" s="258"/>
      <c r="G311" s="261"/>
      <c r="H311" s="273" t="s">
        <v>14</v>
      </c>
      <c r="I311" s="272"/>
      <c r="J311" s="272"/>
      <c r="K311" s="229"/>
      <c r="L311" s="76">
        <v>0</v>
      </c>
      <c r="M311" s="77">
        <v>0</v>
      </c>
      <c r="N311" s="77">
        <v>0</v>
      </c>
      <c r="O311" s="77">
        <f t="shared" si="192"/>
        <v>0</v>
      </c>
      <c r="P311" s="77">
        <f t="shared" si="193"/>
        <v>0</v>
      </c>
      <c r="Q311" s="77">
        <v>0</v>
      </c>
      <c r="R311" s="77">
        <v>0</v>
      </c>
      <c r="S311" s="77">
        <v>0</v>
      </c>
      <c r="T311" s="77">
        <f t="shared" si="195"/>
        <v>0</v>
      </c>
      <c r="U311" s="77">
        <f t="shared" si="196"/>
        <v>0</v>
      </c>
    </row>
    <row r="312" spans="1:21" ht="18.75" hidden="1" x14ac:dyDescent="0.25">
      <c r="A312" s="257"/>
      <c r="B312" s="269"/>
      <c r="C312" s="269"/>
      <c r="D312" s="258"/>
      <c r="E312" s="267" t="s">
        <v>21</v>
      </c>
      <c r="F312" s="258"/>
      <c r="G312" s="261"/>
      <c r="H312" s="275" t="s">
        <v>14</v>
      </c>
      <c r="I312" s="272"/>
      <c r="J312" s="272"/>
      <c r="K312" s="229"/>
      <c r="L312" s="73">
        <f ca="1">IFERROR(__xludf.DUMMYFUNCTION("IMPORTRANGE(""https://docs.google.com/spreadsheets/d/1-uDff_7J0KD5mKrp0Vvzr7lt3OU09vwQwhkpOPPYv2Y/edit?usp=sharing"",""งบพรบ!EB60"")"),0)</f>
        <v>0</v>
      </c>
      <c r="M312" s="74">
        <f ca="1">IFERROR(__xludf.DUMMYFUNCTION("IMPORTRANGE(""https://docs.google.com/spreadsheets/d/1-uDff_7J0KD5mKrp0Vvzr7lt3OU09vwQwhkpOPPYv2Y/edit?usp=sharing"",""งบพรบ!EE60"")"),0)</f>
        <v>0</v>
      </c>
      <c r="N312" s="74">
        <f ca="1">IFERROR(__xludf.DUMMYFUNCTION("IMPORTRANGE(""https://docs.google.com/spreadsheets/d/1-uDff_7J0KD5mKrp0Vvzr7lt3OU09vwQwhkpOPPYv2Y/edit?usp=sharing"",""งบพรบ!EG60"")"),0)</f>
        <v>0</v>
      </c>
      <c r="O312" s="74">
        <f t="shared" ca="1" si="192"/>
        <v>0</v>
      </c>
      <c r="P312" s="74">
        <f t="shared" ca="1" si="193"/>
        <v>0</v>
      </c>
      <c r="Q312" s="74">
        <v>0</v>
      </c>
      <c r="R312" s="74">
        <v>0</v>
      </c>
      <c r="S312" s="74">
        <v>0</v>
      </c>
      <c r="T312" s="74">
        <f t="shared" si="195"/>
        <v>0</v>
      </c>
      <c r="U312" s="74">
        <f t="shared" si="196"/>
        <v>0</v>
      </c>
    </row>
    <row r="313" spans="1:21" ht="19.5" hidden="1" x14ac:dyDescent="0.3">
      <c r="A313" s="276"/>
      <c r="B313" s="277"/>
      <c r="C313" s="621" t="s">
        <v>18</v>
      </c>
      <c r="D313" s="1019" t="s">
        <v>38</v>
      </c>
      <c r="E313" s="783"/>
      <c r="F313" s="783"/>
      <c r="G313" s="1181"/>
      <c r="H313" s="282"/>
      <c r="I313" s="263"/>
      <c r="J313" s="263"/>
      <c r="K313" s="87"/>
      <c r="L313" s="86"/>
      <c r="M313" s="87"/>
      <c r="N313" s="87"/>
      <c r="O313" s="87"/>
      <c r="P313" s="87"/>
      <c r="Q313" s="87"/>
      <c r="R313" s="87"/>
      <c r="S313" s="87"/>
      <c r="T313" s="87"/>
      <c r="U313" s="87"/>
    </row>
    <row r="314" spans="1:21" ht="18.75" hidden="1" x14ac:dyDescent="0.25">
      <c r="A314" s="283"/>
      <c r="B314" s="284"/>
      <c r="C314" s="284"/>
      <c r="D314" s="1251"/>
      <c r="E314" s="285"/>
      <c r="F314" s="285"/>
      <c r="G314" s="286"/>
      <c r="H314" s="286"/>
      <c r="I314" s="287"/>
      <c r="J314" s="1252"/>
      <c r="K314" s="30"/>
      <c r="L314" s="29"/>
      <c r="M314" s="30"/>
      <c r="N314" s="30"/>
      <c r="O314" s="30"/>
      <c r="P314" s="30"/>
      <c r="Q314" s="30"/>
      <c r="R314" s="30"/>
      <c r="S314" s="30"/>
      <c r="T314" s="30"/>
      <c r="U314" s="30"/>
    </row>
    <row r="315" spans="1:21" ht="18.75" hidden="1" x14ac:dyDescent="0.25">
      <c r="A315" s="276"/>
      <c r="B315" s="277"/>
      <c r="C315" s="277"/>
      <c r="D315" s="295" t="s">
        <v>121</v>
      </c>
      <c r="E315" s="296"/>
      <c r="F315" s="296"/>
      <c r="G315" s="282"/>
      <c r="H315" s="275" t="s">
        <v>35</v>
      </c>
      <c r="I315" s="293">
        <f ca="1">IFERROR(__xludf.DUMMYFUNCTION("IMPORTRANGE(""https://docs.google.com/spreadsheets/d/1eHaY18a8A9IcSdp1K8H6x8fbOy06t2VsZHhMHf-1x7Y/edit?usp=sharing"",""แผน!EF60"")"),0)</f>
        <v>0</v>
      </c>
      <c r="J315" s="294">
        <v>0</v>
      </c>
      <c r="K315" s="74">
        <f ca="1">IF(I315&gt;0,J315*100/I315,0)</f>
        <v>0</v>
      </c>
      <c r="L315" s="86"/>
      <c r="M315" s="87"/>
      <c r="N315" s="87"/>
      <c r="O315" s="87"/>
      <c r="P315" s="87"/>
      <c r="Q315" s="87"/>
      <c r="R315" s="87"/>
      <c r="S315" s="87"/>
      <c r="T315" s="87"/>
      <c r="U315" s="87"/>
    </row>
    <row r="316" spans="1:21" ht="18.75" hidden="1" x14ac:dyDescent="0.25">
      <c r="A316" s="283"/>
      <c r="B316" s="284"/>
      <c r="C316" s="284"/>
      <c r="D316" s="1253"/>
      <c r="E316" s="285"/>
      <c r="F316" s="285"/>
      <c r="G316" s="286"/>
      <c r="H316" s="1254"/>
      <c r="I316" s="1252"/>
      <c r="J316" s="1252"/>
      <c r="K316" s="1255"/>
      <c r="L316" s="29"/>
      <c r="M316" s="30"/>
      <c r="N316" s="30"/>
      <c r="O316" s="30"/>
      <c r="P316" s="30"/>
      <c r="Q316" s="30"/>
      <c r="R316" s="30"/>
      <c r="S316" s="30"/>
      <c r="T316" s="30"/>
      <c r="U316" s="30"/>
    </row>
    <row r="317" spans="1:21" ht="18.75" hidden="1" x14ac:dyDescent="0.25">
      <c r="A317" s="283"/>
      <c r="B317" s="284"/>
      <c r="C317" s="284"/>
      <c r="D317" s="1253"/>
      <c r="E317" s="285"/>
      <c r="F317" s="285"/>
      <c r="G317" s="286"/>
      <c r="H317" s="1254"/>
      <c r="I317" s="1252"/>
      <c r="J317" s="1252"/>
      <c r="K317" s="1255"/>
      <c r="L317" s="29"/>
      <c r="M317" s="30"/>
      <c r="N317" s="30"/>
      <c r="O317" s="30"/>
      <c r="P317" s="30"/>
      <c r="Q317" s="30"/>
      <c r="R317" s="30"/>
      <c r="S317" s="30"/>
      <c r="T317" s="30"/>
      <c r="U317" s="30"/>
    </row>
    <row r="318" spans="1:21" ht="18.75" hidden="1" x14ac:dyDescent="0.25">
      <c r="A318" s="283"/>
      <c r="B318" s="284"/>
      <c r="C318" s="284"/>
      <c r="D318" s="812"/>
      <c r="E318" s="285"/>
      <c r="F318" s="285"/>
      <c r="G318" s="286"/>
      <c r="H318" s="1256"/>
      <c r="I318" s="887"/>
      <c r="J318" s="887"/>
      <c r="K318" s="888"/>
      <c r="L318" s="29"/>
      <c r="M318" s="30"/>
      <c r="N318" s="30"/>
      <c r="O318" s="30"/>
      <c r="P318" s="30"/>
      <c r="Q318" s="30"/>
      <c r="R318" s="30"/>
      <c r="S318" s="30"/>
      <c r="T318" s="30"/>
      <c r="U318" s="30"/>
    </row>
    <row r="319" spans="1:21" ht="19.5" hidden="1" x14ac:dyDescent="0.3">
      <c r="A319" s="1173" t="s">
        <v>131</v>
      </c>
      <c r="B319" s="1174"/>
      <c r="C319" s="1174"/>
      <c r="D319" s="1175"/>
      <c r="E319" s="1174"/>
      <c r="F319" s="1174"/>
      <c r="G319" s="1174"/>
      <c r="H319" s="1174"/>
      <c r="I319" s="1178"/>
      <c r="J319" s="1178"/>
      <c r="K319" s="520"/>
      <c r="L319" s="519"/>
      <c r="M319" s="520"/>
      <c r="N319" s="520"/>
      <c r="O319" s="520"/>
      <c r="P319" s="520"/>
      <c r="Q319" s="520"/>
      <c r="R319" s="520"/>
      <c r="S319" s="520"/>
      <c r="T319" s="520"/>
      <c r="U319" s="520"/>
    </row>
    <row r="320" spans="1:21" ht="19.5" hidden="1" x14ac:dyDescent="0.3">
      <c r="A320" s="603"/>
      <c r="B320" s="1180" t="s">
        <v>132</v>
      </c>
      <c r="C320" s="605"/>
      <c r="D320" s="606"/>
      <c r="E320" s="607"/>
      <c r="F320" s="607"/>
      <c r="G320" s="608"/>
      <c r="H320" s="609" t="s">
        <v>133</v>
      </c>
      <c r="I320" s="617">
        <f t="shared" ref="I320:J320" ca="1" si="203">I331</f>
        <v>0</v>
      </c>
      <c r="J320" s="617">
        <f t="shared" si="203"/>
        <v>0</v>
      </c>
      <c r="K320" s="611">
        <f ca="1">IF(I320&gt;0,J320*100/I320,0)</f>
        <v>0</v>
      </c>
      <c r="L320" s="529"/>
      <c r="M320" s="530"/>
      <c r="N320" s="530"/>
      <c r="O320" s="530"/>
      <c r="P320" s="530"/>
      <c r="Q320" s="530"/>
      <c r="R320" s="530"/>
      <c r="S320" s="530"/>
      <c r="T320" s="530"/>
      <c r="U320" s="530"/>
    </row>
    <row r="321" spans="1:21" ht="19.5" hidden="1" x14ac:dyDescent="0.3">
      <c r="A321" s="257"/>
      <c r="B321" s="258"/>
      <c r="C321" s="259" t="s">
        <v>18</v>
      </c>
      <c r="D321" s="260" t="s">
        <v>19</v>
      </c>
      <c r="E321" s="258"/>
      <c r="F321" s="258"/>
      <c r="G321" s="261"/>
      <c r="H321" s="262" t="s">
        <v>14</v>
      </c>
      <c r="I321" s="263"/>
      <c r="J321" s="263"/>
      <c r="K321" s="87"/>
      <c r="L321" s="1257">
        <f t="shared" ref="L321:N321" ca="1" si="204">L322+L323</f>
        <v>0</v>
      </c>
      <c r="M321" s="264">
        <f t="shared" ca="1" si="204"/>
        <v>0</v>
      </c>
      <c r="N321" s="264">
        <f t="shared" ca="1" si="204"/>
        <v>0</v>
      </c>
      <c r="O321" s="264">
        <f t="shared" ref="O321:O329" ca="1" si="205">IF(L321&gt;0,N321*100/L321,0)</f>
        <v>0</v>
      </c>
      <c r="P321" s="264">
        <f t="shared" ref="P321:P329" ca="1" si="206">IF(M321&gt;0,N321*100/M321,0)</f>
        <v>0</v>
      </c>
      <c r="Q321" s="264">
        <f t="shared" ref="Q321:S321" si="207">Q322+Q323</f>
        <v>0</v>
      </c>
      <c r="R321" s="264">
        <f t="shared" si="207"/>
        <v>0</v>
      </c>
      <c r="S321" s="264">
        <f t="shared" si="207"/>
        <v>0</v>
      </c>
      <c r="T321" s="264">
        <f t="shared" ref="T321:T329" si="208">IF(Q321&gt;0,S321*100/Q321,0)</f>
        <v>0</v>
      </c>
      <c r="U321" s="264">
        <f t="shared" ref="U321:U329" si="209">IF(R321&gt;0,S321*100/R321,0)</f>
        <v>0</v>
      </c>
    </row>
    <row r="322" spans="1:21" ht="18.75" hidden="1" x14ac:dyDescent="0.25">
      <c r="A322" s="257"/>
      <c r="B322" s="258"/>
      <c r="C322" s="258"/>
      <c r="D322" s="258"/>
      <c r="E322" s="265" t="s">
        <v>20</v>
      </c>
      <c r="F322" s="258"/>
      <c r="G322" s="261"/>
      <c r="H322" s="266" t="s">
        <v>14</v>
      </c>
      <c r="I322" s="263"/>
      <c r="J322" s="263"/>
      <c r="K322" s="87"/>
      <c r="L322" s="76">
        <f t="shared" ref="L322:N323" si="210">L325+L328</f>
        <v>0</v>
      </c>
      <c r="M322" s="77">
        <f t="shared" si="210"/>
        <v>0</v>
      </c>
      <c r="N322" s="77">
        <f t="shared" si="210"/>
        <v>0</v>
      </c>
      <c r="O322" s="77">
        <f t="shared" si="205"/>
        <v>0</v>
      </c>
      <c r="P322" s="77">
        <f t="shared" si="206"/>
        <v>0</v>
      </c>
      <c r="Q322" s="77">
        <f t="shared" ref="Q322:S323" si="211">Q325+Q328</f>
        <v>0</v>
      </c>
      <c r="R322" s="77">
        <f t="shared" si="211"/>
        <v>0</v>
      </c>
      <c r="S322" s="77">
        <f t="shared" si="211"/>
        <v>0</v>
      </c>
      <c r="T322" s="77">
        <f t="shared" si="208"/>
        <v>0</v>
      </c>
      <c r="U322" s="77">
        <f t="shared" si="209"/>
        <v>0</v>
      </c>
    </row>
    <row r="323" spans="1:21" ht="18.75" hidden="1" x14ac:dyDescent="0.25">
      <c r="A323" s="257"/>
      <c r="B323" s="258"/>
      <c r="C323" s="258"/>
      <c r="D323" s="258"/>
      <c r="E323" s="267" t="s">
        <v>21</v>
      </c>
      <c r="F323" s="258"/>
      <c r="G323" s="261"/>
      <c r="H323" s="268" t="s">
        <v>14</v>
      </c>
      <c r="I323" s="263"/>
      <c r="J323" s="263"/>
      <c r="K323" s="87"/>
      <c r="L323" s="73">
        <f t="shared" ca="1" si="210"/>
        <v>0</v>
      </c>
      <c r="M323" s="74">
        <f t="shared" ca="1" si="210"/>
        <v>0</v>
      </c>
      <c r="N323" s="74">
        <f t="shared" ca="1" si="210"/>
        <v>0</v>
      </c>
      <c r="O323" s="74">
        <f t="shared" ca="1" si="205"/>
        <v>0</v>
      </c>
      <c r="P323" s="74">
        <f t="shared" ca="1" si="206"/>
        <v>0</v>
      </c>
      <c r="Q323" s="74">
        <f t="shared" si="211"/>
        <v>0</v>
      </c>
      <c r="R323" s="74">
        <f t="shared" si="211"/>
        <v>0</v>
      </c>
      <c r="S323" s="74">
        <f t="shared" si="211"/>
        <v>0</v>
      </c>
      <c r="T323" s="74">
        <f t="shared" si="208"/>
        <v>0</v>
      </c>
      <c r="U323" s="74">
        <f t="shared" si="209"/>
        <v>0</v>
      </c>
    </row>
    <row r="324" spans="1:21" ht="18.75" hidden="1" x14ac:dyDescent="0.25">
      <c r="A324" s="257"/>
      <c r="B324" s="269"/>
      <c r="C324" s="258"/>
      <c r="D324" s="270" t="s">
        <v>22</v>
      </c>
      <c r="E324" s="258"/>
      <c r="F324" s="258"/>
      <c r="G324" s="261"/>
      <c r="H324" s="271" t="s">
        <v>14</v>
      </c>
      <c r="I324" s="272"/>
      <c r="J324" s="272"/>
      <c r="K324" s="229"/>
      <c r="L324" s="73">
        <f t="shared" ref="L324:N324" ca="1" si="212">L325+L326</f>
        <v>0</v>
      </c>
      <c r="M324" s="74">
        <f t="shared" ca="1" si="212"/>
        <v>0</v>
      </c>
      <c r="N324" s="74">
        <f t="shared" ca="1" si="212"/>
        <v>0</v>
      </c>
      <c r="O324" s="74">
        <f t="shared" ca="1" si="205"/>
        <v>0</v>
      </c>
      <c r="P324" s="74">
        <f t="shared" ca="1" si="206"/>
        <v>0</v>
      </c>
      <c r="Q324" s="74">
        <f t="shared" ref="Q324:S324" si="213">Q325+Q326</f>
        <v>0</v>
      </c>
      <c r="R324" s="74">
        <f t="shared" si="213"/>
        <v>0</v>
      </c>
      <c r="S324" s="74">
        <f t="shared" si="213"/>
        <v>0</v>
      </c>
      <c r="T324" s="74">
        <f t="shared" si="208"/>
        <v>0</v>
      </c>
      <c r="U324" s="74">
        <f t="shared" si="209"/>
        <v>0</v>
      </c>
    </row>
    <row r="325" spans="1:21" ht="18.75" hidden="1" x14ac:dyDescent="0.25">
      <c r="A325" s="257"/>
      <c r="B325" s="269"/>
      <c r="C325" s="269"/>
      <c r="D325" s="258"/>
      <c r="E325" s="265" t="s">
        <v>36</v>
      </c>
      <c r="F325" s="258"/>
      <c r="G325" s="261"/>
      <c r="H325" s="273" t="s">
        <v>14</v>
      </c>
      <c r="I325" s="272"/>
      <c r="J325" s="272"/>
      <c r="K325" s="229"/>
      <c r="L325" s="76">
        <v>0</v>
      </c>
      <c r="M325" s="77">
        <v>0</v>
      </c>
      <c r="N325" s="77">
        <v>0</v>
      </c>
      <c r="O325" s="77">
        <f t="shared" si="205"/>
        <v>0</v>
      </c>
      <c r="P325" s="77">
        <f t="shared" si="206"/>
        <v>0</v>
      </c>
      <c r="Q325" s="77">
        <v>0</v>
      </c>
      <c r="R325" s="77">
        <v>0</v>
      </c>
      <c r="S325" s="77">
        <v>0</v>
      </c>
      <c r="T325" s="77">
        <f t="shared" si="208"/>
        <v>0</v>
      </c>
      <c r="U325" s="77">
        <f t="shared" si="209"/>
        <v>0</v>
      </c>
    </row>
    <row r="326" spans="1:21" ht="18.75" hidden="1" x14ac:dyDescent="0.25">
      <c r="A326" s="257"/>
      <c r="B326" s="269"/>
      <c r="C326" s="269"/>
      <c r="D326" s="258"/>
      <c r="E326" s="749" t="s">
        <v>37</v>
      </c>
      <c r="F326" s="269"/>
      <c r="G326" s="312"/>
      <c r="H326" s="271" t="s">
        <v>14</v>
      </c>
      <c r="I326" s="272"/>
      <c r="J326" s="272"/>
      <c r="K326" s="229"/>
      <c r="L326" s="73">
        <f ca="1">IFERROR(__xludf.DUMMYFUNCTION("IMPORTRANGE(""https://docs.google.com/spreadsheets/d/1-uDff_7J0KD5mKrp0Vvzr7lt3OU09vwQwhkpOPPYv2Y/edit?usp=sharing"",""งบพรบ!EI60"")"),0)</f>
        <v>0</v>
      </c>
      <c r="M326" s="74">
        <f ca="1">IFERROR(__xludf.DUMMYFUNCTION("IMPORTRANGE(""https://docs.google.com/spreadsheets/d/1-uDff_7J0KD5mKrp0Vvzr7lt3OU09vwQwhkpOPPYv2Y/edit?usp=sharing"",""งบพรบ!EN60"")"),0)</f>
        <v>0</v>
      </c>
      <c r="N326" s="74">
        <f ca="1">IFERROR(__xludf.DUMMYFUNCTION("IMPORTRANGE(""https://docs.google.com/spreadsheets/d/1-uDff_7J0KD5mKrp0Vvzr7lt3OU09vwQwhkpOPPYv2Y/edit?usp=sharing"",""งบพรบ!EP60"")"),0)</f>
        <v>0</v>
      </c>
      <c r="O326" s="74">
        <f t="shared" ca="1" si="205"/>
        <v>0</v>
      </c>
      <c r="P326" s="74">
        <f t="shared" ca="1" si="206"/>
        <v>0</v>
      </c>
      <c r="Q326" s="74">
        <v>0</v>
      </c>
      <c r="R326" s="74">
        <v>0</v>
      </c>
      <c r="S326" s="74">
        <v>0</v>
      </c>
      <c r="T326" s="74">
        <f t="shared" si="208"/>
        <v>0</v>
      </c>
      <c r="U326" s="74">
        <f t="shared" si="209"/>
        <v>0</v>
      </c>
    </row>
    <row r="327" spans="1:21" ht="18.75" hidden="1" x14ac:dyDescent="0.25">
      <c r="A327" s="257"/>
      <c r="B327" s="258"/>
      <c r="C327" s="269"/>
      <c r="D327" s="270" t="s">
        <v>23</v>
      </c>
      <c r="E327" s="258"/>
      <c r="F327" s="258"/>
      <c r="G327" s="261"/>
      <c r="H327" s="275" t="s">
        <v>14</v>
      </c>
      <c r="I327" s="272"/>
      <c r="J327" s="272"/>
      <c r="K327" s="229"/>
      <c r="L327" s="73">
        <f t="shared" ref="L327:N327" ca="1" si="214">L328+L329</f>
        <v>0</v>
      </c>
      <c r="M327" s="74">
        <f t="shared" ca="1" si="214"/>
        <v>0</v>
      </c>
      <c r="N327" s="74">
        <f t="shared" ca="1" si="214"/>
        <v>0</v>
      </c>
      <c r="O327" s="74">
        <f t="shared" ca="1" si="205"/>
        <v>0</v>
      </c>
      <c r="P327" s="74">
        <f t="shared" ca="1" si="206"/>
        <v>0</v>
      </c>
      <c r="Q327" s="74">
        <f t="shared" ref="Q327:S327" si="215">Q328+Q329</f>
        <v>0</v>
      </c>
      <c r="R327" s="74">
        <f t="shared" si="215"/>
        <v>0</v>
      </c>
      <c r="S327" s="74">
        <f t="shared" si="215"/>
        <v>0</v>
      </c>
      <c r="T327" s="74">
        <f t="shared" si="208"/>
        <v>0</v>
      </c>
      <c r="U327" s="74">
        <f t="shared" si="209"/>
        <v>0</v>
      </c>
    </row>
    <row r="328" spans="1:21" ht="18.75" hidden="1" x14ac:dyDescent="0.25">
      <c r="A328" s="257"/>
      <c r="B328" s="258"/>
      <c r="C328" s="258"/>
      <c r="D328" s="258"/>
      <c r="E328" s="265" t="s">
        <v>20</v>
      </c>
      <c r="F328" s="258"/>
      <c r="G328" s="261"/>
      <c r="H328" s="273" t="s">
        <v>14</v>
      </c>
      <c r="I328" s="272"/>
      <c r="J328" s="272"/>
      <c r="K328" s="229"/>
      <c r="L328" s="76">
        <v>0</v>
      </c>
      <c r="M328" s="77">
        <v>0</v>
      </c>
      <c r="N328" s="77">
        <v>0</v>
      </c>
      <c r="O328" s="77">
        <f t="shared" si="205"/>
        <v>0</v>
      </c>
      <c r="P328" s="77">
        <f t="shared" si="206"/>
        <v>0</v>
      </c>
      <c r="Q328" s="77">
        <v>0</v>
      </c>
      <c r="R328" s="77">
        <v>0</v>
      </c>
      <c r="S328" s="77">
        <v>0</v>
      </c>
      <c r="T328" s="77">
        <f t="shared" si="208"/>
        <v>0</v>
      </c>
      <c r="U328" s="77">
        <f t="shared" si="209"/>
        <v>0</v>
      </c>
    </row>
    <row r="329" spans="1:21" ht="18.75" hidden="1" x14ac:dyDescent="0.25">
      <c r="A329" s="257"/>
      <c r="B329" s="258"/>
      <c r="C329" s="258"/>
      <c r="D329" s="258"/>
      <c r="E329" s="267" t="s">
        <v>21</v>
      </c>
      <c r="F329" s="258"/>
      <c r="G329" s="261"/>
      <c r="H329" s="275" t="s">
        <v>14</v>
      </c>
      <c r="I329" s="272"/>
      <c r="J329" s="272"/>
      <c r="K329" s="229"/>
      <c r="L329" s="73">
        <f ca="1">IFERROR(__xludf.DUMMYFUNCTION("IMPORTRANGE(""https://docs.google.com/spreadsheets/d/1-uDff_7J0KD5mKrp0Vvzr7lt3OU09vwQwhkpOPPYv2Y/edit?usp=sharing"",""งบพรบ!EL60"")"),0)</f>
        <v>0</v>
      </c>
      <c r="M329" s="74">
        <f ca="1">IFERROR(__xludf.DUMMYFUNCTION("IMPORTRANGE(""https://docs.google.com/spreadsheets/d/1-uDff_7J0KD5mKrp0Vvzr7lt3OU09vwQwhkpOPPYv2Y/edit?usp=sharing"",""งบพรบ!EO60"")"),0)</f>
        <v>0</v>
      </c>
      <c r="N329" s="74">
        <f ca="1">IFERROR(__xludf.DUMMYFUNCTION("IMPORTRANGE(""https://docs.google.com/spreadsheets/d/1-uDff_7J0KD5mKrp0Vvzr7lt3OU09vwQwhkpOPPYv2Y/edit?usp=sharing"",""งบพรบ!EQ60"")"),0)</f>
        <v>0</v>
      </c>
      <c r="O329" s="74">
        <f t="shared" ca="1" si="205"/>
        <v>0</v>
      </c>
      <c r="P329" s="74">
        <f t="shared" ca="1" si="206"/>
        <v>0</v>
      </c>
      <c r="Q329" s="74">
        <v>0</v>
      </c>
      <c r="R329" s="74">
        <v>0</v>
      </c>
      <c r="S329" s="74">
        <v>0</v>
      </c>
      <c r="T329" s="74">
        <f t="shared" si="208"/>
        <v>0</v>
      </c>
      <c r="U329" s="74">
        <f t="shared" si="209"/>
        <v>0</v>
      </c>
    </row>
    <row r="330" spans="1:21" ht="19.5" hidden="1" x14ac:dyDescent="0.3">
      <c r="A330" s="276"/>
      <c r="B330" s="277"/>
      <c r="C330" s="259" t="s">
        <v>18</v>
      </c>
      <c r="D330" s="1019" t="s">
        <v>38</v>
      </c>
      <c r="E330" s="280"/>
      <c r="F330" s="280"/>
      <c r="G330" s="281"/>
      <c r="H330" s="310"/>
      <c r="I330" s="272"/>
      <c r="J330" s="263"/>
      <c r="K330" s="87"/>
      <c r="L330" s="86"/>
      <c r="M330" s="87"/>
      <c r="N330" s="87"/>
      <c r="O330" s="229"/>
      <c r="P330" s="229"/>
      <c r="Q330" s="87"/>
      <c r="R330" s="87"/>
      <c r="S330" s="87"/>
      <c r="T330" s="229"/>
      <c r="U330" s="229"/>
    </row>
    <row r="331" spans="1:21" ht="18.75" hidden="1" x14ac:dyDescent="0.25">
      <c r="A331" s="276"/>
      <c r="B331" s="277"/>
      <c r="C331" s="277"/>
      <c r="D331" s="767" t="s">
        <v>134</v>
      </c>
      <c r="E331" s="296"/>
      <c r="F331" s="296"/>
      <c r="G331" s="282"/>
      <c r="H331" s="268" t="s">
        <v>133</v>
      </c>
      <c r="I331" s="293">
        <f ca="1">IFERROR(__xludf.DUMMYFUNCTION("IMPORTRANGE(""https://docs.google.com/spreadsheets/d/1eHaY18a8A9IcSdp1K8H6x8fbOy06t2VsZHhMHf-1x7Y/edit?usp=sharing"",""แผน!EJ60"")"),0)</f>
        <v>0</v>
      </c>
      <c r="J331" s="294">
        <v>0</v>
      </c>
      <c r="K331" s="74">
        <f ca="1">IF(I331&gt;0,J331*100/I331,0)</f>
        <v>0</v>
      </c>
      <c r="L331" s="86"/>
      <c r="M331" s="87"/>
      <c r="N331" s="87"/>
      <c r="O331" s="229"/>
      <c r="P331" s="229"/>
      <c r="Q331" s="87"/>
      <c r="R331" s="87"/>
      <c r="S331" s="87"/>
      <c r="T331" s="229"/>
      <c r="U331" s="229"/>
    </row>
    <row r="332" spans="1:21" ht="19.5" x14ac:dyDescent="0.3">
      <c r="A332" s="1173" t="s">
        <v>135</v>
      </c>
      <c r="B332" s="1174"/>
      <c r="C332" s="1174"/>
      <c r="D332" s="1175"/>
      <c r="E332" s="1174"/>
      <c r="F332" s="1174"/>
      <c r="G332" s="1174"/>
      <c r="H332" s="1174"/>
      <c r="I332" s="1178"/>
      <c r="J332" s="1178"/>
      <c r="K332" s="520"/>
      <c r="L332" s="519"/>
      <c r="M332" s="520"/>
      <c r="N332" s="520"/>
      <c r="O332" s="520"/>
      <c r="P332" s="520"/>
      <c r="Q332" s="520"/>
      <c r="R332" s="520"/>
      <c r="S332" s="520"/>
      <c r="T332" s="520"/>
      <c r="U332" s="520"/>
    </row>
    <row r="333" spans="1:21" ht="19.5" x14ac:dyDescent="0.3">
      <c r="A333" s="1179"/>
      <c r="B333" s="1180" t="s">
        <v>136</v>
      </c>
      <c r="C333" s="606"/>
      <c r="D333" s="607"/>
      <c r="E333" s="607"/>
      <c r="F333" s="607"/>
      <c r="G333" s="608"/>
      <c r="H333" s="609" t="s">
        <v>35</v>
      </c>
      <c r="I333" s="534">
        <f ca="1">I345</f>
        <v>140</v>
      </c>
      <c r="J333" s="535">
        <f ca="1">J345+J348+J349+J350+J354</f>
        <v>208</v>
      </c>
      <c r="K333" s="536">
        <f ca="1">IF(I333&gt;0,J333*100/I333,0)</f>
        <v>148.57142857142858</v>
      </c>
      <c r="L333" s="529"/>
      <c r="M333" s="530"/>
      <c r="N333" s="530"/>
      <c r="O333" s="530"/>
      <c r="P333" s="530"/>
      <c r="Q333" s="530"/>
      <c r="R333" s="530"/>
      <c r="S333" s="530"/>
      <c r="T333" s="530"/>
      <c r="U333" s="530"/>
    </row>
    <row r="334" spans="1:21" ht="19.5" x14ac:dyDescent="0.3">
      <c r="A334" s="257"/>
      <c r="B334" s="258"/>
      <c r="C334" s="259" t="s">
        <v>18</v>
      </c>
      <c r="D334" s="260" t="s">
        <v>19</v>
      </c>
      <c r="E334" s="258"/>
      <c r="F334" s="258"/>
      <c r="G334" s="261"/>
      <c r="H334" s="262" t="s">
        <v>14</v>
      </c>
      <c r="I334" s="263"/>
      <c r="J334" s="263"/>
      <c r="K334" s="87"/>
      <c r="L334" s="1257">
        <f t="shared" ref="L334:N334" ca="1" si="216">L335+L336</f>
        <v>283100</v>
      </c>
      <c r="M334" s="264">
        <f t="shared" ca="1" si="216"/>
        <v>283100</v>
      </c>
      <c r="N334" s="264">
        <f t="shared" ca="1" si="216"/>
        <v>96288</v>
      </c>
      <c r="O334" s="264">
        <f t="shared" ref="O334:O342" ca="1" si="217">IF(L334&gt;0,N334*100/L334,0)</f>
        <v>34.012009890498057</v>
      </c>
      <c r="P334" s="264">
        <f t="shared" ref="P334:P342" ca="1" si="218">IF(M334&gt;0,N334*100/M334,0)</f>
        <v>34.012009890498057</v>
      </c>
      <c r="Q334" s="264">
        <f t="shared" ref="Q334:S334" si="219">Q335+Q336</f>
        <v>0</v>
      </c>
      <c r="R334" s="264">
        <f t="shared" si="219"/>
        <v>0</v>
      </c>
      <c r="S334" s="264">
        <f t="shared" si="219"/>
        <v>0</v>
      </c>
      <c r="T334" s="264">
        <f t="shared" ref="T334:T342" si="220">IF(Q334&gt;0,S334*100/Q334,0)</f>
        <v>0</v>
      </c>
      <c r="U334" s="264">
        <f t="shared" ref="U334:U342" si="221">IF(R334&gt;0,S334*100/R334,0)</f>
        <v>0</v>
      </c>
    </row>
    <row r="335" spans="1:21" ht="18.75" hidden="1" x14ac:dyDescent="0.25">
      <c r="A335" s="257"/>
      <c r="B335" s="258"/>
      <c r="C335" s="258"/>
      <c r="D335" s="258"/>
      <c r="E335" s="265" t="s">
        <v>20</v>
      </c>
      <c r="F335" s="258"/>
      <c r="G335" s="261"/>
      <c r="H335" s="266" t="s">
        <v>14</v>
      </c>
      <c r="I335" s="263"/>
      <c r="J335" s="263"/>
      <c r="K335" s="87"/>
      <c r="L335" s="76">
        <f t="shared" ref="L335:N336" si="222">L338+L341</f>
        <v>0</v>
      </c>
      <c r="M335" s="77">
        <f t="shared" si="222"/>
        <v>0</v>
      </c>
      <c r="N335" s="77">
        <f t="shared" si="222"/>
        <v>0</v>
      </c>
      <c r="O335" s="77">
        <f t="shared" si="217"/>
        <v>0</v>
      </c>
      <c r="P335" s="77">
        <f t="shared" si="218"/>
        <v>0</v>
      </c>
      <c r="Q335" s="77">
        <f t="shared" ref="Q335:S336" si="223">Q338+Q341</f>
        <v>0</v>
      </c>
      <c r="R335" s="77">
        <f t="shared" si="223"/>
        <v>0</v>
      </c>
      <c r="S335" s="77">
        <f t="shared" si="223"/>
        <v>0</v>
      </c>
      <c r="T335" s="77">
        <f t="shared" si="220"/>
        <v>0</v>
      </c>
      <c r="U335" s="77">
        <f t="shared" si="221"/>
        <v>0</v>
      </c>
    </row>
    <row r="336" spans="1:21" ht="18.75" hidden="1" x14ac:dyDescent="0.25">
      <c r="A336" s="257"/>
      <c r="B336" s="258"/>
      <c r="C336" s="258"/>
      <c r="D336" s="258"/>
      <c r="E336" s="267" t="s">
        <v>21</v>
      </c>
      <c r="F336" s="258"/>
      <c r="G336" s="261"/>
      <c r="H336" s="268" t="s">
        <v>14</v>
      </c>
      <c r="I336" s="263"/>
      <c r="J336" s="263"/>
      <c r="K336" s="87"/>
      <c r="L336" s="73">
        <f t="shared" ca="1" si="222"/>
        <v>283100</v>
      </c>
      <c r="M336" s="74">
        <f t="shared" ca="1" si="222"/>
        <v>283100</v>
      </c>
      <c r="N336" s="74">
        <f t="shared" ca="1" si="222"/>
        <v>96288</v>
      </c>
      <c r="O336" s="74">
        <f t="shared" ca="1" si="217"/>
        <v>34.012009890498057</v>
      </c>
      <c r="P336" s="74">
        <f t="shared" ca="1" si="218"/>
        <v>34.012009890498057</v>
      </c>
      <c r="Q336" s="74">
        <f t="shared" si="223"/>
        <v>0</v>
      </c>
      <c r="R336" s="74">
        <f t="shared" si="223"/>
        <v>0</v>
      </c>
      <c r="S336" s="74">
        <f t="shared" si="223"/>
        <v>0</v>
      </c>
      <c r="T336" s="74">
        <f t="shared" si="220"/>
        <v>0</v>
      </c>
      <c r="U336" s="74">
        <f t="shared" si="221"/>
        <v>0</v>
      </c>
    </row>
    <row r="337" spans="1:21" ht="18.75" x14ac:dyDescent="0.25">
      <c r="A337" s="257"/>
      <c r="B337" s="269"/>
      <c r="C337" s="258"/>
      <c r="D337" s="270" t="s">
        <v>22</v>
      </c>
      <c r="E337" s="258"/>
      <c r="F337" s="258"/>
      <c r="G337" s="261"/>
      <c r="H337" s="271" t="s">
        <v>14</v>
      </c>
      <c r="I337" s="272"/>
      <c r="J337" s="272"/>
      <c r="K337" s="229"/>
      <c r="L337" s="73">
        <f t="shared" ref="L337:N337" ca="1" si="224">L338+L339</f>
        <v>283100</v>
      </c>
      <c r="M337" s="74">
        <f t="shared" ca="1" si="224"/>
        <v>283100</v>
      </c>
      <c r="N337" s="74">
        <f t="shared" ca="1" si="224"/>
        <v>96288</v>
      </c>
      <c r="O337" s="74">
        <f t="shared" ca="1" si="217"/>
        <v>34.012009890498057</v>
      </c>
      <c r="P337" s="74">
        <f t="shared" ca="1" si="218"/>
        <v>34.012009890498057</v>
      </c>
      <c r="Q337" s="74">
        <f t="shared" ref="Q337:S337" si="225">Q338+Q339</f>
        <v>0</v>
      </c>
      <c r="R337" s="74">
        <f t="shared" si="225"/>
        <v>0</v>
      </c>
      <c r="S337" s="74">
        <f t="shared" si="225"/>
        <v>0</v>
      </c>
      <c r="T337" s="74">
        <f t="shared" si="220"/>
        <v>0</v>
      </c>
      <c r="U337" s="74">
        <f t="shared" si="221"/>
        <v>0</v>
      </c>
    </row>
    <row r="338" spans="1:21" ht="18.75" hidden="1" x14ac:dyDescent="0.25">
      <c r="A338" s="257"/>
      <c r="B338" s="258"/>
      <c r="C338" s="269"/>
      <c r="D338" s="258"/>
      <c r="E338" s="775" t="s">
        <v>36</v>
      </c>
      <c r="F338" s="258"/>
      <c r="G338" s="261"/>
      <c r="H338" s="273" t="s">
        <v>14</v>
      </c>
      <c r="I338" s="272"/>
      <c r="J338" s="272"/>
      <c r="K338" s="229"/>
      <c r="L338" s="76">
        <v>0</v>
      </c>
      <c r="M338" s="77">
        <v>0</v>
      </c>
      <c r="N338" s="77">
        <v>0</v>
      </c>
      <c r="O338" s="77">
        <f t="shared" si="217"/>
        <v>0</v>
      </c>
      <c r="P338" s="77">
        <f t="shared" si="218"/>
        <v>0</v>
      </c>
      <c r="Q338" s="77">
        <v>0</v>
      </c>
      <c r="R338" s="77">
        <v>0</v>
      </c>
      <c r="S338" s="77">
        <v>0</v>
      </c>
      <c r="T338" s="77">
        <f t="shared" si="220"/>
        <v>0</v>
      </c>
      <c r="U338" s="77">
        <f t="shared" si="221"/>
        <v>0</v>
      </c>
    </row>
    <row r="339" spans="1:21" ht="18.75" hidden="1" x14ac:dyDescent="0.25">
      <c r="A339" s="257"/>
      <c r="B339" s="258"/>
      <c r="C339" s="269"/>
      <c r="D339" s="258"/>
      <c r="E339" s="749" t="s">
        <v>37</v>
      </c>
      <c r="F339" s="258"/>
      <c r="G339" s="261"/>
      <c r="H339" s="271" t="s">
        <v>14</v>
      </c>
      <c r="I339" s="272"/>
      <c r="J339" s="272"/>
      <c r="K339" s="229"/>
      <c r="L339" s="73">
        <f ca="1">IFERROR(__xludf.DUMMYFUNCTION("IMPORTRANGE(""https://docs.google.com/spreadsheets/d/1-uDff_7J0KD5mKrp0Vvzr7lt3OU09vwQwhkpOPPYv2Y/edit?usp=sharing"",""งบพรบ!ES60"")"),283100)</f>
        <v>283100</v>
      </c>
      <c r="M339" s="74">
        <f ca="1">IFERROR(__xludf.DUMMYFUNCTION("IMPORTRANGE(""https://docs.google.com/spreadsheets/d/1-uDff_7J0KD5mKrp0Vvzr7lt3OU09vwQwhkpOPPYv2Y/edit?usp=sharing"",""งบพรบ!EX60"")"),283100)</f>
        <v>283100</v>
      </c>
      <c r="N339" s="74">
        <f ca="1">IFERROR(__xludf.DUMMYFUNCTION("IMPORTRANGE(""https://docs.google.com/spreadsheets/d/1-uDff_7J0KD5mKrp0Vvzr7lt3OU09vwQwhkpOPPYv2Y/edit?usp=sharing"",""งบพรบ!EZ60"")"),96288)</f>
        <v>96288</v>
      </c>
      <c r="O339" s="74">
        <f t="shared" ca="1" si="217"/>
        <v>34.012009890498057</v>
      </c>
      <c r="P339" s="74">
        <f t="shared" ca="1" si="218"/>
        <v>34.012009890498057</v>
      </c>
      <c r="Q339" s="74">
        <v>0</v>
      </c>
      <c r="R339" s="74">
        <v>0</v>
      </c>
      <c r="S339" s="74">
        <v>0</v>
      </c>
      <c r="T339" s="74">
        <f t="shared" si="220"/>
        <v>0</v>
      </c>
      <c r="U339" s="74">
        <f t="shared" si="221"/>
        <v>0</v>
      </c>
    </row>
    <row r="340" spans="1:21" ht="18.75" x14ac:dyDescent="0.25">
      <c r="A340" s="257"/>
      <c r="B340" s="258"/>
      <c r="C340" s="269"/>
      <c r="D340" s="270" t="s">
        <v>23</v>
      </c>
      <c r="E340" s="258"/>
      <c r="F340" s="258"/>
      <c r="G340" s="261"/>
      <c r="H340" s="275" t="s">
        <v>14</v>
      </c>
      <c r="I340" s="272"/>
      <c r="J340" s="272"/>
      <c r="K340" s="229"/>
      <c r="L340" s="73">
        <f t="shared" ref="L340:N340" ca="1" si="226">L341+L342</f>
        <v>0</v>
      </c>
      <c r="M340" s="74">
        <f t="shared" ca="1" si="226"/>
        <v>0</v>
      </c>
      <c r="N340" s="74">
        <f t="shared" ca="1" si="226"/>
        <v>0</v>
      </c>
      <c r="O340" s="74">
        <f t="shared" ca="1" si="217"/>
        <v>0</v>
      </c>
      <c r="P340" s="74">
        <f t="shared" ca="1" si="218"/>
        <v>0</v>
      </c>
      <c r="Q340" s="74">
        <f t="shared" ref="Q340:S340" si="227">Q341+Q342</f>
        <v>0</v>
      </c>
      <c r="R340" s="74">
        <f t="shared" si="227"/>
        <v>0</v>
      </c>
      <c r="S340" s="74">
        <f t="shared" si="227"/>
        <v>0</v>
      </c>
      <c r="T340" s="74">
        <f t="shared" si="220"/>
        <v>0</v>
      </c>
      <c r="U340" s="74">
        <f t="shared" si="221"/>
        <v>0</v>
      </c>
    </row>
    <row r="341" spans="1:21" ht="18.75" hidden="1" x14ac:dyDescent="0.25">
      <c r="A341" s="257"/>
      <c r="B341" s="258"/>
      <c r="C341" s="269"/>
      <c r="D341" s="258"/>
      <c r="E341" s="265" t="s">
        <v>20</v>
      </c>
      <c r="F341" s="258"/>
      <c r="G341" s="261"/>
      <c r="H341" s="273" t="s">
        <v>14</v>
      </c>
      <c r="I341" s="272"/>
      <c r="J341" s="272"/>
      <c r="K341" s="229"/>
      <c r="L341" s="76">
        <v>0</v>
      </c>
      <c r="M341" s="77">
        <v>0</v>
      </c>
      <c r="N341" s="77">
        <v>0</v>
      </c>
      <c r="O341" s="77">
        <f t="shared" si="217"/>
        <v>0</v>
      </c>
      <c r="P341" s="77">
        <f t="shared" si="218"/>
        <v>0</v>
      </c>
      <c r="Q341" s="77">
        <v>0</v>
      </c>
      <c r="R341" s="77">
        <v>0</v>
      </c>
      <c r="S341" s="77">
        <v>0</v>
      </c>
      <c r="T341" s="77">
        <f t="shared" si="220"/>
        <v>0</v>
      </c>
      <c r="U341" s="77">
        <f t="shared" si="221"/>
        <v>0</v>
      </c>
    </row>
    <row r="342" spans="1:21" ht="18.75" hidden="1" x14ac:dyDescent="0.25">
      <c r="A342" s="257"/>
      <c r="B342" s="258"/>
      <c r="C342" s="269"/>
      <c r="D342" s="258"/>
      <c r="E342" s="267" t="s">
        <v>21</v>
      </c>
      <c r="F342" s="258"/>
      <c r="G342" s="261"/>
      <c r="H342" s="275" t="s">
        <v>14</v>
      </c>
      <c r="I342" s="272"/>
      <c r="J342" s="272"/>
      <c r="K342" s="229"/>
      <c r="L342" s="73">
        <f ca="1">IFERROR(__xludf.DUMMYFUNCTION("IMPORTRANGE(""https://docs.google.com/spreadsheets/d/1-uDff_7J0KD5mKrp0Vvzr7lt3OU09vwQwhkpOPPYv2Y/edit?usp=sharing"",""งบพรบ!EV60"")"),0)</f>
        <v>0</v>
      </c>
      <c r="M342" s="74">
        <f ca="1">IFERROR(__xludf.DUMMYFUNCTION("IMPORTRANGE(""https://docs.google.com/spreadsheets/d/1-uDff_7J0KD5mKrp0Vvzr7lt3OU09vwQwhkpOPPYv2Y/edit?usp=sharing"",""งบพรบ!EY60"")"),0)</f>
        <v>0</v>
      </c>
      <c r="N342" s="74">
        <f ca="1">IFERROR(__xludf.DUMMYFUNCTION("IMPORTRANGE(""https://docs.google.com/spreadsheets/d/1-uDff_7J0KD5mKrp0Vvzr7lt3OU09vwQwhkpOPPYv2Y/edit?usp=sharing"",""งบพรบ!FA60"")"),0)</f>
        <v>0</v>
      </c>
      <c r="O342" s="74">
        <f t="shared" ca="1" si="217"/>
        <v>0</v>
      </c>
      <c r="P342" s="74">
        <f t="shared" ca="1" si="218"/>
        <v>0</v>
      </c>
      <c r="Q342" s="74">
        <v>0</v>
      </c>
      <c r="R342" s="74">
        <v>0</v>
      </c>
      <c r="S342" s="74">
        <v>0</v>
      </c>
      <c r="T342" s="74">
        <f t="shared" si="220"/>
        <v>0</v>
      </c>
      <c r="U342" s="74">
        <f t="shared" si="221"/>
        <v>0</v>
      </c>
    </row>
    <row r="343" spans="1:21" ht="19.5" x14ac:dyDescent="0.3">
      <c r="A343" s="276"/>
      <c r="B343" s="277"/>
      <c r="C343" s="621" t="s">
        <v>18</v>
      </c>
      <c r="D343" s="1124" t="s">
        <v>38</v>
      </c>
      <c r="E343" s="280"/>
      <c r="F343" s="280"/>
      <c r="G343" s="281"/>
      <c r="H343" s="261"/>
      <c r="I343" s="263"/>
      <c r="J343" s="263"/>
      <c r="K343" s="87"/>
      <c r="L343" s="86"/>
      <c r="M343" s="87"/>
      <c r="N343" s="87"/>
      <c r="O343" s="229"/>
      <c r="P343" s="229"/>
      <c r="Q343" s="87"/>
      <c r="R343" s="87"/>
      <c r="S343" s="87"/>
      <c r="T343" s="229"/>
      <c r="U343" s="229"/>
    </row>
    <row r="344" spans="1:21" ht="19.5" x14ac:dyDescent="0.3">
      <c r="A344" s="541"/>
      <c r="B344" s="542"/>
      <c r="C344" s="543"/>
      <c r="D344" s="542"/>
      <c r="E344" s="960" t="s">
        <v>137</v>
      </c>
      <c r="F344" s="542"/>
      <c r="G344" s="545"/>
      <c r="H344" s="546" t="s">
        <v>35</v>
      </c>
      <c r="I344" s="547">
        <v>0</v>
      </c>
      <c r="J344" s="547">
        <f ca="1">J345+J348+J349+J350</f>
        <v>208</v>
      </c>
      <c r="K344" s="548">
        <v>0</v>
      </c>
      <c r="L344" s="391"/>
      <c r="M344" s="392"/>
      <c r="N344" s="392"/>
      <c r="O344" s="392"/>
      <c r="P344" s="392"/>
      <c r="Q344" s="392"/>
      <c r="R344" s="392"/>
      <c r="S344" s="392"/>
      <c r="T344" s="392"/>
      <c r="U344" s="392"/>
    </row>
    <row r="345" spans="1:21" ht="18.75" x14ac:dyDescent="0.25">
      <c r="A345" s="550"/>
      <c r="B345" s="258"/>
      <c r="C345" s="269"/>
      <c r="D345" s="296"/>
      <c r="E345" s="295" t="s">
        <v>138</v>
      </c>
      <c r="F345" s="258"/>
      <c r="G345" s="261"/>
      <c r="H345" s="307" t="s">
        <v>35</v>
      </c>
      <c r="I345" s="293">
        <f ca="1">IFERROR(__xludf.DUMMYFUNCTION("IMPORTRANGE(""https://docs.google.com/spreadsheets/d/1eHaY18a8A9IcSdp1K8H6x8fbOy06t2VsZHhMHf-1x7Y/edit?usp=sharing"",""แผน!EK60"")"),140)</f>
        <v>140</v>
      </c>
      <c r="J345" s="293">
        <f ca="1">IFERROR(__xludf.DUMMYFUNCTION("IMPORTRANGE(""https://docs.google.com/spreadsheets/d/1awYsYK3VOup2i3Pq_Yjnu8DRu_mYwSBnCR2QPthd0rU/edit?usp=sharing"",""ศูนย์ยกเว้นโฉนด!D60"")"),71)</f>
        <v>71</v>
      </c>
      <c r="K345" s="74">
        <f ca="1">IF(I345&gt;0,J345*100/I345,0)</f>
        <v>50.714285714285715</v>
      </c>
      <c r="L345" s="86"/>
      <c r="M345" s="87"/>
      <c r="N345" s="87"/>
      <c r="O345" s="87"/>
      <c r="P345" s="87"/>
      <c r="Q345" s="87"/>
      <c r="R345" s="87"/>
      <c r="S345" s="87"/>
      <c r="T345" s="87"/>
      <c r="U345" s="87"/>
    </row>
    <row r="346" spans="1:21" ht="18.75" x14ac:dyDescent="0.25">
      <c r="A346" s="550"/>
      <c r="B346" s="258"/>
      <c r="C346" s="269"/>
      <c r="D346" s="296"/>
      <c r="E346" s="295" t="s">
        <v>139</v>
      </c>
      <c r="F346" s="258"/>
      <c r="G346" s="261"/>
      <c r="H346" s="312"/>
      <c r="I346" s="263"/>
      <c r="J346" s="263"/>
      <c r="K346" s="87"/>
      <c r="L346" s="86"/>
      <c r="M346" s="87"/>
      <c r="N346" s="87"/>
      <c r="O346" s="87"/>
      <c r="P346" s="87"/>
      <c r="Q346" s="87"/>
      <c r="R346" s="87"/>
      <c r="S346" s="87"/>
      <c r="T346" s="87"/>
      <c r="U346" s="87"/>
    </row>
    <row r="347" spans="1:21" ht="18.75" x14ac:dyDescent="0.25">
      <c r="A347" s="550"/>
      <c r="B347" s="258"/>
      <c r="C347" s="269"/>
      <c r="D347" s="296"/>
      <c r="E347" s="296"/>
      <c r="F347" s="295" t="s">
        <v>140</v>
      </c>
      <c r="G347" s="261"/>
      <c r="H347" s="307" t="s">
        <v>141</v>
      </c>
      <c r="I347" s="293">
        <f ca="1">IFERROR(__xludf.DUMMYFUNCTION("IMPORTRANGE(""https://docs.google.com/spreadsheets/d/1eHaY18a8A9IcSdp1K8H6x8fbOy06t2VsZHhMHf-1x7Y/edit?usp=sharing"",""แผน!EL60"")"),1)</f>
        <v>1</v>
      </c>
      <c r="J347" s="293">
        <f ca="1">IFERROR(__xludf.DUMMYFUNCTION("IMPORTRANGE(""https://docs.google.com/spreadsheets/d/1awYsYK3VOup2i3Pq_Yjnu8DRu_mYwSBnCR2QPthd0rU/edit?usp=sharing"",""ศูนย์รวม!E60"")"),1)</f>
        <v>1</v>
      </c>
      <c r="K347" s="74">
        <f ca="1">IF(I347&gt;0,J347*100/I347,0)</f>
        <v>100</v>
      </c>
      <c r="L347" s="86"/>
      <c r="M347" s="87"/>
      <c r="N347" s="87"/>
      <c r="O347" s="87"/>
      <c r="P347" s="87"/>
      <c r="Q347" s="87"/>
      <c r="R347" s="87"/>
      <c r="S347" s="87"/>
      <c r="T347" s="87"/>
      <c r="U347" s="87"/>
    </row>
    <row r="348" spans="1:21" ht="18.75" x14ac:dyDescent="0.25">
      <c r="A348" s="550"/>
      <c r="B348" s="258"/>
      <c r="C348" s="269"/>
      <c r="D348" s="296"/>
      <c r="E348" s="296"/>
      <c r="F348" s="295" t="s">
        <v>142</v>
      </c>
      <c r="G348" s="261"/>
      <c r="H348" s="307" t="s">
        <v>35</v>
      </c>
      <c r="I348" s="263"/>
      <c r="J348" s="293">
        <f ca="1">IFERROR(__xludf.DUMMYFUNCTION("IMPORTRANGE(""https://docs.google.com/spreadsheets/d/1awYsYK3VOup2i3Pq_Yjnu8DRu_mYwSBnCR2QPthd0rU/edit?usp=sharing"",""ศูนย์ยกเว้นโฉนด!F60"")"),125)</f>
        <v>125</v>
      </c>
      <c r="K348" s="87"/>
      <c r="L348" s="86"/>
      <c r="M348" s="87"/>
      <c r="N348" s="87"/>
      <c r="O348" s="87"/>
      <c r="P348" s="87"/>
      <c r="Q348" s="87"/>
      <c r="R348" s="87"/>
      <c r="S348" s="87"/>
      <c r="T348" s="87"/>
      <c r="U348" s="87"/>
    </row>
    <row r="349" spans="1:21" ht="18.75" x14ac:dyDescent="0.25">
      <c r="A349" s="550"/>
      <c r="B349" s="258"/>
      <c r="C349" s="269"/>
      <c r="D349" s="296"/>
      <c r="E349" s="295" t="s">
        <v>143</v>
      </c>
      <c r="F349" s="296"/>
      <c r="G349" s="261"/>
      <c r="H349" s="307" t="s">
        <v>35</v>
      </c>
      <c r="I349" s="263"/>
      <c r="J349" s="293">
        <f ca="1">IFERROR(__xludf.DUMMYFUNCTION("IMPORTRANGE(""https://docs.google.com/spreadsheets/d/1awYsYK3VOup2i3Pq_Yjnu8DRu_mYwSBnCR2QPthd0rU/edit?usp=sharing"",""ศูนย์ยกเว้นโฉนด!G60"")"),11)</f>
        <v>11</v>
      </c>
      <c r="K349" s="87"/>
      <c r="L349" s="86"/>
      <c r="M349" s="87"/>
      <c r="N349" s="87"/>
      <c r="O349" s="87"/>
      <c r="P349" s="87"/>
      <c r="Q349" s="87"/>
      <c r="R349" s="87"/>
      <c r="S349" s="87"/>
      <c r="T349" s="87"/>
      <c r="U349" s="87"/>
    </row>
    <row r="350" spans="1:21" ht="18.75" x14ac:dyDescent="0.25">
      <c r="A350" s="550"/>
      <c r="B350" s="258"/>
      <c r="C350" s="269"/>
      <c r="D350" s="277"/>
      <c r="E350" s="295" t="s">
        <v>144</v>
      </c>
      <c r="F350" s="296"/>
      <c r="G350" s="261"/>
      <c r="H350" s="307" t="s">
        <v>35</v>
      </c>
      <c r="I350" s="263"/>
      <c r="J350" s="293">
        <f ca="1">IFERROR(__xludf.DUMMYFUNCTION("IMPORTRANGE(""https://docs.google.com/spreadsheets/d/1awYsYK3VOup2i3Pq_Yjnu8DRu_mYwSBnCR2QPthd0rU/edit?usp=sharing"",""ศูนย์ยกเว้นโฉนด!H60"")"),1)</f>
        <v>1</v>
      </c>
      <c r="K350" s="87"/>
      <c r="L350" s="86"/>
      <c r="M350" s="87"/>
      <c r="N350" s="87"/>
      <c r="O350" s="87"/>
      <c r="P350" s="87"/>
      <c r="Q350" s="87"/>
      <c r="R350" s="87"/>
      <c r="S350" s="87"/>
      <c r="T350" s="87"/>
      <c r="U350" s="87"/>
    </row>
    <row r="351" spans="1:21" ht="16.5" x14ac:dyDescent="0.25">
      <c r="A351" s="269"/>
      <c r="B351" s="258"/>
      <c r="C351" s="269"/>
      <c r="D351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1" s="258"/>
      <c r="F351" s="258"/>
      <c r="G351" s="261"/>
      <c r="H351" s="312"/>
      <c r="I351" s="263"/>
      <c r="J351" s="263"/>
      <c r="K351" s="87"/>
      <c r="L351" s="86"/>
      <c r="M351" s="87"/>
      <c r="N351" s="87"/>
      <c r="O351" s="87"/>
      <c r="P351" s="87"/>
      <c r="Q351" s="87"/>
      <c r="R351" s="87"/>
      <c r="S351" s="87"/>
      <c r="T351" s="87"/>
      <c r="U351" s="87"/>
    </row>
    <row r="352" spans="1:21" ht="19.5" x14ac:dyDescent="0.3">
      <c r="A352" s="553"/>
      <c r="B352" s="554"/>
      <c r="C352" s="555"/>
      <c r="D352" s="554"/>
      <c r="E352" s="961" t="s">
        <v>145</v>
      </c>
      <c r="F352" s="554"/>
      <c r="G352" s="557"/>
      <c r="H352" s="1188" t="s">
        <v>35</v>
      </c>
      <c r="I352" s="559">
        <v>0</v>
      </c>
      <c r="J352" s="559">
        <f ca="1">J353+J354</f>
        <v>0</v>
      </c>
      <c r="K352" s="560">
        <v>0</v>
      </c>
      <c r="L352" s="391"/>
      <c r="M352" s="392"/>
      <c r="N352" s="392"/>
      <c r="O352" s="392"/>
      <c r="P352" s="392"/>
      <c r="Q352" s="392"/>
      <c r="R352" s="392"/>
      <c r="S352" s="392"/>
      <c r="T352" s="392"/>
      <c r="U352" s="392"/>
    </row>
    <row r="353" spans="1:21" ht="18.75" x14ac:dyDescent="0.25">
      <c r="A353" s="269"/>
      <c r="B353" s="258"/>
      <c r="C353" s="269"/>
      <c r="D353" s="296"/>
      <c r="E353" s="295" t="s">
        <v>146</v>
      </c>
      <c r="F353" s="258"/>
      <c r="G353" s="261"/>
      <c r="H353" s="268" t="s">
        <v>35</v>
      </c>
      <c r="I353" s="263"/>
      <c r="J353" s="293">
        <f ca="1">IFERROR(__xludf.DUMMYFUNCTION("IMPORTRANGE(""https://docs.google.com/spreadsheets/d/1awYsYK3VOup2i3Pq_Yjnu8DRu_mYwSBnCR2QPthd0rU/edit?usp=sharing"",""โฉนดM3!G60"")"),0)</f>
        <v>0</v>
      </c>
      <c r="K353" s="87"/>
      <c r="L353" s="86"/>
      <c r="M353" s="87"/>
      <c r="N353" s="87"/>
      <c r="O353" s="87"/>
      <c r="P353" s="87"/>
      <c r="Q353" s="87"/>
      <c r="R353" s="87"/>
      <c r="S353" s="87"/>
      <c r="T353" s="87"/>
      <c r="U353" s="87"/>
    </row>
    <row r="354" spans="1:21" ht="18.75" x14ac:dyDescent="0.25">
      <c r="A354" s="269"/>
      <c r="B354" s="258"/>
      <c r="C354" s="269"/>
      <c r="D354" s="296"/>
      <c r="E354" s="295" t="s">
        <v>147</v>
      </c>
      <c r="F354" s="258"/>
      <c r="G354" s="261"/>
      <c r="H354" s="268" t="s">
        <v>35</v>
      </c>
      <c r="I354" s="263"/>
      <c r="J354" s="293">
        <f ca="1">IFERROR(__xludf.DUMMYFUNCTION("IMPORTRANGE(""https://docs.google.com/spreadsheets/d/1awYsYK3VOup2i3Pq_Yjnu8DRu_mYwSBnCR2QPthd0rU/edit?usp=sharing"",""โฉนดM3!H60"")"),0)</f>
        <v>0</v>
      </c>
      <c r="K354" s="87"/>
      <c r="L354" s="86"/>
      <c r="M354" s="87"/>
      <c r="N354" s="87"/>
      <c r="O354" s="87"/>
      <c r="P354" s="87"/>
      <c r="Q354" s="87"/>
      <c r="R354" s="87"/>
      <c r="S354" s="87"/>
      <c r="T354" s="87"/>
      <c r="U354" s="87"/>
    </row>
    <row r="355" spans="1:21" ht="16.5" x14ac:dyDescent="0.25">
      <c r="A355" s="269"/>
      <c r="B355" s="258"/>
      <c r="C355" s="269"/>
      <c r="D355" s="552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มี.ค. 67 เวลา 11.45 น.]")</f>
        <v xml:space="preserve"> [ข้อมูลจาก ระบบศูนย์บริการประชาชน ข้อมูล ณ 1 มี.ค. 67 เวลา 11.45 น.]</v>
      </c>
      <c r="E355" s="258"/>
      <c r="F355" s="258"/>
      <c r="G355" s="261"/>
      <c r="H355" s="312"/>
      <c r="I355" s="263"/>
      <c r="J355" s="263"/>
      <c r="K355" s="87"/>
      <c r="L355" s="86"/>
      <c r="M355" s="87"/>
      <c r="N355" s="87"/>
      <c r="O355" s="87"/>
      <c r="P355" s="87"/>
      <c r="Q355" s="87"/>
      <c r="R355" s="87"/>
      <c r="S355" s="87"/>
      <c r="T355" s="87"/>
      <c r="U355" s="87"/>
    </row>
    <row r="356" spans="1:21" ht="19.5" x14ac:dyDescent="0.3">
      <c r="A356" s="1179"/>
      <c r="B356" s="1180" t="s">
        <v>148</v>
      </c>
      <c r="C356" s="606"/>
      <c r="D356" s="607"/>
      <c r="E356" s="607"/>
      <c r="F356" s="607"/>
      <c r="G356" s="608"/>
      <c r="H356" s="615"/>
      <c r="I356" s="1189"/>
      <c r="J356" s="1189"/>
      <c r="K356" s="530"/>
      <c r="L356" s="529"/>
      <c r="M356" s="530"/>
      <c r="N356" s="530"/>
      <c r="O356" s="530"/>
      <c r="P356" s="530"/>
      <c r="Q356" s="530"/>
      <c r="R356" s="530"/>
      <c r="S356" s="530"/>
      <c r="T356" s="530"/>
      <c r="U356" s="530"/>
    </row>
    <row r="357" spans="1:21" ht="19.5" x14ac:dyDescent="0.3">
      <c r="A357" s="257"/>
      <c r="B357" s="258"/>
      <c r="C357" s="259" t="s">
        <v>18</v>
      </c>
      <c r="D357" s="260" t="s">
        <v>19</v>
      </c>
      <c r="E357" s="258"/>
      <c r="F357" s="258"/>
      <c r="G357" s="261"/>
      <c r="H357" s="262" t="s">
        <v>14</v>
      </c>
      <c r="I357" s="263"/>
      <c r="J357" s="263"/>
      <c r="K357" s="87"/>
      <c r="L357" s="1257">
        <f t="shared" ref="L357:N357" ca="1" si="228">L358+L359</f>
        <v>115055</v>
      </c>
      <c r="M357" s="264">
        <f t="shared" ca="1" si="228"/>
        <v>115055</v>
      </c>
      <c r="N357" s="264">
        <f t="shared" ca="1" si="228"/>
        <v>52000</v>
      </c>
      <c r="O357" s="264">
        <f t="shared" ref="O357:O365" ca="1" si="229">IF(L357&gt;0,N357*100/L357,0)</f>
        <v>45.195775933249315</v>
      </c>
      <c r="P357" s="264">
        <f t="shared" ref="P357:P365" ca="1" si="230">IF(M357&gt;0,N357*100/M357,0)</f>
        <v>45.195775933249315</v>
      </c>
      <c r="Q357" s="264">
        <f t="shared" ref="Q357:S357" si="231">Q358+Q359</f>
        <v>0</v>
      </c>
      <c r="R357" s="264">
        <f t="shared" si="231"/>
        <v>0</v>
      </c>
      <c r="S357" s="264">
        <f t="shared" si="231"/>
        <v>0</v>
      </c>
      <c r="T357" s="264">
        <f t="shared" ref="T357:T365" si="232">IF(Q357&gt;0,S357*100/Q357,0)</f>
        <v>0</v>
      </c>
      <c r="U357" s="264">
        <f t="shared" ref="U357:U365" si="233">IF(R357&gt;0,S357*100/R357,0)</f>
        <v>0</v>
      </c>
    </row>
    <row r="358" spans="1:21" ht="18.75" hidden="1" x14ac:dyDescent="0.25">
      <c r="A358" s="257"/>
      <c r="B358" s="258"/>
      <c r="C358" s="258"/>
      <c r="D358" s="258"/>
      <c r="E358" s="265" t="s">
        <v>20</v>
      </c>
      <c r="F358" s="258"/>
      <c r="G358" s="261"/>
      <c r="H358" s="266" t="s">
        <v>14</v>
      </c>
      <c r="I358" s="263"/>
      <c r="J358" s="263"/>
      <c r="K358" s="87"/>
      <c r="L358" s="76">
        <f t="shared" ref="L358:N359" si="234">L361+L364</f>
        <v>0</v>
      </c>
      <c r="M358" s="77">
        <f t="shared" si="234"/>
        <v>0</v>
      </c>
      <c r="N358" s="77">
        <f t="shared" si="234"/>
        <v>0</v>
      </c>
      <c r="O358" s="77">
        <f t="shared" si="229"/>
        <v>0</v>
      </c>
      <c r="P358" s="77">
        <f t="shared" si="230"/>
        <v>0</v>
      </c>
      <c r="Q358" s="77">
        <f t="shared" ref="Q358:S359" si="235">Q361+Q364</f>
        <v>0</v>
      </c>
      <c r="R358" s="77">
        <f t="shared" si="235"/>
        <v>0</v>
      </c>
      <c r="S358" s="77">
        <f t="shared" si="235"/>
        <v>0</v>
      </c>
      <c r="T358" s="77">
        <f t="shared" si="232"/>
        <v>0</v>
      </c>
      <c r="U358" s="77">
        <f t="shared" si="233"/>
        <v>0</v>
      </c>
    </row>
    <row r="359" spans="1:21" ht="18.75" hidden="1" x14ac:dyDescent="0.25">
      <c r="A359" s="257"/>
      <c r="B359" s="269"/>
      <c r="C359" s="258"/>
      <c r="D359" s="258"/>
      <c r="E359" s="267" t="s">
        <v>21</v>
      </c>
      <c r="F359" s="258"/>
      <c r="G359" s="261"/>
      <c r="H359" s="268" t="s">
        <v>14</v>
      </c>
      <c r="I359" s="263"/>
      <c r="J359" s="263"/>
      <c r="K359" s="87"/>
      <c r="L359" s="73">
        <f t="shared" ca="1" si="234"/>
        <v>115055</v>
      </c>
      <c r="M359" s="74">
        <f t="shared" ca="1" si="234"/>
        <v>115055</v>
      </c>
      <c r="N359" s="74">
        <f t="shared" ca="1" si="234"/>
        <v>52000</v>
      </c>
      <c r="O359" s="74">
        <f t="shared" ca="1" si="229"/>
        <v>45.195775933249315</v>
      </c>
      <c r="P359" s="74">
        <f t="shared" ca="1" si="230"/>
        <v>45.195775933249315</v>
      </c>
      <c r="Q359" s="74">
        <f t="shared" si="235"/>
        <v>0</v>
      </c>
      <c r="R359" s="74">
        <f t="shared" si="235"/>
        <v>0</v>
      </c>
      <c r="S359" s="74">
        <f t="shared" si="235"/>
        <v>0</v>
      </c>
      <c r="T359" s="74">
        <f t="shared" si="232"/>
        <v>0</v>
      </c>
      <c r="U359" s="74">
        <f t="shared" si="233"/>
        <v>0</v>
      </c>
    </row>
    <row r="360" spans="1:21" ht="18.75" x14ac:dyDescent="0.25">
      <c r="A360" s="257"/>
      <c r="B360" s="269"/>
      <c r="C360" s="258"/>
      <c r="D360" s="270" t="s">
        <v>22</v>
      </c>
      <c r="E360" s="258"/>
      <c r="F360" s="258"/>
      <c r="G360" s="261"/>
      <c r="H360" s="271" t="s">
        <v>14</v>
      </c>
      <c r="I360" s="272"/>
      <c r="J360" s="272"/>
      <c r="K360" s="229"/>
      <c r="L360" s="73">
        <f t="shared" ref="L360:N360" ca="1" si="236">L361+L362</f>
        <v>115055</v>
      </c>
      <c r="M360" s="74">
        <f t="shared" ca="1" si="236"/>
        <v>115055</v>
      </c>
      <c r="N360" s="74">
        <f t="shared" ca="1" si="236"/>
        <v>52000</v>
      </c>
      <c r="O360" s="74">
        <f t="shared" ca="1" si="229"/>
        <v>45.195775933249315</v>
      </c>
      <c r="P360" s="74">
        <f t="shared" ca="1" si="230"/>
        <v>45.195775933249315</v>
      </c>
      <c r="Q360" s="74">
        <f t="shared" ref="Q360:S360" si="237">Q361+Q362</f>
        <v>0</v>
      </c>
      <c r="R360" s="74">
        <f t="shared" si="237"/>
        <v>0</v>
      </c>
      <c r="S360" s="74">
        <f t="shared" si="237"/>
        <v>0</v>
      </c>
      <c r="T360" s="74">
        <f t="shared" si="232"/>
        <v>0</v>
      </c>
      <c r="U360" s="74">
        <f t="shared" si="233"/>
        <v>0</v>
      </c>
    </row>
    <row r="361" spans="1:21" ht="18.75" hidden="1" x14ac:dyDescent="0.25">
      <c r="A361" s="257"/>
      <c r="B361" s="258"/>
      <c r="C361" s="269"/>
      <c r="D361" s="258"/>
      <c r="E361" s="265" t="s">
        <v>36</v>
      </c>
      <c r="F361" s="258"/>
      <c r="G361" s="261"/>
      <c r="H361" s="273" t="s">
        <v>14</v>
      </c>
      <c r="I361" s="272"/>
      <c r="J361" s="272"/>
      <c r="K361" s="229"/>
      <c r="L361" s="76">
        <v>0</v>
      </c>
      <c r="M361" s="77">
        <v>0</v>
      </c>
      <c r="N361" s="77">
        <v>0</v>
      </c>
      <c r="O361" s="77">
        <f t="shared" si="229"/>
        <v>0</v>
      </c>
      <c r="P361" s="77">
        <f t="shared" si="230"/>
        <v>0</v>
      </c>
      <c r="Q361" s="77">
        <v>0</v>
      </c>
      <c r="R361" s="77">
        <v>0</v>
      </c>
      <c r="S361" s="77">
        <v>0</v>
      </c>
      <c r="T361" s="77">
        <f t="shared" si="232"/>
        <v>0</v>
      </c>
      <c r="U361" s="77">
        <f t="shared" si="233"/>
        <v>0</v>
      </c>
    </row>
    <row r="362" spans="1:21" ht="18.75" hidden="1" x14ac:dyDescent="0.25">
      <c r="A362" s="257"/>
      <c r="B362" s="258"/>
      <c r="C362" s="269"/>
      <c r="D362" s="258"/>
      <c r="E362" s="267" t="s">
        <v>37</v>
      </c>
      <c r="F362" s="258"/>
      <c r="G362" s="261"/>
      <c r="H362" s="271" t="s">
        <v>14</v>
      </c>
      <c r="I362" s="272"/>
      <c r="J362" s="272"/>
      <c r="K362" s="229"/>
      <c r="L362" s="73">
        <f ca="1">IFERROR(__xludf.DUMMYFUNCTION("IMPORTRANGE(""https://docs.google.com/spreadsheets/d/1-uDff_7J0KD5mKrp0Vvzr7lt3OU09vwQwhkpOPPYv2Y/edit?usp=sharing"",""งบพรบ!FC60"")"),115055)</f>
        <v>115055</v>
      </c>
      <c r="M362" s="74">
        <f ca="1">IFERROR(__xludf.DUMMYFUNCTION("IMPORTRANGE(""https://docs.google.com/spreadsheets/d/1-uDff_7J0KD5mKrp0Vvzr7lt3OU09vwQwhkpOPPYv2Y/edit?usp=sharing"",""งบพรบ!FH60"")"),115055)</f>
        <v>115055</v>
      </c>
      <c r="N362" s="74">
        <f ca="1">IFERROR(__xludf.DUMMYFUNCTION("IMPORTRANGE(""https://docs.google.com/spreadsheets/d/1-uDff_7J0KD5mKrp0Vvzr7lt3OU09vwQwhkpOPPYv2Y/edit?usp=sharing"",""งบพรบ!FJ60"")"),52000)</f>
        <v>52000</v>
      </c>
      <c r="O362" s="74">
        <f t="shared" ca="1" si="229"/>
        <v>45.195775933249315</v>
      </c>
      <c r="P362" s="74">
        <f t="shared" ca="1" si="230"/>
        <v>45.195775933249315</v>
      </c>
      <c r="Q362" s="74">
        <v>0</v>
      </c>
      <c r="R362" s="74">
        <v>0</v>
      </c>
      <c r="S362" s="74">
        <v>0</v>
      </c>
      <c r="T362" s="74">
        <f t="shared" si="232"/>
        <v>0</v>
      </c>
      <c r="U362" s="74">
        <f t="shared" si="233"/>
        <v>0</v>
      </c>
    </row>
    <row r="363" spans="1:21" ht="18.75" x14ac:dyDescent="0.25">
      <c r="A363" s="257"/>
      <c r="B363" s="258"/>
      <c r="C363" s="269"/>
      <c r="D363" s="270" t="s">
        <v>23</v>
      </c>
      <c r="E363" s="258"/>
      <c r="F363" s="258"/>
      <c r="G363" s="261"/>
      <c r="H363" s="275" t="s">
        <v>14</v>
      </c>
      <c r="I363" s="272"/>
      <c r="J363" s="272"/>
      <c r="K363" s="229"/>
      <c r="L363" s="73">
        <f t="shared" ref="L363:N363" ca="1" si="238">L364+L365</f>
        <v>0</v>
      </c>
      <c r="M363" s="74">
        <f t="shared" ca="1" si="238"/>
        <v>0</v>
      </c>
      <c r="N363" s="74">
        <f t="shared" ca="1" si="238"/>
        <v>0</v>
      </c>
      <c r="O363" s="74">
        <f t="shared" ca="1" si="229"/>
        <v>0</v>
      </c>
      <c r="P363" s="74">
        <f t="shared" ca="1" si="230"/>
        <v>0</v>
      </c>
      <c r="Q363" s="74">
        <f t="shared" ref="Q363:S363" si="239">Q364+Q365</f>
        <v>0</v>
      </c>
      <c r="R363" s="74">
        <f t="shared" si="239"/>
        <v>0</v>
      </c>
      <c r="S363" s="74">
        <f t="shared" si="239"/>
        <v>0</v>
      </c>
      <c r="T363" s="74">
        <f t="shared" si="232"/>
        <v>0</v>
      </c>
      <c r="U363" s="74">
        <f t="shared" si="233"/>
        <v>0</v>
      </c>
    </row>
    <row r="364" spans="1:21" ht="18.75" hidden="1" x14ac:dyDescent="0.25">
      <c r="A364" s="257"/>
      <c r="B364" s="258"/>
      <c r="C364" s="269"/>
      <c r="D364" s="258"/>
      <c r="E364" s="265" t="s">
        <v>20</v>
      </c>
      <c r="F364" s="258"/>
      <c r="G364" s="261"/>
      <c r="H364" s="273" t="s">
        <v>14</v>
      </c>
      <c r="I364" s="272"/>
      <c r="J364" s="272"/>
      <c r="K364" s="229"/>
      <c r="L364" s="76">
        <v>0</v>
      </c>
      <c r="M364" s="77">
        <v>0</v>
      </c>
      <c r="N364" s="77">
        <v>0</v>
      </c>
      <c r="O364" s="77">
        <f t="shared" si="229"/>
        <v>0</v>
      </c>
      <c r="P364" s="77">
        <f t="shared" si="230"/>
        <v>0</v>
      </c>
      <c r="Q364" s="77">
        <v>0</v>
      </c>
      <c r="R364" s="77">
        <v>0</v>
      </c>
      <c r="S364" s="77">
        <v>0</v>
      </c>
      <c r="T364" s="77">
        <f t="shared" si="232"/>
        <v>0</v>
      </c>
      <c r="U364" s="77">
        <f t="shared" si="233"/>
        <v>0</v>
      </c>
    </row>
    <row r="365" spans="1:21" ht="18.75" hidden="1" x14ac:dyDescent="0.25">
      <c r="A365" s="257"/>
      <c r="B365" s="258"/>
      <c r="C365" s="269"/>
      <c r="D365" s="258"/>
      <c r="E365" s="267" t="s">
        <v>21</v>
      </c>
      <c r="F365" s="258"/>
      <c r="G365" s="261"/>
      <c r="H365" s="275" t="s">
        <v>14</v>
      </c>
      <c r="I365" s="272"/>
      <c r="J365" s="272"/>
      <c r="K365" s="229"/>
      <c r="L365" s="73">
        <f ca="1">IFERROR(__xludf.DUMMYFUNCTION("IMPORTRANGE(""https://docs.google.com/spreadsheets/d/1-uDff_7J0KD5mKrp0Vvzr7lt3OU09vwQwhkpOPPYv2Y/edit?usp=sharing"",""งบพรบ!FF60"")"),0)</f>
        <v>0</v>
      </c>
      <c r="M365" s="74">
        <f ca="1">IFERROR(__xludf.DUMMYFUNCTION("IMPORTRANGE(""https://docs.google.com/spreadsheets/d/1-uDff_7J0KD5mKrp0Vvzr7lt3OU09vwQwhkpOPPYv2Y/edit?usp=sharing"",""งบพรบ!FI60"")"),0)</f>
        <v>0</v>
      </c>
      <c r="N365" s="74">
        <f ca="1">IFERROR(__xludf.DUMMYFUNCTION("IMPORTRANGE(""https://docs.google.com/spreadsheets/d/1-uDff_7J0KD5mKrp0Vvzr7lt3OU09vwQwhkpOPPYv2Y/edit?usp=sharing"",""งบพรบ!FK60"")"),0)</f>
        <v>0</v>
      </c>
      <c r="O365" s="74">
        <f t="shared" ca="1" si="229"/>
        <v>0</v>
      </c>
      <c r="P365" s="74">
        <f t="shared" ca="1" si="230"/>
        <v>0</v>
      </c>
      <c r="Q365" s="74">
        <v>0</v>
      </c>
      <c r="R365" s="74">
        <v>0</v>
      </c>
      <c r="S365" s="74">
        <v>0</v>
      </c>
      <c r="T365" s="74">
        <f t="shared" si="232"/>
        <v>0</v>
      </c>
      <c r="U365" s="74">
        <f t="shared" si="233"/>
        <v>0</v>
      </c>
    </row>
    <row r="366" spans="1:21" ht="19.5" x14ac:dyDescent="0.3">
      <c r="A366" s="553"/>
      <c r="B366" s="555"/>
      <c r="C366" s="555"/>
      <c r="D366" s="961" t="s">
        <v>149</v>
      </c>
      <c r="E366" s="554"/>
      <c r="F366" s="554"/>
      <c r="G366" s="557"/>
      <c r="H366" s="1131" t="s">
        <v>35</v>
      </c>
      <c r="I366" s="559">
        <f t="shared" ref="I366:J366" ca="1" si="240">I372</f>
        <v>0</v>
      </c>
      <c r="J366" s="559">
        <f t="shared" ca="1" si="240"/>
        <v>0</v>
      </c>
      <c r="K366" s="560">
        <f ca="1">IF(I366&gt;0,J366*100/I366,0)</f>
        <v>0</v>
      </c>
      <c r="L366" s="391"/>
      <c r="M366" s="392"/>
      <c r="N366" s="392"/>
      <c r="O366" s="392"/>
      <c r="P366" s="392"/>
      <c r="Q366" s="392"/>
      <c r="R366" s="392"/>
      <c r="S366" s="392"/>
      <c r="T366" s="392"/>
      <c r="U366" s="392"/>
    </row>
    <row r="367" spans="1:21" ht="19.5" x14ac:dyDescent="0.3">
      <c r="A367" s="276"/>
      <c r="B367" s="277"/>
      <c r="C367" s="621" t="s">
        <v>18</v>
      </c>
      <c r="D367" s="968" t="s">
        <v>38</v>
      </c>
      <c r="E367" s="280"/>
      <c r="F367" s="280"/>
      <c r="G367" s="281"/>
      <c r="H367" s="282"/>
      <c r="I367" s="263"/>
      <c r="J367" s="263"/>
      <c r="K367" s="87"/>
      <c r="L367" s="228"/>
      <c r="M367" s="229"/>
      <c r="N367" s="229"/>
      <c r="O367" s="229"/>
      <c r="P367" s="229"/>
      <c r="Q367" s="229"/>
      <c r="R367" s="229"/>
      <c r="S367" s="229"/>
      <c r="T367" s="229"/>
      <c r="U367" s="229"/>
    </row>
    <row r="368" spans="1:21" ht="18.75" x14ac:dyDescent="0.25">
      <c r="A368" s="276"/>
      <c r="B368" s="277"/>
      <c r="C368" s="277"/>
      <c r="D368" s="296"/>
      <c r="E368" s="1103" t="s">
        <v>150</v>
      </c>
      <c r="F368" s="277"/>
      <c r="G368" s="310"/>
      <c r="H368" s="1165" t="s">
        <v>35</v>
      </c>
      <c r="I368" s="293">
        <v>0</v>
      </c>
      <c r="J368" s="293">
        <f ca="1">IFERROR(__xludf.DUMMYFUNCTION("IMPORTRANGE(""https://docs.google.com/spreadsheets/d/1tdoBKaGub7dwA3U6UFTqxio9LNnvDCQjHKmttSEBsFQ/edit?usp=sharing"",""จัดที่ดิน!AB60"")"),0)</f>
        <v>0</v>
      </c>
      <c r="K368" s="74">
        <f t="shared" ref="K368:K373" si="241">IF(I368&gt;0,J368*100/I368,0)</f>
        <v>0</v>
      </c>
      <c r="L368" s="228"/>
      <c r="M368" s="229"/>
      <c r="N368" s="229"/>
      <c r="O368" s="229"/>
      <c r="P368" s="229"/>
      <c r="Q368" s="229"/>
      <c r="R368" s="229"/>
      <c r="S368" s="229"/>
      <c r="T368" s="229"/>
      <c r="U368" s="229"/>
    </row>
    <row r="369" spans="1:21" ht="18.75" x14ac:dyDescent="0.25">
      <c r="A369" s="276"/>
      <c r="B369" s="296"/>
      <c r="C369" s="277"/>
      <c r="D369" s="296"/>
      <c r="E369" s="296"/>
      <c r="F369" s="296"/>
      <c r="G369" s="282"/>
      <c r="H369" s="1165" t="s">
        <v>46</v>
      </c>
      <c r="I369" s="293">
        <f ca="1">IFERROR(__xludf.DUMMYFUNCTION("IMPORTRANGE(""https://docs.google.com/spreadsheets/d/1eHaY18a8A9IcSdp1K8H6x8fbOy06t2VsZHhMHf-1x7Y/edit?usp=sharing"",""แผน!EW60"")"),0)</f>
        <v>0</v>
      </c>
      <c r="J369" s="1190">
        <f ca="1">IFERROR(__xludf.DUMMYFUNCTION("IMPORTRANGE(""https://docs.google.com/spreadsheets/d/1tdoBKaGub7dwA3U6UFTqxio9LNnvDCQjHKmttSEBsFQ/edit?usp=sharing"",""จัดที่ดิน!AC60"")"),0)</f>
        <v>0</v>
      </c>
      <c r="K369" s="74">
        <f t="shared" ca="1" si="241"/>
        <v>0</v>
      </c>
      <c r="L369" s="228"/>
      <c r="M369" s="229"/>
      <c r="N369" s="229"/>
      <c r="O369" s="229"/>
      <c r="P369" s="229"/>
      <c r="Q369" s="229"/>
      <c r="R369" s="229"/>
      <c r="S369" s="229"/>
      <c r="T369" s="229"/>
      <c r="U369" s="229"/>
    </row>
    <row r="370" spans="1:21" ht="18.75" x14ac:dyDescent="0.25">
      <c r="A370" s="276"/>
      <c r="B370" s="296"/>
      <c r="C370" s="277"/>
      <c r="D370" s="296"/>
      <c r="E370" s="767" t="s">
        <v>151</v>
      </c>
      <c r="F370" s="296"/>
      <c r="G370" s="282"/>
      <c r="H370" s="275" t="s">
        <v>35</v>
      </c>
      <c r="I370" s="293">
        <f ca="1">IFERROR(__xludf.DUMMYFUNCTION("IMPORTRANGE(""https://docs.google.com/spreadsheets/d/1eHaY18a8A9IcSdp1K8H6x8fbOy06t2VsZHhMHf-1x7Y/edit?usp=sharing"",""แผน!EX60"")"),0)</f>
        <v>0</v>
      </c>
      <c r="J370" s="293">
        <f ca="1">IFERROR(__xludf.DUMMYFUNCTION("IMPORTRANGE(""https://docs.google.com/spreadsheets/d/1tdoBKaGub7dwA3U6UFTqxio9LNnvDCQjHKmttSEBsFQ/edit?usp=sharing"",""จัดที่ดิน!AD60"")"),0)</f>
        <v>0</v>
      </c>
      <c r="K370" s="74">
        <f t="shared" ca="1" si="241"/>
        <v>0</v>
      </c>
      <c r="L370" s="228"/>
      <c r="M370" s="229"/>
      <c r="N370" s="229"/>
      <c r="O370" s="229"/>
      <c r="P370" s="229"/>
      <c r="Q370" s="229"/>
      <c r="R370" s="229"/>
      <c r="S370" s="229"/>
      <c r="T370" s="229"/>
      <c r="U370" s="229"/>
    </row>
    <row r="371" spans="1:21" ht="18.75" x14ac:dyDescent="0.25">
      <c r="A371" s="276"/>
      <c r="B371" s="296"/>
      <c r="C371" s="277"/>
      <c r="D371" s="296"/>
      <c r="E371" s="296"/>
      <c r="F371" s="296"/>
      <c r="G371" s="282"/>
      <c r="H371" s="275" t="s">
        <v>46</v>
      </c>
      <c r="I371" s="293">
        <v>0</v>
      </c>
      <c r="J371" s="1190">
        <f ca="1">IFERROR(__xludf.DUMMYFUNCTION("IMPORTRANGE(""https://docs.google.com/spreadsheets/d/1tdoBKaGub7dwA3U6UFTqxio9LNnvDCQjHKmttSEBsFQ/edit?usp=sharing"",""จัดที่ดิน!AE60"")"),0)</f>
        <v>0</v>
      </c>
      <c r="K371" s="74">
        <f t="shared" si="241"/>
        <v>0</v>
      </c>
      <c r="L371" s="228"/>
      <c r="M371" s="229"/>
      <c r="N371" s="229"/>
      <c r="O371" s="229"/>
      <c r="P371" s="229"/>
      <c r="Q371" s="229"/>
      <c r="R371" s="229"/>
      <c r="S371" s="229"/>
      <c r="T371" s="229"/>
      <c r="U371" s="229"/>
    </row>
    <row r="372" spans="1:21" ht="18.75" x14ac:dyDescent="0.25">
      <c r="A372" s="276"/>
      <c r="B372" s="296"/>
      <c r="C372" s="277"/>
      <c r="D372" s="296"/>
      <c r="E372" s="767" t="s">
        <v>152</v>
      </c>
      <c r="F372" s="296"/>
      <c r="G372" s="282"/>
      <c r="H372" s="275" t="s">
        <v>35</v>
      </c>
      <c r="I372" s="293">
        <f ca="1">IFERROR(__xludf.DUMMYFUNCTION("IMPORTRANGE(""https://docs.google.com/spreadsheets/d/1eHaY18a8A9IcSdp1K8H6x8fbOy06t2VsZHhMHf-1x7Y/edit?usp=sharing"",""แผน!EY60"")"),0)</f>
        <v>0</v>
      </c>
      <c r="J372" s="293">
        <f ca="1">IFERROR(__xludf.DUMMYFUNCTION("IMPORTRANGE(""https://docs.google.com/spreadsheets/d/1tdoBKaGub7dwA3U6UFTqxio9LNnvDCQjHKmttSEBsFQ/edit?usp=sharing"",""จัดที่ดิน!AF60"")"),0)</f>
        <v>0</v>
      </c>
      <c r="K372" s="74">
        <f t="shared" ca="1" si="241"/>
        <v>0</v>
      </c>
      <c r="L372" s="228"/>
      <c r="M372" s="229"/>
      <c r="N372" s="229"/>
      <c r="O372" s="229"/>
      <c r="P372" s="229"/>
      <c r="Q372" s="229"/>
      <c r="R372" s="229"/>
      <c r="S372" s="229"/>
      <c r="T372" s="229"/>
      <c r="U372" s="229"/>
    </row>
    <row r="373" spans="1:21" ht="18.75" x14ac:dyDescent="0.25">
      <c r="A373" s="276"/>
      <c r="B373" s="296"/>
      <c r="C373" s="277"/>
      <c r="D373" s="296"/>
      <c r="E373" s="296"/>
      <c r="F373" s="296"/>
      <c r="G373" s="282"/>
      <c r="H373" s="275" t="s">
        <v>46</v>
      </c>
      <c r="I373" s="293">
        <v>0</v>
      </c>
      <c r="J373" s="1190">
        <f ca="1">IFERROR(__xludf.DUMMYFUNCTION("IMPORTRANGE(""https://docs.google.com/spreadsheets/d/1tdoBKaGub7dwA3U6UFTqxio9LNnvDCQjHKmttSEBsFQ/edit?usp=sharing"",""จัดที่ดิน!AG60"")"),0)</f>
        <v>0</v>
      </c>
      <c r="K373" s="74">
        <f t="shared" si="241"/>
        <v>0</v>
      </c>
      <c r="L373" s="228"/>
      <c r="M373" s="229"/>
      <c r="N373" s="229"/>
      <c r="O373" s="229"/>
      <c r="P373" s="229"/>
      <c r="Q373" s="229"/>
      <c r="R373" s="229"/>
      <c r="S373" s="229"/>
      <c r="T373" s="229"/>
      <c r="U373" s="229"/>
    </row>
    <row r="374" spans="1:21" ht="16.5" x14ac:dyDescent="0.25">
      <c r="A374" s="628"/>
      <c r="B374" s="636"/>
      <c r="C374" s="628"/>
      <c r="D374" s="119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มี.ค. 67 เวลา 07.36 น.]")</f>
        <v xml:space="preserve"> [ข้อมูลจาก ระบบ ALRO Land Online ข้อมูล ณ 1 มี.ค. 67 เวลา 07.36 น.]</v>
      </c>
      <c r="E374" s="636"/>
      <c r="F374" s="636"/>
      <c r="G374" s="637"/>
      <c r="H374" s="629"/>
      <c r="I374" s="631"/>
      <c r="J374" s="631"/>
      <c r="K374" s="98"/>
      <c r="L374" s="97"/>
      <c r="M374" s="98"/>
      <c r="N374" s="98"/>
      <c r="O374" s="98"/>
      <c r="P374" s="98"/>
      <c r="Q374" s="98"/>
      <c r="R374" s="98"/>
      <c r="S374" s="98"/>
      <c r="T374" s="98"/>
      <c r="U374" s="98"/>
    </row>
    <row r="375" spans="1:21" ht="19.5" hidden="1" x14ac:dyDescent="0.3">
      <c r="A375" s="578"/>
      <c r="B375" s="579" t="s">
        <v>153</v>
      </c>
      <c r="C375" s="580"/>
      <c r="D375" s="581"/>
      <c r="E375" s="582"/>
      <c r="F375" s="582"/>
      <c r="G375" s="583"/>
      <c r="H375" s="584" t="s">
        <v>46</v>
      </c>
      <c r="I375" s="585">
        <f t="shared" ref="I375:J375" ca="1" si="242">I386</f>
        <v>0</v>
      </c>
      <c r="J375" s="585">
        <f t="shared" si="242"/>
        <v>0</v>
      </c>
      <c r="K375" s="586">
        <f ca="1">IF(I375&gt;0,J375*100/I375,0)</f>
        <v>0</v>
      </c>
      <c r="L375" s="529"/>
      <c r="M375" s="530"/>
      <c r="N375" s="530"/>
      <c r="O375" s="530"/>
      <c r="P375" s="530"/>
      <c r="Q375" s="530"/>
      <c r="R375" s="530"/>
      <c r="S375" s="530"/>
      <c r="T375" s="530"/>
      <c r="U375" s="530"/>
    </row>
    <row r="376" spans="1:21" ht="19.5" hidden="1" x14ac:dyDescent="0.3">
      <c r="A376" s="257"/>
      <c r="B376" s="269"/>
      <c r="C376" s="621" t="s">
        <v>18</v>
      </c>
      <c r="D376" s="966" t="s">
        <v>19</v>
      </c>
      <c r="E376" s="258"/>
      <c r="F376" s="258"/>
      <c r="G376" s="261"/>
      <c r="H376" s="262" t="s">
        <v>14</v>
      </c>
      <c r="I376" s="263"/>
      <c r="J376" s="263"/>
      <c r="K376" s="87"/>
      <c r="L376" s="1257">
        <f t="shared" ref="L376:N376" si="243">L377+L378</f>
        <v>0</v>
      </c>
      <c r="M376" s="264">
        <f t="shared" si="243"/>
        <v>0</v>
      </c>
      <c r="N376" s="264">
        <f t="shared" si="243"/>
        <v>0</v>
      </c>
      <c r="O376" s="264">
        <f t="shared" ref="O376:O384" si="244">IF(L376&gt;0,N376*100/L376,0)</f>
        <v>0</v>
      </c>
      <c r="P376" s="264">
        <f t="shared" ref="P376:P384" si="245">IF(M376&gt;0,N376*100/M376,0)</f>
        <v>0</v>
      </c>
      <c r="Q376" s="264">
        <f t="shared" ref="Q376:S376" ca="1" si="246">Q377+Q378</f>
        <v>0</v>
      </c>
      <c r="R376" s="264">
        <f t="shared" ca="1" si="246"/>
        <v>0</v>
      </c>
      <c r="S376" s="264">
        <f t="shared" ca="1" si="246"/>
        <v>0</v>
      </c>
      <c r="T376" s="264">
        <f t="shared" ref="T376:T384" ca="1" si="247">IF(Q376&gt;0,S376*100/Q376,0)</f>
        <v>0</v>
      </c>
      <c r="U376" s="264">
        <f t="shared" ref="U376:U384" ca="1" si="248">IF(R376&gt;0,S376*100/R376,0)</f>
        <v>0</v>
      </c>
    </row>
    <row r="377" spans="1:21" ht="18.75" hidden="1" x14ac:dyDescent="0.25">
      <c r="A377" s="257"/>
      <c r="B377" s="269"/>
      <c r="C377" s="269"/>
      <c r="D377" s="269"/>
      <c r="E377" s="265" t="s">
        <v>20</v>
      </c>
      <c r="F377" s="258"/>
      <c r="G377" s="261"/>
      <c r="H377" s="266" t="s">
        <v>14</v>
      </c>
      <c r="I377" s="263"/>
      <c r="J377" s="263"/>
      <c r="K377" s="87"/>
      <c r="L377" s="76">
        <f t="shared" ref="L377:N378" si="249">L380+L383</f>
        <v>0</v>
      </c>
      <c r="M377" s="77">
        <f t="shared" si="249"/>
        <v>0</v>
      </c>
      <c r="N377" s="77">
        <f t="shared" si="249"/>
        <v>0</v>
      </c>
      <c r="O377" s="77">
        <f t="shared" si="244"/>
        <v>0</v>
      </c>
      <c r="P377" s="77">
        <f t="shared" si="245"/>
        <v>0</v>
      </c>
      <c r="Q377" s="77">
        <f t="shared" ref="Q377:S378" si="250">Q380+Q383</f>
        <v>0</v>
      </c>
      <c r="R377" s="77">
        <f t="shared" si="250"/>
        <v>0</v>
      </c>
      <c r="S377" s="77">
        <f t="shared" si="250"/>
        <v>0</v>
      </c>
      <c r="T377" s="77">
        <f t="shared" si="247"/>
        <v>0</v>
      </c>
      <c r="U377" s="77">
        <f t="shared" si="248"/>
        <v>0</v>
      </c>
    </row>
    <row r="378" spans="1:21" ht="18.75" hidden="1" x14ac:dyDescent="0.25">
      <c r="A378" s="257"/>
      <c r="B378" s="269"/>
      <c r="C378" s="269"/>
      <c r="D378" s="269"/>
      <c r="E378" s="267" t="s">
        <v>21</v>
      </c>
      <c r="F378" s="258"/>
      <c r="G378" s="261"/>
      <c r="H378" s="268" t="s">
        <v>14</v>
      </c>
      <c r="I378" s="263"/>
      <c r="J378" s="263"/>
      <c r="K378" s="87"/>
      <c r="L378" s="73">
        <f t="shared" si="249"/>
        <v>0</v>
      </c>
      <c r="M378" s="74">
        <f t="shared" si="249"/>
        <v>0</v>
      </c>
      <c r="N378" s="74">
        <f t="shared" si="249"/>
        <v>0</v>
      </c>
      <c r="O378" s="74">
        <f t="shared" si="244"/>
        <v>0</v>
      </c>
      <c r="P378" s="74">
        <f t="shared" si="245"/>
        <v>0</v>
      </c>
      <c r="Q378" s="74">
        <f t="shared" ca="1" si="250"/>
        <v>0</v>
      </c>
      <c r="R378" s="74">
        <f t="shared" ca="1" si="250"/>
        <v>0</v>
      </c>
      <c r="S378" s="74">
        <f t="shared" ca="1" si="250"/>
        <v>0</v>
      </c>
      <c r="T378" s="74">
        <f t="shared" ca="1" si="247"/>
        <v>0</v>
      </c>
      <c r="U378" s="74">
        <f t="shared" ca="1" si="248"/>
        <v>0</v>
      </c>
    </row>
    <row r="379" spans="1:21" ht="18.75" hidden="1" x14ac:dyDescent="0.25">
      <c r="A379" s="257"/>
      <c r="B379" s="269"/>
      <c r="C379" s="269"/>
      <c r="D379" s="967" t="s">
        <v>22</v>
      </c>
      <c r="E379" s="258"/>
      <c r="F379" s="258"/>
      <c r="G379" s="261"/>
      <c r="H379" s="271" t="s">
        <v>14</v>
      </c>
      <c r="I379" s="272"/>
      <c r="J379" s="272"/>
      <c r="K379" s="229"/>
      <c r="L379" s="73">
        <f t="shared" ref="L379:N379" si="251">L380+L381</f>
        <v>0</v>
      </c>
      <c r="M379" s="74">
        <f t="shared" si="251"/>
        <v>0</v>
      </c>
      <c r="N379" s="74">
        <f t="shared" si="251"/>
        <v>0</v>
      </c>
      <c r="O379" s="74">
        <f t="shared" si="244"/>
        <v>0</v>
      </c>
      <c r="P379" s="74">
        <f t="shared" si="245"/>
        <v>0</v>
      </c>
      <c r="Q379" s="74">
        <f t="shared" ref="Q379:S379" ca="1" si="252">Q380+Q381</f>
        <v>0</v>
      </c>
      <c r="R379" s="74">
        <f t="shared" ca="1" si="252"/>
        <v>0</v>
      </c>
      <c r="S379" s="74">
        <f t="shared" ca="1" si="252"/>
        <v>0</v>
      </c>
      <c r="T379" s="74">
        <f t="shared" ca="1" si="247"/>
        <v>0</v>
      </c>
      <c r="U379" s="74">
        <f t="shared" ca="1" si="248"/>
        <v>0</v>
      </c>
    </row>
    <row r="380" spans="1:21" ht="18.75" hidden="1" x14ac:dyDescent="0.25">
      <c r="A380" s="257"/>
      <c r="B380" s="269"/>
      <c r="C380" s="269"/>
      <c r="D380" s="269"/>
      <c r="E380" s="265" t="s">
        <v>36</v>
      </c>
      <c r="F380" s="258"/>
      <c r="G380" s="261"/>
      <c r="H380" s="273" t="s">
        <v>14</v>
      </c>
      <c r="I380" s="272"/>
      <c r="J380" s="272"/>
      <c r="K380" s="229"/>
      <c r="L380" s="76">
        <v>0</v>
      </c>
      <c r="M380" s="77">
        <v>0</v>
      </c>
      <c r="N380" s="77">
        <v>0</v>
      </c>
      <c r="O380" s="77">
        <f t="shared" si="244"/>
        <v>0</v>
      </c>
      <c r="P380" s="77">
        <f t="shared" si="245"/>
        <v>0</v>
      </c>
      <c r="Q380" s="77">
        <v>0</v>
      </c>
      <c r="R380" s="77">
        <v>0</v>
      </c>
      <c r="S380" s="77">
        <v>0</v>
      </c>
      <c r="T380" s="77">
        <f t="shared" si="247"/>
        <v>0</v>
      </c>
      <c r="U380" s="77">
        <f t="shared" si="248"/>
        <v>0</v>
      </c>
    </row>
    <row r="381" spans="1:21" ht="18.75" hidden="1" x14ac:dyDescent="0.25">
      <c r="A381" s="257"/>
      <c r="B381" s="269"/>
      <c r="C381" s="269"/>
      <c r="D381" s="269"/>
      <c r="E381" s="749" t="s">
        <v>37</v>
      </c>
      <c r="F381" s="269"/>
      <c r="G381" s="312"/>
      <c r="H381" s="271" t="s">
        <v>14</v>
      </c>
      <c r="I381" s="272"/>
      <c r="J381" s="272"/>
      <c r="K381" s="229"/>
      <c r="L381" s="73">
        <v>0</v>
      </c>
      <c r="M381" s="74">
        <v>0</v>
      </c>
      <c r="N381" s="74">
        <v>0</v>
      </c>
      <c r="O381" s="74">
        <f t="shared" si="244"/>
        <v>0</v>
      </c>
      <c r="P381" s="74">
        <f t="shared" si="245"/>
        <v>0</v>
      </c>
      <c r="Q381" s="74">
        <f ca="1">IFERROR(__xludf.DUMMYFUNCTION("IMPORTRANGE(""https://docs.google.com/spreadsheets/d/1ItG2mGa2ceCfYo0BwxsXqNm01IGEUdYcSSLTEv9YCik/edit?usp=sharing"",""เบิกจ่ายกองทุน!AY60"")"),0)</f>
        <v>0</v>
      </c>
      <c r="R381" s="74">
        <f ca="1">IFERROR(__xludf.DUMMYFUNCTION("IMPORTRANGE(""https://docs.google.com/spreadsheets/d/1ItG2mGa2ceCfYo0BwxsXqNm01IGEUdYcSSLTEv9YCik/edit?usp=sharing"",""เบิกจ่ายกองทุน!AZ60"")"),0)</f>
        <v>0</v>
      </c>
      <c r="S381" s="74">
        <f ca="1">IFERROR(__xludf.DUMMYFUNCTION("IMPORTRANGE(""https://docs.google.com/spreadsheets/d/1ItG2mGa2ceCfYo0BwxsXqNm01IGEUdYcSSLTEv9YCik/edit?usp=sharing"",""เบิกจ่ายกองทุน!BA60"")"),0)</f>
        <v>0</v>
      </c>
      <c r="T381" s="74">
        <f t="shared" ca="1" si="247"/>
        <v>0</v>
      </c>
      <c r="U381" s="74">
        <f t="shared" ca="1" si="248"/>
        <v>0</v>
      </c>
    </row>
    <row r="382" spans="1:21" ht="18.75" hidden="1" x14ac:dyDescent="0.25">
      <c r="A382" s="257"/>
      <c r="B382" s="269"/>
      <c r="C382" s="269"/>
      <c r="D382" s="967" t="s">
        <v>23</v>
      </c>
      <c r="E382" s="258"/>
      <c r="F382" s="258"/>
      <c r="G382" s="261"/>
      <c r="H382" s="275" t="s">
        <v>14</v>
      </c>
      <c r="I382" s="272"/>
      <c r="J382" s="272"/>
      <c r="K382" s="229"/>
      <c r="L382" s="73">
        <f t="shared" ref="L382:N382" si="253">L383+L384</f>
        <v>0</v>
      </c>
      <c r="M382" s="74">
        <f t="shared" si="253"/>
        <v>0</v>
      </c>
      <c r="N382" s="74">
        <f t="shared" si="253"/>
        <v>0</v>
      </c>
      <c r="O382" s="74">
        <f t="shared" si="244"/>
        <v>0</v>
      </c>
      <c r="P382" s="74">
        <f t="shared" si="245"/>
        <v>0</v>
      </c>
      <c r="Q382" s="74">
        <f t="shared" ref="Q382:S382" si="254">Q383+Q384</f>
        <v>0</v>
      </c>
      <c r="R382" s="74">
        <f t="shared" si="254"/>
        <v>0</v>
      </c>
      <c r="S382" s="74">
        <f t="shared" si="254"/>
        <v>0</v>
      </c>
      <c r="T382" s="74">
        <f t="shared" si="247"/>
        <v>0</v>
      </c>
      <c r="U382" s="74">
        <f t="shared" si="248"/>
        <v>0</v>
      </c>
    </row>
    <row r="383" spans="1:21" ht="18.75" hidden="1" x14ac:dyDescent="0.25">
      <c r="A383" s="257"/>
      <c r="B383" s="269"/>
      <c r="C383" s="269"/>
      <c r="D383" s="269"/>
      <c r="E383" s="265" t="s">
        <v>20</v>
      </c>
      <c r="F383" s="258"/>
      <c r="G383" s="261"/>
      <c r="H383" s="273" t="s">
        <v>14</v>
      </c>
      <c r="I383" s="272"/>
      <c r="J383" s="272"/>
      <c r="K383" s="229"/>
      <c r="L383" s="76">
        <v>0</v>
      </c>
      <c r="M383" s="77">
        <v>0</v>
      </c>
      <c r="N383" s="77">
        <v>0</v>
      </c>
      <c r="O383" s="77">
        <f t="shared" si="244"/>
        <v>0</v>
      </c>
      <c r="P383" s="77">
        <f t="shared" si="245"/>
        <v>0</v>
      </c>
      <c r="Q383" s="77">
        <v>0</v>
      </c>
      <c r="R383" s="77">
        <v>0</v>
      </c>
      <c r="S383" s="77">
        <v>0</v>
      </c>
      <c r="T383" s="77">
        <f t="shared" si="247"/>
        <v>0</v>
      </c>
      <c r="U383" s="77">
        <f t="shared" si="248"/>
        <v>0</v>
      </c>
    </row>
    <row r="384" spans="1:21" ht="18.75" hidden="1" x14ac:dyDescent="0.25">
      <c r="A384" s="257"/>
      <c r="B384" s="269"/>
      <c r="C384" s="269"/>
      <c r="D384" s="269"/>
      <c r="E384" s="267" t="s">
        <v>21</v>
      </c>
      <c r="F384" s="258"/>
      <c r="G384" s="261"/>
      <c r="H384" s="275" t="s">
        <v>14</v>
      </c>
      <c r="I384" s="272"/>
      <c r="J384" s="272"/>
      <c r="K384" s="229"/>
      <c r="L384" s="73">
        <v>0</v>
      </c>
      <c r="M384" s="74">
        <v>0</v>
      </c>
      <c r="N384" s="74">
        <v>0</v>
      </c>
      <c r="O384" s="74">
        <f t="shared" si="244"/>
        <v>0</v>
      </c>
      <c r="P384" s="74">
        <f t="shared" si="245"/>
        <v>0</v>
      </c>
      <c r="Q384" s="74">
        <v>0</v>
      </c>
      <c r="R384" s="74">
        <v>0</v>
      </c>
      <c r="S384" s="74">
        <v>0</v>
      </c>
      <c r="T384" s="74">
        <f t="shared" si="247"/>
        <v>0</v>
      </c>
      <c r="U384" s="74">
        <f t="shared" si="248"/>
        <v>0</v>
      </c>
    </row>
    <row r="385" spans="1:21" ht="19.5" hidden="1" x14ac:dyDescent="0.3">
      <c r="A385" s="276"/>
      <c r="B385" s="277"/>
      <c r="C385" s="621" t="s">
        <v>18</v>
      </c>
      <c r="D385" s="968" t="s">
        <v>38</v>
      </c>
      <c r="E385" s="280"/>
      <c r="F385" s="280"/>
      <c r="G385" s="281"/>
      <c r="H385" s="310"/>
      <c r="I385" s="272"/>
      <c r="J385" s="263"/>
      <c r="K385" s="87"/>
      <c r="L385" s="86"/>
      <c r="M385" s="87"/>
      <c r="N385" s="87"/>
      <c r="O385" s="229"/>
      <c r="P385" s="229"/>
      <c r="Q385" s="87"/>
      <c r="R385" s="87"/>
      <c r="S385" s="87"/>
      <c r="T385" s="229"/>
      <c r="U385" s="229"/>
    </row>
    <row r="386" spans="1:21" ht="18.75" hidden="1" x14ac:dyDescent="0.25">
      <c r="A386" s="550"/>
      <c r="B386" s="269"/>
      <c r="C386" s="269"/>
      <c r="D386" s="269"/>
      <c r="E386" s="267" t="s">
        <v>154</v>
      </c>
      <c r="F386" s="258"/>
      <c r="G386" s="261"/>
      <c r="H386" s="268" t="s">
        <v>34</v>
      </c>
      <c r="I386" s="293">
        <f ca="1">IFERROR(__xludf.DUMMYFUNCTION("IMPORTRANGE(""https://docs.google.com/spreadsheets/d/1eHaY18a8A9IcSdp1K8H6x8fbOy06t2VsZHhMHf-1x7Y/edit?usp=sharing"",""แผน!JQ60"")"),0)</f>
        <v>0</v>
      </c>
      <c r="J386" s="293">
        <v>0</v>
      </c>
      <c r="K386" s="74">
        <f t="shared" ref="K386:K389" ca="1" si="255">IF(I386&gt;0,J386*100/I386,0)</f>
        <v>0</v>
      </c>
      <c r="L386" s="86"/>
      <c r="M386" s="87"/>
      <c r="N386" s="87"/>
      <c r="O386" s="87"/>
      <c r="P386" s="87"/>
      <c r="Q386" s="87"/>
      <c r="R386" s="87"/>
      <c r="S386" s="87"/>
      <c r="T386" s="87"/>
      <c r="U386" s="87"/>
    </row>
    <row r="387" spans="1:21" ht="18.75" hidden="1" x14ac:dyDescent="0.25">
      <c r="A387" s="269"/>
      <c r="B387" s="269"/>
      <c r="C387" s="269"/>
      <c r="D387" s="269"/>
      <c r="E387" s="269"/>
      <c r="F387" s="269"/>
      <c r="G387" s="312"/>
      <c r="H387" s="268" t="s">
        <v>46</v>
      </c>
      <c r="I387" s="293">
        <f ca="1">IFERROR(__xludf.DUMMYFUNCTION("IMPORTRANGE(""https://docs.google.com/spreadsheets/d/1eHaY18a8A9IcSdp1K8H6x8fbOy06t2VsZHhMHf-1x7Y/edit?usp=sharing"",""แผน!JQ60"")"),0)</f>
        <v>0</v>
      </c>
      <c r="J387" s="293">
        <v>0</v>
      </c>
      <c r="K387" s="74">
        <f t="shared" ca="1" si="255"/>
        <v>0</v>
      </c>
      <c r="L387" s="86"/>
      <c r="M387" s="87"/>
      <c r="N387" s="87"/>
      <c r="O387" s="87"/>
      <c r="P387" s="87"/>
      <c r="Q387" s="87"/>
      <c r="R387" s="87"/>
      <c r="S387" s="87"/>
      <c r="T387" s="87"/>
      <c r="U387" s="87"/>
    </row>
    <row r="388" spans="1:21" ht="18.75" hidden="1" x14ac:dyDescent="0.25">
      <c r="A388" s="269"/>
      <c r="B388" s="269"/>
      <c r="C388" s="269"/>
      <c r="D388" s="269"/>
      <c r="E388" s="775" t="s">
        <v>155</v>
      </c>
      <c r="F388" s="269"/>
      <c r="G388" s="312"/>
      <c r="H388" s="266" t="s">
        <v>34</v>
      </c>
      <c r="I388" s="592">
        <v>0</v>
      </c>
      <c r="J388" s="592">
        <v>0</v>
      </c>
      <c r="K388" s="77">
        <f t="shared" si="255"/>
        <v>0</v>
      </c>
      <c r="L388" s="86"/>
      <c r="M388" s="87"/>
      <c r="N388" s="87"/>
      <c r="O388" s="87"/>
      <c r="P388" s="87"/>
      <c r="Q388" s="87"/>
      <c r="R388" s="87"/>
      <c r="S388" s="87"/>
      <c r="T388" s="87"/>
      <c r="U388" s="87"/>
    </row>
    <row r="389" spans="1:21" ht="18.75" hidden="1" x14ac:dyDescent="0.25">
      <c r="A389" s="269"/>
      <c r="B389" s="269"/>
      <c r="C389" s="269"/>
      <c r="D389" s="269"/>
      <c r="E389" s="269"/>
      <c r="F389" s="269"/>
      <c r="G389" s="312"/>
      <c r="H389" s="266" t="s">
        <v>46</v>
      </c>
      <c r="I389" s="592">
        <v>0</v>
      </c>
      <c r="J389" s="592">
        <v>0</v>
      </c>
      <c r="K389" s="77">
        <f t="shared" si="255"/>
        <v>0</v>
      </c>
      <c r="L389" s="86"/>
      <c r="M389" s="87"/>
      <c r="N389" s="87"/>
      <c r="O389" s="87"/>
      <c r="P389" s="87"/>
      <c r="Q389" s="87"/>
      <c r="R389" s="87"/>
      <c r="S389" s="87"/>
      <c r="T389" s="87"/>
      <c r="U389" s="87"/>
    </row>
    <row r="390" spans="1:21" ht="12.75" hidden="1" x14ac:dyDescent="0.2">
      <c r="A390" s="593"/>
      <c r="B390" s="593"/>
      <c r="C390" s="593"/>
      <c r="D390" s="593"/>
      <c r="E390" s="593"/>
      <c r="F390" s="593"/>
      <c r="G390" s="594"/>
      <c r="H390" s="594"/>
      <c r="I390" s="595"/>
      <c r="J390" s="595"/>
      <c r="K390" s="596"/>
      <c r="L390" s="597"/>
      <c r="M390" s="596"/>
      <c r="N390" s="596"/>
      <c r="O390" s="596"/>
      <c r="P390" s="596"/>
      <c r="Q390" s="596"/>
      <c r="R390" s="596"/>
      <c r="S390" s="596"/>
      <c r="T390" s="596"/>
      <c r="U390" s="596"/>
    </row>
    <row r="391" spans="1:21" ht="12.75" hidden="1" x14ac:dyDescent="0.2">
      <c r="A391" s="598"/>
      <c r="B391" s="598"/>
      <c r="C391" s="598"/>
      <c r="D391" s="598"/>
      <c r="E391" s="598"/>
      <c r="F391" s="598"/>
      <c r="G391" s="599"/>
      <c r="H391" s="599"/>
      <c r="I391" s="600"/>
      <c r="J391" s="600"/>
      <c r="K391" s="601"/>
      <c r="L391" s="602"/>
      <c r="M391" s="601"/>
      <c r="N391" s="601"/>
      <c r="O391" s="601"/>
      <c r="P391" s="601"/>
      <c r="Q391" s="601"/>
      <c r="R391" s="601"/>
      <c r="S391" s="601"/>
      <c r="T391" s="601"/>
      <c r="U391" s="601"/>
    </row>
    <row r="392" spans="1:21" ht="19.5" hidden="1" x14ac:dyDescent="0.3">
      <c r="A392" s="603"/>
      <c r="B392" s="604" t="s">
        <v>156</v>
      </c>
      <c r="C392" s="605"/>
      <c r="D392" s="606"/>
      <c r="E392" s="607"/>
      <c r="F392" s="607"/>
      <c r="G392" s="608"/>
      <c r="H392" s="609" t="s">
        <v>61</v>
      </c>
      <c r="I392" s="1189">
        <f t="shared" ref="I392:J392" si="256">I403</f>
        <v>0</v>
      </c>
      <c r="J392" s="1189">
        <f t="shared" si="256"/>
        <v>0</v>
      </c>
      <c r="K392" s="611">
        <f>IF(I392&gt;0,J392*100/I392,0)</f>
        <v>0</v>
      </c>
      <c r="L392" s="529"/>
      <c r="M392" s="530"/>
      <c r="N392" s="530"/>
      <c r="O392" s="530"/>
      <c r="P392" s="530"/>
      <c r="Q392" s="530"/>
      <c r="R392" s="530"/>
      <c r="S392" s="530"/>
      <c r="T392" s="530"/>
      <c r="U392" s="530"/>
    </row>
    <row r="393" spans="1:21" ht="19.5" hidden="1" x14ac:dyDescent="0.3">
      <c r="A393" s="257"/>
      <c r="B393" s="269"/>
      <c r="C393" s="621" t="s">
        <v>18</v>
      </c>
      <c r="D393" s="966" t="s">
        <v>19</v>
      </c>
      <c r="E393" s="258"/>
      <c r="F393" s="258"/>
      <c r="G393" s="261"/>
      <c r="H393" s="262" t="s">
        <v>14</v>
      </c>
      <c r="I393" s="263"/>
      <c r="J393" s="263"/>
      <c r="K393" s="87"/>
      <c r="L393" s="1257">
        <f t="shared" ref="L393:N393" si="257">L394+L395</f>
        <v>0</v>
      </c>
      <c r="M393" s="264">
        <f t="shared" si="257"/>
        <v>0</v>
      </c>
      <c r="N393" s="264">
        <f t="shared" si="257"/>
        <v>0</v>
      </c>
      <c r="O393" s="264">
        <f t="shared" ref="O393:O401" si="258">IF(L393&gt;0,N393*100/L393,0)</f>
        <v>0</v>
      </c>
      <c r="P393" s="264">
        <f t="shared" ref="P393:P401" si="259">IF(M393&gt;0,N393*100/M393,0)</f>
        <v>0</v>
      </c>
      <c r="Q393" s="264">
        <f t="shared" ref="Q393:S393" si="260">Q394+Q395</f>
        <v>0</v>
      </c>
      <c r="R393" s="264">
        <f t="shared" si="260"/>
        <v>0</v>
      </c>
      <c r="S393" s="264">
        <f t="shared" si="260"/>
        <v>0</v>
      </c>
      <c r="T393" s="264">
        <f t="shared" ref="T393:T401" si="261">IF(Q393&gt;0,S393*100/Q393,0)</f>
        <v>0</v>
      </c>
      <c r="U393" s="264">
        <f t="shared" ref="U393:U401" si="262">IF(R393&gt;0,S393*100/R393,0)</f>
        <v>0</v>
      </c>
    </row>
    <row r="394" spans="1:21" ht="18.75" hidden="1" x14ac:dyDescent="0.25">
      <c r="A394" s="257"/>
      <c r="B394" s="269"/>
      <c r="C394" s="269"/>
      <c r="D394" s="269"/>
      <c r="E394" s="265" t="s">
        <v>20</v>
      </c>
      <c r="F394" s="258"/>
      <c r="G394" s="261"/>
      <c r="H394" s="266" t="s">
        <v>14</v>
      </c>
      <c r="I394" s="263"/>
      <c r="J394" s="263"/>
      <c r="K394" s="87"/>
      <c r="L394" s="76">
        <f t="shared" ref="L394:N395" si="263">L397+L400</f>
        <v>0</v>
      </c>
      <c r="M394" s="77">
        <f t="shared" si="263"/>
        <v>0</v>
      </c>
      <c r="N394" s="77">
        <f t="shared" si="263"/>
        <v>0</v>
      </c>
      <c r="O394" s="77">
        <f t="shared" si="258"/>
        <v>0</v>
      </c>
      <c r="P394" s="77">
        <f t="shared" si="259"/>
        <v>0</v>
      </c>
      <c r="Q394" s="77">
        <f t="shared" ref="Q394:S395" si="264">Q397+Q400</f>
        <v>0</v>
      </c>
      <c r="R394" s="77">
        <f t="shared" si="264"/>
        <v>0</v>
      </c>
      <c r="S394" s="77">
        <f t="shared" si="264"/>
        <v>0</v>
      </c>
      <c r="T394" s="77">
        <f t="shared" si="261"/>
        <v>0</v>
      </c>
      <c r="U394" s="77">
        <f t="shared" si="262"/>
        <v>0</v>
      </c>
    </row>
    <row r="395" spans="1:21" ht="18.75" hidden="1" x14ac:dyDescent="0.25">
      <c r="A395" s="257"/>
      <c r="B395" s="269"/>
      <c r="C395" s="269"/>
      <c r="D395" s="269"/>
      <c r="E395" s="267" t="s">
        <v>21</v>
      </c>
      <c r="F395" s="258"/>
      <c r="G395" s="261"/>
      <c r="H395" s="268" t="s">
        <v>14</v>
      </c>
      <c r="I395" s="263"/>
      <c r="J395" s="263"/>
      <c r="K395" s="87"/>
      <c r="L395" s="73">
        <f t="shared" si="263"/>
        <v>0</v>
      </c>
      <c r="M395" s="74">
        <f t="shared" si="263"/>
        <v>0</v>
      </c>
      <c r="N395" s="74">
        <f t="shared" si="263"/>
        <v>0</v>
      </c>
      <c r="O395" s="74">
        <f t="shared" si="258"/>
        <v>0</v>
      </c>
      <c r="P395" s="74">
        <f t="shared" si="259"/>
        <v>0</v>
      </c>
      <c r="Q395" s="74">
        <f t="shared" si="264"/>
        <v>0</v>
      </c>
      <c r="R395" s="74">
        <f t="shared" si="264"/>
        <v>0</v>
      </c>
      <c r="S395" s="74">
        <f t="shared" si="264"/>
        <v>0</v>
      </c>
      <c r="T395" s="74">
        <f t="shared" si="261"/>
        <v>0</v>
      </c>
      <c r="U395" s="74">
        <f t="shared" si="262"/>
        <v>0</v>
      </c>
    </row>
    <row r="396" spans="1:21" ht="18.75" hidden="1" x14ac:dyDescent="0.25">
      <c r="A396" s="257"/>
      <c r="B396" s="269"/>
      <c r="C396" s="269"/>
      <c r="D396" s="967" t="s">
        <v>22</v>
      </c>
      <c r="E396" s="258"/>
      <c r="F396" s="258"/>
      <c r="G396" s="261"/>
      <c r="H396" s="271" t="s">
        <v>14</v>
      </c>
      <c r="I396" s="272"/>
      <c r="J396" s="272"/>
      <c r="K396" s="229"/>
      <c r="L396" s="73">
        <f t="shared" ref="L396:N396" si="265">L397+L398</f>
        <v>0</v>
      </c>
      <c r="M396" s="74">
        <f t="shared" si="265"/>
        <v>0</v>
      </c>
      <c r="N396" s="74">
        <f t="shared" si="265"/>
        <v>0</v>
      </c>
      <c r="O396" s="74">
        <f t="shared" si="258"/>
        <v>0</v>
      </c>
      <c r="P396" s="74">
        <f t="shared" si="259"/>
        <v>0</v>
      </c>
      <c r="Q396" s="74">
        <f t="shared" ref="Q396:S396" si="266">Q397+Q398</f>
        <v>0</v>
      </c>
      <c r="R396" s="74">
        <f t="shared" si="266"/>
        <v>0</v>
      </c>
      <c r="S396" s="74">
        <f t="shared" si="266"/>
        <v>0</v>
      </c>
      <c r="T396" s="74">
        <f t="shared" si="261"/>
        <v>0</v>
      </c>
      <c r="U396" s="74">
        <f t="shared" si="262"/>
        <v>0</v>
      </c>
    </row>
    <row r="397" spans="1:21" ht="18.75" hidden="1" x14ac:dyDescent="0.25">
      <c r="A397" s="257"/>
      <c r="B397" s="269"/>
      <c r="C397" s="269"/>
      <c r="D397" s="269"/>
      <c r="E397" s="265" t="s">
        <v>36</v>
      </c>
      <c r="F397" s="258"/>
      <c r="G397" s="261"/>
      <c r="H397" s="273" t="s">
        <v>14</v>
      </c>
      <c r="I397" s="272"/>
      <c r="J397" s="272"/>
      <c r="K397" s="229"/>
      <c r="L397" s="76">
        <v>0</v>
      </c>
      <c r="M397" s="77">
        <v>0</v>
      </c>
      <c r="N397" s="77">
        <v>0</v>
      </c>
      <c r="O397" s="77">
        <f t="shared" si="258"/>
        <v>0</v>
      </c>
      <c r="P397" s="77">
        <f t="shared" si="259"/>
        <v>0</v>
      </c>
      <c r="Q397" s="77">
        <v>0</v>
      </c>
      <c r="R397" s="77">
        <v>0</v>
      </c>
      <c r="S397" s="77">
        <v>0</v>
      </c>
      <c r="T397" s="77">
        <f t="shared" si="261"/>
        <v>0</v>
      </c>
      <c r="U397" s="77">
        <f t="shared" si="262"/>
        <v>0</v>
      </c>
    </row>
    <row r="398" spans="1:21" ht="18.75" hidden="1" x14ac:dyDescent="0.25">
      <c r="A398" s="257"/>
      <c r="B398" s="269"/>
      <c r="C398" s="269"/>
      <c r="D398" s="269"/>
      <c r="E398" s="749" t="s">
        <v>37</v>
      </c>
      <c r="F398" s="269"/>
      <c r="G398" s="312"/>
      <c r="H398" s="271" t="s">
        <v>14</v>
      </c>
      <c r="I398" s="272"/>
      <c r="J398" s="272"/>
      <c r="K398" s="229"/>
      <c r="L398" s="73">
        <v>0</v>
      </c>
      <c r="M398" s="74">
        <v>0</v>
      </c>
      <c r="N398" s="74">
        <v>0</v>
      </c>
      <c r="O398" s="74">
        <f t="shared" si="258"/>
        <v>0</v>
      </c>
      <c r="P398" s="74">
        <f t="shared" si="259"/>
        <v>0</v>
      </c>
      <c r="Q398" s="74">
        <v>0</v>
      </c>
      <c r="R398" s="74">
        <v>0</v>
      </c>
      <c r="S398" s="74">
        <v>0</v>
      </c>
      <c r="T398" s="74">
        <f t="shared" si="261"/>
        <v>0</v>
      </c>
      <c r="U398" s="74">
        <f t="shared" si="262"/>
        <v>0</v>
      </c>
    </row>
    <row r="399" spans="1:21" ht="18.75" hidden="1" x14ac:dyDescent="0.25">
      <c r="A399" s="257"/>
      <c r="B399" s="269"/>
      <c r="C399" s="269"/>
      <c r="D399" s="967" t="s">
        <v>23</v>
      </c>
      <c r="E399" s="258"/>
      <c r="F399" s="258"/>
      <c r="G399" s="261"/>
      <c r="H399" s="275" t="s">
        <v>14</v>
      </c>
      <c r="I399" s="272"/>
      <c r="J399" s="272"/>
      <c r="K399" s="229"/>
      <c r="L399" s="73">
        <f t="shared" ref="L399:N399" si="267">L400+L401</f>
        <v>0</v>
      </c>
      <c r="M399" s="74">
        <f t="shared" si="267"/>
        <v>0</v>
      </c>
      <c r="N399" s="74">
        <f t="shared" si="267"/>
        <v>0</v>
      </c>
      <c r="O399" s="74">
        <f t="shared" si="258"/>
        <v>0</v>
      </c>
      <c r="P399" s="74">
        <f t="shared" si="259"/>
        <v>0</v>
      </c>
      <c r="Q399" s="74">
        <f t="shared" ref="Q399:S399" si="268">Q400+Q401</f>
        <v>0</v>
      </c>
      <c r="R399" s="74">
        <f t="shared" si="268"/>
        <v>0</v>
      </c>
      <c r="S399" s="74">
        <f t="shared" si="268"/>
        <v>0</v>
      </c>
      <c r="T399" s="74">
        <f t="shared" si="261"/>
        <v>0</v>
      </c>
      <c r="U399" s="74">
        <f t="shared" si="262"/>
        <v>0</v>
      </c>
    </row>
    <row r="400" spans="1:21" ht="18.75" hidden="1" x14ac:dyDescent="0.25">
      <c r="A400" s="257"/>
      <c r="B400" s="269"/>
      <c r="C400" s="269"/>
      <c r="D400" s="269"/>
      <c r="E400" s="265" t="s">
        <v>20</v>
      </c>
      <c r="F400" s="258"/>
      <c r="G400" s="261"/>
      <c r="H400" s="273" t="s">
        <v>14</v>
      </c>
      <c r="I400" s="272"/>
      <c r="J400" s="272"/>
      <c r="K400" s="229"/>
      <c r="L400" s="76">
        <v>0</v>
      </c>
      <c r="M400" s="77">
        <v>0</v>
      </c>
      <c r="N400" s="77">
        <v>0</v>
      </c>
      <c r="O400" s="77">
        <f t="shared" si="258"/>
        <v>0</v>
      </c>
      <c r="P400" s="77">
        <f t="shared" si="259"/>
        <v>0</v>
      </c>
      <c r="Q400" s="77">
        <v>0</v>
      </c>
      <c r="R400" s="77">
        <v>0</v>
      </c>
      <c r="S400" s="77">
        <v>0</v>
      </c>
      <c r="T400" s="77">
        <f t="shared" si="261"/>
        <v>0</v>
      </c>
      <c r="U400" s="77">
        <f t="shared" si="262"/>
        <v>0</v>
      </c>
    </row>
    <row r="401" spans="1:21" ht="18.75" hidden="1" x14ac:dyDescent="0.25">
      <c r="A401" s="257"/>
      <c r="B401" s="269"/>
      <c r="C401" s="269"/>
      <c r="D401" s="269"/>
      <c r="E401" s="267" t="s">
        <v>21</v>
      </c>
      <c r="F401" s="258"/>
      <c r="G401" s="261"/>
      <c r="H401" s="275" t="s">
        <v>14</v>
      </c>
      <c r="I401" s="272"/>
      <c r="J401" s="272"/>
      <c r="K401" s="229"/>
      <c r="L401" s="73">
        <v>0</v>
      </c>
      <c r="M401" s="74">
        <v>0</v>
      </c>
      <c r="N401" s="74">
        <v>0</v>
      </c>
      <c r="O401" s="74">
        <f t="shared" si="258"/>
        <v>0</v>
      </c>
      <c r="P401" s="74">
        <f t="shared" si="259"/>
        <v>0</v>
      </c>
      <c r="Q401" s="74">
        <v>0</v>
      </c>
      <c r="R401" s="74">
        <v>0</v>
      </c>
      <c r="S401" s="74">
        <v>0</v>
      </c>
      <c r="T401" s="74">
        <f t="shared" si="261"/>
        <v>0</v>
      </c>
      <c r="U401" s="74">
        <f t="shared" si="262"/>
        <v>0</v>
      </c>
    </row>
    <row r="402" spans="1:21" ht="19.5" hidden="1" x14ac:dyDescent="0.3">
      <c r="A402" s="276"/>
      <c r="B402" s="277"/>
      <c r="C402" s="621" t="s">
        <v>18</v>
      </c>
      <c r="D402" s="968" t="s">
        <v>38</v>
      </c>
      <c r="E402" s="280"/>
      <c r="F402" s="280"/>
      <c r="G402" s="281"/>
      <c r="H402" s="310"/>
      <c r="I402" s="272"/>
      <c r="J402" s="263"/>
      <c r="K402" s="87"/>
      <c r="L402" s="86"/>
      <c r="M402" s="87"/>
      <c r="N402" s="87"/>
      <c r="O402" s="229"/>
      <c r="P402" s="229"/>
      <c r="Q402" s="87"/>
      <c r="R402" s="87"/>
      <c r="S402" s="87"/>
      <c r="T402" s="229"/>
      <c r="U402" s="229"/>
    </row>
    <row r="403" spans="1:21" ht="12.75" hidden="1" x14ac:dyDescent="0.2">
      <c r="A403" s="612"/>
      <c r="B403" s="593"/>
      <c r="C403" s="593"/>
      <c r="D403" s="593"/>
      <c r="E403" s="613"/>
      <c r="F403" s="613"/>
      <c r="G403" s="614"/>
      <c r="H403" s="594"/>
      <c r="I403" s="595"/>
      <c r="J403" s="595"/>
      <c r="K403" s="596"/>
      <c r="L403" s="597"/>
      <c r="M403" s="596"/>
      <c r="N403" s="596"/>
      <c r="O403" s="596"/>
      <c r="P403" s="596"/>
      <c r="Q403" s="596"/>
      <c r="R403" s="596"/>
      <c r="S403" s="596"/>
      <c r="T403" s="596"/>
      <c r="U403" s="596"/>
    </row>
    <row r="404" spans="1:21" ht="12.75" hidden="1" x14ac:dyDescent="0.2">
      <c r="A404" s="593"/>
      <c r="B404" s="593"/>
      <c r="C404" s="593"/>
      <c r="D404" s="593"/>
      <c r="E404" s="593"/>
      <c r="F404" s="593"/>
      <c r="G404" s="594"/>
      <c r="H404" s="594"/>
      <c r="I404" s="595"/>
      <c r="J404" s="595"/>
      <c r="K404" s="596"/>
      <c r="L404" s="597"/>
      <c r="M404" s="596"/>
      <c r="N404" s="596"/>
      <c r="O404" s="596"/>
      <c r="P404" s="596"/>
      <c r="Q404" s="596"/>
      <c r="R404" s="596"/>
      <c r="S404" s="596"/>
      <c r="T404" s="596"/>
      <c r="U404" s="596"/>
    </row>
    <row r="405" spans="1:21" ht="12.75" hidden="1" x14ac:dyDescent="0.2">
      <c r="A405" s="593"/>
      <c r="B405" s="593"/>
      <c r="C405" s="593"/>
      <c r="D405" s="593"/>
      <c r="E405" s="593"/>
      <c r="F405" s="593"/>
      <c r="G405" s="594"/>
      <c r="H405" s="594"/>
      <c r="I405" s="595"/>
      <c r="J405" s="595"/>
      <c r="K405" s="596"/>
      <c r="L405" s="597"/>
      <c r="M405" s="596"/>
      <c r="N405" s="596"/>
      <c r="O405" s="596"/>
      <c r="P405" s="596"/>
      <c r="Q405" s="596"/>
      <c r="R405" s="596"/>
      <c r="S405" s="596"/>
      <c r="T405" s="596"/>
      <c r="U405" s="596"/>
    </row>
    <row r="406" spans="1:21" ht="12.75" hidden="1" x14ac:dyDescent="0.2">
      <c r="A406" s="593"/>
      <c r="B406" s="593"/>
      <c r="C406" s="593"/>
      <c r="D406" s="593"/>
      <c r="E406" s="593"/>
      <c r="F406" s="593"/>
      <c r="G406" s="594"/>
      <c r="H406" s="594"/>
      <c r="I406" s="595"/>
      <c r="J406" s="595"/>
      <c r="K406" s="596"/>
      <c r="L406" s="597"/>
      <c r="M406" s="596"/>
      <c r="N406" s="596"/>
      <c r="O406" s="596"/>
      <c r="P406" s="596"/>
      <c r="Q406" s="596"/>
      <c r="R406" s="596"/>
      <c r="S406" s="596"/>
      <c r="T406" s="596"/>
      <c r="U406" s="596"/>
    </row>
    <row r="407" spans="1:21" ht="12.75" hidden="1" x14ac:dyDescent="0.2">
      <c r="A407" s="593"/>
      <c r="B407" s="593"/>
      <c r="C407" s="593"/>
      <c r="D407" s="593"/>
      <c r="E407" s="593"/>
      <c r="F407" s="593"/>
      <c r="G407" s="594"/>
      <c r="H407" s="594"/>
      <c r="I407" s="595"/>
      <c r="J407" s="595"/>
      <c r="K407" s="596"/>
      <c r="L407" s="597"/>
      <c r="M407" s="596"/>
      <c r="N407" s="596"/>
      <c r="O407" s="596"/>
      <c r="P407" s="596"/>
      <c r="Q407" s="596"/>
      <c r="R407" s="596"/>
      <c r="S407" s="596"/>
      <c r="T407" s="596"/>
      <c r="U407" s="596"/>
    </row>
    <row r="408" spans="1:21" ht="12.75" hidden="1" x14ac:dyDescent="0.2">
      <c r="A408" s="593"/>
      <c r="B408" s="593"/>
      <c r="C408" s="593"/>
      <c r="D408" s="593"/>
      <c r="E408" s="593"/>
      <c r="F408" s="593"/>
      <c r="G408" s="594"/>
      <c r="H408" s="594"/>
      <c r="I408" s="595"/>
      <c r="J408" s="595"/>
      <c r="K408" s="596"/>
      <c r="L408" s="597"/>
      <c r="M408" s="596"/>
      <c r="N408" s="596"/>
      <c r="O408" s="596"/>
      <c r="P408" s="596"/>
      <c r="Q408" s="596"/>
      <c r="R408" s="596"/>
      <c r="S408" s="596"/>
      <c r="T408" s="596"/>
      <c r="U408" s="596"/>
    </row>
    <row r="409" spans="1:21" ht="12.75" hidden="1" x14ac:dyDescent="0.2">
      <c r="A409" s="593"/>
      <c r="B409" s="593"/>
      <c r="C409" s="593"/>
      <c r="D409" s="593"/>
      <c r="E409" s="593"/>
      <c r="F409" s="593"/>
      <c r="G409" s="594"/>
      <c r="H409" s="594"/>
      <c r="I409" s="595"/>
      <c r="J409" s="595"/>
      <c r="K409" s="596"/>
      <c r="L409" s="597"/>
      <c r="M409" s="596"/>
      <c r="N409" s="596"/>
      <c r="O409" s="596"/>
      <c r="P409" s="596"/>
      <c r="Q409" s="596"/>
      <c r="R409" s="596"/>
      <c r="S409" s="596"/>
      <c r="T409" s="596"/>
      <c r="U409" s="596"/>
    </row>
    <row r="410" spans="1:21" ht="12.75" hidden="1" x14ac:dyDescent="0.2">
      <c r="A410" s="593"/>
      <c r="B410" s="593"/>
      <c r="C410" s="593"/>
      <c r="D410" s="593"/>
      <c r="E410" s="593"/>
      <c r="F410" s="593"/>
      <c r="G410" s="594"/>
      <c r="H410" s="594"/>
      <c r="I410" s="595"/>
      <c r="J410" s="595"/>
      <c r="K410" s="596"/>
      <c r="L410" s="597"/>
      <c r="M410" s="596"/>
      <c r="N410" s="596"/>
      <c r="O410" s="596"/>
      <c r="P410" s="596"/>
      <c r="Q410" s="596"/>
      <c r="R410" s="596"/>
      <c r="S410" s="596"/>
      <c r="T410" s="596"/>
      <c r="U410" s="596"/>
    </row>
    <row r="411" spans="1:21" ht="12.75" hidden="1" x14ac:dyDescent="0.2">
      <c r="A411" s="593"/>
      <c r="B411" s="593"/>
      <c r="C411" s="593"/>
      <c r="D411" s="593"/>
      <c r="E411" s="593"/>
      <c r="F411" s="593"/>
      <c r="G411" s="594"/>
      <c r="H411" s="594"/>
      <c r="I411" s="595"/>
      <c r="J411" s="595"/>
      <c r="K411" s="596"/>
      <c r="L411" s="597"/>
      <c r="M411" s="596"/>
      <c r="N411" s="596"/>
      <c r="O411" s="596"/>
      <c r="P411" s="596"/>
      <c r="Q411" s="596"/>
      <c r="R411" s="596"/>
      <c r="S411" s="596"/>
      <c r="T411" s="596"/>
      <c r="U411" s="596"/>
    </row>
    <row r="412" spans="1:21" ht="12.75" hidden="1" x14ac:dyDescent="0.2">
      <c r="A412" s="598"/>
      <c r="B412" s="598"/>
      <c r="C412" s="598"/>
      <c r="D412" s="598"/>
      <c r="E412" s="598"/>
      <c r="F412" s="598"/>
      <c r="G412" s="599"/>
      <c r="H412" s="599"/>
      <c r="I412" s="600"/>
      <c r="J412" s="600"/>
      <c r="K412" s="601"/>
      <c r="L412" s="602"/>
      <c r="M412" s="601"/>
      <c r="N412" s="601"/>
      <c r="O412" s="601"/>
      <c r="P412" s="601"/>
      <c r="Q412" s="601"/>
      <c r="R412" s="601"/>
      <c r="S412" s="601"/>
      <c r="T412" s="601"/>
      <c r="U412" s="601"/>
    </row>
    <row r="413" spans="1:21" ht="19.5" hidden="1" x14ac:dyDescent="0.3">
      <c r="A413" s="606"/>
      <c r="B413" s="604" t="s">
        <v>157</v>
      </c>
      <c r="C413" s="606"/>
      <c r="D413" s="606"/>
      <c r="E413" s="606"/>
      <c r="F413" s="606"/>
      <c r="G413" s="615"/>
      <c r="H413" s="616" t="s">
        <v>46</v>
      </c>
      <c r="I413" s="617">
        <f t="shared" ref="I413:J413" ca="1" si="269">I424</f>
        <v>0</v>
      </c>
      <c r="J413" s="617">
        <f t="shared" si="269"/>
        <v>0</v>
      </c>
      <c r="K413" s="611">
        <f ca="1">IF(I413&gt;0,J413*100/I413,0)</f>
        <v>0</v>
      </c>
      <c r="L413" s="529"/>
      <c r="M413" s="530"/>
      <c r="N413" s="530"/>
      <c r="O413" s="530"/>
      <c r="P413" s="530"/>
      <c r="Q413" s="530"/>
      <c r="R413" s="530"/>
      <c r="S413" s="530"/>
      <c r="T413" s="530"/>
      <c r="U413" s="530"/>
    </row>
    <row r="414" spans="1:21" ht="19.5" hidden="1" x14ac:dyDescent="0.3">
      <c r="A414" s="257"/>
      <c r="B414" s="269"/>
      <c r="C414" s="618" t="s">
        <v>18</v>
      </c>
      <c r="D414" s="1371" t="s">
        <v>19</v>
      </c>
      <c r="E414" s="1349"/>
      <c r="F414" s="1349"/>
      <c r="G414" s="1350"/>
      <c r="H414" s="619" t="s">
        <v>14</v>
      </c>
      <c r="I414" s="263"/>
      <c r="J414" s="263"/>
      <c r="K414" s="87"/>
      <c r="L414" s="1257">
        <f t="shared" ref="L414:N414" si="270">L415+L416</f>
        <v>0</v>
      </c>
      <c r="M414" s="264">
        <f t="shared" si="270"/>
        <v>0</v>
      </c>
      <c r="N414" s="264">
        <f t="shared" si="270"/>
        <v>0</v>
      </c>
      <c r="O414" s="264">
        <f t="shared" ref="O414:O422" si="271">IF(L414&gt;0,N414*100/L414,0)</f>
        <v>0</v>
      </c>
      <c r="P414" s="264">
        <f t="shared" ref="P414:P422" si="272">IF(M414&gt;0,N414*100/M414,0)</f>
        <v>0</v>
      </c>
      <c r="Q414" s="264">
        <f t="shared" ref="Q414:S414" ca="1" si="273">Q415+Q416</f>
        <v>0</v>
      </c>
      <c r="R414" s="264">
        <f t="shared" ca="1" si="273"/>
        <v>0</v>
      </c>
      <c r="S414" s="264">
        <f t="shared" ca="1" si="273"/>
        <v>0</v>
      </c>
      <c r="T414" s="264">
        <f t="shared" ref="T414:T422" ca="1" si="274">IF(Q414&gt;0,S414*100/Q414,0)</f>
        <v>0</v>
      </c>
      <c r="U414" s="264">
        <f t="shared" ref="U414:U422" ca="1" si="275">IF(R414&gt;0,S414*100/R414,0)</f>
        <v>0</v>
      </c>
    </row>
    <row r="415" spans="1:21" ht="18.75" hidden="1" x14ac:dyDescent="0.25">
      <c r="A415" s="257"/>
      <c r="B415" s="269"/>
      <c r="C415" s="269"/>
      <c r="D415" s="269"/>
      <c r="E415" s="775" t="s">
        <v>158</v>
      </c>
      <c r="F415" s="269"/>
      <c r="G415" s="312"/>
      <c r="H415" s="308" t="s">
        <v>14</v>
      </c>
      <c r="I415" s="263"/>
      <c r="J415" s="263"/>
      <c r="K415" s="87"/>
      <c r="L415" s="76">
        <f t="shared" ref="L415:N416" si="276">L418+L421</f>
        <v>0</v>
      </c>
      <c r="M415" s="77">
        <f t="shared" si="276"/>
        <v>0</v>
      </c>
      <c r="N415" s="77">
        <f t="shared" si="276"/>
        <v>0</v>
      </c>
      <c r="O415" s="77">
        <f t="shared" si="271"/>
        <v>0</v>
      </c>
      <c r="P415" s="77">
        <f t="shared" si="272"/>
        <v>0</v>
      </c>
      <c r="Q415" s="77">
        <f t="shared" ref="Q415:S416" si="277">Q418+Q421</f>
        <v>0</v>
      </c>
      <c r="R415" s="77">
        <f t="shared" si="277"/>
        <v>0</v>
      </c>
      <c r="S415" s="77">
        <f t="shared" si="277"/>
        <v>0</v>
      </c>
      <c r="T415" s="77">
        <f t="shared" si="274"/>
        <v>0</v>
      </c>
      <c r="U415" s="77">
        <f t="shared" si="275"/>
        <v>0</v>
      </c>
    </row>
    <row r="416" spans="1:21" ht="18.75" hidden="1" x14ac:dyDescent="0.25">
      <c r="A416" s="257"/>
      <c r="B416" s="269"/>
      <c r="C416" s="269"/>
      <c r="D416" s="269"/>
      <c r="E416" s="749" t="s">
        <v>159</v>
      </c>
      <c r="F416" s="269"/>
      <c r="G416" s="312"/>
      <c r="H416" s="307" t="s">
        <v>14</v>
      </c>
      <c r="I416" s="263"/>
      <c r="J416" s="263"/>
      <c r="K416" s="87"/>
      <c r="L416" s="73">
        <f t="shared" si="276"/>
        <v>0</v>
      </c>
      <c r="M416" s="74">
        <f t="shared" si="276"/>
        <v>0</v>
      </c>
      <c r="N416" s="74">
        <f t="shared" si="276"/>
        <v>0</v>
      </c>
      <c r="O416" s="74">
        <f t="shared" si="271"/>
        <v>0</v>
      </c>
      <c r="P416" s="74">
        <f t="shared" si="272"/>
        <v>0</v>
      </c>
      <c r="Q416" s="74">
        <f t="shared" ca="1" si="277"/>
        <v>0</v>
      </c>
      <c r="R416" s="74">
        <f t="shared" ca="1" si="277"/>
        <v>0</v>
      </c>
      <c r="S416" s="74">
        <f t="shared" ca="1" si="277"/>
        <v>0</v>
      </c>
      <c r="T416" s="74">
        <f t="shared" ca="1" si="274"/>
        <v>0</v>
      </c>
      <c r="U416" s="74">
        <f t="shared" ca="1" si="275"/>
        <v>0</v>
      </c>
    </row>
    <row r="417" spans="1:21" ht="19.5" hidden="1" x14ac:dyDescent="0.3">
      <c r="A417" s="257"/>
      <c r="B417" s="269"/>
      <c r="C417" s="269"/>
      <c r="D417" s="966" t="s">
        <v>22</v>
      </c>
      <c r="E417" s="269"/>
      <c r="F417" s="269"/>
      <c r="G417" s="312"/>
      <c r="H417" s="619" t="s">
        <v>14</v>
      </c>
      <c r="I417" s="263"/>
      <c r="J417" s="263"/>
      <c r="K417" s="87"/>
      <c r="L417" s="73">
        <f t="shared" ref="L417:N417" si="278">L418+L419</f>
        <v>0</v>
      </c>
      <c r="M417" s="74">
        <f t="shared" si="278"/>
        <v>0</v>
      </c>
      <c r="N417" s="74">
        <f t="shared" si="278"/>
        <v>0</v>
      </c>
      <c r="O417" s="74">
        <f t="shared" si="271"/>
        <v>0</v>
      </c>
      <c r="P417" s="74">
        <f t="shared" si="272"/>
        <v>0</v>
      </c>
      <c r="Q417" s="74">
        <f t="shared" ref="Q417:S417" ca="1" si="279">Q418+Q419</f>
        <v>0</v>
      </c>
      <c r="R417" s="74">
        <f t="shared" ca="1" si="279"/>
        <v>0</v>
      </c>
      <c r="S417" s="74">
        <f t="shared" ca="1" si="279"/>
        <v>0</v>
      </c>
      <c r="T417" s="74">
        <f t="shared" ca="1" si="274"/>
        <v>0</v>
      </c>
      <c r="U417" s="74">
        <f t="shared" ca="1" si="275"/>
        <v>0</v>
      </c>
    </row>
    <row r="418" spans="1:21" ht="18.75" hidden="1" x14ac:dyDescent="0.25">
      <c r="A418" s="257"/>
      <c r="B418" s="269"/>
      <c r="C418" s="269"/>
      <c r="D418" s="269"/>
      <c r="E418" s="775" t="s">
        <v>158</v>
      </c>
      <c r="F418" s="269"/>
      <c r="G418" s="312"/>
      <c r="H418" s="308" t="s">
        <v>14</v>
      </c>
      <c r="I418" s="263"/>
      <c r="J418" s="263"/>
      <c r="K418" s="87"/>
      <c r="L418" s="76">
        <v>0</v>
      </c>
      <c r="M418" s="77">
        <v>0</v>
      </c>
      <c r="N418" s="77">
        <v>0</v>
      </c>
      <c r="O418" s="77">
        <f t="shared" si="271"/>
        <v>0</v>
      </c>
      <c r="P418" s="77">
        <f t="shared" si="272"/>
        <v>0</v>
      </c>
      <c r="Q418" s="77">
        <v>0</v>
      </c>
      <c r="R418" s="77">
        <v>0</v>
      </c>
      <c r="S418" s="77">
        <v>0</v>
      </c>
      <c r="T418" s="77">
        <f t="shared" si="274"/>
        <v>0</v>
      </c>
      <c r="U418" s="77">
        <f t="shared" si="275"/>
        <v>0</v>
      </c>
    </row>
    <row r="419" spans="1:21" ht="18.75" hidden="1" x14ac:dyDescent="0.25">
      <c r="A419" s="257"/>
      <c r="B419" s="269"/>
      <c r="C419" s="269"/>
      <c r="D419" s="269"/>
      <c r="E419" s="749" t="s">
        <v>159</v>
      </c>
      <c r="F419" s="269"/>
      <c r="G419" s="312"/>
      <c r="H419" s="307" t="s">
        <v>14</v>
      </c>
      <c r="I419" s="263"/>
      <c r="J419" s="263"/>
      <c r="K419" s="87"/>
      <c r="L419" s="73">
        <v>0</v>
      </c>
      <c r="M419" s="74">
        <v>0</v>
      </c>
      <c r="N419" s="74">
        <v>0</v>
      </c>
      <c r="O419" s="74">
        <f t="shared" si="271"/>
        <v>0</v>
      </c>
      <c r="P419" s="74">
        <f t="shared" si="272"/>
        <v>0</v>
      </c>
      <c r="Q419" s="74">
        <f ca="1">IFERROR(__xludf.DUMMYFUNCTION("IMPORTRANGE(""https://docs.google.com/spreadsheets/d/1ItG2mGa2ceCfYo0BwxsXqNm01IGEUdYcSSLTEv9YCik/edit?usp=sharing"",""เบิกจ่ายกองทุน!BH60"")"),0)</f>
        <v>0</v>
      </c>
      <c r="R419" s="74">
        <f ca="1">IFERROR(__xludf.DUMMYFUNCTION("IMPORTRANGE(""https://docs.google.com/spreadsheets/d/1ItG2mGa2ceCfYo0BwxsXqNm01IGEUdYcSSLTEv9YCik/edit?usp=sharing"",""เบิกจ่ายกองทุน!BI60"")"),0)</f>
        <v>0</v>
      </c>
      <c r="S419" s="74">
        <f ca="1">IFERROR(__xludf.DUMMYFUNCTION("IMPORTRANGE(""https://docs.google.com/spreadsheets/d/1ItG2mGa2ceCfYo0BwxsXqNm01IGEUdYcSSLTEv9YCik/edit?usp=sharing"",""เบิกจ่ายกองทุน!BJ60"")"),0)</f>
        <v>0</v>
      </c>
      <c r="T419" s="74">
        <f t="shared" ca="1" si="274"/>
        <v>0</v>
      </c>
      <c r="U419" s="74">
        <f t="shared" ca="1" si="275"/>
        <v>0</v>
      </c>
    </row>
    <row r="420" spans="1:21" ht="19.5" hidden="1" x14ac:dyDescent="0.3">
      <c r="A420" s="257"/>
      <c r="B420" s="269"/>
      <c r="C420" s="269"/>
      <c r="D420" s="966" t="s">
        <v>23</v>
      </c>
      <c r="E420" s="269"/>
      <c r="F420" s="269"/>
      <c r="G420" s="312"/>
      <c r="H420" s="262" t="s">
        <v>14</v>
      </c>
      <c r="I420" s="263"/>
      <c r="J420" s="263"/>
      <c r="K420" s="87"/>
      <c r="L420" s="73">
        <f t="shared" ref="L420:N420" si="280">L421+L422</f>
        <v>0</v>
      </c>
      <c r="M420" s="74">
        <f t="shared" si="280"/>
        <v>0</v>
      </c>
      <c r="N420" s="74">
        <f t="shared" si="280"/>
        <v>0</v>
      </c>
      <c r="O420" s="74">
        <f t="shared" si="271"/>
        <v>0</v>
      </c>
      <c r="P420" s="74">
        <f t="shared" si="272"/>
        <v>0</v>
      </c>
      <c r="Q420" s="74">
        <f t="shared" ref="Q420:S420" si="281">Q421+Q422</f>
        <v>0</v>
      </c>
      <c r="R420" s="74">
        <f t="shared" si="281"/>
        <v>0</v>
      </c>
      <c r="S420" s="74">
        <f t="shared" si="281"/>
        <v>0</v>
      </c>
      <c r="T420" s="74">
        <f t="shared" si="274"/>
        <v>0</v>
      </c>
      <c r="U420" s="74">
        <f t="shared" si="275"/>
        <v>0</v>
      </c>
    </row>
    <row r="421" spans="1:21" ht="18.75" hidden="1" x14ac:dyDescent="0.25">
      <c r="A421" s="257"/>
      <c r="B421" s="269"/>
      <c r="C421" s="269"/>
      <c r="D421" s="269"/>
      <c r="E421" s="775" t="s">
        <v>20</v>
      </c>
      <c r="F421" s="269"/>
      <c r="G421" s="312"/>
      <c r="H421" s="308" t="s">
        <v>14</v>
      </c>
      <c r="I421" s="263"/>
      <c r="J421" s="263"/>
      <c r="K421" s="87"/>
      <c r="L421" s="76">
        <v>0</v>
      </c>
      <c r="M421" s="77">
        <v>0</v>
      </c>
      <c r="N421" s="77">
        <v>0</v>
      </c>
      <c r="O421" s="77">
        <f t="shared" si="271"/>
        <v>0</v>
      </c>
      <c r="P421" s="77">
        <f t="shared" si="272"/>
        <v>0</v>
      </c>
      <c r="Q421" s="77">
        <v>0</v>
      </c>
      <c r="R421" s="77">
        <v>0</v>
      </c>
      <c r="S421" s="77">
        <v>0</v>
      </c>
      <c r="T421" s="77">
        <f t="shared" si="274"/>
        <v>0</v>
      </c>
      <c r="U421" s="77">
        <f t="shared" si="275"/>
        <v>0</v>
      </c>
    </row>
    <row r="422" spans="1:21" ht="18.75" hidden="1" x14ac:dyDescent="0.25">
      <c r="A422" s="257"/>
      <c r="B422" s="269"/>
      <c r="C422" s="269"/>
      <c r="D422" s="269"/>
      <c r="E422" s="749" t="s">
        <v>21</v>
      </c>
      <c r="F422" s="269"/>
      <c r="G422" s="312"/>
      <c r="H422" s="268" t="s">
        <v>14</v>
      </c>
      <c r="I422" s="263"/>
      <c r="J422" s="263"/>
      <c r="K422" s="87"/>
      <c r="L422" s="73">
        <v>0</v>
      </c>
      <c r="M422" s="74">
        <v>0</v>
      </c>
      <c r="N422" s="74">
        <v>0</v>
      </c>
      <c r="O422" s="74">
        <f t="shared" si="271"/>
        <v>0</v>
      </c>
      <c r="P422" s="74">
        <f t="shared" si="272"/>
        <v>0</v>
      </c>
      <c r="Q422" s="74">
        <v>0</v>
      </c>
      <c r="R422" s="74">
        <v>0</v>
      </c>
      <c r="S422" s="74">
        <v>0</v>
      </c>
      <c r="T422" s="74">
        <f t="shared" si="274"/>
        <v>0</v>
      </c>
      <c r="U422" s="74">
        <f t="shared" si="275"/>
        <v>0</v>
      </c>
    </row>
    <row r="423" spans="1:21" ht="19.5" hidden="1" x14ac:dyDescent="0.3">
      <c r="A423" s="550"/>
      <c r="B423" s="269"/>
      <c r="C423" s="618" t="s">
        <v>18</v>
      </c>
      <c r="D423" s="969" t="s">
        <v>38</v>
      </c>
      <c r="E423" s="269"/>
      <c r="F423" s="269"/>
      <c r="G423" s="312"/>
      <c r="H423" s="312"/>
      <c r="I423" s="263"/>
      <c r="J423" s="263"/>
      <c r="K423" s="87"/>
      <c r="L423" s="86"/>
      <c r="M423" s="87"/>
      <c r="N423" s="87"/>
      <c r="O423" s="87"/>
      <c r="P423" s="87"/>
      <c r="Q423" s="87"/>
      <c r="R423" s="87"/>
      <c r="S423" s="87"/>
      <c r="T423" s="87"/>
      <c r="U423" s="87"/>
    </row>
    <row r="424" spans="1:21" ht="19.5" hidden="1" x14ac:dyDescent="0.3">
      <c r="A424" s="550"/>
      <c r="B424" s="621" t="s">
        <v>160</v>
      </c>
      <c r="C424" s="269"/>
      <c r="D424" s="269"/>
      <c r="E424" s="269"/>
      <c r="F424" s="269"/>
      <c r="G424" s="312"/>
      <c r="H424" s="619" t="s">
        <v>46</v>
      </c>
      <c r="I424" s="622">
        <f t="shared" ref="I424:J424" ca="1" si="282">I441</f>
        <v>0</v>
      </c>
      <c r="J424" s="622">
        <f t="shared" si="282"/>
        <v>0</v>
      </c>
      <c r="K424" s="264">
        <f t="shared" ref="K424:K426" ca="1" si="283">IF(I424&gt;0,J424*100/I424,0)</f>
        <v>0</v>
      </c>
      <c r="L424" s="86"/>
      <c r="M424" s="87"/>
      <c r="N424" s="87"/>
      <c r="O424" s="87"/>
      <c r="P424" s="87"/>
      <c r="Q424" s="87"/>
      <c r="R424" s="87"/>
      <c r="S424" s="87"/>
      <c r="T424" s="87"/>
      <c r="U424" s="87"/>
    </row>
    <row r="425" spans="1:21" ht="19.5" hidden="1" x14ac:dyDescent="0.3">
      <c r="A425" s="550"/>
      <c r="B425" s="269"/>
      <c r="C425" s="621" t="s">
        <v>161</v>
      </c>
      <c r="D425" s="269"/>
      <c r="E425" s="269"/>
      <c r="F425" s="269"/>
      <c r="G425" s="312"/>
      <c r="H425" s="262" t="s">
        <v>46</v>
      </c>
      <c r="I425" s="622">
        <f ca="1">IFERROR(__xludf.DUMMYFUNCTION("IMPORTRANGE(""https://docs.google.com/spreadsheets/d/1eHaY18a8A9IcSdp1K8H6x8fbOy06t2VsZHhMHf-1x7Y/edit?usp=sharing"",""แผน!HJ60"")"),0)</f>
        <v>0</v>
      </c>
      <c r="J425" s="622">
        <f t="shared" ref="J425:J426" si="284">J427+J429+J431</f>
        <v>0</v>
      </c>
      <c r="K425" s="264">
        <f t="shared" ca="1" si="283"/>
        <v>0</v>
      </c>
      <c r="L425" s="86"/>
      <c r="M425" s="87"/>
      <c r="N425" s="87"/>
      <c r="O425" s="87"/>
      <c r="P425" s="87"/>
      <c r="Q425" s="87"/>
      <c r="R425" s="87"/>
      <c r="S425" s="87"/>
      <c r="T425" s="87"/>
      <c r="U425" s="87"/>
    </row>
    <row r="426" spans="1:21" ht="19.5" hidden="1" x14ac:dyDescent="0.3">
      <c r="A426" s="550"/>
      <c r="B426" s="269"/>
      <c r="C426" s="269"/>
      <c r="D426" s="269"/>
      <c r="E426" s="269"/>
      <c r="F426" s="269"/>
      <c r="G426" s="312"/>
      <c r="H426" s="262" t="s">
        <v>34</v>
      </c>
      <c r="I426" s="622">
        <f ca="1">IFERROR(__xludf.DUMMYFUNCTION("IMPORTRANGE(""https://docs.google.com/spreadsheets/d/1eHaY18a8A9IcSdp1K8H6x8fbOy06t2VsZHhMHf-1x7Y/edit?usp=sharing"",""แผน!HK60"")"),0)</f>
        <v>0</v>
      </c>
      <c r="J426" s="622">
        <f t="shared" si="284"/>
        <v>0</v>
      </c>
      <c r="K426" s="264">
        <f t="shared" ca="1" si="283"/>
        <v>0</v>
      </c>
      <c r="L426" s="86"/>
      <c r="M426" s="87"/>
      <c r="N426" s="87"/>
      <c r="O426" s="87"/>
      <c r="P426" s="87"/>
      <c r="Q426" s="87"/>
      <c r="R426" s="87"/>
      <c r="S426" s="87"/>
      <c r="T426" s="87"/>
      <c r="U426" s="87"/>
    </row>
    <row r="427" spans="1:21" ht="18.75" hidden="1" x14ac:dyDescent="0.25">
      <c r="A427" s="550"/>
      <c r="B427" s="269"/>
      <c r="C427" s="269"/>
      <c r="D427" s="749" t="s">
        <v>162</v>
      </c>
      <c r="E427" s="269"/>
      <c r="F427" s="269"/>
      <c r="G427" s="312"/>
      <c r="H427" s="268" t="s">
        <v>46</v>
      </c>
      <c r="I427" s="263"/>
      <c r="J427" s="263"/>
      <c r="K427" s="87"/>
      <c r="L427" s="86"/>
      <c r="M427" s="87"/>
      <c r="N427" s="87"/>
      <c r="O427" s="87"/>
      <c r="P427" s="87"/>
      <c r="Q427" s="87"/>
      <c r="R427" s="87"/>
      <c r="S427" s="87"/>
      <c r="T427" s="87"/>
      <c r="U427" s="87"/>
    </row>
    <row r="428" spans="1:21" ht="18.75" hidden="1" x14ac:dyDescent="0.25">
      <c r="A428" s="550"/>
      <c r="B428" s="269"/>
      <c r="C428" s="269"/>
      <c r="D428" s="269"/>
      <c r="E428" s="269"/>
      <c r="F428" s="269"/>
      <c r="G428" s="312"/>
      <c r="H428" s="268" t="s">
        <v>34</v>
      </c>
      <c r="I428" s="263"/>
      <c r="J428" s="263"/>
      <c r="K428" s="87"/>
      <c r="L428" s="86"/>
      <c r="M428" s="87"/>
      <c r="N428" s="87"/>
      <c r="O428" s="87"/>
      <c r="P428" s="87"/>
      <c r="Q428" s="87"/>
      <c r="R428" s="87"/>
      <c r="S428" s="87"/>
      <c r="T428" s="87"/>
      <c r="U428" s="87"/>
    </row>
    <row r="429" spans="1:21" ht="18.75" hidden="1" x14ac:dyDescent="0.25">
      <c r="A429" s="550"/>
      <c r="B429" s="269"/>
      <c r="C429" s="269"/>
      <c r="D429" s="749" t="s">
        <v>163</v>
      </c>
      <c r="E429" s="269"/>
      <c r="F429" s="269"/>
      <c r="G429" s="312"/>
      <c r="H429" s="268" t="s">
        <v>46</v>
      </c>
      <c r="I429" s="263"/>
      <c r="J429" s="263"/>
      <c r="K429" s="87"/>
      <c r="L429" s="86"/>
      <c r="M429" s="87"/>
      <c r="N429" s="87"/>
      <c r="O429" s="87"/>
      <c r="P429" s="87"/>
      <c r="Q429" s="87"/>
      <c r="R429" s="87"/>
      <c r="S429" s="87"/>
      <c r="T429" s="87"/>
      <c r="U429" s="87"/>
    </row>
    <row r="430" spans="1:21" ht="18.75" hidden="1" x14ac:dyDescent="0.25">
      <c r="A430" s="550"/>
      <c r="B430" s="269"/>
      <c r="C430" s="269"/>
      <c r="D430" s="269"/>
      <c r="E430" s="269"/>
      <c r="F430" s="269"/>
      <c r="G430" s="312"/>
      <c r="H430" s="268" t="s">
        <v>34</v>
      </c>
      <c r="I430" s="263"/>
      <c r="J430" s="263"/>
      <c r="K430" s="87"/>
      <c r="L430" s="86"/>
      <c r="M430" s="87"/>
      <c r="N430" s="87"/>
      <c r="O430" s="87"/>
      <c r="P430" s="87"/>
      <c r="Q430" s="87"/>
      <c r="R430" s="87"/>
      <c r="S430" s="87"/>
      <c r="T430" s="87"/>
      <c r="U430" s="87"/>
    </row>
    <row r="431" spans="1:21" ht="18.75" hidden="1" x14ac:dyDescent="0.25">
      <c r="A431" s="550"/>
      <c r="B431" s="269"/>
      <c r="C431" s="269"/>
      <c r="D431" s="749" t="s">
        <v>164</v>
      </c>
      <c r="E431" s="269"/>
      <c r="F431" s="269"/>
      <c r="G431" s="312"/>
      <c r="H431" s="268" t="s">
        <v>46</v>
      </c>
      <c r="I431" s="263"/>
      <c r="J431" s="263"/>
      <c r="K431" s="87"/>
      <c r="L431" s="86"/>
      <c r="M431" s="87"/>
      <c r="N431" s="87"/>
      <c r="O431" s="87"/>
      <c r="P431" s="87"/>
      <c r="Q431" s="87"/>
      <c r="R431" s="87"/>
      <c r="S431" s="87"/>
      <c r="T431" s="87"/>
      <c r="U431" s="87"/>
    </row>
    <row r="432" spans="1:21" ht="18.75" hidden="1" x14ac:dyDescent="0.25">
      <c r="A432" s="550"/>
      <c r="B432" s="269"/>
      <c r="C432" s="269"/>
      <c r="D432" s="269"/>
      <c r="E432" s="269"/>
      <c r="F432" s="269"/>
      <c r="G432" s="312"/>
      <c r="H432" s="268" t="s">
        <v>34</v>
      </c>
      <c r="I432" s="263"/>
      <c r="J432" s="263"/>
      <c r="K432" s="87"/>
      <c r="L432" s="86"/>
      <c r="M432" s="87"/>
      <c r="N432" s="87"/>
      <c r="O432" s="87"/>
      <c r="P432" s="87"/>
      <c r="Q432" s="87"/>
      <c r="R432" s="87"/>
      <c r="S432" s="87"/>
      <c r="T432" s="87"/>
      <c r="U432" s="87"/>
    </row>
    <row r="433" spans="1:21" ht="19.5" hidden="1" x14ac:dyDescent="0.3">
      <c r="A433" s="550"/>
      <c r="B433" s="269"/>
      <c r="C433" s="621" t="s">
        <v>165</v>
      </c>
      <c r="D433" s="269"/>
      <c r="E433" s="269"/>
      <c r="F433" s="269"/>
      <c r="G433" s="312"/>
      <c r="H433" s="262" t="s">
        <v>46</v>
      </c>
      <c r="I433" s="622">
        <f ca="1">IFERROR(__xludf.DUMMYFUNCTION("IMPORTRANGE(""https://docs.google.com/spreadsheets/d/1eHaY18a8A9IcSdp1K8H6x8fbOy06t2VsZHhMHf-1x7Y/edit?usp=sharing"",""แผน!HJ60"")"),0)</f>
        <v>0</v>
      </c>
      <c r="J433" s="622">
        <f t="shared" ref="J433:J434" si="285">J435+J437+J439</f>
        <v>0</v>
      </c>
      <c r="K433" s="264">
        <f t="shared" ref="K433:K434" ca="1" si="286">IF(I433&gt;0,J433*100/I433,0)</f>
        <v>0</v>
      </c>
      <c r="L433" s="86"/>
      <c r="M433" s="87"/>
      <c r="N433" s="87"/>
      <c r="O433" s="87"/>
      <c r="P433" s="87"/>
      <c r="Q433" s="87"/>
      <c r="R433" s="87"/>
      <c r="S433" s="87"/>
      <c r="T433" s="87"/>
      <c r="U433" s="87"/>
    </row>
    <row r="434" spans="1:21" ht="19.5" hidden="1" x14ac:dyDescent="0.3">
      <c r="A434" s="550"/>
      <c r="B434" s="269"/>
      <c r="C434" s="269"/>
      <c r="D434" s="269"/>
      <c r="E434" s="269"/>
      <c r="F434" s="269"/>
      <c r="G434" s="312"/>
      <c r="H434" s="262" t="s">
        <v>34</v>
      </c>
      <c r="I434" s="622">
        <f ca="1">IFERROR(__xludf.DUMMYFUNCTION("IMPORTRANGE(""https://docs.google.com/spreadsheets/d/1eHaY18a8A9IcSdp1K8H6x8fbOy06t2VsZHhMHf-1x7Y/edit?usp=sharing"",""แผน!HK60"")"),0)</f>
        <v>0</v>
      </c>
      <c r="J434" s="622">
        <f t="shared" si="285"/>
        <v>0</v>
      </c>
      <c r="K434" s="264">
        <f t="shared" ca="1" si="286"/>
        <v>0</v>
      </c>
      <c r="L434" s="86"/>
      <c r="M434" s="87"/>
      <c r="N434" s="87"/>
      <c r="O434" s="87"/>
      <c r="P434" s="87"/>
      <c r="Q434" s="87"/>
      <c r="R434" s="87"/>
      <c r="S434" s="87"/>
      <c r="T434" s="87"/>
      <c r="U434" s="87"/>
    </row>
    <row r="435" spans="1:21" ht="18.75" hidden="1" x14ac:dyDescent="0.25">
      <c r="A435" s="550"/>
      <c r="B435" s="269"/>
      <c r="C435" s="269"/>
      <c r="D435" s="749" t="s">
        <v>166</v>
      </c>
      <c r="E435" s="269"/>
      <c r="F435" s="269"/>
      <c r="G435" s="312"/>
      <c r="H435" s="268" t="s">
        <v>46</v>
      </c>
      <c r="I435" s="263"/>
      <c r="J435" s="263"/>
      <c r="K435" s="87"/>
      <c r="L435" s="86"/>
      <c r="M435" s="87"/>
      <c r="N435" s="87"/>
      <c r="O435" s="87"/>
      <c r="P435" s="87"/>
      <c r="Q435" s="87"/>
      <c r="R435" s="87"/>
      <c r="S435" s="87"/>
      <c r="T435" s="87"/>
      <c r="U435" s="87"/>
    </row>
    <row r="436" spans="1:21" ht="18.75" hidden="1" x14ac:dyDescent="0.25">
      <c r="A436" s="550"/>
      <c r="B436" s="269"/>
      <c r="C436" s="269"/>
      <c r="D436" s="269"/>
      <c r="E436" s="269"/>
      <c r="F436" s="269"/>
      <c r="G436" s="312"/>
      <c r="H436" s="268" t="s">
        <v>34</v>
      </c>
      <c r="I436" s="263"/>
      <c r="J436" s="263"/>
      <c r="K436" s="87"/>
      <c r="L436" s="86"/>
      <c r="M436" s="87"/>
      <c r="N436" s="87"/>
      <c r="O436" s="87"/>
      <c r="P436" s="87"/>
      <c r="Q436" s="87"/>
      <c r="R436" s="87"/>
      <c r="S436" s="87"/>
      <c r="T436" s="87"/>
      <c r="U436" s="87"/>
    </row>
    <row r="437" spans="1:21" ht="18.75" hidden="1" x14ac:dyDescent="0.25">
      <c r="A437" s="550"/>
      <c r="B437" s="269"/>
      <c r="C437" s="269"/>
      <c r="D437" s="749" t="s">
        <v>167</v>
      </c>
      <c r="E437" s="269"/>
      <c r="F437" s="269"/>
      <c r="G437" s="312"/>
      <c r="H437" s="268" t="s">
        <v>46</v>
      </c>
      <c r="I437" s="263"/>
      <c r="J437" s="263"/>
      <c r="K437" s="87"/>
      <c r="L437" s="86"/>
      <c r="M437" s="87"/>
      <c r="N437" s="87"/>
      <c r="O437" s="87"/>
      <c r="P437" s="87"/>
      <c r="Q437" s="87"/>
      <c r="R437" s="87"/>
      <c r="S437" s="87"/>
      <c r="T437" s="87"/>
      <c r="U437" s="87"/>
    </row>
    <row r="438" spans="1:21" ht="18.75" hidden="1" x14ac:dyDescent="0.25">
      <c r="A438" s="550"/>
      <c r="B438" s="269"/>
      <c r="C438" s="269"/>
      <c r="D438" s="269"/>
      <c r="E438" s="269"/>
      <c r="F438" s="269"/>
      <c r="G438" s="312"/>
      <c r="H438" s="268" t="s">
        <v>34</v>
      </c>
      <c r="I438" s="263"/>
      <c r="J438" s="263"/>
      <c r="K438" s="87"/>
      <c r="L438" s="86"/>
      <c r="M438" s="87"/>
      <c r="N438" s="87"/>
      <c r="O438" s="87"/>
      <c r="P438" s="87"/>
      <c r="Q438" s="87"/>
      <c r="R438" s="87"/>
      <c r="S438" s="87"/>
      <c r="T438" s="87"/>
      <c r="U438" s="87"/>
    </row>
    <row r="439" spans="1:21" ht="18.75" hidden="1" x14ac:dyDescent="0.25">
      <c r="A439" s="550"/>
      <c r="B439" s="269"/>
      <c r="C439" s="269"/>
      <c r="D439" s="749" t="s">
        <v>168</v>
      </c>
      <c r="E439" s="269"/>
      <c r="F439" s="269"/>
      <c r="G439" s="312"/>
      <c r="H439" s="268" t="s">
        <v>46</v>
      </c>
      <c r="I439" s="263"/>
      <c r="J439" s="263"/>
      <c r="K439" s="87"/>
      <c r="L439" s="86"/>
      <c r="M439" s="87"/>
      <c r="N439" s="87"/>
      <c r="O439" s="87"/>
      <c r="P439" s="87"/>
      <c r="Q439" s="87"/>
      <c r="R439" s="87"/>
      <c r="S439" s="87"/>
      <c r="T439" s="87"/>
      <c r="U439" s="87"/>
    </row>
    <row r="440" spans="1:21" ht="18.75" hidden="1" x14ac:dyDescent="0.25">
      <c r="A440" s="550"/>
      <c r="B440" s="269"/>
      <c r="C440" s="269"/>
      <c r="D440" s="269"/>
      <c r="E440" s="269"/>
      <c r="F440" s="269"/>
      <c r="G440" s="312"/>
      <c r="H440" s="268" t="s">
        <v>34</v>
      </c>
      <c r="I440" s="263"/>
      <c r="J440" s="263"/>
      <c r="K440" s="87"/>
      <c r="L440" s="86"/>
      <c r="M440" s="87"/>
      <c r="N440" s="87"/>
      <c r="O440" s="87"/>
      <c r="P440" s="87"/>
      <c r="Q440" s="87"/>
      <c r="R440" s="87"/>
      <c r="S440" s="87"/>
      <c r="T440" s="87"/>
      <c r="U440" s="87"/>
    </row>
    <row r="441" spans="1:21" ht="19.5" hidden="1" x14ac:dyDescent="0.3">
      <c r="A441" s="550"/>
      <c r="B441" s="269"/>
      <c r="C441" s="621" t="s">
        <v>169</v>
      </c>
      <c r="D441" s="269"/>
      <c r="E441" s="269"/>
      <c r="F441" s="269"/>
      <c r="G441" s="312"/>
      <c r="H441" s="262" t="s">
        <v>46</v>
      </c>
      <c r="I441" s="622">
        <f ca="1">IFERROR(__xludf.DUMMYFUNCTION("IMPORTRANGE(""https://docs.google.com/spreadsheets/d/1eHaY18a8A9IcSdp1K8H6x8fbOy06t2VsZHhMHf-1x7Y/edit?usp=sharing"",""แผน!HJ60"")"),0)</f>
        <v>0</v>
      </c>
      <c r="J441" s="622">
        <f t="shared" ref="J441:J442" si="287">J443+J445+J447+J453+J455</f>
        <v>0</v>
      </c>
      <c r="K441" s="264">
        <f t="shared" ref="K441:K442" ca="1" si="288">IF(I441&gt;0,J441*100/I441,0)</f>
        <v>0</v>
      </c>
      <c r="L441" s="86"/>
      <c r="M441" s="87"/>
      <c r="N441" s="87"/>
      <c r="O441" s="87"/>
      <c r="P441" s="87"/>
      <c r="Q441" s="87"/>
      <c r="R441" s="87"/>
      <c r="S441" s="87"/>
      <c r="T441" s="87"/>
      <c r="U441" s="87"/>
    </row>
    <row r="442" spans="1:21" ht="19.5" hidden="1" x14ac:dyDescent="0.3">
      <c r="A442" s="550"/>
      <c r="B442" s="269"/>
      <c r="C442" s="269"/>
      <c r="D442" s="269"/>
      <c r="E442" s="269"/>
      <c r="F442" s="269"/>
      <c r="G442" s="312"/>
      <c r="H442" s="262" t="s">
        <v>34</v>
      </c>
      <c r="I442" s="622">
        <f ca="1">IFERROR(__xludf.DUMMYFUNCTION("IMPORTRANGE(""https://docs.google.com/spreadsheets/d/1eHaY18a8A9IcSdp1K8H6x8fbOy06t2VsZHhMHf-1x7Y/edit?usp=sharing"",""แผน!HK60"")"),0)</f>
        <v>0</v>
      </c>
      <c r="J442" s="622">
        <f t="shared" si="287"/>
        <v>0</v>
      </c>
      <c r="K442" s="264">
        <f t="shared" ca="1" si="288"/>
        <v>0</v>
      </c>
      <c r="L442" s="86"/>
      <c r="M442" s="87"/>
      <c r="N442" s="87"/>
      <c r="O442" s="87"/>
      <c r="P442" s="87"/>
      <c r="Q442" s="87"/>
      <c r="R442" s="87"/>
      <c r="S442" s="87"/>
      <c r="T442" s="87"/>
      <c r="U442" s="87"/>
    </row>
    <row r="443" spans="1:21" ht="18.75" hidden="1" x14ac:dyDescent="0.25">
      <c r="A443" s="550"/>
      <c r="B443" s="269"/>
      <c r="C443" s="269"/>
      <c r="D443" s="749" t="s">
        <v>170</v>
      </c>
      <c r="E443" s="269"/>
      <c r="F443" s="269"/>
      <c r="G443" s="312"/>
      <c r="H443" s="268" t="s">
        <v>46</v>
      </c>
      <c r="I443" s="263"/>
      <c r="J443" s="263"/>
      <c r="K443" s="87"/>
      <c r="L443" s="86"/>
      <c r="M443" s="87"/>
      <c r="N443" s="87"/>
      <c r="O443" s="87"/>
      <c r="P443" s="87"/>
      <c r="Q443" s="87"/>
      <c r="R443" s="87"/>
      <c r="S443" s="87"/>
      <c r="T443" s="87"/>
      <c r="U443" s="87"/>
    </row>
    <row r="444" spans="1:21" ht="18.75" hidden="1" x14ac:dyDescent="0.25">
      <c r="A444" s="550"/>
      <c r="B444" s="269"/>
      <c r="C444" s="269"/>
      <c r="D444" s="269"/>
      <c r="E444" s="269"/>
      <c r="F444" s="269"/>
      <c r="G444" s="312"/>
      <c r="H444" s="268" t="s">
        <v>34</v>
      </c>
      <c r="I444" s="263"/>
      <c r="J444" s="263"/>
      <c r="K444" s="87"/>
      <c r="L444" s="86"/>
      <c r="M444" s="87"/>
      <c r="N444" s="87"/>
      <c r="O444" s="87"/>
      <c r="P444" s="87"/>
      <c r="Q444" s="87"/>
      <c r="R444" s="87"/>
      <c r="S444" s="87"/>
      <c r="T444" s="87"/>
      <c r="U444" s="87"/>
    </row>
    <row r="445" spans="1:21" ht="18.75" hidden="1" x14ac:dyDescent="0.25">
      <c r="A445" s="550"/>
      <c r="B445" s="269"/>
      <c r="C445" s="269"/>
      <c r="D445" s="749" t="s">
        <v>171</v>
      </c>
      <c r="E445" s="269"/>
      <c r="F445" s="269"/>
      <c r="G445" s="312"/>
      <c r="H445" s="268" t="s">
        <v>46</v>
      </c>
      <c r="I445" s="263"/>
      <c r="J445" s="263"/>
      <c r="K445" s="87"/>
      <c r="L445" s="86"/>
      <c r="M445" s="87"/>
      <c r="N445" s="87"/>
      <c r="O445" s="87"/>
      <c r="P445" s="87"/>
      <c r="Q445" s="87"/>
      <c r="R445" s="87"/>
      <c r="S445" s="87"/>
      <c r="T445" s="87"/>
      <c r="U445" s="87"/>
    </row>
    <row r="446" spans="1:21" ht="18.75" hidden="1" x14ac:dyDescent="0.25">
      <c r="A446" s="550"/>
      <c r="B446" s="269"/>
      <c r="C446" s="269"/>
      <c r="D446" s="269"/>
      <c r="E446" s="269"/>
      <c r="F446" s="269"/>
      <c r="G446" s="312"/>
      <c r="H446" s="268" t="s">
        <v>34</v>
      </c>
      <c r="I446" s="263"/>
      <c r="J446" s="263"/>
      <c r="K446" s="87"/>
      <c r="L446" s="86"/>
      <c r="M446" s="87"/>
      <c r="N446" s="87"/>
      <c r="O446" s="87"/>
      <c r="P446" s="87"/>
      <c r="Q446" s="87"/>
      <c r="R446" s="87"/>
      <c r="S446" s="87"/>
      <c r="T446" s="87"/>
      <c r="U446" s="87"/>
    </row>
    <row r="447" spans="1:21" ht="19.5" hidden="1" x14ac:dyDescent="0.3">
      <c r="A447" s="550"/>
      <c r="B447" s="269"/>
      <c r="C447" s="269"/>
      <c r="D447" s="749" t="s">
        <v>172</v>
      </c>
      <c r="E447" s="269"/>
      <c r="F447" s="269"/>
      <c r="G447" s="312"/>
      <c r="H447" s="268" t="s">
        <v>46</v>
      </c>
      <c r="I447" s="263"/>
      <c r="J447" s="622">
        <f t="shared" ref="J447:J448" si="289">J449+J451</f>
        <v>0</v>
      </c>
      <c r="K447" s="87"/>
      <c r="L447" s="86"/>
      <c r="M447" s="87"/>
      <c r="N447" s="87"/>
      <c r="O447" s="87"/>
      <c r="P447" s="87"/>
      <c r="Q447" s="87"/>
      <c r="R447" s="87"/>
      <c r="S447" s="87"/>
      <c r="T447" s="87"/>
      <c r="U447" s="87"/>
    </row>
    <row r="448" spans="1:21" ht="19.5" hidden="1" x14ac:dyDescent="0.3">
      <c r="A448" s="550"/>
      <c r="B448" s="269"/>
      <c r="C448" s="269"/>
      <c r="D448" s="269"/>
      <c r="E448" s="269"/>
      <c r="F448" s="269"/>
      <c r="G448" s="312"/>
      <c r="H448" s="268" t="s">
        <v>34</v>
      </c>
      <c r="I448" s="263"/>
      <c r="J448" s="622">
        <f t="shared" si="289"/>
        <v>0</v>
      </c>
      <c r="K448" s="87"/>
      <c r="L448" s="86"/>
      <c r="M448" s="87"/>
      <c r="N448" s="87"/>
      <c r="O448" s="87"/>
      <c r="P448" s="87"/>
      <c r="Q448" s="87"/>
      <c r="R448" s="87"/>
      <c r="S448" s="87"/>
      <c r="T448" s="87"/>
      <c r="U448" s="87"/>
    </row>
    <row r="449" spans="1:21" ht="18.75" hidden="1" x14ac:dyDescent="0.25">
      <c r="A449" s="550"/>
      <c r="B449" s="269"/>
      <c r="C449" s="269"/>
      <c r="D449" s="269"/>
      <c r="E449" s="749" t="s">
        <v>173</v>
      </c>
      <c r="F449" s="269"/>
      <c r="G449" s="312"/>
      <c r="H449" s="268" t="s">
        <v>46</v>
      </c>
      <c r="I449" s="263"/>
      <c r="J449" s="263"/>
      <c r="K449" s="87"/>
      <c r="L449" s="86"/>
      <c r="M449" s="87"/>
      <c r="N449" s="87"/>
      <c r="O449" s="87"/>
      <c r="P449" s="87"/>
      <c r="Q449" s="87"/>
      <c r="R449" s="87"/>
      <c r="S449" s="87"/>
      <c r="T449" s="87"/>
      <c r="U449" s="87"/>
    </row>
    <row r="450" spans="1:21" ht="18.75" hidden="1" x14ac:dyDescent="0.25">
      <c r="A450" s="550"/>
      <c r="B450" s="269"/>
      <c r="C450" s="269"/>
      <c r="D450" s="269"/>
      <c r="E450" s="269"/>
      <c r="F450" s="269"/>
      <c r="G450" s="312"/>
      <c r="H450" s="268" t="s">
        <v>34</v>
      </c>
      <c r="I450" s="263"/>
      <c r="J450" s="263"/>
      <c r="K450" s="87"/>
      <c r="L450" s="86"/>
      <c r="M450" s="87"/>
      <c r="N450" s="87"/>
      <c r="O450" s="87"/>
      <c r="P450" s="87"/>
      <c r="Q450" s="87"/>
      <c r="R450" s="87"/>
      <c r="S450" s="87"/>
      <c r="T450" s="87"/>
      <c r="U450" s="87"/>
    </row>
    <row r="451" spans="1:21" ht="18.75" hidden="1" x14ac:dyDescent="0.25">
      <c r="A451" s="550"/>
      <c r="B451" s="269"/>
      <c r="C451" s="269"/>
      <c r="D451" s="269"/>
      <c r="E451" s="749" t="s">
        <v>174</v>
      </c>
      <c r="F451" s="269"/>
      <c r="G451" s="312"/>
      <c r="H451" s="268" t="s">
        <v>46</v>
      </c>
      <c r="I451" s="263"/>
      <c r="J451" s="263"/>
      <c r="K451" s="87"/>
      <c r="L451" s="86"/>
      <c r="M451" s="87"/>
      <c r="N451" s="87"/>
      <c r="O451" s="87"/>
      <c r="P451" s="87"/>
      <c r="Q451" s="87"/>
      <c r="R451" s="87"/>
      <c r="S451" s="87"/>
      <c r="T451" s="87"/>
      <c r="U451" s="87"/>
    </row>
    <row r="452" spans="1:21" ht="18.75" hidden="1" x14ac:dyDescent="0.25">
      <c r="A452" s="550"/>
      <c r="B452" s="269"/>
      <c r="C452" s="269"/>
      <c r="D452" s="269"/>
      <c r="E452" s="269"/>
      <c r="F452" s="269"/>
      <c r="G452" s="312"/>
      <c r="H452" s="268" t="s">
        <v>34</v>
      </c>
      <c r="I452" s="263"/>
      <c r="J452" s="263"/>
      <c r="K452" s="87"/>
      <c r="L452" s="86"/>
      <c r="M452" s="87"/>
      <c r="N452" s="87"/>
      <c r="O452" s="87"/>
      <c r="P452" s="87"/>
      <c r="Q452" s="87"/>
      <c r="R452" s="87"/>
      <c r="S452" s="87"/>
      <c r="T452" s="87"/>
      <c r="U452" s="87"/>
    </row>
    <row r="453" spans="1:21" ht="18.75" hidden="1" x14ac:dyDescent="0.25">
      <c r="A453" s="550"/>
      <c r="B453" s="269"/>
      <c r="C453" s="269"/>
      <c r="D453" s="749" t="s">
        <v>175</v>
      </c>
      <c r="E453" s="269"/>
      <c r="F453" s="269"/>
      <c r="G453" s="312"/>
      <c r="H453" s="268" t="s">
        <v>46</v>
      </c>
      <c r="I453" s="263"/>
      <c r="J453" s="263"/>
      <c r="K453" s="87"/>
      <c r="L453" s="86"/>
      <c r="M453" s="87"/>
      <c r="N453" s="87"/>
      <c r="O453" s="87"/>
      <c r="P453" s="87"/>
      <c r="Q453" s="87"/>
      <c r="R453" s="87"/>
      <c r="S453" s="87"/>
      <c r="T453" s="87"/>
      <c r="U453" s="87"/>
    </row>
    <row r="454" spans="1:21" ht="18.75" hidden="1" x14ac:dyDescent="0.25">
      <c r="A454" s="550"/>
      <c r="B454" s="269"/>
      <c r="C454" s="269"/>
      <c r="D454" s="269"/>
      <c r="E454" s="269"/>
      <c r="F454" s="269"/>
      <c r="G454" s="312"/>
      <c r="H454" s="268" t="s">
        <v>34</v>
      </c>
      <c r="I454" s="263"/>
      <c r="J454" s="263"/>
      <c r="K454" s="87"/>
      <c r="L454" s="86"/>
      <c r="M454" s="87"/>
      <c r="N454" s="87"/>
      <c r="O454" s="87"/>
      <c r="P454" s="87"/>
      <c r="Q454" s="87"/>
      <c r="R454" s="87"/>
      <c r="S454" s="87"/>
      <c r="T454" s="87"/>
      <c r="U454" s="87"/>
    </row>
    <row r="455" spans="1:21" ht="18.75" hidden="1" x14ac:dyDescent="0.25">
      <c r="A455" s="550"/>
      <c r="B455" s="269"/>
      <c r="C455" s="269"/>
      <c r="D455" s="749" t="s">
        <v>176</v>
      </c>
      <c r="E455" s="269"/>
      <c r="F455" s="269"/>
      <c r="G455" s="312"/>
      <c r="H455" s="268" t="s">
        <v>46</v>
      </c>
      <c r="I455" s="263"/>
      <c r="J455" s="970"/>
      <c r="K455" s="87"/>
      <c r="L455" s="86"/>
      <c r="M455" s="87"/>
      <c r="N455" s="87"/>
      <c r="O455" s="87"/>
      <c r="P455" s="87"/>
      <c r="Q455" s="87"/>
      <c r="R455" s="87"/>
      <c r="S455" s="87"/>
      <c r="T455" s="87"/>
      <c r="U455" s="87"/>
    </row>
    <row r="456" spans="1:21" ht="18.75" hidden="1" x14ac:dyDescent="0.25">
      <c r="A456" s="550"/>
      <c r="B456" s="269"/>
      <c r="C456" s="269"/>
      <c r="D456" s="269"/>
      <c r="E456" s="269"/>
      <c r="F456" s="269"/>
      <c r="G456" s="312"/>
      <c r="H456" s="268" t="s">
        <v>34</v>
      </c>
      <c r="I456" s="263"/>
      <c r="J456" s="263"/>
      <c r="K456" s="87"/>
      <c r="L456" s="86"/>
      <c r="M456" s="87"/>
      <c r="N456" s="87"/>
      <c r="O456" s="87"/>
      <c r="P456" s="87"/>
      <c r="Q456" s="87"/>
      <c r="R456" s="87"/>
      <c r="S456" s="87"/>
      <c r="T456" s="87"/>
      <c r="U456" s="87"/>
    </row>
    <row r="457" spans="1:21" ht="19.5" hidden="1" x14ac:dyDescent="0.3">
      <c r="A457" s="550"/>
      <c r="B457" s="621" t="s">
        <v>177</v>
      </c>
      <c r="C457" s="269"/>
      <c r="D457" s="269"/>
      <c r="E457" s="269"/>
      <c r="F457" s="269"/>
      <c r="G457" s="312"/>
      <c r="H457" s="619" t="s">
        <v>46</v>
      </c>
      <c r="I457" s="622">
        <f t="shared" ref="I457:J457" ca="1" si="290">I458</f>
        <v>0</v>
      </c>
      <c r="J457" s="622">
        <f t="shared" si="290"/>
        <v>0</v>
      </c>
      <c r="K457" s="264">
        <f t="shared" ref="K457:K459" ca="1" si="291">IF(I457&gt;0,J457*100/I457,0)</f>
        <v>0</v>
      </c>
      <c r="L457" s="86"/>
      <c r="M457" s="87"/>
      <c r="N457" s="87"/>
      <c r="O457" s="87"/>
      <c r="P457" s="87"/>
      <c r="Q457" s="87"/>
      <c r="R457" s="87"/>
      <c r="S457" s="87"/>
      <c r="T457" s="87"/>
      <c r="U457" s="87"/>
    </row>
    <row r="458" spans="1:21" ht="19.5" hidden="1" x14ac:dyDescent="0.3">
      <c r="A458" s="550"/>
      <c r="B458" s="269"/>
      <c r="C458" s="621" t="s">
        <v>178</v>
      </c>
      <c r="D458" s="269"/>
      <c r="E458" s="269"/>
      <c r="F458" s="269"/>
      <c r="G458" s="312"/>
      <c r="H458" s="262" t="s">
        <v>46</v>
      </c>
      <c r="I458" s="622">
        <f ca="1">IFERROR(__xludf.DUMMYFUNCTION("IMPORTRANGE(""https://docs.google.com/spreadsheets/d/1eHaY18a8A9IcSdp1K8H6x8fbOy06t2VsZHhMHf-1x7Y/edit?usp=sharing"",""แผน!HL60"")"),0)</f>
        <v>0</v>
      </c>
      <c r="J458" s="622">
        <f t="shared" ref="J458:J459" si="292">J460+J468+J474</f>
        <v>0</v>
      </c>
      <c r="K458" s="264">
        <f t="shared" ca="1" si="291"/>
        <v>0</v>
      </c>
      <c r="L458" s="86"/>
      <c r="M458" s="87"/>
      <c r="N458" s="87"/>
      <c r="O458" s="87"/>
      <c r="P458" s="87"/>
      <c r="Q458" s="87"/>
      <c r="R458" s="87"/>
      <c r="S458" s="87"/>
      <c r="T458" s="87"/>
      <c r="U458" s="87"/>
    </row>
    <row r="459" spans="1:21" ht="19.5" hidden="1" x14ac:dyDescent="0.3">
      <c r="A459" s="550"/>
      <c r="B459" s="269"/>
      <c r="C459" s="269"/>
      <c r="D459" s="269"/>
      <c r="E459" s="269"/>
      <c r="F459" s="269"/>
      <c r="G459" s="312"/>
      <c r="H459" s="262" t="s">
        <v>34</v>
      </c>
      <c r="I459" s="622">
        <f ca="1">IFERROR(__xludf.DUMMYFUNCTION("IMPORTRANGE(""https://docs.google.com/spreadsheets/d/1eHaY18a8A9IcSdp1K8H6x8fbOy06t2VsZHhMHf-1x7Y/edit?usp=sharing"",""แผน!HM60"")"),0)</f>
        <v>0</v>
      </c>
      <c r="J459" s="622">
        <f t="shared" si="292"/>
        <v>0</v>
      </c>
      <c r="K459" s="264">
        <f t="shared" ca="1" si="291"/>
        <v>0</v>
      </c>
      <c r="L459" s="86"/>
      <c r="M459" s="87"/>
      <c r="N459" s="87"/>
      <c r="O459" s="87"/>
      <c r="P459" s="87"/>
      <c r="Q459" s="87"/>
      <c r="R459" s="87"/>
      <c r="S459" s="87"/>
      <c r="T459" s="87"/>
      <c r="U459" s="87"/>
    </row>
    <row r="460" spans="1:21" ht="18.75" hidden="1" x14ac:dyDescent="0.25">
      <c r="A460" s="550"/>
      <c r="B460" s="269"/>
      <c r="C460" s="749" t="s">
        <v>179</v>
      </c>
      <c r="D460" s="269"/>
      <c r="E460" s="269"/>
      <c r="F460" s="269"/>
      <c r="G460" s="312"/>
      <c r="H460" s="268" t="s">
        <v>46</v>
      </c>
      <c r="I460" s="263"/>
      <c r="J460" s="293">
        <f t="shared" ref="J460:J461" si="293">J462+J464</f>
        <v>0</v>
      </c>
      <c r="K460" s="87"/>
      <c r="L460" s="86"/>
      <c r="M460" s="87"/>
      <c r="N460" s="87"/>
      <c r="O460" s="87"/>
      <c r="P460" s="87"/>
      <c r="Q460" s="87"/>
      <c r="R460" s="87"/>
      <c r="S460" s="87"/>
      <c r="T460" s="87"/>
      <c r="U460" s="87"/>
    </row>
    <row r="461" spans="1:21" ht="18.75" hidden="1" x14ac:dyDescent="0.25">
      <c r="A461" s="550"/>
      <c r="B461" s="269"/>
      <c r="C461" s="269"/>
      <c r="D461" s="269"/>
      <c r="E461" s="269"/>
      <c r="F461" s="269"/>
      <c r="G461" s="312"/>
      <c r="H461" s="268" t="s">
        <v>34</v>
      </c>
      <c r="I461" s="263"/>
      <c r="J461" s="293">
        <f t="shared" si="293"/>
        <v>0</v>
      </c>
      <c r="K461" s="87"/>
      <c r="L461" s="86"/>
      <c r="M461" s="87"/>
      <c r="N461" s="87"/>
      <c r="O461" s="87"/>
      <c r="P461" s="87"/>
      <c r="Q461" s="87"/>
      <c r="R461" s="87"/>
      <c r="S461" s="87"/>
      <c r="T461" s="87"/>
      <c r="U461" s="87"/>
    </row>
    <row r="462" spans="1:21" ht="18.75" hidden="1" x14ac:dyDescent="0.25">
      <c r="A462" s="550"/>
      <c r="B462" s="269"/>
      <c r="C462" s="269"/>
      <c r="D462" s="625" t="s">
        <v>180</v>
      </c>
      <c r="E462" s="269"/>
      <c r="F462" s="269"/>
      <c r="G462" s="312"/>
      <c r="H462" s="268" t="s">
        <v>46</v>
      </c>
      <c r="I462" s="263"/>
      <c r="J462" s="263"/>
      <c r="K462" s="87"/>
      <c r="L462" s="86"/>
      <c r="M462" s="87"/>
      <c r="N462" s="87"/>
      <c r="O462" s="87"/>
      <c r="P462" s="87"/>
      <c r="Q462" s="87"/>
      <c r="R462" s="87"/>
      <c r="S462" s="87"/>
      <c r="T462" s="87"/>
      <c r="U462" s="87"/>
    </row>
    <row r="463" spans="1:21" ht="18.75" hidden="1" x14ac:dyDescent="0.25">
      <c r="A463" s="550"/>
      <c r="B463" s="269"/>
      <c r="C463" s="269"/>
      <c r="D463" s="269"/>
      <c r="E463" s="269"/>
      <c r="F463" s="269"/>
      <c r="G463" s="312"/>
      <c r="H463" s="268" t="s">
        <v>34</v>
      </c>
      <c r="I463" s="263"/>
      <c r="J463" s="263"/>
      <c r="K463" s="87"/>
      <c r="L463" s="86"/>
      <c r="M463" s="87"/>
      <c r="N463" s="87"/>
      <c r="O463" s="87"/>
      <c r="P463" s="87"/>
      <c r="Q463" s="87"/>
      <c r="R463" s="87"/>
      <c r="S463" s="87"/>
      <c r="T463" s="87"/>
      <c r="U463" s="87"/>
    </row>
    <row r="464" spans="1:21" ht="18.75" hidden="1" x14ac:dyDescent="0.25">
      <c r="A464" s="550"/>
      <c r="B464" s="269"/>
      <c r="C464" s="269"/>
      <c r="D464" s="625" t="s">
        <v>181</v>
      </c>
      <c r="E464" s="269"/>
      <c r="F464" s="269"/>
      <c r="G464" s="312"/>
      <c r="H464" s="268" t="s">
        <v>46</v>
      </c>
      <c r="I464" s="263"/>
      <c r="J464" s="263"/>
      <c r="K464" s="87"/>
      <c r="L464" s="86"/>
      <c r="M464" s="87"/>
      <c r="N464" s="87"/>
      <c r="O464" s="87"/>
      <c r="P464" s="87"/>
      <c r="Q464" s="87"/>
      <c r="R464" s="87"/>
      <c r="S464" s="87"/>
      <c r="T464" s="87"/>
      <c r="U464" s="87"/>
    </row>
    <row r="465" spans="1:21" ht="18.75" hidden="1" x14ac:dyDescent="0.25">
      <c r="A465" s="550"/>
      <c r="B465" s="269"/>
      <c r="C465" s="269"/>
      <c r="D465" s="269"/>
      <c r="E465" s="269"/>
      <c r="F465" s="269"/>
      <c r="G465" s="312"/>
      <c r="H465" s="268" t="s">
        <v>34</v>
      </c>
      <c r="I465" s="263"/>
      <c r="J465" s="263"/>
      <c r="K465" s="87"/>
      <c r="L465" s="86"/>
      <c r="M465" s="87"/>
      <c r="N465" s="87"/>
      <c r="O465" s="87"/>
      <c r="P465" s="87"/>
      <c r="Q465" s="87"/>
      <c r="R465" s="87"/>
      <c r="S465" s="87"/>
      <c r="T465" s="87"/>
      <c r="U465" s="87"/>
    </row>
    <row r="466" spans="1:21" ht="18.75" hidden="1" x14ac:dyDescent="0.25">
      <c r="A466" s="550"/>
      <c r="B466" s="269"/>
      <c r="C466" s="269"/>
      <c r="D466" s="625" t="s">
        <v>182</v>
      </c>
      <c r="E466" s="269"/>
      <c r="F466" s="269"/>
      <c r="G466" s="312"/>
      <c r="H466" s="268" t="s">
        <v>46</v>
      </c>
      <c r="I466" s="263"/>
      <c r="J466" s="263"/>
      <c r="K466" s="87"/>
      <c r="L466" s="86"/>
      <c r="M466" s="87"/>
      <c r="N466" s="87"/>
      <c r="O466" s="87"/>
      <c r="P466" s="87"/>
      <c r="Q466" s="87"/>
      <c r="R466" s="87"/>
      <c r="S466" s="87"/>
      <c r="T466" s="87"/>
      <c r="U466" s="87"/>
    </row>
    <row r="467" spans="1:21" ht="18.75" hidden="1" x14ac:dyDescent="0.25">
      <c r="A467" s="550"/>
      <c r="B467" s="269"/>
      <c r="C467" s="269"/>
      <c r="D467" s="269"/>
      <c r="E467" s="269"/>
      <c r="F467" s="269"/>
      <c r="G467" s="312"/>
      <c r="H467" s="268" t="s">
        <v>34</v>
      </c>
      <c r="I467" s="263"/>
      <c r="J467" s="263"/>
      <c r="K467" s="87"/>
      <c r="L467" s="86"/>
      <c r="M467" s="87"/>
      <c r="N467" s="87"/>
      <c r="O467" s="87"/>
      <c r="P467" s="87"/>
      <c r="Q467" s="87"/>
      <c r="R467" s="87"/>
      <c r="S467" s="87"/>
      <c r="T467" s="87"/>
      <c r="U467" s="87"/>
    </row>
    <row r="468" spans="1:21" ht="18.75" hidden="1" x14ac:dyDescent="0.25">
      <c r="A468" s="550"/>
      <c r="B468" s="269"/>
      <c r="C468" s="625" t="s">
        <v>183</v>
      </c>
      <c r="D468" s="269"/>
      <c r="E468" s="269"/>
      <c r="F468" s="269"/>
      <c r="G468" s="312"/>
      <c r="H468" s="268" t="s">
        <v>46</v>
      </c>
      <c r="I468" s="263"/>
      <c r="J468" s="293">
        <f t="shared" ref="J468:J469" si="294">J470+J472</f>
        <v>0</v>
      </c>
      <c r="K468" s="87"/>
      <c r="L468" s="86"/>
      <c r="M468" s="87"/>
      <c r="N468" s="87"/>
      <c r="O468" s="87"/>
      <c r="P468" s="87"/>
      <c r="Q468" s="87"/>
      <c r="R468" s="87"/>
      <c r="S468" s="87"/>
      <c r="T468" s="87"/>
      <c r="U468" s="87"/>
    </row>
    <row r="469" spans="1:21" ht="18.75" hidden="1" x14ac:dyDescent="0.25">
      <c r="A469" s="550"/>
      <c r="B469" s="269"/>
      <c r="C469" s="269"/>
      <c r="D469" s="269"/>
      <c r="E469" s="269"/>
      <c r="F469" s="269"/>
      <c r="G469" s="312"/>
      <c r="H469" s="268" t="s">
        <v>34</v>
      </c>
      <c r="I469" s="263"/>
      <c r="J469" s="293">
        <f t="shared" si="294"/>
        <v>0</v>
      </c>
      <c r="K469" s="87"/>
      <c r="L469" s="86"/>
      <c r="M469" s="87"/>
      <c r="N469" s="87"/>
      <c r="O469" s="87"/>
      <c r="P469" s="87"/>
      <c r="Q469" s="87"/>
      <c r="R469" s="87"/>
      <c r="S469" s="87"/>
      <c r="T469" s="87"/>
      <c r="U469" s="87"/>
    </row>
    <row r="470" spans="1:21" ht="18.75" hidden="1" x14ac:dyDescent="0.25">
      <c r="A470" s="550"/>
      <c r="B470" s="269"/>
      <c r="C470" s="269"/>
      <c r="D470" s="625" t="s">
        <v>184</v>
      </c>
      <c r="E470" s="269"/>
      <c r="F470" s="269"/>
      <c r="G470" s="312"/>
      <c r="H470" s="268" t="s">
        <v>46</v>
      </c>
      <c r="I470" s="263"/>
      <c r="J470" s="263"/>
      <c r="K470" s="87"/>
      <c r="L470" s="86"/>
      <c r="M470" s="87"/>
      <c r="N470" s="87"/>
      <c r="O470" s="87"/>
      <c r="P470" s="87"/>
      <c r="Q470" s="87"/>
      <c r="R470" s="87"/>
      <c r="S470" s="87"/>
      <c r="T470" s="87"/>
      <c r="U470" s="87"/>
    </row>
    <row r="471" spans="1:21" ht="18.75" hidden="1" x14ac:dyDescent="0.25">
      <c r="A471" s="550"/>
      <c r="B471" s="269"/>
      <c r="C471" s="269"/>
      <c r="D471" s="269"/>
      <c r="E471" s="269"/>
      <c r="F471" s="269"/>
      <c r="G471" s="312"/>
      <c r="H471" s="268" t="s">
        <v>34</v>
      </c>
      <c r="I471" s="263"/>
      <c r="J471" s="263"/>
      <c r="K471" s="87"/>
      <c r="L471" s="86"/>
      <c r="M471" s="87"/>
      <c r="N471" s="87"/>
      <c r="O471" s="87"/>
      <c r="P471" s="87"/>
      <c r="Q471" s="87"/>
      <c r="R471" s="87"/>
      <c r="S471" s="87"/>
      <c r="T471" s="87"/>
      <c r="U471" s="87"/>
    </row>
    <row r="472" spans="1:21" ht="18.75" hidden="1" x14ac:dyDescent="0.25">
      <c r="A472" s="550"/>
      <c r="B472" s="269"/>
      <c r="C472" s="269"/>
      <c r="D472" s="625" t="s">
        <v>185</v>
      </c>
      <c r="E472" s="269"/>
      <c r="F472" s="269"/>
      <c r="G472" s="312"/>
      <c r="H472" s="268" t="s">
        <v>46</v>
      </c>
      <c r="I472" s="263"/>
      <c r="J472" s="263"/>
      <c r="K472" s="87"/>
      <c r="L472" s="86"/>
      <c r="M472" s="87"/>
      <c r="N472" s="87"/>
      <c r="O472" s="87"/>
      <c r="P472" s="87"/>
      <c r="Q472" s="87"/>
      <c r="R472" s="87"/>
      <c r="S472" s="87"/>
      <c r="T472" s="87"/>
      <c r="U472" s="87"/>
    </row>
    <row r="473" spans="1:21" ht="18.75" hidden="1" x14ac:dyDescent="0.25">
      <c r="A473" s="550"/>
      <c r="B473" s="269"/>
      <c r="C473" s="269"/>
      <c r="D473" s="269"/>
      <c r="E473" s="269"/>
      <c r="F473" s="269"/>
      <c r="G473" s="312"/>
      <c r="H473" s="268" t="s">
        <v>34</v>
      </c>
      <c r="I473" s="263"/>
      <c r="J473" s="263"/>
      <c r="K473" s="87"/>
      <c r="L473" s="86"/>
      <c r="M473" s="87"/>
      <c r="N473" s="87"/>
      <c r="O473" s="87"/>
      <c r="P473" s="87"/>
      <c r="Q473" s="87"/>
      <c r="R473" s="87"/>
      <c r="S473" s="87"/>
      <c r="T473" s="87"/>
      <c r="U473" s="87"/>
    </row>
    <row r="474" spans="1:21" ht="18.75" hidden="1" x14ac:dyDescent="0.25">
      <c r="A474" s="550"/>
      <c r="B474" s="269"/>
      <c r="C474" s="749" t="s">
        <v>186</v>
      </c>
      <c r="D474" s="269"/>
      <c r="E474" s="269"/>
      <c r="F474" s="269"/>
      <c r="G474" s="312"/>
      <c r="H474" s="268" t="s">
        <v>46</v>
      </c>
      <c r="I474" s="263"/>
      <c r="J474" s="263"/>
      <c r="K474" s="87"/>
      <c r="L474" s="86"/>
      <c r="M474" s="87"/>
      <c r="N474" s="87"/>
      <c r="O474" s="87"/>
      <c r="P474" s="87"/>
      <c r="Q474" s="87"/>
      <c r="R474" s="87"/>
      <c r="S474" s="87"/>
      <c r="T474" s="87"/>
      <c r="U474" s="87"/>
    </row>
    <row r="475" spans="1:21" ht="18.75" hidden="1" x14ac:dyDescent="0.25">
      <c r="A475" s="550"/>
      <c r="B475" s="269"/>
      <c r="C475" s="269"/>
      <c r="D475" s="269"/>
      <c r="E475" s="269"/>
      <c r="F475" s="269"/>
      <c r="G475" s="312"/>
      <c r="H475" s="268" t="s">
        <v>34</v>
      </c>
      <c r="I475" s="263"/>
      <c r="J475" s="263"/>
      <c r="K475" s="87"/>
      <c r="L475" s="86"/>
      <c r="M475" s="87"/>
      <c r="N475" s="87"/>
      <c r="O475" s="87"/>
      <c r="P475" s="87"/>
      <c r="Q475" s="87"/>
      <c r="R475" s="87"/>
      <c r="S475" s="87"/>
      <c r="T475" s="87"/>
      <c r="U475" s="87"/>
    </row>
    <row r="476" spans="1:21" ht="19.5" hidden="1" x14ac:dyDescent="0.3">
      <c r="A476" s="550"/>
      <c r="B476" s="626" t="s">
        <v>187</v>
      </c>
      <c r="C476" s="269"/>
      <c r="D476" s="269"/>
      <c r="E476" s="269"/>
      <c r="F476" s="269"/>
      <c r="G476" s="312"/>
      <c r="H476" s="262" t="s">
        <v>46</v>
      </c>
      <c r="I476" s="622">
        <v>0</v>
      </c>
      <c r="J476" s="622">
        <f>J479+J481</f>
        <v>0</v>
      </c>
      <c r="K476" s="264">
        <f t="shared" ref="K476:K478" si="295">IF(I476&gt;0,J476*100/I476,0)</f>
        <v>0</v>
      </c>
      <c r="L476" s="86"/>
      <c r="M476" s="87"/>
      <c r="N476" s="87"/>
      <c r="O476" s="87"/>
      <c r="P476" s="87"/>
      <c r="Q476" s="87"/>
      <c r="R476" s="87"/>
      <c r="S476" s="87"/>
      <c r="T476" s="87"/>
      <c r="U476" s="87"/>
    </row>
    <row r="477" spans="1:21" ht="19.5" hidden="1" x14ac:dyDescent="0.3">
      <c r="A477" s="550"/>
      <c r="B477" s="269"/>
      <c r="C477" s="621" t="s">
        <v>188</v>
      </c>
      <c r="D477" s="269"/>
      <c r="E477" s="269"/>
      <c r="F477" s="269"/>
      <c r="G477" s="312"/>
      <c r="H477" s="262" t="s">
        <v>46</v>
      </c>
      <c r="I477" s="622">
        <v>0</v>
      </c>
      <c r="J477" s="622">
        <f t="shared" ref="J477:J478" si="296">J479+J481</f>
        <v>0</v>
      </c>
      <c r="K477" s="264">
        <f t="shared" si="295"/>
        <v>0</v>
      </c>
      <c r="L477" s="86"/>
      <c r="M477" s="87"/>
      <c r="N477" s="87"/>
      <c r="O477" s="87"/>
      <c r="P477" s="87"/>
      <c r="Q477" s="87"/>
      <c r="R477" s="87"/>
      <c r="S477" s="87"/>
      <c r="T477" s="87"/>
      <c r="U477" s="87"/>
    </row>
    <row r="478" spans="1:21" ht="19.5" hidden="1" x14ac:dyDescent="0.3">
      <c r="A478" s="550"/>
      <c r="B478" s="269"/>
      <c r="C478" s="749" t="s">
        <v>189</v>
      </c>
      <c r="D478" s="269"/>
      <c r="E478" s="269"/>
      <c r="F478" s="269"/>
      <c r="G478" s="312"/>
      <c r="H478" s="262" t="s">
        <v>34</v>
      </c>
      <c r="I478" s="622">
        <v>0</v>
      </c>
      <c r="J478" s="622">
        <f t="shared" si="296"/>
        <v>0</v>
      </c>
      <c r="K478" s="264">
        <f t="shared" si="295"/>
        <v>0</v>
      </c>
      <c r="L478" s="86"/>
      <c r="M478" s="87"/>
      <c r="N478" s="87"/>
      <c r="O478" s="87"/>
      <c r="P478" s="87"/>
      <c r="Q478" s="87"/>
      <c r="R478" s="87"/>
      <c r="S478" s="87"/>
      <c r="T478" s="87"/>
      <c r="U478" s="87"/>
    </row>
    <row r="479" spans="1:21" ht="18.75" hidden="1" x14ac:dyDescent="0.25">
      <c r="A479" s="550"/>
      <c r="B479" s="269"/>
      <c r="C479" s="269"/>
      <c r="D479" s="749" t="s">
        <v>190</v>
      </c>
      <c r="E479" s="269"/>
      <c r="F479" s="269"/>
      <c r="G479" s="312"/>
      <c r="H479" s="268" t="s">
        <v>46</v>
      </c>
      <c r="I479" s="263"/>
      <c r="J479" s="263"/>
      <c r="K479" s="87"/>
      <c r="L479" s="86"/>
      <c r="M479" s="87"/>
      <c r="N479" s="87"/>
      <c r="O479" s="87"/>
      <c r="P479" s="87"/>
      <c r="Q479" s="87"/>
      <c r="R479" s="87"/>
      <c r="S479" s="87"/>
      <c r="T479" s="87"/>
      <c r="U479" s="87"/>
    </row>
    <row r="480" spans="1:21" ht="18.75" hidden="1" x14ac:dyDescent="0.25">
      <c r="A480" s="550"/>
      <c r="B480" s="269"/>
      <c r="C480" s="269"/>
      <c r="D480" s="269"/>
      <c r="E480" s="269"/>
      <c r="F480" s="269"/>
      <c r="G480" s="312"/>
      <c r="H480" s="268" t="s">
        <v>34</v>
      </c>
      <c r="I480" s="263"/>
      <c r="J480" s="263"/>
      <c r="K480" s="87"/>
      <c r="L480" s="86"/>
      <c r="M480" s="87"/>
      <c r="N480" s="87"/>
      <c r="O480" s="87"/>
      <c r="P480" s="87"/>
      <c r="Q480" s="87"/>
      <c r="R480" s="87"/>
      <c r="S480" s="87"/>
      <c r="T480" s="87"/>
      <c r="U480" s="87"/>
    </row>
    <row r="481" spans="1:21" ht="18.75" hidden="1" x14ac:dyDescent="0.25">
      <c r="A481" s="550"/>
      <c r="B481" s="269"/>
      <c r="C481" s="269"/>
      <c r="D481" s="625" t="s">
        <v>191</v>
      </c>
      <c r="E481" s="269"/>
      <c r="F481" s="269"/>
      <c r="G481" s="312"/>
      <c r="H481" s="268" t="s">
        <v>46</v>
      </c>
      <c r="I481" s="263"/>
      <c r="J481" s="263"/>
      <c r="K481" s="87"/>
      <c r="L481" s="86"/>
      <c r="M481" s="87"/>
      <c r="N481" s="87"/>
      <c r="O481" s="87"/>
      <c r="P481" s="87"/>
      <c r="Q481" s="87"/>
      <c r="R481" s="87"/>
      <c r="S481" s="87"/>
      <c r="T481" s="87"/>
      <c r="U481" s="87"/>
    </row>
    <row r="482" spans="1:21" ht="18.75" hidden="1" x14ac:dyDescent="0.25">
      <c r="A482" s="550"/>
      <c r="B482" s="269"/>
      <c r="C482" s="269"/>
      <c r="D482" s="269"/>
      <c r="E482" s="269"/>
      <c r="F482" s="269"/>
      <c r="G482" s="312"/>
      <c r="H482" s="268" t="s">
        <v>34</v>
      </c>
      <c r="I482" s="263"/>
      <c r="J482" s="263"/>
      <c r="K482" s="87"/>
      <c r="L482" s="86"/>
      <c r="M482" s="87"/>
      <c r="N482" s="87"/>
      <c r="O482" s="87"/>
      <c r="P482" s="87"/>
      <c r="Q482" s="87"/>
      <c r="R482" s="87"/>
      <c r="S482" s="87"/>
      <c r="T482" s="87"/>
      <c r="U482" s="87"/>
    </row>
    <row r="483" spans="1:21" ht="18.75" hidden="1" x14ac:dyDescent="0.25">
      <c r="A483" s="550"/>
      <c r="B483" s="269"/>
      <c r="C483" s="269"/>
      <c r="D483" s="625" t="s">
        <v>192</v>
      </c>
      <c r="E483" s="269"/>
      <c r="F483" s="269"/>
      <c r="G483" s="312"/>
      <c r="H483" s="268" t="s">
        <v>46</v>
      </c>
      <c r="I483" s="263"/>
      <c r="J483" s="293">
        <f ca="1">IFERROR(__xludf.DUMMYFUNCTION("IMPORTRANGE(""https://docs.google.com/spreadsheets/d/1eHaY18a8A9IcSdp1K8H6x8fbOy06t2VsZHhMHf-1x7Y/edit?usp=sharing"",""แผน!HN60"")"),0)</f>
        <v>0</v>
      </c>
      <c r="K483" s="87"/>
      <c r="L483" s="86"/>
      <c r="M483" s="87"/>
      <c r="N483" s="87"/>
      <c r="O483" s="87"/>
      <c r="P483" s="87"/>
      <c r="Q483" s="87"/>
      <c r="R483" s="87"/>
      <c r="S483" s="87"/>
      <c r="T483" s="87"/>
      <c r="U483" s="87"/>
    </row>
    <row r="484" spans="1:21" ht="18.75" hidden="1" x14ac:dyDescent="0.25">
      <c r="A484" s="550"/>
      <c r="B484" s="269"/>
      <c r="C484" s="269"/>
      <c r="D484" s="269"/>
      <c r="E484" s="269"/>
      <c r="F484" s="269"/>
      <c r="G484" s="312"/>
      <c r="H484" s="268" t="s">
        <v>34</v>
      </c>
      <c r="I484" s="263"/>
      <c r="J484" s="293">
        <f ca="1">IFERROR(__xludf.DUMMYFUNCTION("IMPORTRANGE(""https://docs.google.com/spreadsheets/d/1eHaY18a8A9IcSdp1K8H6x8fbOy06t2VsZHhMHf-1x7Y/edit?usp=sharing"",""แผน!HO60"")"),0)</f>
        <v>0</v>
      </c>
      <c r="K484" s="87"/>
      <c r="L484" s="86"/>
      <c r="M484" s="87"/>
      <c r="N484" s="87"/>
      <c r="O484" s="87"/>
      <c r="P484" s="87"/>
      <c r="Q484" s="87"/>
      <c r="R484" s="87"/>
      <c r="S484" s="87"/>
      <c r="T484" s="87"/>
      <c r="U484" s="87"/>
    </row>
    <row r="485" spans="1:21" ht="19.5" hidden="1" x14ac:dyDescent="0.3">
      <c r="A485" s="550"/>
      <c r="B485" s="269"/>
      <c r="C485" s="621" t="s">
        <v>193</v>
      </c>
      <c r="D485" s="269"/>
      <c r="E485" s="269"/>
      <c r="F485" s="269"/>
      <c r="G485" s="312"/>
      <c r="H485" s="262" t="s">
        <v>46</v>
      </c>
      <c r="I485" s="263">
        <f t="shared" ref="I485:I486" si="297">J481</f>
        <v>0</v>
      </c>
      <c r="J485" s="622">
        <f t="shared" ref="J485:J486" si="298">J487+J489+J491</f>
        <v>0</v>
      </c>
      <c r="K485" s="264">
        <f t="shared" ref="K485:K486" si="299">IF(I485&gt;0,J485*100/I485,0)</f>
        <v>0</v>
      </c>
      <c r="L485" s="86"/>
      <c r="M485" s="87"/>
      <c r="N485" s="87"/>
      <c r="O485" s="87"/>
      <c r="P485" s="87"/>
      <c r="Q485" s="87"/>
      <c r="R485" s="87"/>
      <c r="S485" s="87"/>
      <c r="T485" s="87"/>
      <c r="U485" s="87"/>
    </row>
    <row r="486" spans="1:21" ht="19.5" hidden="1" x14ac:dyDescent="0.3">
      <c r="A486" s="550"/>
      <c r="B486" s="269"/>
      <c r="C486" s="749" t="s">
        <v>194</v>
      </c>
      <c r="D486" s="269"/>
      <c r="E486" s="269"/>
      <c r="F486" s="269"/>
      <c r="G486" s="312"/>
      <c r="H486" s="262" t="s">
        <v>34</v>
      </c>
      <c r="I486" s="263">
        <f t="shared" si="297"/>
        <v>0</v>
      </c>
      <c r="J486" s="622">
        <f t="shared" si="298"/>
        <v>0</v>
      </c>
      <c r="K486" s="264">
        <f t="shared" si="299"/>
        <v>0</v>
      </c>
      <c r="L486" s="86"/>
      <c r="M486" s="87"/>
      <c r="N486" s="87"/>
      <c r="O486" s="87"/>
      <c r="P486" s="87"/>
      <c r="Q486" s="87"/>
      <c r="R486" s="87"/>
      <c r="S486" s="87"/>
      <c r="T486" s="87"/>
      <c r="U486" s="87"/>
    </row>
    <row r="487" spans="1:21" ht="18.75" hidden="1" x14ac:dyDescent="0.25">
      <c r="A487" s="550"/>
      <c r="B487" s="269"/>
      <c r="C487" s="269"/>
      <c r="D487" s="625" t="s">
        <v>195</v>
      </c>
      <c r="E487" s="269"/>
      <c r="F487" s="269"/>
      <c r="G487" s="312"/>
      <c r="H487" s="268" t="s">
        <v>46</v>
      </c>
      <c r="I487" s="263"/>
      <c r="J487" s="263"/>
      <c r="K487" s="87"/>
      <c r="L487" s="86"/>
      <c r="M487" s="87"/>
      <c r="N487" s="87"/>
      <c r="O487" s="87"/>
      <c r="P487" s="87"/>
      <c r="Q487" s="87"/>
      <c r="R487" s="87"/>
      <c r="S487" s="87"/>
      <c r="T487" s="87"/>
      <c r="U487" s="87"/>
    </row>
    <row r="488" spans="1:21" ht="18.75" hidden="1" x14ac:dyDescent="0.25">
      <c r="A488" s="550"/>
      <c r="B488" s="269"/>
      <c r="C488" s="269"/>
      <c r="D488" s="269"/>
      <c r="E488" s="269"/>
      <c r="F488" s="269"/>
      <c r="G488" s="312"/>
      <c r="H488" s="268" t="s">
        <v>34</v>
      </c>
      <c r="I488" s="263"/>
      <c r="J488" s="263"/>
      <c r="K488" s="87"/>
      <c r="L488" s="86"/>
      <c r="M488" s="87"/>
      <c r="N488" s="87"/>
      <c r="O488" s="87"/>
      <c r="P488" s="87"/>
      <c r="Q488" s="87"/>
      <c r="R488" s="87"/>
      <c r="S488" s="87"/>
      <c r="T488" s="87"/>
      <c r="U488" s="87"/>
    </row>
    <row r="489" spans="1:21" ht="18.75" hidden="1" x14ac:dyDescent="0.25">
      <c r="A489" s="550"/>
      <c r="B489" s="269"/>
      <c r="C489" s="269"/>
      <c r="D489" s="625" t="s">
        <v>196</v>
      </c>
      <c r="E489" s="269"/>
      <c r="F489" s="269"/>
      <c r="G489" s="312"/>
      <c r="H489" s="268" t="s">
        <v>46</v>
      </c>
      <c r="I489" s="263"/>
      <c r="J489" s="263"/>
      <c r="K489" s="87"/>
      <c r="L489" s="86"/>
      <c r="M489" s="87"/>
      <c r="N489" s="87"/>
      <c r="O489" s="87"/>
      <c r="P489" s="87"/>
      <c r="Q489" s="87"/>
      <c r="R489" s="87"/>
      <c r="S489" s="87"/>
      <c r="T489" s="87"/>
      <c r="U489" s="87"/>
    </row>
    <row r="490" spans="1:21" ht="18.75" hidden="1" x14ac:dyDescent="0.25">
      <c r="A490" s="550"/>
      <c r="B490" s="269"/>
      <c r="C490" s="269"/>
      <c r="D490" s="269"/>
      <c r="E490" s="269"/>
      <c r="F490" s="269"/>
      <c r="G490" s="312"/>
      <c r="H490" s="268" t="s">
        <v>34</v>
      </c>
      <c r="I490" s="263"/>
      <c r="J490" s="263"/>
      <c r="K490" s="87"/>
      <c r="L490" s="86"/>
      <c r="M490" s="87"/>
      <c r="N490" s="87"/>
      <c r="O490" s="87"/>
      <c r="P490" s="87"/>
      <c r="Q490" s="87"/>
      <c r="R490" s="87"/>
      <c r="S490" s="87"/>
      <c r="T490" s="87"/>
      <c r="U490" s="87"/>
    </row>
    <row r="491" spans="1:21" ht="18.75" hidden="1" x14ac:dyDescent="0.25">
      <c r="A491" s="550"/>
      <c r="B491" s="269"/>
      <c r="C491" s="269"/>
      <c r="D491" s="625" t="s">
        <v>197</v>
      </c>
      <c r="E491" s="269"/>
      <c r="F491" s="269"/>
      <c r="G491" s="312"/>
      <c r="H491" s="268" t="s">
        <v>46</v>
      </c>
      <c r="I491" s="263"/>
      <c r="J491" s="263"/>
      <c r="K491" s="87"/>
      <c r="L491" s="86"/>
      <c r="M491" s="87"/>
      <c r="N491" s="87"/>
      <c r="O491" s="87"/>
      <c r="P491" s="87"/>
      <c r="Q491" s="87"/>
      <c r="R491" s="87"/>
      <c r="S491" s="87"/>
      <c r="T491" s="87"/>
      <c r="U491" s="87"/>
    </row>
    <row r="492" spans="1:21" ht="18.75" hidden="1" x14ac:dyDescent="0.25">
      <c r="A492" s="627"/>
      <c r="B492" s="628"/>
      <c r="C492" s="628"/>
      <c r="D492" s="628"/>
      <c r="E492" s="628"/>
      <c r="F492" s="628"/>
      <c r="G492" s="629"/>
      <c r="H492" s="630" t="s">
        <v>34</v>
      </c>
      <c r="I492" s="631"/>
      <c r="J492" s="631"/>
      <c r="K492" s="98"/>
      <c r="L492" s="97"/>
      <c r="M492" s="98"/>
      <c r="N492" s="98"/>
      <c r="O492" s="98"/>
      <c r="P492" s="98"/>
      <c r="Q492" s="98"/>
      <c r="R492" s="98"/>
      <c r="S492" s="98"/>
      <c r="T492" s="98"/>
      <c r="U492" s="98"/>
    </row>
    <row r="493" spans="1:21" ht="19.5" hidden="1" x14ac:dyDescent="0.3">
      <c r="A493" s="1282"/>
      <c r="B493" s="604" t="s">
        <v>198</v>
      </c>
      <c r="C493" s="606"/>
      <c r="D493" s="606"/>
      <c r="E493" s="607"/>
      <c r="F493" s="607"/>
      <c r="G493" s="608"/>
      <c r="H493" s="616" t="s">
        <v>35</v>
      </c>
      <c r="I493" s="617">
        <f t="shared" ref="I493:J493" ca="1" si="300">I504</f>
        <v>0</v>
      </c>
      <c r="J493" s="617">
        <f t="shared" ca="1" si="300"/>
        <v>0</v>
      </c>
      <c r="K493" s="611">
        <f ca="1">IF(I493&gt;0,J493*100/I493,0)</f>
        <v>0</v>
      </c>
      <c r="L493" s="529"/>
      <c r="M493" s="530"/>
      <c r="N493" s="530"/>
      <c r="O493" s="530"/>
      <c r="P493" s="530"/>
      <c r="Q493" s="530"/>
      <c r="R493" s="530"/>
      <c r="S493" s="530"/>
      <c r="T493" s="530"/>
      <c r="U493" s="530"/>
    </row>
    <row r="494" spans="1:21" ht="19.5" hidden="1" x14ac:dyDescent="0.3">
      <c r="A494" s="257"/>
      <c r="B494" s="269"/>
      <c r="C494" s="309" t="s">
        <v>18</v>
      </c>
      <c r="D494" s="1371" t="s">
        <v>19</v>
      </c>
      <c r="E494" s="1349"/>
      <c r="F494" s="1349"/>
      <c r="G494" s="261"/>
      <c r="H494" s="633" t="s">
        <v>14</v>
      </c>
      <c r="I494" s="263"/>
      <c r="J494" s="263"/>
      <c r="K494" s="87"/>
      <c r="L494" s="1257">
        <f t="shared" ref="L494:N494" si="301">L495+L496</f>
        <v>0</v>
      </c>
      <c r="M494" s="264">
        <f t="shared" si="301"/>
        <v>0</v>
      </c>
      <c r="N494" s="264">
        <f t="shared" si="301"/>
        <v>0</v>
      </c>
      <c r="O494" s="264">
        <f t="shared" ref="O494:O502" si="302">IF(L494&gt;0,N494*100/L494,0)</f>
        <v>0</v>
      </c>
      <c r="P494" s="264">
        <f t="shared" ref="P494:P502" si="303">IF(M494&gt;0,N494*100/M494,0)</f>
        <v>0</v>
      </c>
      <c r="Q494" s="264">
        <f t="shared" ref="Q494:S494" ca="1" si="304">Q495+Q496</f>
        <v>0</v>
      </c>
      <c r="R494" s="264">
        <f t="shared" ca="1" si="304"/>
        <v>0</v>
      </c>
      <c r="S494" s="264">
        <f t="shared" ca="1" si="304"/>
        <v>0</v>
      </c>
      <c r="T494" s="264">
        <f t="shared" ref="T494:T502" ca="1" si="305">IF(Q494&gt;0,S494*100/Q494,0)</f>
        <v>0</v>
      </c>
      <c r="U494" s="264">
        <f t="shared" ref="U494:U502" ca="1" si="306">IF(R494&gt;0,S494*100/R494,0)</f>
        <v>0</v>
      </c>
    </row>
    <row r="495" spans="1:21" ht="18.75" hidden="1" x14ac:dyDescent="0.25">
      <c r="A495" s="257"/>
      <c r="B495" s="269"/>
      <c r="C495" s="269"/>
      <c r="D495" s="277"/>
      <c r="E495" s="265" t="s">
        <v>158</v>
      </c>
      <c r="F495" s="258"/>
      <c r="G495" s="261"/>
      <c r="H495" s="273" t="s">
        <v>14</v>
      </c>
      <c r="I495" s="263"/>
      <c r="J495" s="263"/>
      <c r="K495" s="87"/>
      <c r="L495" s="76">
        <f t="shared" ref="L495:N496" si="307">L498+L501</f>
        <v>0</v>
      </c>
      <c r="M495" s="77">
        <f t="shared" si="307"/>
        <v>0</v>
      </c>
      <c r="N495" s="77">
        <f t="shared" si="307"/>
        <v>0</v>
      </c>
      <c r="O495" s="77">
        <f t="shared" si="302"/>
        <v>0</v>
      </c>
      <c r="P495" s="77">
        <f t="shared" si="303"/>
        <v>0</v>
      </c>
      <c r="Q495" s="77">
        <f t="shared" ref="Q495:S496" si="308">Q498+Q501</f>
        <v>0</v>
      </c>
      <c r="R495" s="77">
        <f t="shared" si="308"/>
        <v>0</v>
      </c>
      <c r="S495" s="77">
        <f t="shared" si="308"/>
        <v>0</v>
      </c>
      <c r="T495" s="77">
        <f t="shared" si="305"/>
        <v>0</v>
      </c>
      <c r="U495" s="77">
        <f t="shared" si="306"/>
        <v>0</v>
      </c>
    </row>
    <row r="496" spans="1:21" ht="18.75" hidden="1" x14ac:dyDescent="0.25">
      <c r="A496" s="257"/>
      <c r="B496" s="269"/>
      <c r="C496" s="269"/>
      <c r="D496" s="277"/>
      <c r="E496" s="267" t="s">
        <v>159</v>
      </c>
      <c r="F496" s="258"/>
      <c r="G496" s="261"/>
      <c r="H496" s="271" t="s">
        <v>14</v>
      </c>
      <c r="I496" s="263"/>
      <c r="J496" s="263"/>
      <c r="K496" s="87"/>
      <c r="L496" s="73">
        <f t="shared" si="307"/>
        <v>0</v>
      </c>
      <c r="M496" s="74">
        <f t="shared" si="307"/>
        <v>0</v>
      </c>
      <c r="N496" s="74">
        <f t="shared" si="307"/>
        <v>0</v>
      </c>
      <c r="O496" s="74">
        <f t="shared" si="302"/>
        <v>0</v>
      </c>
      <c r="P496" s="74">
        <f t="shared" si="303"/>
        <v>0</v>
      </c>
      <c r="Q496" s="74">
        <f t="shared" ca="1" si="308"/>
        <v>0</v>
      </c>
      <c r="R496" s="74">
        <f t="shared" ca="1" si="308"/>
        <v>0</v>
      </c>
      <c r="S496" s="74">
        <f t="shared" ca="1" si="308"/>
        <v>0</v>
      </c>
      <c r="T496" s="74">
        <f t="shared" ca="1" si="305"/>
        <v>0</v>
      </c>
      <c r="U496" s="74">
        <f t="shared" ca="1" si="306"/>
        <v>0</v>
      </c>
    </row>
    <row r="497" spans="1:21" ht="18.75" hidden="1" x14ac:dyDescent="0.25">
      <c r="A497" s="257"/>
      <c r="B497" s="269"/>
      <c r="C497" s="269"/>
      <c r="D497" s="967" t="s">
        <v>22</v>
      </c>
      <c r="E497" s="258"/>
      <c r="F497" s="258"/>
      <c r="G497" s="261"/>
      <c r="H497" s="271" t="s">
        <v>14</v>
      </c>
      <c r="I497" s="272"/>
      <c r="J497" s="272"/>
      <c r="K497" s="229"/>
      <c r="L497" s="73">
        <f t="shared" ref="L497:N497" si="309">L498+L499</f>
        <v>0</v>
      </c>
      <c r="M497" s="74">
        <f t="shared" si="309"/>
        <v>0</v>
      </c>
      <c r="N497" s="74">
        <f t="shared" si="309"/>
        <v>0</v>
      </c>
      <c r="O497" s="74">
        <f t="shared" si="302"/>
        <v>0</v>
      </c>
      <c r="P497" s="74">
        <f t="shared" si="303"/>
        <v>0</v>
      </c>
      <c r="Q497" s="74">
        <f t="shared" ref="Q497:S497" ca="1" si="310">Q498+Q499</f>
        <v>0</v>
      </c>
      <c r="R497" s="74">
        <f t="shared" ca="1" si="310"/>
        <v>0</v>
      </c>
      <c r="S497" s="74">
        <f t="shared" ca="1" si="310"/>
        <v>0</v>
      </c>
      <c r="T497" s="74">
        <f t="shared" ca="1" si="305"/>
        <v>0</v>
      </c>
      <c r="U497" s="74">
        <f t="shared" ca="1" si="306"/>
        <v>0</v>
      </c>
    </row>
    <row r="498" spans="1:21" ht="18.75" hidden="1" x14ac:dyDescent="0.25">
      <c r="A498" s="257"/>
      <c r="B498" s="269"/>
      <c r="C498" s="269"/>
      <c r="D498" s="277"/>
      <c r="E498" s="265" t="s">
        <v>158</v>
      </c>
      <c r="F498" s="258"/>
      <c r="G498" s="261"/>
      <c r="H498" s="273" t="s">
        <v>14</v>
      </c>
      <c r="I498" s="263"/>
      <c r="J498" s="263"/>
      <c r="K498" s="87"/>
      <c r="L498" s="76">
        <v>0</v>
      </c>
      <c r="M498" s="77">
        <v>0</v>
      </c>
      <c r="N498" s="77">
        <v>0</v>
      </c>
      <c r="O498" s="77">
        <f t="shared" si="302"/>
        <v>0</v>
      </c>
      <c r="P498" s="77">
        <f t="shared" si="303"/>
        <v>0</v>
      </c>
      <c r="Q498" s="77">
        <v>0</v>
      </c>
      <c r="R498" s="77">
        <v>0</v>
      </c>
      <c r="S498" s="77">
        <v>0</v>
      </c>
      <c r="T498" s="77">
        <f t="shared" si="305"/>
        <v>0</v>
      </c>
      <c r="U498" s="77">
        <f t="shared" si="306"/>
        <v>0</v>
      </c>
    </row>
    <row r="499" spans="1:21" ht="18.75" hidden="1" x14ac:dyDescent="0.25">
      <c r="A499" s="257"/>
      <c r="B499" s="269"/>
      <c r="C499" s="269"/>
      <c r="D499" s="277"/>
      <c r="E499" s="267" t="s">
        <v>159</v>
      </c>
      <c r="F499" s="258"/>
      <c r="G499" s="261"/>
      <c r="H499" s="271" t="s">
        <v>14</v>
      </c>
      <c r="I499" s="263"/>
      <c r="J499" s="263"/>
      <c r="K499" s="87"/>
      <c r="L499" s="73">
        <v>0</v>
      </c>
      <c r="M499" s="74">
        <v>0</v>
      </c>
      <c r="N499" s="74">
        <v>0</v>
      </c>
      <c r="O499" s="74">
        <f t="shared" si="302"/>
        <v>0</v>
      </c>
      <c r="P499" s="74">
        <f t="shared" si="303"/>
        <v>0</v>
      </c>
      <c r="Q499" s="74">
        <f ca="1">IFERROR(__xludf.DUMMYFUNCTION("IMPORTRANGE(""https://docs.google.com/spreadsheets/d/1ItG2mGa2ceCfYo0BwxsXqNm01IGEUdYcSSLTEv9YCik/edit?usp=sharing"",""เบิกจ่ายกองทุน!X60"")"),0)</f>
        <v>0</v>
      </c>
      <c r="R499" s="74">
        <f ca="1">IFERROR(__xludf.DUMMYFUNCTION("IMPORTRANGE(""https://docs.google.com/spreadsheets/d/1ItG2mGa2ceCfYo0BwxsXqNm01IGEUdYcSSLTEv9YCik/edit?usp=sharing"",""เบิกจ่ายกองทุน!Y60"")"),0)</f>
        <v>0</v>
      </c>
      <c r="S499" s="74">
        <f ca="1">IFERROR(__xludf.DUMMYFUNCTION("IMPORTRANGE(""https://docs.google.com/spreadsheets/d/1ItG2mGa2ceCfYo0BwxsXqNm01IGEUdYcSSLTEv9YCik/edit?usp=sharing"",""เบิกจ่ายกองทุน!Z60"")"),0)</f>
        <v>0</v>
      </c>
      <c r="T499" s="74">
        <f t="shared" ca="1" si="305"/>
        <v>0</v>
      </c>
      <c r="U499" s="74">
        <f t="shared" ca="1" si="306"/>
        <v>0</v>
      </c>
    </row>
    <row r="500" spans="1:21" ht="18.75" hidden="1" x14ac:dyDescent="0.25">
      <c r="A500" s="257"/>
      <c r="B500" s="269"/>
      <c r="C500" s="269"/>
      <c r="D500" s="967" t="s">
        <v>23</v>
      </c>
      <c r="E500" s="258"/>
      <c r="F500" s="258"/>
      <c r="G500" s="261"/>
      <c r="H500" s="275" t="s">
        <v>14</v>
      </c>
      <c r="I500" s="272"/>
      <c r="J500" s="272"/>
      <c r="K500" s="229"/>
      <c r="L500" s="73">
        <f t="shared" ref="L500:N500" si="311">L501+L502</f>
        <v>0</v>
      </c>
      <c r="M500" s="74">
        <f t="shared" si="311"/>
        <v>0</v>
      </c>
      <c r="N500" s="74">
        <f t="shared" si="311"/>
        <v>0</v>
      </c>
      <c r="O500" s="74">
        <f t="shared" si="302"/>
        <v>0</v>
      </c>
      <c r="P500" s="74">
        <f t="shared" si="303"/>
        <v>0</v>
      </c>
      <c r="Q500" s="74">
        <f t="shared" ref="Q500:S500" si="312">Q501+Q502</f>
        <v>0</v>
      </c>
      <c r="R500" s="74">
        <f t="shared" si="312"/>
        <v>0</v>
      </c>
      <c r="S500" s="74">
        <f t="shared" si="312"/>
        <v>0</v>
      </c>
      <c r="T500" s="74">
        <f t="shared" si="305"/>
        <v>0</v>
      </c>
      <c r="U500" s="74">
        <f t="shared" si="306"/>
        <v>0</v>
      </c>
    </row>
    <row r="501" spans="1:21" ht="18.75" hidden="1" x14ac:dyDescent="0.25">
      <c r="A501" s="257"/>
      <c r="B501" s="269"/>
      <c r="C501" s="269"/>
      <c r="D501" s="269"/>
      <c r="E501" s="265" t="s">
        <v>20</v>
      </c>
      <c r="F501" s="258"/>
      <c r="G501" s="261"/>
      <c r="H501" s="273" t="s">
        <v>14</v>
      </c>
      <c r="I501" s="272"/>
      <c r="J501" s="272"/>
      <c r="K501" s="229"/>
      <c r="L501" s="76">
        <v>0</v>
      </c>
      <c r="M501" s="77">
        <v>0</v>
      </c>
      <c r="N501" s="77">
        <v>0</v>
      </c>
      <c r="O501" s="77">
        <f t="shared" si="302"/>
        <v>0</v>
      </c>
      <c r="P501" s="77">
        <f t="shared" si="303"/>
        <v>0</v>
      </c>
      <c r="Q501" s="77">
        <v>0</v>
      </c>
      <c r="R501" s="77">
        <v>0</v>
      </c>
      <c r="S501" s="77">
        <v>0</v>
      </c>
      <c r="T501" s="77">
        <f t="shared" si="305"/>
        <v>0</v>
      </c>
      <c r="U501" s="77">
        <f t="shared" si="306"/>
        <v>0</v>
      </c>
    </row>
    <row r="502" spans="1:21" ht="18.75" hidden="1" x14ac:dyDescent="0.25">
      <c r="A502" s="257"/>
      <c r="B502" s="269"/>
      <c r="C502" s="269"/>
      <c r="D502" s="269"/>
      <c r="E502" s="267" t="s">
        <v>21</v>
      </c>
      <c r="F502" s="258"/>
      <c r="G502" s="261"/>
      <c r="H502" s="275" t="s">
        <v>14</v>
      </c>
      <c r="I502" s="272"/>
      <c r="J502" s="272"/>
      <c r="K502" s="229"/>
      <c r="L502" s="73">
        <v>0</v>
      </c>
      <c r="M502" s="74">
        <v>0</v>
      </c>
      <c r="N502" s="74">
        <v>0</v>
      </c>
      <c r="O502" s="74">
        <f t="shared" si="302"/>
        <v>0</v>
      </c>
      <c r="P502" s="74">
        <f t="shared" si="303"/>
        <v>0</v>
      </c>
      <c r="Q502" s="74">
        <v>0</v>
      </c>
      <c r="R502" s="74">
        <v>0</v>
      </c>
      <c r="S502" s="74">
        <v>0</v>
      </c>
      <c r="T502" s="74">
        <f t="shared" si="305"/>
        <v>0</v>
      </c>
      <c r="U502" s="74">
        <f t="shared" si="306"/>
        <v>0</v>
      </c>
    </row>
    <row r="503" spans="1:21" ht="19.5" hidden="1" x14ac:dyDescent="0.3">
      <c r="A503" s="276"/>
      <c r="B503" s="277"/>
      <c r="C503" s="309" t="s">
        <v>18</v>
      </c>
      <c r="D503" s="968" t="s">
        <v>38</v>
      </c>
      <c r="E503" s="280"/>
      <c r="F503" s="280"/>
      <c r="G503" s="281"/>
      <c r="H503" s="310"/>
      <c r="I503" s="272"/>
      <c r="J503" s="272"/>
      <c r="K503" s="229"/>
      <c r="L503" s="228"/>
      <c r="M503" s="229"/>
      <c r="N503" s="229"/>
      <c r="O503" s="229"/>
      <c r="P503" s="229"/>
      <c r="Q503" s="229"/>
      <c r="R503" s="229"/>
      <c r="S503" s="229"/>
      <c r="T503" s="229"/>
      <c r="U503" s="229"/>
    </row>
    <row r="504" spans="1:21" ht="19.5" hidden="1" x14ac:dyDescent="0.3">
      <c r="A504" s="550"/>
      <c r="B504" s="269"/>
      <c r="C504" s="269"/>
      <c r="D504" s="621" t="s">
        <v>199</v>
      </c>
      <c r="E504" s="258"/>
      <c r="F504" s="258"/>
      <c r="G504" s="261"/>
      <c r="H504" s="268" t="s">
        <v>35</v>
      </c>
      <c r="I504" s="622">
        <f ca="1">IFERROR(__xludf.DUMMYFUNCTION("IMPORTRANGE(""https://docs.google.com/spreadsheets/d/1eHaY18a8A9IcSdp1K8H6x8fbOy06t2VsZHhMHf-1x7Y/edit?usp=sharing"",""แผน!GX60"")"),0)</f>
        <v>0</v>
      </c>
      <c r="J504" s="622">
        <f ca="1">IF(AND(J505=I505,J506=I506,J507=I507,J508=I508),I504,0)</f>
        <v>0</v>
      </c>
      <c r="K504" s="264">
        <f t="shared" ref="K504:K510" ca="1" si="313">IF(I504&gt;0,J504*100/I504,0)</f>
        <v>0</v>
      </c>
      <c r="L504" s="86"/>
      <c r="M504" s="87"/>
      <c r="N504" s="87"/>
      <c r="O504" s="87"/>
      <c r="P504" s="87"/>
      <c r="Q504" s="87"/>
      <c r="R504" s="87"/>
      <c r="S504" s="87"/>
      <c r="T504" s="87"/>
      <c r="U504" s="87"/>
    </row>
    <row r="505" spans="1:21" ht="18.75" hidden="1" x14ac:dyDescent="0.25">
      <c r="A505" s="550"/>
      <c r="B505" s="269"/>
      <c r="C505" s="269"/>
      <c r="D505" s="269"/>
      <c r="E505" s="267" t="s">
        <v>200</v>
      </c>
      <c r="F505" s="258"/>
      <c r="G505" s="261"/>
      <c r="H505" s="268" t="s">
        <v>35</v>
      </c>
      <c r="I505" s="293">
        <f ca="1">IFERROR(__xludf.DUMMYFUNCTION("IMPORTRANGE(""https://docs.google.com/spreadsheets/d/1eHaY18a8A9IcSdp1K8H6x8fbOy06t2VsZHhMHf-1x7Y/edit?usp=sharing"",""แผน!GY60"")"),0)</f>
        <v>0</v>
      </c>
      <c r="J505" s="294">
        <v>0</v>
      </c>
      <c r="K505" s="74">
        <f t="shared" ca="1" si="313"/>
        <v>0</v>
      </c>
      <c r="L505" s="86"/>
      <c r="M505" s="87"/>
      <c r="N505" s="87"/>
      <c r="O505" s="87"/>
      <c r="P505" s="87"/>
      <c r="Q505" s="87"/>
      <c r="R505" s="87"/>
      <c r="S505" s="87"/>
      <c r="T505" s="87"/>
      <c r="U505" s="87"/>
    </row>
    <row r="506" spans="1:21" ht="18.75" hidden="1" x14ac:dyDescent="0.25">
      <c r="A506" s="550"/>
      <c r="B506" s="269"/>
      <c r="C506" s="269"/>
      <c r="D506" s="269"/>
      <c r="E506" s="267" t="s">
        <v>201</v>
      </c>
      <c r="F506" s="258"/>
      <c r="G506" s="261"/>
      <c r="H506" s="268" t="s">
        <v>35</v>
      </c>
      <c r="I506" s="293">
        <f ca="1">IFERROR(__xludf.DUMMYFUNCTION("IMPORTRANGE(""https://docs.google.com/spreadsheets/d/1eHaY18a8A9IcSdp1K8H6x8fbOy06t2VsZHhMHf-1x7Y/edit?usp=sharing"",""แผน!GZ60"")"),0)</f>
        <v>0</v>
      </c>
      <c r="J506" s="294">
        <v>0</v>
      </c>
      <c r="K506" s="74">
        <f t="shared" ca="1" si="313"/>
        <v>0</v>
      </c>
      <c r="L506" s="86"/>
      <c r="M506" s="87"/>
      <c r="N506" s="87"/>
      <c r="O506" s="87"/>
      <c r="P506" s="87"/>
      <c r="Q506" s="87"/>
      <c r="R506" s="87"/>
      <c r="S506" s="87"/>
      <c r="T506" s="87"/>
      <c r="U506" s="87"/>
    </row>
    <row r="507" spans="1:21" ht="18.75" hidden="1" x14ac:dyDescent="0.25">
      <c r="A507" s="550"/>
      <c r="B507" s="269"/>
      <c r="C507" s="269"/>
      <c r="D507" s="269"/>
      <c r="E507" s="267" t="s">
        <v>202</v>
      </c>
      <c r="F507" s="258"/>
      <c r="G507" s="261"/>
      <c r="H507" s="268" t="s">
        <v>35</v>
      </c>
      <c r="I507" s="293">
        <f ca="1">IFERROR(__xludf.DUMMYFUNCTION("IMPORTRANGE(""https://docs.google.com/spreadsheets/d/1eHaY18a8A9IcSdp1K8H6x8fbOy06t2VsZHhMHf-1x7Y/edit?usp=sharing"",""แผน!HA60"")"),0)</f>
        <v>0</v>
      </c>
      <c r="J507" s="294">
        <v>0</v>
      </c>
      <c r="K507" s="74">
        <f t="shared" ca="1" si="313"/>
        <v>0</v>
      </c>
      <c r="L507" s="86"/>
      <c r="M507" s="87"/>
      <c r="N507" s="87"/>
      <c r="O507" s="87"/>
      <c r="P507" s="87"/>
      <c r="Q507" s="87"/>
      <c r="R507" s="87"/>
      <c r="S507" s="87"/>
      <c r="T507" s="87"/>
      <c r="U507" s="87"/>
    </row>
    <row r="508" spans="1:21" ht="18.75" hidden="1" x14ac:dyDescent="0.25">
      <c r="A508" s="550"/>
      <c r="B508" s="269"/>
      <c r="C508" s="269"/>
      <c r="D508" s="269"/>
      <c r="E508" s="634" t="s">
        <v>203</v>
      </c>
      <c r="F508" s="258"/>
      <c r="G508" s="261"/>
      <c r="H508" s="268" t="s">
        <v>35</v>
      </c>
      <c r="I508" s="293">
        <f ca="1">IFERROR(__xludf.DUMMYFUNCTION("IMPORTRANGE(""https://docs.google.com/spreadsheets/d/1eHaY18a8A9IcSdp1K8H6x8fbOy06t2VsZHhMHf-1x7Y/edit?usp=sharing"",""แผน!HB60"")"),0)</f>
        <v>0</v>
      </c>
      <c r="J508" s="294">
        <v>0</v>
      </c>
      <c r="K508" s="74">
        <f t="shared" ca="1" si="313"/>
        <v>0</v>
      </c>
      <c r="L508" s="86"/>
      <c r="M508" s="87"/>
      <c r="N508" s="87"/>
      <c r="O508" s="87"/>
      <c r="P508" s="87"/>
      <c r="Q508" s="87"/>
      <c r="R508" s="87"/>
      <c r="S508" s="87"/>
      <c r="T508" s="87"/>
      <c r="U508" s="87"/>
    </row>
    <row r="509" spans="1:21" ht="18.75" hidden="1" x14ac:dyDescent="0.25">
      <c r="A509" s="550"/>
      <c r="B509" s="269"/>
      <c r="C509" s="269"/>
      <c r="D509" s="269"/>
      <c r="E509" s="267" t="s">
        <v>204</v>
      </c>
      <c r="F509" s="258"/>
      <c r="G509" s="261"/>
      <c r="H509" s="268" t="s">
        <v>35</v>
      </c>
      <c r="I509" s="293">
        <v>0</v>
      </c>
      <c r="J509" s="293">
        <v>0</v>
      </c>
      <c r="K509" s="74">
        <f t="shared" si="313"/>
        <v>0</v>
      </c>
      <c r="L509" s="86"/>
      <c r="M509" s="87"/>
      <c r="N509" s="87"/>
      <c r="O509" s="87"/>
      <c r="P509" s="87"/>
      <c r="Q509" s="87"/>
      <c r="R509" s="87"/>
      <c r="S509" s="87"/>
      <c r="T509" s="87"/>
      <c r="U509" s="87"/>
    </row>
    <row r="510" spans="1:21" ht="19.5" hidden="1" x14ac:dyDescent="0.3">
      <c r="A510" s="1283"/>
      <c r="B510" s="628"/>
      <c r="C510" s="628"/>
      <c r="D510" s="635" t="s">
        <v>50</v>
      </c>
      <c r="E510" s="636"/>
      <c r="F510" s="636"/>
      <c r="G510" s="637"/>
      <c r="H510" s="630" t="s">
        <v>35</v>
      </c>
      <c r="I510" s="786">
        <f ca="1">IFERROR(__xludf.DUMMYFUNCTION("IMPORTRANGE(""https://docs.google.com/spreadsheets/d/1eHaY18a8A9IcSdp1K8H6x8fbOy06t2VsZHhMHf-1x7Y/edit?usp=sharing"",""แผน!HC60"")"),0)</f>
        <v>0</v>
      </c>
      <c r="J510" s="761">
        <v>0</v>
      </c>
      <c r="K510" s="182">
        <f t="shared" ca="1" si="313"/>
        <v>0</v>
      </c>
      <c r="L510" s="97"/>
      <c r="M510" s="98"/>
      <c r="N510" s="98"/>
      <c r="O510" s="98"/>
      <c r="P510" s="98"/>
      <c r="Q510" s="98"/>
      <c r="R510" s="98"/>
      <c r="S510" s="98"/>
      <c r="T510" s="98"/>
      <c r="U510" s="98"/>
    </row>
    <row r="511" spans="1:21" ht="19.5" hidden="1" x14ac:dyDescent="0.3">
      <c r="A511" s="1197" t="s">
        <v>205</v>
      </c>
      <c r="B511" s="1198"/>
      <c r="C511" s="1198"/>
      <c r="D511" s="1198"/>
      <c r="E511" s="1199"/>
      <c r="F511" s="1199"/>
      <c r="G511" s="1199"/>
      <c r="H511" s="1198"/>
      <c r="I511" s="1200"/>
      <c r="J511" s="1200"/>
      <c r="K511" s="1201"/>
      <c r="L511" s="644"/>
      <c r="M511" s="645"/>
      <c r="N511" s="645"/>
      <c r="O511" s="645"/>
      <c r="P511" s="645"/>
      <c r="Q511" s="645"/>
      <c r="R511" s="645"/>
      <c r="S511" s="645"/>
      <c r="T511" s="645"/>
      <c r="U511" s="645"/>
    </row>
    <row r="512" spans="1:21" ht="19.5" hidden="1" x14ac:dyDescent="0.3">
      <c r="A512" s="976" t="s">
        <v>206</v>
      </c>
      <c r="B512" s="1202"/>
      <c r="C512" s="1202"/>
      <c r="D512" s="1203"/>
      <c r="E512" s="1202"/>
      <c r="F512" s="1202"/>
      <c r="G512" s="1202"/>
      <c r="H512" s="1204"/>
      <c r="I512" s="1205"/>
      <c r="J512" s="1205"/>
      <c r="K512" s="1206"/>
      <c r="L512" s="652"/>
      <c r="M512" s="653"/>
      <c r="N512" s="653"/>
      <c r="O512" s="653"/>
      <c r="P512" s="653"/>
      <c r="Q512" s="653"/>
      <c r="R512" s="653"/>
      <c r="S512" s="653"/>
      <c r="T512" s="653"/>
      <c r="U512" s="653"/>
    </row>
    <row r="513" spans="1:21" ht="19.5" hidden="1" x14ac:dyDescent="0.3">
      <c r="A513" s="681"/>
      <c r="B513" s="983" t="s">
        <v>207</v>
      </c>
      <c r="C513" s="683"/>
      <c r="D513" s="684"/>
      <c r="E513" s="684"/>
      <c r="F513" s="684"/>
      <c r="G513" s="685"/>
      <c r="H513" s="1001" t="s">
        <v>61</v>
      </c>
      <c r="I513" s="988">
        <f t="shared" ref="I513:J513" si="314">I525</f>
        <v>0</v>
      </c>
      <c r="J513" s="988">
        <f t="shared" si="314"/>
        <v>0</v>
      </c>
      <c r="K513" s="989">
        <f>IF(I513&gt;0,J513*100/I513,0)</f>
        <v>0</v>
      </c>
      <c r="L513" s="663"/>
      <c r="M513" s="664"/>
      <c r="N513" s="664"/>
      <c r="O513" s="664"/>
      <c r="P513" s="664"/>
      <c r="Q513" s="664"/>
      <c r="R513" s="664"/>
      <c r="S513" s="664"/>
      <c r="T513" s="664"/>
      <c r="U513" s="664"/>
    </row>
    <row r="514" spans="1:21" ht="19.5" hidden="1" x14ac:dyDescent="0.3">
      <c r="A514" s="257"/>
      <c r="B514" s="258"/>
      <c r="C514" s="933" t="s">
        <v>18</v>
      </c>
      <c r="D514" s="934" t="s">
        <v>19</v>
      </c>
      <c r="E514" s="258"/>
      <c r="F514" s="258"/>
      <c r="G514" s="261"/>
      <c r="H514" s="990" t="s">
        <v>14</v>
      </c>
      <c r="I514" s="263"/>
      <c r="J514" s="263"/>
      <c r="K514" s="87"/>
      <c r="L514" s="1257">
        <f t="shared" ref="L514:N514" ca="1" si="315">L515+L516</f>
        <v>0</v>
      </c>
      <c r="M514" s="264">
        <f t="shared" ca="1" si="315"/>
        <v>0</v>
      </c>
      <c r="N514" s="264">
        <f t="shared" ca="1" si="315"/>
        <v>0</v>
      </c>
      <c r="O514" s="264">
        <f t="shared" ref="O514:O522" ca="1" si="316">IF(L514&gt;0,N514*100/L514,0)</f>
        <v>0</v>
      </c>
      <c r="P514" s="264">
        <f t="shared" ref="P514:P522" ca="1" si="317">IF(M514&gt;0,N514*100/M514,0)</f>
        <v>0</v>
      </c>
      <c r="Q514" s="264">
        <f t="shared" ref="Q514:S514" si="318">Q515+Q516</f>
        <v>0</v>
      </c>
      <c r="R514" s="264">
        <f t="shared" si="318"/>
        <v>0</v>
      </c>
      <c r="S514" s="264">
        <f t="shared" si="318"/>
        <v>0</v>
      </c>
      <c r="T514" s="264">
        <f t="shared" ref="T514:T522" si="319">IF(Q514&gt;0,S514*100/Q514,0)</f>
        <v>0</v>
      </c>
      <c r="U514" s="264">
        <f t="shared" ref="U514:U522" si="320">IF(R514&gt;0,S514*100/R514,0)</f>
        <v>0</v>
      </c>
    </row>
    <row r="515" spans="1:21" ht="18.75" hidden="1" x14ac:dyDescent="0.25">
      <c r="A515" s="257"/>
      <c r="B515" s="269"/>
      <c r="C515" s="258"/>
      <c r="D515" s="258"/>
      <c r="E515" s="265" t="s">
        <v>20</v>
      </c>
      <c r="F515" s="258"/>
      <c r="G515" s="261"/>
      <c r="H515" s="266" t="s">
        <v>14</v>
      </c>
      <c r="I515" s="263"/>
      <c r="J515" s="263"/>
      <c r="K515" s="87"/>
      <c r="L515" s="76">
        <f t="shared" ref="L515:N516" si="321">L518+L521</f>
        <v>0</v>
      </c>
      <c r="M515" s="77">
        <f t="shared" si="321"/>
        <v>0</v>
      </c>
      <c r="N515" s="77">
        <f t="shared" si="321"/>
        <v>0</v>
      </c>
      <c r="O515" s="77">
        <f t="shared" si="316"/>
        <v>0</v>
      </c>
      <c r="P515" s="77">
        <f t="shared" si="317"/>
        <v>0</v>
      </c>
      <c r="Q515" s="77">
        <f t="shared" ref="Q515:S516" si="322">Q518+Q521</f>
        <v>0</v>
      </c>
      <c r="R515" s="77">
        <f t="shared" si="322"/>
        <v>0</v>
      </c>
      <c r="S515" s="77">
        <f t="shared" si="322"/>
        <v>0</v>
      </c>
      <c r="T515" s="77">
        <f t="shared" si="319"/>
        <v>0</v>
      </c>
      <c r="U515" s="77">
        <f t="shared" si="320"/>
        <v>0</v>
      </c>
    </row>
    <row r="516" spans="1:21" ht="18.75" hidden="1" x14ac:dyDescent="0.25">
      <c r="A516" s="257"/>
      <c r="B516" s="258"/>
      <c r="C516" s="269"/>
      <c r="D516" s="258"/>
      <c r="E516" s="775" t="s">
        <v>21</v>
      </c>
      <c r="F516" s="258"/>
      <c r="G516" s="261"/>
      <c r="H516" s="266" t="s">
        <v>14</v>
      </c>
      <c r="I516" s="263"/>
      <c r="J516" s="263"/>
      <c r="K516" s="87"/>
      <c r="L516" s="73">
        <f t="shared" ca="1" si="321"/>
        <v>0</v>
      </c>
      <c r="M516" s="74">
        <f t="shared" ca="1" si="321"/>
        <v>0</v>
      </c>
      <c r="N516" s="74">
        <f t="shared" ca="1" si="321"/>
        <v>0</v>
      </c>
      <c r="O516" s="74">
        <f t="shared" ca="1" si="316"/>
        <v>0</v>
      </c>
      <c r="P516" s="74">
        <f t="shared" ca="1" si="317"/>
        <v>0</v>
      </c>
      <c r="Q516" s="74">
        <f t="shared" si="322"/>
        <v>0</v>
      </c>
      <c r="R516" s="74">
        <f t="shared" si="322"/>
        <v>0</v>
      </c>
      <c r="S516" s="74">
        <f t="shared" si="322"/>
        <v>0</v>
      </c>
      <c r="T516" s="74">
        <f t="shared" si="319"/>
        <v>0</v>
      </c>
      <c r="U516" s="74">
        <f t="shared" si="320"/>
        <v>0</v>
      </c>
    </row>
    <row r="517" spans="1:21" ht="18.75" hidden="1" x14ac:dyDescent="0.25">
      <c r="A517" s="257"/>
      <c r="B517" s="258"/>
      <c r="C517" s="269"/>
      <c r="D517" s="991" t="s">
        <v>22</v>
      </c>
      <c r="E517" s="269"/>
      <c r="F517" s="258"/>
      <c r="G517" s="261"/>
      <c r="H517" s="273" t="s">
        <v>14</v>
      </c>
      <c r="I517" s="272"/>
      <c r="J517" s="272"/>
      <c r="K517" s="229"/>
      <c r="L517" s="73">
        <f t="shared" ref="L517:N517" ca="1" si="323">L518+L519</f>
        <v>0</v>
      </c>
      <c r="M517" s="74">
        <f t="shared" ca="1" si="323"/>
        <v>0</v>
      </c>
      <c r="N517" s="74">
        <f t="shared" ca="1" si="323"/>
        <v>0</v>
      </c>
      <c r="O517" s="74">
        <f t="shared" ca="1" si="316"/>
        <v>0</v>
      </c>
      <c r="P517" s="74">
        <f t="shared" ca="1" si="317"/>
        <v>0</v>
      </c>
      <c r="Q517" s="74">
        <f t="shared" ref="Q517:S517" si="324">Q518+Q519</f>
        <v>0</v>
      </c>
      <c r="R517" s="74">
        <f t="shared" si="324"/>
        <v>0</v>
      </c>
      <c r="S517" s="74">
        <f t="shared" si="324"/>
        <v>0</v>
      </c>
      <c r="T517" s="74">
        <f t="shared" si="319"/>
        <v>0</v>
      </c>
      <c r="U517" s="74">
        <f t="shared" si="320"/>
        <v>0</v>
      </c>
    </row>
    <row r="518" spans="1:21" ht="18.75" hidden="1" x14ac:dyDescent="0.25">
      <c r="A518" s="257"/>
      <c r="B518" s="258"/>
      <c r="C518" s="258"/>
      <c r="D518" s="258"/>
      <c r="E518" s="265" t="s">
        <v>36</v>
      </c>
      <c r="F518" s="258"/>
      <c r="G518" s="261"/>
      <c r="H518" s="273" t="s">
        <v>14</v>
      </c>
      <c r="I518" s="272"/>
      <c r="J518" s="272"/>
      <c r="K518" s="229"/>
      <c r="L518" s="76">
        <v>0</v>
      </c>
      <c r="M518" s="77">
        <v>0</v>
      </c>
      <c r="N518" s="77">
        <v>0</v>
      </c>
      <c r="O518" s="77">
        <f t="shared" si="316"/>
        <v>0</v>
      </c>
      <c r="P518" s="77">
        <f t="shared" si="317"/>
        <v>0</v>
      </c>
      <c r="Q518" s="77">
        <v>0</v>
      </c>
      <c r="R518" s="77">
        <v>0</v>
      </c>
      <c r="S518" s="77">
        <v>0</v>
      </c>
      <c r="T518" s="77">
        <f t="shared" si="319"/>
        <v>0</v>
      </c>
      <c r="U518" s="77">
        <f t="shared" si="320"/>
        <v>0</v>
      </c>
    </row>
    <row r="519" spans="1:21" ht="18.75" hidden="1" x14ac:dyDescent="0.25">
      <c r="A519" s="257"/>
      <c r="B519" s="258"/>
      <c r="C519" s="258"/>
      <c r="D519" s="258"/>
      <c r="E519" s="265" t="s">
        <v>37</v>
      </c>
      <c r="F519" s="258"/>
      <c r="G519" s="261"/>
      <c r="H519" s="273" t="s">
        <v>14</v>
      </c>
      <c r="I519" s="272"/>
      <c r="J519" s="272"/>
      <c r="K519" s="229"/>
      <c r="L519" s="73">
        <f ca="1">IFERROR(__xludf.DUMMYFUNCTION("IMPORTRANGE(""https://docs.google.com/spreadsheets/d/1-uDff_7J0KD5mKrp0Vvzr7lt3OU09vwQwhkpOPPYv2Y/edit?usp=sharing"",""งบพรบ!FM60"")"),0)</f>
        <v>0</v>
      </c>
      <c r="M519" s="74">
        <f ca="1">IFERROR(__xludf.DUMMYFUNCTION("IMPORTRANGE(""https://docs.google.com/spreadsheets/d/1-uDff_7J0KD5mKrp0Vvzr7lt3OU09vwQwhkpOPPYv2Y/edit?usp=sharing"",""งบพรบ!FR60"")"),0)</f>
        <v>0</v>
      </c>
      <c r="N519" s="74">
        <f ca="1">IFERROR(__xludf.DUMMYFUNCTION("IMPORTRANGE(""https://docs.google.com/spreadsheets/d/1-uDff_7J0KD5mKrp0Vvzr7lt3OU09vwQwhkpOPPYv2Y/edit?usp=sharing"",""งบพรบ!FT60"")"),0)</f>
        <v>0</v>
      </c>
      <c r="O519" s="74">
        <f t="shared" ca="1" si="316"/>
        <v>0</v>
      </c>
      <c r="P519" s="74">
        <f t="shared" ca="1" si="317"/>
        <v>0</v>
      </c>
      <c r="Q519" s="74">
        <v>0</v>
      </c>
      <c r="R519" s="74">
        <v>0</v>
      </c>
      <c r="S519" s="74">
        <v>0</v>
      </c>
      <c r="T519" s="74">
        <f t="shared" si="319"/>
        <v>0</v>
      </c>
      <c r="U519" s="74">
        <f t="shared" si="320"/>
        <v>0</v>
      </c>
    </row>
    <row r="520" spans="1:21" ht="18.75" hidden="1" x14ac:dyDescent="0.25">
      <c r="A520" s="257"/>
      <c r="B520" s="258"/>
      <c r="C520" s="258"/>
      <c r="D520" s="991" t="s">
        <v>23</v>
      </c>
      <c r="E520" s="258"/>
      <c r="F520" s="258"/>
      <c r="G520" s="261"/>
      <c r="H520" s="706" t="s">
        <v>14</v>
      </c>
      <c r="I520" s="272"/>
      <c r="J520" s="272"/>
      <c r="K520" s="229"/>
      <c r="L520" s="73">
        <f t="shared" ref="L520:N520" ca="1" si="325">L521+L522</f>
        <v>0</v>
      </c>
      <c r="M520" s="74">
        <f t="shared" ca="1" si="325"/>
        <v>0</v>
      </c>
      <c r="N520" s="74">
        <f t="shared" ca="1" si="325"/>
        <v>0</v>
      </c>
      <c r="O520" s="74">
        <f t="shared" ca="1" si="316"/>
        <v>0</v>
      </c>
      <c r="P520" s="74">
        <f t="shared" ca="1" si="317"/>
        <v>0</v>
      </c>
      <c r="Q520" s="74">
        <f t="shared" ref="Q520:S520" si="326">Q521+Q522</f>
        <v>0</v>
      </c>
      <c r="R520" s="74">
        <f t="shared" si="326"/>
        <v>0</v>
      </c>
      <c r="S520" s="74">
        <f t="shared" si="326"/>
        <v>0</v>
      </c>
      <c r="T520" s="74">
        <f t="shared" si="319"/>
        <v>0</v>
      </c>
      <c r="U520" s="74">
        <f t="shared" si="320"/>
        <v>0</v>
      </c>
    </row>
    <row r="521" spans="1:21" ht="18.75" hidden="1" x14ac:dyDescent="0.25">
      <c r="A521" s="257"/>
      <c r="B521" s="258"/>
      <c r="C521" s="258"/>
      <c r="D521" s="258"/>
      <c r="E521" s="265" t="s">
        <v>20</v>
      </c>
      <c r="F521" s="258"/>
      <c r="G521" s="261"/>
      <c r="H521" s="273" t="s">
        <v>14</v>
      </c>
      <c r="I521" s="272"/>
      <c r="J521" s="272"/>
      <c r="K521" s="229"/>
      <c r="L521" s="76">
        <v>0</v>
      </c>
      <c r="M521" s="77">
        <v>0</v>
      </c>
      <c r="N521" s="77">
        <v>0</v>
      </c>
      <c r="O521" s="77">
        <f t="shared" si="316"/>
        <v>0</v>
      </c>
      <c r="P521" s="77">
        <f t="shared" si="317"/>
        <v>0</v>
      </c>
      <c r="Q521" s="77">
        <v>0</v>
      </c>
      <c r="R521" s="77">
        <v>0</v>
      </c>
      <c r="S521" s="77">
        <v>0</v>
      </c>
      <c r="T521" s="77">
        <f t="shared" si="319"/>
        <v>0</v>
      </c>
      <c r="U521" s="77">
        <f t="shared" si="320"/>
        <v>0</v>
      </c>
    </row>
    <row r="522" spans="1:21" ht="18.75" hidden="1" x14ac:dyDescent="0.25">
      <c r="A522" s="257"/>
      <c r="B522" s="258"/>
      <c r="C522" s="258"/>
      <c r="D522" s="258"/>
      <c r="E522" s="265" t="s">
        <v>21</v>
      </c>
      <c r="F522" s="258"/>
      <c r="G522" s="261"/>
      <c r="H522" s="706" t="s">
        <v>14</v>
      </c>
      <c r="I522" s="272"/>
      <c r="J522" s="272"/>
      <c r="K522" s="229"/>
      <c r="L522" s="73">
        <f ca="1">IFERROR(__xludf.DUMMYFUNCTION("IMPORTRANGE(""https://docs.google.com/spreadsheets/d/1-uDff_7J0KD5mKrp0Vvzr7lt3OU09vwQwhkpOPPYv2Y/edit?usp=sharing"",""งบพรบ!FP60"")"),0)</f>
        <v>0</v>
      </c>
      <c r="M522" s="74">
        <f ca="1">IFERROR(__xludf.DUMMYFUNCTION("IMPORTRANGE(""https://docs.google.com/spreadsheets/d/1-uDff_7J0KD5mKrp0Vvzr7lt3OU09vwQwhkpOPPYv2Y/edit?usp=sharing"",""งบพรบ!FS60"")"),0)</f>
        <v>0</v>
      </c>
      <c r="N522" s="74">
        <f ca="1">IFERROR(__xludf.DUMMYFUNCTION("IMPORTRANGE(""https://docs.google.com/spreadsheets/d/1-uDff_7J0KD5mKrp0Vvzr7lt3OU09vwQwhkpOPPYv2Y/edit?usp=sharing"",""งบพรบ!FU60"")"),0)</f>
        <v>0</v>
      </c>
      <c r="O522" s="74">
        <f t="shared" ca="1" si="316"/>
        <v>0</v>
      </c>
      <c r="P522" s="74">
        <f t="shared" ca="1" si="317"/>
        <v>0</v>
      </c>
      <c r="Q522" s="74">
        <v>0</v>
      </c>
      <c r="R522" s="74">
        <v>0</v>
      </c>
      <c r="S522" s="74">
        <v>0</v>
      </c>
      <c r="T522" s="74">
        <f t="shared" si="319"/>
        <v>0</v>
      </c>
      <c r="U522" s="74">
        <f t="shared" si="320"/>
        <v>0</v>
      </c>
    </row>
    <row r="523" spans="1:21" ht="19.5" hidden="1" x14ac:dyDescent="0.3">
      <c r="A523" s="276"/>
      <c r="B523" s="277"/>
      <c r="C523" s="933" t="s">
        <v>18</v>
      </c>
      <c r="D523" s="940" t="s">
        <v>38</v>
      </c>
      <c r="E523" s="280"/>
      <c r="F523" s="280"/>
      <c r="G523" s="281"/>
      <c r="H523" s="282"/>
      <c r="I523" s="272"/>
      <c r="J523" s="263"/>
      <c r="K523" s="87"/>
      <c r="L523" s="86"/>
      <c r="M523" s="87"/>
      <c r="N523" s="87"/>
      <c r="O523" s="229"/>
      <c r="P523" s="229"/>
      <c r="Q523" s="87"/>
      <c r="R523" s="87"/>
      <c r="S523" s="87"/>
      <c r="T523" s="229"/>
      <c r="U523" s="229"/>
    </row>
    <row r="524" spans="1:21" ht="18.75" hidden="1" x14ac:dyDescent="0.25">
      <c r="A524" s="550"/>
      <c r="B524" s="258"/>
      <c r="C524" s="269"/>
      <c r="D524" s="311" t="s">
        <v>208</v>
      </c>
      <c r="E524" s="277"/>
      <c r="F524" s="258"/>
      <c r="G524" s="261"/>
      <c r="H524" s="921" t="s">
        <v>11</v>
      </c>
      <c r="I524" s="592">
        <v>0</v>
      </c>
      <c r="J524" s="910">
        <v>0</v>
      </c>
      <c r="K524" s="77">
        <f t="shared" ref="K524:K525" si="327">IF(I524&gt;0,J524*100/I524,0)</f>
        <v>0</v>
      </c>
      <c r="L524" s="86"/>
      <c r="M524" s="87"/>
      <c r="N524" s="87"/>
      <c r="O524" s="87"/>
      <c r="P524" s="87"/>
      <c r="Q524" s="87"/>
      <c r="R524" s="87"/>
      <c r="S524" s="87"/>
      <c r="T524" s="87"/>
      <c r="U524" s="87"/>
    </row>
    <row r="525" spans="1:21" ht="18.75" hidden="1" x14ac:dyDescent="0.25">
      <c r="A525" s="627"/>
      <c r="B525" s="636"/>
      <c r="C525" s="628"/>
      <c r="D525" s="995" t="s">
        <v>209</v>
      </c>
      <c r="E525" s="757"/>
      <c r="F525" s="636"/>
      <c r="G525" s="637"/>
      <c r="H525" s="998" t="s">
        <v>61</v>
      </c>
      <c r="I525" s="779">
        <v>0</v>
      </c>
      <c r="J525" s="999">
        <v>0</v>
      </c>
      <c r="K525" s="1000">
        <f t="shared" si="327"/>
        <v>0</v>
      </c>
      <c r="L525" s="86"/>
      <c r="M525" s="87"/>
      <c r="N525" s="87"/>
      <c r="O525" s="87"/>
      <c r="P525" s="87"/>
      <c r="Q525" s="87"/>
      <c r="R525" s="87"/>
      <c r="S525" s="87"/>
      <c r="T525" s="87"/>
      <c r="U525" s="87"/>
    </row>
    <row r="526" spans="1:21" ht="12.75" hidden="1" x14ac:dyDescent="0.2">
      <c r="A526" s="671"/>
      <c r="B526" s="672"/>
      <c r="C526" s="672"/>
      <c r="D526" s="673"/>
      <c r="E526" s="673"/>
      <c r="F526" s="673"/>
      <c r="G526" s="674"/>
      <c r="H526" s="675"/>
      <c r="I526" s="676"/>
      <c r="J526" s="676"/>
      <c r="K526" s="677"/>
      <c r="L526" s="597"/>
      <c r="M526" s="596"/>
      <c r="N526" s="596"/>
      <c r="O526" s="596"/>
      <c r="P526" s="596"/>
      <c r="Q526" s="596"/>
      <c r="R526" s="596"/>
      <c r="S526" s="596"/>
      <c r="T526" s="596"/>
      <c r="U526" s="596"/>
    </row>
    <row r="527" spans="1:21" ht="12.75" hidden="1" x14ac:dyDescent="0.2">
      <c r="A527" s="612"/>
      <c r="B527" s="593"/>
      <c r="C527" s="593"/>
      <c r="D527" s="613"/>
      <c r="E527" s="613"/>
      <c r="F527" s="613"/>
      <c r="G527" s="614"/>
      <c r="H527" s="594"/>
      <c r="I527" s="595"/>
      <c r="J527" s="595"/>
      <c r="K527" s="596"/>
      <c r="L527" s="597"/>
      <c r="M527" s="596"/>
      <c r="N527" s="596"/>
      <c r="O527" s="596"/>
      <c r="P527" s="596"/>
      <c r="Q527" s="596"/>
      <c r="R527" s="596"/>
      <c r="S527" s="596"/>
      <c r="T527" s="596"/>
      <c r="U527" s="596"/>
    </row>
    <row r="528" spans="1:21" ht="12.75" hidden="1" x14ac:dyDescent="0.2">
      <c r="A528" s="612"/>
      <c r="B528" s="593"/>
      <c r="C528" s="593"/>
      <c r="D528" s="613"/>
      <c r="E528" s="613"/>
      <c r="F528" s="613"/>
      <c r="G528" s="614"/>
      <c r="H528" s="594"/>
      <c r="I528" s="595"/>
      <c r="J528" s="595"/>
      <c r="K528" s="596"/>
      <c r="L528" s="597"/>
      <c r="M528" s="596"/>
      <c r="N528" s="596"/>
      <c r="O528" s="596"/>
      <c r="P528" s="596"/>
      <c r="Q528" s="596"/>
      <c r="R528" s="596"/>
      <c r="S528" s="596"/>
      <c r="T528" s="596"/>
      <c r="U528" s="596"/>
    </row>
    <row r="529" spans="1:21" ht="12.75" hidden="1" x14ac:dyDescent="0.2">
      <c r="A529" s="612"/>
      <c r="B529" s="593"/>
      <c r="C529" s="593"/>
      <c r="D529" s="613"/>
      <c r="E529" s="613"/>
      <c r="F529" s="613"/>
      <c r="G529" s="614"/>
      <c r="H529" s="594"/>
      <c r="I529" s="595"/>
      <c r="J529" s="595"/>
      <c r="K529" s="596"/>
      <c r="L529" s="597"/>
      <c r="M529" s="596"/>
      <c r="N529" s="596"/>
      <c r="O529" s="596"/>
      <c r="P529" s="596"/>
      <c r="Q529" s="596"/>
      <c r="R529" s="596"/>
      <c r="S529" s="596"/>
      <c r="T529" s="596"/>
      <c r="U529" s="596"/>
    </row>
    <row r="530" spans="1:21" ht="12.75" hidden="1" x14ac:dyDescent="0.2">
      <c r="A530" s="612"/>
      <c r="B530" s="593"/>
      <c r="C530" s="593"/>
      <c r="D530" s="613"/>
      <c r="E530" s="613"/>
      <c r="F530" s="613"/>
      <c r="G530" s="614"/>
      <c r="H530" s="594"/>
      <c r="I530" s="595"/>
      <c r="J530" s="595"/>
      <c r="K530" s="596"/>
      <c r="L530" s="597"/>
      <c r="M530" s="596"/>
      <c r="N530" s="596"/>
      <c r="O530" s="596"/>
      <c r="P530" s="596"/>
      <c r="Q530" s="596"/>
      <c r="R530" s="596"/>
      <c r="S530" s="596"/>
      <c r="T530" s="596"/>
      <c r="U530" s="596"/>
    </row>
    <row r="531" spans="1:21" ht="12.75" hidden="1" x14ac:dyDescent="0.2">
      <c r="A531" s="612"/>
      <c r="B531" s="593"/>
      <c r="C531" s="593"/>
      <c r="D531" s="613"/>
      <c r="E531" s="613"/>
      <c r="F531" s="613"/>
      <c r="G531" s="614"/>
      <c r="H531" s="594"/>
      <c r="I531" s="595"/>
      <c r="J531" s="595"/>
      <c r="K531" s="596"/>
      <c r="L531" s="597"/>
      <c r="M531" s="596"/>
      <c r="N531" s="596"/>
      <c r="O531" s="596"/>
      <c r="P531" s="596"/>
      <c r="Q531" s="596"/>
      <c r="R531" s="596"/>
      <c r="S531" s="596"/>
      <c r="T531" s="596"/>
      <c r="U531" s="596"/>
    </row>
    <row r="532" spans="1:21" ht="12.75" hidden="1" x14ac:dyDescent="0.2">
      <c r="A532" s="612"/>
      <c r="B532" s="593"/>
      <c r="C532" s="593"/>
      <c r="D532" s="613"/>
      <c r="E532" s="613"/>
      <c r="F532" s="613"/>
      <c r="G532" s="614"/>
      <c r="H532" s="594"/>
      <c r="I532" s="595"/>
      <c r="J532" s="595"/>
      <c r="K532" s="596"/>
      <c r="L532" s="597"/>
      <c r="M532" s="596"/>
      <c r="N532" s="596"/>
      <c r="O532" s="596"/>
      <c r="P532" s="596"/>
      <c r="Q532" s="596"/>
      <c r="R532" s="596"/>
      <c r="S532" s="596"/>
      <c r="T532" s="596"/>
      <c r="U532" s="596"/>
    </row>
    <row r="533" spans="1:21" ht="12.75" hidden="1" x14ac:dyDescent="0.2">
      <c r="A533" s="678"/>
      <c r="B533" s="598"/>
      <c r="C533" s="598"/>
      <c r="D533" s="679"/>
      <c r="E533" s="679"/>
      <c r="F533" s="679"/>
      <c r="G533" s="680"/>
      <c r="H533" s="599"/>
      <c r="I533" s="600"/>
      <c r="J533" s="600"/>
      <c r="K533" s="601"/>
      <c r="L533" s="602"/>
      <c r="M533" s="601"/>
      <c r="N533" s="601"/>
      <c r="O533" s="601"/>
      <c r="P533" s="601"/>
      <c r="Q533" s="601"/>
      <c r="R533" s="601"/>
      <c r="S533" s="601"/>
      <c r="T533" s="601"/>
      <c r="U533" s="601"/>
    </row>
    <row r="534" spans="1:21" ht="19.5" hidden="1" x14ac:dyDescent="0.3">
      <c r="A534" s="681"/>
      <c r="B534" s="682" t="s">
        <v>210</v>
      </c>
      <c r="C534" s="683"/>
      <c r="D534" s="684"/>
      <c r="E534" s="684"/>
      <c r="F534" s="684"/>
      <c r="G534" s="685"/>
      <c r="H534" s="686" t="s">
        <v>61</v>
      </c>
      <c r="I534" s="1002">
        <f t="shared" ref="I534:J534" si="328">I546</f>
        <v>0</v>
      </c>
      <c r="J534" s="1002">
        <f t="shared" si="328"/>
        <v>0</v>
      </c>
      <c r="K534" s="688">
        <f>IF(I534&gt;0,J534*100/I534,0)</f>
        <v>0</v>
      </c>
      <c r="L534" s="663"/>
      <c r="M534" s="664"/>
      <c r="N534" s="664"/>
      <c r="O534" s="664"/>
      <c r="P534" s="664"/>
      <c r="Q534" s="664"/>
      <c r="R534" s="664"/>
      <c r="S534" s="664"/>
      <c r="T534" s="664"/>
      <c r="U534" s="664"/>
    </row>
    <row r="535" spans="1:21" ht="19.5" hidden="1" x14ac:dyDescent="0.3">
      <c r="A535" s="257"/>
      <c r="B535" s="258"/>
      <c r="C535" s="259" t="s">
        <v>18</v>
      </c>
      <c r="D535" s="260" t="s">
        <v>19</v>
      </c>
      <c r="E535" s="258"/>
      <c r="F535" s="258"/>
      <c r="G535" s="261"/>
      <c r="H535" s="262" t="s">
        <v>14</v>
      </c>
      <c r="I535" s="263"/>
      <c r="J535" s="263"/>
      <c r="K535" s="87"/>
      <c r="L535" s="1257">
        <f t="shared" ref="L535:N535" si="329">L536+L537</f>
        <v>0</v>
      </c>
      <c r="M535" s="264">
        <f t="shared" si="329"/>
        <v>0</v>
      </c>
      <c r="N535" s="264">
        <f t="shared" si="329"/>
        <v>0</v>
      </c>
      <c r="O535" s="264">
        <f t="shared" ref="O535:O543" si="330">IF(L535&gt;0,N535*100/L535,0)</f>
        <v>0</v>
      </c>
      <c r="P535" s="264">
        <f t="shared" ref="P535:P543" si="331">IF(M535&gt;0,N535*100/M535,0)</f>
        <v>0</v>
      </c>
      <c r="Q535" s="264">
        <f t="shared" ref="Q535:S535" si="332">Q536+Q537</f>
        <v>0</v>
      </c>
      <c r="R535" s="264">
        <f t="shared" si="332"/>
        <v>0</v>
      </c>
      <c r="S535" s="264">
        <f t="shared" si="332"/>
        <v>0</v>
      </c>
      <c r="T535" s="264">
        <f t="shared" ref="T535:T543" si="333">IF(Q535&gt;0,S535*100/Q535,0)</f>
        <v>0</v>
      </c>
      <c r="U535" s="264">
        <f t="shared" ref="U535:U543" si="334">IF(R535&gt;0,S535*100/R535,0)</f>
        <v>0</v>
      </c>
    </row>
    <row r="536" spans="1:21" ht="18.75" hidden="1" x14ac:dyDescent="0.25">
      <c r="A536" s="257"/>
      <c r="B536" s="269"/>
      <c r="C536" s="258"/>
      <c r="D536" s="258"/>
      <c r="E536" s="265" t="s">
        <v>20</v>
      </c>
      <c r="F536" s="258"/>
      <c r="G536" s="261"/>
      <c r="H536" s="266" t="s">
        <v>14</v>
      </c>
      <c r="I536" s="263"/>
      <c r="J536" s="263"/>
      <c r="K536" s="87"/>
      <c r="L536" s="76">
        <f t="shared" ref="L536:N537" si="335">L539+L542</f>
        <v>0</v>
      </c>
      <c r="M536" s="77">
        <f t="shared" si="335"/>
        <v>0</v>
      </c>
      <c r="N536" s="77">
        <f t="shared" si="335"/>
        <v>0</v>
      </c>
      <c r="O536" s="77">
        <f t="shared" si="330"/>
        <v>0</v>
      </c>
      <c r="P536" s="77">
        <f t="shared" si="331"/>
        <v>0</v>
      </c>
      <c r="Q536" s="77">
        <f t="shared" ref="Q536:S537" si="336">Q539+Q542</f>
        <v>0</v>
      </c>
      <c r="R536" s="77">
        <f t="shared" si="336"/>
        <v>0</v>
      </c>
      <c r="S536" s="77">
        <f t="shared" si="336"/>
        <v>0</v>
      </c>
      <c r="T536" s="77">
        <f t="shared" si="333"/>
        <v>0</v>
      </c>
      <c r="U536" s="77">
        <f t="shared" si="334"/>
        <v>0</v>
      </c>
    </row>
    <row r="537" spans="1:21" ht="18.75" hidden="1" x14ac:dyDescent="0.25">
      <c r="A537" s="257"/>
      <c r="B537" s="258"/>
      <c r="C537" s="269"/>
      <c r="D537" s="258"/>
      <c r="E537" s="749" t="s">
        <v>21</v>
      </c>
      <c r="F537" s="258"/>
      <c r="G537" s="261"/>
      <c r="H537" s="268" t="s">
        <v>14</v>
      </c>
      <c r="I537" s="263"/>
      <c r="J537" s="263"/>
      <c r="K537" s="87"/>
      <c r="L537" s="73">
        <f t="shared" si="335"/>
        <v>0</v>
      </c>
      <c r="M537" s="74">
        <f t="shared" si="335"/>
        <v>0</v>
      </c>
      <c r="N537" s="74">
        <f t="shared" si="335"/>
        <v>0</v>
      </c>
      <c r="O537" s="74">
        <f t="shared" si="330"/>
        <v>0</v>
      </c>
      <c r="P537" s="74">
        <f t="shared" si="331"/>
        <v>0</v>
      </c>
      <c r="Q537" s="74">
        <f t="shared" si="336"/>
        <v>0</v>
      </c>
      <c r="R537" s="74">
        <f t="shared" si="336"/>
        <v>0</v>
      </c>
      <c r="S537" s="74">
        <f t="shared" si="336"/>
        <v>0</v>
      </c>
      <c r="T537" s="74">
        <f t="shared" si="333"/>
        <v>0</v>
      </c>
      <c r="U537" s="74">
        <f t="shared" si="334"/>
        <v>0</v>
      </c>
    </row>
    <row r="538" spans="1:21" ht="18.75" hidden="1" x14ac:dyDescent="0.25">
      <c r="A538" s="257"/>
      <c r="B538" s="258"/>
      <c r="C538" s="269"/>
      <c r="D538" s="270" t="s">
        <v>22</v>
      </c>
      <c r="E538" s="269"/>
      <c r="F538" s="258"/>
      <c r="G538" s="261"/>
      <c r="H538" s="271" t="s">
        <v>14</v>
      </c>
      <c r="I538" s="272"/>
      <c r="J538" s="272"/>
      <c r="K538" s="229"/>
      <c r="L538" s="73">
        <f t="shared" ref="L538:N538" si="337">L539+L540</f>
        <v>0</v>
      </c>
      <c r="M538" s="74">
        <f t="shared" si="337"/>
        <v>0</v>
      </c>
      <c r="N538" s="74">
        <f t="shared" si="337"/>
        <v>0</v>
      </c>
      <c r="O538" s="74">
        <f t="shared" si="330"/>
        <v>0</v>
      </c>
      <c r="P538" s="74">
        <f t="shared" si="331"/>
        <v>0</v>
      </c>
      <c r="Q538" s="74">
        <f t="shared" ref="Q538:S538" si="338">Q539+Q540</f>
        <v>0</v>
      </c>
      <c r="R538" s="74">
        <f t="shared" si="338"/>
        <v>0</v>
      </c>
      <c r="S538" s="74">
        <f t="shared" si="338"/>
        <v>0</v>
      </c>
      <c r="T538" s="74">
        <f t="shared" si="333"/>
        <v>0</v>
      </c>
      <c r="U538" s="74">
        <f t="shared" si="334"/>
        <v>0</v>
      </c>
    </row>
    <row r="539" spans="1:21" ht="18.75" hidden="1" x14ac:dyDescent="0.25">
      <c r="A539" s="257"/>
      <c r="B539" s="258"/>
      <c r="C539" s="258"/>
      <c r="D539" s="258"/>
      <c r="E539" s="265" t="s">
        <v>36</v>
      </c>
      <c r="F539" s="258"/>
      <c r="G539" s="261"/>
      <c r="H539" s="273" t="s">
        <v>14</v>
      </c>
      <c r="I539" s="272"/>
      <c r="J539" s="272"/>
      <c r="K539" s="229"/>
      <c r="L539" s="76">
        <v>0</v>
      </c>
      <c r="M539" s="77">
        <v>0</v>
      </c>
      <c r="N539" s="77">
        <v>0</v>
      </c>
      <c r="O539" s="77">
        <f t="shared" si="330"/>
        <v>0</v>
      </c>
      <c r="P539" s="77">
        <f t="shared" si="331"/>
        <v>0</v>
      </c>
      <c r="Q539" s="77">
        <v>0</v>
      </c>
      <c r="R539" s="77">
        <v>0</v>
      </c>
      <c r="S539" s="77">
        <v>0</v>
      </c>
      <c r="T539" s="77">
        <f t="shared" si="333"/>
        <v>0</v>
      </c>
      <c r="U539" s="77">
        <f t="shared" si="334"/>
        <v>0</v>
      </c>
    </row>
    <row r="540" spans="1:21" ht="18.75" hidden="1" x14ac:dyDescent="0.25">
      <c r="A540" s="257"/>
      <c r="B540" s="258"/>
      <c r="C540" s="258"/>
      <c r="D540" s="258"/>
      <c r="E540" s="267" t="s">
        <v>37</v>
      </c>
      <c r="F540" s="258"/>
      <c r="G540" s="261"/>
      <c r="H540" s="271" t="s">
        <v>14</v>
      </c>
      <c r="I540" s="272"/>
      <c r="J540" s="272"/>
      <c r="K540" s="229"/>
      <c r="L540" s="73">
        <v>0</v>
      </c>
      <c r="M540" s="74">
        <v>0</v>
      </c>
      <c r="N540" s="74">
        <v>0</v>
      </c>
      <c r="O540" s="74">
        <f t="shared" si="330"/>
        <v>0</v>
      </c>
      <c r="P540" s="74">
        <f t="shared" si="331"/>
        <v>0</v>
      </c>
      <c r="Q540" s="74">
        <v>0</v>
      </c>
      <c r="R540" s="74">
        <v>0</v>
      </c>
      <c r="S540" s="74">
        <v>0</v>
      </c>
      <c r="T540" s="74">
        <f t="shared" si="333"/>
        <v>0</v>
      </c>
      <c r="U540" s="74">
        <f t="shared" si="334"/>
        <v>0</v>
      </c>
    </row>
    <row r="541" spans="1:21" ht="18.75" hidden="1" x14ac:dyDescent="0.25">
      <c r="A541" s="257"/>
      <c r="B541" s="258"/>
      <c r="C541" s="258"/>
      <c r="D541" s="270" t="s">
        <v>23</v>
      </c>
      <c r="E541" s="258"/>
      <c r="F541" s="258"/>
      <c r="G541" s="261"/>
      <c r="H541" s="275" t="s">
        <v>14</v>
      </c>
      <c r="I541" s="272"/>
      <c r="J541" s="272"/>
      <c r="K541" s="229"/>
      <c r="L541" s="73">
        <f t="shared" ref="L541:N541" si="339">L542+L543</f>
        <v>0</v>
      </c>
      <c r="M541" s="74">
        <f t="shared" si="339"/>
        <v>0</v>
      </c>
      <c r="N541" s="74">
        <f t="shared" si="339"/>
        <v>0</v>
      </c>
      <c r="O541" s="74">
        <f t="shared" si="330"/>
        <v>0</v>
      </c>
      <c r="P541" s="74">
        <f t="shared" si="331"/>
        <v>0</v>
      </c>
      <c r="Q541" s="74">
        <f t="shared" ref="Q541:S541" si="340">Q542+Q543</f>
        <v>0</v>
      </c>
      <c r="R541" s="74">
        <f t="shared" si="340"/>
        <v>0</v>
      </c>
      <c r="S541" s="74">
        <f t="shared" si="340"/>
        <v>0</v>
      </c>
      <c r="T541" s="74">
        <f t="shared" si="333"/>
        <v>0</v>
      </c>
      <c r="U541" s="74">
        <f t="shared" si="334"/>
        <v>0</v>
      </c>
    </row>
    <row r="542" spans="1:21" ht="18.75" hidden="1" x14ac:dyDescent="0.25">
      <c r="A542" s="257"/>
      <c r="B542" s="258"/>
      <c r="C542" s="258"/>
      <c r="D542" s="258"/>
      <c r="E542" s="265" t="s">
        <v>20</v>
      </c>
      <c r="F542" s="258"/>
      <c r="G542" s="261"/>
      <c r="H542" s="273" t="s">
        <v>14</v>
      </c>
      <c r="I542" s="272"/>
      <c r="J542" s="272"/>
      <c r="K542" s="229"/>
      <c r="L542" s="76">
        <v>0</v>
      </c>
      <c r="M542" s="77">
        <v>0</v>
      </c>
      <c r="N542" s="77">
        <v>0</v>
      </c>
      <c r="O542" s="77">
        <f t="shared" si="330"/>
        <v>0</v>
      </c>
      <c r="P542" s="77">
        <f t="shared" si="331"/>
        <v>0</v>
      </c>
      <c r="Q542" s="77">
        <v>0</v>
      </c>
      <c r="R542" s="77">
        <v>0</v>
      </c>
      <c r="S542" s="77">
        <v>0</v>
      </c>
      <c r="T542" s="77">
        <f t="shared" si="333"/>
        <v>0</v>
      </c>
      <c r="U542" s="77">
        <f t="shared" si="334"/>
        <v>0</v>
      </c>
    </row>
    <row r="543" spans="1:21" ht="18.75" hidden="1" x14ac:dyDescent="0.25">
      <c r="A543" s="257"/>
      <c r="B543" s="258"/>
      <c r="C543" s="258"/>
      <c r="D543" s="258"/>
      <c r="E543" s="267" t="s">
        <v>21</v>
      </c>
      <c r="F543" s="258"/>
      <c r="G543" s="261"/>
      <c r="H543" s="275" t="s">
        <v>14</v>
      </c>
      <c r="I543" s="272"/>
      <c r="J543" s="272"/>
      <c r="K543" s="229"/>
      <c r="L543" s="73">
        <v>0</v>
      </c>
      <c r="M543" s="74">
        <v>0</v>
      </c>
      <c r="N543" s="74">
        <v>0</v>
      </c>
      <c r="O543" s="74">
        <f t="shared" si="330"/>
        <v>0</v>
      </c>
      <c r="P543" s="74">
        <f t="shared" si="331"/>
        <v>0</v>
      </c>
      <c r="Q543" s="74">
        <v>0</v>
      </c>
      <c r="R543" s="74">
        <v>0</v>
      </c>
      <c r="S543" s="74">
        <v>0</v>
      </c>
      <c r="T543" s="74">
        <f t="shared" si="333"/>
        <v>0</v>
      </c>
      <c r="U543" s="74">
        <f t="shared" si="334"/>
        <v>0</v>
      </c>
    </row>
    <row r="544" spans="1:21" ht="19.5" hidden="1" x14ac:dyDescent="0.3">
      <c r="A544" s="276"/>
      <c r="B544" s="277"/>
      <c r="C544" s="689" t="s">
        <v>18</v>
      </c>
      <c r="D544" s="1019" t="s">
        <v>38</v>
      </c>
      <c r="E544" s="280"/>
      <c r="F544" s="280"/>
      <c r="G544" s="281"/>
      <c r="H544" s="282"/>
      <c r="I544" s="272"/>
      <c r="J544" s="263"/>
      <c r="K544" s="87"/>
      <c r="L544" s="86"/>
      <c r="M544" s="87"/>
      <c r="N544" s="87"/>
      <c r="O544" s="229"/>
      <c r="P544" s="229"/>
      <c r="Q544" s="87"/>
      <c r="R544" s="87"/>
      <c r="S544" s="87"/>
      <c r="T544" s="229"/>
      <c r="U544" s="229"/>
    </row>
    <row r="545" spans="1:21" ht="12.75" hidden="1" x14ac:dyDescent="0.2">
      <c r="A545" s="612"/>
      <c r="B545" s="613"/>
      <c r="C545" s="593"/>
      <c r="D545" s="613"/>
      <c r="E545" s="593"/>
      <c r="F545" s="613"/>
      <c r="G545" s="614"/>
      <c r="H545" s="614"/>
      <c r="I545" s="595"/>
      <c r="J545" s="595"/>
      <c r="K545" s="596"/>
      <c r="L545" s="597"/>
      <c r="M545" s="596"/>
      <c r="N545" s="596"/>
      <c r="O545" s="596"/>
      <c r="P545" s="596"/>
      <c r="Q545" s="596"/>
      <c r="R545" s="596"/>
      <c r="S545" s="596"/>
      <c r="T545" s="596"/>
      <c r="U545" s="596"/>
    </row>
    <row r="546" spans="1:21" ht="12.75" hidden="1" x14ac:dyDescent="0.2">
      <c r="A546" s="612"/>
      <c r="B546" s="613"/>
      <c r="C546" s="593"/>
      <c r="D546" s="613"/>
      <c r="E546" s="593"/>
      <c r="F546" s="613"/>
      <c r="G546" s="614"/>
      <c r="H546" s="614"/>
      <c r="I546" s="595"/>
      <c r="J546" s="595"/>
      <c r="K546" s="596"/>
      <c r="L546" s="597"/>
      <c r="M546" s="596"/>
      <c r="N546" s="596"/>
      <c r="O546" s="596"/>
      <c r="P546" s="596"/>
      <c r="Q546" s="596"/>
      <c r="R546" s="596"/>
      <c r="S546" s="596"/>
      <c r="T546" s="596"/>
      <c r="U546" s="596"/>
    </row>
    <row r="547" spans="1:21" ht="12.75" hidden="1" x14ac:dyDescent="0.2">
      <c r="A547" s="612"/>
      <c r="B547" s="593"/>
      <c r="C547" s="593"/>
      <c r="D547" s="613"/>
      <c r="E547" s="613"/>
      <c r="F547" s="613"/>
      <c r="G547" s="614"/>
      <c r="H547" s="594"/>
      <c r="I547" s="595"/>
      <c r="J547" s="595"/>
      <c r="K547" s="596"/>
      <c r="L547" s="597"/>
      <c r="M547" s="596"/>
      <c r="N547" s="596"/>
      <c r="O547" s="596"/>
      <c r="P547" s="596"/>
      <c r="Q547" s="596"/>
      <c r="R547" s="596"/>
      <c r="S547" s="596"/>
      <c r="T547" s="596"/>
      <c r="U547" s="596"/>
    </row>
    <row r="548" spans="1:21" ht="12.75" hidden="1" x14ac:dyDescent="0.2">
      <c r="A548" s="612"/>
      <c r="B548" s="593"/>
      <c r="C548" s="593"/>
      <c r="D548" s="613"/>
      <c r="E548" s="613"/>
      <c r="F548" s="613"/>
      <c r="G548" s="614"/>
      <c r="H548" s="594"/>
      <c r="I548" s="595"/>
      <c r="J548" s="595"/>
      <c r="K548" s="596"/>
      <c r="L548" s="597"/>
      <c r="M548" s="596"/>
      <c r="N548" s="596"/>
      <c r="O548" s="596"/>
      <c r="P548" s="596"/>
      <c r="Q548" s="596"/>
      <c r="R548" s="596"/>
      <c r="S548" s="596"/>
      <c r="T548" s="596"/>
      <c r="U548" s="596"/>
    </row>
    <row r="549" spans="1:21" ht="12.75" hidden="1" x14ac:dyDescent="0.2">
      <c r="A549" s="612"/>
      <c r="B549" s="593"/>
      <c r="C549" s="593"/>
      <c r="D549" s="613"/>
      <c r="E549" s="613"/>
      <c r="F549" s="613"/>
      <c r="G549" s="614"/>
      <c r="H549" s="594"/>
      <c r="I549" s="595"/>
      <c r="J549" s="595"/>
      <c r="K549" s="596"/>
      <c r="L549" s="597"/>
      <c r="M549" s="596"/>
      <c r="N549" s="596"/>
      <c r="O549" s="596"/>
      <c r="P549" s="596"/>
      <c r="Q549" s="596"/>
      <c r="R549" s="596"/>
      <c r="S549" s="596"/>
      <c r="T549" s="596"/>
      <c r="U549" s="596"/>
    </row>
    <row r="550" spans="1:21" ht="12.75" hidden="1" x14ac:dyDescent="0.2">
      <c r="A550" s="612"/>
      <c r="B550" s="593"/>
      <c r="C550" s="593"/>
      <c r="D550" s="613"/>
      <c r="E550" s="613"/>
      <c r="F550" s="613"/>
      <c r="G550" s="614"/>
      <c r="H550" s="594"/>
      <c r="I550" s="595"/>
      <c r="J550" s="595"/>
      <c r="K550" s="596"/>
      <c r="L550" s="597"/>
      <c r="M550" s="596"/>
      <c r="N550" s="596"/>
      <c r="O550" s="596"/>
      <c r="P550" s="596"/>
      <c r="Q550" s="596"/>
      <c r="R550" s="596"/>
      <c r="S550" s="596"/>
      <c r="T550" s="596"/>
      <c r="U550" s="596"/>
    </row>
    <row r="551" spans="1:21" ht="12.75" hidden="1" x14ac:dyDescent="0.2">
      <c r="A551" s="612"/>
      <c r="B551" s="593"/>
      <c r="C551" s="593"/>
      <c r="D551" s="613"/>
      <c r="E551" s="613"/>
      <c r="F551" s="613"/>
      <c r="G551" s="614"/>
      <c r="H551" s="594"/>
      <c r="I551" s="595"/>
      <c r="J551" s="595"/>
      <c r="K551" s="596"/>
      <c r="L551" s="597"/>
      <c r="M551" s="596"/>
      <c r="N551" s="596"/>
      <c r="O551" s="596"/>
      <c r="P551" s="596"/>
      <c r="Q551" s="596"/>
      <c r="R551" s="596"/>
      <c r="S551" s="596"/>
      <c r="T551" s="596"/>
      <c r="U551" s="596"/>
    </row>
    <row r="552" spans="1:21" ht="12.75" hidden="1" x14ac:dyDescent="0.2">
      <c r="A552" s="612"/>
      <c r="B552" s="593"/>
      <c r="C552" s="593"/>
      <c r="D552" s="613"/>
      <c r="E552" s="613"/>
      <c r="F552" s="613"/>
      <c r="G552" s="614"/>
      <c r="H552" s="594"/>
      <c r="I552" s="595"/>
      <c r="J552" s="595"/>
      <c r="K552" s="596"/>
      <c r="L552" s="597"/>
      <c r="M552" s="596"/>
      <c r="N552" s="596"/>
      <c r="O552" s="596"/>
      <c r="P552" s="596"/>
      <c r="Q552" s="596"/>
      <c r="R552" s="596"/>
      <c r="S552" s="596"/>
      <c r="T552" s="596"/>
      <c r="U552" s="596"/>
    </row>
    <row r="553" spans="1:21" ht="12.75" hidden="1" x14ac:dyDescent="0.2">
      <c r="A553" s="612"/>
      <c r="B553" s="593"/>
      <c r="C553" s="593"/>
      <c r="D553" s="613"/>
      <c r="E553" s="613"/>
      <c r="F553" s="613"/>
      <c r="G553" s="614"/>
      <c r="H553" s="594"/>
      <c r="I553" s="595"/>
      <c r="J553" s="595"/>
      <c r="K553" s="596"/>
      <c r="L553" s="597"/>
      <c r="M553" s="596"/>
      <c r="N553" s="596"/>
      <c r="O553" s="596"/>
      <c r="P553" s="596"/>
      <c r="Q553" s="596"/>
      <c r="R553" s="596"/>
      <c r="S553" s="596"/>
      <c r="T553" s="596"/>
      <c r="U553" s="596"/>
    </row>
    <row r="554" spans="1:21" ht="12.75" hidden="1" x14ac:dyDescent="0.2">
      <c r="A554" s="678"/>
      <c r="B554" s="598"/>
      <c r="C554" s="598"/>
      <c r="D554" s="679"/>
      <c r="E554" s="679"/>
      <c r="F554" s="679"/>
      <c r="G554" s="680"/>
      <c r="H554" s="599"/>
      <c r="I554" s="600"/>
      <c r="J554" s="600"/>
      <c r="K554" s="601"/>
      <c r="L554" s="602"/>
      <c r="M554" s="601"/>
      <c r="N554" s="601"/>
      <c r="O554" s="601"/>
      <c r="P554" s="601"/>
      <c r="Q554" s="601"/>
      <c r="R554" s="601"/>
      <c r="S554" s="601"/>
      <c r="T554" s="601"/>
      <c r="U554" s="601"/>
    </row>
    <row r="555" spans="1:21" ht="19.5" hidden="1" x14ac:dyDescent="0.3">
      <c r="A555" s="681"/>
      <c r="B555" s="682" t="s">
        <v>211</v>
      </c>
      <c r="C555" s="683"/>
      <c r="D555" s="684"/>
      <c r="E555" s="684"/>
      <c r="F555" s="684"/>
      <c r="G555" s="685"/>
      <c r="H555" s="686" t="s">
        <v>61</v>
      </c>
      <c r="I555" s="1002">
        <f t="shared" ref="I555:J555" si="341">I567</f>
        <v>0</v>
      </c>
      <c r="J555" s="1002">
        <f t="shared" si="341"/>
        <v>0</v>
      </c>
      <c r="K555" s="688">
        <f>IF(I555&gt;0,J555*100/I555,0)</f>
        <v>0</v>
      </c>
      <c r="L555" s="663"/>
      <c r="M555" s="664"/>
      <c r="N555" s="664"/>
      <c r="O555" s="664"/>
      <c r="P555" s="664"/>
      <c r="Q555" s="664"/>
      <c r="R555" s="664"/>
      <c r="S555" s="664"/>
      <c r="T555" s="664"/>
      <c r="U555" s="664"/>
    </row>
    <row r="556" spans="1:21" ht="19.5" hidden="1" x14ac:dyDescent="0.3">
      <c r="A556" s="257"/>
      <c r="B556" s="258"/>
      <c r="C556" s="259" t="s">
        <v>18</v>
      </c>
      <c r="D556" s="260" t="s">
        <v>19</v>
      </c>
      <c r="E556" s="258"/>
      <c r="F556" s="258"/>
      <c r="G556" s="261"/>
      <c r="H556" s="262" t="s">
        <v>14</v>
      </c>
      <c r="I556" s="263"/>
      <c r="J556" s="263"/>
      <c r="K556" s="87"/>
      <c r="L556" s="1257">
        <f t="shared" ref="L556:N556" si="342">L557+L558</f>
        <v>0</v>
      </c>
      <c r="M556" s="264">
        <f t="shared" si="342"/>
        <v>0</v>
      </c>
      <c r="N556" s="264">
        <f t="shared" si="342"/>
        <v>0</v>
      </c>
      <c r="O556" s="264">
        <f t="shared" ref="O556:O564" si="343">IF(L556&gt;0,N556*100/L556,0)</f>
        <v>0</v>
      </c>
      <c r="P556" s="264">
        <f t="shared" ref="P556:P564" si="344">IF(M556&gt;0,N556*100/M556,0)</f>
        <v>0</v>
      </c>
      <c r="Q556" s="264">
        <f t="shared" ref="Q556:S556" si="345">Q557+Q558</f>
        <v>0</v>
      </c>
      <c r="R556" s="264">
        <f t="shared" si="345"/>
        <v>0</v>
      </c>
      <c r="S556" s="264">
        <f t="shared" si="345"/>
        <v>0</v>
      </c>
      <c r="T556" s="264">
        <f t="shared" ref="T556:T564" si="346">IF(Q556&gt;0,S556*100/Q556,0)</f>
        <v>0</v>
      </c>
      <c r="U556" s="264">
        <f t="shared" ref="U556:U564" si="347">IF(R556&gt;0,S556*100/R556,0)</f>
        <v>0</v>
      </c>
    </row>
    <row r="557" spans="1:21" ht="18.75" hidden="1" x14ac:dyDescent="0.25">
      <c r="A557" s="257"/>
      <c r="B557" s="269"/>
      <c r="C557" s="258"/>
      <c r="D557" s="258"/>
      <c r="E557" s="265" t="s">
        <v>20</v>
      </c>
      <c r="F557" s="258"/>
      <c r="G557" s="261"/>
      <c r="H557" s="266" t="s">
        <v>14</v>
      </c>
      <c r="I557" s="263"/>
      <c r="J557" s="263"/>
      <c r="K557" s="87"/>
      <c r="L557" s="76">
        <f t="shared" ref="L557:N558" si="348">L560+L563</f>
        <v>0</v>
      </c>
      <c r="M557" s="77">
        <f t="shared" si="348"/>
        <v>0</v>
      </c>
      <c r="N557" s="77">
        <f t="shared" si="348"/>
        <v>0</v>
      </c>
      <c r="O557" s="77">
        <f t="shared" si="343"/>
        <v>0</v>
      </c>
      <c r="P557" s="77">
        <f t="shared" si="344"/>
        <v>0</v>
      </c>
      <c r="Q557" s="77">
        <f t="shared" ref="Q557:S558" si="349">Q560+Q563</f>
        <v>0</v>
      </c>
      <c r="R557" s="77">
        <f t="shared" si="349"/>
        <v>0</v>
      </c>
      <c r="S557" s="77">
        <f t="shared" si="349"/>
        <v>0</v>
      </c>
      <c r="T557" s="77">
        <f t="shared" si="346"/>
        <v>0</v>
      </c>
      <c r="U557" s="77">
        <f t="shared" si="347"/>
        <v>0</v>
      </c>
    </row>
    <row r="558" spans="1:21" ht="18.75" hidden="1" x14ac:dyDescent="0.25">
      <c r="A558" s="257"/>
      <c r="B558" s="258"/>
      <c r="C558" s="269"/>
      <c r="D558" s="258"/>
      <c r="E558" s="749" t="s">
        <v>21</v>
      </c>
      <c r="F558" s="258"/>
      <c r="G558" s="261"/>
      <c r="H558" s="268" t="s">
        <v>14</v>
      </c>
      <c r="I558" s="263"/>
      <c r="J558" s="263"/>
      <c r="K558" s="87"/>
      <c r="L558" s="73">
        <f t="shared" si="348"/>
        <v>0</v>
      </c>
      <c r="M558" s="74">
        <f t="shared" si="348"/>
        <v>0</v>
      </c>
      <c r="N558" s="74">
        <f t="shared" si="348"/>
        <v>0</v>
      </c>
      <c r="O558" s="74">
        <f t="shared" si="343"/>
        <v>0</v>
      </c>
      <c r="P558" s="74">
        <f t="shared" si="344"/>
        <v>0</v>
      </c>
      <c r="Q558" s="74">
        <f t="shared" si="349"/>
        <v>0</v>
      </c>
      <c r="R558" s="74">
        <f t="shared" si="349"/>
        <v>0</v>
      </c>
      <c r="S558" s="74">
        <f t="shared" si="349"/>
        <v>0</v>
      </c>
      <c r="T558" s="74">
        <f t="shared" si="346"/>
        <v>0</v>
      </c>
      <c r="U558" s="74">
        <f t="shared" si="347"/>
        <v>0</v>
      </c>
    </row>
    <row r="559" spans="1:21" ht="18.75" hidden="1" x14ac:dyDescent="0.25">
      <c r="A559" s="257"/>
      <c r="B559" s="258"/>
      <c r="C559" s="269"/>
      <c r="D559" s="270" t="s">
        <v>22</v>
      </c>
      <c r="E559" s="269"/>
      <c r="F559" s="258"/>
      <c r="G559" s="261"/>
      <c r="H559" s="271" t="s">
        <v>14</v>
      </c>
      <c r="I559" s="272"/>
      <c r="J559" s="272"/>
      <c r="K559" s="229"/>
      <c r="L559" s="73">
        <f t="shared" ref="L559:N559" si="350">L560+L561</f>
        <v>0</v>
      </c>
      <c r="M559" s="74">
        <f t="shared" si="350"/>
        <v>0</v>
      </c>
      <c r="N559" s="74">
        <f t="shared" si="350"/>
        <v>0</v>
      </c>
      <c r="O559" s="74">
        <f t="shared" si="343"/>
        <v>0</v>
      </c>
      <c r="P559" s="74">
        <f t="shared" si="344"/>
        <v>0</v>
      </c>
      <c r="Q559" s="74">
        <f t="shared" ref="Q559:S559" si="351">Q560+Q561</f>
        <v>0</v>
      </c>
      <c r="R559" s="74">
        <f t="shared" si="351"/>
        <v>0</v>
      </c>
      <c r="S559" s="74">
        <f t="shared" si="351"/>
        <v>0</v>
      </c>
      <c r="T559" s="74">
        <f t="shared" si="346"/>
        <v>0</v>
      </c>
      <c r="U559" s="74">
        <f t="shared" si="347"/>
        <v>0</v>
      </c>
    </row>
    <row r="560" spans="1:21" ht="18.75" hidden="1" x14ac:dyDescent="0.25">
      <c r="A560" s="257"/>
      <c r="B560" s="258"/>
      <c r="C560" s="258"/>
      <c r="D560" s="258"/>
      <c r="E560" s="265" t="s">
        <v>36</v>
      </c>
      <c r="F560" s="258"/>
      <c r="G560" s="261"/>
      <c r="H560" s="273" t="s">
        <v>14</v>
      </c>
      <c r="I560" s="272"/>
      <c r="J560" s="272"/>
      <c r="K560" s="229"/>
      <c r="L560" s="76">
        <v>0</v>
      </c>
      <c r="M560" s="77">
        <v>0</v>
      </c>
      <c r="N560" s="77">
        <v>0</v>
      </c>
      <c r="O560" s="77">
        <f t="shared" si="343"/>
        <v>0</v>
      </c>
      <c r="P560" s="77">
        <f t="shared" si="344"/>
        <v>0</v>
      </c>
      <c r="Q560" s="77">
        <v>0</v>
      </c>
      <c r="R560" s="77">
        <v>0</v>
      </c>
      <c r="S560" s="77">
        <v>0</v>
      </c>
      <c r="T560" s="77">
        <f t="shared" si="346"/>
        <v>0</v>
      </c>
      <c r="U560" s="77">
        <f t="shared" si="347"/>
        <v>0</v>
      </c>
    </row>
    <row r="561" spans="1:21" ht="18.75" hidden="1" x14ac:dyDescent="0.25">
      <c r="A561" s="257"/>
      <c r="B561" s="258"/>
      <c r="C561" s="258"/>
      <c r="D561" s="258"/>
      <c r="E561" s="267" t="s">
        <v>37</v>
      </c>
      <c r="F561" s="258"/>
      <c r="G561" s="261"/>
      <c r="H561" s="271" t="s">
        <v>14</v>
      </c>
      <c r="I561" s="272"/>
      <c r="J561" s="272"/>
      <c r="K561" s="229"/>
      <c r="L561" s="73">
        <v>0</v>
      </c>
      <c r="M561" s="74">
        <v>0</v>
      </c>
      <c r="N561" s="74">
        <v>0</v>
      </c>
      <c r="O561" s="74">
        <f t="shared" si="343"/>
        <v>0</v>
      </c>
      <c r="P561" s="74">
        <f t="shared" si="344"/>
        <v>0</v>
      </c>
      <c r="Q561" s="74">
        <v>0</v>
      </c>
      <c r="R561" s="74">
        <v>0</v>
      </c>
      <c r="S561" s="74">
        <v>0</v>
      </c>
      <c r="T561" s="74">
        <f t="shared" si="346"/>
        <v>0</v>
      </c>
      <c r="U561" s="74">
        <f t="shared" si="347"/>
        <v>0</v>
      </c>
    </row>
    <row r="562" spans="1:21" ht="18.75" hidden="1" x14ac:dyDescent="0.25">
      <c r="A562" s="257"/>
      <c r="B562" s="258"/>
      <c r="C562" s="258"/>
      <c r="D562" s="270" t="s">
        <v>23</v>
      </c>
      <c r="E562" s="258"/>
      <c r="F562" s="258"/>
      <c r="G562" s="261"/>
      <c r="H562" s="275" t="s">
        <v>14</v>
      </c>
      <c r="I562" s="272"/>
      <c r="J562" s="272"/>
      <c r="K562" s="229"/>
      <c r="L562" s="73">
        <f t="shared" ref="L562:N562" si="352">L563+L564</f>
        <v>0</v>
      </c>
      <c r="M562" s="74">
        <f t="shared" si="352"/>
        <v>0</v>
      </c>
      <c r="N562" s="74">
        <f t="shared" si="352"/>
        <v>0</v>
      </c>
      <c r="O562" s="74">
        <f t="shared" si="343"/>
        <v>0</v>
      </c>
      <c r="P562" s="74">
        <f t="shared" si="344"/>
        <v>0</v>
      </c>
      <c r="Q562" s="74">
        <f t="shared" ref="Q562:S562" si="353">Q563+Q564</f>
        <v>0</v>
      </c>
      <c r="R562" s="74">
        <f t="shared" si="353"/>
        <v>0</v>
      </c>
      <c r="S562" s="74">
        <f t="shared" si="353"/>
        <v>0</v>
      </c>
      <c r="T562" s="74">
        <f t="shared" si="346"/>
        <v>0</v>
      </c>
      <c r="U562" s="74">
        <f t="shared" si="347"/>
        <v>0</v>
      </c>
    </row>
    <row r="563" spans="1:21" ht="18.75" hidden="1" x14ac:dyDescent="0.25">
      <c r="A563" s="257"/>
      <c r="B563" s="258"/>
      <c r="C563" s="258"/>
      <c r="D563" s="258"/>
      <c r="E563" s="265" t="s">
        <v>20</v>
      </c>
      <c r="F563" s="258"/>
      <c r="G563" s="261"/>
      <c r="H563" s="273" t="s">
        <v>14</v>
      </c>
      <c r="I563" s="272"/>
      <c r="J563" s="272"/>
      <c r="K563" s="229"/>
      <c r="L563" s="76">
        <v>0</v>
      </c>
      <c r="M563" s="77">
        <v>0</v>
      </c>
      <c r="N563" s="77">
        <v>0</v>
      </c>
      <c r="O563" s="77">
        <f t="shared" si="343"/>
        <v>0</v>
      </c>
      <c r="P563" s="77">
        <f t="shared" si="344"/>
        <v>0</v>
      </c>
      <c r="Q563" s="77">
        <v>0</v>
      </c>
      <c r="R563" s="77">
        <v>0</v>
      </c>
      <c r="S563" s="77">
        <v>0</v>
      </c>
      <c r="T563" s="77">
        <f t="shared" si="346"/>
        <v>0</v>
      </c>
      <c r="U563" s="77">
        <f t="shared" si="347"/>
        <v>0</v>
      </c>
    </row>
    <row r="564" spans="1:21" ht="18.75" hidden="1" x14ac:dyDescent="0.25">
      <c r="A564" s="257"/>
      <c r="B564" s="258"/>
      <c r="C564" s="258"/>
      <c r="D564" s="258"/>
      <c r="E564" s="267" t="s">
        <v>21</v>
      </c>
      <c r="F564" s="258"/>
      <c r="G564" s="261"/>
      <c r="H564" s="275" t="s">
        <v>14</v>
      </c>
      <c r="I564" s="272"/>
      <c r="J564" s="272"/>
      <c r="K564" s="229"/>
      <c r="L564" s="73">
        <v>0</v>
      </c>
      <c r="M564" s="74">
        <v>0</v>
      </c>
      <c r="N564" s="74">
        <v>0</v>
      </c>
      <c r="O564" s="74">
        <f t="shared" si="343"/>
        <v>0</v>
      </c>
      <c r="P564" s="74">
        <f t="shared" si="344"/>
        <v>0</v>
      </c>
      <c r="Q564" s="74">
        <v>0</v>
      </c>
      <c r="R564" s="74">
        <v>0</v>
      </c>
      <c r="S564" s="74">
        <v>0</v>
      </c>
      <c r="T564" s="74">
        <f t="shared" si="346"/>
        <v>0</v>
      </c>
      <c r="U564" s="74">
        <f t="shared" si="347"/>
        <v>0</v>
      </c>
    </row>
    <row r="565" spans="1:21" ht="19.5" hidden="1" x14ac:dyDescent="0.3">
      <c r="A565" s="276"/>
      <c r="B565" s="277"/>
      <c r="C565" s="689" t="s">
        <v>18</v>
      </c>
      <c r="D565" s="1019" t="s">
        <v>38</v>
      </c>
      <c r="E565" s="280"/>
      <c r="F565" s="280"/>
      <c r="G565" s="281"/>
      <c r="H565" s="282"/>
      <c r="I565" s="272"/>
      <c r="J565" s="263"/>
      <c r="K565" s="87"/>
      <c r="L565" s="86"/>
      <c r="M565" s="87"/>
      <c r="N565" s="87"/>
      <c r="O565" s="229"/>
      <c r="P565" s="229"/>
      <c r="Q565" s="87"/>
      <c r="R565" s="87"/>
      <c r="S565" s="87"/>
      <c r="T565" s="229"/>
      <c r="U565" s="229"/>
    </row>
    <row r="566" spans="1:21" ht="12.75" hidden="1" x14ac:dyDescent="0.2">
      <c r="A566" s="612"/>
      <c r="B566" s="613"/>
      <c r="C566" s="593"/>
      <c r="D566" s="613"/>
      <c r="E566" s="593"/>
      <c r="F566" s="613"/>
      <c r="G566" s="614"/>
      <c r="H566" s="614"/>
      <c r="I566" s="595"/>
      <c r="J566" s="595"/>
      <c r="K566" s="596"/>
      <c r="L566" s="597"/>
      <c r="M566" s="596"/>
      <c r="N566" s="596"/>
      <c r="O566" s="596"/>
      <c r="P566" s="596"/>
      <c r="Q566" s="596"/>
      <c r="R566" s="596"/>
      <c r="S566" s="596"/>
      <c r="T566" s="596"/>
      <c r="U566" s="596"/>
    </row>
    <row r="567" spans="1:21" ht="12.75" hidden="1" x14ac:dyDescent="0.2">
      <c r="A567" s="612"/>
      <c r="B567" s="613"/>
      <c r="C567" s="593"/>
      <c r="D567" s="613"/>
      <c r="E567" s="593"/>
      <c r="F567" s="613"/>
      <c r="G567" s="614"/>
      <c r="H567" s="614"/>
      <c r="I567" s="595"/>
      <c r="J567" s="595"/>
      <c r="K567" s="596"/>
      <c r="L567" s="597"/>
      <c r="M567" s="596"/>
      <c r="N567" s="596"/>
      <c r="O567" s="596"/>
      <c r="P567" s="596"/>
      <c r="Q567" s="596"/>
      <c r="R567" s="596"/>
      <c r="S567" s="596"/>
      <c r="T567" s="596"/>
      <c r="U567" s="596"/>
    </row>
    <row r="568" spans="1:21" ht="12.75" hidden="1" x14ac:dyDescent="0.2">
      <c r="A568" s="612"/>
      <c r="B568" s="593"/>
      <c r="C568" s="593"/>
      <c r="D568" s="613"/>
      <c r="E568" s="613"/>
      <c r="F568" s="613"/>
      <c r="G568" s="614"/>
      <c r="H568" s="594"/>
      <c r="I568" s="595"/>
      <c r="J568" s="595"/>
      <c r="K568" s="596"/>
      <c r="L568" s="597"/>
      <c r="M568" s="596"/>
      <c r="N568" s="596"/>
      <c r="O568" s="596"/>
      <c r="P568" s="596"/>
      <c r="Q568" s="596"/>
      <c r="R568" s="596"/>
      <c r="S568" s="596"/>
      <c r="T568" s="596"/>
      <c r="U568" s="596"/>
    </row>
    <row r="569" spans="1:21" ht="12.75" hidden="1" x14ac:dyDescent="0.2">
      <c r="A569" s="612"/>
      <c r="B569" s="593"/>
      <c r="C569" s="593"/>
      <c r="D569" s="613"/>
      <c r="E569" s="613"/>
      <c r="F569" s="613"/>
      <c r="G569" s="614"/>
      <c r="H569" s="594"/>
      <c r="I569" s="595"/>
      <c r="J569" s="595"/>
      <c r="K569" s="596"/>
      <c r="L569" s="597"/>
      <c r="M569" s="596"/>
      <c r="N569" s="596"/>
      <c r="O569" s="596"/>
      <c r="P569" s="596"/>
      <c r="Q569" s="596"/>
      <c r="R569" s="596"/>
      <c r="S569" s="596"/>
      <c r="T569" s="596"/>
      <c r="U569" s="596"/>
    </row>
    <row r="570" spans="1:21" ht="12.75" hidden="1" x14ac:dyDescent="0.2">
      <c r="A570" s="612"/>
      <c r="B570" s="593"/>
      <c r="C570" s="593"/>
      <c r="D570" s="613"/>
      <c r="E570" s="613"/>
      <c r="F570" s="613"/>
      <c r="G570" s="614"/>
      <c r="H570" s="594"/>
      <c r="I570" s="595"/>
      <c r="J570" s="595"/>
      <c r="K570" s="596"/>
      <c r="L570" s="597"/>
      <c r="M570" s="596"/>
      <c r="N570" s="596"/>
      <c r="O570" s="596"/>
      <c r="P570" s="596"/>
      <c r="Q570" s="596"/>
      <c r="R570" s="596"/>
      <c r="S570" s="596"/>
      <c r="T570" s="596"/>
      <c r="U570" s="596"/>
    </row>
    <row r="571" spans="1:21" ht="12.75" hidden="1" x14ac:dyDescent="0.2">
      <c r="A571" s="612"/>
      <c r="B571" s="593"/>
      <c r="C571" s="593"/>
      <c r="D571" s="613"/>
      <c r="E571" s="613"/>
      <c r="F571" s="613"/>
      <c r="G571" s="614"/>
      <c r="H571" s="594"/>
      <c r="I571" s="595"/>
      <c r="J571" s="595"/>
      <c r="K571" s="596"/>
      <c r="L571" s="597"/>
      <c r="M571" s="596"/>
      <c r="N571" s="596"/>
      <c r="O571" s="596"/>
      <c r="P571" s="596"/>
      <c r="Q571" s="596"/>
      <c r="R571" s="596"/>
      <c r="S571" s="596"/>
      <c r="T571" s="596"/>
      <c r="U571" s="596"/>
    </row>
    <row r="572" spans="1:21" ht="12.75" hidden="1" x14ac:dyDescent="0.2">
      <c r="A572" s="612"/>
      <c r="B572" s="593"/>
      <c r="C572" s="593"/>
      <c r="D572" s="613"/>
      <c r="E572" s="613"/>
      <c r="F572" s="613"/>
      <c r="G572" s="614"/>
      <c r="H572" s="594"/>
      <c r="I572" s="595"/>
      <c r="J572" s="595"/>
      <c r="K572" s="596"/>
      <c r="L572" s="597"/>
      <c r="M572" s="596"/>
      <c r="N572" s="596"/>
      <c r="O572" s="596"/>
      <c r="P572" s="596"/>
      <c r="Q572" s="596"/>
      <c r="R572" s="596"/>
      <c r="S572" s="596"/>
      <c r="T572" s="596"/>
      <c r="U572" s="596"/>
    </row>
    <row r="573" spans="1:21" ht="12.75" hidden="1" x14ac:dyDescent="0.2">
      <c r="A573" s="612"/>
      <c r="B573" s="593"/>
      <c r="C573" s="593"/>
      <c r="D573" s="613"/>
      <c r="E573" s="613"/>
      <c r="F573" s="613"/>
      <c r="G573" s="614"/>
      <c r="H573" s="594"/>
      <c r="I573" s="595"/>
      <c r="J573" s="595"/>
      <c r="K573" s="596"/>
      <c r="L573" s="597"/>
      <c r="M573" s="596"/>
      <c r="N573" s="596"/>
      <c r="O573" s="596"/>
      <c r="P573" s="596"/>
      <c r="Q573" s="596"/>
      <c r="R573" s="596"/>
      <c r="S573" s="596"/>
      <c r="T573" s="596"/>
      <c r="U573" s="596"/>
    </row>
    <row r="574" spans="1:21" ht="12.75" hidden="1" x14ac:dyDescent="0.2">
      <c r="A574" s="612"/>
      <c r="B574" s="593"/>
      <c r="C574" s="593"/>
      <c r="D574" s="613"/>
      <c r="E574" s="613"/>
      <c r="F574" s="613"/>
      <c r="G574" s="614"/>
      <c r="H574" s="594"/>
      <c r="I574" s="595"/>
      <c r="J574" s="595"/>
      <c r="K574" s="596"/>
      <c r="L574" s="597"/>
      <c r="M574" s="596"/>
      <c r="N574" s="596"/>
      <c r="O574" s="596"/>
      <c r="P574" s="596"/>
      <c r="Q574" s="596"/>
      <c r="R574" s="596"/>
      <c r="S574" s="596"/>
      <c r="T574" s="596"/>
      <c r="U574" s="596"/>
    </row>
    <row r="575" spans="1:21" ht="12.75" hidden="1" x14ac:dyDescent="0.2">
      <c r="A575" s="678"/>
      <c r="B575" s="598"/>
      <c r="C575" s="598"/>
      <c r="D575" s="679"/>
      <c r="E575" s="679"/>
      <c r="F575" s="679"/>
      <c r="G575" s="680"/>
      <c r="H575" s="599"/>
      <c r="I575" s="600"/>
      <c r="J575" s="600"/>
      <c r="K575" s="601"/>
      <c r="L575" s="602"/>
      <c r="M575" s="601"/>
      <c r="N575" s="601"/>
      <c r="O575" s="601"/>
      <c r="P575" s="601"/>
      <c r="Q575" s="601"/>
      <c r="R575" s="601"/>
      <c r="S575" s="601"/>
      <c r="T575" s="601"/>
      <c r="U575" s="601"/>
    </row>
    <row r="576" spans="1:21" ht="19.5" hidden="1" x14ac:dyDescent="0.3">
      <c r="A576" s="681"/>
      <c r="B576" s="682" t="s">
        <v>212</v>
      </c>
      <c r="C576" s="683"/>
      <c r="D576" s="684"/>
      <c r="E576" s="684"/>
      <c r="F576" s="684"/>
      <c r="G576" s="685"/>
      <c r="H576" s="686" t="s">
        <v>61</v>
      </c>
      <c r="I576" s="1002">
        <f t="shared" ref="I576:J576" si="354">I588</f>
        <v>0</v>
      </c>
      <c r="J576" s="1002">
        <f t="shared" si="354"/>
        <v>0</v>
      </c>
      <c r="K576" s="688">
        <f>IF(I576&gt;0,J576*100/I576,0)</f>
        <v>0</v>
      </c>
      <c r="L576" s="663"/>
      <c r="M576" s="664"/>
      <c r="N576" s="664"/>
      <c r="O576" s="664"/>
      <c r="P576" s="664"/>
      <c r="Q576" s="664"/>
      <c r="R576" s="664"/>
      <c r="S576" s="664"/>
      <c r="T576" s="664"/>
      <c r="U576" s="664"/>
    </row>
    <row r="577" spans="1:21" ht="19.5" hidden="1" x14ac:dyDescent="0.3">
      <c r="A577" s="257"/>
      <c r="B577" s="258"/>
      <c r="C577" s="259" t="s">
        <v>18</v>
      </c>
      <c r="D577" s="260" t="s">
        <v>19</v>
      </c>
      <c r="E577" s="258"/>
      <c r="F577" s="258"/>
      <c r="G577" s="261"/>
      <c r="H577" s="262" t="s">
        <v>14</v>
      </c>
      <c r="I577" s="263"/>
      <c r="J577" s="263"/>
      <c r="K577" s="87"/>
      <c r="L577" s="1257">
        <f t="shared" ref="L577:N577" si="355">L578+L579</f>
        <v>0</v>
      </c>
      <c r="M577" s="264">
        <f t="shared" si="355"/>
        <v>0</v>
      </c>
      <c r="N577" s="264">
        <f t="shared" si="355"/>
        <v>0</v>
      </c>
      <c r="O577" s="264">
        <f t="shared" ref="O577:O585" si="356">IF(L577&gt;0,N577*100/L577,0)</f>
        <v>0</v>
      </c>
      <c r="P577" s="264">
        <f t="shared" ref="P577:P585" si="357">IF(M577&gt;0,N577*100/M577,0)</f>
        <v>0</v>
      </c>
      <c r="Q577" s="264">
        <f t="shared" ref="Q577:S577" si="358">Q578+Q579</f>
        <v>0</v>
      </c>
      <c r="R577" s="264">
        <f t="shared" si="358"/>
        <v>0</v>
      </c>
      <c r="S577" s="264">
        <f t="shared" si="358"/>
        <v>0</v>
      </c>
      <c r="T577" s="264">
        <f t="shared" ref="T577:T585" si="359">IF(Q577&gt;0,S577*100/Q577,0)</f>
        <v>0</v>
      </c>
      <c r="U577" s="264">
        <f t="shared" ref="U577:U585" si="360">IF(R577&gt;0,S577*100/R577,0)</f>
        <v>0</v>
      </c>
    </row>
    <row r="578" spans="1:21" ht="18.75" hidden="1" x14ac:dyDescent="0.25">
      <c r="A578" s="257"/>
      <c r="B578" s="269"/>
      <c r="C578" s="258"/>
      <c r="D578" s="258"/>
      <c r="E578" s="265" t="s">
        <v>20</v>
      </c>
      <c r="F578" s="258"/>
      <c r="G578" s="261"/>
      <c r="H578" s="266" t="s">
        <v>14</v>
      </c>
      <c r="I578" s="263"/>
      <c r="J578" s="263"/>
      <c r="K578" s="87"/>
      <c r="L578" s="76">
        <f t="shared" ref="L578:N579" si="361">L581+L584</f>
        <v>0</v>
      </c>
      <c r="M578" s="77">
        <f t="shared" si="361"/>
        <v>0</v>
      </c>
      <c r="N578" s="77">
        <f t="shared" si="361"/>
        <v>0</v>
      </c>
      <c r="O578" s="77">
        <f t="shared" si="356"/>
        <v>0</v>
      </c>
      <c r="P578" s="77">
        <f t="shared" si="357"/>
        <v>0</v>
      </c>
      <c r="Q578" s="77">
        <f t="shared" ref="Q578:S579" si="362">Q581+Q584</f>
        <v>0</v>
      </c>
      <c r="R578" s="77">
        <f t="shared" si="362"/>
        <v>0</v>
      </c>
      <c r="S578" s="77">
        <f t="shared" si="362"/>
        <v>0</v>
      </c>
      <c r="T578" s="77">
        <f t="shared" si="359"/>
        <v>0</v>
      </c>
      <c r="U578" s="77">
        <f t="shared" si="360"/>
        <v>0</v>
      </c>
    </row>
    <row r="579" spans="1:21" ht="18.75" hidden="1" x14ac:dyDescent="0.25">
      <c r="A579" s="257"/>
      <c r="B579" s="258"/>
      <c r="C579" s="269"/>
      <c r="D579" s="258"/>
      <c r="E579" s="749" t="s">
        <v>21</v>
      </c>
      <c r="F579" s="258"/>
      <c r="G579" s="261"/>
      <c r="H579" s="268" t="s">
        <v>14</v>
      </c>
      <c r="I579" s="263"/>
      <c r="J579" s="263"/>
      <c r="K579" s="87"/>
      <c r="L579" s="73">
        <f t="shared" si="361"/>
        <v>0</v>
      </c>
      <c r="M579" s="74">
        <f t="shared" si="361"/>
        <v>0</v>
      </c>
      <c r="N579" s="74">
        <f t="shared" si="361"/>
        <v>0</v>
      </c>
      <c r="O579" s="74">
        <f t="shared" si="356"/>
        <v>0</v>
      </c>
      <c r="P579" s="74">
        <f t="shared" si="357"/>
        <v>0</v>
      </c>
      <c r="Q579" s="74">
        <f t="shared" si="362"/>
        <v>0</v>
      </c>
      <c r="R579" s="74">
        <f t="shared" si="362"/>
        <v>0</v>
      </c>
      <c r="S579" s="74">
        <f t="shared" si="362"/>
        <v>0</v>
      </c>
      <c r="T579" s="74">
        <f t="shared" si="359"/>
        <v>0</v>
      </c>
      <c r="U579" s="74">
        <f t="shared" si="360"/>
        <v>0</v>
      </c>
    </row>
    <row r="580" spans="1:21" ht="18.75" hidden="1" x14ac:dyDescent="0.25">
      <c r="A580" s="257"/>
      <c r="B580" s="258"/>
      <c r="C580" s="269"/>
      <c r="D580" s="270" t="s">
        <v>22</v>
      </c>
      <c r="E580" s="269"/>
      <c r="F580" s="258"/>
      <c r="G580" s="261"/>
      <c r="H580" s="271" t="s">
        <v>14</v>
      </c>
      <c r="I580" s="272"/>
      <c r="J580" s="272"/>
      <c r="K580" s="229"/>
      <c r="L580" s="73">
        <f t="shared" ref="L580:N580" si="363">L581+L582</f>
        <v>0</v>
      </c>
      <c r="M580" s="74">
        <f t="shared" si="363"/>
        <v>0</v>
      </c>
      <c r="N580" s="74">
        <f t="shared" si="363"/>
        <v>0</v>
      </c>
      <c r="O580" s="74">
        <f t="shared" si="356"/>
        <v>0</v>
      </c>
      <c r="P580" s="74">
        <f t="shared" si="357"/>
        <v>0</v>
      </c>
      <c r="Q580" s="74">
        <f t="shared" ref="Q580:S580" si="364">Q581+Q582</f>
        <v>0</v>
      </c>
      <c r="R580" s="74">
        <f t="shared" si="364"/>
        <v>0</v>
      </c>
      <c r="S580" s="74">
        <f t="shared" si="364"/>
        <v>0</v>
      </c>
      <c r="T580" s="74">
        <f t="shared" si="359"/>
        <v>0</v>
      </c>
      <c r="U580" s="74">
        <f t="shared" si="360"/>
        <v>0</v>
      </c>
    </row>
    <row r="581" spans="1:21" ht="18.75" hidden="1" x14ac:dyDescent="0.25">
      <c r="A581" s="257"/>
      <c r="B581" s="258"/>
      <c r="C581" s="258"/>
      <c r="D581" s="258"/>
      <c r="E581" s="265" t="s">
        <v>36</v>
      </c>
      <c r="F581" s="258"/>
      <c r="G581" s="261"/>
      <c r="H581" s="273" t="s">
        <v>14</v>
      </c>
      <c r="I581" s="272"/>
      <c r="J581" s="272"/>
      <c r="K581" s="229"/>
      <c r="L581" s="76">
        <v>0</v>
      </c>
      <c r="M581" s="77">
        <v>0</v>
      </c>
      <c r="N581" s="77">
        <v>0</v>
      </c>
      <c r="O581" s="77">
        <f t="shared" si="356"/>
        <v>0</v>
      </c>
      <c r="P581" s="77">
        <f t="shared" si="357"/>
        <v>0</v>
      </c>
      <c r="Q581" s="77">
        <v>0</v>
      </c>
      <c r="R581" s="77">
        <v>0</v>
      </c>
      <c r="S581" s="77">
        <v>0</v>
      </c>
      <c r="T581" s="77">
        <f t="shared" si="359"/>
        <v>0</v>
      </c>
      <c r="U581" s="77">
        <f t="shared" si="360"/>
        <v>0</v>
      </c>
    </row>
    <row r="582" spans="1:21" ht="18.75" hidden="1" x14ac:dyDescent="0.25">
      <c r="A582" s="257"/>
      <c r="B582" s="258"/>
      <c r="C582" s="258"/>
      <c r="D582" s="258"/>
      <c r="E582" s="267" t="s">
        <v>37</v>
      </c>
      <c r="F582" s="258"/>
      <c r="G582" s="261"/>
      <c r="H582" s="271" t="s">
        <v>14</v>
      </c>
      <c r="I582" s="272"/>
      <c r="J582" s="272"/>
      <c r="K582" s="229"/>
      <c r="L582" s="73">
        <v>0</v>
      </c>
      <c r="M582" s="74">
        <v>0</v>
      </c>
      <c r="N582" s="74">
        <v>0</v>
      </c>
      <c r="O582" s="74">
        <f t="shared" si="356"/>
        <v>0</v>
      </c>
      <c r="P582" s="74">
        <f t="shared" si="357"/>
        <v>0</v>
      </c>
      <c r="Q582" s="74">
        <v>0</v>
      </c>
      <c r="R582" s="74">
        <v>0</v>
      </c>
      <c r="S582" s="74">
        <v>0</v>
      </c>
      <c r="T582" s="74">
        <f t="shared" si="359"/>
        <v>0</v>
      </c>
      <c r="U582" s="74">
        <f t="shared" si="360"/>
        <v>0</v>
      </c>
    </row>
    <row r="583" spans="1:21" ht="18.75" hidden="1" x14ac:dyDescent="0.25">
      <c r="A583" s="257"/>
      <c r="B583" s="258"/>
      <c r="C583" s="258"/>
      <c r="D583" s="270" t="s">
        <v>23</v>
      </c>
      <c r="E583" s="258"/>
      <c r="F583" s="258"/>
      <c r="G583" s="261"/>
      <c r="H583" s="275" t="s">
        <v>14</v>
      </c>
      <c r="I583" s="272"/>
      <c r="J583" s="272"/>
      <c r="K583" s="229"/>
      <c r="L583" s="73">
        <f t="shared" ref="L583:N583" si="365">L584+L585</f>
        <v>0</v>
      </c>
      <c r="M583" s="74">
        <f t="shared" si="365"/>
        <v>0</v>
      </c>
      <c r="N583" s="74">
        <f t="shared" si="365"/>
        <v>0</v>
      </c>
      <c r="O583" s="74">
        <f t="shared" si="356"/>
        <v>0</v>
      </c>
      <c r="P583" s="74">
        <f t="shared" si="357"/>
        <v>0</v>
      </c>
      <c r="Q583" s="74">
        <f t="shared" ref="Q583:S583" si="366">Q584+Q585</f>
        <v>0</v>
      </c>
      <c r="R583" s="74">
        <f t="shared" si="366"/>
        <v>0</v>
      </c>
      <c r="S583" s="74">
        <f t="shared" si="366"/>
        <v>0</v>
      </c>
      <c r="T583" s="74">
        <f t="shared" si="359"/>
        <v>0</v>
      </c>
      <c r="U583" s="74">
        <f t="shared" si="360"/>
        <v>0</v>
      </c>
    </row>
    <row r="584" spans="1:21" ht="18.75" hidden="1" x14ac:dyDescent="0.25">
      <c r="A584" s="257"/>
      <c r="B584" s="258"/>
      <c r="C584" s="258"/>
      <c r="D584" s="258"/>
      <c r="E584" s="265" t="s">
        <v>20</v>
      </c>
      <c r="F584" s="258"/>
      <c r="G584" s="261"/>
      <c r="H584" s="273" t="s">
        <v>14</v>
      </c>
      <c r="I584" s="272"/>
      <c r="J584" s="272"/>
      <c r="K584" s="229"/>
      <c r="L584" s="76">
        <v>0</v>
      </c>
      <c r="M584" s="77">
        <v>0</v>
      </c>
      <c r="N584" s="77">
        <v>0</v>
      </c>
      <c r="O584" s="77">
        <f t="shared" si="356"/>
        <v>0</v>
      </c>
      <c r="P584" s="77">
        <f t="shared" si="357"/>
        <v>0</v>
      </c>
      <c r="Q584" s="77">
        <v>0</v>
      </c>
      <c r="R584" s="77">
        <v>0</v>
      </c>
      <c r="S584" s="77">
        <v>0</v>
      </c>
      <c r="T584" s="77">
        <f t="shared" si="359"/>
        <v>0</v>
      </c>
      <c r="U584" s="77">
        <f t="shared" si="360"/>
        <v>0</v>
      </c>
    </row>
    <row r="585" spans="1:21" ht="18.75" hidden="1" x14ac:dyDescent="0.25">
      <c r="A585" s="257"/>
      <c r="B585" s="258"/>
      <c r="C585" s="258"/>
      <c r="D585" s="258"/>
      <c r="E585" s="267" t="s">
        <v>21</v>
      </c>
      <c r="F585" s="258"/>
      <c r="G585" s="261"/>
      <c r="H585" s="275" t="s">
        <v>14</v>
      </c>
      <c r="I585" s="272"/>
      <c r="J585" s="272"/>
      <c r="K585" s="229"/>
      <c r="L585" s="73">
        <v>0</v>
      </c>
      <c r="M585" s="74">
        <v>0</v>
      </c>
      <c r="N585" s="74">
        <v>0</v>
      </c>
      <c r="O585" s="74">
        <f t="shared" si="356"/>
        <v>0</v>
      </c>
      <c r="P585" s="74">
        <f t="shared" si="357"/>
        <v>0</v>
      </c>
      <c r="Q585" s="74">
        <v>0</v>
      </c>
      <c r="R585" s="74">
        <v>0</v>
      </c>
      <c r="S585" s="74">
        <v>0</v>
      </c>
      <c r="T585" s="74">
        <f t="shared" si="359"/>
        <v>0</v>
      </c>
      <c r="U585" s="74">
        <f t="shared" si="360"/>
        <v>0</v>
      </c>
    </row>
    <row r="586" spans="1:21" ht="19.5" hidden="1" x14ac:dyDescent="0.3">
      <c r="A586" s="276"/>
      <c r="B586" s="277"/>
      <c r="C586" s="689" t="s">
        <v>18</v>
      </c>
      <c r="D586" s="1019" t="s">
        <v>38</v>
      </c>
      <c r="E586" s="280"/>
      <c r="F586" s="280"/>
      <c r="G586" s="281"/>
      <c r="H586" s="282"/>
      <c r="I586" s="272"/>
      <c r="J586" s="263"/>
      <c r="K586" s="87"/>
      <c r="L586" s="86"/>
      <c r="M586" s="87"/>
      <c r="N586" s="87"/>
      <c r="O586" s="229"/>
      <c r="P586" s="229"/>
      <c r="Q586" s="87"/>
      <c r="R586" s="87"/>
      <c r="S586" s="87"/>
      <c r="T586" s="229"/>
      <c r="U586" s="229"/>
    </row>
    <row r="587" spans="1:21" ht="12.75" hidden="1" x14ac:dyDescent="0.2">
      <c r="A587" s="612"/>
      <c r="B587" s="613"/>
      <c r="C587" s="593"/>
      <c r="D587" s="613"/>
      <c r="E587" s="593"/>
      <c r="F587" s="613"/>
      <c r="G587" s="614"/>
      <c r="H587" s="614"/>
      <c r="I587" s="595"/>
      <c r="J587" s="595"/>
      <c r="K587" s="596"/>
      <c r="L587" s="597"/>
      <c r="M587" s="596"/>
      <c r="N587" s="596"/>
      <c r="O587" s="596"/>
      <c r="P587" s="596"/>
      <c r="Q587" s="596"/>
      <c r="R587" s="596"/>
      <c r="S587" s="596"/>
      <c r="T587" s="596"/>
      <c r="U587" s="596"/>
    </row>
    <row r="588" spans="1:21" ht="12.75" hidden="1" x14ac:dyDescent="0.2">
      <c r="A588" s="612"/>
      <c r="B588" s="613"/>
      <c r="C588" s="593"/>
      <c r="D588" s="613"/>
      <c r="E588" s="593"/>
      <c r="F588" s="613"/>
      <c r="G588" s="614"/>
      <c r="H588" s="614"/>
      <c r="I588" s="595"/>
      <c r="J588" s="595"/>
      <c r="K588" s="596"/>
      <c r="L588" s="597"/>
      <c r="M588" s="596"/>
      <c r="N588" s="596"/>
      <c r="O588" s="596"/>
      <c r="P588" s="596"/>
      <c r="Q588" s="596"/>
      <c r="R588" s="596"/>
      <c r="S588" s="596"/>
      <c r="T588" s="596"/>
      <c r="U588" s="596"/>
    </row>
    <row r="589" spans="1:21" ht="12.75" hidden="1" x14ac:dyDescent="0.2">
      <c r="A589" s="612"/>
      <c r="B589" s="593"/>
      <c r="C589" s="593"/>
      <c r="D589" s="613"/>
      <c r="E589" s="613"/>
      <c r="F589" s="613"/>
      <c r="G589" s="614"/>
      <c r="H589" s="594"/>
      <c r="I589" s="595"/>
      <c r="J589" s="595"/>
      <c r="K589" s="596"/>
      <c r="L589" s="597"/>
      <c r="M589" s="596"/>
      <c r="N589" s="596"/>
      <c r="O589" s="596"/>
      <c r="P589" s="596"/>
      <c r="Q589" s="596"/>
      <c r="R589" s="596"/>
      <c r="S589" s="596"/>
      <c r="T589" s="596"/>
      <c r="U589" s="596"/>
    </row>
    <row r="590" spans="1:21" ht="12.75" hidden="1" x14ac:dyDescent="0.2">
      <c r="A590" s="612"/>
      <c r="B590" s="593"/>
      <c r="C590" s="593"/>
      <c r="D590" s="613"/>
      <c r="E590" s="613"/>
      <c r="F590" s="613"/>
      <c r="G590" s="614"/>
      <c r="H590" s="594"/>
      <c r="I590" s="595"/>
      <c r="J590" s="595"/>
      <c r="K590" s="596"/>
      <c r="L590" s="597"/>
      <c r="M590" s="596"/>
      <c r="N590" s="596"/>
      <c r="O590" s="596"/>
      <c r="P590" s="596"/>
      <c r="Q590" s="596"/>
      <c r="R590" s="596"/>
      <c r="S590" s="596"/>
      <c r="T590" s="596"/>
      <c r="U590" s="596"/>
    </row>
    <row r="591" spans="1:21" ht="12.75" hidden="1" x14ac:dyDescent="0.2">
      <c r="A591" s="612"/>
      <c r="B591" s="593"/>
      <c r="C591" s="593"/>
      <c r="D591" s="613"/>
      <c r="E591" s="613"/>
      <c r="F591" s="613"/>
      <c r="G591" s="614"/>
      <c r="H591" s="594"/>
      <c r="I591" s="595"/>
      <c r="J591" s="595"/>
      <c r="K591" s="596"/>
      <c r="L591" s="597"/>
      <c r="M591" s="596"/>
      <c r="N591" s="596"/>
      <c r="O591" s="596"/>
      <c r="P591" s="596"/>
      <c r="Q591" s="596"/>
      <c r="R591" s="596"/>
      <c r="S591" s="596"/>
      <c r="T591" s="596"/>
      <c r="U591" s="596"/>
    </row>
    <row r="592" spans="1:21" ht="12.75" hidden="1" x14ac:dyDescent="0.2">
      <c r="A592" s="612"/>
      <c r="B592" s="593"/>
      <c r="C592" s="593"/>
      <c r="D592" s="613"/>
      <c r="E592" s="613"/>
      <c r="F592" s="613"/>
      <c r="G592" s="614"/>
      <c r="H592" s="594"/>
      <c r="I592" s="595"/>
      <c r="J592" s="595"/>
      <c r="K592" s="596"/>
      <c r="L592" s="597"/>
      <c r="M592" s="596"/>
      <c r="N592" s="596"/>
      <c r="O592" s="596"/>
      <c r="P592" s="596"/>
      <c r="Q592" s="596"/>
      <c r="R592" s="596"/>
      <c r="S592" s="596"/>
      <c r="T592" s="596"/>
      <c r="U592" s="596"/>
    </row>
    <row r="593" spans="1:21" ht="12.75" hidden="1" x14ac:dyDescent="0.2">
      <c r="A593" s="612"/>
      <c r="B593" s="593"/>
      <c r="C593" s="593"/>
      <c r="D593" s="613"/>
      <c r="E593" s="613"/>
      <c r="F593" s="613"/>
      <c r="G593" s="614"/>
      <c r="H593" s="594"/>
      <c r="I593" s="595"/>
      <c r="J593" s="595"/>
      <c r="K593" s="596"/>
      <c r="L593" s="597"/>
      <c r="M593" s="596"/>
      <c r="N593" s="596"/>
      <c r="O593" s="596"/>
      <c r="P593" s="596"/>
      <c r="Q593" s="596"/>
      <c r="R593" s="596"/>
      <c r="S593" s="596"/>
      <c r="T593" s="596"/>
      <c r="U593" s="596"/>
    </row>
    <row r="594" spans="1:21" ht="12.75" hidden="1" x14ac:dyDescent="0.2">
      <c r="A594" s="612"/>
      <c r="B594" s="593"/>
      <c r="C594" s="593"/>
      <c r="D594" s="613"/>
      <c r="E594" s="613"/>
      <c r="F594" s="613"/>
      <c r="G594" s="614"/>
      <c r="H594" s="594"/>
      <c r="I594" s="595"/>
      <c r="J594" s="595"/>
      <c r="K594" s="596"/>
      <c r="L594" s="597"/>
      <c r="M594" s="596"/>
      <c r="N594" s="596"/>
      <c r="O594" s="596"/>
      <c r="P594" s="596"/>
      <c r="Q594" s="596"/>
      <c r="R594" s="596"/>
      <c r="S594" s="596"/>
      <c r="T594" s="596"/>
      <c r="U594" s="596"/>
    </row>
    <row r="595" spans="1:21" ht="12.75" hidden="1" x14ac:dyDescent="0.2">
      <c r="A595" s="612"/>
      <c r="B595" s="593"/>
      <c r="C595" s="593"/>
      <c r="D595" s="613"/>
      <c r="E595" s="613"/>
      <c r="F595" s="613"/>
      <c r="G595" s="614"/>
      <c r="H595" s="594"/>
      <c r="I595" s="595"/>
      <c r="J595" s="595"/>
      <c r="K595" s="596"/>
      <c r="L595" s="597"/>
      <c r="M595" s="596"/>
      <c r="N595" s="596"/>
      <c r="O595" s="596"/>
      <c r="P595" s="596"/>
      <c r="Q595" s="596"/>
      <c r="R595" s="596"/>
      <c r="S595" s="596"/>
      <c r="T595" s="596"/>
      <c r="U595" s="596"/>
    </row>
    <row r="596" spans="1:21" ht="12.75" hidden="1" x14ac:dyDescent="0.2">
      <c r="A596" s="678"/>
      <c r="B596" s="598"/>
      <c r="C596" s="598"/>
      <c r="D596" s="679"/>
      <c r="E596" s="679"/>
      <c r="F596" s="679"/>
      <c r="G596" s="680"/>
      <c r="H596" s="599"/>
      <c r="I596" s="600"/>
      <c r="J596" s="600"/>
      <c r="K596" s="601"/>
      <c r="L596" s="602"/>
      <c r="M596" s="601"/>
      <c r="N596" s="601"/>
      <c r="O596" s="601"/>
      <c r="P596" s="601"/>
      <c r="Q596" s="601"/>
      <c r="R596" s="601"/>
      <c r="S596" s="601"/>
      <c r="T596" s="601"/>
      <c r="U596" s="601"/>
    </row>
    <row r="597" spans="1:21" ht="19.5" hidden="1" x14ac:dyDescent="0.3">
      <c r="A597" s="690" t="s">
        <v>213</v>
      </c>
      <c r="B597" s="691"/>
      <c r="C597" s="692"/>
      <c r="D597" s="691"/>
      <c r="E597" s="691"/>
      <c r="F597" s="691"/>
      <c r="G597" s="691"/>
      <c r="H597" s="693"/>
      <c r="I597" s="694"/>
      <c r="J597" s="694"/>
      <c r="K597" s="695"/>
      <c r="L597" s="200"/>
      <c r="M597" s="200"/>
      <c r="N597" s="200"/>
      <c r="O597" s="200"/>
      <c r="P597" s="200"/>
      <c r="Q597" s="200"/>
      <c r="R597" s="200"/>
      <c r="S597" s="200"/>
      <c r="T597" s="200"/>
      <c r="U597" s="200"/>
    </row>
    <row r="598" spans="1:21" ht="19.5" hidden="1" x14ac:dyDescent="0.3">
      <c r="A598" s="250"/>
      <c r="B598" s="696" t="s">
        <v>214</v>
      </c>
      <c r="C598" s="304"/>
      <c r="D598" s="253"/>
      <c r="E598" s="252"/>
      <c r="F598" s="252"/>
      <c r="G598" s="252"/>
      <c r="H598" s="697" t="s">
        <v>99</v>
      </c>
      <c r="I598" s="698"/>
      <c r="J598" s="699"/>
      <c r="K598" s="208"/>
      <c r="L598" s="207"/>
      <c r="M598" s="208"/>
      <c r="N598" s="208"/>
      <c r="O598" s="208"/>
      <c r="P598" s="208"/>
      <c r="Q598" s="208"/>
      <c r="R598" s="208"/>
      <c r="S598" s="208"/>
      <c r="T598" s="208"/>
      <c r="U598" s="208"/>
    </row>
    <row r="599" spans="1:21" ht="19.5" hidden="1" x14ac:dyDescent="0.3">
      <c r="A599" s="700"/>
      <c r="B599" s="701" t="s">
        <v>215</v>
      </c>
      <c r="C599" s="253"/>
      <c r="D599" s="252"/>
      <c r="E599" s="252"/>
      <c r="F599" s="252"/>
      <c r="G599" s="254"/>
      <c r="H599" s="702" t="s">
        <v>35</v>
      </c>
      <c r="I599" s="699"/>
      <c r="J599" s="699"/>
      <c r="K599" s="208"/>
      <c r="L599" s="207"/>
      <c r="M599" s="208"/>
      <c r="N599" s="208"/>
      <c r="O599" s="208"/>
      <c r="P599" s="208"/>
      <c r="Q599" s="208"/>
      <c r="R599" s="208"/>
      <c r="S599" s="208"/>
      <c r="T599" s="208"/>
      <c r="U599" s="208"/>
    </row>
    <row r="600" spans="1:21" ht="19.5" hidden="1" x14ac:dyDescent="0.3">
      <c r="A600" s="257"/>
      <c r="B600" s="269"/>
      <c r="C600" s="309" t="s">
        <v>18</v>
      </c>
      <c r="D600" s="1368" t="s">
        <v>19</v>
      </c>
      <c r="E600" s="1343"/>
      <c r="F600" s="1343"/>
      <c r="G600" s="1344"/>
      <c r="H600" s="703" t="s">
        <v>14</v>
      </c>
      <c r="I600" s="263"/>
      <c r="J600" s="263"/>
      <c r="K600" s="87"/>
      <c r="L600" s="1257">
        <f t="shared" ref="L600:N600" si="367">L601+L602</f>
        <v>0</v>
      </c>
      <c r="M600" s="264">
        <f t="shared" si="367"/>
        <v>0</v>
      </c>
      <c r="N600" s="264">
        <f t="shared" si="367"/>
        <v>0</v>
      </c>
      <c r="O600" s="264">
        <f t="shared" ref="O600:O608" si="368">IF(L600&gt;0,N600*100/L600,0)</f>
        <v>0</v>
      </c>
      <c r="P600" s="264">
        <f t="shared" ref="P600:P608" si="369">IF(M600&gt;0,N600*100/M600,0)</f>
        <v>0</v>
      </c>
      <c r="Q600" s="264">
        <f t="shared" ref="Q600:S600" si="370">Q601+Q602</f>
        <v>0</v>
      </c>
      <c r="R600" s="264">
        <f t="shared" si="370"/>
        <v>0</v>
      </c>
      <c r="S600" s="264">
        <f t="shared" si="370"/>
        <v>0</v>
      </c>
      <c r="T600" s="264">
        <f t="shared" ref="T600:T608" si="371">IF(Q600&gt;0,S600*100/Q600,0)</f>
        <v>0</v>
      </c>
      <c r="U600" s="264">
        <f t="shared" ref="U600:U608" si="372">IF(R600&gt;0,S600*100/R600,0)</f>
        <v>0</v>
      </c>
    </row>
    <row r="601" spans="1:21" ht="18.75" hidden="1" x14ac:dyDescent="0.25">
      <c r="A601" s="257"/>
      <c r="B601" s="269"/>
      <c r="C601" s="269"/>
      <c r="D601" s="296"/>
      <c r="E601" s="265" t="s">
        <v>158</v>
      </c>
      <c r="F601" s="258"/>
      <c r="G601" s="261"/>
      <c r="H601" s="273" t="s">
        <v>14</v>
      </c>
      <c r="I601" s="263"/>
      <c r="J601" s="263"/>
      <c r="K601" s="87"/>
      <c r="L601" s="76">
        <f t="shared" ref="L601:N602" si="373">L604+L607</f>
        <v>0</v>
      </c>
      <c r="M601" s="77">
        <f t="shared" si="373"/>
        <v>0</v>
      </c>
      <c r="N601" s="77">
        <f t="shared" si="373"/>
        <v>0</v>
      </c>
      <c r="O601" s="77">
        <f t="shared" si="368"/>
        <v>0</v>
      </c>
      <c r="P601" s="77">
        <f t="shared" si="369"/>
        <v>0</v>
      </c>
      <c r="Q601" s="77">
        <f t="shared" ref="Q601:S602" si="374">Q604+Q607</f>
        <v>0</v>
      </c>
      <c r="R601" s="77">
        <f t="shared" si="374"/>
        <v>0</v>
      </c>
      <c r="S601" s="77">
        <f t="shared" si="374"/>
        <v>0</v>
      </c>
      <c r="T601" s="77">
        <f t="shared" si="371"/>
        <v>0</v>
      </c>
      <c r="U601" s="77">
        <f t="shared" si="372"/>
        <v>0</v>
      </c>
    </row>
    <row r="602" spans="1:21" ht="18.75" hidden="1" x14ac:dyDescent="0.25">
      <c r="A602" s="257"/>
      <c r="B602" s="269"/>
      <c r="C602" s="269"/>
      <c r="D602" s="296"/>
      <c r="E602" s="265" t="s">
        <v>159</v>
      </c>
      <c r="F602" s="258"/>
      <c r="G602" s="261"/>
      <c r="H602" s="273" t="s">
        <v>14</v>
      </c>
      <c r="I602" s="263"/>
      <c r="J602" s="263"/>
      <c r="K602" s="87"/>
      <c r="L602" s="73">
        <f t="shared" si="373"/>
        <v>0</v>
      </c>
      <c r="M602" s="74">
        <f t="shared" si="373"/>
        <v>0</v>
      </c>
      <c r="N602" s="74">
        <f t="shared" si="373"/>
        <v>0</v>
      </c>
      <c r="O602" s="74">
        <f t="shared" si="368"/>
        <v>0</v>
      </c>
      <c r="P602" s="74">
        <f t="shared" si="369"/>
        <v>0</v>
      </c>
      <c r="Q602" s="74">
        <f t="shared" si="374"/>
        <v>0</v>
      </c>
      <c r="R602" s="74">
        <f t="shared" si="374"/>
        <v>0</v>
      </c>
      <c r="S602" s="74">
        <f t="shared" si="374"/>
        <v>0</v>
      </c>
      <c r="T602" s="74">
        <f t="shared" si="371"/>
        <v>0</v>
      </c>
      <c r="U602" s="74">
        <f t="shared" si="372"/>
        <v>0</v>
      </c>
    </row>
    <row r="603" spans="1:21" ht="19.5" hidden="1" x14ac:dyDescent="0.3">
      <c r="A603" s="257"/>
      <c r="B603" s="269"/>
      <c r="C603" s="269"/>
      <c r="D603" s="934" t="s">
        <v>22</v>
      </c>
      <c r="E603" s="258"/>
      <c r="F603" s="258"/>
      <c r="G603" s="261"/>
      <c r="H603" s="703" t="s">
        <v>14</v>
      </c>
      <c r="I603" s="272"/>
      <c r="J603" s="272"/>
      <c r="K603" s="229"/>
      <c r="L603" s="73">
        <f t="shared" ref="L603:N603" si="375">L604+L605</f>
        <v>0</v>
      </c>
      <c r="M603" s="74">
        <f t="shared" si="375"/>
        <v>0</v>
      </c>
      <c r="N603" s="74">
        <f t="shared" si="375"/>
        <v>0</v>
      </c>
      <c r="O603" s="74">
        <f t="shared" si="368"/>
        <v>0</v>
      </c>
      <c r="P603" s="74">
        <f t="shared" si="369"/>
        <v>0</v>
      </c>
      <c r="Q603" s="74">
        <f t="shared" ref="Q603:S603" si="376">Q604+Q605</f>
        <v>0</v>
      </c>
      <c r="R603" s="74">
        <f t="shared" si="376"/>
        <v>0</v>
      </c>
      <c r="S603" s="74">
        <f t="shared" si="376"/>
        <v>0</v>
      </c>
      <c r="T603" s="74">
        <f t="shared" si="371"/>
        <v>0</v>
      </c>
      <c r="U603" s="74">
        <f t="shared" si="372"/>
        <v>0</v>
      </c>
    </row>
    <row r="604" spans="1:21" ht="18.75" hidden="1" x14ac:dyDescent="0.25">
      <c r="A604" s="257"/>
      <c r="B604" s="269"/>
      <c r="C604" s="269"/>
      <c r="D604" s="296"/>
      <c r="E604" s="265" t="s">
        <v>158</v>
      </c>
      <c r="F604" s="258"/>
      <c r="G604" s="261"/>
      <c r="H604" s="273" t="s">
        <v>14</v>
      </c>
      <c r="I604" s="263"/>
      <c r="J604" s="263"/>
      <c r="K604" s="87"/>
      <c r="L604" s="76">
        <v>0</v>
      </c>
      <c r="M604" s="77">
        <v>0</v>
      </c>
      <c r="N604" s="77">
        <v>0</v>
      </c>
      <c r="O604" s="77">
        <f t="shared" si="368"/>
        <v>0</v>
      </c>
      <c r="P604" s="77">
        <f t="shared" si="369"/>
        <v>0</v>
      </c>
      <c r="Q604" s="77">
        <v>0</v>
      </c>
      <c r="R604" s="77">
        <v>0</v>
      </c>
      <c r="S604" s="77">
        <v>0</v>
      </c>
      <c r="T604" s="77">
        <f t="shared" si="371"/>
        <v>0</v>
      </c>
      <c r="U604" s="77">
        <f t="shared" si="372"/>
        <v>0</v>
      </c>
    </row>
    <row r="605" spans="1:21" ht="18.75" hidden="1" x14ac:dyDescent="0.25">
      <c r="A605" s="257"/>
      <c r="B605" s="269"/>
      <c r="C605" s="269"/>
      <c r="D605" s="296"/>
      <c r="E605" s="265" t="s">
        <v>159</v>
      </c>
      <c r="F605" s="258"/>
      <c r="G605" s="261"/>
      <c r="H605" s="273" t="s">
        <v>14</v>
      </c>
      <c r="I605" s="263"/>
      <c r="J605" s="263"/>
      <c r="K605" s="87"/>
      <c r="L605" s="73">
        <v>0</v>
      </c>
      <c r="M605" s="74">
        <v>0</v>
      </c>
      <c r="N605" s="74">
        <v>0</v>
      </c>
      <c r="O605" s="74">
        <f t="shared" si="368"/>
        <v>0</v>
      </c>
      <c r="P605" s="74">
        <f t="shared" si="369"/>
        <v>0</v>
      </c>
      <c r="Q605" s="74">
        <v>0</v>
      </c>
      <c r="R605" s="74">
        <v>0</v>
      </c>
      <c r="S605" s="74">
        <v>0</v>
      </c>
      <c r="T605" s="74">
        <f t="shared" si="371"/>
        <v>0</v>
      </c>
      <c r="U605" s="74">
        <f t="shared" si="372"/>
        <v>0</v>
      </c>
    </row>
    <row r="606" spans="1:21" ht="19.5" hidden="1" x14ac:dyDescent="0.3">
      <c r="A606" s="257"/>
      <c r="B606" s="269"/>
      <c r="C606" s="269"/>
      <c r="D606" s="934" t="s">
        <v>23</v>
      </c>
      <c r="E606" s="269"/>
      <c r="F606" s="258"/>
      <c r="G606" s="261"/>
      <c r="H606" s="705" t="s">
        <v>14</v>
      </c>
      <c r="I606" s="272"/>
      <c r="J606" s="272"/>
      <c r="K606" s="229"/>
      <c r="L606" s="73">
        <f t="shared" ref="L606:N606" si="377">L607+L608</f>
        <v>0</v>
      </c>
      <c r="M606" s="74">
        <f t="shared" si="377"/>
        <v>0</v>
      </c>
      <c r="N606" s="74">
        <f t="shared" si="377"/>
        <v>0</v>
      </c>
      <c r="O606" s="74">
        <f t="shared" si="368"/>
        <v>0</v>
      </c>
      <c r="P606" s="74">
        <f t="shared" si="369"/>
        <v>0</v>
      </c>
      <c r="Q606" s="74">
        <f t="shared" ref="Q606:S606" si="378">Q607+Q608</f>
        <v>0</v>
      </c>
      <c r="R606" s="74">
        <f t="shared" si="378"/>
        <v>0</v>
      </c>
      <c r="S606" s="74">
        <f t="shared" si="378"/>
        <v>0</v>
      </c>
      <c r="T606" s="74">
        <f t="shared" si="371"/>
        <v>0</v>
      </c>
      <c r="U606" s="74">
        <f t="shared" si="372"/>
        <v>0</v>
      </c>
    </row>
    <row r="607" spans="1:21" ht="18.75" hidden="1" x14ac:dyDescent="0.25">
      <c r="A607" s="257"/>
      <c r="B607" s="269"/>
      <c r="C607" s="269"/>
      <c r="D607" s="269"/>
      <c r="E607" s="775" t="s">
        <v>20</v>
      </c>
      <c r="F607" s="258"/>
      <c r="G607" s="261"/>
      <c r="H607" s="273" t="s">
        <v>14</v>
      </c>
      <c r="I607" s="272"/>
      <c r="J607" s="272"/>
      <c r="K607" s="229"/>
      <c r="L607" s="76">
        <v>0</v>
      </c>
      <c r="M607" s="77">
        <v>0</v>
      </c>
      <c r="N607" s="77">
        <v>0</v>
      </c>
      <c r="O607" s="77">
        <f t="shared" si="368"/>
        <v>0</v>
      </c>
      <c r="P607" s="77">
        <f t="shared" si="369"/>
        <v>0</v>
      </c>
      <c r="Q607" s="77">
        <v>0</v>
      </c>
      <c r="R607" s="77">
        <v>0</v>
      </c>
      <c r="S607" s="77">
        <v>0</v>
      </c>
      <c r="T607" s="77">
        <f t="shared" si="371"/>
        <v>0</v>
      </c>
      <c r="U607" s="77">
        <f t="shared" si="372"/>
        <v>0</v>
      </c>
    </row>
    <row r="608" spans="1:21" ht="18.75" hidden="1" x14ac:dyDescent="0.25">
      <c r="A608" s="257"/>
      <c r="B608" s="269"/>
      <c r="C608" s="269"/>
      <c r="D608" s="258"/>
      <c r="E608" s="775" t="s">
        <v>21</v>
      </c>
      <c r="F608" s="258"/>
      <c r="G608" s="261"/>
      <c r="H608" s="706" t="s">
        <v>14</v>
      </c>
      <c r="I608" s="272"/>
      <c r="J608" s="272"/>
      <c r="K608" s="229"/>
      <c r="L608" s="73">
        <v>0</v>
      </c>
      <c r="M608" s="74">
        <v>0</v>
      </c>
      <c r="N608" s="74">
        <v>0</v>
      </c>
      <c r="O608" s="74">
        <f t="shared" si="368"/>
        <v>0</v>
      </c>
      <c r="P608" s="74">
        <f t="shared" si="369"/>
        <v>0</v>
      </c>
      <c r="Q608" s="74">
        <v>0</v>
      </c>
      <c r="R608" s="74">
        <v>0</v>
      </c>
      <c r="S608" s="74">
        <v>0</v>
      </c>
      <c r="T608" s="74">
        <f t="shared" si="371"/>
        <v>0</v>
      </c>
      <c r="U608" s="74">
        <f t="shared" si="372"/>
        <v>0</v>
      </c>
    </row>
    <row r="609" spans="1:21" ht="19.5" hidden="1" x14ac:dyDescent="0.3">
      <c r="A609" s="276"/>
      <c r="B609" s="277"/>
      <c r="C609" s="309" t="s">
        <v>18</v>
      </c>
      <c r="D609" s="940" t="s">
        <v>38</v>
      </c>
      <c r="E609" s="280"/>
      <c r="F609" s="280"/>
      <c r="G609" s="281"/>
      <c r="H609" s="310"/>
      <c r="I609" s="272"/>
      <c r="J609" s="272"/>
      <c r="K609" s="229"/>
      <c r="L609" s="86"/>
      <c r="M609" s="87"/>
      <c r="N609" s="87"/>
      <c r="O609" s="87"/>
      <c r="P609" s="87"/>
      <c r="Q609" s="87"/>
      <c r="R609" s="87"/>
      <c r="S609" s="87"/>
      <c r="T609" s="87"/>
      <c r="U609" s="87"/>
    </row>
    <row r="610" spans="1:21" ht="18.75" hidden="1" x14ac:dyDescent="0.25">
      <c r="A610" s="276"/>
      <c r="B610" s="277"/>
      <c r="C610" s="277"/>
      <c r="D610" s="708" t="s">
        <v>216</v>
      </c>
      <c r="E610" s="296"/>
      <c r="F610" s="296"/>
      <c r="G610" s="282"/>
      <c r="H610" s="273" t="s">
        <v>99</v>
      </c>
      <c r="I610" s="263"/>
      <c r="J610" s="263"/>
      <c r="K610" s="229"/>
      <c r="L610" s="86"/>
      <c r="M610" s="87"/>
      <c r="N610" s="87"/>
      <c r="O610" s="87"/>
      <c r="P610" s="87"/>
      <c r="Q610" s="87"/>
      <c r="R610" s="87"/>
      <c r="S610" s="87"/>
      <c r="T610" s="87"/>
      <c r="U610" s="87"/>
    </row>
    <row r="611" spans="1:21" ht="19.5" hidden="1" x14ac:dyDescent="0.3">
      <c r="A611" s="276"/>
      <c r="B611" s="277"/>
      <c r="C611" s="277"/>
      <c r="D611" s="708" t="s">
        <v>217</v>
      </c>
      <c r="E611" s="296"/>
      <c r="F611" s="296"/>
      <c r="G611" s="282"/>
      <c r="H611" s="703" t="s">
        <v>35</v>
      </c>
      <c r="I611" s="263"/>
      <c r="J611" s="263"/>
      <c r="K611" s="229"/>
      <c r="L611" s="86"/>
      <c r="M611" s="87"/>
      <c r="N611" s="87"/>
      <c r="O611" s="87"/>
      <c r="P611" s="87"/>
      <c r="Q611" s="87"/>
      <c r="R611" s="87"/>
      <c r="S611" s="87"/>
      <c r="T611" s="87"/>
      <c r="U611" s="87"/>
    </row>
    <row r="612" spans="1:21" ht="18.75" hidden="1" x14ac:dyDescent="0.25">
      <c r="A612" s="276"/>
      <c r="B612" s="277"/>
      <c r="C612" s="277"/>
      <c r="D612" s="277"/>
      <c r="E612" s="708" t="s">
        <v>218</v>
      </c>
      <c r="F612" s="296"/>
      <c r="G612" s="282"/>
      <c r="H612" s="706" t="s">
        <v>35</v>
      </c>
      <c r="I612" s="263"/>
      <c r="J612" s="263"/>
      <c r="K612" s="229"/>
      <c r="L612" s="86"/>
      <c r="M612" s="87"/>
      <c r="N612" s="87"/>
      <c r="O612" s="87"/>
      <c r="P612" s="87"/>
      <c r="Q612" s="87"/>
      <c r="R612" s="87"/>
      <c r="S612" s="87"/>
      <c r="T612" s="87"/>
      <c r="U612" s="87"/>
    </row>
    <row r="613" spans="1:21" ht="19.5" hidden="1" thickBot="1" x14ac:dyDescent="0.3">
      <c r="A613" s="709"/>
      <c r="B613" s="710"/>
      <c r="C613" s="710"/>
      <c r="D613" s="710"/>
      <c r="E613" s="711" t="s">
        <v>219</v>
      </c>
      <c r="F613" s="712"/>
      <c r="G613" s="713"/>
      <c r="H613" s="714" t="s">
        <v>35</v>
      </c>
      <c r="I613" s="715"/>
      <c r="J613" s="715"/>
      <c r="K613" s="716"/>
      <c r="L613" s="718"/>
      <c r="M613" s="717"/>
      <c r="N613" s="717"/>
      <c r="O613" s="717"/>
      <c r="P613" s="717"/>
      <c r="Q613" s="717"/>
      <c r="R613" s="717"/>
      <c r="S613" s="717"/>
      <c r="T613" s="717"/>
      <c r="U613" s="717"/>
    </row>
    <row r="614" spans="1:21" ht="19.5" x14ac:dyDescent="0.3">
      <c r="A614" s="719" t="s">
        <v>220</v>
      </c>
      <c r="B614" s="720"/>
      <c r="C614" s="720"/>
      <c r="D614" s="721"/>
      <c r="E614" s="721"/>
      <c r="F614" s="721"/>
      <c r="G614" s="722"/>
      <c r="H614" s="723"/>
      <c r="I614" s="724"/>
      <c r="J614" s="724"/>
      <c r="K614" s="725"/>
      <c r="L614" s="726"/>
      <c r="M614" s="725"/>
      <c r="N614" s="725"/>
      <c r="O614" s="725"/>
      <c r="P614" s="725"/>
      <c r="Q614" s="725"/>
      <c r="R614" s="725"/>
      <c r="S614" s="725"/>
      <c r="T614" s="725"/>
      <c r="U614" s="725"/>
    </row>
    <row r="615" spans="1:21" ht="19.5" x14ac:dyDescent="0.3">
      <c r="A615" s="727"/>
      <c r="B615" s="728" t="s">
        <v>221</v>
      </c>
      <c r="C615" s="727"/>
      <c r="D615" s="729"/>
      <c r="E615" s="729"/>
      <c r="F615" s="729"/>
      <c r="G615" s="730"/>
      <c r="H615" s="731"/>
      <c r="I615" s="732"/>
      <c r="J615" s="732"/>
      <c r="K615" s="733"/>
      <c r="L615" s="734"/>
      <c r="M615" s="733"/>
      <c r="N615" s="733"/>
      <c r="O615" s="733"/>
      <c r="P615" s="733"/>
      <c r="Q615" s="733"/>
      <c r="R615" s="733"/>
      <c r="S615" s="733"/>
      <c r="T615" s="733"/>
      <c r="U615" s="733"/>
    </row>
    <row r="616" spans="1:21" ht="19.5" x14ac:dyDescent="0.3">
      <c r="A616" s="735"/>
      <c r="B616" s="736" t="s">
        <v>222</v>
      </c>
      <c r="C616" s="735"/>
      <c r="D616" s="737"/>
      <c r="E616" s="737"/>
      <c r="F616" s="737"/>
      <c r="G616" s="738"/>
      <c r="H616" s="739" t="s">
        <v>46</v>
      </c>
      <c r="I616" s="1245">
        <f t="shared" ref="I616:J616" ca="1" si="379">I627</f>
        <v>50</v>
      </c>
      <c r="J616" s="1245">
        <f t="shared" si="379"/>
        <v>0</v>
      </c>
      <c r="K616" s="741">
        <f ca="1">IF(I616&gt;0,J616*100/I616,0)</f>
        <v>0</v>
      </c>
      <c r="L616" s="743"/>
      <c r="M616" s="742"/>
      <c r="N616" s="742"/>
      <c r="O616" s="742"/>
      <c r="P616" s="742"/>
      <c r="Q616" s="742"/>
      <c r="R616" s="742"/>
      <c r="S616" s="742"/>
      <c r="T616" s="742"/>
      <c r="U616" s="742"/>
    </row>
    <row r="617" spans="1:21" ht="19.5" x14ac:dyDescent="0.3">
      <c r="A617" s="257"/>
      <c r="B617" s="269"/>
      <c r="C617" s="309" t="s">
        <v>18</v>
      </c>
      <c r="D617" s="1369" t="s">
        <v>19</v>
      </c>
      <c r="E617" s="1343"/>
      <c r="F617" s="1343"/>
      <c r="G617" s="1344"/>
      <c r="H617" s="633" t="s">
        <v>14</v>
      </c>
      <c r="I617" s="263"/>
      <c r="J617" s="263"/>
      <c r="K617" s="87"/>
      <c r="L617" s="1257">
        <f t="shared" ref="L617:N617" si="380">L618+L619</f>
        <v>0</v>
      </c>
      <c r="M617" s="264">
        <f t="shared" si="380"/>
        <v>0</v>
      </c>
      <c r="N617" s="264">
        <f t="shared" si="380"/>
        <v>0</v>
      </c>
      <c r="O617" s="264">
        <f t="shared" ref="O617:O625" si="381">IF(L617&gt;0,N617*100/L617,0)</f>
        <v>0</v>
      </c>
      <c r="P617" s="264">
        <f t="shared" ref="P617:P625" si="382">IF(M617&gt;0,N617*100/M617,0)</f>
        <v>0</v>
      </c>
      <c r="Q617" s="264">
        <f t="shared" ref="Q617:S617" ca="1" si="383">Q618+Q619</f>
        <v>7275</v>
      </c>
      <c r="R617" s="264">
        <f t="shared" ca="1" si="383"/>
        <v>7275</v>
      </c>
      <c r="S617" s="264">
        <f t="shared" ca="1" si="383"/>
        <v>3440</v>
      </c>
      <c r="T617" s="264">
        <f t="shared" ref="T617:T625" ca="1" si="384">IF(Q617&gt;0,S617*100/Q617,0)</f>
        <v>47.285223367697597</v>
      </c>
      <c r="U617" s="264">
        <f t="shared" ref="U617:U625" ca="1" si="385">IF(R617&gt;0,S617*100/R617,0)</f>
        <v>47.285223367697597</v>
      </c>
    </row>
    <row r="618" spans="1:21" ht="18.75" hidden="1" x14ac:dyDescent="0.25">
      <c r="A618" s="257"/>
      <c r="B618" s="269"/>
      <c r="C618" s="269"/>
      <c r="D618" s="296"/>
      <c r="E618" s="265" t="s">
        <v>158</v>
      </c>
      <c r="F618" s="258"/>
      <c r="G618" s="261"/>
      <c r="H618" s="273" t="s">
        <v>14</v>
      </c>
      <c r="I618" s="263"/>
      <c r="J618" s="263"/>
      <c r="K618" s="87"/>
      <c r="L618" s="76">
        <f t="shared" ref="L618:N619" si="386">L621+L624</f>
        <v>0</v>
      </c>
      <c r="M618" s="77">
        <f t="shared" si="386"/>
        <v>0</v>
      </c>
      <c r="N618" s="77">
        <f t="shared" si="386"/>
        <v>0</v>
      </c>
      <c r="O618" s="77">
        <f t="shared" si="381"/>
        <v>0</v>
      </c>
      <c r="P618" s="77">
        <f t="shared" si="382"/>
        <v>0</v>
      </c>
      <c r="Q618" s="77">
        <f t="shared" ref="Q618:S619" si="387">Q621+Q624</f>
        <v>0</v>
      </c>
      <c r="R618" s="77">
        <f t="shared" si="387"/>
        <v>0</v>
      </c>
      <c r="S618" s="77">
        <f t="shared" si="387"/>
        <v>0</v>
      </c>
      <c r="T618" s="77">
        <f t="shared" si="384"/>
        <v>0</v>
      </c>
      <c r="U618" s="77">
        <f t="shared" si="385"/>
        <v>0</v>
      </c>
    </row>
    <row r="619" spans="1:21" ht="18.75" hidden="1" x14ac:dyDescent="0.25">
      <c r="A619" s="257"/>
      <c r="B619" s="269"/>
      <c r="C619" s="269"/>
      <c r="D619" s="296"/>
      <c r="E619" s="267" t="s">
        <v>159</v>
      </c>
      <c r="F619" s="258"/>
      <c r="G619" s="261"/>
      <c r="H619" s="271" t="s">
        <v>14</v>
      </c>
      <c r="I619" s="263"/>
      <c r="J619" s="263"/>
      <c r="K619" s="87"/>
      <c r="L619" s="73">
        <f t="shared" si="386"/>
        <v>0</v>
      </c>
      <c r="M619" s="74">
        <f t="shared" si="386"/>
        <v>0</v>
      </c>
      <c r="N619" s="74">
        <f t="shared" si="386"/>
        <v>0</v>
      </c>
      <c r="O619" s="74">
        <f t="shared" si="381"/>
        <v>0</v>
      </c>
      <c r="P619" s="74">
        <f t="shared" si="382"/>
        <v>0</v>
      </c>
      <c r="Q619" s="74">
        <f t="shared" ca="1" si="387"/>
        <v>7275</v>
      </c>
      <c r="R619" s="74">
        <f t="shared" ca="1" si="387"/>
        <v>7275</v>
      </c>
      <c r="S619" s="74">
        <f t="shared" ca="1" si="387"/>
        <v>3440</v>
      </c>
      <c r="T619" s="74">
        <f t="shared" ca="1" si="384"/>
        <v>47.285223367697597</v>
      </c>
      <c r="U619" s="74">
        <f t="shared" ca="1" si="385"/>
        <v>47.285223367697597</v>
      </c>
    </row>
    <row r="620" spans="1:21" ht="18.75" x14ac:dyDescent="0.25">
      <c r="A620" s="257"/>
      <c r="B620" s="269"/>
      <c r="C620" s="269"/>
      <c r="D620" s="270" t="s">
        <v>22</v>
      </c>
      <c r="E620" s="258"/>
      <c r="F620" s="258"/>
      <c r="G620" s="261"/>
      <c r="H620" s="271" t="s">
        <v>14</v>
      </c>
      <c r="I620" s="272"/>
      <c r="J620" s="272"/>
      <c r="K620" s="229"/>
      <c r="L620" s="73">
        <f t="shared" ref="L620:N620" si="388">L621+L622</f>
        <v>0</v>
      </c>
      <c r="M620" s="74">
        <f t="shared" si="388"/>
        <v>0</v>
      </c>
      <c r="N620" s="74">
        <f t="shared" si="388"/>
        <v>0</v>
      </c>
      <c r="O620" s="74">
        <f t="shared" si="381"/>
        <v>0</v>
      </c>
      <c r="P620" s="74">
        <f t="shared" si="382"/>
        <v>0</v>
      </c>
      <c r="Q620" s="74">
        <f t="shared" ref="Q620:S620" ca="1" si="389">Q621+Q622</f>
        <v>7275</v>
      </c>
      <c r="R620" s="74">
        <f t="shared" ca="1" si="389"/>
        <v>7275</v>
      </c>
      <c r="S620" s="74">
        <f t="shared" ca="1" si="389"/>
        <v>3440</v>
      </c>
      <c r="T620" s="74">
        <f t="shared" ca="1" si="384"/>
        <v>47.285223367697597</v>
      </c>
      <c r="U620" s="74">
        <f t="shared" ca="1" si="385"/>
        <v>47.285223367697597</v>
      </c>
    </row>
    <row r="621" spans="1:21" ht="18.75" hidden="1" x14ac:dyDescent="0.25">
      <c r="A621" s="257"/>
      <c r="B621" s="269"/>
      <c r="C621" s="269"/>
      <c r="D621" s="296"/>
      <c r="E621" s="265" t="s">
        <v>158</v>
      </c>
      <c r="F621" s="258"/>
      <c r="G621" s="261"/>
      <c r="H621" s="273" t="s">
        <v>14</v>
      </c>
      <c r="I621" s="263"/>
      <c r="J621" s="263"/>
      <c r="K621" s="87"/>
      <c r="L621" s="76">
        <v>0</v>
      </c>
      <c r="M621" s="77">
        <v>0</v>
      </c>
      <c r="N621" s="77">
        <v>0</v>
      </c>
      <c r="O621" s="77">
        <f t="shared" si="381"/>
        <v>0</v>
      </c>
      <c r="P621" s="77">
        <f t="shared" si="382"/>
        <v>0</v>
      </c>
      <c r="Q621" s="77">
        <v>0</v>
      </c>
      <c r="R621" s="77">
        <v>0</v>
      </c>
      <c r="S621" s="77">
        <v>0</v>
      </c>
      <c r="T621" s="77">
        <f t="shared" si="384"/>
        <v>0</v>
      </c>
      <c r="U621" s="77">
        <f t="shared" si="385"/>
        <v>0</v>
      </c>
    </row>
    <row r="622" spans="1:21" ht="18.75" hidden="1" x14ac:dyDescent="0.25">
      <c r="A622" s="257"/>
      <c r="B622" s="269"/>
      <c r="C622" s="269"/>
      <c r="D622" s="296"/>
      <c r="E622" s="267" t="s">
        <v>159</v>
      </c>
      <c r="F622" s="258"/>
      <c r="G622" s="261"/>
      <c r="H622" s="271" t="s">
        <v>14</v>
      </c>
      <c r="I622" s="263"/>
      <c r="J622" s="263"/>
      <c r="K622" s="87"/>
      <c r="L622" s="73">
        <v>0</v>
      </c>
      <c r="M622" s="74">
        <v>0</v>
      </c>
      <c r="N622" s="74">
        <v>0</v>
      </c>
      <c r="O622" s="74">
        <f t="shared" si="381"/>
        <v>0</v>
      </c>
      <c r="P622" s="74">
        <f t="shared" si="382"/>
        <v>0</v>
      </c>
      <c r="Q622" s="74">
        <f ca="1">IFERROR(__xludf.DUMMYFUNCTION("IMPORTRANGE(""https://docs.google.com/spreadsheets/d/1ItG2mGa2ceCfYo0BwxsXqNm01IGEUdYcSSLTEv9YCik/edit?usp=sharing"",""เบิกจ่ายกองทุน!F60"")"),7275)</f>
        <v>7275</v>
      </c>
      <c r="R622" s="74">
        <f ca="1">IFERROR(__xludf.DUMMYFUNCTION("IMPORTRANGE(""https://docs.google.com/spreadsheets/d/1ItG2mGa2ceCfYo0BwxsXqNm01IGEUdYcSSLTEv9YCik/edit?usp=sharing"",""เบิกจ่ายกองทุน!G60"")"),7275)</f>
        <v>7275</v>
      </c>
      <c r="S622" s="74">
        <f ca="1">IFERROR(__xludf.DUMMYFUNCTION("IMPORTRANGE(""https://docs.google.com/spreadsheets/d/1ItG2mGa2ceCfYo0BwxsXqNm01IGEUdYcSSLTEv9YCik/edit?usp=sharing"",""เบิกจ่ายกองทุน!H60"")"),3440)</f>
        <v>3440</v>
      </c>
      <c r="T622" s="74">
        <f t="shared" ca="1" si="384"/>
        <v>47.285223367697597</v>
      </c>
      <c r="U622" s="74">
        <f t="shared" ca="1" si="385"/>
        <v>47.285223367697597</v>
      </c>
    </row>
    <row r="623" spans="1:21" ht="18.75" x14ac:dyDescent="0.25">
      <c r="A623" s="257"/>
      <c r="B623" s="269"/>
      <c r="C623" s="269"/>
      <c r="D623" s="270" t="s">
        <v>23</v>
      </c>
      <c r="E623" s="258"/>
      <c r="F623" s="258"/>
      <c r="G623" s="261"/>
      <c r="H623" s="275" t="s">
        <v>14</v>
      </c>
      <c r="I623" s="272"/>
      <c r="J623" s="272"/>
      <c r="K623" s="229"/>
      <c r="L623" s="73">
        <f t="shared" ref="L623:N623" si="390">L624+L625</f>
        <v>0</v>
      </c>
      <c r="M623" s="74">
        <f t="shared" si="390"/>
        <v>0</v>
      </c>
      <c r="N623" s="74">
        <f t="shared" si="390"/>
        <v>0</v>
      </c>
      <c r="O623" s="74">
        <f t="shared" si="381"/>
        <v>0</v>
      </c>
      <c r="P623" s="74">
        <f t="shared" si="382"/>
        <v>0</v>
      </c>
      <c r="Q623" s="74">
        <f t="shared" ref="Q623:S623" si="391">Q624+Q625</f>
        <v>0</v>
      </c>
      <c r="R623" s="74">
        <f t="shared" si="391"/>
        <v>0</v>
      </c>
      <c r="S623" s="74">
        <f t="shared" si="391"/>
        <v>0</v>
      </c>
      <c r="T623" s="74">
        <f t="shared" si="384"/>
        <v>0</v>
      </c>
      <c r="U623" s="74">
        <f t="shared" si="385"/>
        <v>0</v>
      </c>
    </row>
    <row r="624" spans="1:21" ht="18.75" hidden="1" x14ac:dyDescent="0.25">
      <c r="A624" s="257"/>
      <c r="B624" s="269"/>
      <c r="C624" s="269"/>
      <c r="D624" s="269"/>
      <c r="E624" s="265" t="s">
        <v>20</v>
      </c>
      <c r="F624" s="258"/>
      <c r="G624" s="261"/>
      <c r="H624" s="273" t="s">
        <v>14</v>
      </c>
      <c r="I624" s="272"/>
      <c r="J624" s="272"/>
      <c r="K624" s="229"/>
      <c r="L624" s="76">
        <v>0</v>
      </c>
      <c r="M624" s="77">
        <v>0</v>
      </c>
      <c r="N624" s="77">
        <v>0</v>
      </c>
      <c r="O624" s="77">
        <f t="shared" si="381"/>
        <v>0</v>
      </c>
      <c r="P624" s="77">
        <f t="shared" si="382"/>
        <v>0</v>
      </c>
      <c r="Q624" s="77">
        <v>0</v>
      </c>
      <c r="R624" s="77">
        <v>0</v>
      </c>
      <c r="S624" s="77">
        <v>0</v>
      </c>
      <c r="T624" s="77">
        <f t="shared" si="384"/>
        <v>0</v>
      </c>
      <c r="U624" s="77">
        <f t="shared" si="385"/>
        <v>0</v>
      </c>
    </row>
    <row r="625" spans="1:21" ht="18.75" hidden="1" x14ac:dyDescent="0.25">
      <c r="A625" s="257"/>
      <c r="B625" s="269"/>
      <c r="C625" s="269"/>
      <c r="D625" s="269"/>
      <c r="E625" s="267" t="s">
        <v>21</v>
      </c>
      <c r="F625" s="258"/>
      <c r="G625" s="261"/>
      <c r="H625" s="275" t="s">
        <v>14</v>
      </c>
      <c r="I625" s="272"/>
      <c r="J625" s="272"/>
      <c r="K625" s="229"/>
      <c r="L625" s="73">
        <v>0</v>
      </c>
      <c r="M625" s="74">
        <v>0</v>
      </c>
      <c r="N625" s="74">
        <v>0</v>
      </c>
      <c r="O625" s="74">
        <f t="shared" si="381"/>
        <v>0</v>
      </c>
      <c r="P625" s="74">
        <f t="shared" si="382"/>
        <v>0</v>
      </c>
      <c r="Q625" s="74">
        <v>0</v>
      </c>
      <c r="R625" s="74">
        <v>0</v>
      </c>
      <c r="S625" s="74">
        <v>0</v>
      </c>
      <c r="T625" s="74">
        <f t="shared" si="384"/>
        <v>0</v>
      </c>
      <c r="U625" s="74">
        <f t="shared" si="385"/>
        <v>0</v>
      </c>
    </row>
    <row r="626" spans="1:21" ht="19.5" x14ac:dyDescent="0.3">
      <c r="A626" s="276"/>
      <c r="B626" s="277"/>
      <c r="C626" s="309" t="s">
        <v>18</v>
      </c>
      <c r="D626" s="1011" t="s">
        <v>38</v>
      </c>
      <c r="E626" s="280"/>
      <c r="F626" s="280"/>
      <c r="G626" s="281"/>
      <c r="H626" s="310"/>
      <c r="I626" s="272"/>
      <c r="J626" s="272"/>
      <c r="K626" s="229"/>
      <c r="L626" s="228"/>
      <c r="M626" s="229"/>
      <c r="N626" s="229"/>
      <c r="O626" s="229"/>
      <c r="P626" s="229"/>
      <c r="Q626" s="229"/>
      <c r="R626" s="229"/>
      <c r="S626" s="229"/>
      <c r="T626" s="229"/>
      <c r="U626" s="229"/>
    </row>
    <row r="627" spans="1:21" ht="19.5" x14ac:dyDescent="0.3">
      <c r="A627" s="276"/>
      <c r="B627" s="277"/>
      <c r="C627" s="277"/>
      <c r="D627" s="745" t="s">
        <v>223</v>
      </c>
      <c r="E627" s="296"/>
      <c r="F627" s="296"/>
      <c r="G627" s="282"/>
      <c r="H627" s="746" t="s">
        <v>46</v>
      </c>
      <c r="I627" s="622">
        <f ca="1">IFERROR(__xludf.DUMMYFUNCTION("IMPORTRANGE(""https://docs.google.com/spreadsheets/d/1eHaY18a8A9IcSdp1K8H6x8fbOy06t2VsZHhMHf-1x7Y/edit?usp=sharing"",""แผน!ID60"")"),50)</f>
        <v>50</v>
      </c>
      <c r="J627" s="622">
        <f>J633</f>
        <v>0</v>
      </c>
      <c r="K627" s="264">
        <f ca="1">IF(I627&gt;0,J627*100/I627,0)</f>
        <v>0</v>
      </c>
      <c r="L627" s="228"/>
      <c r="M627" s="229"/>
      <c r="N627" s="229"/>
      <c r="O627" s="229"/>
      <c r="P627" s="229"/>
      <c r="Q627" s="229"/>
      <c r="R627" s="229"/>
      <c r="S627" s="229"/>
      <c r="T627" s="229"/>
      <c r="U627" s="229"/>
    </row>
    <row r="628" spans="1:21" ht="18.75" x14ac:dyDescent="0.25">
      <c r="A628" s="276"/>
      <c r="B628" s="277"/>
      <c r="C628" s="277"/>
      <c r="D628" s="277"/>
      <c r="E628" s="295" t="s">
        <v>224</v>
      </c>
      <c r="F628" s="296"/>
      <c r="G628" s="282"/>
      <c r="H628" s="275" t="s">
        <v>61</v>
      </c>
      <c r="I628" s="293">
        <f ca="1">IFERROR(__xludf.DUMMYFUNCTION("IMPORTRANGE(""https://docs.google.com/spreadsheets/d/1eHaY18a8A9IcSdp1K8H6x8fbOy06t2VsZHhMHf-1x7Y/edit?usp=sharing"",""แผน!IC60"")"),1)</f>
        <v>1</v>
      </c>
      <c r="J628" s="294">
        <v>0</v>
      </c>
      <c r="K628" s="74">
        <f t="shared" ref="K628:K629" ca="1" si="392">IF(I628&gt;0,(J628*100)/I628,0)</f>
        <v>0</v>
      </c>
      <c r="L628" s="228"/>
      <c r="M628" s="229"/>
      <c r="N628" s="229"/>
      <c r="O628" s="229"/>
      <c r="P628" s="229"/>
      <c r="Q628" s="229"/>
      <c r="R628" s="229"/>
      <c r="S628" s="229"/>
      <c r="T628" s="229"/>
      <c r="U628" s="229"/>
    </row>
    <row r="629" spans="1:21" ht="18.75" x14ac:dyDescent="0.25">
      <c r="A629" s="276"/>
      <c r="B629" s="277"/>
      <c r="C629" s="277"/>
      <c r="D629" s="277"/>
      <c r="E629" s="295" t="s">
        <v>225</v>
      </c>
      <c r="F629" s="296"/>
      <c r="G629" s="282"/>
      <c r="H629" s="275" t="s">
        <v>61</v>
      </c>
      <c r="I629" s="293">
        <f ca="1">IFERROR(__xludf.DUMMYFUNCTION("IMPORTRANGE(""https://docs.google.com/spreadsheets/d/1eHaY18a8A9IcSdp1K8H6x8fbOy06t2VsZHhMHf-1x7Y/edit?usp=sharing"",""แผน!IC60"")"),1)</f>
        <v>1</v>
      </c>
      <c r="J629" s="294">
        <v>0</v>
      </c>
      <c r="K629" s="74">
        <f t="shared" ca="1" si="392"/>
        <v>0</v>
      </c>
      <c r="L629" s="228"/>
      <c r="M629" s="229"/>
      <c r="N629" s="229"/>
      <c r="O629" s="229"/>
      <c r="P629" s="229"/>
      <c r="Q629" s="229"/>
      <c r="R629" s="229"/>
      <c r="S629" s="229"/>
      <c r="T629" s="229"/>
      <c r="U629" s="229"/>
    </row>
    <row r="630" spans="1:21" ht="18.75" x14ac:dyDescent="0.25">
      <c r="A630" s="276"/>
      <c r="B630" s="277"/>
      <c r="C630" s="277"/>
      <c r="D630" s="277"/>
      <c r="E630" s="295" t="s">
        <v>226</v>
      </c>
      <c r="F630" s="296"/>
      <c r="G630" s="282"/>
      <c r="H630" s="275" t="s">
        <v>46</v>
      </c>
      <c r="I630" s="263"/>
      <c r="J630" s="294">
        <v>0</v>
      </c>
      <c r="K630" s="74">
        <f t="shared" ref="K630:K632" ca="1" si="393">IF(I$627&gt;0,J630*100/I$627,0)</f>
        <v>0</v>
      </c>
      <c r="L630" s="228"/>
      <c r="M630" s="229"/>
      <c r="N630" s="229"/>
      <c r="O630" s="229"/>
      <c r="P630" s="229"/>
      <c r="Q630" s="229"/>
      <c r="R630" s="229"/>
      <c r="S630" s="229"/>
      <c r="T630" s="229"/>
      <c r="U630" s="229"/>
    </row>
    <row r="631" spans="1:21" ht="18.75" x14ac:dyDescent="0.25">
      <c r="A631" s="276"/>
      <c r="B631" s="277"/>
      <c r="C631" s="277"/>
      <c r="D631" s="277"/>
      <c r="E631" s="295" t="s">
        <v>227</v>
      </c>
      <c r="F631" s="296"/>
      <c r="G631" s="282"/>
      <c r="H631" s="275" t="s">
        <v>46</v>
      </c>
      <c r="I631" s="263"/>
      <c r="J631" s="294">
        <v>0</v>
      </c>
      <c r="K631" s="74">
        <f t="shared" ca="1" si="393"/>
        <v>0</v>
      </c>
      <c r="L631" s="228"/>
      <c r="M631" s="229"/>
      <c r="N631" s="229"/>
      <c r="O631" s="229"/>
      <c r="P631" s="229"/>
      <c r="Q631" s="229"/>
      <c r="R631" s="229"/>
      <c r="S631" s="229"/>
      <c r="T631" s="229"/>
      <c r="U631" s="229"/>
    </row>
    <row r="632" spans="1:21" ht="18.75" x14ac:dyDescent="0.25">
      <c r="A632" s="276"/>
      <c r="B632" s="277"/>
      <c r="C632" s="277"/>
      <c r="D632" s="277"/>
      <c r="E632" s="295" t="s">
        <v>228</v>
      </c>
      <c r="F632" s="296"/>
      <c r="G632" s="282"/>
      <c r="H632" s="275" t="s">
        <v>46</v>
      </c>
      <c r="I632" s="263"/>
      <c r="J632" s="294">
        <v>0</v>
      </c>
      <c r="K632" s="74">
        <f t="shared" ca="1" si="393"/>
        <v>0</v>
      </c>
      <c r="L632" s="228"/>
      <c r="M632" s="229"/>
      <c r="N632" s="229"/>
      <c r="O632" s="229"/>
      <c r="P632" s="229"/>
      <c r="Q632" s="229"/>
      <c r="R632" s="229"/>
      <c r="S632" s="229"/>
      <c r="T632" s="229"/>
      <c r="U632" s="229"/>
    </row>
    <row r="633" spans="1:21" ht="19.5" x14ac:dyDescent="0.3">
      <c r="A633" s="276"/>
      <c r="B633" s="277"/>
      <c r="C633" s="277"/>
      <c r="D633" s="277"/>
      <c r="E633" s="295" t="s">
        <v>229</v>
      </c>
      <c r="F633" s="296"/>
      <c r="G633" s="282"/>
      <c r="H633" s="275" t="s">
        <v>46</v>
      </c>
      <c r="I633" s="263"/>
      <c r="J633" s="622">
        <f>J634+J635</f>
        <v>0</v>
      </c>
      <c r="K633" s="264">
        <f ca="1">IF(I627&gt;0,J633*100/I627,0)</f>
        <v>0</v>
      </c>
      <c r="L633" s="228"/>
      <c r="M633" s="229"/>
      <c r="N633" s="229"/>
      <c r="O633" s="229"/>
      <c r="P633" s="229"/>
      <c r="Q633" s="229"/>
      <c r="R633" s="229"/>
      <c r="S633" s="229"/>
      <c r="T633" s="229"/>
      <c r="U633" s="229"/>
    </row>
    <row r="634" spans="1:21" ht="18.75" x14ac:dyDescent="0.25">
      <c r="A634" s="276"/>
      <c r="B634" s="277"/>
      <c r="C634" s="277"/>
      <c r="D634" s="277"/>
      <c r="E634" s="296"/>
      <c r="F634" s="295" t="s">
        <v>230</v>
      </c>
      <c r="G634" s="282"/>
      <c r="H634" s="275" t="s">
        <v>46</v>
      </c>
      <c r="I634" s="263"/>
      <c r="J634" s="294">
        <v>0</v>
      </c>
      <c r="K634" s="87"/>
      <c r="L634" s="228"/>
      <c r="M634" s="229"/>
      <c r="N634" s="229"/>
      <c r="O634" s="229"/>
      <c r="P634" s="229"/>
      <c r="Q634" s="229"/>
      <c r="R634" s="229"/>
      <c r="S634" s="229"/>
      <c r="T634" s="229"/>
      <c r="U634" s="229"/>
    </row>
    <row r="635" spans="1:21" ht="18.75" x14ac:dyDescent="0.25">
      <c r="A635" s="276"/>
      <c r="B635" s="277"/>
      <c r="C635" s="277"/>
      <c r="D635" s="277"/>
      <c r="E635" s="296"/>
      <c r="F635" s="295" t="s">
        <v>231</v>
      </c>
      <c r="G635" s="282"/>
      <c r="H635" s="275" t="s">
        <v>46</v>
      </c>
      <c r="I635" s="263"/>
      <c r="J635" s="294">
        <v>0</v>
      </c>
      <c r="K635" s="87"/>
      <c r="L635" s="228"/>
      <c r="M635" s="229"/>
      <c r="N635" s="229"/>
      <c r="O635" s="229"/>
      <c r="P635" s="229"/>
      <c r="Q635" s="229"/>
      <c r="R635" s="229"/>
      <c r="S635" s="229"/>
      <c r="T635" s="229"/>
      <c r="U635" s="229"/>
    </row>
    <row r="636" spans="1:21" ht="19.5" x14ac:dyDescent="0.3">
      <c r="A636" s="276"/>
      <c r="B636" s="277"/>
      <c r="C636" s="277"/>
      <c r="D636" s="745" t="s">
        <v>232</v>
      </c>
      <c r="E636" s="296"/>
      <c r="F636" s="296"/>
      <c r="G636" s="282"/>
      <c r="H636" s="275" t="s">
        <v>46</v>
      </c>
      <c r="I636" s="622">
        <f ca="1">IFERROR(__xludf.DUMMYFUNCTION("IMPORTRANGE(""https://docs.google.com/spreadsheets/d/1eHaY18a8A9IcSdp1K8H6x8fbOy06t2VsZHhMHf-1x7Y/edit?usp=sharing"",""แผน!IE60"")"),0)</f>
        <v>0</v>
      </c>
      <c r="J636" s="622">
        <f>J637</f>
        <v>0</v>
      </c>
      <c r="K636" s="264">
        <f ca="1">IF(I636&gt;0,J636*100/I636,0)</f>
        <v>0</v>
      </c>
      <c r="L636" s="228"/>
      <c r="M636" s="229"/>
      <c r="N636" s="229"/>
      <c r="O636" s="229"/>
      <c r="P636" s="229"/>
      <c r="Q636" s="229"/>
      <c r="R636" s="229"/>
      <c r="S636" s="229"/>
      <c r="T636" s="229"/>
      <c r="U636" s="229"/>
    </row>
    <row r="637" spans="1:21" ht="18.75" x14ac:dyDescent="0.25">
      <c r="A637" s="276"/>
      <c r="B637" s="277"/>
      <c r="C637" s="277"/>
      <c r="D637" s="277"/>
      <c r="E637" s="295" t="s">
        <v>233</v>
      </c>
      <c r="F637" s="296"/>
      <c r="G637" s="282"/>
      <c r="H637" s="275" t="s">
        <v>46</v>
      </c>
      <c r="I637" s="263"/>
      <c r="J637" s="293">
        <f>J638+J639</f>
        <v>0</v>
      </c>
      <c r="K637" s="87"/>
      <c r="L637" s="228"/>
      <c r="M637" s="229"/>
      <c r="N637" s="229"/>
      <c r="O637" s="229"/>
      <c r="P637" s="229"/>
      <c r="Q637" s="229"/>
      <c r="R637" s="229"/>
      <c r="S637" s="229"/>
      <c r="T637" s="229"/>
      <c r="U637" s="229"/>
    </row>
    <row r="638" spans="1:21" ht="18.75" x14ac:dyDescent="0.25">
      <c r="A638" s="276"/>
      <c r="B638" s="277"/>
      <c r="C638" s="277"/>
      <c r="D638" s="277"/>
      <c r="E638" s="296"/>
      <c r="F638" s="295" t="s">
        <v>230</v>
      </c>
      <c r="G638" s="282"/>
      <c r="H638" s="275" t="s">
        <v>46</v>
      </c>
      <c r="I638" s="263"/>
      <c r="J638" s="294">
        <v>0</v>
      </c>
      <c r="K638" s="87"/>
      <c r="L638" s="228"/>
      <c r="M638" s="229"/>
      <c r="N638" s="229"/>
      <c r="O638" s="229"/>
      <c r="P638" s="229"/>
      <c r="Q638" s="229"/>
      <c r="R638" s="229"/>
      <c r="S638" s="229"/>
      <c r="T638" s="229"/>
      <c r="U638" s="229"/>
    </row>
    <row r="639" spans="1:21" ht="18.75" x14ac:dyDescent="0.25">
      <c r="A639" s="276"/>
      <c r="B639" s="277"/>
      <c r="C639" s="277"/>
      <c r="D639" s="277"/>
      <c r="E639" s="296"/>
      <c r="F639" s="295" t="s">
        <v>231</v>
      </c>
      <c r="G639" s="282"/>
      <c r="H639" s="275" t="s">
        <v>46</v>
      </c>
      <c r="I639" s="263"/>
      <c r="J639" s="294">
        <v>0</v>
      </c>
      <c r="K639" s="87"/>
      <c r="L639" s="228"/>
      <c r="M639" s="229"/>
      <c r="N639" s="229"/>
      <c r="O639" s="229"/>
      <c r="P639" s="229"/>
      <c r="Q639" s="229"/>
      <c r="R639" s="229"/>
      <c r="S639" s="229"/>
      <c r="T639" s="229"/>
      <c r="U639" s="229"/>
    </row>
    <row r="640" spans="1:21" ht="18.75" x14ac:dyDescent="0.25">
      <c r="A640" s="276"/>
      <c r="B640" s="277"/>
      <c r="C640" s="277"/>
      <c r="D640" s="277"/>
      <c r="E640" s="295" t="s">
        <v>234</v>
      </c>
      <c r="F640" s="296"/>
      <c r="G640" s="282"/>
      <c r="H640" s="275" t="s">
        <v>46</v>
      </c>
      <c r="I640" s="263"/>
      <c r="J640" s="294">
        <v>0</v>
      </c>
      <c r="K640" s="87"/>
      <c r="L640" s="228"/>
      <c r="M640" s="229"/>
      <c r="N640" s="229"/>
      <c r="O640" s="229"/>
      <c r="P640" s="229"/>
      <c r="Q640" s="229"/>
      <c r="R640" s="229"/>
      <c r="S640" s="229"/>
      <c r="T640" s="229"/>
      <c r="U640" s="229"/>
    </row>
    <row r="641" spans="1:21" ht="18.75" x14ac:dyDescent="0.25">
      <c r="A641" s="276"/>
      <c r="B641" s="277"/>
      <c r="C641" s="277"/>
      <c r="D641" s="277"/>
      <c r="E641" s="296"/>
      <c r="F641" s="295" t="s">
        <v>235</v>
      </c>
      <c r="G641" s="282"/>
      <c r="H641" s="275" t="s">
        <v>46</v>
      </c>
      <c r="I641" s="263"/>
      <c r="J641" s="294">
        <v>0</v>
      </c>
      <c r="K641" s="87"/>
      <c r="L641" s="228"/>
      <c r="M641" s="229"/>
      <c r="N641" s="229"/>
      <c r="O641" s="229"/>
      <c r="P641" s="229"/>
      <c r="Q641" s="229"/>
      <c r="R641" s="229"/>
      <c r="S641" s="229"/>
      <c r="T641" s="229"/>
      <c r="U641" s="229"/>
    </row>
    <row r="642" spans="1:21" ht="19.5" x14ac:dyDescent="0.3">
      <c r="A642" s="735"/>
      <c r="B642" s="736" t="s">
        <v>236</v>
      </c>
      <c r="C642" s="735"/>
      <c r="D642" s="737"/>
      <c r="E642" s="737"/>
      <c r="F642" s="737"/>
      <c r="G642" s="738"/>
      <c r="H642" s="747"/>
      <c r="I642" s="748"/>
      <c r="J642" s="748"/>
      <c r="K642" s="742"/>
      <c r="L642" s="743"/>
      <c r="M642" s="742"/>
      <c r="N642" s="742"/>
      <c r="O642" s="742"/>
      <c r="P642" s="742"/>
      <c r="Q642" s="742"/>
      <c r="R642" s="742"/>
      <c r="S642" s="742"/>
      <c r="T642" s="742"/>
      <c r="U642" s="742"/>
    </row>
    <row r="643" spans="1:21" ht="19.5" x14ac:dyDescent="0.3">
      <c r="A643" s="257"/>
      <c r="B643" s="269"/>
      <c r="C643" s="749" t="s">
        <v>18</v>
      </c>
      <c r="D643" s="1369" t="s">
        <v>19</v>
      </c>
      <c r="E643" s="1343"/>
      <c r="F643" s="1343"/>
      <c r="G643" s="1344"/>
      <c r="H643" s="633" t="s">
        <v>14</v>
      </c>
      <c r="I643" s="263"/>
      <c r="J643" s="263"/>
      <c r="K643" s="87"/>
      <c r="L643" s="1257">
        <f t="shared" ref="L643:N643" si="394">L644+L645</f>
        <v>0</v>
      </c>
      <c r="M643" s="264">
        <f t="shared" si="394"/>
        <v>0</v>
      </c>
      <c r="N643" s="264">
        <f t="shared" si="394"/>
        <v>0</v>
      </c>
      <c r="O643" s="264">
        <f t="shared" ref="O643:O651" si="395">IF(L643&gt;0,N643*100/L643,0)</f>
        <v>0</v>
      </c>
      <c r="P643" s="264">
        <f t="shared" ref="P643:P651" si="396">IF(M643&gt;0,N643*100/M643,0)</f>
        <v>0</v>
      </c>
      <c r="Q643" s="264">
        <f t="shared" ref="Q643:S643" ca="1" si="397">Q644+Q645</f>
        <v>9360</v>
      </c>
      <c r="R643" s="264">
        <f t="shared" ca="1" si="397"/>
        <v>9360</v>
      </c>
      <c r="S643" s="264">
        <f t="shared" ca="1" si="397"/>
        <v>3440</v>
      </c>
      <c r="T643" s="264">
        <f t="shared" ref="T643:T651" ca="1" si="398">IF(Q643&gt;0,S643*100/Q643,0)</f>
        <v>36.752136752136749</v>
      </c>
      <c r="U643" s="264">
        <f t="shared" ref="U643:U651" ca="1" si="399">IF(R643&gt;0,S643*100/R643,0)</f>
        <v>36.752136752136749</v>
      </c>
    </row>
    <row r="644" spans="1:21" ht="18.75" hidden="1" x14ac:dyDescent="0.25">
      <c r="A644" s="257"/>
      <c r="B644" s="269"/>
      <c r="C644" s="269"/>
      <c r="D644" s="296"/>
      <c r="E644" s="265" t="s">
        <v>158</v>
      </c>
      <c r="F644" s="258"/>
      <c r="G644" s="261"/>
      <c r="H644" s="273" t="s">
        <v>14</v>
      </c>
      <c r="I644" s="263"/>
      <c r="J644" s="263"/>
      <c r="K644" s="87"/>
      <c r="L644" s="76">
        <f t="shared" ref="L644:N645" si="400">L647+L650</f>
        <v>0</v>
      </c>
      <c r="M644" s="77">
        <f t="shared" si="400"/>
        <v>0</v>
      </c>
      <c r="N644" s="77">
        <f t="shared" si="400"/>
        <v>0</v>
      </c>
      <c r="O644" s="77">
        <f t="shared" si="395"/>
        <v>0</v>
      </c>
      <c r="P644" s="77">
        <f t="shared" si="396"/>
        <v>0</v>
      </c>
      <c r="Q644" s="77">
        <f t="shared" ref="Q644:S645" si="401">Q647+Q650</f>
        <v>0</v>
      </c>
      <c r="R644" s="77">
        <f t="shared" si="401"/>
        <v>0</v>
      </c>
      <c r="S644" s="77">
        <f t="shared" si="401"/>
        <v>0</v>
      </c>
      <c r="T644" s="77">
        <f t="shared" si="398"/>
        <v>0</v>
      </c>
      <c r="U644" s="77">
        <f t="shared" si="399"/>
        <v>0</v>
      </c>
    </row>
    <row r="645" spans="1:21" ht="18.75" hidden="1" x14ac:dyDescent="0.25">
      <c r="A645" s="257"/>
      <c r="B645" s="269"/>
      <c r="C645" s="269"/>
      <c r="D645" s="296"/>
      <c r="E645" s="267" t="s">
        <v>159</v>
      </c>
      <c r="F645" s="258"/>
      <c r="G645" s="261"/>
      <c r="H645" s="271" t="s">
        <v>14</v>
      </c>
      <c r="I645" s="263"/>
      <c r="J645" s="263"/>
      <c r="K645" s="87"/>
      <c r="L645" s="73">
        <f t="shared" si="400"/>
        <v>0</v>
      </c>
      <c r="M645" s="74">
        <f t="shared" si="400"/>
        <v>0</v>
      </c>
      <c r="N645" s="74">
        <f t="shared" si="400"/>
        <v>0</v>
      </c>
      <c r="O645" s="74">
        <f t="shared" si="395"/>
        <v>0</v>
      </c>
      <c r="P645" s="74">
        <f t="shared" si="396"/>
        <v>0</v>
      </c>
      <c r="Q645" s="74">
        <f t="shared" ca="1" si="401"/>
        <v>9360</v>
      </c>
      <c r="R645" s="74">
        <f t="shared" ca="1" si="401"/>
        <v>9360</v>
      </c>
      <c r="S645" s="74">
        <f t="shared" ca="1" si="401"/>
        <v>3440</v>
      </c>
      <c r="T645" s="74">
        <f t="shared" ca="1" si="398"/>
        <v>36.752136752136749</v>
      </c>
      <c r="U645" s="74">
        <f t="shared" ca="1" si="399"/>
        <v>36.752136752136749</v>
      </c>
    </row>
    <row r="646" spans="1:21" ht="18.75" x14ac:dyDescent="0.25">
      <c r="A646" s="257"/>
      <c r="B646" s="269"/>
      <c r="C646" s="269"/>
      <c r="D646" s="270" t="s">
        <v>22</v>
      </c>
      <c r="E646" s="258"/>
      <c r="F646" s="258"/>
      <c r="G646" s="261"/>
      <c r="H646" s="271" t="s">
        <v>14</v>
      </c>
      <c r="I646" s="272"/>
      <c r="J646" s="272"/>
      <c r="K646" s="229"/>
      <c r="L646" s="73">
        <f t="shared" ref="L646:N646" si="402">L647+L648</f>
        <v>0</v>
      </c>
      <c r="M646" s="74">
        <f t="shared" si="402"/>
        <v>0</v>
      </c>
      <c r="N646" s="74">
        <f t="shared" si="402"/>
        <v>0</v>
      </c>
      <c r="O646" s="74">
        <f t="shared" si="395"/>
        <v>0</v>
      </c>
      <c r="P646" s="74">
        <f t="shared" si="396"/>
        <v>0</v>
      </c>
      <c r="Q646" s="74">
        <f t="shared" ref="Q646:S646" ca="1" si="403">Q647+Q648</f>
        <v>9360</v>
      </c>
      <c r="R646" s="74">
        <f t="shared" ca="1" si="403"/>
        <v>9360</v>
      </c>
      <c r="S646" s="74">
        <f t="shared" ca="1" si="403"/>
        <v>3440</v>
      </c>
      <c r="T646" s="74">
        <f t="shared" ca="1" si="398"/>
        <v>36.752136752136749</v>
      </c>
      <c r="U646" s="74">
        <f t="shared" ca="1" si="399"/>
        <v>36.752136752136749</v>
      </c>
    </row>
    <row r="647" spans="1:21" ht="18.75" hidden="1" x14ac:dyDescent="0.25">
      <c r="A647" s="257"/>
      <c r="B647" s="269"/>
      <c r="C647" s="269"/>
      <c r="D647" s="296"/>
      <c r="E647" s="265" t="s">
        <v>158</v>
      </c>
      <c r="F647" s="258"/>
      <c r="G647" s="261"/>
      <c r="H647" s="273" t="s">
        <v>14</v>
      </c>
      <c r="I647" s="263"/>
      <c r="J647" s="263"/>
      <c r="K647" s="87"/>
      <c r="L647" s="76">
        <v>0</v>
      </c>
      <c r="M647" s="77">
        <v>0</v>
      </c>
      <c r="N647" s="77">
        <v>0</v>
      </c>
      <c r="O647" s="77">
        <f t="shared" si="395"/>
        <v>0</v>
      </c>
      <c r="P647" s="77">
        <f t="shared" si="396"/>
        <v>0</v>
      </c>
      <c r="Q647" s="77">
        <v>0</v>
      </c>
      <c r="R647" s="77">
        <v>0</v>
      </c>
      <c r="S647" s="77">
        <v>0</v>
      </c>
      <c r="T647" s="77">
        <f t="shared" si="398"/>
        <v>0</v>
      </c>
      <c r="U647" s="77">
        <f t="shared" si="399"/>
        <v>0</v>
      </c>
    </row>
    <row r="648" spans="1:21" ht="18.75" hidden="1" x14ac:dyDescent="0.25">
      <c r="A648" s="257"/>
      <c r="B648" s="269"/>
      <c r="C648" s="269"/>
      <c r="D648" s="296"/>
      <c r="E648" s="267" t="s">
        <v>159</v>
      </c>
      <c r="F648" s="258"/>
      <c r="G648" s="261"/>
      <c r="H648" s="271" t="s">
        <v>14</v>
      </c>
      <c r="I648" s="263"/>
      <c r="J648" s="263"/>
      <c r="K648" s="87"/>
      <c r="L648" s="73">
        <v>0</v>
      </c>
      <c r="M648" s="74">
        <v>0</v>
      </c>
      <c r="N648" s="74">
        <v>0</v>
      </c>
      <c r="O648" s="74">
        <f t="shared" si="395"/>
        <v>0</v>
      </c>
      <c r="P648" s="74">
        <f t="shared" si="396"/>
        <v>0</v>
      </c>
      <c r="Q648" s="74">
        <f ca="1">IFERROR(__xludf.DUMMYFUNCTION("IMPORTRANGE(""https://docs.google.com/spreadsheets/d/1ItG2mGa2ceCfYo0BwxsXqNm01IGEUdYcSSLTEv9YCik/edit?usp=sharing"",""เบิกจ่ายกองทุน!I60"")"),9360)</f>
        <v>9360</v>
      </c>
      <c r="R648" s="74">
        <f ca="1">IFERROR(__xludf.DUMMYFUNCTION("IMPORTRANGE(""https://docs.google.com/spreadsheets/d/1ItG2mGa2ceCfYo0BwxsXqNm01IGEUdYcSSLTEv9YCik/edit?usp=sharing"",""เบิกจ่ายกองทุน!J60"")"),9360)</f>
        <v>9360</v>
      </c>
      <c r="S648" s="74">
        <f ca="1">IFERROR(__xludf.DUMMYFUNCTION("IMPORTRANGE(""https://docs.google.com/spreadsheets/d/1ItG2mGa2ceCfYo0BwxsXqNm01IGEUdYcSSLTEv9YCik/edit?usp=sharing"",""เบิกจ่ายกองทุน!K60"")"),3440)</f>
        <v>3440</v>
      </c>
      <c r="T648" s="74">
        <f t="shared" ca="1" si="398"/>
        <v>36.752136752136749</v>
      </c>
      <c r="U648" s="74">
        <f t="shared" ca="1" si="399"/>
        <v>36.752136752136749</v>
      </c>
    </row>
    <row r="649" spans="1:21" ht="18.75" x14ac:dyDescent="0.25">
      <c r="A649" s="257"/>
      <c r="B649" s="269"/>
      <c r="C649" s="269"/>
      <c r="D649" s="270" t="s">
        <v>23</v>
      </c>
      <c r="E649" s="258"/>
      <c r="F649" s="258"/>
      <c r="G649" s="261"/>
      <c r="H649" s="275" t="s">
        <v>14</v>
      </c>
      <c r="I649" s="272"/>
      <c r="J649" s="272"/>
      <c r="K649" s="229"/>
      <c r="L649" s="73">
        <f t="shared" ref="L649:N649" si="404">L650+L651</f>
        <v>0</v>
      </c>
      <c r="M649" s="74">
        <f t="shared" si="404"/>
        <v>0</v>
      </c>
      <c r="N649" s="74">
        <f t="shared" si="404"/>
        <v>0</v>
      </c>
      <c r="O649" s="74">
        <f t="shared" si="395"/>
        <v>0</v>
      </c>
      <c r="P649" s="74">
        <f t="shared" si="396"/>
        <v>0</v>
      </c>
      <c r="Q649" s="74">
        <f t="shared" ref="Q649:S649" si="405">Q650+Q651</f>
        <v>0</v>
      </c>
      <c r="R649" s="74">
        <f t="shared" si="405"/>
        <v>0</v>
      </c>
      <c r="S649" s="74">
        <f t="shared" si="405"/>
        <v>0</v>
      </c>
      <c r="T649" s="74">
        <f t="shared" si="398"/>
        <v>0</v>
      </c>
      <c r="U649" s="74">
        <f t="shared" si="399"/>
        <v>0</v>
      </c>
    </row>
    <row r="650" spans="1:21" ht="18.75" hidden="1" x14ac:dyDescent="0.25">
      <c r="A650" s="257"/>
      <c r="B650" s="269"/>
      <c r="C650" s="269"/>
      <c r="D650" s="258"/>
      <c r="E650" s="265" t="s">
        <v>20</v>
      </c>
      <c r="F650" s="258"/>
      <c r="G650" s="261"/>
      <c r="H650" s="273" t="s">
        <v>14</v>
      </c>
      <c r="I650" s="272"/>
      <c r="J650" s="272"/>
      <c r="K650" s="229"/>
      <c r="L650" s="76">
        <v>0</v>
      </c>
      <c r="M650" s="77">
        <v>0</v>
      </c>
      <c r="N650" s="77">
        <v>0</v>
      </c>
      <c r="O650" s="77">
        <f t="shared" si="395"/>
        <v>0</v>
      </c>
      <c r="P650" s="77">
        <f t="shared" si="396"/>
        <v>0</v>
      </c>
      <c r="Q650" s="77">
        <v>0</v>
      </c>
      <c r="R650" s="77">
        <v>0</v>
      </c>
      <c r="S650" s="77">
        <v>0</v>
      </c>
      <c r="T650" s="77">
        <f t="shared" si="398"/>
        <v>0</v>
      </c>
      <c r="U650" s="77">
        <f t="shared" si="399"/>
        <v>0</v>
      </c>
    </row>
    <row r="651" spans="1:21" ht="18.75" hidden="1" x14ac:dyDescent="0.25">
      <c r="A651" s="257"/>
      <c r="B651" s="269"/>
      <c r="C651" s="269"/>
      <c r="D651" s="258"/>
      <c r="E651" s="267" t="s">
        <v>21</v>
      </c>
      <c r="F651" s="258"/>
      <c r="G651" s="261"/>
      <c r="H651" s="275" t="s">
        <v>14</v>
      </c>
      <c r="I651" s="272"/>
      <c r="J651" s="272"/>
      <c r="K651" s="229"/>
      <c r="L651" s="73">
        <v>0</v>
      </c>
      <c r="M651" s="74">
        <v>0</v>
      </c>
      <c r="N651" s="74">
        <v>0</v>
      </c>
      <c r="O651" s="74">
        <f t="shared" si="395"/>
        <v>0</v>
      </c>
      <c r="P651" s="74">
        <f t="shared" si="396"/>
        <v>0</v>
      </c>
      <c r="Q651" s="74">
        <v>0</v>
      </c>
      <c r="R651" s="74">
        <v>0</v>
      </c>
      <c r="S651" s="74">
        <v>0</v>
      </c>
      <c r="T651" s="74">
        <f t="shared" si="398"/>
        <v>0</v>
      </c>
      <c r="U651" s="74">
        <f t="shared" si="399"/>
        <v>0</v>
      </c>
    </row>
    <row r="652" spans="1:21" ht="19.5" x14ac:dyDescent="0.3">
      <c r="A652" s="276"/>
      <c r="B652" s="277"/>
      <c r="C652" s="749" t="s">
        <v>18</v>
      </c>
      <c r="D652" s="1018" t="s">
        <v>38</v>
      </c>
      <c r="E652" s="280"/>
      <c r="F652" s="280"/>
      <c r="G652" s="281"/>
      <c r="H652" s="310"/>
      <c r="I652" s="272"/>
      <c r="J652" s="272"/>
      <c r="K652" s="229"/>
      <c r="L652" s="228"/>
      <c r="M652" s="229"/>
      <c r="N652" s="229"/>
      <c r="O652" s="229"/>
      <c r="P652" s="229"/>
      <c r="Q652" s="87"/>
      <c r="R652" s="87"/>
      <c r="S652" s="87"/>
      <c r="T652" s="229"/>
      <c r="U652" s="229"/>
    </row>
    <row r="653" spans="1:21" ht="18.75" hidden="1" x14ac:dyDescent="0.25">
      <c r="A653" s="550"/>
      <c r="B653" s="269"/>
      <c r="C653" s="269"/>
      <c r="D653" s="267" t="s">
        <v>237</v>
      </c>
      <c r="E653" s="258"/>
      <c r="F653" s="258"/>
      <c r="G653" s="261"/>
      <c r="H653" s="275" t="s">
        <v>46</v>
      </c>
      <c r="I653" s="751">
        <f ca="1">IFERROR(__xludf.DUMMYFUNCTION("IMPORTRANGE(""https://docs.google.com/spreadsheets/d/1eHaY18a8A9IcSdp1K8H6x8fbOy06t2VsZHhMHf-1x7Y/edit?usp=sharing"",""แผน!IF60"")"),0)</f>
        <v>0</v>
      </c>
      <c r="J653" s="293">
        <f ca="1">IFERROR(__xludf.DUMMYFUNCTION("IMPORTRANGE(""https://docs.google.com/spreadsheets/d/1tdoBKaGub7dwA3U6UFTqxio9LNnvDCQjHKmttSEBsFQ/edit?usp=sharing"",""จัดที่ดิน!AU60"")"),0)</f>
        <v>0</v>
      </c>
      <c r="K653" s="74">
        <f t="shared" ref="K653:K655" ca="1" si="406">IF(I653&gt;0,J653*100/I653,0)</f>
        <v>0</v>
      </c>
      <c r="L653" s="86"/>
      <c r="M653" s="87"/>
      <c r="N653" s="752"/>
      <c r="O653" s="87"/>
      <c r="P653" s="87"/>
      <c r="Q653" s="87"/>
      <c r="R653" s="87"/>
      <c r="S653" s="752"/>
      <c r="T653" s="87"/>
      <c r="U653" s="87"/>
    </row>
    <row r="654" spans="1:21" ht="18.75" hidden="1" x14ac:dyDescent="0.25">
      <c r="A654" s="550"/>
      <c r="B654" s="269"/>
      <c r="C654" s="269"/>
      <c r="D654" s="267" t="s">
        <v>238</v>
      </c>
      <c r="E654" s="258"/>
      <c r="F654" s="258"/>
      <c r="G654" s="261"/>
      <c r="H654" s="275" t="s">
        <v>35</v>
      </c>
      <c r="I654" s="751">
        <f ca="1">IFERROR(__xludf.DUMMYFUNCTION("IMPORTRANGE(""https://docs.google.com/spreadsheets/d/1eHaY18a8A9IcSdp1K8H6x8fbOy06t2VsZHhMHf-1x7Y/edit?usp=sharing"",""แผน!IG60"")"),0)</f>
        <v>0</v>
      </c>
      <c r="J654" s="293">
        <f ca="1">IFERROR(__xludf.DUMMYFUNCTION("IMPORTRANGE(""https://docs.google.com/spreadsheets/d/1tdoBKaGub7dwA3U6UFTqxio9LNnvDCQjHKmttSEBsFQ/edit?usp=sharing"",""จัดที่ดิน!AW60"")"),0)</f>
        <v>0</v>
      </c>
      <c r="K654" s="74">
        <f t="shared" ca="1" si="406"/>
        <v>0</v>
      </c>
      <c r="L654" s="86"/>
      <c r="M654" s="87"/>
      <c r="N654" s="752"/>
      <c r="O654" s="87"/>
      <c r="P654" s="87"/>
      <c r="Q654" s="87"/>
      <c r="R654" s="87"/>
      <c r="S654" s="752"/>
      <c r="T654" s="87"/>
      <c r="U654" s="87"/>
    </row>
    <row r="655" spans="1:21" ht="19.5" x14ac:dyDescent="0.3">
      <c r="A655" s="550"/>
      <c r="B655" s="269"/>
      <c r="C655" s="269"/>
      <c r="D655" s="267" t="s">
        <v>239</v>
      </c>
      <c r="E655" s="258"/>
      <c r="F655" s="258"/>
      <c r="G655" s="261"/>
      <c r="H655" s="746" t="s">
        <v>46</v>
      </c>
      <c r="I655" s="753">
        <f ca="1">IFERROR(__xludf.DUMMYFUNCTION("IMPORTRANGE(""https://docs.google.com/spreadsheets/d/1eHaY18a8A9IcSdp1K8H6x8fbOy06t2VsZHhMHf-1x7Y/edit?usp=sharing"",""แผน!IH60"")"),30)</f>
        <v>30</v>
      </c>
      <c r="J655" s="622">
        <f>J658+J661</f>
        <v>0</v>
      </c>
      <c r="K655" s="264">
        <f t="shared" ca="1" si="406"/>
        <v>0</v>
      </c>
      <c r="L655" s="86"/>
      <c r="M655" s="87"/>
      <c r="N655" s="752"/>
      <c r="O655" s="87"/>
      <c r="P655" s="87"/>
      <c r="Q655" s="87"/>
      <c r="R655" s="87"/>
      <c r="S655" s="752"/>
      <c r="T655" s="87"/>
      <c r="U655" s="87"/>
    </row>
    <row r="656" spans="1:21" ht="18.75" x14ac:dyDescent="0.25">
      <c r="A656" s="550"/>
      <c r="B656" s="269"/>
      <c r="C656" s="269"/>
      <c r="D656" s="258"/>
      <c r="E656" s="267" t="s">
        <v>240</v>
      </c>
      <c r="F656" s="258"/>
      <c r="G656" s="261"/>
      <c r="H656" s="275" t="s">
        <v>35</v>
      </c>
      <c r="I656" s="312"/>
      <c r="J656" s="294">
        <v>0</v>
      </c>
      <c r="K656" s="87"/>
      <c r="L656" s="86"/>
      <c r="M656" s="87"/>
      <c r="N656" s="752"/>
      <c r="O656" s="87"/>
      <c r="P656" s="87"/>
      <c r="Q656" s="87"/>
      <c r="R656" s="87"/>
      <c r="S656" s="752"/>
      <c r="T656" s="87"/>
      <c r="U656" s="87"/>
    </row>
    <row r="657" spans="1:21" ht="18.75" x14ac:dyDescent="0.25">
      <c r="A657" s="550"/>
      <c r="B657" s="269"/>
      <c r="C657" s="269"/>
      <c r="D657" s="258"/>
      <c r="E657" s="258"/>
      <c r="F657" s="258"/>
      <c r="G657" s="261"/>
      <c r="H657" s="275" t="s">
        <v>34</v>
      </c>
      <c r="I657" s="312"/>
      <c r="J657" s="294">
        <v>0</v>
      </c>
      <c r="K657" s="87"/>
      <c r="L657" s="86"/>
      <c r="M657" s="87"/>
      <c r="N657" s="752"/>
      <c r="O657" s="87"/>
      <c r="P657" s="87"/>
      <c r="Q657" s="87"/>
      <c r="R657" s="87"/>
      <c r="S657" s="752"/>
      <c r="T657" s="87"/>
      <c r="U657" s="87"/>
    </row>
    <row r="658" spans="1:21" ht="18.75" x14ac:dyDescent="0.25">
      <c r="A658" s="550"/>
      <c r="B658" s="269"/>
      <c r="C658" s="269"/>
      <c r="D658" s="258"/>
      <c r="E658" s="258"/>
      <c r="F658" s="258"/>
      <c r="G658" s="261"/>
      <c r="H658" s="275" t="s">
        <v>46</v>
      </c>
      <c r="I658" s="751">
        <f ca="1">IFERROR(__xludf.DUMMYFUNCTION("IMPORTRANGE(""https://docs.google.com/spreadsheets/d/1eHaY18a8A9IcSdp1K8H6x8fbOy06t2VsZHhMHf-1x7Y/edit?usp=sharing"",""แผน!II60"")"),30)</f>
        <v>30</v>
      </c>
      <c r="J658" s="294">
        <v>0</v>
      </c>
      <c r="K658" s="87"/>
      <c r="L658" s="86"/>
      <c r="M658" s="87"/>
      <c r="N658" s="752"/>
      <c r="O658" s="87"/>
      <c r="P658" s="87"/>
      <c r="Q658" s="87"/>
      <c r="R658" s="87"/>
      <c r="S658" s="752"/>
      <c r="T658" s="87"/>
      <c r="U658" s="87"/>
    </row>
    <row r="659" spans="1:21" ht="18.75" x14ac:dyDescent="0.25">
      <c r="A659" s="550"/>
      <c r="B659" s="269"/>
      <c r="C659" s="269"/>
      <c r="D659" s="258"/>
      <c r="E659" s="267" t="s">
        <v>241</v>
      </c>
      <c r="F659" s="258"/>
      <c r="G659" s="261"/>
      <c r="H659" s="275" t="s">
        <v>35</v>
      </c>
      <c r="I659" s="312"/>
      <c r="J659" s="294">
        <v>0</v>
      </c>
      <c r="K659" s="87"/>
      <c r="L659" s="86"/>
      <c r="M659" s="87"/>
      <c r="N659" s="752"/>
      <c r="O659" s="87"/>
      <c r="P659" s="87"/>
      <c r="Q659" s="87"/>
      <c r="R659" s="87"/>
      <c r="S659" s="752"/>
      <c r="T659" s="87"/>
      <c r="U659" s="87"/>
    </row>
    <row r="660" spans="1:21" ht="18.75" x14ac:dyDescent="0.25">
      <c r="A660" s="550"/>
      <c r="B660" s="269"/>
      <c r="C660" s="269"/>
      <c r="D660" s="258"/>
      <c r="E660" s="258"/>
      <c r="F660" s="258"/>
      <c r="G660" s="261"/>
      <c r="H660" s="275" t="s">
        <v>34</v>
      </c>
      <c r="I660" s="312"/>
      <c r="J660" s="294">
        <v>0</v>
      </c>
      <c r="K660" s="87"/>
      <c r="L660" s="86"/>
      <c r="M660" s="87"/>
      <c r="N660" s="752"/>
      <c r="O660" s="87"/>
      <c r="P660" s="87"/>
      <c r="Q660" s="87"/>
      <c r="R660" s="87"/>
      <c r="S660" s="752"/>
      <c r="T660" s="87"/>
      <c r="U660" s="87"/>
    </row>
    <row r="661" spans="1:21" ht="18.75" x14ac:dyDescent="0.25">
      <c r="A661" s="550"/>
      <c r="B661" s="269"/>
      <c r="C661" s="269"/>
      <c r="D661" s="258"/>
      <c r="E661" s="258"/>
      <c r="F661" s="258"/>
      <c r="G661" s="261"/>
      <c r="H661" s="275" t="s">
        <v>46</v>
      </c>
      <c r="I661" s="751">
        <f ca="1">IFERROR(__xludf.DUMMYFUNCTION("IMPORTRANGE(""https://docs.google.com/spreadsheets/d/1eHaY18a8A9IcSdp1K8H6x8fbOy06t2VsZHhMHf-1x7Y/edit?usp=sharing"",""แผน!IJ60"")"),0)</f>
        <v>0</v>
      </c>
      <c r="J661" s="294">
        <v>0</v>
      </c>
      <c r="K661" s="87"/>
      <c r="L661" s="86"/>
      <c r="M661" s="87"/>
      <c r="N661" s="752"/>
      <c r="O661" s="87"/>
      <c r="P661" s="87"/>
      <c r="Q661" s="87"/>
      <c r="R661" s="87"/>
      <c r="S661" s="752"/>
      <c r="T661" s="87"/>
      <c r="U661" s="87"/>
    </row>
    <row r="662" spans="1:21" ht="19.5" x14ac:dyDescent="0.3">
      <c r="A662" s="550"/>
      <c r="B662" s="269"/>
      <c r="C662" s="269"/>
      <c r="D662" s="634" t="s">
        <v>242</v>
      </c>
      <c r="E662" s="258"/>
      <c r="F662" s="258"/>
      <c r="G662" s="261"/>
      <c r="H662" s="746" t="s">
        <v>46</v>
      </c>
      <c r="I662" s="753">
        <f ca="1">IFERROR(__xludf.DUMMYFUNCTION("IMPORTRANGE(""https://docs.google.com/spreadsheets/d/1eHaY18a8A9IcSdp1K8H6x8fbOy06t2VsZHhMHf-1x7Y/edit?usp=sharing"",""แผน!IK60"")"),21)</f>
        <v>21</v>
      </c>
      <c r="J662" s="622">
        <f>J668+J671</f>
        <v>0</v>
      </c>
      <c r="K662" s="264">
        <f ca="1">IF(I662&gt;0,J662*100/I662,0)</f>
        <v>0</v>
      </c>
      <c r="L662" s="86"/>
      <c r="M662" s="87"/>
      <c r="N662" s="752"/>
      <c r="O662" s="87"/>
      <c r="P662" s="87"/>
      <c r="Q662" s="87"/>
      <c r="R662" s="87"/>
      <c r="S662" s="752"/>
      <c r="T662" s="87"/>
      <c r="U662" s="87"/>
    </row>
    <row r="663" spans="1:21" ht="18.75" x14ac:dyDescent="0.25">
      <c r="A663" s="550"/>
      <c r="B663" s="269"/>
      <c r="C663" s="269"/>
      <c r="D663" s="258"/>
      <c r="E663" s="267" t="s">
        <v>243</v>
      </c>
      <c r="F663" s="258"/>
      <c r="G663" s="261"/>
      <c r="H663" s="275" t="s">
        <v>34</v>
      </c>
      <c r="I663" s="312"/>
      <c r="J663" s="294">
        <v>0</v>
      </c>
      <c r="K663" s="87"/>
      <c r="L663" s="754"/>
      <c r="M663" s="87"/>
      <c r="N663" s="752"/>
      <c r="O663" s="87"/>
      <c r="P663" s="87"/>
      <c r="Q663" s="752"/>
      <c r="R663" s="87"/>
      <c r="S663" s="752"/>
      <c r="T663" s="87"/>
      <c r="U663" s="87"/>
    </row>
    <row r="664" spans="1:21" ht="18.75" x14ac:dyDescent="0.25">
      <c r="A664" s="550"/>
      <c r="B664" s="269"/>
      <c r="C664" s="269"/>
      <c r="D664" s="258"/>
      <c r="E664" s="258"/>
      <c r="F664" s="258"/>
      <c r="G664" s="261"/>
      <c r="H664" s="275" t="s">
        <v>46</v>
      </c>
      <c r="I664" s="312"/>
      <c r="J664" s="294">
        <v>0</v>
      </c>
      <c r="K664" s="87"/>
      <c r="L664" s="754"/>
      <c r="M664" s="87"/>
      <c r="N664" s="752"/>
      <c r="O664" s="87"/>
      <c r="P664" s="87"/>
      <c r="Q664" s="752"/>
      <c r="R664" s="87"/>
      <c r="S664" s="752"/>
      <c r="T664" s="87"/>
      <c r="U664" s="87"/>
    </row>
    <row r="665" spans="1:21" ht="18.75" x14ac:dyDescent="0.25">
      <c r="A665" s="550"/>
      <c r="B665" s="269"/>
      <c r="C665" s="269"/>
      <c r="D665" s="258"/>
      <c r="E665" s="267" t="s">
        <v>244</v>
      </c>
      <c r="F665" s="258"/>
      <c r="G665" s="261"/>
      <c r="H665" s="310"/>
      <c r="I665" s="312"/>
      <c r="J665" s="263"/>
      <c r="K665" s="87"/>
      <c r="L665" s="754"/>
      <c r="M665" s="87"/>
      <c r="N665" s="752"/>
      <c r="O665" s="87"/>
      <c r="P665" s="87"/>
      <c r="Q665" s="752"/>
      <c r="R665" s="87"/>
      <c r="S665" s="752"/>
      <c r="T665" s="87"/>
      <c r="U665" s="87"/>
    </row>
    <row r="666" spans="1:21" ht="18.75" x14ac:dyDescent="0.25">
      <c r="A666" s="550"/>
      <c r="B666" s="269"/>
      <c r="C666" s="269"/>
      <c r="D666" s="258"/>
      <c r="E666" s="258"/>
      <c r="F666" s="267" t="s">
        <v>245</v>
      </c>
      <c r="G666" s="261"/>
      <c r="H666" s="275" t="s">
        <v>35</v>
      </c>
      <c r="I666" s="312"/>
      <c r="J666" s="294">
        <v>0</v>
      </c>
      <c r="K666" s="87"/>
      <c r="L666" s="754"/>
      <c r="M666" s="87"/>
      <c r="N666" s="752"/>
      <c r="O666" s="87"/>
      <c r="P666" s="87"/>
      <c r="Q666" s="752"/>
      <c r="R666" s="87"/>
      <c r="S666" s="752"/>
      <c r="T666" s="87"/>
      <c r="U666" s="87"/>
    </row>
    <row r="667" spans="1:21" ht="18.75" x14ac:dyDescent="0.25">
      <c r="A667" s="550"/>
      <c r="B667" s="269"/>
      <c r="C667" s="269"/>
      <c r="D667" s="258"/>
      <c r="E667" s="258"/>
      <c r="F667" s="258"/>
      <c r="G667" s="261"/>
      <c r="H667" s="275" t="s">
        <v>34</v>
      </c>
      <c r="I667" s="312"/>
      <c r="J667" s="294">
        <v>0</v>
      </c>
      <c r="K667" s="87"/>
      <c r="L667" s="754"/>
      <c r="M667" s="87"/>
      <c r="N667" s="752"/>
      <c r="O667" s="87"/>
      <c r="P667" s="87"/>
      <c r="Q667" s="752"/>
      <c r="R667" s="87"/>
      <c r="S667" s="752"/>
      <c r="T667" s="87"/>
      <c r="U667" s="87"/>
    </row>
    <row r="668" spans="1:21" ht="18.75" x14ac:dyDescent="0.25">
      <c r="A668" s="550"/>
      <c r="B668" s="269"/>
      <c r="C668" s="269"/>
      <c r="D668" s="258"/>
      <c r="E668" s="258"/>
      <c r="F668" s="258"/>
      <c r="G668" s="261"/>
      <c r="H668" s="275" t="s">
        <v>46</v>
      </c>
      <c r="I668" s="312"/>
      <c r="J668" s="294">
        <v>0</v>
      </c>
      <c r="K668" s="87"/>
      <c r="L668" s="754"/>
      <c r="M668" s="87"/>
      <c r="N668" s="752"/>
      <c r="O668" s="87"/>
      <c r="P668" s="87"/>
      <c r="Q668" s="752"/>
      <c r="R668" s="87"/>
      <c r="S668" s="752"/>
      <c r="T668" s="87"/>
      <c r="U668" s="87"/>
    </row>
    <row r="669" spans="1:21" ht="18.75" x14ac:dyDescent="0.25">
      <c r="A669" s="550"/>
      <c r="B669" s="269"/>
      <c r="C669" s="269"/>
      <c r="D669" s="258"/>
      <c r="E669" s="258"/>
      <c r="F669" s="267" t="s">
        <v>246</v>
      </c>
      <c r="G669" s="261"/>
      <c r="H669" s="275" t="s">
        <v>35</v>
      </c>
      <c r="I669" s="312"/>
      <c r="J669" s="294">
        <v>0</v>
      </c>
      <c r="K669" s="87"/>
      <c r="L669" s="754"/>
      <c r="M669" s="87"/>
      <c r="N669" s="752"/>
      <c r="O669" s="87"/>
      <c r="P669" s="87"/>
      <c r="Q669" s="752"/>
      <c r="R669" s="87"/>
      <c r="S669" s="752"/>
      <c r="T669" s="87"/>
      <c r="U669" s="87"/>
    </row>
    <row r="670" spans="1:21" ht="18.75" x14ac:dyDescent="0.25">
      <c r="A670" s="550"/>
      <c r="B670" s="269"/>
      <c r="C670" s="269"/>
      <c r="D670" s="258"/>
      <c r="E670" s="258"/>
      <c r="F670" s="258"/>
      <c r="G670" s="261"/>
      <c r="H670" s="275" t="s">
        <v>34</v>
      </c>
      <c r="I670" s="312"/>
      <c r="J670" s="294">
        <v>0</v>
      </c>
      <c r="K670" s="87"/>
      <c r="L670" s="754"/>
      <c r="M670" s="87"/>
      <c r="N670" s="752"/>
      <c r="O670" s="87"/>
      <c r="P670" s="87"/>
      <c r="Q670" s="752"/>
      <c r="R670" s="87"/>
      <c r="S670" s="752"/>
      <c r="T670" s="87"/>
      <c r="U670" s="87"/>
    </row>
    <row r="671" spans="1:21" ht="18.75" x14ac:dyDescent="0.25">
      <c r="A671" s="550"/>
      <c r="B671" s="269"/>
      <c r="C671" s="269"/>
      <c r="D671" s="258"/>
      <c r="E671" s="258"/>
      <c r="F671" s="258"/>
      <c r="G671" s="261"/>
      <c r="H671" s="275" t="s">
        <v>46</v>
      </c>
      <c r="I671" s="312"/>
      <c r="J671" s="294">
        <v>0</v>
      </c>
      <c r="K671" s="87"/>
      <c r="L671" s="754"/>
      <c r="M671" s="87"/>
      <c r="N671" s="752"/>
      <c r="O671" s="87"/>
      <c r="P671" s="87"/>
      <c r="Q671" s="752"/>
      <c r="R671" s="87"/>
      <c r="S671" s="752"/>
      <c r="T671" s="87"/>
      <c r="U671" s="87"/>
    </row>
    <row r="672" spans="1:21" ht="18.75" x14ac:dyDescent="0.25">
      <c r="A672" s="550"/>
      <c r="B672" s="269"/>
      <c r="C672" s="269"/>
      <c r="D672" s="267" t="s">
        <v>247</v>
      </c>
      <c r="E672" s="258"/>
      <c r="F672" s="258"/>
      <c r="G672" s="261"/>
      <c r="H672" s="275" t="s">
        <v>35</v>
      </c>
      <c r="I672" s="312"/>
      <c r="J672" s="293">
        <f ca="1">IFERROR(__xludf.DUMMYFUNCTION("IMPORTRANGE(""https://docs.google.com/spreadsheets/d/1tdoBKaGub7dwA3U6UFTqxio9LNnvDCQjHKmttSEBsFQ/edit?usp=sharing"",""จัดที่ดิน!AY60"")"),0)</f>
        <v>0</v>
      </c>
      <c r="K672" s="87"/>
      <c r="L672" s="86"/>
      <c r="M672" s="87"/>
      <c r="N672" s="752"/>
      <c r="O672" s="87"/>
      <c r="P672" s="87"/>
      <c r="Q672" s="87"/>
      <c r="R672" s="87"/>
      <c r="S672" s="752"/>
      <c r="T672" s="87"/>
      <c r="U672" s="87"/>
    </row>
    <row r="673" spans="1:21" ht="18.75" x14ac:dyDescent="0.25">
      <c r="A673" s="550"/>
      <c r="B673" s="269"/>
      <c r="C673" s="269"/>
      <c r="D673" s="258"/>
      <c r="E673" s="258"/>
      <c r="F673" s="258"/>
      <c r="G673" s="261"/>
      <c r="H673" s="275" t="s">
        <v>34</v>
      </c>
      <c r="I673" s="312"/>
      <c r="J673" s="293">
        <f ca="1">IFERROR(__xludf.DUMMYFUNCTION("IMPORTRANGE(""https://docs.google.com/spreadsheets/d/1tdoBKaGub7dwA3U6UFTqxio9LNnvDCQjHKmttSEBsFQ/edit?usp=sharing"",""จัดที่ดิน!AZ60"")"),0)</f>
        <v>0</v>
      </c>
      <c r="K673" s="87"/>
      <c r="L673" s="754"/>
      <c r="M673" s="87"/>
      <c r="N673" s="752"/>
      <c r="O673" s="87"/>
      <c r="P673" s="87"/>
      <c r="Q673" s="752"/>
      <c r="R673" s="87"/>
      <c r="S673" s="752"/>
      <c r="T673" s="87"/>
      <c r="U673" s="87"/>
    </row>
    <row r="674" spans="1:21" ht="18.75" x14ac:dyDescent="0.25">
      <c r="A674" s="550"/>
      <c r="B674" s="269"/>
      <c r="C674" s="269"/>
      <c r="D674" s="258"/>
      <c r="E674" s="258"/>
      <c r="F674" s="258"/>
      <c r="G674" s="261"/>
      <c r="H674" s="275" t="s">
        <v>46</v>
      </c>
      <c r="I674" s="751">
        <f ca="1">IFERROR(__xludf.DUMMYFUNCTION("IMPORTRANGE(""https://docs.google.com/spreadsheets/d/1eHaY18a8A9IcSdp1K8H6x8fbOy06t2VsZHhMHf-1x7Y/edit?usp=sharing"",""แผน!IL60"")"),20)</f>
        <v>20</v>
      </c>
      <c r="J674" s="293">
        <f ca="1">IFERROR(__xludf.DUMMYFUNCTION("IMPORTRANGE(""https://docs.google.com/spreadsheets/d/1tdoBKaGub7dwA3U6UFTqxio9LNnvDCQjHKmttSEBsFQ/edit?usp=sharing"",""จัดที่ดิน!BA60"")"),0)</f>
        <v>0</v>
      </c>
      <c r="K674" s="74">
        <f t="shared" ref="K674:K677" ca="1" si="407">IF(I674&gt;0,J674*100/I674,0)</f>
        <v>0</v>
      </c>
      <c r="L674" s="754"/>
      <c r="M674" s="87"/>
      <c r="N674" s="752"/>
      <c r="O674" s="87"/>
      <c r="P674" s="87"/>
      <c r="Q674" s="752"/>
      <c r="R674" s="87"/>
      <c r="S674" s="752"/>
      <c r="T674" s="87"/>
      <c r="U674" s="87"/>
    </row>
    <row r="675" spans="1:21" ht="19.5" x14ac:dyDescent="0.3">
      <c r="A675" s="550"/>
      <c r="B675" s="269"/>
      <c r="C675" s="269"/>
      <c r="D675" s="267" t="s">
        <v>248</v>
      </c>
      <c r="E675" s="258"/>
      <c r="F675" s="258"/>
      <c r="G675" s="261"/>
      <c r="H675" s="746" t="s">
        <v>35</v>
      </c>
      <c r="I675" s="753">
        <f ca="1">IFERROR(__xludf.DUMMYFUNCTION("IMPORTRANGE(""https://docs.google.com/spreadsheets/d/1eHaY18a8A9IcSdp1K8H6x8fbOy06t2VsZHhMHf-1x7Y/edit?usp=sharing"",""แผน!IM60"")"),6)</f>
        <v>6</v>
      </c>
      <c r="J675" s="622">
        <f ca="1">J677+J680</f>
        <v>0</v>
      </c>
      <c r="K675" s="264">
        <f t="shared" ca="1" si="407"/>
        <v>0</v>
      </c>
      <c r="L675" s="754"/>
      <c r="M675" s="87"/>
      <c r="N675" s="752"/>
      <c r="O675" s="87"/>
      <c r="P675" s="87"/>
      <c r="Q675" s="752"/>
      <c r="R675" s="87"/>
      <c r="S675" s="752"/>
      <c r="T675" s="87"/>
      <c r="U675" s="87"/>
    </row>
    <row r="676" spans="1:21" ht="19.5" x14ac:dyDescent="0.3">
      <c r="A676" s="550"/>
      <c r="B676" s="269"/>
      <c r="C676" s="269"/>
      <c r="D676" s="258"/>
      <c r="E676" s="258"/>
      <c r="F676" s="258"/>
      <c r="G676" s="261"/>
      <c r="H676" s="746" t="s">
        <v>46</v>
      </c>
      <c r="I676" s="753">
        <f ca="1">IFERROR(__xludf.DUMMYFUNCTION("IMPORTRANGE(""https://docs.google.com/spreadsheets/d/1eHaY18a8A9IcSdp1K8H6x8fbOy06t2VsZHhMHf-1x7Y/edit?usp=sharing"",""แผน!IN60"")"),65)</f>
        <v>65</v>
      </c>
      <c r="J676" s="622">
        <f ca="1">J679+J682</f>
        <v>0</v>
      </c>
      <c r="K676" s="264">
        <f t="shared" ca="1" si="407"/>
        <v>0</v>
      </c>
      <c r="L676" s="86"/>
      <c r="M676" s="87"/>
      <c r="N676" s="752"/>
      <c r="O676" s="87"/>
      <c r="P676" s="87"/>
      <c r="Q676" s="87"/>
      <c r="R676" s="87"/>
      <c r="S676" s="752"/>
      <c r="T676" s="87"/>
      <c r="U676" s="87"/>
    </row>
    <row r="677" spans="1:21" ht="18.75" x14ac:dyDescent="0.25">
      <c r="A677" s="550"/>
      <c r="B677" s="269"/>
      <c r="C677" s="269"/>
      <c r="D677" s="258"/>
      <c r="E677" s="267" t="s">
        <v>249</v>
      </c>
      <c r="F677" s="258"/>
      <c r="G677" s="261"/>
      <c r="H677" s="275" t="s">
        <v>35</v>
      </c>
      <c r="I677" s="751">
        <f ca="1">IFERROR(__xludf.DUMMYFUNCTION("IMPORTRANGE(""https://docs.google.com/spreadsheets/d/1eHaY18a8A9IcSdp1K8H6x8fbOy06t2VsZHhMHf-1x7Y/edit?usp=sharing"",""แผน!IO60"")"),2)</f>
        <v>2</v>
      </c>
      <c r="J677" s="293">
        <f ca="1">IFERROR(__xludf.DUMMYFUNCTION("IMPORTRANGE(""https://docs.google.com/spreadsheets/d/1tdoBKaGub7dwA3U6UFTqxio9LNnvDCQjHKmttSEBsFQ/edit?usp=sharing"",""จัดที่ดิน!BF60"")"),0)</f>
        <v>0</v>
      </c>
      <c r="K677" s="74">
        <f t="shared" ca="1" si="407"/>
        <v>0</v>
      </c>
      <c r="L677" s="86"/>
      <c r="M677" s="87"/>
      <c r="N677" s="752"/>
      <c r="O677" s="87"/>
      <c r="P677" s="87"/>
      <c r="Q677" s="87"/>
      <c r="R677" s="87"/>
      <c r="S677" s="752"/>
      <c r="T677" s="87"/>
      <c r="U677" s="87"/>
    </row>
    <row r="678" spans="1:21" ht="18.75" x14ac:dyDescent="0.25">
      <c r="A678" s="550"/>
      <c r="B678" s="269"/>
      <c r="C678" s="269"/>
      <c r="D678" s="258"/>
      <c r="E678" s="258"/>
      <c r="F678" s="258"/>
      <c r="G678" s="261"/>
      <c r="H678" s="275" t="s">
        <v>34</v>
      </c>
      <c r="I678" s="312"/>
      <c r="J678" s="293">
        <f ca="1">IFERROR(__xludf.DUMMYFUNCTION("IMPORTRANGE(""https://docs.google.com/spreadsheets/d/1tdoBKaGub7dwA3U6UFTqxio9LNnvDCQjHKmttSEBsFQ/edit?usp=sharing"",""จัดที่ดิน!BG60"")"),0)</f>
        <v>0</v>
      </c>
      <c r="K678" s="87"/>
      <c r="L678" s="754"/>
      <c r="M678" s="87"/>
      <c r="N678" s="752"/>
      <c r="O678" s="87"/>
      <c r="P678" s="87"/>
      <c r="Q678" s="752"/>
      <c r="R678" s="87"/>
      <c r="S678" s="752"/>
      <c r="T678" s="87"/>
      <c r="U678" s="87"/>
    </row>
    <row r="679" spans="1:21" ht="18.75" x14ac:dyDescent="0.25">
      <c r="A679" s="550"/>
      <c r="B679" s="269"/>
      <c r="C679" s="269"/>
      <c r="D679" s="258"/>
      <c r="E679" s="258"/>
      <c r="F679" s="258"/>
      <c r="G679" s="261"/>
      <c r="H679" s="275" t="s">
        <v>46</v>
      </c>
      <c r="I679" s="751">
        <f ca="1">IFERROR(__xludf.DUMMYFUNCTION("IMPORTRANGE(""https://docs.google.com/spreadsheets/d/1eHaY18a8A9IcSdp1K8H6x8fbOy06t2VsZHhMHf-1x7Y/edit?usp=sharing"",""แผน!IP60"")"),15)</f>
        <v>15</v>
      </c>
      <c r="J679" s="293">
        <f ca="1">IFERROR(__xludf.DUMMYFUNCTION("IMPORTRANGE(""https://docs.google.com/spreadsheets/d/1tdoBKaGub7dwA3U6UFTqxio9LNnvDCQjHKmttSEBsFQ/edit?usp=sharing"",""จัดที่ดิน!BH60"")"),0)</f>
        <v>0</v>
      </c>
      <c r="K679" s="74">
        <f t="shared" ref="K679:K680" ca="1" si="408">IF(I679&gt;0,J679*100/I679,0)</f>
        <v>0</v>
      </c>
      <c r="L679" s="754"/>
      <c r="M679" s="87"/>
      <c r="N679" s="752"/>
      <c r="O679" s="87"/>
      <c r="P679" s="87"/>
      <c r="Q679" s="752"/>
      <c r="R679" s="87"/>
      <c r="S679" s="752"/>
      <c r="T679" s="87"/>
      <c r="U679" s="87"/>
    </row>
    <row r="680" spans="1:21" ht="18.75" x14ac:dyDescent="0.25">
      <c r="A680" s="550"/>
      <c r="B680" s="269"/>
      <c r="C680" s="269"/>
      <c r="D680" s="258"/>
      <c r="E680" s="267" t="s">
        <v>250</v>
      </c>
      <c r="F680" s="258"/>
      <c r="G680" s="261"/>
      <c r="H680" s="275" t="s">
        <v>35</v>
      </c>
      <c r="I680" s="751">
        <f ca="1">IFERROR(__xludf.DUMMYFUNCTION("IMPORTRANGE(""https://docs.google.com/spreadsheets/d/1eHaY18a8A9IcSdp1K8H6x8fbOy06t2VsZHhMHf-1x7Y/edit?usp=sharing"",""แผน!IQ60"")"),4)</f>
        <v>4</v>
      </c>
      <c r="J680" s="293">
        <f ca="1">IFERROR(__xludf.DUMMYFUNCTION("IMPORTRANGE(""https://docs.google.com/spreadsheets/d/1tdoBKaGub7dwA3U6UFTqxio9LNnvDCQjHKmttSEBsFQ/edit?usp=sharing"",""จัดที่ดิน!BK60"")"),0)</f>
        <v>0</v>
      </c>
      <c r="K680" s="74">
        <f t="shared" ca="1" si="408"/>
        <v>0</v>
      </c>
      <c r="L680" s="86"/>
      <c r="M680" s="87"/>
      <c r="N680" s="752"/>
      <c r="O680" s="87"/>
      <c r="P680" s="87"/>
      <c r="Q680" s="87"/>
      <c r="R680" s="87"/>
      <c r="S680" s="752"/>
      <c r="T680" s="87"/>
      <c r="U680" s="87"/>
    </row>
    <row r="681" spans="1:21" ht="18.75" x14ac:dyDescent="0.25">
      <c r="A681" s="550"/>
      <c r="B681" s="269"/>
      <c r="C681" s="269"/>
      <c r="D681" s="258"/>
      <c r="E681" s="258"/>
      <c r="F681" s="258"/>
      <c r="G681" s="261"/>
      <c r="H681" s="275" t="s">
        <v>34</v>
      </c>
      <c r="I681" s="312"/>
      <c r="J681" s="293">
        <f ca="1">IFERROR(__xludf.DUMMYFUNCTION("IMPORTRANGE(""https://docs.google.com/spreadsheets/d/1tdoBKaGub7dwA3U6UFTqxio9LNnvDCQjHKmttSEBsFQ/edit?usp=sharing"",""จัดที่ดิน!BL60"")"),0)</f>
        <v>0</v>
      </c>
      <c r="K681" s="87"/>
      <c r="L681" s="754"/>
      <c r="M681" s="87"/>
      <c r="N681" s="752"/>
      <c r="O681" s="87"/>
      <c r="P681" s="87"/>
      <c r="Q681" s="752"/>
      <c r="R681" s="87"/>
      <c r="S681" s="752"/>
      <c r="T681" s="87"/>
      <c r="U681" s="87"/>
    </row>
    <row r="682" spans="1:21" ht="18.75" x14ac:dyDescent="0.25">
      <c r="A682" s="550"/>
      <c r="B682" s="269"/>
      <c r="C682" s="269"/>
      <c r="D682" s="258"/>
      <c r="E682" s="258"/>
      <c r="F682" s="258"/>
      <c r="G682" s="261"/>
      <c r="H682" s="275" t="s">
        <v>46</v>
      </c>
      <c r="I682" s="751">
        <f ca="1">IFERROR(__xludf.DUMMYFUNCTION("IMPORTRANGE(""https://docs.google.com/spreadsheets/d/1eHaY18a8A9IcSdp1K8H6x8fbOy06t2VsZHhMHf-1x7Y/edit?usp=sharing"",""แผน!IR60"")"),50)</f>
        <v>50</v>
      </c>
      <c r="J682" s="293">
        <f ca="1">IFERROR(__xludf.DUMMYFUNCTION("IMPORTRANGE(""https://docs.google.com/spreadsheets/d/1tdoBKaGub7dwA3U6UFTqxio9LNnvDCQjHKmttSEBsFQ/edit?usp=sharing"",""จัดที่ดิน!BM60"")"),0)</f>
        <v>0</v>
      </c>
      <c r="K682" s="74">
        <f t="shared" ref="K682:K683" ca="1" si="409">IF(I682&gt;0,J682*100/I682,0)</f>
        <v>0</v>
      </c>
      <c r="L682" s="754"/>
      <c r="M682" s="87"/>
      <c r="N682" s="752"/>
      <c r="O682" s="87"/>
      <c r="P682" s="87"/>
      <c r="Q682" s="752"/>
      <c r="R682" s="87"/>
      <c r="S682" s="752"/>
      <c r="T682" s="87"/>
      <c r="U682" s="87"/>
    </row>
    <row r="683" spans="1:21" ht="19.5" hidden="1" x14ac:dyDescent="0.3">
      <c r="A683" s="550"/>
      <c r="B683" s="269"/>
      <c r="C683" s="269"/>
      <c r="D683" s="267" t="s">
        <v>251</v>
      </c>
      <c r="E683" s="258"/>
      <c r="F683" s="258"/>
      <c r="G683" s="261"/>
      <c r="H683" s="746" t="s">
        <v>46</v>
      </c>
      <c r="I683" s="753">
        <f ca="1">IFERROR(__xludf.DUMMYFUNCTION("IMPORTRANGE(""https://docs.google.com/spreadsheets/d/1eHaY18a8A9IcSdp1K8H6x8fbOy06t2VsZHhMHf-1x7Y/edit?usp=sharing"",""แผน!IS60"")"),0)</f>
        <v>0</v>
      </c>
      <c r="J683" s="622">
        <f>J686+J689</f>
        <v>0</v>
      </c>
      <c r="K683" s="264">
        <f t="shared" ca="1" si="409"/>
        <v>0</v>
      </c>
      <c r="L683" s="86"/>
      <c r="M683" s="87"/>
      <c r="N683" s="752"/>
      <c r="O683" s="87"/>
      <c r="P683" s="87"/>
      <c r="Q683" s="87"/>
      <c r="R683" s="87"/>
      <c r="S683" s="752"/>
      <c r="T683" s="87"/>
      <c r="U683" s="87"/>
    </row>
    <row r="684" spans="1:21" ht="18.75" hidden="1" x14ac:dyDescent="0.25">
      <c r="A684" s="550"/>
      <c r="B684" s="269"/>
      <c r="C684" s="269"/>
      <c r="D684" s="258"/>
      <c r="E684" s="267" t="s">
        <v>252</v>
      </c>
      <c r="F684" s="258"/>
      <c r="G684" s="261"/>
      <c r="H684" s="275" t="s">
        <v>35</v>
      </c>
      <c r="I684" s="312"/>
      <c r="J684" s="294">
        <v>0</v>
      </c>
      <c r="K684" s="87"/>
      <c r="L684" s="754"/>
      <c r="M684" s="87"/>
      <c r="N684" s="752"/>
      <c r="O684" s="87"/>
      <c r="P684" s="87"/>
      <c r="Q684" s="752"/>
      <c r="R684" s="87"/>
      <c r="S684" s="752"/>
      <c r="T684" s="87"/>
      <c r="U684" s="87"/>
    </row>
    <row r="685" spans="1:21" ht="18.75" hidden="1" x14ac:dyDescent="0.25">
      <c r="A685" s="550"/>
      <c r="B685" s="269"/>
      <c r="C685" s="269"/>
      <c r="D685" s="258"/>
      <c r="E685" s="258"/>
      <c r="F685" s="258"/>
      <c r="G685" s="261"/>
      <c r="H685" s="275" t="s">
        <v>34</v>
      </c>
      <c r="I685" s="312"/>
      <c r="J685" s="294">
        <v>0</v>
      </c>
      <c r="K685" s="87"/>
      <c r="L685" s="754"/>
      <c r="M685" s="87"/>
      <c r="N685" s="752"/>
      <c r="O685" s="87"/>
      <c r="P685" s="87"/>
      <c r="Q685" s="752"/>
      <c r="R685" s="87"/>
      <c r="S685" s="752"/>
      <c r="T685" s="87"/>
      <c r="U685" s="87"/>
    </row>
    <row r="686" spans="1:21" ht="18.75" hidden="1" x14ac:dyDescent="0.25">
      <c r="A686" s="550"/>
      <c r="B686" s="269"/>
      <c r="C686" s="269"/>
      <c r="D686" s="258"/>
      <c r="E686" s="258"/>
      <c r="F686" s="258"/>
      <c r="G686" s="261"/>
      <c r="H686" s="275" t="s">
        <v>46</v>
      </c>
      <c r="I686" s="312"/>
      <c r="J686" s="294">
        <v>0</v>
      </c>
      <c r="K686" s="87"/>
      <c r="L686" s="754"/>
      <c r="M686" s="87"/>
      <c r="N686" s="752"/>
      <c r="O686" s="87"/>
      <c r="P686" s="87"/>
      <c r="Q686" s="752"/>
      <c r="R686" s="87"/>
      <c r="S686" s="752"/>
      <c r="T686" s="87"/>
      <c r="U686" s="87"/>
    </row>
    <row r="687" spans="1:21" ht="18.75" hidden="1" x14ac:dyDescent="0.25">
      <c r="A687" s="550"/>
      <c r="B687" s="269"/>
      <c r="C687" s="269"/>
      <c r="D687" s="258"/>
      <c r="E687" s="267" t="s">
        <v>253</v>
      </c>
      <c r="F687" s="258"/>
      <c r="G687" s="261"/>
      <c r="H687" s="275" t="s">
        <v>35</v>
      </c>
      <c r="I687" s="312"/>
      <c r="J687" s="294">
        <v>0</v>
      </c>
      <c r="K687" s="87"/>
      <c r="L687" s="754"/>
      <c r="M687" s="87"/>
      <c r="N687" s="752"/>
      <c r="O687" s="87"/>
      <c r="P687" s="87"/>
      <c r="Q687" s="752"/>
      <c r="R687" s="87"/>
      <c r="S687" s="752"/>
      <c r="T687" s="87"/>
      <c r="U687" s="87"/>
    </row>
    <row r="688" spans="1:21" ht="18.75" hidden="1" x14ac:dyDescent="0.25">
      <c r="A688" s="550"/>
      <c r="B688" s="269"/>
      <c r="C688" s="269"/>
      <c r="D688" s="258"/>
      <c r="E688" s="258"/>
      <c r="F688" s="258"/>
      <c r="G688" s="261"/>
      <c r="H688" s="275" t="s">
        <v>34</v>
      </c>
      <c r="I688" s="312"/>
      <c r="J688" s="294">
        <v>0</v>
      </c>
      <c r="K688" s="87"/>
      <c r="L688" s="754"/>
      <c r="M688" s="87"/>
      <c r="N688" s="752"/>
      <c r="O688" s="87"/>
      <c r="P688" s="87"/>
      <c r="Q688" s="752"/>
      <c r="R688" s="87"/>
      <c r="S688" s="752"/>
      <c r="T688" s="87"/>
      <c r="U688" s="87"/>
    </row>
    <row r="689" spans="1:21" ht="19.5" hidden="1" x14ac:dyDescent="0.3">
      <c r="A689" s="755"/>
      <c r="B689" s="756" t="s">
        <v>254</v>
      </c>
      <c r="C689" s="757"/>
      <c r="D689" s="758"/>
      <c r="E689" s="758"/>
      <c r="F689" s="758"/>
      <c r="G689" s="759"/>
      <c r="H689" s="760" t="s">
        <v>46</v>
      </c>
      <c r="I689" s="629"/>
      <c r="J689" s="761">
        <v>0</v>
      </c>
      <c r="K689" s="98"/>
      <c r="L689" s="763"/>
      <c r="M689" s="98"/>
      <c r="N689" s="762"/>
      <c r="O689" s="98"/>
      <c r="P689" s="98"/>
      <c r="Q689" s="762"/>
      <c r="R689" s="98"/>
      <c r="S689" s="762"/>
      <c r="T689" s="98"/>
      <c r="U689" s="98"/>
    </row>
    <row r="690" spans="1:21" ht="19.5" hidden="1" x14ac:dyDescent="0.3">
      <c r="A690" s="727"/>
      <c r="B690" s="728" t="s">
        <v>255</v>
      </c>
      <c r="C690" s="727"/>
      <c r="D690" s="729"/>
      <c r="E690" s="729"/>
      <c r="F690" s="729"/>
      <c r="G690" s="730"/>
      <c r="H690" s="764" t="s">
        <v>35</v>
      </c>
      <c r="I690" s="765">
        <f t="shared" ref="I690:J690" ca="1" si="410">I708</f>
        <v>0</v>
      </c>
      <c r="J690" s="765">
        <f t="shared" ca="1" si="410"/>
        <v>0</v>
      </c>
      <c r="K690" s="766">
        <f ca="1">IF(I690&gt;0,J690*100/I690,0)</f>
        <v>0</v>
      </c>
      <c r="L690" s="734"/>
      <c r="M690" s="733"/>
      <c r="N690" s="733"/>
      <c r="O690" s="733"/>
      <c r="P690" s="733"/>
      <c r="Q690" s="733"/>
      <c r="R690" s="733"/>
      <c r="S690" s="733"/>
      <c r="T690" s="733"/>
      <c r="U690" s="733"/>
    </row>
    <row r="691" spans="1:21" ht="19.5" hidden="1" x14ac:dyDescent="0.3">
      <c r="A691" s="257"/>
      <c r="B691" s="269"/>
      <c r="C691" s="309" t="s">
        <v>18</v>
      </c>
      <c r="D691" s="1369" t="s">
        <v>19</v>
      </c>
      <c r="E691" s="1343"/>
      <c r="F691" s="1343"/>
      <c r="G691" s="1344"/>
      <c r="H691" s="633" t="s">
        <v>14</v>
      </c>
      <c r="I691" s="263"/>
      <c r="J691" s="263"/>
      <c r="K691" s="87"/>
      <c r="L691" s="1257">
        <f t="shared" ref="L691:N691" si="411">L692+L693</f>
        <v>0</v>
      </c>
      <c r="M691" s="264">
        <f t="shared" si="411"/>
        <v>0</v>
      </c>
      <c r="N691" s="264">
        <f t="shared" si="411"/>
        <v>0</v>
      </c>
      <c r="O691" s="264">
        <f t="shared" ref="O691:O699" si="412">IF(L691&gt;0,N691*100/L691,0)</f>
        <v>0</v>
      </c>
      <c r="P691" s="264">
        <f t="shared" ref="P691:P699" si="413">IF(M691&gt;0,N691*100/M691,0)</f>
        <v>0</v>
      </c>
      <c r="Q691" s="264">
        <f t="shared" ref="Q691:S691" ca="1" si="414">Q692+Q693</f>
        <v>0</v>
      </c>
      <c r="R691" s="264">
        <f t="shared" ca="1" si="414"/>
        <v>0</v>
      </c>
      <c r="S691" s="264">
        <f t="shared" ca="1" si="414"/>
        <v>0</v>
      </c>
      <c r="T691" s="264">
        <f t="shared" ref="T691:T699" ca="1" si="415">IF(Q691&gt;0,S691*100/Q691,0)</f>
        <v>0</v>
      </c>
      <c r="U691" s="264">
        <f t="shared" ref="U691:U699" ca="1" si="416">IF(R691&gt;0,S691*100/R691,0)</f>
        <v>0</v>
      </c>
    </row>
    <row r="692" spans="1:21" ht="18.75" hidden="1" x14ac:dyDescent="0.25">
      <c r="A692" s="257"/>
      <c r="B692" s="269"/>
      <c r="C692" s="269"/>
      <c r="D692" s="296"/>
      <c r="E692" s="265" t="s">
        <v>158</v>
      </c>
      <c r="F692" s="258"/>
      <c r="G692" s="261"/>
      <c r="H692" s="273" t="s">
        <v>14</v>
      </c>
      <c r="I692" s="263"/>
      <c r="J692" s="263"/>
      <c r="K692" s="87"/>
      <c r="L692" s="76">
        <f t="shared" ref="L692:N693" si="417">L695+L698</f>
        <v>0</v>
      </c>
      <c r="M692" s="77">
        <f t="shared" si="417"/>
        <v>0</v>
      </c>
      <c r="N692" s="77">
        <f t="shared" si="417"/>
        <v>0</v>
      </c>
      <c r="O692" s="77">
        <f t="shared" si="412"/>
        <v>0</v>
      </c>
      <c r="P692" s="77">
        <f t="shared" si="413"/>
        <v>0</v>
      </c>
      <c r="Q692" s="77">
        <f t="shared" ref="Q692:S693" si="418">Q695+Q698</f>
        <v>0</v>
      </c>
      <c r="R692" s="77">
        <f t="shared" si="418"/>
        <v>0</v>
      </c>
      <c r="S692" s="77">
        <f t="shared" si="418"/>
        <v>0</v>
      </c>
      <c r="T692" s="77">
        <f t="shared" si="415"/>
        <v>0</v>
      </c>
      <c r="U692" s="77">
        <f t="shared" si="416"/>
        <v>0</v>
      </c>
    </row>
    <row r="693" spans="1:21" ht="18.75" hidden="1" x14ac:dyDescent="0.25">
      <c r="A693" s="257"/>
      <c r="B693" s="269"/>
      <c r="C693" s="269"/>
      <c r="D693" s="296"/>
      <c r="E693" s="267" t="s">
        <v>159</v>
      </c>
      <c r="F693" s="258"/>
      <c r="G693" s="261"/>
      <c r="H693" s="271" t="s">
        <v>14</v>
      </c>
      <c r="I693" s="263"/>
      <c r="J693" s="263"/>
      <c r="K693" s="87"/>
      <c r="L693" s="73">
        <f t="shared" si="417"/>
        <v>0</v>
      </c>
      <c r="M693" s="74">
        <f t="shared" si="417"/>
        <v>0</v>
      </c>
      <c r="N693" s="74">
        <f t="shared" si="417"/>
        <v>0</v>
      </c>
      <c r="O693" s="74">
        <f t="shared" si="412"/>
        <v>0</v>
      </c>
      <c r="P693" s="74">
        <f t="shared" si="413"/>
        <v>0</v>
      </c>
      <c r="Q693" s="74">
        <f t="shared" ca="1" si="418"/>
        <v>0</v>
      </c>
      <c r="R693" s="74">
        <f t="shared" ca="1" si="418"/>
        <v>0</v>
      </c>
      <c r="S693" s="74">
        <f t="shared" ca="1" si="418"/>
        <v>0</v>
      </c>
      <c r="T693" s="74">
        <f t="shared" ca="1" si="415"/>
        <v>0</v>
      </c>
      <c r="U693" s="74">
        <f t="shared" ca="1" si="416"/>
        <v>0</v>
      </c>
    </row>
    <row r="694" spans="1:21" ht="18.75" hidden="1" x14ac:dyDescent="0.25">
      <c r="A694" s="257"/>
      <c r="B694" s="269"/>
      <c r="C694" s="269"/>
      <c r="D694" s="270" t="s">
        <v>22</v>
      </c>
      <c r="E694" s="258"/>
      <c r="F694" s="258"/>
      <c r="G694" s="261"/>
      <c r="H694" s="271" t="s">
        <v>14</v>
      </c>
      <c r="I694" s="272"/>
      <c r="J694" s="272"/>
      <c r="K694" s="229"/>
      <c r="L694" s="73">
        <f t="shared" ref="L694:N694" si="419">L695+L696</f>
        <v>0</v>
      </c>
      <c r="M694" s="74">
        <f t="shared" si="419"/>
        <v>0</v>
      </c>
      <c r="N694" s="74">
        <f t="shared" si="419"/>
        <v>0</v>
      </c>
      <c r="O694" s="74">
        <f t="shared" si="412"/>
        <v>0</v>
      </c>
      <c r="P694" s="74">
        <f t="shared" si="413"/>
        <v>0</v>
      </c>
      <c r="Q694" s="74">
        <f t="shared" ref="Q694:S694" ca="1" si="420">Q695+Q696</f>
        <v>0</v>
      </c>
      <c r="R694" s="74">
        <f t="shared" ca="1" si="420"/>
        <v>0</v>
      </c>
      <c r="S694" s="74">
        <f t="shared" ca="1" si="420"/>
        <v>0</v>
      </c>
      <c r="T694" s="74">
        <f t="shared" ca="1" si="415"/>
        <v>0</v>
      </c>
      <c r="U694" s="74">
        <f t="shared" ca="1" si="416"/>
        <v>0</v>
      </c>
    </row>
    <row r="695" spans="1:21" ht="18.75" hidden="1" x14ac:dyDescent="0.25">
      <c r="A695" s="257"/>
      <c r="B695" s="269"/>
      <c r="C695" s="269"/>
      <c r="D695" s="296"/>
      <c r="E695" s="265" t="s">
        <v>158</v>
      </c>
      <c r="F695" s="258"/>
      <c r="G695" s="261"/>
      <c r="H695" s="273" t="s">
        <v>14</v>
      </c>
      <c r="I695" s="263"/>
      <c r="J695" s="263"/>
      <c r="K695" s="87"/>
      <c r="L695" s="76">
        <v>0</v>
      </c>
      <c r="M695" s="77">
        <v>0</v>
      </c>
      <c r="N695" s="77">
        <v>0</v>
      </c>
      <c r="O695" s="77">
        <f t="shared" si="412"/>
        <v>0</v>
      </c>
      <c r="P695" s="77">
        <f t="shared" si="413"/>
        <v>0</v>
      </c>
      <c r="Q695" s="77">
        <v>0</v>
      </c>
      <c r="R695" s="77">
        <v>0</v>
      </c>
      <c r="S695" s="77">
        <v>0</v>
      </c>
      <c r="T695" s="77">
        <f t="shared" si="415"/>
        <v>0</v>
      </c>
      <c r="U695" s="77">
        <f t="shared" si="416"/>
        <v>0</v>
      </c>
    </row>
    <row r="696" spans="1:21" ht="18.75" hidden="1" x14ac:dyDescent="0.25">
      <c r="A696" s="257"/>
      <c r="B696" s="269"/>
      <c r="C696" s="269"/>
      <c r="D696" s="296"/>
      <c r="E696" s="267" t="s">
        <v>159</v>
      </c>
      <c r="F696" s="258"/>
      <c r="G696" s="261"/>
      <c r="H696" s="271" t="s">
        <v>14</v>
      </c>
      <c r="I696" s="263"/>
      <c r="J696" s="263"/>
      <c r="K696" s="87"/>
      <c r="L696" s="73">
        <v>0</v>
      </c>
      <c r="M696" s="74">
        <v>0</v>
      </c>
      <c r="N696" s="74">
        <v>0</v>
      </c>
      <c r="O696" s="74">
        <f t="shared" si="412"/>
        <v>0</v>
      </c>
      <c r="P696" s="74">
        <f t="shared" si="413"/>
        <v>0</v>
      </c>
      <c r="Q696" s="74">
        <f ca="1">IFERROR(__xludf.DUMMYFUNCTION("IMPORTRANGE(""https://docs.google.com/spreadsheets/d/1ItG2mGa2ceCfYo0BwxsXqNm01IGEUdYcSSLTEv9YCik/edit?usp=sharing"",""เบิกจ่ายกองทุน!L60"")"),0)</f>
        <v>0</v>
      </c>
      <c r="R696" s="74">
        <f ca="1">IFERROR(__xludf.DUMMYFUNCTION("IMPORTRANGE(""https://docs.google.com/spreadsheets/d/1ItG2mGa2ceCfYo0BwxsXqNm01IGEUdYcSSLTEv9YCik/edit?usp=sharing"",""เบิกจ่ายกองทุน!M60"")"),0)</f>
        <v>0</v>
      </c>
      <c r="S696" s="74">
        <f ca="1">IFERROR(__xludf.DUMMYFUNCTION("IMPORTRANGE(""https://docs.google.com/spreadsheets/d/1ItG2mGa2ceCfYo0BwxsXqNm01IGEUdYcSSLTEv9YCik/edit?usp=sharing"",""เบิกจ่ายกองทุน!N60"")"),0)</f>
        <v>0</v>
      </c>
      <c r="T696" s="74">
        <f t="shared" ca="1" si="415"/>
        <v>0</v>
      </c>
      <c r="U696" s="74">
        <f t="shared" ca="1" si="416"/>
        <v>0</v>
      </c>
    </row>
    <row r="697" spans="1:21" ht="18.75" hidden="1" x14ac:dyDescent="0.25">
      <c r="A697" s="257"/>
      <c r="B697" s="269"/>
      <c r="C697" s="269"/>
      <c r="D697" s="270" t="s">
        <v>23</v>
      </c>
      <c r="E697" s="258"/>
      <c r="F697" s="258"/>
      <c r="G697" s="261"/>
      <c r="H697" s="275" t="s">
        <v>14</v>
      </c>
      <c r="I697" s="272"/>
      <c r="J697" s="272"/>
      <c r="K697" s="229"/>
      <c r="L697" s="73">
        <f t="shared" ref="L697:N697" si="421">L698+L699</f>
        <v>0</v>
      </c>
      <c r="M697" s="74">
        <f t="shared" si="421"/>
        <v>0</v>
      </c>
      <c r="N697" s="74">
        <f t="shared" si="421"/>
        <v>0</v>
      </c>
      <c r="O697" s="74">
        <f t="shared" si="412"/>
        <v>0</v>
      </c>
      <c r="P697" s="74">
        <f t="shared" si="413"/>
        <v>0</v>
      </c>
      <c r="Q697" s="74">
        <f t="shared" ref="Q697:S697" si="422">Q698+Q699</f>
        <v>0</v>
      </c>
      <c r="R697" s="74">
        <f t="shared" si="422"/>
        <v>0</v>
      </c>
      <c r="S697" s="74">
        <f t="shared" si="422"/>
        <v>0</v>
      </c>
      <c r="T697" s="74">
        <f t="shared" si="415"/>
        <v>0</v>
      </c>
      <c r="U697" s="74">
        <f t="shared" si="416"/>
        <v>0</v>
      </c>
    </row>
    <row r="698" spans="1:21" ht="18.75" hidden="1" x14ac:dyDescent="0.25">
      <c r="A698" s="257"/>
      <c r="B698" s="269"/>
      <c r="C698" s="269"/>
      <c r="D698" s="258"/>
      <c r="E698" s="265" t="s">
        <v>20</v>
      </c>
      <c r="F698" s="258"/>
      <c r="G698" s="261"/>
      <c r="H698" s="273" t="s">
        <v>14</v>
      </c>
      <c r="I698" s="272"/>
      <c r="J698" s="272"/>
      <c r="K698" s="229"/>
      <c r="L698" s="76">
        <v>0</v>
      </c>
      <c r="M698" s="77">
        <v>0</v>
      </c>
      <c r="N698" s="77">
        <v>0</v>
      </c>
      <c r="O698" s="77">
        <f t="shared" si="412"/>
        <v>0</v>
      </c>
      <c r="P698" s="77">
        <f t="shared" si="413"/>
        <v>0</v>
      </c>
      <c r="Q698" s="77">
        <v>0</v>
      </c>
      <c r="R698" s="77">
        <v>0</v>
      </c>
      <c r="S698" s="77">
        <v>0</v>
      </c>
      <c r="T698" s="77">
        <f t="shared" si="415"/>
        <v>0</v>
      </c>
      <c r="U698" s="77">
        <f t="shared" si="416"/>
        <v>0</v>
      </c>
    </row>
    <row r="699" spans="1:21" ht="18.75" hidden="1" x14ac:dyDescent="0.25">
      <c r="A699" s="257"/>
      <c r="B699" s="269"/>
      <c r="C699" s="269"/>
      <c r="D699" s="258"/>
      <c r="E699" s="267" t="s">
        <v>21</v>
      </c>
      <c r="F699" s="258"/>
      <c r="G699" s="261"/>
      <c r="H699" s="275" t="s">
        <v>14</v>
      </c>
      <c r="I699" s="272"/>
      <c r="J699" s="272"/>
      <c r="K699" s="229"/>
      <c r="L699" s="73">
        <v>0</v>
      </c>
      <c r="M699" s="74">
        <v>0</v>
      </c>
      <c r="N699" s="74">
        <v>0</v>
      </c>
      <c r="O699" s="74">
        <f t="shared" si="412"/>
        <v>0</v>
      </c>
      <c r="P699" s="74">
        <f t="shared" si="413"/>
        <v>0</v>
      </c>
      <c r="Q699" s="74">
        <v>0</v>
      </c>
      <c r="R699" s="74">
        <v>0</v>
      </c>
      <c r="S699" s="74">
        <v>0</v>
      </c>
      <c r="T699" s="74">
        <f t="shared" si="415"/>
        <v>0</v>
      </c>
      <c r="U699" s="74">
        <f t="shared" si="416"/>
        <v>0</v>
      </c>
    </row>
    <row r="700" spans="1:21" ht="19.5" hidden="1" x14ac:dyDescent="0.3">
      <c r="A700" s="276"/>
      <c r="B700" s="277"/>
      <c r="C700" s="309" t="s">
        <v>18</v>
      </c>
      <c r="D700" s="1019" t="s">
        <v>38</v>
      </c>
      <c r="E700" s="280"/>
      <c r="F700" s="280"/>
      <c r="G700" s="280"/>
      <c r="H700" s="310"/>
      <c r="I700" s="272"/>
      <c r="J700" s="272"/>
      <c r="K700" s="229"/>
      <c r="L700" s="86"/>
      <c r="M700" s="87"/>
      <c r="N700" s="87"/>
      <c r="O700" s="87"/>
      <c r="P700" s="87"/>
      <c r="Q700" s="87"/>
      <c r="R700" s="87"/>
      <c r="S700" s="87"/>
      <c r="T700" s="87"/>
      <c r="U700" s="87"/>
    </row>
    <row r="701" spans="1:21" ht="18.75" hidden="1" x14ac:dyDescent="0.25">
      <c r="A701" s="550"/>
      <c r="B701" s="269"/>
      <c r="C701" s="269"/>
      <c r="D701" s="296"/>
      <c r="E701" s="767" t="s">
        <v>256</v>
      </c>
      <c r="F701" s="296"/>
      <c r="G701" s="282"/>
      <c r="H701" s="275" t="s">
        <v>257</v>
      </c>
      <c r="I701" s="293">
        <f ca="1">IFERROR(__xludf.DUMMYFUNCTION("IMPORTRANGE(""https://docs.google.com/spreadsheets/d/1eHaY18a8A9IcSdp1K8H6x8fbOy06t2VsZHhMHf-1x7Y/edit?usp=sharing"",""แผน!LC60"")"),0)</f>
        <v>0</v>
      </c>
      <c r="J701" s="294">
        <v>0</v>
      </c>
      <c r="K701" s="768">
        <f t="shared" ref="K701:K711" ca="1" si="423">IF(I701&gt;0,J701*100/I701,0)</f>
        <v>0</v>
      </c>
      <c r="L701" s="228"/>
      <c r="M701" s="229"/>
      <c r="N701" s="87"/>
      <c r="O701" s="229"/>
      <c r="P701" s="229"/>
      <c r="Q701" s="229"/>
      <c r="R701" s="229"/>
      <c r="S701" s="87"/>
      <c r="T701" s="229"/>
      <c r="U701" s="229"/>
    </row>
    <row r="702" spans="1:21" ht="19.5" hidden="1" x14ac:dyDescent="0.3">
      <c r="A702" s="550"/>
      <c r="B702" s="269"/>
      <c r="C702" s="269"/>
      <c r="D702" s="296"/>
      <c r="E702" s="769" t="s">
        <v>258</v>
      </c>
      <c r="F702" s="296"/>
      <c r="G702" s="282"/>
      <c r="H702" s="262" t="s">
        <v>35</v>
      </c>
      <c r="I702" s="622">
        <f t="shared" ref="I702:J702" ca="1" si="424">I704+I706</f>
        <v>0</v>
      </c>
      <c r="J702" s="622">
        <f t="shared" ca="1" si="424"/>
        <v>0</v>
      </c>
      <c r="K702" s="264">
        <f t="shared" ca="1" si="423"/>
        <v>0</v>
      </c>
      <c r="L702" s="228"/>
      <c r="M702" s="229"/>
      <c r="N702" s="229"/>
      <c r="O702" s="229"/>
      <c r="P702" s="229"/>
      <c r="Q702" s="229"/>
      <c r="R702" s="229"/>
      <c r="S702" s="229"/>
      <c r="T702" s="229"/>
      <c r="U702" s="229"/>
    </row>
    <row r="703" spans="1:21" ht="19.5" hidden="1" x14ac:dyDescent="0.3">
      <c r="A703" s="550"/>
      <c r="B703" s="269"/>
      <c r="C703" s="269"/>
      <c r="D703" s="296"/>
      <c r="E703" s="296"/>
      <c r="F703" s="296"/>
      <c r="G703" s="282"/>
      <c r="H703" s="262" t="s">
        <v>46</v>
      </c>
      <c r="I703" s="622">
        <v>0</v>
      </c>
      <c r="J703" s="622">
        <f ca="1">J705+J707</f>
        <v>0</v>
      </c>
      <c r="K703" s="264">
        <f t="shared" si="423"/>
        <v>0</v>
      </c>
      <c r="L703" s="228"/>
      <c r="M703" s="229"/>
      <c r="N703" s="229"/>
      <c r="O703" s="229"/>
      <c r="P703" s="229"/>
      <c r="Q703" s="229"/>
      <c r="R703" s="229"/>
      <c r="S703" s="229"/>
      <c r="T703" s="229"/>
      <c r="U703" s="229"/>
    </row>
    <row r="704" spans="1:21" ht="18.75" hidden="1" x14ac:dyDescent="0.25">
      <c r="A704" s="550"/>
      <c r="B704" s="269"/>
      <c r="C704" s="269"/>
      <c r="D704" s="296"/>
      <c r="E704" s="296"/>
      <c r="F704" s="767" t="s">
        <v>259</v>
      </c>
      <c r="G704" s="282"/>
      <c r="H704" s="275" t="s">
        <v>35</v>
      </c>
      <c r="I704" s="293">
        <f ca="1">IFERROR(__xludf.DUMMYFUNCTION("IMPORTRANGE(""https://docs.google.com/spreadsheets/d/1eHaY18a8A9IcSdp1K8H6x8fbOy06t2VsZHhMHf-1x7Y/edit?usp=sharing"",""แผน!LJ60"")"),0)</f>
        <v>0</v>
      </c>
      <c r="J704" s="293">
        <f ca="1">IFERROR(__xludf.DUMMYFUNCTION("IMPORTRANGE(""https://docs.google.com/spreadsheets/d/1tdoBKaGub7dwA3U6UFTqxio9LNnvDCQjHKmttSEBsFQ/edit?usp=sharing"",""จัดที่ดิน!AP60"")"),0)</f>
        <v>0</v>
      </c>
      <c r="K704" s="74">
        <f t="shared" ca="1" si="423"/>
        <v>0</v>
      </c>
      <c r="L704" s="228"/>
      <c r="M704" s="229"/>
      <c r="N704" s="229"/>
      <c r="O704" s="229"/>
      <c r="P704" s="229"/>
      <c r="Q704" s="229"/>
      <c r="R704" s="229"/>
      <c r="S704" s="229"/>
      <c r="T704" s="229"/>
      <c r="U704" s="229"/>
    </row>
    <row r="705" spans="1:21" ht="18.75" hidden="1" x14ac:dyDescent="0.25">
      <c r="A705" s="550"/>
      <c r="B705" s="269"/>
      <c r="C705" s="269"/>
      <c r="D705" s="296"/>
      <c r="E705" s="296"/>
      <c r="F705" s="296"/>
      <c r="G705" s="282"/>
      <c r="H705" s="275" t="s">
        <v>46</v>
      </c>
      <c r="I705" s="293">
        <v>0</v>
      </c>
      <c r="J705" s="293">
        <f ca="1">IFERROR(__xludf.DUMMYFUNCTION("IMPORTRANGE(""https://docs.google.com/spreadsheets/d/1tdoBKaGub7dwA3U6UFTqxio9LNnvDCQjHKmttSEBsFQ/edit?usp=sharing"",""จัดที่ดิน!AQ60"")"),0)</f>
        <v>0</v>
      </c>
      <c r="K705" s="74">
        <f t="shared" si="423"/>
        <v>0</v>
      </c>
      <c r="L705" s="228"/>
      <c r="M705" s="229"/>
      <c r="N705" s="229"/>
      <c r="O705" s="229"/>
      <c r="P705" s="229"/>
      <c r="Q705" s="229"/>
      <c r="R705" s="229"/>
      <c r="S705" s="229"/>
      <c r="T705" s="229"/>
      <c r="U705" s="229"/>
    </row>
    <row r="706" spans="1:21" ht="18.75" hidden="1" x14ac:dyDescent="0.25">
      <c r="A706" s="550"/>
      <c r="B706" s="269"/>
      <c r="C706" s="269"/>
      <c r="D706" s="296"/>
      <c r="E706" s="296"/>
      <c r="F706" s="767" t="s">
        <v>260</v>
      </c>
      <c r="G706" s="282"/>
      <c r="H706" s="275" t="s">
        <v>35</v>
      </c>
      <c r="I706" s="293">
        <f ca="1">IFERROR(__xludf.DUMMYFUNCTION("IMPORTRANGE(""https://docs.google.com/spreadsheets/d/1eHaY18a8A9IcSdp1K8H6x8fbOy06t2VsZHhMHf-1x7Y/edit?usp=sharing"",""แผน!LK60"")"),0)</f>
        <v>0</v>
      </c>
      <c r="J706" s="293">
        <f ca="1">IFERROR(__xludf.DUMMYFUNCTION("IMPORTRANGE(""https://docs.google.com/spreadsheets/d/1tdoBKaGub7dwA3U6UFTqxio9LNnvDCQjHKmttSEBsFQ/edit?usp=sharing"",""จัดที่ดิน!AR60"")"),0)</f>
        <v>0</v>
      </c>
      <c r="K706" s="768">
        <f t="shared" ca="1" si="423"/>
        <v>0</v>
      </c>
      <c r="L706" s="228"/>
      <c r="M706" s="229"/>
      <c r="N706" s="229"/>
      <c r="O706" s="229"/>
      <c r="P706" s="229"/>
      <c r="Q706" s="229"/>
      <c r="R706" s="229"/>
      <c r="S706" s="229"/>
      <c r="T706" s="229"/>
      <c r="U706" s="229"/>
    </row>
    <row r="707" spans="1:21" ht="18.75" hidden="1" x14ac:dyDescent="0.25">
      <c r="A707" s="550"/>
      <c r="B707" s="269"/>
      <c r="C707" s="269"/>
      <c r="D707" s="296"/>
      <c r="E707" s="296"/>
      <c r="F707" s="296"/>
      <c r="G707" s="282"/>
      <c r="H707" s="275" t="s">
        <v>46</v>
      </c>
      <c r="I707" s="293">
        <v>0</v>
      </c>
      <c r="J707" s="293">
        <f ca="1">IFERROR(__xludf.DUMMYFUNCTION("IMPORTRANGE(""https://docs.google.com/spreadsheets/d/1tdoBKaGub7dwA3U6UFTqxio9LNnvDCQjHKmttSEBsFQ/edit?usp=sharing"",""จัดที่ดิน!AS60"")"),0)</f>
        <v>0</v>
      </c>
      <c r="K707" s="74">
        <f t="shared" si="423"/>
        <v>0</v>
      </c>
      <c r="L707" s="228"/>
      <c r="M707" s="229"/>
      <c r="N707" s="229"/>
      <c r="O707" s="229"/>
      <c r="P707" s="229"/>
      <c r="Q707" s="229"/>
      <c r="R707" s="229"/>
      <c r="S707" s="229"/>
      <c r="T707" s="229"/>
      <c r="U707" s="229"/>
    </row>
    <row r="708" spans="1:21" ht="18.75" hidden="1" x14ac:dyDescent="0.25">
      <c r="A708" s="550"/>
      <c r="B708" s="269"/>
      <c r="C708" s="269"/>
      <c r="D708" s="296"/>
      <c r="E708" s="767" t="s">
        <v>261</v>
      </c>
      <c r="F708" s="296"/>
      <c r="G708" s="282"/>
      <c r="H708" s="271" t="s">
        <v>35</v>
      </c>
      <c r="I708" s="293">
        <f ca="1">IFERROR(__xludf.DUMMYFUNCTION("IMPORTRANGE(""https://docs.google.com/spreadsheets/d/1eHaY18a8A9IcSdp1K8H6x8fbOy06t2VsZHhMHf-1x7Y/edit?usp=sharing"",""แผน!LJ60"")"),0)</f>
        <v>0</v>
      </c>
      <c r="J708" s="293">
        <f ca="1">IFERROR(__xludf.DUMMYFUNCTION("IMPORTRANGE(""https://docs.google.com/spreadsheets/d/1tdoBKaGub7dwA3U6UFTqxio9LNnvDCQjHKmttSEBsFQ/edit?usp=sharing"",""จัดที่ดิน!BN60"")"),0)</f>
        <v>0</v>
      </c>
      <c r="K708" s="74">
        <f t="shared" ca="1" si="423"/>
        <v>0</v>
      </c>
      <c r="L708" s="228"/>
      <c r="M708" s="229"/>
      <c r="N708" s="229"/>
      <c r="O708" s="229"/>
      <c r="P708" s="229"/>
      <c r="Q708" s="229"/>
      <c r="R708" s="229"/>
      <c r="S708" s="229"/>
      <c r="T708" s="229"/>
      <c r="U708" s="229"/>
    </row>
    <row r="709" spans="1:21" ht="18.75" hidden="1" x14ac:dyDescent="0.25">
      <c r="A709" s="550"/>
      <c r="B709" s="269"/>
      <c r="C709" s="269"/>
      <c r="D709" s="296"/>
      <c r="E709" s="770" t="s">
        <v>262</v>
      </c>
      <c r="F709" s="296"/>
      <c r="G709" s="282"/>
      <c r="H709" s="271" t="s">
        <v>46</v>
      </c>
      <c r="I709" s="293">
        <v>0</v>
      </c>
      <c r="J709" s="293">
        <f ca="1">IFERROR(__xludf.DUMMYFUNCTION("IMPORTRANGE(""https://docs.google.com/spreadsheets/d/1tdoBKaGub7dwA3U6UFTqxio9LNnvDCQjHKmttSEBsFQ/edit?usp=sharing"",""จัดที่ดิน!BO60"")"),0)</f>
        <v>0</v>
      </c>
      <c r="K709" s="74">
        <f t="shared" si="423"/>
        <v>0</v>
      </c>
      <c r="L709" s="228"/>
      <c r="M709" s="229"/>
      <c r="N709" s="229"/>
      <c r="O709" s="229"/>
      <c r="P709" s="229"/>
      <c r="Q709" s="229"/>
      <c r="R709" s="229"/>
      <c r="S709" s="229"/>
      <c r="T709" s="229"/>
      <c r="U709" s="229"/>
    </row>
    <row r="710" spans="1:21" ht="18.75" hidden="1" x14ac:dyDescent="0.25">
      <c r="A710" s="550"/>
      <c r="B710" s="269"/>
      <c r="C710" s="269"/>
      <c r="D710" s="258"/>
      <c r="E710" s="267" t="s">
        <v>263</v>
      </c>
      <c r="F710" s="258"/>
      <c r="G710" s="261"/>
      <c r="H710" s="307" t="s">
        <v>35</v>
      </c>
      <c r="I710" s="293">
        <f ca="1">IFERROR(__xludf.DUMMYFUNCTION("IMPORTRANGE(""https://docs.google.com/spreadsheets/d/1eHaY18a8A9IcSdp1K8H6x8fbOy06t2VsZHhMHf-1x7Y/edit?usp=sharing"",""แผน!LK60"")"),0)</f>
        <v>0</v>
      </c>
      <c r="J710" s="293">
        <f ca="1">IFERROR(__xludf.DUMMYFUNCTION("IMPORTRANGE(""https://docs.google.com/spreadsheets/d/1tdoBKaGub7dwA3U6UFTqxio9LNnvDCQjHKmttSEBsFQ/edit?usp=sharing"",""จัดที่ดิน!BP60"")"),0)</f>
        <v>0</v>
      </c>
      <c r="K710" s="74">
        <f t="shared" ca="1" si="423"/>
        <v>0</v>
      </c>
      <c r="L710" s="86"/>
      <c r="M710" s="87"/>
      <c r="N710" s="87"/>
      <c r="O710" s="87"/>
      <c r="P710" s="87"/>
      <c r="Q710" s="87"/>
      <c r="R710" s="87"/>
      <c r="S710" s="87"/>
      <c r="T710" s="87"/>
      <c r="U710" s="87"/>
    </row>
    <row r="711" spans="1:21" ht="18.75" hidden="1" x14ac:dyDescent="0.25">
      <c r="A711" s="550"/>
      <c r="B711" s="269"/>
      <c r="C711" s="269"/>
      <c r="D711" s="258"/>
      <c r="E711" s="770" t="s">
        <v>264</v>
      </c>
      <c r="F711" s="258"/>
      <c r="G711" s="261"/>
      <c r="H711" s="307" t="s">
        <v>46</v>
      </c>
      <c r="I711" s="293">
        <v>0</v>
      </c>
      <c r="J711" s="293">
        <f ca="1">IFERROR(__xludf.DUMMYFUNCTION("IMPORTRANGE(""https://docs.google.com/spreadsheets/d/1tdoBKaGub7dwA3U6UFTqxio9LNnvDCQjHKmttSEBsFQ/edit?usp=sharing"",""จัดที่ดิน!BQ60"")"),0)</f>
        <v>0</v>
      </c>
      <c r="K711" s="74">
        <f t="shared" si="423"/>
        <v>0</v>
      </c>
      <c r="L711" s="86"/>
      <c r="M711" s="87"/>
      <c r="N711" s="87"/>
      <c r="O711" s="87"/>
      <c r="P711" s="87"/>
      <c r="Q711" s="87"/>
      <c r="R711" s="87"/>
      <c r="S711" s="87"/>
      <c r="T711" s="87"/>
      <c r="U711" s="87"/>
    </row>
    <row r="712" spans="1:21" ht="12.75" hidden="1" x14ac:dyDescent="0.2">
      <c r="A712" s="678"/>
      <c r="B712" s="598"/>
      <c r="C712" s="598"/>
      <c r="D712" s="679"/>
      <c r="E712" s="679"/>
      <c r="F712" s="679"/>
      <c r="G712" s="680"/>
      <c r="H712" s="599"/>
      <c r="I712" s="600"/>
      <c r="J712" s="600"/>
      <c r="K712" s="601"/>
      <c r="L712" s="602"/>
      <c r="M712" s="601"/>
      <c r="N712" s="601"/>
      <c r="O712" s="601"/>
      <c r="P712" s="601"/>
      <c r="Q712" s="601"/>
      <c r="R712" s="601"/>
      <c r="S712" s="601"/>
      <c r="T712" s="601"/>
      <c r="U712" s="601"/>
    </row>
    <row r="713" spans="1:21" ht="19.5" hidden="1" x14ac:dyDescent="0.3">
      <c r="A713" s="727"/>
      <c r="B713" s="771" t="s">
        <v>265</v>
      </c>
      <c r="C713" s="727"/>
      <c r="D713" s="729"/>
      <c r="E713" s="729"/>
      <c r="F713" s="729"/>
      <c r="G713" s="730"/>
      <c r="H713" s="772" t="s">
        <v>46</v>
      </c>
      <c r="I713" s="732"/>
      <c r="J713" s="732">
        <f>J725</f>
        <v>0</v>
      </c>
      <c r="K713" s="774">
        <f>IF(I713&gt;0,J713*100/I713,0)</f>
        <v>0</v>
      </c>
      <c r="L713" s="734"/>
      <c r="M713" s="733"/>
      <c r="N713" s="733"/>
      <c r="O713" s="733"/>
      <c r="P713" s="733"/>
      <c r="Q713" s="733"/>
      <c r="R713" s="733"/>
      <c r="S713" s="733"/>
      <c r="T713" s="733"/>
      <c r="U713" s="733"/>
    </row>
    <row r="714" spans="1:21" ht="19.5" hidden="1" x14ac:dyDescent="0.3">
      <c r="A714" s="727"/>
      <c r="B714" s="771" t="s">
        <v>266</v>
      </c>
      <c r="C714" s="727"/>
      <c r="D714" s="729"/>
      <c r="E714" s="729"/>
      <c r="F714" s="729"/>
      <c r="G714" s="730"/>
      <c r="H714" s="731"/>
      <c r="I714" s="732"/>
      <c r="J714" s="732"/>
      <c r="K714" s="733"/>
      <c r="L714" s="734"/>
      <c r="M714" s="733"/>
      <c r="N714" s="733"/>
      <c r="O714" s="733"/>
      <c r="P714" s="733"/>
      <c r="Q714" s="733"/>
      <c r="R714" s="733"/>
      <c r="S714" s="733"/>
      <c r="T714" s="733"/>
      <c r="U714" s="733"/>
    </row>
    <row r="715" spans="1:21" ht="19.5" hidden="1" x14ac:dyDescent="0.3">
      <c r="A715" s="257"/>
      <c r="B715" s="269"/>
      <c r="C715" s="775" t="s">
        <v>18</v>
      </c>
      <c r="D715" s="1368" t="s">
        <v>19</v>
      </c>
      <c r="E715" s="1343"/>
      <c r="F715" s="1343"/>
      <c r="G715" s="1344"/>
      <c r="H715" s="703" t="s">
        <v>14</v>
      </c>
      <c r="I715" s="263"/>
      <c r="J715" s="263"/>
      <c r="K715" s="87"/>
      <c r="L715" s="1257">
        <f t="shared" ref="L715:N715" si="425">L716+L717</f>
        <v>0</v>
      </c>
      <c r="M715" s="264">
        <f t="shared" si="425"/>
        <v>0</v>
      </c>
      <c r="N715" s="264">
        <f t="shared" si="425"/>
        <v>0</v>
      </c>
      <c r="O715" s="264">
        <f t="shared" ref="O715:O723" si="426">IF(L715&gt;0,N715*100/L715,0)</f>
        <v>0</v>
      </c>
      <c r="P715" s="264">
        <f t="shared" ref="P715:P723" si="427">IF(M715&gt;0,N715*100/M715,0)</f>
        <v>0</v>
      </c>
      <c r="Q715" s="264">
        <f t="shared" ref="Q715:S715" si="428">Q716+Q717</f>
        <v>0</v>
      </c>
      <c r="R715" s="264">
        <f t="shared" si="428"/>
        <v>0</v>
      </c>
      <c r="S715" s="264">
        <f t="shared" si="428"/>
        <v>0</v>
      </c>
      <c r="T715" s="264">
        <f t="shared" ref="T715:T723" si="429">IF(Q715&gt;0,S715*100/Q715,0)</f>
        <v>0</v>
      </c>
      <c r="U715" s="264">
        <f t="shared" ref="U715:U723" si="430">IF(R715&gt;0,S715*100/R715,0)</f>
        <v>0</v>
      </c>
    </row>
    <row r="716" spans="1:21" ht="18.75" hidden="1" x14ac:dyDescent="0.25">
      <c r="A716" s="257"/>
      <c r="B716" s="269"/>
      <c r="C716" s="269"/>
      <c r="D716" s="296"/>
      <c r="E716" s="265" t="s">
        <v>158</v>
      </c>
      <c r="F716" s="258"/>
      <c r="G716" s="261"/>
      <c r="H716" s="273" t="s">
        <v>14</v>
      </c>
      <c r="I716" s="263"/>
      <c r="J716" s="263"/>
      <c r="K716" s="87"/>
      <c r="L716" s="76">
        <f t="shared" ref="L716:N717" si="431">L719+L722</f>
        <v>0</v>
      </c>
      <c r="M716" s="77">
        <f t="shared" si="431"/>
        <v>0</v>
      </c>
      <c r="N716" s="77">
        <f t="shared" si="431"/>
        <v>0</v>
      </c>
      <c r="O716" s="77">
        <f t="shared" si="426"/>
        <v>0</v>
      </c>
      <c r="P716" s="77">
        <f t="shared" si="427"/>
        <v>0</v>
      </c>
      <c r="Q716" s="77">
        <f t="shared" ref="Q716:S717" si="432">Q719+Q722</f>
        <v>0</v>
      </c>
      <c r="R716" s="77">
        <f t="shared" si="432"/>
        <v>0</v>
      </c>
      <c r="S716" s="77">
        <f t="shared" si="432"/>
        <v>0</v>
      </c>
      <c r="T716" s="77">
        <f t="shared" si="429"/>
        <v>0</v>
      </c>
      <c r="U716" s="77">
        <f t="shared" si="430"/>
        <v>0</v>
      </c>
    </row>
    <row r="717" spans="1:21" ht="18.75" hidden="1" x14ac:dyDescent="0.25">
      <c r="A717" s="257"/>
      <c r="B717" s="269"/>
      <c r="C717" s="269"/>
      <c r="D717" s="296"/>
      <c r="E717" s="265" t="s">
        <v>159</v>
      </c>
      <c r="F717" s="258"/>
      <c r="G717" s="261"/>
      <c r="H717" s="273" t="s">
        <v>14</v>
      </c>
      <c r="I717" s="263"/>
      <c r="J717" s="263"/>
      <c r="K717" s="87"/>
      <c r="L717" s="73">
        <f t="shared" si="431"/>
        <v>0</v>
      </c>
      <c r="M717" s="74">
        <f t="shared" si="431"/>
        <v>0</v>
      </c>
      <c r="N717" s="74">
        <f t="shared" si="431"/>
        <v>0</v>
      </c>
      <c r="O717" s="74">
        <f t="shared" si="426"/>
        <v>0</v>
      </c>
      <c r="P717" s="74">
        <f t="shared" si="427"/>
        <v>0</v>
      </c>
      <c r="Q717" s="74">
        <f t="shared" si="432"/>
        <v>0</v>
      </c>
      <c r="R717" s="74">
        <f t="shared" si="432"/>
        <v>0</v>
      </c>
      <c r="S717" s="74">
        <f t="shared" si="432"/>
        <v>0</v>
      </c>
      <c r="T717" s="74">
        <f t="shared" si="429"/>
        <v>0</v>
      </c>
      <c r="U717" s="74">
        <f t="shared" si="430"/>
        <v>0</v>
      </c>
    </row>
    <row r="718" spans="1:21" ht="19.5" hidden="1" x14ac:dyDescent="0.3">
      <c r="A718" s="257"/>
      <c r="B718" s="269"/>
      <c r="C718" s="269"/>
      <c r="D718" s="934" t="s">
        <v>22</v>
      </c>
      <c r="E718" s="258"/>
      <c r="F718" s="258"/>
      <c r="G718" s="261"/>
      <c r="H718" s="703" t="s">
        <v>14</v>
      </c>
      <c r="I718" s="272"/>
      <c r="J718" s="272"/>
      <c r="K718" s="229"/>
      <c r="L718" s="73">
        <f t="shared" ref="L718:N718" si="433">L719+L720</f>
        <v>0</v>
      </c>
      <c r="M718" s="74">
        <f t="shared" si="433"/>
        <v>0</v>
      </c>
      <c r="N718" s="74">
        <f t="shared" si="433"/>
        <v>0</v>
      </c>
      <c r="O718" s="74">
        <f t="shared" si="426"/>
        <v>0</v>
      </c>
      <c r="P718" s="74">
        <f t="shared" si="427"/>
        <v>0</v>
      </c>
      <c r="Q718" s="74">
        <f t="shared" ref="Q718:S718" si="434">Q719+Q720</f>
        <v>0</v>
      </c>
      <c r="R718" s="74">
        <f t="shared" si="434"/>
        <v>0</v>
      </c>
      <c r="S718" s="74">
        <f t="shared" si="434"/>
        <v>0</v>
      </c>
      <c r="T718" s="74">
        <f t="shared" si="429"/>
        <v>0</v>
      </c>
      <c r="U718" s="74">
        <f t="shared" si="430"/>
        <v>0</v>
      </c>
    </row>
    <row r="719" spans="1:21" ht="18.75" hidden="1" x14ac:dyDescent="0.25">
      <c r="A719" s="257"/>
      <c r="B719" s="269"/>
      <c r="C719" s="269"/>
      <c r="D719" s="296"/>
      <c r="E719" s="265" t="s">
        <v>158</v>
      </c>
      <c r="F719" s="258"/>
      <c r="G719" s="261"/>
      <c r="H719" s="273" t="s">
        <v>14</v>
      </c>
      <c r="I719" s="263"/>
      <c r="J719" s="263"/>
      <c r="K719" s="87"/>
      <c r="L719" s="76">
        <v>0</v>
      </c>
      <c r="M719" s="77">
        <v>0</v>
      </c>
      <c r="N719" s="77">
        <v>0</v>
      </c>
      <c r="O719" s="77">
        <f t="shared" si="426"/>
        <v>0</v>
      </c>
      <c r="P719" s="77">
        <f t="shared" si="427"/>
        <v>0</v>
      </c>
      <c r="Q719" s="77">
        <v>0</v>
      </c>
      <c r="R719" s="77">
        <v>0</v>
      </c>
      <c r="S719" s="77">
        <v>0</v>
      </c>
      <c r="T719" s="77">
        <f t="shared" si="429"/>
        <v>0</v>
      </c>
      <c r="U719" s="77">
        <f t="shared" si="430"/>
        <v>0</v>
      </c>
    </row>
    <row r="720" spans="1:21" ht="18.75" hidden="1" x14ac:dyDescent="0.25">
      <c r="A720" s="257"/>
      <c r="B720" s="269"/>
      <c r="C720" s="269"/>
      <c r="D720" s="296"/>
      <c r="E720" s="265" t="s">
        <v>159</v>
      </c>
      <c r="F720" s="258"/>
      <c r="G720" s="261"/>
      <c r="H720" s="273" t="s">
        <v>14</v>
      </c>
      <c r="I720" s="263"/>
      <c r="J720" s="263"/>
      <c r="K720" s="87"/>
      <c r="L720" s="73">
        <v>0</v>
      </c>
      <c r="M720" s="74">
        <v>0</v>
      </c>
      <c r="N720" s="74">
        <v>0</v>
      </c>
      <c r="O720" s="74">
        <f t="shared" si="426"/>
        <v>0</v>
      </c>
      <c r="P720" s="74">
        <f t="shared" si="427"/>
        <v>0</v>
      </c>
      <c r="Q720" s="74">
        <v>0</v>
      </c>
      <c r="R720" s="74">
        <v>0</v>
      </c>
      <c r="S720" s="74">
        <v>0</v>
      </c>
      <c r="T720" s="74">
        <f t="shared" si="429"/>
        <v>0</v>
      </c>
      <c r="U720" s="74">
        <f t="shared" si="430"/>
        <v>0</v>
      </c>
    </row>
    <row r="721" spans="1:21" ht="19.5" hidden="1" x14ac:dyDescent="0.3">
      <c r="A721" s="257"/>
      <c r="B721" s="269"/>
      <c r="C721" s="269"/>
      <c r="D721" s="934" t="s">
        <v>23</v>
      </c>
      <c r="E721" s="258"/>
      <c r="F721" s="258"/>
      <c r="G721" s="261"/>
      <c r="H721" s="705" t="s">
        <v>14</v>
      </c>
      <c r="I721" s="272"/>
      <c r="J721" s="272"/>
      <c r="K721" s="229"/>
      <c r="L721" s="73">
        <f t="shared" ref="L721:N721" si="435">L722+L723</f>
        <v>0</v>
      </c>
      <c r="M721" s="74">
        <f t="shared" si="435"/>
        <v>0</v>
      </c>
      <c r="N721" s="74">
        <f t="shared" si="435"/>
        <v>0</v>
      </c>
      <c r="O721" s="74">
        <f t="shared" si="426"/>
        <v>0</v>
      </c>
      <c r="P721" s="74">
        <f t="shared" si="427"/>
        <v>0</v>
      </c>
      <c r="Q721" s="74">
        <f t="shared" ref="Q721:S721" si="436">Q722+Q723</f>
        <v>0</v>
      </c>
      <c r="R721" s="74">
        <f t="shared" si="436"/>
        <v>0</v>
      </c>
      <c r="S721" s="74">
        <f t="shared" si="436"/>
        <v>0</v>
      </c>
      <c r="T721" s="74">
        <f t="shared" si="429"/>
        <v>0</v>
      </c>
      <c r="U721" s="74">
        <f t="shared" si="430"/>
        <v>0</v>
      </c>
    </row>
    <row r="722" spans="1:21" ht="18.75" hidden="1" x14ac:dyDescent="0.25">
      <c r="A722" s="257"/>
      <c r="B722" s="269"/>
      <c r="C722" s="269"/>
      <c r="D722" s="258"/>
      <c r="E722" s="265" t="s">
        <v>20</v>
      </c>
      <c r="F722" s="258"/>
      <c r="G722" s="261"/>
      <c r="H722" s="273" t="s">
        <v>14</v>
      </c>
      <c r="I722" s="272"/>
      <c r="J722" s="272"/>
      <c r="K722" s="229"/>
      <c r="L722" s="76">
        <v>0</v>
      </c>
      <c r="M722" s="77">
        <v>0</v>
      </c>
      <c r="N722" s="77">
        <v>0</v>
      </c>
      <c r="O722" s="77">
        <f t="shared" si="426"/>
        <v>0</v>
      </c>
      <c r="P722" s="77">
        <f t="shared" si="427"/>
        <v>0</v>
      </c>
      <c r="Q722" s="77">
        <v>0</v>
      </c>
      <c r="R722" s="77">
        <v>0</v>
      </c>
      <c r="S722" s="77">
        <v>0</v>
      </c>
      <c r="T722" s="77">
        <f t="shared" si="429"/>
        <v>0</v>
      </c>
      <c r="U722" s="77">
        <f t="shared" si="430"/>
        <v>0</v>
      </c>
    </row>
    <row r="723" spans="1:21" ht="18.75" hidden="1" x14ac:dyDescent="0.25">
      <c r="A723" s="257"/>
      <c r="B723" s="269"/>
      <c r="C723" s="269"/>
      <c r="D723" s="258"/>
      <c r="E723" s="265" t="s">
        <v>21</v>
      </c>
      <c r="F723" s="258"/>
      <c r="G723" s="261"/>
      <c r="H723" s="706" t="s">
        <v>14</v>
      </c>
      <c r="I723" s="272"/>
      <c r="J723" s="272"/>
      <c r="K723" s="229"/>
      <c r="L723" s="73">
        <v>0</v>
      </c>
      <c r="M723" s="74">
        <v>0</v>
      </c>
      <c r="N723" s="74">
        <v>0</v>
      </c>
      <c r="O723" s="74">
        <f t="shared" si="426"/>
        <v>0</v>
      </c>
      <c r="P723" s="74">
        <f t="shared" si="427"/>
        <v>0</v>
      </c>
      <c r="Q723" s="74">
        <v>0</v>
      </c>
      <c r="R723" s="74">
        <v>0</v>
      </c>
      <c r="S723" s="74">
        <v>0</v>
      </c>
      <c r="T723" s="74">
        <f t="shared" si="429"/>
        <v>0</v>
      </c>
      <c r="U723" s="74">
        <f t="shared" si="430"/>
        <v>0</v>
      </c>
    </row>
    <row r="724" spans="1:21" ht="19.5" hidden="1" x14ac:dyDescent="0.3">
      <c r="A724" s="276"/>
      <c r="B724" s="277"/>
      <c r="C724" s="775" t="s">
        <v>18</v>
      </c>
      <c r="D724" s="1031" t="s">
        <v>38</v>
      </c>
      <c r="E724" s="280"/>
      <c r="F724" s="280"/>
      <c r="G724" s="281"/>
      <c r="H724" s="310"/>
      <c r="I724" s="272"/>
      <c r="J724" s="272"/>
      <c r="K724" s="229"/>
      <c r="L724" s="228"/>
      <c r="M724" s="229"/>
      <c r="N724" s="229"/>
      <c r="O724" s="229"/>
      <c r="P724" s="229"/>
      <c r="Q724" s="229"/>
      <c r="R724" s="229"/>
      <c r="S724" s="229"/>
      <c r="T724" s="229"/>
      <c r="U724" s="229"/>
    </row>
    <row r="725" spans="1:21" ht="18.75" hidden="1" x14ac:dyDescent="0.25">
      <c r="A725" s="550"/>
      <c r="B725" s="269"/>
      <c r="C725" s="269"/>
      <c r="D725" s="258"/>
      <c r="E725" s="265" t="s">
        <v>267</v>
      </c>
      <c r="F725" s="258"/>
      <c r="G725" s="261"/>
      <c r="H725" s="273" t="s">
        <v>46</v>
      </c>
      <c r="I725" s="592">
        <v>0</v>
      </c>
      <c r="J725" s="263"/>
      <c r="K725" s="87"/>
      <c r="L725" s="86"/>
      <c r="M725" s="87"/>
      <c r="N725" s="87"/>
      <c r="O725" s="87"/>
      <c r="P725" s="87"/>
      <c r="Q725" s="87"/>
      <c r="R725" s="87"/>
      <c r="S725" s="87"/>
      <c r="T725" s="87"/>
      <c r="U725" s="87"/>
    </row>
    <row r="726" spans="1:21" ht="18.75" hidden="1" x14ac:dyDescent="0.25">
      <c r="A726" s="627"/>
      <c r="B726" s="628"/>
      <c r="C726" s="628"/>
      <c r="D726" s="636"/>
      <c r="E726" s="777" t="s">
        <v>268</v>
      </c>
      <c r="F726" s="636"/>
      <c r="G726" s="637"/>
      <c r="H726" s="778" t="s">
        <v>46</v>
      </c>
      <c r="I726" s="779">
        <v>0</v>
      </c>
      <c r="J726" s="631"/>
      <c r="K726" s="98"/>
      <c r="L726" s="97"/>
      <c r="M726" s="98"/>
      <c r="N726" s="98"/>
      <c r="O726" s="98"/>
      <c r="P726" s="98"/>
      <c r="Q726" s="98"/>
      <c r="R726" s="98"/>
      <c r="S726" s="98"/>
      <c r="T726" s="98"/>
      <c r="U726" s="98"/>
    </row>
    <row r="727" spans="1:21" ht="19.5" hidden="1" x14ac:dyDescent="0.3">
      <c r="A727" s="727"/>
      <c r="B727" s="728" t="s">
        <v>269</v>
      </c>
      <c r="C727" s="727"/>
      <c r="D727" s="729"/>
      <c r="E727" s="729"/>
      <c r="F727" s="729"/>
      <c r="G727" s="730"/>
      <c r="H727" s="780" t="s">
        <v>35</v>
      </c>
      <c r="I727" s="781">
        <f ca="1">IFERROR(__xludf.DUMMYFUNCTION("IMPORTRANGE(""https://docs.google.com/spreadsheets/d/1eHaY18a8A9IcSdp1K8H6x8fbOy06t2VsZHhMHf-1x7Y/edit?usp=sharing"",""แผน!FZ60"")"),0)</f>
        <v>0</v>
      </c>
      <c r="J727" s="781">
        <f>J743+J747+J750</f>
        <v>0</v>
      </c>
      <c r="K727" s="766">
        <f t="shared" ref="K727:K728" ca="1" si="437">IF(I727&gt;0,J727*100/I727,0)</f>
        <v>0</v>
      </c>
      <c r="L727" s="734"/>
      <c r="M727" s="733"/>
      <c r="N727" s="733"/>
      <c r="O727" s="733"/>
      <c r="P727" s="733"/>
      <c r="Q727" s="733"/>
      <c r="R727" s="733"/>
      <c r="S727" s="733"/>
      <c r="T727" s="733"/>
      <c r="U727" s="733"/>
    </row>
    <row r="728" spans="1:21" ht="19.5" hidden="1" x14ac:dyDescent="0.3">
      <c r="A728" s="782"/>
      <c r="B728" s="727"/>
      <c r="C728" s="727"/>
      <c r="D728" s="729"/>
      <c r="E728" s="729"/>
      <c r="F728" s="729"/>
      <c r="G728" s="730"/>
      <c r="H728" s="780" t="s">
        <v>46</v>
      </c>
      <c r="I728" s="781">
        <f ca="1">IFERROR(__xludf.DUMMYFUNCTION("IMPORTRANGE(""https://docs.google.com/spreadsheets/d/1eHaY18a8A9IcSdp1K8H6x8fbOy06t2VsZHhMHf-1x7Y/edit?usp=sharing"",""แผน!GA60"")"),0)</f>
        <v>0</v>
      </c>
      <c r="J728" s="781">
        <f>J753+J756</f>
        <v>0</v>
      </c>
      <c r="K728" s="766">
        <f t="shared" ca="1" si="437"/>
        <v>0</v>
      </c>
      <c r="L728" s="734"/>
      <c r="M728" s="733"/>
      <c r="N728" s="733"/>
      <c r="O728" s="733"/>
      <c r="P728" s="733"/>
      <c r="Q728" s="733"/>
      <c r="R728" s="733"/>
      <c r="S728" s="733"/>
      <c r="T728" s="733"/>
      <c r="U728" s="733"/>
    </row>
    <row r="729" spans="1:21" ht="19.5" hidden="1" x14ac:dyDescent="0.3">
      <c r="A729" s="257"/>
      <c r="B729" s="269"/>
      <c r="C729" s="309" t="s">
        <v>18</v>
      </c>
      <c r="D729" s="1369" t="s">
        <v>19</v>
      </c>
      <c r="E729" s="1343"/>
      <c r="F729" s="1343"/>
      <c r="G729" s="1344"/>
      <c r="H729" s="633" t="s">
        <v>14</v>
      </c>
      <c r="I729" s="263"/>
      <c r="J729" s="263"/>
      <c r="K729" s="87"/>
      <c r="L729" s="1257">
        <f t="shared" ref="L729:N729" si="438">L730+L731</f>
        <v>0</v>
      </c>
      <c r="M729" s="264">
        <f t="shared" si="438"/>
        <v>0</v>
      </c>
      <c r="N729" s="264">
        <f t="shared" si="438"/>
        <v>0</v>
      </c>
      <c r="O729" s="264">
        <f t="shared" ref="O729:O737" si="439">IF(L729&gt;0,N729*100/L729,0)</f>
        <v>0</v>
      </c>
      <c r="P729" s="264">
        <f t="shared" ref="P729:P737" si="440">IF(M729&gt;0,N729*100/M729,0)</f>
        <v>0</v>
      </c>
      <c r="Q729" s="264">
        <f t="shared" ref="Q729:S729" ca="1" si="441">Q730+Q731</f>
        <v>0</v>
      </c>
      <c r="R729" s="264">
        <f t="shared" ca="1" si="441"/>
        <v>0</v>
      </c>
      <c r="S729" s="264">
        <f t="shared" ca="1" si="441"/>
        <v>0</v>
      </c>
      <c r="T729" s="264">
        <f t="shared" ref="T729:T737" ca="1" si="442">IF(Q729&gt;0,S729*100/Q729,0)</f>
        <v>0</v>
      </c>
      <c r="U729" s="264">
        <f t="shared" ref="U729:U737" ca="1" si="443">IF(R729&gt;0,S729*100/R729,0)</f>
        <v>0</v>
      </c>
    </row>
    <row r="730" spans="1:21" ht="18.75" hidden="1" x14ac:dyDescent="0.25">
      <c r="A730" s="257"/>
      <c r="B730" s="269"/>
      <c r="C730" s="269"/>
      <c r="D730" s="296"/>
      <c r="E730" s="265" t="s">
        <v>158</v>
      </c>
      <c r="F730" s="258"/>
      <c r="G730" s="261"/>
      <c r="H730" s="273" t="s">
        <v>14</v>
      </c>
      <c r="I730" s="263"/>
      <c r="J730" s="263"/>
      <c r="K730" s="87"/>
      <c r="L730" s="76">
        <f t="shared" ref="L730:N731" si="444">L733+L736</f>
        <v>0</v>
      </c>
      <c r="M730" s="77">
        <f t="shared" si="444"/>
        <v>0</v>
      </c>
      <c r="N730" s="77">
        <f t="shared" si="444"/>
        <v>0</v>
      </c>
      <c r="O730" s="77">
        <f t="shared" si="439"/>
        <v>0</v>
      </c>
      <c r="P730" s="77">
        <f t="shared" si="440"/>
        <v>0</v>
      </c>
      <c r="Q730" s="77">
        <f t="shared" ref="Q730:S731" si="445">Q733+Q736</f>
        <v>0</v>
      </c>
      <c r="R730" s="77">
        <f t="shared" si="445"/>
        <v>0</v>
      </c>
      <c r="S730" s="77">
        <f t="shared" si="445"/>
        <v>0</v>
      </c>
      <c r="T730" s="77">
        <f t="shared" si="442"/>
        <v>0</v>
      </c>
      <c r="U730" s="77">
        <f t="shared" si="443"/>
        <v>0</v>
      </c>
    </row>
    <row r="731" spans="1:21" ht="18.75" hidden="1" x14ac:dyDescent="0.25">
      <c r="A731" s="257"/>
      <c r="B731" s="269"/>
      <c r="C731" s="269"/>
      <c r="D731" s="296"/>
      <c r="E731" s="267" t="s">
        <v>159</v>
      </c>
      <c r="F731" s="258"/>
      <c r="G731" s="261"/>
      <c r="H731" s="271" t="s">
        <v>14</v>
      </c>
      <c r="I731" s="263"/>
      <c r="J731" s="263"/>
      <c r="K731" s="87"/>
      <c r="L731" s="73">
        <f t="shared" si="444"/>
        <v>0</v>
      </c>
      <c r="M731" s="74">
        <f t="shared" si="444"/>
        <v>0</v>
      </c>
      <c r="N731" s="74">
        <f t="shared" si="444"/>
        <v>0</v>
      </c>
      <c r="O731" s="74">
        <f t="shared" si="439"/>
        <v>0</v>
      </c>
      <c r="P731" s="74">
        <f t="shared" si="440"/>
        <v>0</v>
      </c>
      <c r="Q731" s="74">
        <f t="shared" ca="1" si="445"/>
        <v>0</v>
      </c>
      <c r="R731" s="74">
        <f t="shared" ca="1" si="445"/>
        <v>0</v>
      </c>
      <c r="S731" s="74">
        <f t="shared" ca="1" si="445"/>
        <v>0</v>
      </c>
      <c r="T731" s="74">
        <f t="shared" ca="1" si="442"/>
        <v>0</v>
      </c>
      <c r="U731" s="74">
        <f t="shared" ca="1" si="443"/>
        <v>0</v>
      </c>
    </row>
    <row r="732" spans="1:21" ht="18.75" hidden="1" x14ac:dyDescent="0.25">
      <c r="A732" s="257"/>
      <c r="B732" s="269"/>
      <c r="C732" s="269"/>
      <c r="D732" s="270" t="s">
        <v>22</v>
      </c>
      <c r="E732" s="258"/>
      <c r="F732" s="258"/>
      <c r="G732" s="261"/>
      <c r="H732" s="271" t="s">
        <v>14</v>
      </c>
      <c r="I732" s="272"/>
      <c r="J732" s="272"/>
      <c r="K732" s="229"/>
      <c r="L732" s="73">
        <f t="shared" ref="L732:N732" si="446">L733+L734</f>
        <v>0</v>
      </c>
      <c r="M732" s="74">
        <f t="shared" si="446"/>
        <v>0</v>
      </c>
      <c r="N732" s="74">
        <f t="shared" si="446"/>
        <v>0</v>
      </c>
      <c r="O732" s="74">
        <f t="shared" si="439"/>
        <v>0</v>
      </c>
      <c r="P732" s="74">
        <f t="shared" si="440"/>
        <v>0</v>
      </c>
      <c r="Q732" s="74">
        <f t="shared" ref="Q732:S732" ca="1" si="447">Q733+Q734</f>
        <v>0</v>
      </c>
      <c r="R732" s="74">
        <f t="shared" ca="1" si="447"/>
        <v>0</v>
      </c>
      <c r="S732" s="74">
        <f t="shared" ca="1" si="447"/>
        <v>0</v>
      </c>
      <c r="T732" s="74">
        <f t="shared" ca="1" si="442"/>
        <v>0</v>
      </c>
      <c r="U732" s="74">
        <f t="shared" ca="1" si="443"/>
        <v>0</v>
      </c>
    </row>
    <row r="733" spans="1:21" ht="18.75" hidden="1" x14ac:dyDescent="0.25">
      <c r="A733" s="257"/>
      <c r="B733" s="269"/>
      <c r="C733" s="269"/>
      <c r="D733" s="296"/>
      <c r="E733" s="265" t="s">
        <v>158</v>
      </c>
      <c r="F733" s="258"/>
      <c r="G733" s="261"/>
      <c r="H733" s="273" t="s">
        <v>14</v>
      </c>
      <c r="I733" s="263"/>
      <c r="J733" s="263"/>
      <c r="K733" s="87"/>
      <c r="L733" s="76">
        <v>0</v>
      </c>
      <c r="M733" s="77">
        <v>0</v>
      </c>
      <c r="N733" s="77">
        <v>0</v>
      </c>
      <c r="O733" s="77">
        <f t="shared" si="439"/>
        <v>0</v>
      </c>
      <c r="P733" s="77">
        <f t="shared" si="440"/>
        <v>0</v>
      </c>
      <c r="Q733" s="77">
        <v>0</v>
      </c>
      <c r="R733" s="77">
        <v>0</v>
      </c>
      <c r="S733" s="77">
        <v>0</v>
      </c>
      <c r="T733" s="77">
        <f t="shared" si="442"/>
        <v>0</v>
      </c>
      <c r="U733" s="77">
        <f t="shared" si="443"/>
        <v>0</v>
      </c>
    </row>
    <row r="734" spans="1:21" ht="18.75" hidden="1" x14ac:dyDescent="0.25">
      <c r="A734" s="257"/>
      <c r="B734" s="269"/>
      <c r="C734" s="269"/>
      <c r="D734" s="296"/>
      <c r="E734" s="267" t="s">
        <v>159</v>
      </c>
      <c r="F734" s="258"/>
      <c r="G734" s="261"/>
      <c r="H734" s="271" t="s">
        <v>14</v>
      </c>
      <c r="I734" s="263"/>
      <c r="J734" s="263"/>
      <c r="K734" s="87"/>
      <c r="L734" s="73">
        <v>0</v>
      </c>
      <c r="M734" s="74">
        <v>0</v>
      </c>
      <c r="N734" s="74">
        <v>0</v>
      </c>
      <c r="O734" s="74">
        <f t="shared" si="439"/>
        <v>0</v>
      </c>
      <c r="P734" s="74">
        <f t="shared" si="440"/>
        <v>0</v>
      </c>
      <c r="Q734" s="74">
        <f ca="1">IFERROR(__xludf.DUMMYFUNCTION("IMPORTRANGE(""https://docs.google.com/spreadsheets/d/1ItG2mGa2ceCfYo0BwxsXqNm01IGEUdYcSSLTEv9YCik/edit?usp=sharing"",""เบิกจ่ายกองทุน!O60"")"),0)</f>
        <v>0</v>
      </c>
      <c r="R734" s="74">
        <f ca="1">IFERROR(__xludf.DUMMYFUNCTION("IMPORTRANGE(""https://docs.google.com/spreadsheets/d/1ItG2mGa2ceCfYo0BwxsXqNm01IGEUdYcSSLTEv9YCik/edit?usp=sharing"",""เบิกจ่ายกองทุน!P60"")"),0)</f>
        <v>0</v>
      </c>
      <c r="S734" s="74">
        <f ca="1">IFERROR(__xludf.DUMMYFUNCTION("IMPORTRANGE(""https://docs.google.com/spreadsheets/d/1ItG2mGa2ceCfYo0BwxsXqNm01IGEUdYcSSLTEv9YCik/edit?usp=sharing"",""เบิกจ่ายกองทุน!Q60"")"),0)</f>
        <v>0</v>
      </c>
      <c r="T734" s="74">
        <f t="shared" ca="1" si="442"/>
        <v>0</v>
      </c>
      <c r="U734" s="74">
        <f t="shared" ca="1" si="443"/>
        <v>0</v>
      </c>
    </row>
    <row r="735" spans="1:21" ht="18.75" hidden="1" x14ac:dyDescent="0.25">
      <c r="A735" s="257"/>
      <c r="B735" s="269"/>
      <c r="C735" s="269"/>
      <c r="D735" s="270" t="s">
        <v>23</v>
      </c>
      <c r="E735" s="269"/>
      <c r="F735" s="269"/>
      <c r="G735" s="261"/>
      <c r="H735" s="275" t="s">
        <v>14</v>
      </c>
      <c r="I735" s="272"/>
      <c r="J735" s="272"/>
      <c r="K735" s="229"/>
      <c r="L735" s="73">
        <f t="shared" ref="L735:N735" si="448">L736+L737</f>
        <v>0</v>
      </c>
      <c r="M735" s="74">
        <f t="shared" si="448"/>
        <v>0</v>
      </c>
      <c r="N735" s="74">
        <f t="shared" si="448"/>
        <v>0</v>
      </c>
      <c r="O735" s="74">
        <f t="shared" si="439"/>
        <v>0</v>
      </c>
      <c r="P735" s="74">
        <f t="shared" si="440"/>
        <v>0</v>
      </c>
      <c r="Q735" s="74">
        <f t="shared" ref="Q735:S735" si="449">Q736+Q737</f>
        <v>0</v>
      </c>
      <c r="R735" s="74">
        <f t="shared" si="449"/>
        <v>0</v>
      </c>
      <c r="S735" s="74">
        <f t="shared" si="449"/>
        <v>0</v>
      </c>
      <c r="T735" s="74">
        <f t="shared" si="442"/>
        <v>0</v>
      </c>
      <c r="U735" s="74">
        <f t="shared" si="443"/>
        <v>0</v>
      </c>
    </row>
    <row r="736" spans="1:21" ht="18.75" hidden="1" x14ac:dyDescent="0.25">
      <c r="A736" s="257"/>
      <c r="B736" s="269"/>
      <c r="C736" s="269"/>
      <c r="D736" s="269"/>
      <c r="E736" s="775" t="s">
        <v>20</v>
      </c>
      <c r="F736" s="269"/>
      <c r="G736" s="261"/>
      <c r="H736" s="273" t="s">
        <v>14</v>
      </c>
      <c r="I736" s="272"/>
      <c r="J736" s="272"/>
      <c r="K736" s="229"/>
      <c r="L736" s="76">
        <v>0</v>
      </c>
      <c r="M736" s="77">
        <v>0</v>
      </c>
      <c r="N736" s="77">
        <v>0</v>
      </c>
      <c r="O736" s="77">
        <f t="shared" si="439"/>
        <v>0</v>
      </c>
      <c r="P736" s="77">
        <f t="shared" si="440"/>
        <v>0</v>
      </c>
      <c r="Q736" s="77">
        <v>0</v>
      </c>
      <c r="R736" s="77">
        <v>0</v>
      </c>
      <c r="S736" s="77">
        <v>0</v>
      </c>
      <c r="T736" s="77">
        <f t="shared" si="442"/>
        <v>0</v>
      </c>
      <c r="U736" s="77">
        <f t="shared" si="443"/>
        <v>0</v>
      </c>
    </row>
    <row r="737" spans="1:21" ht="18.75" hidden="1" x14ac:dyDescent="0.25">
      <c r="A737" s="257"/>
      <c r="B737" s="269"/>
      <c r="C737" s="269"/>
      <c r="D737" s="269"/>
      <c r="E737" s="749" t="s">
        <v>21</v>
      </c>
      <c r="F737" s="269"/>
      <c r="G737" s="261"/>
      <c r="H737" s="275" t="s">
        <v>14</v>
      </c>
      <c r="I737" s="272"/>
      <c r="J737" s="272"/>
      <c r="K737" s="229"/>
      <c r="L737" s="73">
        <v>0</v>
      </c>
      <c r="M737" s="74">
        <v>0</v>
      </c>
      <c r="N737" s="74">
        <v>0</v>
      </c>
      <c r="O737" s="74">
        <f t="shared" si="439"/>
        <v>0</v>
      </c>
      <c r="P737" s="74">
        <f t="shared" si="440"/>
        <v>0</v>
      </c>
      <c r="Q737" s="74">
        <v>0</v>
      </c>
      <c r="R737" s="74">
        <v>0</v>
      </c>
      <c r="S737" s="74">
        <v>0</v>
      </c>
      <c r="T737" s="74">
        <f t="shared" si="442"/>
        <v>0</v>
      </c>
      <c r="U737" s="74">
        <f t="shared" si="443"/>
        <v>0</v>
      </c>
    </row>
    <row r="738" spans="1:21" ht="19.5" hidden="1" x14ac:dyDescent="0.3">
      <c r="A738" s="276"/>
      <c r="B738" s="277"/>
      <c r="C738" s="309" t="s">
        <v>18</v>
      </c>
      <c r="D738" s="968" t="s">
        <v>38</v>
      </c>
      <c r="E738" s="783"/>
      <c r="F738" s="280"/>
      <c r="G738" s="281"/>
      <c r="H738" s="310"/>
      <c r="I738" s="263"/>
      <c r="J738" s="263"/>
      <c r="K738" s="87"/>
      <c r="L738" s="86"/>
      <c r="M738" s="87"/>
      <c r="N738" s="87"/>
      <c r="O738" s="87"/>
      <c r="P738" s="87"/>
      <c r="Q738" s="87"/>
      <c r="R738" s="87"/>
      <c r="S738" s="87"/>
      <c r="T738" s="87"/>
      <c r="U738" s="87"/>
    </row>
    <row r="739" spans="1:21" ht="19.5" hidden="1" x14ac:dyDescent="0.3">
      <c r="A739" s="276"/>
      <c r="B739" s="277"/>
      <c r="C739" s="277"/>
      <c r="D739" s="784" t="s">
        <v>121</v>
      </c>
      <c r="E739" s="277"/>
      <c r="F739" s="277"/>
      <c r="G739" s="282"/>
      <c r="H739" s="312"/>
      <c r="I739" s="263"/>
      <c r="J739" s="263"/>
      <c r="K739" s="87"/>
      <c r="L739" s="86"/>
      <c r="M739" s="87"/>
      <c r="N739" s="87"/>
      <c r="O739" s="87"/>
      <c r="P739" s="87"/>
      <c r="Q739" s="87"/>
      <c r="R739" s="87"/>
      <c r="S739" s="87"/>
      <c r="T739" s="87"/>
      <c r="U739" s="87"/>
    </row>
    <row r="740" spans="1:21" ht="18.75" hidden="1" x14ac:dyDescent="0.25">
      <c r="A740" s="276"/>
      <c r="B740" s="277"/>
      <c r="C740" s="277"/>
      <c r="D740" s="277"/>
      <c r="E740" s="745" t="s">
        <v>270</v>
      </c>
      <c r="F740" s="277"/>
      <c r="G740" s="282"/>
      <c r="H740" s="312"/>
      <c r="I740" s="263"/>
      <c r="J740" s="263"/>
      <c r="K740" s="87"/>
      <c r="L740" s="86"/>
      <c r="M740" s="87"/>
      <c r="N740" s="87"/>
      <c r="O740" s="87"/>
      <c r="P740" s="87"/>
      <c r="Q740" s="87"/>
      <c r="R740" s="87"/>
      <c r="S740" s="87"/>
      <c r="T740" s="87"/>
      <c r="U740" s="87"/>
    </row>
    <row r="741" spans="1:21" ht="18.75" hidden="1" x14ac:dyDescent="0.25">
      <c r="A741" s="276"/>
      <c r="B741" s="277"/>
      <c r="C741" s="277"/>
      <c r="D741" s="277"/>
      <c r="E741" s="277"/>
      <c r="F741" s="745" t="s">
        <v>271</v>
      </c>
      <c r="G741" s="282"/>
      <c r="H741" s="268" t="s">
        <v>46</v>
      </c>
      <c r="I741" s="293">
        <f ca="1">IFERROR(__xludf.DUMMYFUNCTION("IMPORTRANGE(""https://docs.google.com/spreadsheets/d/1eHaY18a8A9IcSdp1K8H6x8fbOy06t2VsZHhMHf-1x7Y/edit?usp=sharing"",""แผน!GB60"")"),0)</f>
        <v>0</v>
      </c>
      <c r="J741" s="294">
        <v>0</v>
      </c>
      <c r="K741" s="74">
        <f ca="1">IF(I741&gt;0,J741*100/I741,0)</f>
        <v>0</v>
      </c>
      <c r="L741" s="86"/>
      <c r="M741" s="87"/>
      <c r="N741" s="87"/>
      <c r="O741" s="87"/>
      <c r="P741" s="87"/>
      <c r="Q741" s="87"/>
      <c r="R741" s="87"/>
      <c r="S741" s="87"/>
      <c r="T741" s="87"/>
      <c r="U741" s="87"/>
    </row>
    <row r="742" spans="1:21" ht="18.75" hidden="1" x14ac:dyDescent="0.25">
      <c r="A742" s="276"/>
      <c r="B742" s="277"/>
      <c r="C742" s="277"/>
      <c r="D742" s="277"/>
      <c r="E742" s="277"/>
      <c r="F742" s="745" t="s">
        <v>272</v>
      </c>
      <c r="G742" s="282"/>
      <c r="H742" s="268" t="s">
        <v>35</v>
      </c>
      <c r="I742" s="263"/>
      <c r="J742" s="294">
        <v>0</v>
      </c>
      <c r="K742" s="87"/>
      <c r="L742" s="86"/>
      <c r="M742" s="87"/>
      <c r="N742" s="87"/>
      <c r="O742" s="87"/>
      <c r="P742" s="87"/>
      <c r="Q742" s="87"/>
      <c r="R742" s="87"/>
      <c r="S742" s="87"/>
      <c r="T742" s="87"/>
      <c r="U742" s="87"/>
    </row>
    <row r="743" spans="1:21" ht="18.75" hidden="1" x14ac:dyDescent="0.25">
      <c r="A743" s="276"/>
      <c r="B743" s="277"/>
      <c r="C743" s="277"/>
      <c r="D743" s="277"/>
      <c r="E743" s="277"/>
      <c r="F743" s="745" t="s">
        <v>273</v>
      </c>
      <c r="G743" s="282"/>
      <c r="H743" s="268" t="s">
        <v>35</v>
      </c>
      <c r="I743" s="293">
        <f ca="1">IFERROR(__xludf.DUMMYFUNCTION("IMPORTRANGE(""https://docs.google.com/spreadsheets/d/1eHaY18a8A9IcSdp1K8H6x8fbOy06t2VsZHhMHf-1x7Y/edit?usp=sharing"",""แผน!GC60"")"),0)</f>
        <v>0</v>
      </c>
      <c r="J743" s="294">
        <v>0</v>
      </c>
      <c r="K743" s="74">
        <f ca="1">IF(I743&gt;0,J743*100/I743,0)</f>
        <v>0</v>
      </c>
      <c r="L743" s="86"/>
      <c r="M743" s="87"/>
      <c r="N743" s="87"/>
      <c r="O743" s="87"/>
      <c r="P743" s="87"/>
      <c r="Q743" s="87"/>
      <c r="R743" s="87"/>
      <c r="S743" s="87"/>
      <c r="T743" s="87"/>
      <c r="U743" s="87"/>
    </row>
    <row r="744" spans="1:21" ht="18.75" hidden="1" x14ac:dyDescent="0.25">
      <c r="A744" s="276"/>
      <c r="B744" s="277"/>
      <c r="C744" s="277"/>
      <c r="D744" s="277"/>
      <c r="E744" s="745" t="s">
        <v>274</v>
      </c>
      <c r="F744" s="277"/>
      <c r="G744" s="282"/>
      <c r="H744" s="312"/>
      <c r="I744" s="263"/>
      <c r="J744" s="263"/>
      <c r="K744" s="87"/>
      <c r="L744" s="86"/>
      <c r="M744" s="87"/>
      <c r="N744" s="87"/>
      <c r="O744" s="87"/>
      <c r="P744" s="87"/>
      <c r="Q744" s="87"/>
      <c r="R744" s="87"/>
      <c r="S744" s="87"/>
      <c r="T744" s="87"/>
      <c r="U744" s="87"/>
    </row>
    <row r="745" spans="1:21" ht="18.75" hidden="1" x14ac:dyDescent="0.25">
      <c r="A745" s="276"/>
      <c r="B745" s="277"/>
      <c r="C745" s="277"/>
      <c r="D745" s="277"/>
      <c r="E745" s="277"/>
      <c r="F745" s="745" t="s">
        <v>271</v>
      </c>
      <c r="G745" s="282"/>
      <c r="H745" s="268" t="s">
        <v>46</v>
      </c>
      <c r="I745" s="293">
        <f ca="1">IFERROR(__xludf.DUMMYFUNCTION("IMPORTRANGE(""https://docs.google.com/spreadsheets/d/1eHaY18a8A9IcSdp1K8H6x8fbOy06t2VsZHhMHf-1x7Y/edit?usp=sharing"",""แผน!GD60"")"),0)</f>
        <v>0</v>
      </c>
      <c r="J745" s="294">
        <v>0</v>
      </c>
      <c r="K745" s="74">
        <f ca="1">IF(I745&gt;0,J745*100/I745,0)</f>
        <v>0</v>
      </c>
      <c r="L745" s="86"/>
      <c r="M745" s="87"/>
      <c r="N745" s="87"/>
      <c r="O745" s="87"/>
      <c r="P745" s="87"/>
      <c r="Q745" s="87"/>
      <c r="R745" s="87"/>
      <c r="S745" s="87"/>
      <c r="T745" s="87"/>
      <c r="U745" s="87"/>
    </row>
    <row r="746" spans="1:21" ht="18.75" hidden="1" x14ac:dyDescent="0.25">
      <c r="A746" s="276"/>
      <c r="B746" s="277"/>
      <c r="C746" s="277"/>
      <c r="D746" s="277"/>
      <c r="E746" s="277"/>
      <c r="F746" s="745" t="s">
        <v>275</v>
      </c>
      <c r="G746" s="282"/>
      <c r="H746" s="268" t="s">
        <v>35</v>
      </c>
      <c r="I746" s="263"/>
      <c r="J746" s="294">
        <v>0</v>
      </c>
      <c r="K746" s="87"/>
      <c r="L746" s="86"/>
      <c r="M746" s="87"/>
      <c r="N746" s="87"/>
      <c r="O746" s="87"/>
      <c r="P746" s="87"/>
      <c r="Q746" s="87"/>
      <c r="R746" s="87"/>
      <c r="S746" s="87"/>
      <c r="T746" s="87"/>
      <c r="U746" s="87"/>
    </row>
    <row r="747" spans="1:21" ht="18.75" hidden="1" x14ac:dyDescent="0.25">
      <c r="A747" s="276"/>
      <c r="B747" s="277"/>
      <c r="C747" s="277"/>
      <c r="D747" s="277"/>
      <c r="E747" s="277"/>
      <c r="F747" s="745" t="s">
        <v>276</v>
      </c>
      <c r="G747" s="282"/>
      <c r="H747" s="268" t="s">
        <v>35</v>
      </c>
      <c r="I747" s="293">
        <f ca="1">IFERROR(__xludf.DUMMYFUNCTION("IMPORTRANGE(""https://docs.google.com/spreadsheets/d/1eHaY18a8A9IcSdp1K8H6x8fbOy06t2VsZHhMHf-1x7Y/edit?usp=sharing"",""แผน!GE60"")"),0)</f>
        <v>0</v>
      </c>
      <c r="J747" s="294">
        <v>0</v>
      </c>
      <c r="K747" s="74">
        <f ca="1">IF(I747&gt;0,J747*100/I747,0)</f>
        <v>0</v>
      </c>
      <c r="L747" s="86"/>
      <c r="M747" s="87"/>
      <c r="N747" s="87"/>
      <c r="O747" s="87"/>
      <c r="P747" s="87"/>
      <c r="Q747" s="87"/>
      <c r="R747" s="87"/>
      <c r="S747" s="87"/>
      <c r="T747" s="87"/>
      <c r="U747" s="87"/>
    </row>
    <row r="748" spans="1:21" ht="18.75" hidden="1" x14ac:dyDescent="0.25">
      <c r="A748" s="276"/>
      <c r="B748" s="277"/>
      <c r="C748" s="277"/>
      <c r="D748" s="277"/>
      <c r="E748" s="745" t="s">
        <v>277</v>
      </c>
      <c r="F748" s="296"/>
      <c r="G748" s="282"/>
      <c r="H748" s="312"/>
      <c r="I748" s="263"/>
      <c r="J748" s="263"/>
      <c r="K748" s="87"/>
      <c r="L748" s="86"/>
      <c r="M748" s="87"/>
      <c r="N748" s="87"/>
      <c r="O748" s="87"/>
      <c r="P748" s="87"/>
      <c r="Q748" s="87"/>
      <c r="R748" s="87"/>
      <c r="S748" s="87"/>
      <c r="T748" s="87"/>
      <c r="U748" s="87"/>
    </row>
    <row r="749" spans="1:21" ht="18.75" hidden="1" x14ac:dyDescent="0.25">
      <c r="A749" s="276"/>
      <c r="B749" s="277"/>
      <c r="C749" s="277"/>
      <c r="D749" s="277"/>
      <c r="E749" s="277"/>
      <c r="F749" s="745" t="s">
        <v>278</v>
      </c>
      <c r="G749" s="282"/>
      <c r="H749" s="268" t="s">
        <v>35</v>
      </c>
      <c r="I749" s="263"/>
      <c r="J749" s="294">
        <v>0</v>
      </c>
      <c r="K749" s="87"/>
      <c r="L749" s="86"/>
      <c r="M749" s="87"/>
      <c r="N749" s="87"/>
      <c r="O749" s="87"/>
      <c r="P749" s="87"/>
      <c r="Q749" s="87"/>
      <c r="R749" s="87"/>
      <c r="S749" s="87"/>
      <c r="T749" s="87"/>
      <c r="U749" s="87"/>
    </row>
    <row r="750" spans="1:21" ht="18.75" hidden="1" x14ac:dyDescent="0.25">
      <c r="A750" s="276"/>
      <c r="B750" s="277"/>
      <c r="C750" s="277"/>
      <c r="D750" s="277"/>
      <c r="E750" s="277"/>
      <c r="F750" s="745" t="s">
        <v>279</v>
      </c>
      <c r="G750" s="282"/>
      <c r="H750" s="268" t="s">
        <v>35</v>
      </c>
      <c r="I750" s="293">
        <f ca="1">IFERROR(__xludf.DUMMYFUNCTION("IMPORTRANGE(""https://docs.google.com/spreadsheets/d/1eHaY18a8A9IcSdp1K8H6x8fbOy06t2VsZHhMHf-1x7Y/edit?usp=sharing"",""แผน!GF60"")"),0)</f>
        <v>0</v>
      </c>
      <c r="J750" s="294">
        <v>0</v>
      </c>
      <c r="K750" s="74">
        <f ca="1">IF(I750&gt;0,J750*100/I750,0)</f>
        <v>0</v>
      </c>
      <c r="L750" s="86"/>
      <c r="M750" s="87"/>
      <c r="N750" s="87"/>
      <c r="O750" s="87"/>
      <c r="P750" s="87"/>
      <c r="Q750" s="87"/>
      <c r="R750" s="87"/>
      <c r="S750" s="87"/>
      <c r="T750" s="87"/>
      <c r="U750" s="87"/>
    </row>
    <row r="751" spans="1:21" ht="19.5" hidden="1" x14ac:dyDescent="0.3">
      <c r="A751" s="276"/>
      <c r="B751" s="277"/>
      <c r="C751" s="277"/>
      <c r="D751" s="784" t="s">
        <v>50</v>
      </c>
      <c r="E751" s="277"/>
      <c r="F751" s="296"/>
      <c r="G751" s="282"/>
      <c r="H751" s="312"/>
      <c r="I751" s="263"/>
      <c r="J751" s="263"/>
      <c r="K751" s="87"/>
      <c r="L751" s="86"/>
      <c r="M751" s="87"/>
      <c r="N751" s="87"/>
      <c r="O751" s="87"/>
      <c r="P751" s="87"/>
      <c r="Q751" s="87"/>
      <c r="R751" s="87"/>
      <c r="S751" s="87"/>
      <c r="T751" s="87"/>
      <c r="U751" s="87"/>
    </row>
    <row r="752" spans="1:21" ht="18.75" hidden="1" x14ac:dyDescent="0.25">
      <c r="A752" s="276"/>
      <c r="B752" s="277"/>
      <c r="C752" s="277"/>
      <c r="D752" s="277"/>
      <c r="E752" s="745" t="s">
        <v>270</v>
      </c>
      <c r="F752" s="296"/>
      <c r="G752" s="282"/>
      <c r="H752" s="312"/>
      <c r="I752" s="263"/>
      <c r="J752" s="263"/>
      <c r="K752" s="87"/>
      <c r="L752" s="86"/>
      <c r="M752" s="87"/>
      <c r="N752" s="87"/>
      <c r="O752" s="87"/>
      <c r="P752" s="87"/>
      <c r="Q752" s="87"/>
      <c r="R752" s="87"/>
      <c r="S752" s="87"/>
      <c r="T752" s="87"/>
      <c r="U752" s="87"/>
    </row>
    <row r="753" spans="1:21" ht="18.75" hidden="1" x14ac:dyDescent="0.25">
      <c r="A753" s="276"/>
      <c r="B753" s="277"/>
      <c r="C753" s="277"/>
      <c r="D753" s="277"/>
      <c r="E753" s="277"/>
      <c r="F753" s="295" t="s">
        <v>280</v>
      </c>
      <c r="G753" s="282"/>
      <c r="H753" s="268" t="s">
        <v>46</v>
      </c>
      <c r="I753" s="293">
        <f ca="1">IFERROR(__xludf.DUMMYFUNCTION("IMPORTRANGE(""https://docs.google.com/spreadsheets/d/1eHaY18a8A9IcSdp1K8H6x8fbOy06t2VsZHhMHf-1x7Y/edit?usp=sharing"",""แผน!GC60"")"),0)</f>
        <v>0</v>
      </c>
      <c r="J753" s="294">
        <v>0</v>
      </c>
      <c r="K753" s="74">
        <f ca="1">IF(I753&gt;0,J753*100/I753,0)</f>
        <v>0</v>
      </c>
      <c r="L753" s="86"/>
      <c r="M753" s="87"/>
      <c r="N753" s="87"/>
      <c r="O753" s="87"/>
      <c r="P753" s="87"/>
      <c r="Q753" s="87"/>
      <c r="R753" s="87"/>
      <c r="S753" s="87"/>
      <c r="T753" s="87"/>
      <c r="U753" s="87"/>
    </row>
    <row r="754" spans="1:21" ht="18.75" hidden="1" x14ac:dyDescent="0.25">
      <c r="A754" s="276"/>
      <c r="B754" s="277"/>
      <c r="C754" s="277"/>
      <c r="D754" s="277"/>
      <c r="E754" s="277"/>
      <c r="F754" s="295" t="s">
        <v>281</v>
      </c>
      <c r="G754" s="282"/>
      <c r="H754" s="268" t="s">
        <v>46</v>
      </c>
      <c r="I754" s="263"/>
      <c r="J754" s="294">
        <v>0</v>
      </c>
      <c r="K754" s="87"/>
      <c r="L754" s="86"/>
      <c r="M754" s="87"/>
      <c r="N754" s="87"/>
      <c r="O754" s="87"/>
      <c r="P754" s="87"/>
      <c r="Q754" s="87"/>
      <c r="R754" s="87"/>
      <c r="S754" s="87"/>
      <c r="T754" s="87"/>
      <c r="U754" s="87"/>
    </row>
    <row r="755" spans="1:21" ht="18.75" hidden="1" x14ac:dyDescent="0.25">
      <c r="A755" s="276"/>
      <c r="B755" s="277"/>
      <c r="C755" s="277"/>
      <c r="D755" s="277"/>
      <c r="E755" s="745" t="s">
        <v>274</v>
      </c>
      <c r="F755" s="296"/>
      <c r="G755" s="282"/>
      <c r="H755" s="312"/>
      <c r="I755" s="263"/>
      <c r="J755" s="263"/>
      <c r="K755" s="87"/>
      <c r="L755" s="86"/>
      <c r="M755" s="87"/>
      <c r="N755" s="87"/>
      <c r="O755" s="87"/>
      <c r="P755" s="87"/>
      <c r="Q755" s="87"/>
      <c r="R755" s="87"/>
      <c r="S755" s="87"/>
      <c r="T755" s="87"/>
      <c r="U755" s="87"/>
    </row>
    <row r="756" spans="1:21" ht="18.75" hidden="1" x14ac:dyDescent="0.25">
      <c r="A756" s="276"/>
      <c r="B756" s="277"/>
      <c r="C756" s="277"/>
      <c r="D756" s="277"/>
      <c r="E756" s="296"/>
      <c r="F756" s="295" t="s">
        <v>282</v>
      </c>
      <c r="G756" s="282"/>
      <c r="H756" s="268" t="s">
        <v>46</v>
      </c>
      <c r="I756" s="293">
        <f ca="1">IFERROR(__xludf.DUMMYFUNCTION("IMPORTRANGE(""https://docs.google.com/spreadsheets/d/1eHaY18a8A9IcSdp1K8H6x8fbOy06t2VsZHhMHf-1x7Y/edit?usp=sharing"",""แผน!GE60"")"),0)</f>
        <v>0</v>
      </c>
      <c r="J756" s="294">
        <v>0</v>
      </c>
      <c r="K756" s="74">
        <f ca="1">IF(I756&gt;0,J756*100/I756,0)</f>
        <v>0</v>
      </c>
      <c r="L756" s="86"/>
      <c r="M756" s="87"/>
      <c r="N756" s="87"/>
      <c r="O756" s="87"/>
      <c r="P756" s="87"/>
      <c r="Q756" s="87"/>
      <c r="R756" s="87"/>
      <c r="S756" s="87"/>
      <c r="T756" s="87"/>
      <c r="U756" s="87"/>
    </row>
    <row r="757" spans="1:21" ht="18.75" hidden="1" x14ac:dyDescent="0.25">
      <c r="A757" s="276"/>
      <c r="B757" s="277"/>
      <c r="C757" s="277"/>
      <c r="D757" s="277"/>
      <c r="E757" s="296"/>
      <c r="F757" s="295" t="s">
        <v>283</v>
      </c>
      <c r="G757" s="282"/>
      <c r="H757" s="268" t="s">
        <v>46</v>
      </c>
      <c r="I757" s="263"/>
      <c r="J757" s="294">
        <v>0</v>
      </c>
      <c r="K757" s="87"/>
      <c r="L757" s="86"/>
      <c r="M757" s="87"/>
      <c r="N757" s="87"/>
      <c r="O757" s="87"/>
      <c r="P757" s="87"/>
      <c r="Q757" s="87"/>
      <c r="R757" s="87"/>
      <c r="S757" s="87"/>
      <c r="T757" s="87"/>
      <c r="U757" s="87"/>
    </row>
    <row r="758" spans="1:21" ht="19.5" hidden="1" x14ac:dyDescent="0.3">
      <c r="A758" s="727"/>
      <c r="B758" s="728" t="s">
        <v>284</v>
      </c>
      <c r="C758" s="727"/>
      <c r="D758" s="729"/>
      <c r="E758" s="729"/>
      <c r="F758" s="729"/>
      <c r="G758" s="730"/>
      <c r="H758" s="780" t="s">
        <v>35</v>
      </c>
      <c r="I758" s="781">
        <f t="shared" ref="I758:J758" ca="1" si="450">I772</f>
        <v>0</v>
      </c>
      <c r="J758" s="781">
        <f t="shared" si="450"/>
        <v>0</v>
      </c>
      <c r="K758" s="766">
        <f t="shared" ref="K758:K759" ca="1" si="451">IF(I758&gt;0,J758*100/I758,0)</f>
        <v>0</v>
      </c>
      <c r="L758" s="734"/>
      <c r="M758" s="733"/>
      <c r="N758" s="733"/>
      <c r="O758" s="733"/>
      <c r="P758" s="733"/>
      <c r="Q758" s="733"/>
      <c r="R758" s="733"/>
      <c r="S758" s="733"/>
      <c r="T758" s="733"/>
      <c r="U758" s="733"/>
    </row>
    <row r="759" spans="1:21" ht="19.5" hidden="1" x14ac:dyDescent="0.3">
      <c r="A759" s="782"/>
      <c r="B759" s="727"/>
      <c r="C759" s="727"/>
      <c r="D759" s="729"/>
      <c r="E759" s="729"/>
      <c r="F759" s="729"/>
      <c r="G759" s="730"/>
      <c r="H759" s="780" t="s">
        <v>46</v>
      </c>
      <c r="I759" s="781">
        <f t="shared" ref="I759:J759" ca="1" si="452">I774</f>
        <v>0</v>
      </c>
      <c r="J759" s="781">
        <f t="shared" si="452"/>
        <v>0</v>
      </c>
      <c r="K759" s="766">
        <f t="shared" ca="1" si="451"/>
        <v>0</v>
      </c>
      <c r="L759" s="734"/>
      <c r="M759" s="733"/>
      <c r="N759" s="733"/>
      <c r="O759" s="733"/>
      <c r="P759" s="733"/>
      <c r="Q759" s="733"/>
      <c r="R759" s="733"/>
      <c r="S759" s="733"/>
      <c r="T759" s="733"/>
      <c r="U759" s="733"/>
    </row>
    <row r="760" spans="1:21" ht="19.5" hidden="1" x14ac:dyDescent="0.3">
      <c r="A760" s="257"/>
      <c r="B760" s="269"/>
      <c r="C760" s="309" t="s">
        <v>18</v>
      </c>
      <c r="D760" s="1369" t="s">
        <v>19</v>
      </c>
      <c r="E760" s="1343"/>
      <c r="F760" s="1343"/>
      <c r="G760" s="1344"/>
      <c r="H760" s="633" t="s">
        <v>14</v>
      </c>
      <c r="I760" s="263"/>
      <c r="J760" s="263"/>
      <c r="K760" s="87"/>
      <c r="L760" s="1257">
        <f t="shared" ref="L760:N760" si="453">L761+L762</f>
        <v>0</v>
      </c>
      <c r="M760" s="264">
        <f t="shared" si="453"/>
        <v>0</v>
      </c>
      <c r="N760" s="264">
        <f t="shared" si="453"/>
        <v>0</v>
      </c>
      <c r="O760" s="264">
        <f t="shared" ref="O760:O768" si="454">IF(L760&gt;0,N760*100/L760,0)</f>
        <v>0</v>
      </c>
      <c r="P760" s="264">
        <f t="shared" ref="P760:P768" si="455">IF(M760&gt;0,N760*100/M760,0)</f>
        <v>0</v>
      </c>
      <c r="Q760" s="264">
        <f t="shared" ref="Q760:S760" ca="1" si="456">Q761+Q762</f>
        <v>0</v>
      </c>
      <c r="R760" s="264">
        <f t="shared" ca="1" si="456"/>
        <v>0</v>
      </c>
      <c r="S760" s="264">
        <f t="shared" ca="1" si="456"/>
        <v>0</v>
      </c>
      <c r="T760" s="264">
        <f t="shared" ref="T760:T768" ca="1" si="457">IF(Q760&gt;0,S760*100/Q760,0)</f>
        <v>0</v>
      </c>
      <c r="U760" s="264">
        <f t="shared" ref="U760:U768" ca="1" si="458">IF(R760&gt;0,S760*100/R760,0)</f>
        <v>0</v>
      </c>
    </row>
    <row r="761" spans="1:21" ht="18.75" hidden="1" x14ac:dyDescent="0.25">
      <c r="A761" s="257"/>
      <c r="B761" s="269"/>
      <c r="C761" s="269"/>
      <c r="D761" s="296"/>
      <c r="E761" s="265" t="s">
        <v>158</v>
      </c>
      <c r="F761" s="258"/>
      <c r="G761" s="261"/>
      <c r="H761" s="273" t="s">
        <v>14</v>
      </c>
      <c r="I761" s="263"/>
      <c r="J761" s="263"/>
      <c r="K761" s="87"/>
      <c r="L761" s="76">
        <f t="shared" ref="L761:N762" si="459">L764+L767</f>
        <v>0</v>
      </c>
      <c r="M761" s="77">
        <f t="shared" si="459"/>
        <v>0</v>
      </c>
      <c r="N761" s="77">
        <f t="shared" si="459"/>
        <v>0</v>
      </c>
      <c r="O761" s="77">
        <f t="shared" si="454"/>
        <v>0</v>
      </c>
      <c r="P761" s="77">
        <f t="shared" si="455"/>
        <v>0</v>
      </c>
      <c r="Q761" s="77">
        <f t="shared" ref="Q761:S762" si="460">Q764+Q767</f>
        <v>0</v>
      </c>
      <c r="R761" s="77">
        <f t="shared" si="460"/>
        <v>0</v>
      </c>
      <c r="S761" s="77">
        <f t="shared" si="460"/>
        <v>0</v>
      </c>
      <c r="T761" s="77">
        <f t="shared" si="457"/>
        <v>0</v>
      </c>
      <c r="U761" s="77">
        <f t="shared" si="458"/>
        <v>0</v>
      </c>
    </row>
    <row r="762" spans="1:21" ht="18.75" hidden="1" x14ac:dyDescent="0.25">
      <c r="A762" s="257"/>
      <c r="B762" s="269"/>
      <c r="C762" s="306"/>
      <c r="D762" s="296"/>
      <c r="E762" s="267" t="s">
        <v>159</v>
      </c>
      <c r="F762" s="258"/>
      <c r="G762" s="261"/>
      <c r="H762" s="271" t="s">
        <v>14</v>
      </c>
      <c r="I762" s="263"/>
      <c r="J762" s="263"/>
      <c r="K762" s="87"/>
      <c r="L762" s="73">
        <f t="shared" si="459"/>
        <v>0</v>
      </c>
      <c r="M762" s="74">
        <f t="shared" si="459"/>
        <v>0</v>
      </c>
      <c r="N762" s="74">
        <f t="shared" si="459"/>
        <v>0</v>
      </c>
      <c r="O762" s="74">
        <f t="shared" si="454"/>
        <v>0</v>
      </c>
      <c r="P762" s="74">
        <f t="shared" si="455"/>
        <v>0</v>
      </c>
      <c r="Q762" s="74">
        <f t="shared" ca="1" si="460"/>
        <v>0</v>
      </c>
      <c r="R762" s="74">
        <f t="shared" ca="1" si="460"/>
        <v>0</v>
      </c>
      <c r="S762" s="74">
        <f t="shared" ca="1" si="460"/>
        <v>0</v>
      </c>
      <c r="T762" s="74">
        <f t="shared" ca="1" si="457"/>
        <v>0</v>
      </c>
      <c r="U762" s="74">
        <f t="shared" ca="1" si="458"/>
        <v>0</v>
      </c>
    </row>
    <row r="763" spans="1:21" ht="18.75" hidden="1" x14ac:dyDescent="0.25">
      <c r="A763" s="257"/>
      <c r="B763" s="269"/>
      <c r="C763" s="306"/>
      <c r="D763" s="270" t="s">
        <v>22</v>
      </c>
      <c r="E763" s="258"/>
      <c r="F763" s="258"/>
      <c r="G763" s="261"/>
      <c r="H763" s="271" t="s">
        <v>14</v>
      </c>
      <c r="I763" s="272"/>
      <c r="J763" s="272"/>
      <c r="K763" s="229"/>
      <c r="L763" s="73">
        <f t="shared" ref="L763:N763" si="461">L764+L765</f>
        <v>0</v>
      </c>
      <c r="M763" s="74">
        <f t="shared" si="461"/>
        <v>0</v>
      </c>
      <c r="N763" s="74">
        <f t="shared" si="461"/>
        <v>0</v>
      </c>
      <c r="O763" s="74">
        <f t="shared" si="454"/>
        <v>0</v>
      </c>
      <c r="P763" s="74">
        <f t="shared" si="455"/>
        <v>0</v>
      </c>
      <c r="Q763" s="74">
        <f t="shared" ref="Q763:S763" ca="1" si="462">Q764+Q765</f>
        <v>0</v>
      </c>
      <c r="R763" s="74">
        <f t="shared" ca="1" si="462"/>
        <v>0</v>
      </c>
      <c r="S763" s="74">
        <f t="shared" ca="1" si="462"/>
        <v>0</v>
      </c>
      <c r="T763" s="74">
        <f t="shared" ca="1" si="457"/>
        <v>0</v>
      </c>
      <c r="U763" s="74">
        <f t="shared" ca="1" si="458"/>
        <v>0</v>
      </c>
    </row>
    <row r="764" spans="1:21" ht="18.75" hidden="1" x14ac:dyDescent="0.25">
      <c r="A764" s="257"/>
      <c r="B764" s="269"/>
      <c r="C764" s="306"/>
      <c r="D764" s="296"/>
      <c r="E764" s="265" t="s">
        <v>158</v>
      </c>
      <c r="F764" s="258"/>
      <c r="G764" s="261"/>
      <c r="H764" s="273" t="s">
        <v>14</v>
      </c>
      <c r="I764" s="263"/>
      <c r="J764" s="263"/>
      <c r="K764" s="87"/>
      <c r="L764" s="76">
        <v>0</v>
      </c>
      <c r="M764" s="77">
        <v>0</v>
      </c>
      <c r="N764" s="77">
        <v>0</v>
      </c>
      <c r="O764" s="77">
        <f t="shared" si="454"/>
        <v>0</v>
      </c>
      <c r="P764" s="77">
        <f t="shared" si="455"/>
        <v>0</v>
      </c>
      <c r="Q764" s="77">
        <v>0</v>
      </c>
      <c r="R764" s="77">
        <v>0</v>
      </c>
      <c r="S764" s="77">
        <v>0</v>
      </c>
      <c r="T764" s="77">
        <f t="shared" si="457"/>
        <v>0</v>
      </c>
      <c r="U764" s="77">
        <f t="shared" si="458"/>
        <v>0</v>
      </c>
    </row>
    <row r="765" spans="1:21" ht="18.75" hidden="1" x14ac:dyDescent="0.25">
      <c r="A765" s="257"/>
      <c r="B765" s="269"/>
      <c r="C765" s="306"/>
      <c r="D765" s="296"/>
      <c r="E765" s="267" t="s">
        <v>159</v>
      </c>
      <c r="F765" s="258"/>
      <c r="G765" s="261"/>
      <c r="H765" s="271" t="s">
        <v>14</v>
      </c>
      <c r="I765" s="263"/>
      <c r="J765" s="263"/>
      <c r="K765" s="87"/>
      <c r="L765" s="73">
        <v>0</v>
      </c>
      <c r="M765" s="74">
        <v>0</v>
      </c>
      <c r="N765" s="74">
        <v>0</v>
      </c>
      <c r="O765" s="74">
        <f t="shared" si="454"/>
        <v>0</v>
      </c>
      <c r="P765" s="74">
        <f t="shared" si="455"/>
        <v>0</v>
      </c>
      <c r="Q765" s="74">
        <f ca="1">IFERROR(__xludf.DUMMYFUNCTION("IMPORTRANGE(""https://docs.google.com/spreadsheets/d/1ItG2mGa2ceCfYo0BwxsXqNm01IGEUdYcSSLTEv9YCik/edit?usp=sharing"",""เบิกจ่ายกองทุน!U60"")"),0)</f>
        <v>0</v>
      </c>
      <c r="R765" s="74">
        <f ca="1">IFERROR(__xludf.DUMMYFUNCTION("IMPORTRANGE(""https://docs.google.com/spreadsheets/d/1ItG2mGa2ceCfYo0BwxsXqNm01IGEUdYcSSLTEv9YCik/edit?usp=sharing"",""เบิกจ่ายกองทุน!V60"")"),0)</f>
        <v>0</v>
      </c>
      <c r="S765" s="74">
        <f ca="1">IFERROR(__xludf.DUMMYFUNCTION("IMPORTRANGE(""https://docs.google.com/spreadsheets/d/1ItG2mGa2ceCfYo0BwxsXqNm01IGEUdYcSSLTEv9YCik/edit?usp=sharing"",""เบิกจ่ายกองทุน!W60"")"),0)</f>
        <v>0</v>
      </c>
      <c r="T765" s="74">
        <f t="shared" ca="1" si="457"/>
        <v>0</v>
      </c>
      <c r="U765" s="74">
        <f t="shared" ca="1" si="458"/>
        <v>0</v>
      </c>
    </row>
    <row r="766" spans="1:21" ht="18.75" hidden="1" x14ac:dyDescent="0.25">
      <c r="A766" s="257"/>
      <c r="B766" s="269"/>
      <c r="C766" s="269"/>
      <c r="D766" s="270" t="s">
        <v>23</v>
      </c>
      <c r="E766" s="269"/>
      <c r="F766" s="258"/>
      <c r="G766" s="261"/>
      <c r="H766" s="275" t="s">
        <v>14</v>
      </c>
      <c r="I766" s="272"/>
      <c r="J766" s="272"/>
      <c r="K766" s="229"/>
      <c r="L766" s="73">
        <f t="shared" ref="L766:N766" si="463">L767+L768</f>
        <v>0</v>
      </c>
      <c r="M766" s="74">
        <f t="shared" si="463"/>
        <v>0</v>
      </c>
      <c r="N766" s="74">
        <f t="shared" si="463"/>
        <v>0</v>
      </c>
      <c r="O766" s="74">
        <f t="shared" si="454"/>
        <v>0</v>
      </c>
      <c r="P766" s="74">
        <f t="shared" si="455"/>
        <v>0</v>
      </c>
      <c r="Q766" s="74">
        <f t="shared" ref="Q766:S766" si="464">Q767+Q768</f>
        <v>0</v>
      </c>
      <c r="R766" s="74">
        <f t="shared" si="464"/>
        <v>0</v>
      </c>
      <c r="S766" s="74">
        <f t="shared" si="464"/>
        <v>0</v>
      </c>
      <c r="T766" s="74">
        <f t="shared" si="457"/>
        <v>0</v>
      </c>
      <c r="U766" s="74">
        <f t="shared" si="458"/>
        <v>0</v>
      </c>
    </row>
    <row r="767" spans="1:21" ht="18.75" hidden="1" x14ac:dyDescent="0.25">
      <c r="A767" s="257"/>
      <c r="B767" s="269"/>
      <c r="C767" s="269"/>
      <c r="D767" s="269"/>
      <c r="E767" s="775" t="s">
        <v>20</v>
      </c>
      <c r="F767" s="258"/>
      <c r="G767" s="261"/>
      <c r="H767" s="273" t="s">
        <v>14</v>
      </c>
      <c r="I767" s="272"/>
      <c r="J767" s="272"/>
      <c r="K767" s="229"/>
      <c r="L767" s="76">
        <v>0</v>
      </c>
      <c r="M767" s="77">
        <v>0</v>
      </c>
      <c r="N767" s="77">
        <v>0</v>
      </c>
      <c r="O767" s="77">
        <f t="shared" si="454"/>
        <v>0</v>
      </c>
      <c r="P767" s="77">
        <f t="shared" si="455"/>
        <v>0</v>
      </c>
      <c r="Q767" s="77">
        <v>0</v>
      </c>
      <c r="R767" s="77">
        <v>0</v>
      </c>
      <c r="S767" s="77">
        <v>0</v>
      </c>
      <c r="T767" s="77">
        <f t="shared" si="457"/>
        <v>0</v>
      </c>
      <c r="U767" s="77">
        <f t="shared" si="458"/>
        <v>0</v>
      </c>
    </row>
    <row r="768" spans="1:21" ht="18.75" hidden="1" x14ac:dyDescent="0.25">
      <c r="A768" s="257"/>
      <c r="B768" s="269"/>
      <c r="C768" s="269"/>
      <c r="D768" s="269"/>
      <c r="E768" s="749" t="s">
        <v>21</v>
      </c>
      <c r="F768" s="258"/>
      <c r="G768" s="261"/>
      <c r="H768" s="275" t="s">
        <v>14</v>
      </c>
      <c r="I768" s="272"/>
      <c r="J768" s="272"/>
      <c r="K768" s="229"/>
      <c r="L768" s="73">
        <v>0</v>
      </c>
      <c r="M768" s="74">
        <v>0</v>
      </c>
      <c r="N768" s="74">
        <v>0</v>
      </c>
      <c r="O768" s="74">
        <f t="shared" si="454"/>
        <v>0</v>
      </c>
      <c r="P768" s="74">
        <f t="shared" si="455"/>
        <v>0</v>
      </c>
      <c r="Q768" s="74">
        <v>0</v>
      </c>
      <c r="R768" s="74">
        <v>0</v>
      </c>
      <c r="S768" s="74">
        <v>0</v>
      </c>
      <c r="T768" s="74">
        <f t="shared" si="457"/>
        <v>0</v>
      </c>
      <c r="U768" s="74">
        <f t="shared" si="458"/>
        <v>0</v>
      </c>
    </row>
    <row r="769" spans="1:21" ht="19.5" hidden="1" x14ac:dyDescent="0.3">
      <c r="A769" s="276"/>
      <c r="B769" s="277"/>
      <c r="C769" s="785" t="s">
        <v>18</v>
      </c>
      <c r="D769" s="1011" t="s">
        <v>38</v>
      </c>
      <c r="E769" s="783"/>
      <c r="F769" s="280"/>
      <c r="G769" s="281"/>
      <c r="H769" s="310"/>
      <c r="I769" s="263"/>
      <c r="J769" s="263"/>
      <c r="K769" s="87"/>
      <c r="L769" s="86"/>
      <c r="M769" s="87"/>
      <c r="N769" s="87"/>
      <c r="O769" s="87"/>
      <c r="P769" s="87"/>
      <c r="Q769" s="87"/>
      <c r="R769" s="87"/>
      <c r="S769" s="87"/>
      <c r="T769" s="87"/>
      <c r="U769" s="87"/>
    </row>
    <row r="770" spans="1:21" ht="18.75" hidden="1" x14ac:dyDescent="0.25">
      <c r="A770" s="276"/>
      <c r="B770" s="277"/>
      <c r="C770" s="277"/>
      <c r="D770" s="708" t="s">
        <v>285</v>
      </c>
      <c r="E770" s="277"/>
      <c r="F770" s="296"/>
      <c r="G770" s="282"/>
      <c r="H770" s="706" t="s">
        <v>35</v>
      </c>
      <c r="I770" s="592">
        <f ca="1">IFERROR(__xludf.DUMMYFUNCTION("IMPORTRANGE(""https://docs.google.com/spreadsheets/d/1eHaY18a8A9IcSdp1K8H6x8fbOy06t2VsZHhMHf-1x7Y/edit?usp=sharing"",""แผน!FI60"")"),0)</f>
        <v>0</v>
      </c>
      <c r="J770" s="592">
        <v>0</v>
      </c>
      <c r="K770" s="77">
        <f ca="1">IF(I770&gt;0,J770*100/I770,0)</f>
        <v>0</v>
      </c>
      <c r="L770" s="86"/>
      <c r="M770" s="87"/>
      <c r="N770" s="87"/>
      <c r="O770" s="87"/>
      <c r="P770" s="87"/>
      <c r="Q770" s="87"/>
      <c r="R770" s="87"/>
      <c r="S770" s="87"/>
      <c r="T770" s="87"/>
      <c r="U770" s="87"/>
    </row>
    <row r="771" spans="1:21" ht="18.75" hidden="1" x14ac:dyDescent="0.25">
      <c r="A771" s="276"/>
      <c r="B771" s="277"/>
      <c r="C771" s="277"/>
      <c r="D771" s="708" t="s">
        <v>286</v>
      </c>
      <c r="E771" s="277"/>
      <c r="F771" s="296"/>
      <c r="G771" s="282"/>
      <c r="H771" s="310"/>
      <c r="I771" s="263"/>
      <c r="J771" s="263"/>
      <c r="K771" s="87"/>
      <c r="L771" s="86"/>
      <c r="M771" s="87"/>
      <c r="N771" s="87"/>
      <c r="O771" s="87"/>
      <c r="P771" s="87"/>
      <c r="Q771" s="87"/>
      <c r="R771" s="87"/>
      <c r="S771" s="87"/>
      <c r="T771" s="87"/>
      <c r="U771" s="87"/>
    </row>
    <row r="772" spans="1:21" ht="18.75" hidden="1" x14ac:dyDescent="0.25">
      <c r="A772" s="276"/>
      <c r="B772" s="277"/>
      <c r="C772" s="277"/>
      <c r="D772" s="745" t="s">
        <v>287</v>
      </c>
      <c r="E772" s="277"/>
      <c r="F772" s="296"/>
      <c r="G772" s="282"/>
      <c r="H772" s="275" t="s">
        <v>35</v>
      </c>
      <c r="I772" s="293">
        <f ca="1">IFERROR(__xludf.DUMMYFUNCTION("IMPORTRANGE(""https://docs.google.com/spreadsheets/d/1eHaY18a8A9IcSdp1K8H6x8fbOy06t2VsZHhMHf-1x7Y/edit?usp=sharing"",""แผน!FQ60"")"),0)</f>
        <v>0</v>
      </c>
      <c r="J772" s="294">
        <v>0</v>
      </c>
      <c r="K772" s="74">
        <f ca="1">IF(I772&gt;0,J772*100/I772,0)</f>
        <v>0</v>
      </c>
      <c r="L772" s="86"/>
      <c r="M772" s="87"/>
      <c r="N772" s="87"/>
      <c r="O772" s="87"/>
      <c r="P772" s="87"/>
      <c r="Q772" s="87"/>
      <c r="R772" s="87"/>
      <c r="S772" s="87"/>
      <c r="T772" s="87"/>
      <c r="U772" s="87"/>
    </row>
    <row r="773" spans="1:21" ht="18.75" hidden="1" x14ac:dyDescent="0.25">
      <c r="A773" s="276"/>
      <c r="B773" s="277"/>
      <c r="C773" s="277"/>
      <c r="D773" s="745" t="s">
        <v>288</v>
      </c>
      <c r="E773" s="277"/>
      <c r="F773" s="296"/>
      <c r="G773" s="282"/>
      <c r="H773" s="310"/>
      <c r="I773" s="263"/>
      <c r="J773" s="263"/>
      <c r="K773" s="87"/>
      <c r="L773" s="86"/>
      <c r="M773" s="87"/>
      <c r="N773" s="87"/>
      <c r="O773" s="87"/>
      <c r="P773" s="87"/>
      <c r="Q773" s="87"/>
      <c r="R773" s="87"/>
      <c r="S773" s="87"/>
      <c r="T773" s="87"/>
      <c r="U773" s="87"/>
    </row>
    <row r="774" spans="1:21" ht="18.75" hidden="1" x14ac:dyDescent="0.25">
      <c r="A774" s="276"/>
      <c r="B774" s="277"/>
      <c r="C774" s="277"/>
      <c r="D774" s="745" t="s">
        <v>289</v>
      </c>
      <c r="E774" s="277"/>
      <c r="F774" s="296"/>
      <c r="G774" s="282"/>
      <c r="H774" s="275" t="s">
        <v>46</v>
      </c>
      <c r="I774" s="293">
        <f ca="1">IFERROR(__xludf.DUMMYFUNCTION("IMPORTRANGE(""https://docs.google.com/spreadsheets/d/1eHaY18a8A9IcSdp1K8H6x8fbOy06t2VsZHhMHf-1x7Y/edit?usp=sharing"",""แผน!FR60"")"),0)</f>
        <v>0</v>
      </c>
      <c r="J774" s="294">
        <v>0</v>
      </c>
      <c r="K774" s="74">
        <f ca="1">IF(I774&gt;0,J774*100/I774,0)</f>
        <v>0</v>
      </c>
      <c r="L774" s="86"/>
      <c r="M774" s="87"/>
      <c r="N774" s="87"/>
      <c r="O774" s="87"/>
      <c r="P774" s="87"/>
      <c r="Q774" s="87"/>
      <c r="R774" s="87"/>
      <c r="S774" s="87"/>
      <c r="T774" s="87"/>
      <c r="U774" s="87"/>
    </row>
    <row r="775" spans="1:21" ht="18.75" hidden="1" x14ac:dyDescent="0.25">
      <c r="A775" s="276"/>
      <c r="B775" s="277"/>
      <c r="C775" s="277"/>
      <c r="D775" s="745" t="s">
        <v>50</v>
      </c>
      <c r="E775" s="296"/>
      <c r="F775" s="258"/>
      <c r="G775" s="261"/>
      <c r="H775" s="275" t="s">
        <v>46</v>
      </c>
      <c r="I775" s="293">
        <f ca="1">IFERROR(__xludf.DUMMYFUNCTION("IMPORTRANGE(""https://docs.google.com/spreadsheets/d/1eHaY18a8A9IcSdp1K8H6x8fbOy06t2VsZHhMHf-1x7Y/edit?usp=sharing"",""แผน!FS60"")"),0)</f>
        <v>0</v>
      </c>
      <c r="J775" s="294">
        <v>0</v>
      </c>
      <c r="K775" s="87"/>
      <c r="L775" s="86"/>
      <c r="M775" s="87"/>
      <c r="N775" s="87"/>
      <c r="O775" s="87"/>
      <c r="P775" s="87"/>
      <c r="Q775" s="87"/>
      <c r="R775" s="87"/>
      <c r="S775" s="87"/>
      <c r="T775" s="87"/>
      <c r="U775" s="87"/>
    </row>
    <row r="776" spans="1:21" ht="18.75" hidden="1" x14ac:dyDescent="0.25">
      <c r="A776" s="755"/>
      <c r="B776" s="757"/>
      <c r="C776" s="757"/>
      <c r="D776" s="757"/>
      <c r="E776" s="758"/>
      <c r="F776" s="758"/>
      <c r="G776" s="637"/>
      <c r="H776" s="760" t="s">
        <v>35</v>
      </c>
      <c r="I776" s="786">
        <f ca="1">IFERROR(__xludf.DUMMYFUNCTION("IMPORTRANGE(""https://docs.google.com/spreadsheets/d/1eHaY18a8A9IcSdp1K8H6x8fbOy06t2VsZHhMHf-1x7Y/edit?usp=sharing"",""แผน!FT60"")"),0)</f>
        <v>0</v>
      </c>
      <c r="J776" s="761">
        <v>0</v>
      </c>
      <c r="K776" s="98"/>
      <c r="L776" s="97"/>
      <c r="M776" s="98"/>
      <c r="N776" s="98"/>
      <c r="O776" s="98"/>
      <c r="P776" s="98"/>
      <c r="Q776" s="98"/>
      <c r="R776" s="98"/>
      <c r="S776" s="98"/>
      <c r="T776" s="98"/>
      <c r="U776" s="98"/>
    </row>
    <row r="777" spans="1:21" ht="19.5" x14ac:dyDescent="0.3">
      <c r="A777" s="1225" t="s">
        <v>290</v>
      </c>
      <c r="B777" s="789"/>
      <c r="C777" s="789"/>
      <c r="D777" s="788"/>
      <c r="E777" s="789"/>
      <c r="F777" s="789"/>
      <c r="G777" s="790"/>
      <c r="H777" s="1226" t="str">
        <f ca="1">IFERROR(__xludf.DUMMYFUNCTION("IMPORTRANGE(""https://docs.google.com/spreadsheets/d/1gNPQPjxUj63ZZXIIIm2aX4x3w7PhAZpC9JuXdbpWwUQ/edit?usp=sharing"",""Sheet1!b2"")"),"(ข้อมูล ณ 31 ม.ค. 67)")</f>
        <v>(ข้อมูล ณ 31 ม.ค. 67)</v>
      </c>
      <c r="I777" s="792"/>
      <c r="J777" s="793"/>
      <c r="K777" s="794"/>
      <c r="L777" s="794"/>
      <c r="M777" s="794"/>
      <c r="N777" s="794"/>
      <c r="O777" s="794"/>
      <c r="P777" s="794"/>
      <c r="Q777" s="794"/>
      <c r="R777" s="794"/>
      <c r="S777" s="794"/>
      <c r="T777" s="794"/>
      <c r="U777" s="794"/>
    </row>
    <row r="778" spans="1:21" ht="18.75" x14ac:dyDescent="0.25">
      <c r="A778" s="847"/>
      <c r="B778" s="267" t="s">
        <v>291</v>
      </c>
      <c r="C778" s="258"/>
      <c r="D778" s="269"/>
      <c r="E778" s="258"/>
      <c r="F778" s="258"/>
      <c r="G778" s="261"/>
      <c r="H778" s="292" t="s">
        <v>14</v>
      </c>
      <c r="I778" s="293">
        <f ca="1">IFERROR(__xludf.DUMMYFUNCTION("IMPORTRANGE(""https://docs.google.com/spreadsheets/d/10OvvATaaLtwErnr3qtWFcTmtbfpFEt5Bsqel9sXx0uE/edit?usp=sharing"",""งานกองทุน!D60"")"),2470000)</f>
        <v>2470000</v>
      </c>
      <c r="J778" s="293">
        <f ca="1">IFERROR(__xludf.DUMMYFUNCTION("IMPORTRANGE(""https://docs.google.com/spreadsheets/d/10OvvATaaLtwErnr3qtWFcTmtbfpFEt5Bsqel9sXx0uE/edit?usp=sharing"",""งานกองทุน!F60"")"),0)</f>
        <v>0</v>
      </c>
      <c r="K778" s="74">
        <f t="shared" ref="K778:K785" ca="1" si="465">IF(I778&gt;0,J778*100/I778,0)</f>
        <v>0</v>
      </c>
      <c r="L778" s="87"/>
      <c r="M778" s="87"/>
      <c r="N778" s="87"/>
      <c r="O778" s="87"/>
      <c r="P778" s="87"/>
      <c r="Q778" s="87"/>
      <c r="R778" s="87"/>
      <c r="S778" s="87"/>
      <c r="T778" s="87"/>
      <c r="U778" s="87"/>
    </row>
    <row r="779" spans="1:21" ht="18.75" x14ac:dyDescent="0.25">
      <c r="A779" s="847"/>
      <c r="B779" s="258"/>
      <c r="C779" s="258"/>
      <c r="D779" s="269"/>
      <c r="E779" s="258"/>
      <c r="F779" s="258"/>
      <c r="G779" s="261"/>
      <c r="H779" s="292" t="s">
        <v>35</v>
      </c>
      <c r="I779" s="293">
        <f ca="1">IFERROR(__xludf.DUMMYFUNCTION("IMPORTRANGE(""https://docs.google.com/spreadsheets/d/10OvvATaaLtwErnr3qtWFcTmtbfpFEt5Bsqel9sXx0uE/edit?usp=sharing"",""งานกองทุน!C60"")"),52)</f>
        <v>52</v>
      </c>
      <c r="J779" s="293">
        <f ca="1">IFERROR(__xludf.DUMMYFUNCTION("IMPORTRANGE(""https://docs.google.com/spreadsheets/d/10OvvATaaLtwErnr3qtWFcTmtbfpFEt5Bsqel9sXx0uE/edit?usp=sharing"",""งานกองทุน!E60"")"),0)</f>
        <v>0</v>
      </c>
      <c r="K779" s="74">
        <f t="shared" ca="1" si="465"/>
        <v>0</v>
      </c>
      <c r="L779" s="87"/>
      <c r="M779" s="87"/>
      <c r="N779" s="87"/>
      <c r="O779" s="87"/>
      <c r="P779" s="87"/>
      <c r="Q779" s="87"/>
      <c r="R779" s="87"/>
      <c r="S779" s="87"/>
      <c r="T779" s="87"/>
      <c r="U779" s="87"/>
    </row>
    <row r="780" spans="1:21" ht="18.75" x14ac:dyDescent="0.25">
      <c r="A780" s="847"/>
      <c r="B780" s="267" t="s">
        <v>292</v>
      </c>
      <c r="C780" s="258"/>
      <c r="D780" s="269"/>
      <c r="E780" s="258"/>
      <c r="F780" s="258"/>
      <c r="G780" s="261"/>
      <c r="H780" s="292" t="s">
        <v>14</v>
      </c>
      <c r="I780" s="293">
        <f ca="1">IFERROR(__xludf.DUMMYFUNCTION("IMPORTRANGE(""https://docs.google.com/spreadsheets/d/10OvvATaaLtwErnr3qtWFcTmtbfpFEt5Bsqel9sXx0uE/edit?usp=sharing"",""งานกองทุน!I60"")"),350516.37)</f>
        <v>350516.37</v>
      </c>
      <c r="J780" s="293">
        <f ca="1">IFERROR(__xludf.DUMMYFUNCTION("IMPORTRANGE(""https://docs.google.com/spreadsheets/d/10OvvATaaLtwErnr3qtWFcTmtbfpFEt5Bsqel9sXx0uE/edit?usp=sharing"",""งานกองทุน!K60"")"),125776.28)</f>
        <v>125776.28</v>
      </c>
      <c r="K780" s="74">
        <f t="shared" ca="1" si="465"/>
        <v>35.883140065612345</v>
      </c>
      <c r="L780" s="87"/>
      <c r="M780" s="87"/>
      <c r="N780" s="87"/>
      <c r="O780" s="87"/>
      <c r="P780" s="87"/>
      <c r="Q780" s="87"/>
      <c r="R780" s="87"/>
      <c r="S780" s="87"/>
      <c r="T780" s="87"/>
      <c r="U780" s="87"/>
    </row>
    <row r="781" spans="1:21" ht="18.75" x14ac:dyDescent="0.25">
      <c r="A781" s="847"/>
      <c r="B781" s="258"/>
      <c r="C781" s="258"/>
      <c r="D781" s="269"/>
      <c r="E781" s="258"/>
      <c r="F781" s="258"/>
      <c r="G781" s="261"/>
      <c r="H781" s="292" t="s">
        <v>35</v>
      </c>
      <c r="I781" s="293">
        <f ca="1">IFERROR(__xludf.DUMMYFUNCTION("IMPORTRANGE(""https://docs.google.com/spreadsheets/d/10OvvATaaLtwErnr3qtWFcTmtbfpFEt5Bsqel9sXx0uE/edit?usp=sharing"",""งานกองทุน!H60"")"),16)</f>
        <v>16</v>
      </c>
      <c r="J781" s="293">
        <f ca="1">IFERROR(__xludf.DUMMYFUNCTION("IMPORTRANGE(""https://docs.google.com/spreadsheets/d/10OvvATaaLtwErnr3qtWFcTmtbfpFEt5Bsqel9sXx0uE/edit?usp=sharing"",""งานกองทุน!J60"")"),16)</f>
        <v>16</v>
      </c>
      <c r="K781" s="74">
        <f t="shared" ca="1" si="465"/>
        <v>100</v>
      </c>
      <c r="L781" s="87"/>
      <c r="M781" s="87"/>
      <c r="N781" s="87"/>
      <c r="O781" s="87"/>
      <c r="P781" s="87"/>
      <c r="Q781" s="87"/>
      <c r="R781" s="87"/>
      <c r="S781" s="87"/>
      <c r="T781" s="87"/>
      <c r="U781" s="87"/>
    </row>
    <row r="782" spans="1:21" ht="18.75" x14ac:dyDescent="0.25">
      <c r="A782" s="847"/>
      <c r="B782" s="267" t="s">
        <v>293</v>
      </c>
      <c r="C782" s="258"/>
      <c r="D782" s="269"/>
      <c r="E782" s="258"/>
      <c r="F782" s="258"/>
      <c r="G782" s="261"/>
      <c r="H782" s="292" t="s">
        <v>14</v>
      </c>
      <c r="I782" s="293">
        <f ca="1">IFERROR(__xludf.DUMMYFUNCTION("IMPORTRANGE(""https://docs.google.com/spreadsheets/d/10OvvATaaLtwErnr3qtWFcTmtbfpFEt5Bsqel9sXx0uE/edit?usp=sharing"",""งานกองทุน!N60"")"),420430.64)</f>
        <v>420430.64</v>
      </c>
      <c r="J782" s="293">
        <f ca="1">IFERROR(__xludf.DUMMYFUNCTION("IMPORTRANGE(""https://docs.google.com/spreadsheets/d/10OvvATaaLtwErnr3qtWFcTmtbfpFEt5Bsqel9sXx0uE/edit?usp=sharing"",""งานกองทุน!P60"")"),20427.65)</f>
        <v>20427.650000000001</v>
      </c>
      <c r="K782" s="74">
        <f t="shared" ca="1" si="465"/>
        <v>4.8587443579278622</v>
      </c>
      <c r="L782" s="87"/>
      <c r="M782" s="87"/>
      <c r="N782" s="87"/>
      <c r="O782" s="87"/>
      <c r="P782" s="87"/>
      <c r="Q782" s="87"/>
      <c r="R782" s="87"/>
      <c r="S782" s="87"/>
      <c r="T782" s="87"/>
      <c r="U782" s="87"/>
    </row>
    <row r="783" spans="1:21" ht="18.75" x14ac:dyDescent="0.25">
      <c r="A783" s="847"/>
      <c r="B783" s="258"/>
      <c r="C783" s="258"/>
      <c r="D783" s="269"/>
      <c r="E783" s="258"/>
      <c r="F783" s="258"/>
      <c r="G783" s="261"/>
      <c r="H783" s="292" t="s">
        <v>35</v>
      </c>
      <c r="I783" s="293">
        <f ca="1">IFERROR(__xludf.DUMMYFUNCTION("IMPORTRANGE(""https://docs.google.com/spreadsheets/d/10OvvATaaLtwErnr3qtWFcTmtbfpFEt5Bsqel9sXx0uE/edit?usp=sharing"",""งานกองทุน!M60"")"),255)</f>
        <v>255</v>
      </c>
      <c r="J783" s="293">
        <f ca="1">IFERROR(__xludf.DUMMYFUNCTION("IMPORTRANGE(""https://docs.google.com/spreadsheets/d/10OvvATaaLtwErnr3qtWFcTmtbfpFEt5Bsqel9sXx0uE/edit?usp=sharing"",""งานกองทุน!O60"")"),3)</f>
        <v>3</v>
      </c>
      <c r="K783" s="74">
        <f t="shared" ca="1" si="465"/>
        <v>1.1764705882352942</v>
      </c>
      <c r="L783" s="87"/>
      <c r="M783" s="87"/>
      <c r="N783" s="87"/>
      <c r="O783" s="87"/>
      <c r="P783" s="87"/>
      <c r="Q783" s="87"/>
      <c r="R783" s="87"/>
      <c r="S783" s="87"/>
      <c r="T783" s="87"/>
      <c r="U783" s="87"/>
    </row>
    <row r="784" spans="1:21" ht="18.75" x14ac:dyDescent="0.25">
      <c r="A784" s="847"/>
      <c r="B784" s="267" t="s">
        <v>294</v>
      </c>
      <c r="C784" s="258"/>
      <c r="D784" s="269"/>
      <c r="E784" s="258"/>
      <c r="F784" s="258"/>
      <c r="G784" s="261"/>
      <c r="H784" s="292" t="s">
        <v>14</v>
      </c>
      <c r="I784" s="293">
        <f ca="1">IFERROR(__xludf.DUMMYFUNCTION("IMPORTRANGE(""https://docs.google.com/spreadsheets/d/10OvvATaaLtwErnr3qtWFcTmtbfpFEt5Bsqel9sXx0uE/edit?usp=sharing"",""งานกองทุน!S60"")"),2492000)</f>
        <v>2492000</v>
      </c>
      <c r="J784" s="293">
        <f ca="1">IFERROR(__xludf.DUMMYFUNCTION("IMPORTRANGE(""https://docs.google.com/spreadsheets/d/10OvvATaaLtwErnr3qtWFcTmtbfpFEt5Bsqel9sXx0uE/edit?usp=sharing"",""งานกองทุน!U60"")"),280000)</f>
        <v>280000</v>
      </c>
      <c r="K784" s="74">
        <f t="shared" ca="1" si="465"/>
        <v>11.235955056179776</v>
      </c>
      <c r="L784" s="87"/>
      <c r="M784" s="87"/>
      <c r="N784" s="87"/>
      <c r="O784" s="87"/>
      <c r="P784" s="87"/>
      <c r="Q784" s="87"/>
      <c r="R784" s="87"/>
      <c r="S784" s="87"/>
      <c r="T784" s="87"/>
      <c r="U784" s="87"/>
    </row>
    <row r="785" spans="1:21" ht="18.75" x14ac:dyDescent="0.25">
      <c r="A785" s="848"/>
      <c r="B785" s="636"/>
      <c r="C785" s="636"/>
      <c r="D785" s="628"/>
      <c r="E785" s="636"/>
      <c r="F785" s="636"/>
      <c r="G785" s="637"/>
      <c r="H785" s="850" t="s">
        <v>35</v>
      </c>
      <c r="I785" s="786">
        <f ca="1">IFERROR(__xludf.DUMMYFUNCTION("IMPORTRANGE(""https://docs.google.com/spreadsheets/d/10OvvATaaLtwErnr3qtWFcTmtbfpFEt5Bsqel9sXx0uE/edit?usp=sharing"",""งานกองทุน!R60"")"),89)</f>
        <v>89</v>
      </c>
      <c r="J785" s="786">
        <f ca="1">IFERROR(__xludf.DUMMYFUNCTION("IMPORTRANGE(""https://docs.google.com/spreadsheets/d/10OvvATaaLtwErnr3qtWFcTmtbfpFEt5Bsqel9sXx0uE/edit?usp=sharing"",""งานกองทุน!T60"")"),8)</f>
        <v>8</v>
      </c>
      <c r="K785" s="182">
        <f t="shared" ca="1" si="465"/>
        <v>8.9887640449438209</v>
      </c>
      <c r="L785" s="98"/>
      <c r="M785" s="98"/>
      <c r="N785" s="98"/>
      <c r="O785" s="98"/>
      <c r="P785" s="98"/>
      <c r="Q785" s="98"/>
      <c r="R785" s="98"/>
      <c r="S785" s="98"/>
      <c r="T785" s="98"/>
      <c r="U785" s="98"/>
    </row>
    <row r="786" spans="1:21" ht="12.75" x14ac:dyDescent="0.2">
      <c r="A786" s="289"/>
      <c r="B786" s="289"/>
      <c r="C786" s="289"/>
      <c r="D786" s="289"/>
      <c r="E786" s="289"/>
      <c r="F786" s="289"/>
      <c r="G786" s="289"/>
      <c r="H786" s="289"/>
      <c r="I786" s="289"/>
      <c r="J786" s="289"/>
      <c r="K786" s="289"/>
      <c r="L786" s="289"/>
      <c r="M786" s="289"/>
      <c r="N786" s="289"/>
      <c r="O786" s="289"/>
      <c r="P786" s="289"/>
      <c r="Q786" s="289"/>
      <c r="R786" s="289"/>
      <c r="S786" s="289"/>
      <c r="T786" s="289"/>
      <c r="U786" s="289"/>
    </row>
    <row r="787" spans="1:21" ht="16.5" x14ac:dyDescent="0.25">
      <c r="A787" s="1227" t="s">
        <v>295</v>
      </c>
      <c r="B787" s="289"/>
      <c r="C787" s="289"/>
      <c r="D787" s="289"/>
      <c r="E787" s="289"/>
      <c r="F787" s="289"/>
      <c r="G787" s="289"/>
      <c r="H787" s="289"/>
      <c r="I787" s="289"/>
      <c r="J787" s="289"/>
      <c r="K787" s="289"/>
      <c r="L787" s="289"/>
      <c r="M787" s="289"/>
      <c r="N787" s="289"/>
      <c r="O787" s="289"/>
      <c r="P787" s="289"/>
      <c r="Q787" s="289"/>
      <c r="R787" s="289"/>
      <c r="S787" s="289"/>
      <c r="T787" s="289"/>
      <c r="U787" s="289"/>
    </row>
    <row r="788" spans="1:21" ht="16.5" x14ac:dyDescent="0.25">
      <c r="A788" s="1227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29 ก.พ. 67</v>
      </c>
      <c r="B788" s="289"/>
      <c r="C788" s="289"/>
      <c r="D788" s="289"/>
      <c r="E788" s="289"/>
      <c r="F788" s="289"/>
      <c r="G788" s="289"/>
      <c r="H788" s="289"/>
      <c r="I788" s="289"/>
      <c r="J788" s="289"/>
      <c r="K788" s="289"/>
      <c r="L788" s="289"/>
      <c r="M788" s="289"/>
      <c r="N788" s="289"/>
      <c r="O788" s="289"/>
      <c r="P788" s="289"/>
      <c r="Q788" s="289"/>
      <c r="R788" s="289"/>
      <c r="S788" s="289"/>
      <c r="T788" s="289"/>
      <c r="U788" s="289"/>
    </row>
  </sheetData>
  <mergeCells count="25">
    <mergeCell ref="A57:G57"/>
    <mergeCell ref="B58:G58"/>
    <mergeCell ref="L5:P5"/>
    <mergeCell ref="Q5:U5"/>
    <mergeCell ref="A6:G7"/>
    <mergeCell ref="I6:K6"/>
    <mergeCell ref="L6:M6"/>
    <mergeCell ref="N6:P6"/>
    <mergeCell ref="Q6:R6"/>
    <mergeCell ref="D715:G715"/>
    <mergeCell ref="D729:G729"/>
    <mergeCell ref="D760:G760"/>
    <mergeCell ref="A1:U1"/>
    <mergeCell ref="A2:U2"/>
    <mergeCell ref="A3:U3"/>
    <mergeCell ref="D414:G414"/>
    <mergeCell ref="D494:F494"/>
    <mergeCell ref="D600:G600"/>
    <mergeCell ref="D617:G617"/>
    <mergeCell ref="D643:G643"/>
    <mergeCell ref="D691:G691"/>
    <mergeCell ref="S6:U6"/>
    <mergeCell ref="A8:G8"/>
    <mergeCell ref="A18:G18"/>
    <mergeCell ref="A31:G31"/>
  </mergeCells>
  <printOptions horizontalCentered="1"/>
  <pageMargins left="0.31496062992125984" right="0.31496062992125984" top="0.55118110236220474" bottom="0.55118110236220474" header="0" footer="0"/>
  <pageSetup paperSize="9" scale="31" fitToHeight="0" pageOrder="overThenDown" orientation="portrait" cellComments="atEnd" verticalDpi="0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23</vt:i4>
      </vt:variant>
    </vt:vector>
  </HeadingPairs>
  <TitlesOfParts>
    <vt:vector size="45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  <vt:lpstr>ฟ117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2024-03-08T09:45:23Z</dcterms:modified>
</cp:coreProperties>
</file>